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0" yWindow="990" windowWidth="8880" windowHeight="7260" tabRatio="878"/>
  </bookViews>
  <sheets>
    <sheet name="ImportantDisclosures" sheetId="106" r:id="rId1"/>
    <sheet name="Earnings" sheetId="76" r:id="rId2"/>
    <sheet name="BullBaseBear" sheetId="83" r:id="rId3"/>
    <sheet name="sumry" sheetId="30" r:id="rId4"/>
    <sheet name="MW-Cache" sheetId="64" state="veryHidden" r:id="rId5"/>
    <sheet name="Stores" sheetId="44" r:id="rId6"/>
    <sheet name="SeqQtrSales" sheetId="47" r:id="rId7"/>
    <sheet name="qtrSales" sheetId="40" r:id="rId8"/>
    <sheet name="segSales&amp;comps" sheetId="45" r:id="rId9"/>
    <sheet name="qtrP&amp;L" sheetId="36" r:id="rId10"/>
    <sheet name="__FDSCACHE__" sheetId="56" state="veryHidden" r:id="rId11"/>
    <sheet name="yrSales" sheetId="14" r:id="rId12"/>
    <sheet name="yrP&amp;L" sheetId="8" r:id="rId13"/>
    <sheet name="bal" sheetId="3" r:id="rId14"/>
    <sheet name="flow" sheetId="32" r:id="rId15"/>
    <sheet name="dtc" sheetId="31" r:id="rId16"/>
    <sheet name="work" sheetId="35" r:id="rId17"/>
    <sheet name="turn" sheetId="2" r:id="rId18"/>
    <sheet name="Inv to Sales" sheetId="102" r:id="rId19"/>
    <sheet name="MWA Lease" sheetId="89" r:id="rId20"/>
    <sheet name="IndexInformation" sheetId="107" r:id="rId21"/>
    <sheet name="ModPubIndex" sheetId="108" r:id="rId22"/>
  </sheets>
  <functionGroups builtInGroupCount="17"/>
  <externalReferences>
    <externalReference r:id="rId23"/>
  </externalReferences>
  <definedNames>
    <definedName name="__FDS_HYPERLINK_TOGGLE_STATE__" hidden="1">"ON"</definedName>
    <definedName name="__FDS_UNIQUE_RANGE_ID_GENERATOR_COUNTER">1</definedName>
    <definedName name="__FDS_USED_FOR_REUSING_RANGE_IDS_RECYCLE">{1,1,1,1}</definedName>
    <definedName name="_bdm.1BA4BDA0C20145F2A95EF84414366217.edm" localSheetId="3" hidden="1">sumry!$A$6:$DP$49</definedName>
    <definedName name="_bdm.2908AF87972B4E9EB19FB9D9420CACA1.edm" localSheetId="3" hidden="1">sumry!$A$6:$DR$49</definedName>
    <definedName name="_bdm.4DDAB999D6EB490BAB7E075DCE178E78.edm" localSheetId="13" hidden="1">bal!$A$6:$AY$51</definedName>
    <definedName name="_bdm.557DEE38EA5743FAB82097F461F685FF.edm" localSheetId="14" hidden="1">flow!$A$7:$AX$45</definedName>
    <definedName name="_bdm.64F42E8B918840CEA57900BBD8DBBF90.edm" localSheetId="13" hidden="1">bal!$A$6:$AY$50</definedName>
    <definedName name="_bdm.709420A48C1245B99DB12AB7591CB054.edm" localSheetId="3" hidden="1">sumry!$A$6:$DP$48</definedName>
    <definedName name="_bdm.732D561D80964162905380A725EBE553.edm" localSheetId="3" hidden="1">sumry!$A$6:$DP$58</definedName>
    <definedName name="_bdm.73A1B1B2519943B0822300121E2C7843.edm" localSheetId="14" hidden="1">flow!$A$8:$AX$69</definedName>
    <definedName name="_bdm.7F5AF5B3DDFE46D595F3F9AA18905787.edm" localSheetId="14" hidden="1">flow!$A$8:$AV$69</definedName>
    <definedName name="_bdm.86D10D978A6D471BAC117CCB8F9CCF88.edm" localSheetId="14" hidden="1">flow!$A$8:$AV$66</definedName>
    <definedName name="_bdm.8EDC875CB2B54496A39354076A80A74C.edm" hidden="1">sumry!$1:$1048576</definedName>
    <definedName name="_bdm.A4BE87FB4D94465FAA8C9976EF0BFBB4.edm" localSheetId="13" hidden="1">bal!$A$5:$AY$51</definedName>
    <definedName name="_bdm.B2D17941487445E5A5B886C829862289.edm" localSheetId="14" hidden="1">flow!$A$7:$AX$69</definedName>
    <definedName name="_bdm.B6E3605B06C8468088C478F3A13570F6.edm" hidden="1">flow!$1:$1048576</definedName>
    <definedName name="_bdm.BD363D2B6D154F49ACE3252B4484FF6F.edm" localSheetId="14" hidden="1">flow!$A$8:$AX$68</definedName>
    <definedName name="_bdm.D161C53823D74D98B69FC43ED3CE1B6D.edm" localSheetId="13" hidden="1">bal!$A$6:$AW$51</definedName>
    <definedName name="_bdm.E7AA1E2E61C5462FB1D9FC2C30152054.edm" hidden="1">bal!$1:$1048576</definedName>
    <definedName name="_bdm.FB482D76F8624AEB87FAA20AFA38612C.edm" localSheetId="13" hidden="1">bal!$A$6:$AW$50</definedName>
    <definedName name="_Order1" hidden="1">255</definedName>
    <definedName name="a">{"Client Name or Project Name"}</definedName>
    <definedName name="AAB_GSPPG" hidden="1">"AAB_Goldman Sachs PPG Chart Utilities 1.0g"</definedName>
    <definedName name="Act_Price">OFFSET(Date_Range,0,1,,1)</definedName>
    <definedName name="AdditionalInstructions">IndexInformation!$B$42</definedName>
    <definedName name="Address" localSheetId="0">ImportantDisclosures!$A$2:$A$2</definedName>
    <definedName name="ANA" localSheetId="21">ModPubIndex!$A$7</definedName>
    <definedName name="anscount" hidden="1">1</definedName>
    <definedName name="Authors" localSheetId="0">ImportantDisclosures!$A$7</definedName>
    <definedName name="Authors" localSheetId="20">IndexInformation!$B$18</definedName>
    <definedName name="Avg">"Avg"</definedName>
    <definedName name="BRO" localSheetId="21">ModPubIndex!$A$1</definedName>
    <definedName name="Chart_COE">#REF!:OFFSET(#REF!,0,#REF!)</definedName>
    <definedName name="Chart_RNOA">#REF!:OFFSET(#REF!,0,#REF!)</definedName>
    <definedName name="Chart_ROE">#REF!:OFFSET(#REF!,0,#REF!)</definedName>
    <definedName name="Chart_WACC">#REF!:OFFSET(#REF!,0,#REF!)</definedName>
    <definedName name="check" localSheetId="19">'MWA Lease'!$H$190:$P$190</definedName>
    <definedName name="CopyrightStamp">ImportantDisclosures!$A$27</definedName>
    <definedName name="COU" localSheetId="21">ModPubIndex!$A$5</definedName>
    <definedName name="CQEnd" localSheetId="20">IndexInformation!$B$31</definedName>
    <definedName name="Currency" localSheetId="20">IndexInformation!$B$24</definedName>
    <definedName name="CurrentStockPrice" localSheetId="20">IndexInformation!$B$23</definedName>
    <definedName name="CurrQtrEPS" localSheetId="20">IndexInformation!$B$29</definedName>
    <definedName name="CurrYearEPS" localSheetId="20">IndexInformation!$B$11</definedName>
    <definedName name="CurrYearTotalRevenue" localSheetId="20">IndexInformation!$B$10</definedName>
    <definedName name="CurrYearTotalRevenueActual" localSheetId="20">IndexInformation!$B$32</definedName>
    <definedName name="CUSIP" localSheetId="20">IndexInformation!$B$20</definedName>
    <definedName name="CYEnd" localSheetId="20">IndexInformation!$B$30</definedName>
    <definedName name="Date" localSheetId="0">ImportantDisclosures!$A$8</definedName>
    <definedName name="Deleted" localSheetId="20">IndexInformation!$B$27</definedName>
    <definedName name="Description" localSheetId="20">IndexInformation!$B$7</definedName>
    <definedName name="DEVELOPMENT">5</definedName>
    <definedName name="Discipline" localSheetId="20">IndexInformation!$B$3</definedName>
    <definedName name="DISCIPLINE" localSheetId="21">ModPubIndex!$A$12</definedName>
    <definedName name="DisclosuresText">ImportantDisclosures!$A$22</definedName>
    <definedName name="Distribution" localSheetId="20">IndexInformation!$B$26</definedName>
    <definedName name="DistTable" localSheetId="0">ImportantDisclosures!#REF!</definedName>
    <definedName name="DistTablePreamble" localSheetId="0">ImportantDisclosures!#REF!</definedName>
    <definedName name="Djzh15" xlm="1" functionGroupId="14">0</definedName>
    <definedName name="Djzh16" xlm="1" functionGroupId="14">0</definedName>
    <definedName name="DOCDAT" localSheetId="21">ModPubIndex!$A$2</definedName>
    <definedName name="DOCTIME" localSheetId="21">ModPubIndex!$A$3</definedName>
    <definedName name="DocType" localSheetId="20">IndexInformation!$B$5</definedName>
    <definedName name="EMAIL_ALERT" localSheetId="21">ModPubIndex!$A$10</definedName>
    <definedName name="EmailAlert" localSheetId="20">IndexInformation!$B$28</definedName>
    <definedName name="ExpandModel">[0]!ExpandModel</definedName>
    <definedName name="ExpandOutputs">[0]!ExpandOutputs</definedName>
    <definedName name="ExpandVPeriods">[0]!ExpandVPeriods</definedName>
    <definedName name="ExportFile">[0]!ExportFile</definedName>
    <definedName name="FINCopyDirection">1</definedName>
    <definedName name="FINCriteriaType">1</definedName>
    <definedName name="FiveYearGrowthRate" localSheetId="20">IndexInformation!$B$16</definedName>
    <definedName name="FollowingYearEPS" localSheetId="20">IndexInformation!$B$15</definedName>
    <definedName name="FollowingYearTotalRevenue" localSheetId="20">IndexInformation!$B$14</definedName>
    <definedName name="FollowingYearTotalRevenueActual" localSheetId="20">IndexInformation!$B$34</definedName>
    <definedName name="HL" localSheetId="21">ModPubIndex!$A$8</definedName>
    <definedName name="ImportFile">[0]!ImportFile</definedName>
    <definedName name="IND" localSheetId="21">ModPubIndex!$A$9</definedName>
    <definedName name="Industry" localSheetId="0">ImportantDisclosures!$A$12</definedName>
    <definedName name="IndustryId">IndexInformation!$B$40</definedName>
    <definedName name="IndustryRating" localSheetId="0">ImportantDisclosures!$A$13</definedName>
    <definedName name="KeepVersions" localSheetId="20">IndexInformation!$B$8</definedName>
    <definedName name="LanguageCode">IndexInformation!$B$38</definedName>
    <definedName name="LastCell" localSheetId="0">ImportantDisclosures!$A$22</definedName>
    <definedName name="Linking_1">sumry!$A$6:$DW$48</definedName>
    <definedName name="Linking_Range_1">sumry!$A$6:$DQ$58</definedName>
    <definedName name="Linking_Range_10">flow!$A$8:$BF$68</definedName>
    <definedName name="Linking_Range_11">bal!$A$6:$BG$50</definedName>
    <definedName name="Linking_Range_12">flow!$A$8:$BB$68</definedName>
    <definedName name="Linking_Range_13">sumry!$A$6:$DT$61</definedName>
    <definedName name="Linking_Range_14">'qtrP&amp;L'!$A$6:$DR$65</definedName>
    <definedName name="Linking_Range_15">'qtrP&amp;L'!$A$6:$CZ$200</definedName>
    <definedName name="Linking_Range_16">'qtrP&amp;L'!$A$6:$DA$192</definedName>
    <definedName name="Linking_Range_17">'qtrP&amp;L'!$A$6:$DA$172</definedName>
    <definedName name="Linking_Range_18">'qtrP&amp;L'!$A$6:$CZ$145</definedName>
    <definedName name="Linking_Range_19">'qtrP&amp;L'!$A$6:$CY$193</definedName>
    <definedName name="Linking_Range_2">sumry!$A$6:$DQ$49</definedName>
    <definedName name="Linking_Range_20">'yrP&amp;L'!$A$4:$AM$53</definedName>
    <definedName name="Linking_Range_21">'segSales&amp;comps'!$A$7:$AU$261</definedName>
    <definedName name="Linking_Range_22">bal!$A$6:$BI$50</definedName>
    <definedName name="Linking_Range_23">flow!$A$8:$BH$68</definedName>
    <definedName name="Linking_Range_24">sumry!$A$6:$DT$48</definedName>
    <definedName name="Linking_Range_25">'qtrP&amp;L'!$A$6:$CZ$65</definedName>
    <definedName name="Linking_Range_26">'qtrP&amp;L'!$A$6:$CZ$182</definedName>
    <definedName name="Linking_Range_27">'qtrP&amp;L'!$A$6:$CY$200</definedName>
    <definedName name="Linking_Range_28">'yrP&amp;L'!$A$4:$AM$52</definedName>
    <definedName name="Linking_Range_29">'segSales&amp;comps'!$A$7:$AU$212</definedName>
    <definedName name="Linking_Range_3">bal!$A$6:$BA$50</definedName>
    <definedName name="Linking_Range_30">sumry!$A$5:$DT$49</definedName>
    <definedName name="Linking_Range_31">sumry!$A$6:$DV$61</definedName>
    <definedName name="Linking_Range_32">'segSales&amp;comps'!$A$7:$AU$241</definedName>
    <definedName name="Linking_Range_33">'qtrP&amp;L'!$A$6:$DD$62</definedName>
    <definedName name="Linking_Range_34">'qtrP&amp;L'!$A$6:$DD$172</definedName>
    <definedName name="Linking_Range_35">sumry!$A$6:$DV$48</definedName>
    <definedName name="Linking_Range_36">bal!$A$6:$BK$50</definedName>
    <definedName name="Linking_Range_37">flow!$A$8:$BJ$68</definedName>
    <definedName name="Linking_Range_4">flow!$A$8:$AZ$68</definedName>
    <definedName name="Linking_Range_5">sumry!$A$6:$DQ$48</definedName>
    <definedName name="Linking_Range_6">bal!$A$6:$AY$50</definedName>
    <definedName name="Linking_Range_7">flow!$A$8:$AX$68</definedName>
    <definedName name="Linking_Range_8">sumry!$A$6:$DR$48</definedName>
    <definedName name="Linking_Range_9">flow!$A$8:$BF$44</definedName>
    <definedName name="Linking_Text_1">BullBaseBear!$V$62</definedName>
    <definedName name="MacroVersion" localSheetId="20">IndexInformation!$B$1</definedName>
    <definedName name="me">"Button 5"</definedName>
    <definedName name="ModelPrice" localSheetId="0">ImportantDisclosures!$A$14</definedName>
    <definedName name="MtCap">10000000000</definedName>
    <definedName name="Multiplier" localSheetId="20">IndexInformation!$B$35</definedName>
    <definedName name="NextYearEPS" localSheetId="20">IndexInformation!$B$13</definedName>
    <definedName name="NextYearTotalRevenue" localSheetId="20">IndexInformation!$B$12</definedName>
    <definedName name="NextYearTotalRevenueActual" localSheetId="20">IndexInformation!$B$33</definedName>
    <definedName name="NVCURR">[1]I!$B$1:$U$51</definedName>
    <definedName name="ObjectType">IndexInformation!$B$37</definedName>
    <definedName name="PANA" localSheetId="21">ModPubIndex!$A$11</definedName>
    <definedName name="PathName" localSheetId="20">IndexInformation!$B$25</definedName>
    <definedName name="_xlnm.Print_Area">#REF!</definedName>
    <definedName name="_xlnm.Print_Titles">#REF!</definedName>
    <definedName name="PRODUCT" localSheetId="21">ModPubIndex!$A$6</definedName>
    <definedName name="ProImportExport.ImportFile">[0]!ProImportExport.ImportFile</definedName>
    <definedName name="ProImportExport.SaveNewFile">[0]!ProImportExport.SaveNewFile</definedName>
    <definedName name="ProjectName">{"Client Name or Project Name"}</definedName>
    <definedName name="ProjectName_1">{"Client Name or Project Name"}</definedName>
    <definedName name="PSYM" localSheetId="21">ModPubIndex!$A$4</definedName>
    <definedName name="PublishDate" localSheetId="20">IndexInformation!$B$2</definedName>
    <definedName name="Rating" localSheetId="20">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l_Forw">OFFSET(Date_Range,0,10,,1)</definedName>
    <definedName name="ResearchTopic" localSheetId="20">IndexInformation!$B$4</definedName>
    <definedName name="RIC" localSheetId="20">IndexInformation!$B$21</definedName>
    <definedName name="rngAppName" localSheetId="19">'MWA Lease'!$A$1</definedName>
    <definedName name="rngCompany" localSheetId="19">'MWA Lease'!$F$6</definedName>
    <definedName name="rngTicker" localSheetId="19">'MWA Lease'!$I$3</definedName>
    <definedName name="RNOA_Print">#N/A</definedName>
    <definedName name="s">{"Client Name or Project Name"}</definedName>
    <definedName name="SaveNewFile">[0]!SaveNewFile</definedName>
    <definedName name="SECSettlement" localSheetId="0">ImportantDisclosures!#REF!</definedName>
    <definedName name="SEDOL" localSheetId="20">IndexInformation!$B$22</definedName>
    <definedName name="SedolTicker" localSheetId="19">'MWA Lease'!$F$4</definedName>
    <definedName name="SourceDefined" localSheetId="0">ImportantDisclosures!$A$19</definedName>
    <definedName name="Sp">"       "</definedName>
    <definedName name="StockRating" localSheetId="0">ImportantDisclosures!$A$11</definedName>
    <definedName name="subhbahs" hidden="1">{"fdsup://Directions/FactSet Auditing Viewer?action=AUDIT_VALUE&amp;DB=129&amp;ID1=53271610&amp;VALUEID=01001&amp;SDATE=200702&amp;PERIODTYPE=QTR_STD&amp;window=popup_no_bar&amp;width=385&amp;height=120&amp;START_MAXIMIZED=FALSE&amp;creator=factset&amp;display_string=Audit"}</definedName>
    <definedName name="SubjectCode" localSheetId="20">IndexInformation!$B$6</definedName>
    <definedName name="SubmitterUserId">IndexInformation!$B$39</definedName>
    <definedName name="SUPPRESSED" localSheetId="21">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20">IndexInformation!$B$19</definedName>
    <definedName name="TRSLTicker">"TIF.N"</definedName>
    <definedName name="UpdateReason" localSheetId="20">IndexInformation!$B$17</definedName>
    <definedName name="USRegDisclosures" localSheetId="0">ImportantDisclosures!#REF!</definedName>
    <definedName name="Version">"June 29, 2004"</definedName>
  </definedNames>
  <calcPr calcId="145621" iterate="1"/>
</workbook>
</file>

<file path=xl/calcChain.xml><?xml version="1.0" encoding="utf-8"?>
<calcChain xmlns="http://schemas.openxmlformats.org/spreadsheetml/2006/main">
  <c r="AC88" i="14" l="1"/>
  <c r="R112" i="83"/>
  <c r="R71" i="83"/>
  <c r="T110" i="83" l="1"/>
  <c r="S110" i="83"/>
  <c r="R110" i="83"/>
  <c r="Q110" i="83"/>
  <c r="Q94" i="83"/>
  <c r="T109" i="83"/>
  <c r="S109" i="83"/>
  <c r="R109" i="83"/>
  <c r="Q109" i="83"/>
  <c r="S112" i="83"/>
  <c r="T112" i="83"/>
  <c r="Q112" i="83"/>
  <c r="S68" i="83"/>
  <c r="T68" i="83"/>
  <c r="R68" i="83"/>
  <c r="Q68" i="83"/>
  <c r="DV10" i="36"/>
  <c r="DJ51" i="36"/>
  <c r="DU34" i="36"/>
  <c r="DU35" i="36"/>
  <c r="DU36" i="36"/>
  <c r="AB20" i="8" l="1"/>
  <c r="AC20" i="8"/>
  <c r="AC17" i="8"/>
  <c r="AC16" i="8"/>
  <c r="AC29" i="8"/>
  <c r="AC28" i="8"/>
  <c r="DU30" i="36"/>
  <c r="AC207" i="14" l="1"/>
  <c r="AC170" i="14"/>
  <c r="AC132" i="14"/>
  <c r="AC94" i="14"/>
  <c r="AC5" i="14"/>
  <c r="AC5" i="8"/>
  <c r="AZ314" i="44"/>
  <c r="G310" i="44"/>
  <c r="AZ310" i="44"/>
  <c r="AA30" i="14"/>
  <c r="AC30" i="14"/>
  <c r="AB30" i="14"/>
  <c r="DV13" i="36"/>
  <c r="DJ43" i="36"/>
  <c r="AK232" i="45"/>
  <c r="AA232" i="45"/>
  <c r="U232" i="45"/>
  <c r="I232" i="45"/>
  <c r="BE232" i="45"/>
  <c r="AT232" i="45"/>
  <c r="AJ232" i="45"/>
  <c r="Z232" i="45"/>
  <c r="T232" i="45"/>
  <c r="H232" i="45"/>
  <c r="BF57" i="32"/>
  <c r="BF51" i="32"/>
  <c r="BF50" i="32"/>
  <c r="BF20" i="32"/>
  <c r="BF10" i="32"/>
  <c r="BG19" i="3"/>
  <c r="V583" i="47"/>
  <c r="H584" i="47"/>
  <c r="H577" i="47"/>
  <c r="V503" i="47"/>
  <c r="H490" i="47"/>
  <c r="H504" i="47"/>
  <c r="H410" i="47"/>
  <c r="V409" i="47"/>
  <c r="H396" i="47"/>
  <c r="H403" i="47"/>
  <c r="H223" i="47"/>
  <c r="H209" i="47"/>
  <c r="V222" i="47"/>
  <c r="F205" i="40"/>
  <c r="F191" i="40"/>
  <c r="F198" i="40"/>
  <c r="F204" i="40"/>
  <c r="DN171" i="36"/>
  <c r="DN170" i="36"/>
  <c r="DN169" i="36"/>
  <c r="DN168" i="36"/>
  <c r="AS232" i="45"/>
  <c r="DK101" i="36"/>
  <c r="H203" i="2"/>
  <c r="BC59" i="31"/>
  <c r="BC53" i="31"/>
  <c r="BC47" i="31"/>
  <c r="BC35" i="31"/>
  <c r="BC29" i="31"/>
  <c r="DF49" i="35"/>
  <c r="DF43" i="35"/>
  <c r="DG43" i="35"/>
  <c r="DH43" i="35"/>
  <c r="DG37" i="35"/>
  <c r="DH37" i="35"/>
  <c r="DF37" i="35"/>
  <c r="DG31" i="35"/>
  <c r="DH31" i="35"/>
  <c r="DG25" i="35"/>
  <c r="DH25" i="35"/>
  <c r="DG19" i="35"/>
  <c r="DH19" i="35"/>
  <c r="DG13" i="35"/>
  <c r="DH13" i="35"/>
  <c r="DK33" i="36"/>
  <c r="DK23" i="36"/>
  <c r="O149" i="89" l="1"/>
  <c r="P149" i="89" s="1"/>
  <c r="Q149" i="89" s="1"/>
  <c r="R149" i="89" s="1"/>
  <c r="S149" i="89" s="1"/>
  <c r="T149" i="89" s="1"/>
  <c r="U149" i="89" s="1"/>
  <c r="V149" i="89" s="1"/>
  <c r="W149" i="89" s="1"/>
  <c r="N149" i="89"/>
  <c r="M149" i="89"/>
  <c r="L149" i="89"/>
  <c r="K149" i="89"/>
  <c r="J149" i="89"/>
  <c r="I149" i="89"/>
  <c r="H149" i="89"/>
  <c r="C131" i="89"/>
  <c r="B131" i="89"/>
  <c r="B132" i="89" s="1"/>
  <c r="C130" i="89"/>
  <c r="C129" i="89"/>
  <c r="C128" i="89"/>
  <c r="C127" i="89"/>
  <c r="C126" i="89"/>
  <c r="C125" i="89"/>
  <c r="C124" i="89"/>
  <c r="C123" i="89"/>
  <c r="C122" i="89"/>
  <c r="C121" i="89"/>
  <c r="C120" i="89"/>
  <c r="C119" i="89"/>
  <c r="C118" i="89"/>
  <c r="C117" i="89"/>
  <c r="C116" i="89"/>
  <c r="C115" i="89"/>
  <c r="C114" i="89"/>
  <c r="C113" i="89"/>
  <c r="P116" i="89"/>
  <c r="O116" i="89"/>
  <c r="N116" i="89"/>
  <c r="M116" i="89"/>
  <c r="L116" i="89"/>
  <c r="K116" i="89"/>
  <c r="J116" i="89"/>
  <c r="P115" i="89"/>
  <c r="O115" i="89"/>
  <c r="N115" i="89"/>
  <c r="M115" i="89"/>
  <c r="L115" i="89"/>
  <c r="K115" i="89"/>
  <c r="J115" i="89"/>
  <c r="P114" i="89"/>
  <c r="O114" i="89"/>
  <c r="N114" i="89"/>
  <c r="M114" i="89"/>
  <c r="L114" i="89"/>
  <c r="K114" i="89"/>
  <c r="J114" i="89"/>
  <c r="P113" i="89"/>
  <c r="O113" i="89"/>
  <c r="N113" i="89"/>
  <c r="M113" i="89"/>
  <c r="L113" i="89"/>
  <c r="K113" i="89"/>
  <c r="J113" i="89"/>
  <c r="P112" i="89"/>
  <c r="O112" i="89"/>
  <c r="N112" i="89"/>
  <c r="M112" i="89"/>
  <c r="L112" i="89"/>
  <c r="K112" i="89"/>
  <c r="J112" i="89"/>
  <c r="P82" i="89"/>
  <c r="O82" i="89"/>
  <c r="N82" i="89"/>
  <c r="O117" i="89" s="1"/>
  <c r="M82" i="89"/>
  <c r="N117" i="89" s="1"/>
  <c r="L82" i="89"/>
  <c r="K82" i="89"/>
  <c r="J82" i="89"/>
  <c r="K117" i="89" s="1"/>
  <c r="I82" i="89"/>
  <c r="I83" i="89" l="1"/>
  <c r="I84" i="89"/>
  <c r="L117" i="89"/>
  <c r="P117" i="89"/>
  <c r="K83" i="89"/>
  <c r="K84" i="89" s="1"/>
  <c r="O83" i="89"/>
  <c r="L83" i="89"/>
  <c r="J117" i="89"/>
  <c r="J118" i="89"/>
  <c r="P83" i="89"/>
  <c r="M117" i="89"/>
  <c r="C133" i="89"/>
  <c r="B133" i="89"/>
  <c r="Q82" i="89"/>
  <c r="M83" i="89"/>
  <c r="J83" i="89"/>
  <c r="N83" i="89"/>
  <c r="N84" i="89" s="1"/>
  <c r="C132" i="89"/>
  <c r="Q81" i="89"/>
  <c r="Q80" i="89"/>
  <c r="R80" i="89" s="1"/>
  <c r="Q79" i="89"/>
  <c r="R79" i="89" s="1"/>
  <c r="Q78" i="89"/>
  <c r="R78" i="89" s="1"/>
  <c r="Q77" i="89"/>
  <c r="R77" i="89" s="1"/>
  <c r="Q76" i="89"/>
  <c r="P72" i="89"/>
  <c r="O72" i="89"/>
  <c r="N72" i="89"/>
  <c r="M72" i="89"/>
  <c r="L72" i="89"/>
  <c r="K72" i="89"/>
  <c r="J72" i="89"/>
  <c r="I72" i="89"/>
  <c r="H72" i="89"/>
  <c r="I85" i="89" l="1"/>
  <c r="I86" i="89" s="1"/>
  <c r="I87" i="89" s="1"/>
  <c r="J119" i="89"/>
  <c r="J84" i="89"/>
  <c r="S77" i="89"/>
  <c r="S80" i="89"/>
  <c r="S78" i="89"/>
  <c r="K85" i="89"/>
  <c r="R76" i="89"/>
  <c r="M84" i="89"/>
  <c r="M85" i="89" s="1"/>
  <c r="P84" i="89"/>
  <c r="P85" i="89" s="1"/>
  <c r="K86" i="89"/>
  <c r="L84" i="89"/>
  <c r="B134" i="89"/>
  <c r="C134" i="89"/>
  <c r="Q83" i="89"/>
  <c r="O119" i="89"/>
  <c r="K118" i="89"/>
  <c r="P118" i="89"/>
  <c r="S79" i="89"/>
  <c r="N118" i="89"/>
  <c r="R82" i="89"/>
  <c r="L119" i="89"/>
  <c r="R81" i="89"/>
  <c r="N85" i="89"/>
  <c r="N119" i="89"/>
  <c r="M118" i="89"/>
  <c r="L118" i="89"/>
  <c r="O84" i="89"/>
  <c r="P119" i="89" s="1"/>
  <c r="O118" i="89"/>
  <c r="P66" i="89"/>
  <c r="O66" i="89"/>
  <c r="N66" i="89"/>
  <c r="M66" i="89"/>
  <c r="L66" i="89"/>
  <c r="K66" i="89"/>
  <c r="J66" i="89"/>
  <c r="I66" i="89"/>
  <c r="P63" i="89"/>
  <c r="O63" i="89"/>
  <c r="N63" i="89"/>
  <c r="M63" i="89"/>
  <c r="N64" i="89" s="1"/>
  <c r="L63" i="89"/>
  <c r="K63" i="89"/>
  <c r="J63" i="89"/>
  <c r="I63" i="89"/>
  <c r="J64" i="89" s="1"/>
  <c r="P64" i="89" l="1"/>
  <c r="K64" i="89"/>
  <c r="O64" i="89"/>
  <c r="J120" i="89"/>
  <c r="K119" i="89"/>
  <c r="M67" i="89"/>
  <c r="N86" i="89"/>
  <c r="N87" i="89" s="1"/>
  <c r="N88" i="89" s="1"/>
  <c r="J85" i="89"/>
  <c r="J86" i="89" s="1"/>
  <c r="M64" i="89"/>
  <c r="J67" i="89"/>
  <c r="K67" i="89"/>
  <c r="O67" i="89"/>
  <c r="L67" i="89"/>
  <c r="P67" i="89"/>
  <c r="N67" i="89"/>
  <c r="Q63" i="89"/>
  <c r="R63" i="89" s="1"/>
  <c r="S63" i="89" s="1"/>
  <c r="T63" i="89" s="1"/>
  <c r="U63" i="89" s="1"/>
  <c r="V63" i="89" s="1"/>
  <c r="W63" i="89" s="1"/>
  <c r="L64" i="89"/>
  <c r="T79" i="89"/>
  <c r="N120" i="89"/>
  <c r="Q84" i="89"/>
  <c r="M86" i="89"/>
  <c r="M87" i="89" s="1"/>
  <c r="T78" i="89"/>
  <c r="T80" i="89"/>
  <c r="R83" i="89"/>
  <c r="L120" i="89"/>
  <c r="S76" i="89"/>
  <c r="K120" i="89"/>
  <c r="C135" i="89"/>
  <c r="B135" i="89"/>
  <c r="L85" i="89"/>
  <c r="T77" i="89"/>
  <c r="O120" i="89"/>
  <c r="O85" i="89"/>
  <c r="O86" i="89" s="1"/>
  <c r="S81" i="89"/>
  <c r="S82" i="89"/>
  <c r="Q85" i="89"/>
  <c r="M119" i="89"/>
  <c r="I88" i="89"/>
  <c r="K87" i="89"/>
  <c r="K88" i="89" s="1"/>
  <c r="P86" i="89"/>
  <c r="P48" i="89"/>
  <c r="O48" i="89"/>
  <c r="N48" i="89"/>
  <c r="M48" i="89"/>
  <c r="L48" i="89"/>
  <c r="K48" i="89"/>
  <c r="J48" i="89"/>
  <c r="I48" i="89"/>
  <c r="S47" i="89"/>
  <c r="T47" i="89" s="1"/>
  <c r="U47" i="89" s="1"/>
  <c r="V47" i="89" s="1"/>
  <c r="W47" i="89" s="1"/>
  <c r="R47" i="89"/>
  <c r="Q47" i="89"/>
  <c r="R45" i="89"/>
  <c r="R117" i="89" s="1"/>
  <c r="Q45" i="89"/>
  <c r="Q119" i="89" s="1"/>
  <c r="Q7" i="89"/>
  <c r="R7" i="89" s="1"/>
  <c r="S7" i="89" s="1"/>
  <c r="T7" i="89" s="1"/>
  <c r="U7" i="89" s="1"/>
  <c r="V7" i="89" s="1"/>
  <c r="W7" i="89" s="1"/>
  <c r="O7" i="89"/>
  <c r="N7" i="89"/>
  <c r="M7" i="89" s="1"/>
  <c r="P5" i="89"/>
  <c r="O5" i="89"/>
  <c r="N5" i="89"/>
  <c r="H79" i="89"/>
  <c r="H196" i="89"/>
  <c r="O190" i="89"/>
  <c r="N190" i="89"/>
  <c r="H194" i="89"/>
  <c r="H78" i="89"/>
  <c r="H77" i="89"/>
  <c r="G56" i="89"/>
  <c r="P190" i="89"/>
  <c r="H68" i="89"/>
  <c r="I4" i="89"/>
  <c r="H76" i="89"/>
  <c r="H80" i="89"/>
  <c r="H195" i="89"/>
  <c r="H81" i="89"/>
  <c r="J87" i="89" l="1"/>
  <c r="J123" i="89" s="1"/>
  <c r="K121" i="89"/>
  <c r="J121" i="89"/>
  <c r="H117" i="89"/>
  <c r="I116" i="89"/>
  <c r="H116" i="89"/>
  <c r="I115" i="89"/>
  <c r="H115" i="89"/>
  <c r="I114" i="89"/>
  <c r="H114" i="89"/>
  <c r="I113" i="89"/>
  <c r="I112" i="89"/>
  <c r="H113" i="89"/>
  <c r="H112" i="89"/>
  <c r="H63" i="89"/>
  <c r="I64" i="89" s="1"/>
  <c r="H82" i="89"/>
  <c r="H66" i="89"/>
  <c r="I67" i="89" s="1"/>
  <c r="Q9" i="89"/>
  <c r="T9" i="89"/>
  <c r="L9" i="89"/>
  <c r="S9" i="89"/>
  <c r="P9" i="89"/>
  <c r="O9" i="89"/>
  <c r="W9" i="89"/>
  <c r="V9" i="89"/>
  <c r="R9" i="89"/>
  <c r="N9" i="89"/>
  <c r="U9" i="89"/>
  <c r="M9" i="89"/>
  <c r="L7" i="89"/>
  <c r="M5" i="89"/>
  <c r="O122" i="89"/>
  <c r="P121" i="89"/>
  <c r="N122" i="89"/>
  <c r="S45" i="89"/>
  <c r="K89" i="89"/>
  <c r="S118" i="89"/>
  <c r="T82" i="89"/>
  <c r="S117" i="89"/>
  <c r="T81" i="89"/>
  <c r="I89" i="89"/>
  <c r="I90" i="89" s="1"/>
  <c r="R112" i="89"/>
  <c r="N121" i="89"/>
  <c r="Q117" i="89"/>
  <c r="Q112" i="89"/>
  <c r="Q114" i="89"/>
  <c r="Q118" i="89"/>
  <c r="Q113" i="89"/>
  <c r="Q115" i="89"/>
  <c r="Q116" i="89"/>
  <c r="R118" i="89"/>
  <c r="O87" i="89"/>
  <c r="O123" i="89" s="1"/>
  <c r="U77" i="89"/>
  <c r="R119" i="89"/>
  <c r="S83" i="89"/>
  <c r="U80" i="89"/>
  <c r="U78" i="89"/>
  <c r="R84" i="89"/>
  <c r="Q120" i="89"/>
  <c r="L86" i="89"/>
  <c r="R113" i="89"/>
  <c r="R115" i="89"/>
  <c r="R116" i="89"/>
  <c r="R114" i="89"/>
  <c r="R85" i="89"/>
  <c r="Q121" i="89"/>
  <c r="O121" i="89"/>
  <c r="B136" i="89"/>
  <c r="C136" i="89"/>
  <c r="M120" i="89"/>
  <c r="P120" i="89"/>
  <c r="P122" i="89"/>
  <c r="Q86" i="89"/>
  <c r="P87" i="89"/>
  <c r="P88" i="89" s="1"/>
  <c r="K122" i="89"/>
  <c r="L121" i="89"/>
  <c r="N89" i="89"/>
  <c r="S112" i="89"/>
  <c r="T76" i="89"/>
  <c r="M88" i="89"/>
  <c r="U79" i="89"/>
  <c r="J122" i="89"/>
  <c r="J88" i="89"/>
  <c r="H4" i="89"/>
  <c r="M190" i="89"/>
  <c r="C4" i="89"/>
  <c r="L122" i="89" l="1"/>
  <c r="L87" i="89"/>
  <c r="M121" i="89"/>
  <c r="J124" i="89"/>
  <c r="J89" i="89"/>
  <c r="N123" i="89"/>
  <c r="Q87" i="89"/>
  <c r="O88" i="89"/>
  <c r="P123" i="89" s="1"/>
  <c r="R120" i="89"/>
  <c r="S84" i="89"/>
  <c r="V78" i="89"/>
  <c r="I91" i="89"/>
  <c r="T118" i="89"/>
  <c r="U82" i="89"/>
  <c r="S114" i="89"/>
  <c r="S116" i="89"/>
  <c r="S113" i="89"/>
  <c r="S115" i="89"/>
  <c r="T45" i="89"/>
  <c r="M187" i="89"/>
  <c r="M74" i="89"/>
  <c r="M110" i="89" s="1"/>
  <c r="M147" i="89" s="1"/>
  <c r="M8" i="89"/>
  <c r="R74" i="89"/>
  <c r="R110" i="89" s="1"/>
  <c r="R147" i="89" s="1"/>
  <c r="R8" i="89"/>
  <c r="P187" i="89"/>
  <c r="P74" i="89"/>
  <c r="P110" i="89" s="1"/>
  <c r="P147" i="89" s="1"/>
  <c r="P8" i="89"/>
  <c r="T112" i="89"/>
  <c r="U76" i="89"/>
  <c r="Q88" i="89"/>
  <c r="C137" i="89"/>
  <c r="B137" i="89"/>
  <c r="P89" i="89"/>
  <c r="P90" i="89" s="1"/>
  <c r="S119" i="89"/>
  <c r="T83" i="89"/>
  <c r="N90" i="89"/>
  <c r="V77" i="89"/>
  <c r="T117" i="89"/>
  <c r="U81" i="89"/>
  <c r="K90" i="89"/>
  <c r="K91" i="89"/>
  <c r="U74" i="89"/>
  <c r="U110" i="89" s="1"/>
  <c r="U147" i="89" s="1"/>
  <c r="U8" i="89"/>
  <c r="V74" i="89"/>
  <c r="V110" i="89" s="1"/>
  <c r="V147" i="89" s="1"/>
  <c r="V8" i="89"/>
  <c r="S74" i="89"/>
  <c r="S110" i="89" s="1"/>
  <c r="S147" i="89" s="1"/>
  <c r="S8" i="89"/>
  <c r="Q74" i="89"/>
  <c r="Q110" i="89" s="1"/>
  <c r="Q147" i="89" s="1"/>
  <c r="Q8" i="89"/>
  <c r="V80" i="89"/>
  <c r="W74" i="89"/>
  <c r="W110" i="89" s="1"/>
  <c r="W147" i="89" s="1"/>
  <c r="W8" i="89"/>
  <c r="L187" i="89"/>
  <c r="L74" i="89"/>
  <c r="L110" i="89" s="1"/>
  <c r="L147" i="89" s="1"/>
  <c r="L8" i="89"/>
  <c r="V79" i="89"/>
  <c r="R86" i="89"/>
  <c r="Q122" i="89"/>
  <c r="R121" i="89"/>
  <c r="S85" i="89"/>
  <c r="L88" i="89"/>
  <c r="L89" i="89" s="1"/>
  <c r="L125" i="89" s="1"/>
  <c r="N91" i="89"/>
  <c r="N92" i="89" s="1"/>
  <c r="M89" i="89"/>
  <c r="K123" i="89"/>
  <c r="K7" i="89"/>
  <c r="L5" i="89"/>
  <c r="N187" i="89"/>
  <c r="N74" i="89"/>
  <c r="N110" i="89" s="1"/>
  <c r="N147" i="89" s="1"/>
  <c r="N8" i="89"/>
  <c r="O187" i="89"/>
  <c r="O74" i="89"/>
  <c r="O110" i="89" s="1"/>
  <c r="O147" i="89" s="1"/>
  <c r="O8" i="89"/>
  <c r="T74" i="89"/>
  <c r="T110" i="89" s="1"/>
  <c r="T147" i="89" s="1"/>
  <c r="T8" i="89"/>
  <c r="H118" i="89"/>
  <c r="H83" i="89"/>
  <c r="H84" i="89" s="1"/>
  <c r="I117" i="89"/>
  <c r="L5" i="102"/>
  <c r="I5" i="102"/>
  <c r="H5" i="102"/>
  <c r="E5" i="102"/>
  <c r="D5" i="102"/>
  <c r="L4" i="102"/>
  <c r="K4" i="102"/>
  <c r="K5" i="102" s="1"/>
  <c r="J4" i="102"/>
  <c r="J5" i="102" s="1"/>
  <c r="I4" i="102"/>
  <c r="H4" i="102"/>
  <c r="G4" i="102"/>
  <c r="G5" i="102" s="1"/>
  <c r="F4" i="102"/>
  <c r="F5" i="102" s="1"/>
  <c r="E4" i="102"/>
  <c r="D4" i="102"/>
  <c r="C4" i="102"/>
  <c r="C5" i="102" s="1"/>
  <c r="M3" i="102"/>
  <c r="L3" i="102"/>
  <c r="K3" i="102"/>
  <c r="J3" i="102"/>
  <c r="I3" i="102"/>
  <c r="H3" i="102"/>
  <c r="G3" i="102"/>
  <c r="F3" i="102"/>
  <c r="E3" i="102"/>
  <c r="D3" i="102"/>
  <c r="C3" i="102"/>
  <c r="F202" i="2"/>
  <c r="F201" i="2"/>
  <c r="F200" i="2"/>
  <c r="D203" i="2"/>
  <c r="L203" i="2" s="1"/>
  <c r="D202" i="2"/>
  <c r="D201" i="2"/>
  <c r="L201" i="2" s="1"/>
  <c r="D200" i="2"/>
  <c r="AB202" i="2"/>
  <c r="AB201" i="2"/>
  <c r="AB200" i="2"/>
  <c r="V202" i="2"/>
  <c r="V201" i="2"/>
  <c r="V200" i="2"/>
  <c r="H202" i="2"/>
  <c r="H201" i="2"/>
  <c r="T201" i="2" s="1"/>
  <c r="H200" i="2"/>
  <c r="J200" i="2" s="1"/>
  <c r="T200" i="2"/>
  <c r="F196" i="2"/>
  <c r="R196" i="2" s="1"/>
  <c r="F195" i="2"/>
  <c r="F194" i="2"/>
  <c r="F193" i="2"/>
  <c r="F197" i="2" s="1"/>
  <c r="D196" i="2"/>
  <c r="D195" i="2"/>
  <c r="L202" i="2" s="1"/>
  <c r="D194" i="2"/>
  <c r="L194" i="2" s="1"/>
  <c r="D193" i="2"/>
  <c r="L193" i="2" s="1"/>
  <c r="AB196" i="2"/>
  <c r="AB195" i="2"/>
  <c r="AB194" i="2"/>
  <c r="AB193" i="2"/>
  <c r="V196" i="2"/>
  <c r="V195" i="2"/>
  <c r="V194" i="2"/>
  <c r="V193" i="2"/>
  <c r="H196" i="2"/>
  <c r="AD196" i="2" s="1"/>
  <c r="H195" i="2"/>
  <c r="J196" i="2" s="1"/>
  <c r="AH196" i="2" s="1"/>
  <c r="H194" i="2"/>
  <c r="J195" i="2" s="1"/>
  <c r="H193" i="2"/>
  <c r="J194" i="2" s="1"/>
  <c r="AH194" i="2" s="1"/>
  <c r="T195" i="2"/>
  <c r="T194" i="2"/>
  <c r="T193" i="2"/>
  <c r="F189" i="2"/>
  <c r="F188" i="2"/>
  <c r="R188" i="2" s="1"/>
  <c r="F187" i="2"/>
  <c r="F186" i="2"/>
  <c r="D189" i="2"/>
  <c r="L196" i="2" s="1"/>
  <c r="D188" i="2"/>
  <c r="L188" i="2" s="1"/>
  <c r="D187" i="2"/>
  <c r="L187" i="2" s="1"/>
  <c r="D186" i="2"/>
  <c r="D190" i="2" s="1"/>
  <c r="AB189" i="2"/>
  <c r="AB188" i="2"/>
  <c r="AB187" i="2"/>
  <c r="AB186" i="2"/>
  <c r="V189" i="2"/>
  <c r="V188" i="2"/>
  <c r="V187" i="2"/>
  <c r="V186" i="2"/>
  <c r="H189" i="2"/>
  <c r="AD189" i="2" s="1"/>
  <c r="AF189" i="2" s="1"/>
  <c r="H188" i="2"/>
  <c r="J189" i="2" s="1"/>
  <c r="H187" i="2"/>
  <c r="J188" i="2" s="1"/>
  <c r="AH188" i="2" s="1"/>
  <c r="H186" i="2"/>
  <c r="T186" i="2" s="1"/>
  <c r="T188" i="2"/>
  <c r="T187" i="2"/>
  <c r="F182" i="2"/>
  <c r="F181" i="2"/>
  <c r="F180" i="2"/>
  <c r="R180" i="2" s="1"/>
  <c r="F179" i="2"/>
  <c r="F183" i="2" s="1"/>
  <c r="D182" i="2"/>
  <c r="L182" i="2" s="1"/>
  <c r="D181" i="2"/>
  <c r="L181" i="2" s="1"/>
  <c r="D180" i="2"/>
  <c r="D179" i="2"/>
  <c r="L186" i="2" s="1"/>
  <c r="AB182" i="2"/>
  <c r="AB181" i="2"/>
  <c r="AB180" i="2"/>
  <c r="AB179" i="2"/>
  <c r="V182" i="2"/>
  <c r="V181" i="2"/>
  <c r="V180" i="2"/>
  <c r="V179" i="2"/>
  <c r="H182" i="2"/>
  <c r="AD182" i="2" s="1"/>
  <c r="H181" i="2"/>
  <c r="J182" i="2" s="1"/>
  <c r="AH182" i="2" s="1"/>
  <c r="H180" i="2"/>
  <c r="T180" i="2" s="1"/>
  <c r="H179" i="2"/>
  <c r="J180" i="2" s="1"/>
  <c r="AH180" i="2" s="1"/>
  <c r="T181" i="2"/>
  <c r="T179" i="2"/>
  <c r="F175" i="2"/>
  <c r="F174" i="2"/>
  <c r="F173" i="2"/>
  <c r="F172" i="2"/>
  <c r="F176" i="2" s="1"/>
  <c r="D175" i="2"/>
  <c r="D174" i="2"/>
  <c r="D173" i="2"/>
  <c r="L180" i="2" s="1"/>
  <c r="D172" i="2"/>
  <c r="D176" i="2" s="1"/>
  <c r="AB175" i="2"/>
  <c r="AB174" i="2"/>
  <c r="AB173" i="2"/>
  <c r="AB172" i="2"/>
  <c r="V175" i="2"/>
  <c r="V174" i="2"/>
  <c r="V173" i="2"/>
  <c r="V172" i="2"/>
  <c r="P174" i="2"/>
  <c r="H175" i="2"/>
  <c r="AD175" i="2" s="1"/>
  <c r="H174" i="2"/>
  <c r="H173" i="2"/>
  <c r="H172" i="2"/>
  <c r="P173" i="2" s="1"/>
  <c r="T174" i="2"/>
  <c r="T173" i="2"/>
  <c r="F168" i="2"/>
  <c r="F167" i="2"/>
  <c r="R167" i="2" s="1"/>
  <c r="F166" i="2"/>
  <c r="F165" i="2"/>
  <c r="F169" i="2" s="1"/>
  <c r="D168" i="2"/>
  <c r="D167" i="2"/>
  <c r="L174" i="2" s="1"/>
  <c r="D166" i="2"/>
  <c r="D165" i="2"/>
  <c r="AB168" i="2"/>
  <c r="AB167" i="2"/>
  <c r="AB166" i="2"/>
  <c r="AB165" i="2"/>
  <c r="V168" i="2"/>
  <c r="V167" i="2"/>
  <c r="V166" i="2"/>
  <c r="V165" i="2"/>
  <c r="H168" i="2"/>
  <c r="AD168" i="2" s="1"/>
  <c r="AF168" i="2" s="1"/>
  <c r="H167" i="2"/>
  <c r="J168" i="2" s="1"/>
  <c r="H166" i="2"/>
  <c r="J167" i="2" s="1"/>
  <c r="AH167" i="2" s="1"/>
  <c r="H165" i="2"/>
  <c r="X165" i="2" s="1"/>
  <c r="T167" i="2"/>
  <c r="F161" i="2"/>
  <c r="F160" i="2"/>
  <c r="T159" i="2" s="1"/>
  <c r="F159" i="2"/>
  <c r="F158" i="2"/>
  <c r="D161" i="2"/>
  <c r="L161" i="2" s="1"/>
  <c r="D160" i="2"/>
  <c r="D159" i="2"/>
  <c r="L166" i="2" s="1"/>
  <c r="D158" i="2"/>
  <c r="AB161" i="2"/>
  <c r="AB160" i="2"/>
  <c r="AB159" i="2"/>
  <c r="AB158" i="2"/>
  <c r="AD158" i="2" s="1"/>
  <c r="V161" i="2"/>
  <c r="V160" i="2"/>
  <c r="V159" i="2"/>
  <c r="V158" i="2"/>
  <c r="X158" i="2" s="1"/>
  <c r="H161" i="2"/>
  <c r="AD161" i="2" s="1"/>
  <c r="H160" i="2"/>
  <c r="J161" i="2" s="1"/>
  <c r="AH161" i="2" s="1"/>
  <c r="H159" i="2"/>
  <c r="N159" i="2" s="1"/>
  <c r="H158" i="2"/>
  <c r="L154" i="2"/>
  <c r="L153" i="2"/>
  <c r="F155" i="2"/>
  <c r="F154" i="2"/>
  <c r="F153" i="2"/>
  <c r="F152" i="2"/>
  <c r="F151" i="2"/>
  <c r="D155" i="2"/>
  <c r="D154" i="2"/>
  <c r="D153" i="2"/>
  <c r="L160" i="2" s="1"/>
  <c r="D152" i="2"/>
  <c r="L159" i="2" s="1"/>
  <c r="D151" i="2"/>
  <c r="AD154" i="2"/>
  <c r="AD153" i="2"/>
  <c r="AF153" i="2" s="1"/>
  <c r="AB154" i="2"/>
  <c r="AB153" i="2"/>
  <c r="AB152" i="2"/>
  <c r="AB151" i="2"/>
  <c r="X154" i="2"/>
  <c r="X153" i="2"/>
  <c r="V154" i="2"/>
  <c r="V153" i="2"/>
  <c r="V152" i="2"/>
  <c r="V151" i="2"/>
  <c r="V150" i="2"/>
  <c r="H154" i="2"/>
  <c r="P158" i="2" s="1"/>
  <c r="H153" i="2"/>
  <c r="T153" i="2" s="1"/>
  <c r="H152" i="2"/>
  <c r="T152" i="2" s="1"/>
  <c r="H151" i="2"/>
  <c r="P151" i="2" s="1"/>
  <c r="F148" i="2"/>
  <c r="F147" i="2"/>
  <c r="F146" i="2"/>
  <c r="F145" i="2"/>
  <c r="T144" i="2" s="1"/>
  <c r="F144" i="2"/>
  <c r="D148" i="2"/>
  <c r="D147" i="2"/>
  <c r="D146" i="2"/>
  <c r="D145" i="2"/>
  <c r="L145" i="2" s="1"/>
  <c r="D144" i="2"/>
  <c r="AD146" i="2"/>
  <c r="AB147" i="2"/>
  <c r="AB146" i="2"/>
  <c r="AB145" i="2"/>
  <c r="AD145" i="2" s="1"/>
  <c r="AB144" i="2"/>
  <c r="V147" i="2"/>
  <c r="V146" i="2"/>
  <c r="V145" i="2"/>
  <c r="V144" i="2"/>
  <c r="T147" i="2"/>
  <c r="T146" i="2"/>
  <c r="T145" i="2"/>
  <c r="P146" i="2"/>
  <c r="P145" i="2"/>
  <c r="N145" i="2"/>
  <c r="H147" i="2"/>
  <c r="J147" i="2" s="1"/>
  <c r="AH147" i="2" s="1"/>
  <c r="H146" i="2"/>
  <c r="J146" i="2" s="1"/>
  <c r="H145" i="2"/>
  <c r="X145" i="2" s="1"/>
  <c r="Z145" i="2" s="1"/>
  <c r="H144" i="2"/>
  <c r="J145" i="2" s="1"/>
  <c r="R145" i="2" s="1"/>
  <c r="L138" i="2"/>
  <c r="J139" i="2"/>
  <c r="F140" i="2"/>
  <c r="T139" i="2" s="1"/>
  <c r="F139" i="2"/>
  <c r="R139" i="2" s="1"/>
  <c r="F138" i="2"/>
  <c r="F137" i="2"/>
  <c r="D140" i="2"/>
  <c r="L147" i="2" s="1"/>
  <c r="D139" i="2"/>
  <c r="D138" i="2"/>
  <c r="D137" i="2"/>
  <c r="D141" i="2" s="1"/>
  <c r="AB140" i="2"/>
  <c r="AB139" i="2"/>
  <c r="AB138" i="2"/>
  <c r="AD138" i="2" s="1"/>
  <c r="AB137" i="2"/>
  <c r="V140" i="2"/>
  <c r="V139" i="2"/>
  <c r="V138" i="2"/>
  <c r="X138" i="2" s="1"/>
  <c r="V137" i="2"/>
  <c r="T140" i="2"/>
  <c r="T138" i="2"/>
  <c r="H140" i="2"/>
  <c r="X140" i="2" s="1"/>
  <c r="H139" i="2"/>
  <c r="H138" i="2"/>
  <c r="N138" i="2" s="1"/>
  <c r="H137" i="2"/>
  <c r="P138" i="2" s="1"/>
  <c r="L133" i="2"/>
  <c r="L132" i="2"/>
  <c r="J132" i="2"/>
  <c r="R132" i="2" s="1"/>
  <c r="F133" i="2"/>
  <c r="F132" i="2"/>
  <c r="F131" i="2"/>
  <c r="F130" i="2"/>
  <c r="D133" i="2"/>
  <c r="D132" i="2"/>
  <c r="D131" i="2"/>
  <c r="D130" i="2"/>
  <c r="AB133" i="2"/>
  <c r="AB132" i="2"/>
  <c r="AB131" i="2"/>
  <c r="AB130" i="2"/>
  <c r="AD130" i="2" s="1"/>
  <c r="V133" i="2"/>
  <c r="V132" i="2"/>
  <c r="V131" i="2"/>
  <c r="V130" i="2"/>
  <c r="X130" i="2" s="1"/>
  <c r="P130" i="2"/>
  <c r="H133" i="2"/>
  <c r="AD133" i="2" s="1"/>
  <c r="H132" i="2"/>
  <c r="AD132" i="2" s="1"/>
  <c r="H131" i="2"/>
  <c r="AD131" i="2" s="1"/>
  <c r="H130" i="2"/>
  <c r="J125" i="2"/>
  <c r="F126" i="2"/>
  <c r="T125" i="2" s="1"/>
  <c r="F125" i="2"/>
  <c r="F124" i="2"/>
  <c r="F123" i="2"/>
  <c r="T119" i="2" s="1"/>
  <c r="D126" i="2"/>
  <c r="D125" i="2"/>
  <c r="D124" i="2"/>
  <c r="L131" i="2" s="1"/>
  <c r="D123" i="2"/>
  <c r="L123" i="2" s="1"/>
  <c r="AH125" i="2"/>
  <c r="AD125" i="2"/>
  <c r="AF125" i="2" s="1"/>
  <c r="AB126" i="2"/>
  <c r="AB125" i="2"/>
  <c r="AB124" i="2"/>
  <c r="AD124" i="2" s="1"/>
  <c r="AB123" i="2"/>
  <c r="X125" i="2"/>
  <c r="V126" i="2"/>
  <c r="V125" i="2"/>
  <c r="V124" i="2"/>
  <c r="X124" i="2" s="1"/>
  <c r="V123" i="2"/>
  <c r="T124" i="2"/>
  <c r="P125" i="2"/>
  <c r="P124" i="2"/>
  <c r="H126" i="2"/>
  <c r="AD126" i="2" s="1"/>
  <c r="H125" i="2"/>
  <c r="J126" i="2" s="1"/>
  <c r="AH126" i="2" s="1"/>
  <c r="H124" i="2"/>
  <c r="H123" i="2"/>
  <c r="J124" i="2" s="1"/>
  <c r="AH124" i="2" s="1"/>
  <c r="L119" i="2"/>
  <c r="F119" i="2"/>
  <c r="F118" i="2"/>
  <c r="R118" i="2" s="1"/>
  <c r="F117" i="2"/>
  <c r="T116" i="2" s="1"/>
  <c r="F116" i="2"/>
  <c r="D119" i="2"/>
  <c r="D118" i="2"/>
  <c r="L125" i="2" s="1"/>
  <c r="D117" i="2"/>
  <c r="D116" i="2"/>
  <c r="AB119" i="2"/>
  <c r="AB118" i="2"/>
  <c r="AB117" i="2"/>
  <c r="AB116" i="2"/>
  <c r="AD116" i="2" s="1"/>
  <c r="V119" i="2"/>
  <c r="V118" i="2"/>
  <c r="V117" i="2"/>
  <c r="V116" i="2"/>
  <c r="X116" i="2" s="1"/>
  <c r="P116" i="2"/>
  <c r="H119" i="2"/>
  <c r="J119" i="2" s="1"/>
  <c r="AH119" i="2" s="1"/>
  <c r="H118" i="2"/>
  <c r="AD118" i="2" s="1"/>
  <c r="H117" i="2"/>
  <c r="J118" i="2" s="1"/>
  <c r="AH118" i="2" s="1"/>
  <c r="H116" i="2"/>
  <c r="J116" i="2" s="1"/>
  <c r="J109" i="2"/>
  <c r="F112" i="2"/>
  <c r="T111" i="2" s="1"/>
  <c r="F111" i="2"/>
  <c r="F110" i="2"/>
  <c r="R110" i="2" s="1"/>
  <c r="F109" i="2"/>
  <c r="R109" i="2" s="1"/>
  <c r="D112" i="2"/>
  <c r="D111" i="2"/>
  <c r="L111" i="2" s="1"/>
  <c r="D110" i="2"/>
  <c r="D109" i="2"/>
  <c r="L116" i="2" s="1"/>
  <c r="AH109" i="2"/>
  <c r="AD112" i="2"/>
  <c r="AF112" i="2" s="1"/>
  <c r="AB112" i="2"/>
  <c r="AB111" i="2"/>
  <c r="AB110" i="2"/>
  <c r="AB109" i="2"/>
  <c r="V112" i="2"/>
  <c r="V111" i="2"/>
  <c r="V110" i="2"/>
  <c r="V109" i="2"/>
  <c r="X109" i="2" s="1"/>
  <c r="T112" i="2"/>
  <c r="T109" i="2"/>
  <c r="P112" i="2"/>
  <c r="N112" i="2"/>
  <c r="N111" i="2"/>
  <c r="H112" i="2"/>
  <c r="X112" i="2" s="1"/>
  <c r="H111" i="2"/>
  <c r="X111" i="2" s="1"/>
  <c r="Z111" i="2" s="1"/>
  <c r="H110" i="2"/>
  <c r="AD110" i="2" s="1"/>
  <c r="H109" i="2"/>
  <c r="J110" i="2" s="1"/>
  <c r="L102" i="2"/>
  <c r="F105" i="2"/>
  <c r="F104" i="2"/>
  <c r="F103" i="2"/>
  <c r="F102" i="2"/>
  <c r="D105" i="2"/>
  <c r="D104" i="2"/>
  <c r="D103" i="2"/>
  <c r="L103" i="2" s="1"/>
  <c r="D102" i="2"/>
  <c r="D106" i="2" s="1"/>
  <c r="AD105" i="2"/>
  <c r="AB105" i="2"/>
  <c r="AB104" i="2"/>
  <c r="AB103" i="2"/>
  <c r="AB102" i="2"/>
  <c r="X103" i="2"/>
  <c r="V105" i="2"/>
  <c r="V104" i="2"/>
  <c r="V103" i="2"/>
  <c r="V102" i="2"/>
  <c r="P105" i="2"/>
  <c r="N105" i="2"/>
  <c r="N104" i="2"/>
  <c r="H105" i="2"/>
  <c r="X105" i="2" s="1"/>
  <c r="H104" i="2"/>
  <c r="X104" i="2" s="1"/>
  <c r="H103" i="2"/>
  <c r="H102" i="2"/>
  <c r="J102" i="2" s="1"/>
  <c r="L95" i="2"/>
  <c r="J95" i="2"/>
  <c r="R95" i="2" s="1"/>
  <c r="F98" i="2"/>
  <c r="F97" i="2"/>
  <c r="F96" i="2"/>
  <c r="F95" i="2"/>
  <c r="F99" i="2" s="1"/>
  <c r="D98" i="2"/>
  <c r="L98" i="2" s="1"/>
  <c r="D97" i="2"/>
  <c r="D96" i="2"/>
  <c r="D95" i="2"/>
  <c r="D99" i="2" s="1"/>
  <c r="AJ97" i="2"/>
  <c r="AJ96" i="2"/>
  <c r="AD97" i="2"/>
  <c r="AB98" i="2"/>
  <c r="AB97" i="2"/>
  <c r="AB96" i="2"/>
  <c r="AB95" i="2"/>
  <c r="V98" i="2"/>
  <c r="V97" i="2"/>
  <c r="V96" i="2"/>
  <c r="V95" i="2"/>
  <c r="X95" i="2" s="1"/>
  <c r="T95" i="2"/>
  <c r="N97" i="2"/>
  <c r="N96" i="2"/>
  <c r="H98" i="2"/>
  <c r="H97" i="2"/>
  <c r="H96" i="2"/>
  <c r="H95" i="2"/>
  <c r="AJ95" i="2" s="1"/>
  <c r="F91" i="2"/>
  <c r="F90" i="2"/>
  <c r="F89" i="2"/>
  <c r="F88" i="2"/>
  <c r="D91" i="2"/>
  <c r="L91" i="2" s="1"/>
  <c r="D90" i="2"/>
  <c r="L90" i="2" s="1"/>
  <c r="D89" i="2"/>
  <c r="D88" i="2"/>
  <c r="D92" i="2" s="1"/>
  <c r="AD91" i="2"/>
  <c r="AF91" i="2" s="1"/>
  <c r="AD89" i="2"/>
  <c r="AB91" i="2"/>
  <c r="AB90" i="2"/>
  <c r="AB89" i="2"/>
  <c r="AB88" i="2"/>
  <c r="V91" i="2"/>
  <c r="V90" i="2"/>
  <c r="V89" i="2"/>
  <c r="V88" i="2"/>
  <c r="T91" i="2"/>
  <c r="P91" i="2"/>
  <c r="H91" i="2"/>
  <c r="J91" i="2" s="1"/>
  <c r="H90" i="2"/>
  <c r="AJ90" i="2" s="1"/>
  <c r="H89" i="2"/>
  <c r="P89" i="2" s="1"/>
  <c r="H88" i="2"/>
  <c r="L84" i="2"/>
  <c r="L83" i="2"/>
  <c r="F84" i="2"/>
  <c r="F83" i="2"/>
  <c r="F82" i="2"/>
  <c r="F81" i="2"/>
  <c r="D84" i="2"/>
  <c r="D83" i="2"/>
  <c r="D82" i="2"/>
  <c r="D81" i="2"/>
  <c r="AB84" i="2"/>
  <c r="AB83" i="2"/>
  <c r="AB82" i="2"/>
  <c r="AB81" i="2"/>
  <c r="AD81" i="2" s="1"/>
  <c r="X82" i="2"/>
  <c r="V84" i="2"/>
  <c r="V83" i="2"/>
  <c r="V82" i="2"/>
  <c r="V81" i="2"/>
  <c r="X81" i="2" s="1"/>
  <c r="T82" i="2"/>
  <c r="H84" i="2"/>
  <c r="AD84" i="2" s="1"/>
  <c r="H83" i="2"/>
  <c r="X83" i="2" s="1"/>
  <c r="H82" i="2"/>
  <c r="AJ82" i="2" s="1"/>
  <c r="H81" i="2"/>
  <c r="L74" i="2"/>
  <c r="F77" i="2"/>
  <c r="F76" i="2"/>
  <c r="F75" i="2"/>
  <c r="F74" i="2"/>
  <c r="D77" i="2"/>
  <c r="D76" i="2"/>
  <c r="D75" i="2"/>
  <c r="L75" i="2" s="1"/>
  <c r="D74" i="2"/>
  <c r="D78" i="2" s="1"/>
  <c r="AB77" i="2"/>
  <c r="AD77" i="2" s="1"/>
  <c r="AF77" i="2" s="1"/>
  <c r="AB76" i="2"/>
  <c r="AB75" i="2"/>
  <c r="AB74" i="2"/>
  <c r="V77" i="2"/>
  <c r="V76" i="2"/>
  <c r="V75" i="2"/>
  <c r="V74" i="2"/>
  <c r="T75" i="2"/>
  <c r="N77" i="2"/>
  <c r="H77" i="2"/>
  <c r="X77" i="2" s="1"/>
  <c r="H76" i="2"/>
  <c r="X76" i="2" s="1"/>
  <c r="H75" i="2"/>
  <c r="J75" i="2" s="1"/>
  <c r="R75" i="2" s="1"/>
  <c r="H74" i="2"/>
  <c r="J74" i="2" s="1"/>
  <c r="A76" i="2"/>
  <c r="R70" i="2"/>
  <c r="L68" i="2"/>
  <c r="L67" i="2"/>
  <c r="F70" i="2"/>
  <c r="F69" i="2"/>
  <c r="F68" i="2"/>
  <c r="T67" i="2" s="1"/>
  <c r="F67" i="2"/>
  <c r="D70" i="2"/>
  <c r="L70" i="2" s="1"/>
  <c r="D69" i="2"/>
  <c r="L76" i="2" s="1"/>
  <c r="D68" i="2"/>
  <c r="D67" i="2"/>
  <c r="D71" i="2" s="1"/>
  <c r="AB70" i="2"/>
  <c r="AB69" i="2"/>
  <c r="AD69" i="2" s="1"/>
  <c r="AF69" i="2" s="1"/>
  <c r="AB68" i="2"/>
  <c r="AD68" i="2" s="1"/>
  <c r="AB67" i="2"/>
  <c r="V70" i="2"/>
  <c r="V69" i="2"/>
  <c r="X69" i="2" s="1"/>
  <c r="V68" i="2"/>
  <c r="V67" i="2"/>
  <c r="T69" i="2"/>
  <c r="T68" i="2"/>
  <c r="H70" i="2"/>
  <c r="AD70" i="2" s="1"/>
  <c r="H69" i="2"/>
  <c r="J70" i="2" s="1"/>
  <c r="H68" i="2"/>
  <c r="J69" i="2" s="1"/>
  <c r="R69" i="2" s="1"/>
  <c r="H67" i="2"/>
  <c r="X67" i="2" s="1"/>
  <c r="A69" i="2"/>
  <c r="J63" i="2"/>
  <c r="R63" i="2" s="1"/>
  <c r="F63" i="2"/>
  <c r="F62" i="2"/>
  <c r="R62" i="2" s="1"/>
  <c r="F61" i="2"/>
  <c r="F60" i="2"/>
  <c r="T56" i="2" s="1"/>
  <c r="D63" i="2"/>
  <c r="L63" i="2" s="1"/>
  <c r="D62" i="2"/>
  <c r="L62" i="2" s="1"/>
  <c r="D61" i="2"/>
  <c r="D60" i="2"/>
  <c r="AD63" i="2"/>
  <c r="AF63" i="2" s="1"/>
  <c r="AB63" i="2"/>
  <c r="AB62" i="2"/>
  <c r="AB61" i="2"/>
  <c r="AB60" i="2"/>
  <c r="V63" i="2"/>
  <c r="V62" i="2"/>
  <c r="V61" i="2"/>
  <c r="V60" i="2"/>
  <c r="X60" i="2" s="1"/>
  <c r="T63" i="2"/>
  <c r="P63" i="2"/>
  <c r="H63" i="2"/>
  <c r="X63" i="2" s="1"/>
  <c r="H62" i="2"/>
  <c r="AD62" i="2" s="1"/>
  <c r="H61" i="2"/>
  <c r="J62" i="2" s="1"/>
  <c r="H60" i="2"/>
  <c r="T60" i="2" s="1"/>
  <c r="L56" i="2"/>
  <c r="J53" i="2"/>
  <c r="F56" i="2"/>
  <c r="F55" i="2"/>
  <c r="F54" i="2"/>
  <c r="R54" i="2" s="1"/>
  <c r="F53" i="2"/>
  <c r="T49" i="2" s="1"/>
  <c r="D56" i="2"/>
  <c r="D55" i="2"/>
  <c r="L55" i="2" s="1"/>
  <c r="D54" i="2"/>
  <c r="L54" i="2" s="1"/>
  <c r="D53" i="2"/>
  <c r="L53" i="2" s="1"/>
  <c r="B55" i="2"/>
  <c r="AB56" i="2"/>
  <c r="AD56" i="2" s="1"/>
  <c r="AB55" i="2"/>
  <c r="AB54" i="2"/>
  <c r="AB53" i="2"/>
  <c r="AD53" i="2" s="1"/>
  <c r="V56" i="2"/>
  <c r="V55" i="2"/>
  <c r="V54" i="2"/>
  <c r="V53" i="2"/>
  <c r="X53" i="2" s="1"/>
  <c r="T53" i="2"/>
  <c r="H56" i="2"/>
  <c r="N63" i="2" s="1"/>
  <c r="H55" i="2"/>
  <c r="X55" i="2" s="1"/>
  <c r="H54" i="2"/>
  <c r="AD54" i="2" s="1"/>
  <c r="H53" i="2"/>
  <c r="J54" i="2" s="1"/>
  <c r="A55" i="2"/>
  <c r="L47" i="2"/>
  <c r="L46" i="2"/>
  <c r="J47" i="2"/>
  <c r="R47" i="2" s="1"/>
  <c r="F49" i="2"/>
  <c r="F48" i="2"/>
  <c r="F47" i="2"/>
  <c r="F46" i="2"/>
  <c r="T42" i="2" s="1"/>
  <c r="D49" i="2"/>
  <c r="D48" i="2"/>
  <c r="D47" i="2"/>
  <c r="D46" i="2"/>
  <c r="D50" i="2" s="1"/>
  <c r="B48" i="2"/>
  <c r="AD47" i="2"/>
  <c r="AB49" i="2"/>
  <c r="AB48" i="2"/>
  <c r="AB47" i="2"/>
  <c r="AB46" i="2"/>
  <c r="V49" i="2"/>
  <c r="V48" i="2"/>
  <c r="V47" i="2"/>
  <c r="V46" i="2"/>
  <c r="T48" i="2"/>
  <c r="T47" i="2"/>
  <c r="P47" i="2"/>
  <c r="H49" i="2"/>
  <c r="P53" i="2" s="1"/>
  <c r="H48" i="2"/>
  <c r="J48" i="2" s="1"/>
  <c r="H47" i="2"/>
  <c r="X47" i="2" s="1"/>
  <c r="H46" i="2"/>
  <c r="J46" i="2" s="1"/>
  <c r="A48" i="2"/>
  <c r="R42" i="2"/>
  <c r="L40" i="2"/>
  <c r="F42" i="2"/>
  <c r="F41" i="2"/>
  <c r="F40" i="2"/>
  <c r="F39" i="2"/>
  <c r="D42" i="2"/>
  <c r="L42" i="2" s="1"/>
  <c r="D41" i="2"/>
  <c r="L41" i="2" s="1"/>
  <c r="D40" i="2"/>
  <c r="D39" i="2"/>
  <c r="D43" i="2" s="1"/>
  <c r="AB42" i="2"/>
  <c r="AB41" i="2"/>
  <c r="AD41" i="2" s="1"/>
  <c r="AB40" i="2"/>
  <c r="AB39" i="2"/>
  <c r="V42" i="2"/>
  <c r="V41" i="2"/>
  <c r="V40" i="2"/>
  <c r="V39" i="2"/>
  <c r="T41" i="2"/>
  <c r="H42" i="2"/>
  <c r="AD42" i="2" s="1"/>
  <c r="H41" i="2"/>
  <c r="J42" i="2" s="1"/>
  <c r="H40" i="2"/>
  <c r="N47" i="2" s="1"/>
  <c r="H39" i="2"/>
  <c r="X39" i="2" s="1"/>
  <c r="L33" i="2"/>
  <c r="F35" i="2"/>
  <c r="F34" i="2"/>
  <c r="F33" i="2"/>
  <c r="F32" i="2"/>
  <c r="F36" i="2" s="1"/>
  <c r="D35" i="2"/>
  <c r="L35" i="2" s="1"/>
  <c r="D34" i="2"/>
  <c r="D33" i="2"/>
  <c r="D32" i="2"/>
  <c r="D36" i="2" s="1"/>
  <c r="B34" i="2"/>
  <c r="AB35" i="2"/>
  <c r="AB34" i="2"/>
  <c r="AB33" i="2"/>
  <c r="AB32" i="2"/>
  <c r="V35" i="2"/>
  <c r="V34" i="2"/>
  <c r="V33" i="2"/>
  <c r="V32" i="2"/>
  <c r="H35" i="2"/>
  <c r="AD35" i="2" s="1"/>
  <c r="H34" i="2"/>
  <c r="J35" i="2" s="1"/>
  <c r="H33" i="2"/>
  <c r="J34" i="2" s="1"/>
  <c r="H32" i="2"/>
  <c r="J32" i="2" s="1"/>
  <c r="A34" i="2"/>
  <c r="L25" i="2"/>
  <c r="F28" i="2"/>
  <c r="F27" i="2"/>
  <c r="F26" i="2"/>
  <c r="F25" i="2"/>
  <c r="F29" i="2" s="1"/>
  <c r="D28" i="2"/>
  <c r="L28" i="2" s="1"/>
  <c r="D27" i="2"/>
  <c r="L34" i="2" s="1"/>
  <c r="D26" i="2"/>
  <c r="D25" i="2"/>
  <c r="D29" i="2" s="1"/>
  <c r="AB28" i="2"/>
  <c r="AB27" i="2"/>
  <c r="AB26" i="2"/>
  <c r="AB25" i="2"/>
  <c r="V28" i="2"/>
  <c r="V27" i="2"/>
  <c r="V26" i="2"/>
  <c r="V25" i="2"/>
  <c r="H28" i="2"/>
  <c r="AD28" i="2" s="1"/>
  <c r="H27" i="2"/>
  <c r="AD27" i="2" s="1"/>
  <c r="AF27" i="2" s="1"/>
  <c r="H26" i="2"/>
  <c r="J27" i="2" s="1"/>
  <c r="H25" i="2"/>
  <c r="A27" i="2"/>
  <c r="A26" i="2"/>
  <c r="F21" i="2"/>
  <c r="F20" i="2"/>
  <c r="F19" i="2"/>
  <c r="F18" i="2"/>
  <c r="D21" i="2"/>
  <c r="D20" i="2"/>
  <c r="L20" i="2" s="1"/>
  <c r="D19" i="2"/>
  <c r="D18" i="2"/>
  <c r="B20" i="2"/>
  <c r="B17" i="2"/>
  <c r="B24" i="2" s="1"/>
  <c r="B31" i="2" s="1"/>
  <c r="B38" i="2" s="1"/>
  <c r="B45" i="2" s="1"/>
  <c r="B52" i="2" s="1"/>
  <c r="B59" i="2" s="1"/>
  <c r="B66" i="2" s="1"/>
  <c r="B73" i="2" s="1"/>
  <c r="B80" i="2" s="1"/>
  <c r="B87" i="2" s="1"/>
  <c r="B94" i="2" s="1"/>
  <c r="B101" i="2" s="1"/>
  <c r="B108" i="2" s="1"/>
  <c r="B115" i="2" s="1"/>
  <c r="AB21" i="2"/>
  <c r="AB20" i="2"/>
  <c r="AB19" i="2"/>
  <c r="AB18" i="2"/>
  <c r="V21" i="2"/>
  <c r="V20" i="2"/>
  <c r="V19" i="2"/>
  <c r="V18" i="2"/>
  <c r="H21" i="2"/>
  <c r="T21" i="2" s="1"/>
  <c r="H20" i="2"/>
  <c r="AD20" i="2" s="1"/>
  <c r="H19" i="2"/>
  <c r="AD19" i="2" s="1"/>
  <c r="H18" i="2"/>
  <c r="J19" i="2" s="1"/>
  <c r="F15" i="2"/>
  <c r="F14" i="2"/>
  <c r="F13" i="2"/>
  <c r="F12" i="2"/>
  <c r="F11" i="2"/>
  <c r="D14" i="2"/>
  <c r="L21" i="2" s="1"/>
  <c r="D13" i="2"/>
  <c r="D12" i="2"/>
  <c r="D11" i="2"/>
  <c r="L18" i="2" s="1"/>
  <c r="B15" i="2"/>
  <c r="B14" i="2"/>
  <c r="B13" i="2"/>
  <c r="B12" i="2"/>
  <c r="B75" i="2" s="1"/>
  <c r="B11" i="2"/>
  <c r="AB14" i="2"/>
  <c r="AB13" i="2"/>
  <c r="AB12" i="2"/>
  <c r="AB11" i="2"/>
  <c r="V14" i="2"/>
  <c r="V13" i="2"/>
  <c r="V12" i="2"/>
  <c r="V11" i="2"/>
  <c r="H14" i="2"/>
  <c r="AD14" i="2" s="1"/>
  <c r="H13" i="2"/>
  <c r="H12" i="2"/>
  <c r="J13" i="2" s="1"/>
  <c r="H11" i="2"/>
  <c r="X11" i="2" s="1"/>
  <c r="A14" i="2"/>
  <c r="A21" i="2" s="1"/>
  <c r="A13" i="2"/>
  <c r="A62" i="2" s="1"/>
  <c r="A12" i="2"/>
  <c r="A54" i="2" s="1"/>
  <c r="A11" i="2"/>
  <c r="A18" i="2" s="1"/>
  <c r="A1" i="2"/>
  <c r="F48" i="35"/>
  <c r="DF46" i="35"/>
  <c r="F42" i="35"/>
  <c r="F40" i="35"/>
  <c r="D43" i="35"/>
  <c r="D42" i="35"/>
  <c r="D41" i="35"/>
  <c r="D40" i="35"/>
  <c r="DG40" i="35"/>
  <c r="DF40" i="35"/>
  <c r="DC40" i="35"/>
  <c r="DB40" i="35"/>
  <c r="DB46" i="35" s="1"/>
  <c r="CX40" i="35"/>
  <c r="N42" i="35"/>
  <c r="N41" i="35"/>
  <c r="O40" i="35"/>
  <c r="N40" i="35"/>
  <c r="J43" i="35"/>
  <c r="J42" i="35"/>
  <c r="K40" i="35"/>
  <c r="J40" i="35"/>
  <c r="R37" i="35"/>
  <c r="N37" i="35"/>
  <c r="O37" i="35" s="1"/>
  <c r="F37" i="35"/>
  <c r="G37" i="35" s="1"/>
  <c r="BF37" i="35"/>
  <c r="BG36" i="35"/>
  <c r="BF36" i="35"/>
  <c r="BB37" i="35"/>
  <c r="BB36" i="35"/>
  <c r="DG36" i="35"/>
  <c r="DF36" i="35"/>
  <c r="DF42" i="35" s="1"/>
  <c r="DG35" i="35"/>
  <c r="DF35" i="35"/>
  <c r="DF41" i="35" s="1"/>
  <c r="DG41" i="35" s="1"/>
  <c r="DB37" i="35"/>
  <c r="DB36" i="35"/>
  <c r="DB42" i="35" s="1"/>
  <c r="DC35" i="35"/>
  <c r="DB35" i="35"/>
  <c r="DB41" i="35" s="1"/>
  <c r="CY37" i="35"/>
  <c r="CX37" i="35"/>
  <c r="CX43" i="35" s="1"/>
  <c r="CX36" i="35"/>
  <c r="CX35" i="35"/>
  <c r="CX41" i="35" s="1"/>
  <c r="CU37" i="35"/>
  <c r="CT37" i="35"/>
  <c r="CT36" i="35"/>
  <c r="CT42" i="35" s="1"/>
  <c r="CT35" i="35"/>
  <c r="R35" i="35"/>
  <c r="S35" i="35" s="1"/>
  <c r="R34" i="35"/>
  <c r="J35" i="35"/>
  <c r="F35" i="35"/>
  <c r="K35" i="35" s="1"/>
  <c r="DG34" i="35"/>
  <c r="DC34" i="35"/>
  <c r="CY34" i="35"/>
  <c r="CP37" i="35"/>
  <c r="CQ37" i="35" s="1"/>
  <c r="CQ36" i="35"/>
  <c r="CP36" i="35"/>
  <c r="CP35" i="35"/>
  <c r="CQ35" i="35" s="1"/>
  <c r="CP34" i="35"/>
  <c r="CL37" i="35"/>
  <c r="CM36" i="35"/>
  <c r="CL36" i="35"/>
  <c r="CL35" i="35"/>
  <c r="CM35" i="35" s="1"/>
  <c r="CL34" i="35"/>
  <c r="CM34" i="35" s="1"/>
  <c r="CH37" i="35"/>
  <c r="CI37" i="35" s="1"/>
  <c r="CI36" i="35"/>
  <c r="CH36" i="35"/>
  <c r="CH35" i="35"/>
  <c r="CI35" i="35" s="1"/>
  <c r="CH34" i="35"/>
  <c r="CI34" i="35" s="1"/>
  <c r="CD37" i="35"/>
  <c r="CE36" i="35"/>
  <c r="CD36" i="35"/>
  <c r="CD35" i="35"/>
  <c r="CE35" i="35" s="1"/>
  <c r="CD34" i="35"/>
  <c r="CE34" i="35" s="1"/>
  <c r="BZ37" i="35"/>
  <c r="CA37" i="35" s="1"/>
  <c r="CA36" i="35"/>
  <c r="BZ36" i="35"/>
  <c r="BZ35" i="35"/>
  <c r="CA35" i="35" s="1"/>
  <c r="BZ34" i="35"/>
  <c r="CA34" i="35" s="1"/>
  <c r="BV37" i="35"/>
  <c r="BW36" i="35"/>
  <c r="BV36" i="35"/>
  <c r="BV35" i="35"/>
  <c r="BW35" i="35" s="1"/>
  <c r="BV34" i="35"/>
  <c r="BW34" i="35" s="1"/>
  <c r="BR37" i="35"/>
  <c r="BS37" i="35" s="1"/>
  <c r="BS36" i="35"/>
  <c r="BR36" i="35"/>
  <c r="BR35" i="35"/>
  <c r="BS35" i="35" s="1"/>
  <c r="BR34" i="35"/>
  <c r="BS34" i="35" s="1"/>
  <c r="BN37" i="35"/>
  <c r="BO36" i="35"/>
  <c r="BN36" i="35"/>
  <c r="BN35" i="35"/>
  <c r="BO35" i="35" s="1"/>
  <c r="BN34" i="35"/>
  <c r="BO34" i="35" s="1"/>
  <c r="BJ37" i="35"/>
  <c r="BK37" i="35" s="1"/>
  <c r="BK36" i="35"/>
  <c r="BJ36" i="35"/>
  <c r="BJ35" i="35"/>
  <c r="BK35" i="35" s="1"/>
  <c r="BJ34" i="35"/>
  <c r="BK34" i="35" s="1"/>
  <c r="BG35" i="35"/>
  <c r="BG34" i="35"/>
  <c r="BF34" i="35"/>
  <c r="BC34" i="35"/>
  <c r="BB34" i="35"/>
  <c r="AX37" i="35"/>
  <c r="AY37" i="35" s="1"/>
  <c r="AX36" i="35"/>
  <c r="AY36" i="35" s="1"/>
  <c r="AX35" i="35"/>
  <c r="AY35" i="35" s="1"/>
  <c r="AY34" i="35"/>
  <c r="AX34" i="35"/>
  <c r="AT37" i="35"/>
  <c r="AU37" i="35" s="1"/>
  <c r="AT36" i="35"/>
  <c r="AU36" i="35" s="1"/>
  <c r="AT35" i="35"/>
  <c r="AU34" i="35"/>
  <c r="AT34" i="35"/>
  <c r="AP37" i="35"/>
  <c r="AQ37" i="35" s="1"/>
  <c r="AP36" i="35"/>
  <c r="AQ36" i="35" s="1"/>
  <c r="AP35" i="35"/>
  <c r="AQ35" i="35" s="1"/>
  <c r="AQ34" i="35"/>
  <c r="AP34" i="35"/>
  <c r="AL37" i="35"/>
  <c r="AM37" i="35" s="1"/>
  <c r="AL36" i="35"/>
  <c r="AM36" i="35" s="1"/>
  <c r="AL35" i="35"/>
  <c r="AM34" i="35"/>
  <c r="AL34" i="35"/>
  <c r="AH37" i="35"/>
  <c r="AI37" i="35" s="1"/>
  <c r="AH36" i="35"/>
  <c r="AI36" i="35" s="1"/>
  <c r="AH35" i="35"/>
  <c r="AI35" i="35" s="1"/>
  <c r="AI34" i="35"/>
  <c r="AH34" i="35"/>
  <c r="AD37" i="35"/>
  <c r="AE37" i="35" s="1"/>
  <c r="AD36" i="35"/>
  <c r="AE36" i="35" s="1"/>
  <c r="AD35" i="35"/>
  <c r="AE34" i="35"/>
  <c r="AD34" i="35"/>
  <c r="Z37" i="35"/>
  <c r="AA37" i="35" s="1"/>
  <c r="Z36" i="35"/>
  <c r="AA36" i="35" s="1"/>
  <c r="Z35" i="35"/>
  <c r="AA34" i="35"/>
  <c r="Z34" i="35"/>
  <c r="V37" i="35"/>
  <c r="W37" i="35" s="1"/>
  <c r="W36" i="35"/>
  <c r="V36" i="35"/>
  <c r="V35" i="35"/>
  <c r="W35" i="35" s="1"/>
  <c r="W34" i="35"/>
  <c r="V34" i="35"/>
  <c r="S36" i="35"/>
  <c r="S34" i="35"/>
  <c r="O36" i="35"/>
  <c r="O35" i="35"/>
  <c r="O34" i="35"/>
  <c r="K37" i="35"/>
  <c r="K36" i="35"/>
  <c r="K34" i="35"/>
  <c r="G36" i="35"/>
  <c r="G35" i="35"/>
  <c r="G34" i="35"/>
  <c r="DG30" i="35"/>
  <c r="DG29" i="35"/>
  <c r="DG28" i="35"/>
  <c r="DC31" i="35"/>
  <c r="DC30" i="35"/>
  <c r="DC29" i="35"/>
  <c r="DC28" i="35"/>
  <c r="CY31" i="35"/>
  <c r="CY30" i="35"/>
  <c r="CY29" i="35"/>
  <c r="CY28" i="35"/>
  <c r="CU31" i="35"/>
  <c r="CU30" i="35"/>
  <c r="CU29" i="35"/>
  <c r="CU28" i="35"/>
  <c r="CQ31" i="35"/>
  <c r="CQ30" i="35"/>
  <c r="CQ29" i="35"/>
  <c r="CQ28" i="35"/>
  <c r="CM31" i="35"/>
  <c r="CM30" i="35"/>
  <c r="CM29" i="35"/>
  <c r="CM28" i="35"/>
  <c r="CI31" i="35"/>
  <c r="CI30" i="35"/>
  <c r="CI29" i="35"/>
  <c r="CI28" i="35"/>
  <c r="CE31" i="35"/>
  <c r="CE30" i="35"/>
  <c r="CE29" i="35"/>
  <c r="CE28" i="35"/>
  <c r="CA31" i="35"/>
  <c r="CA30" i="35"/>
  <c r="CA29" i="35"/>
  <c r="CA28" i="35"/>
  <c r="BW31" i="35"/>
  <c r="BW30" i="35"/>
  <c r="BW29" i="35"/>
  <c r="BW28" i="35"/>
  <c r="BS31" i="35"/>
  <c r="BS30" i="35"/>
  <c r="BS29" i="35"/>
  <c r="BS28" i="35"/>
  <c r="BO31" i="35"/>
  <c r="BO30" i="35"/>
  <c r="BO29" i="35"/>
  <c r="BO28" i="35"/>
  <c r="BK31" i="35"/>
  <c r="BK30" i="35"/>
  <c r="BK29" i="35"/>
  <c r="BK28" i="35"/>
  <c r="BG31" i="35"/>
  <c r="BG30" i="35"/>
  <c r="BG29" i="35"/>
  <c r="BG28" i="35"/>
  <c r="BC31" i="35"/>
  <c r="BC30" i="35"/>
  <c r="BC29" i="35"/>
  <c r="BC28" i="35"/>
  <c r="AY31" i="35"/>
  <c r="AY30" i="35"/>
  <c r="AY29" i="35"/>
  <c r="AY28" i="35"/>
  <c r="AU31" i="35"/>
  <c r="AU30" i="35"/>
  <c r="AU29" i="35"/>
  <c r="AU28" i="35"/>
  <c r="AQ31" i="35"/>
  <c r="AQ30" i="35"/>
  <c r="AQ29" i="35"/>
  <c r="AQ28" i="35"/>
  <c r="AM31" i="35"/>
  <c r="AM30" i="35"/>
  <c r="AM29" i="35"/>
  <c r="AM28" i="35"/>
  <c r="AI31" i="35"/>
  <c r="AI30" i="35"/>
  <c r="AI29" i="35"/>
  <c r="AI28" i="35"/>
  <c r="AE31" i="35"/>
  <c r="AE30" i="35"/>
  <c r="AE29" i="35"/>
  <c r="AE28" i="35"/>
  <c r="AA31" i="35"/>
  <c r="AA30" i="35"/>
  <c r="AA29" i="35"/>
  <c r="AA28" i="35"/>
  <c r="W31" i="35"/>
  <c r="W30" i="35"/>
  <c r="W29" i="35"/>
  <c r="W28" i="35"/>
  <c r="S31" i="35"/>
  <c r="S30" i="35"/>
  <c r="S29" i="35"/>
  <c r="S28" i="35"/>
  <c r="O31" i="35"/>
  <c r="O30" i="35"/>
  <c r="O29" i="35"/>
  <c r="O28" i="35"/>
  <c r="K31" i="35"/>
  <c r="K30" i="35"/>
  <c r="K29" i="35"/>
  <c r="K28" i="35"/>
  <c r="G31" i="35"/>
  <c r="G30" i="35"/>
  <c r="G29" i="35"/>
  <c r="G28" i="35"/>
  <c r="CT25" i="35"/>
  <c r="CT43" i="35" s="1"/>
  <c r="O25" i="35"/>
  <c r="N25" i="35"/>
  <c r="F25" i="35"/>
  <c r="K25" i="35" s="1"/>
  <c r="CT23" i="35"/>
  <c r="CT41" i="35" s="1"/>
  <c r="CT22" i="35"/>
  <c r="CT40" i="35" s="1"/>
  <c r="J23" i="35"/>
  <c r="J41" i="35" s="1"/>
  <c r="F23" i="35"/>
  <c r="F41" i="35" s="1"/>
  <c r="F47" i="35" s="1"/>
  <c r="DG24" i="35"/>
  <c r="DG23" i="35"/>
  <c r="DG22" i="35"/>
  <c r="DC25" i="35"/>
  <c r="DC24" i="35"/>
  <c r="DC23" i="35"/>
  <c r="DC22" i="35"/>
  <c r="CY25" i="35"/>
  <c r="CY24" i="35"/>
  <c r="CY23" i="35"/>
  <c r="CY22" i="35"/>
  <c r="CU24" i="35"/>
  <c r="CU23" i="35"/>
  <c r="CP25" i="35"/>
  <c r="CP43" i="35" s="1"/>
  <c r="CP24" i="35"/>
  <c r="CP42" i="35" s="1"/>
  <c r="CQ23" i="35"/>
  <c r="CP23" i="35"/>
  <c r="CP22" i="35"/>
  <c r="CU22" i="35" s="1"/>
  <c r="CL25" i="35"/>
  <c r="CL43" i="35" s="1"/>
  <c r="CL24" i="35"/>
  <c r="CL42" i="35" s="1"/>
  <c r="CM23" i="35"/>
  <c r="CL23" i="35"/>
  <c r="CL22" i="35"/>
  <c r="CH25" i="35"/>
  <c r="CH43" i="35" s="1"/>
  <c r="CH24" i="35"/>
  <c r="CH42" i="35" s="1"/>
  <c r="CI23" i="35"/>
  <c r="CH23" i="35"/>
  <c r="CH41" i="35" s="1"/>
  <c r="CH22" i="35"/>
  <c r="CD25" i="35"/>
  <c r="CD43" i="35" s="1"/>
  <c r="CD24" i="35"/>
  <c r="CD42" i="35" s="1"/>
  <c r="CE23" i="35"/>
  <c r="CD23" i="35"/>
  <c r="CD22" i="35"/>
  <c r="BZ25" i="35"/>
  <c r="BZ43" i="35" s="1"/>
  <c r="BZ24" i="35"/>
  <c r="BZ42" i="35" s="1"/>
  <c r="CA23" i="35"/>
  <c r="BZ23" i="35"/>
  <c r="BZ41" i="35" s="1"/>
  <c r="BZ22" i="35"/>
  <c r="BV25" i="35"/>
  <c r="BV43" i="35" s="1"/>
  <c r="BV24" i="35"/>
  <c r="BV42" i="35" s="1"/>
  <c r="BW23" i="35"/>
  <c r="BV23" i="35"/>
  <c r="BV22" i="35"/>
  <c r="BR25" i="35"/>
  <c r="BR43" i="35" s="1"/>
  <c r="BR24" i="35"/>
  <c r="BR42" i="35" s="1"/>
  <c r="BS23" i="35"/>
  <c r="BR23" i="35"/>
  <c r="BR41" i="35" s="1"/>
  <c r="BR22" i="35"/>
  <c r="BN25" i="35"/>
  <c r="BN43" i="35" s="1"/>
  <c r="BN24" i="35"/>
  <c r="BN42" i="35" s="1"/>
  <c r="BO23" i="35"/>
  <c r="BN23" i="35"/>
  <c r="BN22" i="35"/>
  <c r="BJ25" i="35"/>
  <c r="BJ43" i="35" s="1"/>
  <c r="BJ24" i="35"/>
  <c r="BJ42" i="35" s="1"/>
  <c r="BK23" i="35"/>
  <c r="BJ23" i="35"/>
  <c r="BJ41" i="35" s="1"/>
  <c r="BJ22" i="35"/>
  <c r="BF25" i="35"/>
  <c r="BF43" i="35" s="1"/>
  <c r="BF24" i="35"/>
  <c r="BF42" i="35" s="1"/>
  <c r="BG23" i="35"/>
  <c r="BF23" i="35"/>
  <c r="BF41" i="35" s="1"/>
  <c r="BF22" i="35"/>
  <c r="BB25" i="35"/>
  <c r="BB43" i="35" s="1"/>
  <c r="BB24" i="35"/>
  <c r="BB42" i="35" s="1"/>
  <c r="BC23" i="35"/>
  <c r="BB23" i="35"/>
  <c r="BB41" i="35" s="1"/>
  <c r="BB22" i="35"/>
  <c r="AX25" i="35"/>
  <c r="AX43" i="35" s="1"/>
  <c r="AX24" i="35"/>
  <c r="AX42" i="35" s="1"/>
  <c r="AY23" i="35"/>
  <c r="AX23" i="35"/>
  <c r="AX22" i="35"/>
  <c r="AX40" i="35" s="1"/>
  <c r="AT25" i="35"/>
  <c r="AT24" i="35"/>
  <c r="AU24" i="35" s="1"/>
  <c r="AU23" i="35"/>
  <c r="AT23" i="35"/>
  <c r="AT41" i="35" s="1"/>
  <c r="AT22" i="35"/>
  <c r="AT40" i="35" s="1"/>
  <c r="AP25" i="35"/>
  <c r="AP24" i="35"/>
  <c r="AP42" i="35" s="1"/>
  <c r="AQ23" i="35"/>
  <c r="AP23" i="35"/>
  <c r="AP22" i="35"/>
  <c r="AP40" i="35" s="1"/>
  <c r="AL25" i="35"/>
  <c r="AL24" i="35"/>
  <c r="AM24" i="35" s="1"/>
  <c r="AM23" i="35"/>
  <c r="AL23" i="35"/>
  <c r="AL41" i="35" s="1"/>
  <c r="AL22" i="35"/>
  <c r="AL40" i="35" s="1"/>
  <c r="AH25" i="35"/>
  <c r="AH24" i="35"/>
  <c r="AH42" i="35" s="1"/>
  <c r="AI23" i="35"/>
  <c r="AH23" i="35"/>
  <c r="AH22" i="35"/>
  <c r="AH40" i="35" s="1"/>
  <c r="AD25" i="35"/>
  <c r="AD24" i="35"/>
  <c r="AD42" i="35" s="1"/>
  <c r="AE23" i="35"/>
  <c r="AD23" i="35"/>
  <c r="AD41" i="35" s="1"/>
  <c r="AD22" i="35"/>
  <c r="AD40" i="35" s="1"/>
  <c r="Z25" i="35"/>
  <c r="Z24" i="35"/>
  <c r="Z42" i="35" s="1"/>
  <c r="AA23" i="35"/>
  <c r="Z23" i="35"/>
  <c r="Z22" i="35"/>
  <c r="Z40" i="35" s="1"/>
  <c r="V25" i="35"/>
  <c r="V24" i="35"/>
  <c r="V42" i="35" s="1"/>
  <c r="W23" i="35"/>
  <c r="V23" i="35"/>
  <c r="V22" i="35"/>
  <c r="V40" i="35" s="1"/>
  <c r="R25" i="35"/>
  <c r="R24" i="35"/>
  <c r="R42" i="35" s="1"/>
  <c r="S23" i="35"/>
  <c r="R23" i="35"/>
  <c r="R22" i="35"/>
  <c r="R40" i="35" s="1"/>
  <c r="O24" i="35"/>
  <c r="O23" i="35"/>
  <c r="O22" i="35"/>
  <c r="K24" i="35"/>
  <c r="K23" i="35"/>
  <c r="K22" i="35"/>
  <c r="G24" i="35"/>
  <c r="G23" i="35"/>
  <c r="G22" i="35"/>
  <c r="N19" i="35"/>
  <c r="O19" i="35" s="1"/>
  <c r="F19" i="35"/>
  <c r="G19" i="35" s="1"/>
  <c r="BZ18" i="35"/>
  <c r="BZ17" i="35"/>
  <c r="BZ16" i="35"/>
  <c r="BF19" i="35"/>
  <c r="BG19" i="35" s="1"/>
  <c r="BG18" i="35"/>
  <c r="BF18" i="35"/>
  <c r="J17" i="35"/>
  <c r="F17" i="35"/>
  <c r="DG18" i="35"/>
  <c r="DG17" i="35"/>
  <c r="DG16" i="35"/>
  <c r="DC19" i="35"/>
  <c r="DC18" i="35"/>
  <c r="DC17" i="35"/>
  <c r="DC16" i="35"/>
  <c r="CY19" i="35"/>
  <c r="CY18" i="35"/>
  <c r="CY17" i="35"/>
  <c r="CY16" i="35"/>
  <c r="CU19" i="35"/>
  <c r="CU18" i="35"/>
  <c r="CU17" i="35"/>
  <c r="CU16" i="35"/>
  <c r="CQ19" i="35"/>
  <c r="CQ18" i="35"/>
  <c r="CQ17" i="35"/>
  <c r="CQ16" i="35"/>
  <c r="CM19" i="35"/>
  <c r="CM18" i="35"/>
  <c r="CM17" i="35"/>
  <c r="CM16" i="35"/>
  <c r="CI19" i="35"/>
  <c r="CI18" i="35"/>
  <c r="CI17" i="35"/>
  <c r="CI16" i="35"/>
  <c r="CE19" i="35"/>
  <c r="CE18" i="35"/>
  <c r="CE16" i="35"/>
  <c r="CA18" i="35"/>
  <c r="BV19" i="35"/>
  <c r="BW18" i="35"/>
  <c r="BV18" i="35"/>
  <c r="BV17" i="35"/>
  <c r="BV16" i="35"/>
  <c r="BW16" i="35" s="1"/>
  <c r="BR19" i="35"/>
  <c r="BS18" i="35"/>
  <c r="BR18" i="35"/>
  <c r="BR17" i="35"/>
  <c r="BS17" i="35" s="1"/>
  <c r="BR16" i="35"/>
  <c r="BN19" i="35"/>
  <c r="BO19" i="35" s="1"/>
  <c r="BO18" i="35"/>
  <c r="BN18" i="35"/>
  <c r="BN17" i="35"/>
  <c r="BN16" i="35"/>
  <c r="BO16" i="35" s="1"/>
  <c r="BJ19" i="35"/>
  <c r="BK18" i="35"/>
  <c r="BJ18" i="35"/>
  <c r="BJ17" i="35"/>
  <c r="BK17" i="35" s="1"/>
  <c r="BK16" i="35"/>
  <c r="BJ16" i="35"/>
  <c r="BF16" i="35"/>
  <c r="BB19" i="35"/>
  <c r="BC19" i="35" s="1"/>
  <c r="BB18" i="35"/>
  <c r="BC17" i="35"/>
  <c r="BB17" i="35"/>
  <c r="BG17" i="35" s="1"/>
  <c r="BB16" i="35"/>
  <c r="BC16" i="35" s="1"/>
  <c r="AX19" i="35"/>
  <c r="AX18" i="35"/>
  <c r="AY18" i="35" s="1"/>
  <c r="AY17" i="35"/>
  <c r="AX17" i="35"/>
  <c r="AX16" i="35"/>
  <c r="AT19" i="35"/>
  <c r="AU19" i="35" s="1"/>
  <c r="AT18" i="35"/>
  <c r="AU17" i="35"/>
  <c r="AT17" i="35"/>
  <c r="AT16" i="35"/>
  <c r="AU16" i="35" s="1"/>
  <c r="AP19" i="35"/>
  <c r="AP18" i="35"/>
  <c r="AQ18" i="35" s="1"/>
  <c r="AQ17" i="35"/>
  <c r="AP17" i="35"/>
  <c r="AP16" i="35"/>
  <c r="AL19" i="35"/>
  <c r="AM19" i="35" s="1"/>
  <c r="AL18" i="35"/>
  <c r="AM17" i="35"/>
  <c r="AL17" i="35"/>
  <c r="AL16" i="35"/>
  <c r="AM16" i="35" s="1"/>
  <c r="AH19" i="35"/>
  <c r="AH18" i="35"/>
  <c r="AI18" i="35" s="1"/>
  <c r="AI17" i="35"/>
  <c r="AH17" i="35"/>
  <c r="AH16" i="35"/>
  <c r="AD19" i="35"/>
  <c r="AE19" i="35" s="1"/>
  <c r="AD18" i="35"/>
  <c r="AE17" i="35"/>
  <c r="AD17" i="35"/>
  <c r="AD16" i="35"/>
  <c r="AE16" i="35" s="1"/>
  <c r="Z19" i="35"/>
  <c r="Z18" i="35"/>
  <c r="AA18" i="35" s="1"/>
  <c r="AA17" i="35"/>
  <c r="Z17" i="35"/>
  <c r="Z16" i="35"/>
  <c r="V19" i="35"/>
  <c r="W19" i="35" s="1"/>
  <c r="V18" i="35"/>
  <c r="W18" i="35" s="1"/>
  <c r="W17" i="35"/>
  <c r="V17" i="35"/>
  <c r="V16" i="35"/>
  <c r="W16" i="35" s="1"/>
  <c r="S19" i="35"/>
  <c r="R19" i="35"/>
  <c r="R18" i="35"/>
  <c r="S18" i="35" s="1"/>
  <c r="R17" i="35"/>
  <c r="S17" i="35" s="1"/>
  <c r="S16" i="35"/>
  <c r="R16" i="35"/>
  <c r="O18" i="35"/>
  <c r="O17" i="35"/>
  <c r="O16" i="35"/>
  <c r="K18" i="35"/>
  <c r="K17" i="35"/>
  <c r="K16" i="35"/>
  <c r="G18" i="35"/>
  <c r="G17" i="35"/>
  <c r="G16" i="35"/>
  <c r="A19" i="35"/>
  <c r="A17" i="35"/>
  <c r="DH12" i="35"/>
  <c r="DH18" i="35" s="1"/>
  <c r="DG12" i="35"/>
  <c r="DH11" i="35"/>
  <c r="DH17" i="35" s="1"/>
  <c r="DG11" i="35"/>
  <c r="DH10" i="35"/>
  <c r="DH16" i="35" s="1"/>
  <c r="DG10" i="35"/>
  <c r="DD13" i="35"/>
  <c r="DC13" i="35"/>
  <c r="DD12" i="35"/>
  <c r="DC12" i="35"/>
  <c r="DD11" i="35"/>
  <c r="DC11" i="35"/>
  <c r="DD10" i="35"/>
  <c r="DC10" i="35"/>
  <c r="CZ13" i="35"/>
  <c r="CY13" i="35"/>
  <c r="CZ12" i="35"/>
  <c r="CY12" i="35"/>
  <c r="CZ11" i="35"/>
  <c r="CY11" i="35"/>
  <c r="CZ10" i="35"/>
  <c r="CY10" i="35"/>
  <c r="CV13" i="35"/>
  <c r="CV19" i="35" s="1"/>
  <c r="CV25" i="35" s="1"/>
  <c r="CV31" i="35" s="1"/>
  <c r="CV37" i="35" s="1"/>
  <c r="CV43" i="35" s="1"/>
  <c r="CU13" i="35"/>
  <c r="CV12" i="35"/>
  <c r="CV18" i="35" s="1"/>
  <c r="CV24" i="35" s="1"/>
  <c r="CV30" i="35" s="1"/>
  <c r="CV36" i="35" s="1"/>
  <c r="CV42" i="35" s="1"/>
  <c r="CU12" i="35"/>
  <c r="CV11" i="35"/>
  <c r="CV17" i="35" s="1"/>
  <c r="CV23" i="35" s="1"/>
  <c r="CV29" i="35" s="1"/>
  <c r="CV35" i="35" s="1"/>
  <c r="CV41" i="35" s="1"/>
  <c r="CU11" i="35"/>
  <c r="CV10" i="35"/>
  <c r="CU10" i="35"/>
  <c r="CR13" i="35"/>
  <c r="DD19" i="35" s="1"/>
  <c r="CQ13" i="35"/>
  <c r="CR12" i="35"/>
  <c r="DD18" i="35" s="1"/>
  <c r="CQ12" i="35"/>
  <c r="CR11" i="35"/>
  <c r="DD17" i="35" s="1"/>
  <c r="CQ11" i="35"/>
  <c r="CR10" i="35"/>
  <c r="CR24" i="35" s="1"/>
  <c r="CQ10" i="35"/>
  <c r="CN13" i="35"/>
  <c r="CM13" i="35"/>
  <c r="CN12" i="35"/>
  <c r="CM12" i="35"/>
  <c r="CN11" i="35"/>
  <c r="CM11" i="35"/>
  <c r="CN10" i="35"/>
  <c r="CN18" i="35" s="1"/>
  <c r="CM10" i="35"/>
  <c r="CJ13" i="35"/>
  <c r="CI13" i="35"/>
  <c r="CJ12" i="35"/>
  <c r="CI12" i="35"/>
  <c r="CJ11" i="35"/>
  <c r="CJ17" i="35" s="1"/>
  <c r="CI11" i="35"/>
  <c r="CJ10" i="35"/>
  <c r="CJ16" i="35" s="1"/>
  <c r="CI10" i="35"/>
  <c r="CF13" i="35"/>
  <c r="CF31" i="35" s="1"/>
  <c r="CE13" i="35"/>
  <c r="CF12" i="35"/>
  <c r="CJ31" i="35" s="1"/>
  <c r="CE12" i="35"/>
  <c r="CF11" i="35"/>
  <c r="CF17" i="35" s="1"/>
  <c r="CE11" i="35"/>
  <c r="CF10" i="35"/>
  <c r="CE10" i="35"/>
  <c r="CB13" i="35"/>
  <c r="CA13" i="35"/>
  <c r="CB12" i="35"/>
  <c r="CB24" i="35" s="1"/>
  <c r="CA12" i="35"/>
  <c r="CB11" i="35"/>
  <c r="CA11" i="35"/>
  <c r="CB10" i="35"/>
  <c r="CB16" i="35" s="1"/>
  <c r="CA10" i="35"/>
  <c r="BX13" i="35"/>
  <c r="BX31" i="35" s="1"/>
  <c r="BW13" i="35"/>
  <c r="BX12" i="35"/>
  <c r="BX18" i="35" s="1"/>
  <c r="BW12" i="35"/>
  <c r="BX11" i="35"/>
  <c r="BW11" i="35"/>
  <c r="BX10" i="35"/>
  <c r="BW10" i="35"/>
  <c r="BT13" i="35"/>
  <c r="BS13" i="35"/>
  <c r="BT12" i="35"/>
  <c r="BT24" i="35" s="1"/>
  <c r="BS12" i="35"/>
  <c r="BT11" i="35"/>
  <c r="BT17" i="35" s="1"/>
  <c r="BS11" i="35"/>
  <c r="BT10" i="35"/>
  <c r="BS10" i="35"/>
  <c r="BP13" i="35"/>
  <c r="BP31" i="35" s="1"/>
  <c r="BO13" i="35"/>
  <c r="BP12" i="35"/>
  <c r="BP18" i="35" s="1"/>
  <c r="BO12" i="35"/>
  <c r="BP11" i="35"/>
  <c r="BO11" i="35"/>
  <c r="BP10" i="35"/>
  <c r="BO10" i="35"/>
  <c r="BL13" i="35"/>
  <c r="BK13" i="35"/>
  <c r="BL12" i="35"/>
  <c r="BL24" i="35" s="1"/>
  <c r="BK12" i="35"/>
  <c r="BL11" i="35"/>
  <c r="BL17" i="35" s="1"/>
  <c r="BK11" i="35"/>
  <c r="BL10" i="35"/>
  <c r="BK10" i="35"/>
  <c r="BH13" i="35"/>
  <c r="BH31" i="35" s="1"/>
  <c r="BG13" i="35"/>
  <c r="BH12" i="35"/>
  <c r="BH24" i="35" s="1"/>
  <c r="BG12" i="35"/>
  <c r="BH11" i="35"/>
  <c r="BG11" i="35"/>
  <c r="BH10" i="35"/>
  <c r="BH16" i="35" s="1"/>
  <c r="BG10" i="35"/>
  <c r="BD13" i="35"/>
  <c r="BC13" i="35"/>
  <c r="BD12" i="35"/>
  <c r="BD24" i="35" s="1"/>
  <c r="BC12" i="35"/>
  <c r="BD11" i="35"/>
  <c r="BC11" i="35"/>
  <c r="BD10" i="35"/>
  <c r="BD16" i="35" s="1"/>
  <c r="BC10" i="35"/>
  <c r="AZ13" i="35"/>
  <c r="AZ31" i="35" s="1"/>
  <c r="AY13" i="35"/>
  <c r="AZ12" i="35"/>
  <c r="AZ24" i="35" s="1"/>
  <c r="AY12" i="35"/>
  <c r="AZ11" i="35"/>
  <c r="AY11" i="35"/>
  <c r="AZ10" i="35"/>
  <c r="AZ16" i="35" s="1"/>
  <c r="AY10" i="35"/>
  <c r="AV13" i="35"/>
  <c r="AU13" i="35"/>
  <c r="AV12" i="35"/>
  <c r="AV18" i="35" s="1"/>
  <c r="AU12" i="35"/>
  <c r="AV11" i="35"/>
  <c r="AU11" i="35"/>
  <c r="AV10" i="35"/>
  <c r="AV16" i="35" s="1"/>
  <c r="AU10" i="35"/>
  <c r="AR13" i="35"/>
  <c r="AR31" i="35" s="1"/>
  <c r="AQ13" i="35"/>
  <c r="AR12" i="35"/>
  <c r="AR24" i="35" s="1"/>
  <c r="AQ12" i="35"/>
  <c r="AR11" i="35"/>
  <c r="AQ11" i="35"/>
  <c r="AR10" i="35"/>
  <c r="AR16" i="35" s="1"/>
  <c r="AQ10" i="35"/>
  <c r="AN13" i="35"/>
  <c r="AM13" i="35"/>
  <c r="AN12" i="35"/>
  <c r="AN18" i="35" s="1"/>
  <c r="AM12" i="35"/>
  <c r="AN11" i="35"/>
  <c r="AM11" i="35"/>
  <c r="AN10" i="35"/>
  <c r="AN16" i="35" s="1"/>
  <c r="AM10" i="35"/>
  <c r="AJ13" i="35"/>
  <c r="AJ31" i="35" s="1"/>
  <c r="AI13" i="35"/>
  <c r="AJ12" i="35"/>
  <c r="AJ24" i="35" s="1"/>
  <c r="AI12" i="35"/>
  <c r="AJ11" i="35"/>
  <c r="AI11" i="35"/>
  <c r="AJ10" i="35"/>
  <c r="AJ16" i="35" s="1"/>
  <c r="AI10" i="35"/>
  <c r="AF13" i="35"/>
  <c r="AE13" i="35"/>
  <c r="AF12" i="35"/>
  <c r="AF18" i="35" s="1"/>
  <c r="AE12" i="35"/>
  <c r="AF11" i="35"/>
  <c r="AE11" i="35"/>
  <c r="AF10" i="35"/>
  <c r="AF16" i="35" s="1"/>
  <c r="AE10" i="35"/>
  <c r="AB13" i="35"/>
  <c r="AB31" i="35" s="1"/>
  <c r="AA13" i="35"/>
  <c r="AB12" i="35"/>
  <c r="AB24" i="35" s="1"/>
  <c r="AA12" i="35"/>
  <c r="AB11" i="35"/>
  <c r="AA11" i="35"/>
  <c r="AB10" i="35"/>
  <c r="AB16" i="35" s="1"/>
  <c r="AA10" i="35"/>
  <c r="X13" i="35"/>
  <c r="W13" i="35"/>
  <c r="X12" i="35"/>
  <c r="X18" i="35" s="1"/>
  <c r="W12" i="35"/>
  <c r="X11" i="35"/>
  <c r="W11" i="35"/>
  <c r="X10" i="35"/>
  <c r="X16" i="35" s="1"/>
  <c r="W10" i="35"/>
  <c r="T13" i="35"/>
  <c r="T31" i="35" s="1"/>
  <c r="S13" i="35"/>
  <c r="T12" i="35"/>
  <c r="T36" i="35" s="1"/>
  <c r="S12" i="35"/>
  <c r="T11" i="35"/>
  <c r="S11" i="35"/>
  <c r="T10" i="35"/>
  <c r="T34" i="35" s="1"/>
  <c r="S10" i="35"/>
  <c r="P13" i="35"/>
  <c r="O13" i="35"/>
  <c r="P12" i="35"/>
  <c r="O12" i="35"/>
  <c r="P11" i="35"/>
  <c r="P41" i="35" s="1"/>
  <c r="O11" i="35"/>
  <c r="P10" i="35"/>
  <c r="O10" i="35"/>
  <c r="L13" i="35"/>
  <c r="L43" i="35" s="1"/>
  <c r="K13" i="35"/>
  <c r="L12" i="35"/>
  <c r="K12" i="35"/>
  <c r="L11" i="35"/>
  <c r="L41" i="35" s="1"/>
  <c r="K11" i="35"/>
  <c r="L10" i="35"/>
  <c r="K10" i="35"/>
  <c r="H13" i="35"/>
  <c r="G13" i="35"/>
  <c r="H12" i="35"/>
  <c r="H18" i="35" s="1"/>
  <c r="G12" i="35"/>
  <c r="H11" i="35"/>
  <c r="G11" i="35"/>
  <c r="H10" i="35"/>
  <c r="H16" i="35" s="1"/>
  <c r="G10" i="35"/>
  <c r="B13" i="35"/>
  <c r="B31" i="35" s="1"/>
  <c r="A13" i="35"/>
  <c r="B12" i="35"/>
  <c r="B36" i="35" s="1"/>
  <c r="A12" i="35"/>
  <c r="A24" i="35" s="1"/>
  <c r="B11" i="35"/>
  <c r="B9" i="31" s="1"/>
  <c r="B15" i="31" s="1"/>
  <c r="B21" i="31" s="1"/>
  <c r="B27" i="31" s="1"/>
  <c r="B33" i="31" s="1"/>
  <c r="B39" i="31" s="1"/>
  <c r="B45" i="31" s="1"/>
  <c r="B51" i="31" s="1"/>
  <c r="B57" i="31" s="1"/>
  <c r="A11" i="35"/>
  <c r="B10" i="35"/>
  <c r="B22" i="35" s="1"/>
  <c r="A10" i="35"/>
  <c r="A22" i="35" s="1"/>
  <c r="F7" i="35"/>
  <c r="J7" i="35" s="1"/>
  <c r="N7" i="35" s="1"/>
  <c r="R7" i="35" s="1"/>
  <c r="V7" i="35" s="1"/>
  <c r="A3" i="35"/>
  <c r="A1" i="35"/>
  <c r="A1" i="3" s="1"/>
  <c r="BB47" i="31"/>
  <c r="AX46" i="31"/>
  <c r="AH46" i="31"/>
  <c r="Z46" i="31"/>
  <c r="V46" i="31"/>
  <c r="T46" i="31"/>
  <c r="N46" i="31"/>
  <c r="L46" i="31"/>
  <c r="F46" i="31"/>
  <c r="BB46" i="31"/>
  <c r="BB35" i="31"/>
  <c r="BB59" i="31" s="1"/>
  <c r="AX34" i="31"/>
  <c r="AX58" i="31" s="1"/>
  <c r="AV34" i="31"/>
  <c r="AH34" i="31"/>
  <c r="AH58" i="31" s="1"/>
  <c r="AF34" i="31"/>
  <c r="Z34" i="31"/>
  <c r="Z58" i="31" s="1"/>
  <c r="X34" i="31"/>
  <c r="V34" i="31"/>
  <c r="V58" i="31" s="1"/>
  <c r="T34" i="31"/>
  <c r="T58" i="31" s="1"/>
  <c r="P34" i="31"/>
  <c r="N34" i="31"/>
  <c r="N58" i="31" s="1"/>
  <c r="L34" i="31"/>
  <c r="L58" i="31" s="1"/>
  <c r="J34" i="31"/>
  <c r="H34" i="31"/>
  <c r="F34" i="31"/>
  <c r="F58" i="31" s="1"/>
  <c r="BB34" i="31"/>
  <c r="BB58" i="31" s="1"/>
  <c r="BB33" i="31"/>
  <c r="BB29" i="31"/>
  <c r="BA29" i="31"/>
  <c r="BA35" i="31" s="1"/>
  <c r="AZ29" i="31"/>
  <c r="AX29" i="31"/>
  <c r="AX28" i="31"/>
  <c r="AX27" i="31"/>
  <c r="AX33" i="31" s="1"/>
  <c r="AX26" i="31"/>
  <c r="AX44" i="31" s="1"/>
  <c r="AV29" i="31"/>
  <c r="AV47" i="31" s="1"/>
  <c r="AV28" i="31"/>
  <c r="AV27" i="31"/>
  <c r="AV33" i="31" s="1"/>
  <c r="AT27" i="31"/>
  <c r="AT33" i="31" s="1"/>
  <c r="AT26" i="31"/>
  <c r="AR27" i="31"/>
  <c r="AR33" i="31" s="1"/>
  <c r="AP27" i="31"/>
  <c r="AP45" i="31" s="1"/>
  <c r="AN29" i="31"/>
  <c r="AL29" i="31"/>
  <c r="AJ26" i="31"/>
  <c r="AH29" i="31"/>
  <c r="AH28" i="31"/>
  <c r="AH27" i="31"/>
  <c r="AH26" i="31"/>
  <c r="AF29" i="31"/>
  <c r="AF28" i="31"/>
  <c r="AF27" i="31"/>
  <c r="AF26" i="31"/>
  <c r="AD27" i="31"/>
  <c r="AD26" i="31"/>
  <c r="AB29" i="31"/>
  <c r="Z29" i="31"/>
  <c r="Z28" i="31"/>
  <c r="Z27" i="31"/>
  <c r="Z26" i="31"/>
  <c r="X29" i="31"/>
  <c r="X28" i="31"/>
  <c r="X27" i="31"/>
  <c r="X26" i="31"/>
  <c r="V29" i="31"/>
  <c r="V28" i="31"/>
  <c r="V27" i="31"/>
  <c r="V26" i="31"/>
  <c r="T29" i="31"/>
  <c r="T28" i="31"/>
  <c r="T27" i="31"/>
  <c r="T26" i="31"/>
  <c r="R29" i="31"/>
  <c r="R28" i="31"/>
  <c r="R27" i="31"/>
  <c r="R26" i="31"/>
  <c r="P29" i="31"/>
  <c r="P28" i="31"/>
  <c r="P27" i="31"/>
  <c r="P26" i="31"/>
  <c r="N29" i="31"/>
  <c r="N28" i="31"/>
  <c r="N27" i="31"/>
  <c r="N26" i="31"/>
  <c r="L29" i="31"/>
  <c r="L28" i="31"/>
  <c r="L27" i="31"/>
  <c r="L26" i="31"/>
  <c r="J29" i="31"/>
  <c r="J28" i="31"/>
  <c r="J27" i="31"/>
  <c r="J26" i="31"/>
  <c r="H29" i="31"/>
  <c r="H28" i="31"/>
  <c r="H27" i="31"/>
  <c r="H26" i="31"/>
  <c r="F29" i="31"/>
  <c r="F28" i="31"/>
  <c r="F27" i="31"/>
  <c r="F26" i="31"/>
  <c r="BC28" i="31"/>
  <c r="BB28" i="31"/>
  <c r="BA28" i="31"/>
  <c r="AZ28" i="31"/>
  <c r="BC27" i="31"/>
  <c r="BB27" i="31"/>
  <c r="BA27" i="31"/>
  <c r="AZ27" i="31"/>
  <c r="BC26" i="31"/>
  <c r="BA26" i="31"/>
  <c r="AZ26" i="31"/>
  <c r="AV20" i="31"/>
  <c r="AV26" i="31" s="1"/>
  <c r="BA17" i="31"/>
  <c r="AT17" i="31"/>
  <c r="AT29" i="31" s="1"/>
  <c r="AT16" i="31"/>
  <c r="AT28" i="31" s="1"/>
  <c r="AR17" i="31"/>
  <c r="AR29" i="31" s="1"/>
  <c r="AR16" i="31"/>
  <c r="AR28" i="31" s="1"/>
  <c r="AP17" i="31"/>
  <c r="AP29" i="31" s="1"/>
  <c r="AP16" i="31"/>
  <c r="AP28" i="31" s="1"/>
  <c r="AN17" i="31"/>
  <c r="AN16" i="31"/>
  <c r="AN28" i="31" s="1"/>
  <c r="AN15" i="31"/>
  <c r="AN27" i="31" s="1"/>
  <c r="AN14" i="31"/>
  <c r="AN26" i="31" s="1"/>
  <c r="AL17" i="31"/>
  <c r="AL16" i="31"/>
  <c r="AL28" i="31" s="1"/>
  <c r="AL15" i="31"/>
  <c r="AL27" i="31" s="1"/>
  <c r="AL14" i="31"/>
  <c r="AL26" i="31" s="1"/>
  <c r="AJ17" i="31"/>
  <c r="AJ29" i="31" s="1"/>
  <c r="AJ16" i="31"/>
  <c r="AJ28" i="31" s="1"/>
  <c r="AJ15" i="31"/>
  <c r="AJ27" i="31" s="1"/>
  <c r="AD17" i="31"/>
  <c r="AD29" i="31" s="1"/>
  <c r="AD16" i="31"/>
  <c r="AD28" i="31" s="1"/>
  <c r="Z17" i="31"/>
  <c r="AB16" i="31"/>
  <c r="AB28" i="31" s="1"/>
  <c r="AB15" i="31"/>
  <c r="AB27" i="31" s="1"/>
  <c r="AB14" i="31"/>
  <c r="AB26" i="31" s="1"/>
  <c r="BB14" i="31"/>
  <c r="BB26" i="31" s="1"/>
  <c r="AR14" i="31"/>
  <c r="AR26" i="31" s="1"/>
  <c r="AP14" i="31"/>
  <c r="AP26" i="31" s="1"/>
  <c r="AF14" i="31"/>
  <c r="A17" i="31"/>
  <c r="A23" i="31" s="1"/>
  <c r="A29" i="31" s="1"/>
  <c r="A35" i="31" s="1"/>
  <c r="A41" i="31" s="1"/>
  <c r="A47" i="31" s="1"/>
  <c r="A53" i="31" s="1"/>
  <c r="A59" i="31" s="1"/>
  <c r="R10" i="31"/>
  <c r="R34" i="31" s="1"/>
  <c r="R9" i="31"/>
  <c r="R8" i="31"/>
  <c r="AV8" i="31"/>
  <c r="A11" i="31"/>
  <c r="B10" i="31"/>
  <c r="B16" i="31" s="1"/>
  <c r="B22" i="31" s="1"/>
  <c r="B28" i="31" s="1"/>
  <c r="B34" i="31" s="1"/>
  <c r="B40" i="31" s="1"/>
  <c r="B46" i="31" s="1"/>
  <c r="B52" i="31" s="1"/>
  <c r="B58" i="31" s="1"/>
  <c r="A10" i="31"/>
  <c r="A16" i="31" s="1"/>
  <c r="A22" i="31" s="1"/>
  <c r="A28" i="31" s="1"/>
  <c r="A34" i="31" s="1"/>
  <c r="A40" i="31" s="1"/>
  <c r="A46" i="31" s="1"/>
  <c r="A52" i="31" s="1"/>
  <c r="A58" i="31" s="1"/>
  <c r="A9" i="31"/>
  <c r="A15" i="31" s="1"/>
  <c r="A21" i="31" s="1"/>
  <c r="A27" i="31" s="1"/>
  <c r="A33" i="31" s="1"/>
  <c r="A39" i="31" s="1"/>
  <c r="A45" i="31" s="1"/>
  <c r="A51" i="31" s="1"/>
  <c r="A57" i="31" s="1"/>
  <c r="B8" i="31"/>
  <c r="B14" i="31" s="1"/>
  <c r="B20" i="31" s="1"/>
  <c r="B26" i="31" s="1"/>
  <c r="B32" i="31" s="1"/>
  <c r="B38" i="31" s="1"/>
  <c r="B44" i="31" s="1"/>
  <c r="B50" i="31" s="1"/>
  <c r="B56" i="31" s="1"/>
  <c r="A8" i="31"/>
  <c r="A14" i="31" s="1"/>
  <c r="A20" i="31" s="1"/>
  <c r="A26" i="31" s="1"/>
  <c r="A32" i="31" s="1"/>
  <c r="A38" i="31" s="1"/>
  <c r="A44" i="31" s="1"/>
  <c r="A50" i="31" s="1"/>
  <c r="A56" i="31" s="1"/>
  <c r="A3" i="31"/>
  <c r="A1" i="31"/>
  <c r="T90" i="32"/>
  <c r="AJ61" i="32"/>
  <c r="AH61" i="32"/>
  <c r="T59" i="32"/>
  <c r="R59" i="32"/>
  <c r="BD57" i="32"/>
  <c r="BD56" i="32"/>
  <c r="AZ57" i="32"/>
  <c r="AZ56" i="32"/>
  <c r="AV57" i="32"/>
  <c r="AV56" i="32"/>
  <c r="AT57" i="32"/>
  <c r="AT56" i="32"/>
  <c r="AT55" i="32"/>
  <c r="AR57" i="32"/>
  <c r="AR56" i="32"/>
  <c r="AP57" i="32"/>
  <c r="AP56" i="32"/>
  <c r="AN57" i="32"/>
  <c r="AN56" i="32"/>
  <c r="AL57" i="32"/>
  <c r="AL56" i="32"/>
  <c r="AJ57" i="32"/>
  <c r="AJ56" i="32"/>
  <c r="AH57" i="32"/>
  <c r="AH56" i="32"/>
  <c r="X57" i="32"/>
  <c r="X59" i="32" s="1"/>
  <c r="V57" i="32"/>
  <c r="V59" i="32" s="1"/>
  <c r="V56" i="32"/>
  <c r="P57" i="32"/>
  <c r="N57" i="32"/>
  <c r="N59" i="32" s="1"/>
  <c r="L57" i="32"/>
  <c r="L56" i="32"/>
  <c r="L59" i="32" s="1"/>
  <c r="H57" i="32"/>
  <c r="H56" i="32"/>
  <c r="H59" i="32" s="1"/>
  <c r="F57" i="32"/>
  <c r="F56" i="32"/>
  <c r="BH56" i="32"/>
  <c r="BJ56" i="32" s="1"/>
  <c r="BL56" i="32" s="1"/>
  <c r="BN56" i="32" s="1"/>
  <c r="BP56" i="32" s="1"/>
  <c r="BB56" i="32"/>
  <c r="AX56" i="32"/>
  <c r="AF56" i="32"/>
  <c r="Z56" i="32"/>
  <c r="Z59" i="32" s="1"/>
  <c r="J56" i="32"/>
  <c r="J59" i="32" s="1"/>
  <c r="D56" i="32"/>
  <c r="D59" i="32" s="1"/>
  <c r="AX53" i="32"/>
  <c r="BD51" i="32"/>
  <c r="BD50" i="32"/>
  <c r="BD49" i="32"/>
  <c r="BD59" i="32" s="1"/>
  <c r="BB51" i="32"/>
  <c r="BB50" i="32"/>
  <c r="BB59" i="32" s="1"/>
  <c r="AZ51" i="32"/>
  <c r="AZ50" i="32"/>
  <c r="AZ49" i="32"/>
  <c r="AZ59" i="32" s="1"/>
  <c r="AV51" i="32"/>
  <c r="AV50" i="32"/>
  <c r="AV49" i="32"/>
  <c r="AV59" i="32" s="1"/>
  <c r="AT51" i="32"/>
  <c r="AT50" i="32"/>
  <c r="AT59" i="32" s="1"/>
  <c r="AR51" i="32"/>
  <c r="AP51" i="32"/>
  <c r="AP50" i="32"/>
  <c r="AP49" i="32"/>
  <c r="AP59" i="32" s="1"/>
  <c r="AL51" i="32"/>
  <c r="AL59" i="32" s="1"/>
  <c r="AJ51" i="32"/>
  <c r="AJ50" i="32"/>
  <c r="AJ59" i="32" s="1"/>
  <c r="AH51" i="32"/>
  <c r="AH59" i="32" s="1"/>
  <c r="AF51" i="32"/>
  <c r="AF59" i="32" s="1"/>
  <c r="BH50" i="32"/>
  <c r="BH49" i="32"/>
  <c r="BF59" i="32"/>
  <c r="AX50" i="32"/>
  <c r="AX59" i="32" s="1"/>
  <c r="AN50" i="32"/>
  <c r="AN49" i="32"/>
  <c r="AN59" i="32" s="1"/>
  <c r="AR49" i="32"/>
  <c r="AR59" i="32" s="1"/>
  <c r="AD49" i="32"/>
  <c r="AD59" i="32" s="1"/>
  <c r="AB49" i="32"/>
  <c r="AB59" i="32" s="1"/>
  <c r="P49" i="32"/>
  <c r="P59" i="32" s="1"/>
  <c r="F49" i="32"/>
  <c r="F59" i="32" s="1"/>
  <c r="H39" i="32"/>
  <c r="F39" i="32"/>
  <c r="F40" i="32" s="1"/>
  <c r="F42" i="32" s="1"/>
  <c r="BP39" i="32"/>
  <c r="BD40" i="32"/>
  <c r="BD42" i="32" s="1"/>
  <c r="BB40" i="32"/>
  <c r="BB42" i="32" s="1"/>
  <c r="AZ40" i="32"/>
  <c r="AZ42" i="32" s="1"/>
  <c r="AX40" i="32"/>
  <c r="AX42" i="32" s="1"/>
  <c r="AV40" i="32"/>
  <c r="AV42" i="32" s="1"/>
  <c r="AT40" i="32"/>
  <c r="AT42" i="32" s="1"/>
  <c r="AR40" i="32"/>
  <c r="AR42" i="32" s="1"/>
  <c r="AP40" i="32"/>
  <c r="AP42" i="32" s="1"/>
  <c r="AN40" i="32"/>
  <c r="AN42" i="32" s="1"/>
  <c r="AL40" i="32"/>
  <c r="AL42" i="32" s="1"/>
  <c r="AJ40" i="32"/>
  <c r="AJ42" i="32" s="1"/>
  <c r="AH39" i="32"/>
  <c r="AH40" i="32" s="1"/>
  <c r="AH42" i="32" s="1"/>
  <c r="AF40" i="32"/>
  <c r="AF42" i="32" s="1"/>
  <c r="AF39" i="32"/>
  <c r="AD39" i="32"/>
  <c r="AD40" i="32" s="1"/>
  <c r="AD42" i="32" s="1"/>
  <c r="AB40" i="32"/>
  <c r="AB42" i="32" s="1"/>
  <c r="AB39" i="32"/>
  <c r="Z39" i="32"/>
  <c r="X39" i="32"/>
  <c r="V39" i="32"/>
  <c r="T40" i="32"/>
  <c r="T42" i="32" s="1"/>
  <c r="T39" i="32"/>
  <c r="R39" i="32"/>
  <c r="P40" i="32"/>
  <c r="P42" i="32" s="1"/>
  <c r="P39" i="32"/>
  <c r="N39" i="32"/>
  <c r="L40" i="32"/>
  <c r="L42" i="32" s="1"/>
  <c r="L39" i="32"/>
  <c r="J39" i="32"/>
  <c r="D40" i="32"/>
  <c r="D42" i="32" s="1"/>
  <c r="Z37" i="32"/>
  <c r="Z36" i="32"/>
  <c r="X37" i="32"/>
  <c r="X36" i="32"/>
  <c r="X40" i="32" s="1"/>
  <c r="X42" i="32" s="1"/>
  <c r="AB36" i="32"/>
  <c r="V36" i="32"/>
  <c r="V40" i="32" s="1"/>
  <c r="V42" i="32" s="1"/>
  <c r="T36" i="32"/>
  <c r="R36" i="32"/>
  <c r="R40" i="32" s="1"/>
  <c r="R42" i="32" s="1"/>
  <c r="P36" i="32"/>
  <c r="N36" i="32"/>
  <c r="L36" i="32"/>
  <c r="J36" i="32"/>
  <c r="J40" i="32" s="1"/>
  <c r="J42" i="32" s="1"/>
  <c r="H36" i="32"/>
  <c r="H40" i="32" s="1"/>
  <c r="H42" i="32" s="1"/>
  <c r="BL34" i="32"/>
  <c r="BH34" i="32"/>
  <c r="N34" i="32"/>
  <c r="N33" i="32"/>
  <c r="N40" i="32" s="1"/>
  <c r="N42" i="32" s="1"/>
  <c r="Z31" i="32"/>
  <c r="Z40" i="32" s="1"/>
  <c r="Z42" i="32" s="1"/>
  <c r="AB27" i="32"/>
  <c r="Z27" i="32"/>
  <c r="X27" i="32"/>
  <c r="V27" i="32"/>
  <c r="T27" i="32"/>
  <c r="AX22" i="32"/>
  <c r="AX44" i="32" s="1"/>
  <c r="F22" i="32"/>
  <c r="F44" i="32" s="1"/>
  <c r="BD20" i="32"/>
  <c r="BB20" i="32"/>
  <c r="AZ20" i="32"/>
  <c r="AX20" i="32"/>
  <c r="AV20" i="32"/>
  <c r="AT20" i="32"/>
  <c r="AR20" i="32"/>
  <c r="AP20" i="32"/>
  <c r="AN20" i="32"/>
  <c r="AL20" i="32"/>
  <c r="AJ20" i="32"/>
  <c r="AJ22" i="32" s="1"/>
  <c r="AJ44" i="32" s="1"/>
  <c r="AH20" i="32"/>
  <c r="AH19" i="32"/>
  <c r="AF20" i="32"/>
  <c r="AF19" i="32"/>
  <c r="V20" i="32"/>
  <c r="T20" i="32"/>
  <c r="R20" i="32"/>
  <c r="P20" i="32"/>
  <c r="N20" i="32"/>
  <c r="L20" i="32"/>
  <c r="J20" i="32"/>
  <c r="H20" i="32"/>
  <c r="BH19" i="32"/>
  <c r="BJ19" i="32" s="1"/>
  <c r="BL19" i="32" s="1"/>
  <c r="BN19" i="32" s="1"/>
  <c r="BP19" i="32" s="1"/>
  <c r="P16" i="32"/>
  <c r="N16" i="32"/>
  <c r="BJ15" i="32"/>
  <c r="BH14" i="32"/>
  <c r="BI19" i="3" s="1"/>
  <c r="BH13" i="32"/>
  <c r="BJ13" i="32" s="1"/>
  <c r="BL13" i="32" s="1"/>
  <c r="BN13" i="32" s="1"/>
  <c r="BP13" i="32" s="1"/>
  <c r="BD13" i="32"/>
  <c r="BF13" i="32" s="1"/>
  <c r="BB13" i="32"/>
  <c r="AR13" i="32"/>
  <c r="AT13" i="32" s="1"/>
  <c r="AV13" i="32" s="1"/>
  <c r="AP13" i="32"/>
  <c r="AL13" i="32"/>
  <c r="T13" i="32"/>
  <c r="AF12" i="32"/>
  <c r="D11" i="32"/>
  <c r="D10" i="32"/>
  <c r="D22" i="32" s="1"/>
  <c r="D44" i="32" s="1"/>
  <c r="BD10" i="32"/>
  <c r="BD22" i="32" s="1"/>
  <c r="BB10" i="32"/>
  <c r="BB22" i="32" s="1"/>
  <c r="BB44" i="32" s="1"/>
  <c r="AZ10" i="32"/>
  <c r="AZ22" i="32" s="1"/>
  <c r="AZ44" i="32" s="1"/>
  <c r="AV10" i="32"/>
  <c r="AT10" i="32"/>
  <c r="AR10" i="32"/>
  <c r="AR22" i="32" s="1"/>
  <c r="AR44" i="32" s="1"/>
  <c r="AP10" i="32"/>
  <c r="AP22" i="32" s="1"/>
  <c r="AP44" i="32" s="1"/>
  <c r="AN10" i="32"/>
  <c r="AN22" i="32" s="1"/>
  <c r="AL10" i="32"/>
  <c r="AL22" i="32" s="1"/>
  <c r="AL44" i="32" s="1"/>
  <c r="AH10" i="32"/>
  <c r="AH22" i="32" s="1"/>
  <c r="AH44" i="32" s="1"/>
  <c r="AF10" i="32"/>
  <c r="AF22" i="32" s="1"/>
  <c r="AF44" i="32" s="1"/>
  <c r="AD10" i="32"/>
  <c r="AD22" i="32" s="1"/>
  <c r="AB10" i="32"/>
  <c r="AB22" i="32" s="1"/>
  <c r="Z10" i="32"/>
  <c r="Z22" i="32" s="1"/>
  <c r="Z44" i="32" s="1"/>
  <c r="X10" i="32"/>
  <c r="X22" i="32" s="1"/>
  <c r="X44" i="32" s="1"/>
  <c r="V10" i="32"/>
  <c r="V22" i="32" s="1"/>
  <c r="T10" i="32"/>
  <c r="T22" i="32" s="1"/>
  <c r="R10" i="32"/>
  <c r="R22" i="32" s="1"/>
  <c r="R44" i="32" s="1"/>
  <c r="R65" i="32" s="1"/>
  <c r="P10" i="32"/>
  <c r="P22" i="32" s="1"/>
  <c r="P44" i="32" s="1"/>
  <c r="N10" i="32"/>
  <c r="N22" i="32" s="1"/>
  <c r="L10" i="32"/>
  <c r="L22" i="32" s="1"/>
  <c r="L44" i="32" s="1"/>
  <c r="J10" i="32"/>
  <c r="J22" i="32" s="1"/>
  <c r="J44" i="32" s="1"/>
  <c r="H10" i="32"/>
  <c r="H22" i="32" s="1"/>
  <c r="F8" i="32"/>
  <c r="H8" i="32" s="1"/>
  <c r="J8" i="32" s="1"/>
  <c r="L8" i="32" s="1"/>
  <c r="N8" i="32" s="1"/>
  <c r="P8" i="32" s="1"/>
  <c r="R8" i="32" s="1"/>
  <c r="T8" i="32" s="1"/>
  <c r="V8" i="32" s="1"/>
  <c r="X8" i="32" s="1"/>
  <c r="Z8" i="32" s="1"/>
  <c r="AB8" i="32" s="1"/>
  <c r="AD8" i="32" s="1"/>
  <c r="AF8" i="32" s="1"/>
  <c r="AH8" i="32" s="1"/>
  <c r="AJ8" i="32" s="1"/>
  <c r="AL8" i="32" s="1"/>
  <c r="AN8" i="32" s="1"/>
  <c r="AP8" i="32" s="1"/>
  <c r="AR8" i="32" s="1"/>
  <c r="AT8" i="32" s="1"/>
  <c r="AV8" i="32" s="1"/>
  <c r="AX8" i="32" s="1"/>
  <c r="AZ8" i="32" s="1"/>
  <c r="BB8" i="32" s="1"/>
  <c r="BD8" i="32" s="1"/>
  <c r="BF8" i="32" s="1"/>
  <c r="BH8" i="32" s="1"/>
  <c r="BJ8" i="32" s="1"/>
  <c r="BL8" i="32" s="1"/>
  <c r="BN8" i="32" s="1"/>
  <c r="BP8" i="32" s="1"/>
  <c r="A3" i="32"/>
  <c r="A1" i="32"/>
  <c r="BO90" i="3"/>
  <c r="BO89" i="3"/>
  <c r="BG89" i="3"/>
  <c r="BE90" i="3"/>
  <c r="BE89" i="3"/>
  <c r="BC90" i="3"/>
  <c r="BC89" i="3"/>
  <c r="BA90" i="3"/>
  <c r="BA89" i="3"/>
  <c r="AY90" i="3"/>
  <c r="AY89" i="3"/>
  <c r="AW90" i="3"/>
  <c r="AW89" i="3"/>
  <c r="AU90" i="3"/>
  <c r="AU89" i="3"/>
  <c r="AS90" i="3"/>
  <c r="AS89" i="3"/>
  <c r="AQ90" i="3"/>
  <c r="AQ89" i="3"/>
  <c r="AO90" i="3"/>
  <c r="AO89" i="3"/>
  <c r="AM90" i="3"/>
  <c r="AM89" i="3"/>
  <c r="AK90" i="3"/>
  <c r="AK89" i="3"/>
  <c r="AI90" i="3"/>
  <c r="AI89" i="3"/>
  <c r="AG90" i="3"/>
  <c r="AG89" i="3"/>
  <c r="AE90" i="3"/>
  <c r="AE89" i="3"/>
  <c r="AC90" i="3"/>
  <c r="AC89" i="3"/>
  <c r="AA90" i="3"/>
  <c r="AA89" i="3"/>
  <c r="Y90" i="3"/>
  <c r="Y89" i="3"/>
  <c r="S90" i="3"/>
  <c r="S89" i="3"/>
  <c r="Q90" i="3"/>
  <c r="Q89" i="3"/>
  <c r="W90" i="3"/>
  <c r="V90" i="3"/>
  <c r="U90" i="3"/>
  <c r="W89" i="3"/>
  <c r="V89" i="3"/>
  <c r="U89" i="3"/>
  <c r="AO86" i="3"/>
  <c r="AQ86" i="3" s="1"/>
  <c r="AS86" i="3" s="1"/>
  <c r="AU86" i="3" s="1"/>
  <c r="AW86" i="3" s="1"/>
  <c r="AY86" i="3" s="1"/>
  <c r="BA86" i="3" s="1"/>
  <c r="BC86" i="3" s="1"/>
  <c r="BE86" i="3" s="1"/>
  <c r="BG86" i="3" s="1"/>
  <c r="BI86" i="3" s="1"/>
  <c r="BK86" i="3" s="1"/>
  <c r="BM86" i="3" s="1"/>
  <c r="BO86" i="3" s="1"/>
  <c r="BQ86" i="3" s="1"/>
  <c r="AM86" i="3"/>
  <c r="AK86" i="3"/>
  <c r="AI86" i="3"/>
  <c r="AG86" i="3"/>
  <c r="AQ83" i="3"/>
  <c r="AQ84" i="3" s="1"/>
  <c r="AQ82" i="3"/>
  <c r="AS82" i="3" s="1"/>
  <c r="AU82" i="3" s="1"/>
  <c r="AW82" i="3" s="1"/>
  <c r="AY82" i="3" s="1"/>
  <c r="BA82" i="3" s="1"/>
  <c r="BC82" i="3" s="1"/>
  <c r="BE82" i="3" s="1"/>
  <c r="BG82" i="3" s="1"/>
  <c r="BI82" i="3" s="1"/>
  <c r="BK82" i="3" s="1"/>
  <c r="BM82" i="3" s="1"/>
  <c r="BO82" i="3" s="1"/>
  <c r="BQ82" i="3" s="1"/>
  <c r="AO84" i="3"/>
  <c r="AM84" i="3"/>
  <c r="AK84" i="3"/>
  <c r="AI84" i="3"/>
  <c r="AG84" i="3"/>
  <c r="BA69" i="3"/>
  <c r="AY69" i="3"/>
  <c r="AW69" i="3"/>
  <c r="AU69" i="3"/>
  <c r="AS69" i="3"/>
  <c r="AQ69" i="3"/>
  <c r="AO69" i="3"/>
  <c r="AM69" i="3"/>
  <c r="AK69" i="3"/>
  <c r="AI69" i="3"/>
  <c r="BE69" i="3"/>
  <c r="BC69" i="3"/>
  <c r="AG69" i="3"/>
  <c r="AE69" i="3"/>
  <c r="AC69" i="3"/>
  <c r="BK67" i="3"/>
  <c r="BM67" i="3" s="1"/>
  <c r="BI67" i="3"/>
  <c r="BG69" i="3"/>
  <c r="BI69" i="3" s="1"/>
  <c r="BK69" i="3" s="1"/>
  <c r="BM69" i="3" s="1"/>
  <c r="BO69" i="3" s="1"/>
  <c r="BQ69" i="3" s="1"/>
  <c r="AA69" i="3"/>
  <c r="Y69" i="3"/>
  <c r="W69" i="3"/>
  <c r="U69" i="3"/>
  <c r="S69" i="3"/>
  <c r="Q69" i="3"/>
  <c r="O69" i="3"/>
  <c r="O66" i="3"/>
  <c r="M69" i="3"/>
  <c r="M67" i="3"/>
  <c r="K69" i="3"/>
  <c r="K68" i="3"/>
  <c r="I69" i="3"/>
  <c r="BF68" i="3"/>
  <c r="BH68" i="3" s="1"/>
  <c r="BJ68" i="3" s="1"/>
  <c r="G68" i="3"/>
  <c r="BO67" i="3"/>
  <c r="BQ67" i="3" s="1"/>
  <c r="BE64" i="3"/>
  <c r="BE63" i="3"/>
  <c r="BE70" i="3" s="1"/>
  <c r="BG70" i="3" s="1"/>
  <c r="BI70" i="3" s="1"/>
  <c r="BK70" i="3" s="1"/>
  <c r="BM70" i="3" s="1"/>
  <c r="BO70" i="3" s="1"/>
  <c r="BQ70" i="3" s="1"/>
  <c r="BE62" i="3"/>
  <c r="BE71" i="3" s="1"/>
  <c r="BG71" i="3" s="1"/>
  <c r="BI71" i="3" s="1"/>
  <c r="BK71" i="3" s="1"/>
  <c r="BM71" i="3" s="1"/>
  <c r="BO71" i="3" s="1"/>
  <c r="BQ71" i="3" s="1"/>
  <c r="BE61" i="3"/>
  <c r="BE67" i="3" s="1"/>
  <c r="BC64" i="3"/>
  <c r="BC63" i="3"/>
  <c r="BC70" i="3" s="1"/>
  <c r="BC62" i="3"/>
  <c r="BC71" i="3" s="1"/>
  <c r="BC61" i="3"/>
  <c r="BC68" i="3" s="1"/>
  <c r="BA64" i="3"/>
  <c r="BA72" i="3" s="1"/>
  <c r="BA63" i="3"/>
  <c r="BA70" i="3" s="1"/>
  <c r="BA62" i="3"/>
  <c r="BA71" i="3" s="1"/>
  <c r="BA61" i="3"/>
  <c r="BA68" i="3" s="1"/>
  <c r="AY64" i="3"/>
  <c r="AY63" i="3"/>
  <c r="AY70" i="3" s="1"/>
  <c r="AY62" i="3"/>
  <c r="AY71" i="3" s="1"/>
  <c r="AY61" i="3"/>
  <c r="AY67" i="3" s="1"/>
  <c r="AW64" i="3"/>
  <c r="AW63" i="3"/>
  <c r="AW70" i="3" s="1"/>
  <c r="AW62" i="3"/>
  <c r="AW71" i="3" s="1"/>
  <c r="AW61" i="3"/>
  <c r="AW66" i="3" s="1"/>
  <c r="AU64" i="3"/>
  <c r="AU63" i="3"/>
  <c r="AU70" i="3" s="1"/>
  <c r="AU62" i="3"/>
  <c r="AU71" i="3" s="1"/>
  <c r="AU61" i="3"/>
  <c r="AU68" i="3" s="1"/>
  <c r="AS64" i="3"/>
  <c r="AS72" i="3" s="1"/>
  <c r="AS63" i="3"/>
  <c r="AS70" i="3" s="1"/>
  <c r="AS62" i="3"/>
  <c r="AS71" i="3" s="1"/>
  <c r="AS61" i="3"/>
  <c r="AS68" i="3" s="1"/>
  <c r="AQ64" i="3"/>
  <c r="AQ63" i="3"/>
  <c r="AQ70" i="3" s="1"/>
  <c r="AQ62" i="3"/>
  <c r="AQ71" i="3" s="1"/>
  <c r="AQ61" i="3"/>
  <c r="AQ67" i="3" s="1"/>
  <c r="AO64" i="3"/>
  <c r="AO63" i="3"/>
  <c r="AO70" i="3" s="1"/>
  <c r="AO62" i="3"/>
  <c r="AO71" i="3" s="1"/>
  <c r="AO61" i="3"/>
  <c r="AO66" i="3" s="1"/>
  <c r="AM64" i="3"/>
  <c r="AM63" i="3"/>
  <c r="AM70" i="3" s="1"/>
  <c r="AM62" i="3"/>
  <c r="AM71" i="3" s="1"/>
  <c r="AM61" i="3"/>
  <c r="AM68" i="3" s="1"/>
  <c r="AK64" i="3"/>
  <c r="AK72" i="3" s="1"/>
  <c r="AK63" i="3"/>
  <c r="AK70" i="3" s="1"/>
  <c r="AK62" i="3"/>
  <c r="AK71" i="3" s="1"/>
  <c r="AK61" i="3"/>
  <c r="AK67" i="3" s="1"/>
  <c r="AI64" i="3"/>
  <c r="AI63" i="3"/>
  <c r="AI70" i="3" s="1"/>
  <c r="AI62" i="3"/>
  <c r="AI71" i="3" s="1"/>
  <c r="AI61" i="3"/>
  <c r="AI67" i="3" s="1"/>
  <c r="AG64" i="3"/>
  <c r="AG72" i="3" s="1"/>
  <c r="AG63" i="3"/>
  <c r="AG70" i="3" s="1"/>
  <c r="AG62" i="3"/>
  <c r="AG71" i="3" s="1"/>
  <c r="AG61" i="3"/>
  <c r="AG68" i="3" s="1"/>
  <c r="AE64" i="3"/>
  <c r="AE72" i="3" s="1"/>
  <c r="AE63" i="3"/>
  <c r="AE70" i="3" s="1"/>
  <c r="AE62" i="3"/>
  <c r="AE71" i="3" s="1"/>
  <c r="AE61" i="3"/>
  <c r="AE67" i="3" s="1"/>
  <c r="AC64" i="3"/>
  <c r="AC72" i="3" s="1"/>
  <c r="AC63" i="3"/>
  <c r="AC70" i="3" s="1"/>
  <c r="AC62" i="3"/>
  <c r="AC71" i="3" s="1"/>
  <c r="AC61" i="3"/>
  <c r="AC66" i="3" s="1"/>
  <c r="AA64" i="3"/>
  <c r="AA63" i="3"/>
  <c r="AA70" i="3" s="1"/>
  <c r="AA62" i="3"/>
  <c r="AA71" i="3" s="1"/>
  <c r="AA61" i="3"/>
  <c r="AA67" i="3" s="1"/>
  <c r="Y64" i="3"/>
  <c r="Y63" i="3"/>
  <c r="Y70" i="3" s="1"/>
  <c r="Y62" i="3"/>
  <c r="Y71" i="3" s="1"/>
  <c r="Y61" i="3"/>
  <c r="Y68" i="3" s="1"/>
  <c r="W64" i="3"/>
  <c r="W63" i="3"/>
  <c r="W70" i="3" s="1"/>
  <c r="W62" i="3"/>
  <c r="W71" i="3" s="1"/>
  <c r="W61" i="3"/>
  <c r="W67" i="3" s="1"/>
  <c r="U64" i="3"/>
  <c r="U63" i="3"/>
  <c r="U70" i="3" s="1"/>
  <c r="U62" i="3"/>
  <c r="U71" i="3" s="1"/>
  <c r="U61" i="3"/>
  <c r="U68" i="3" s="1"/>
  <c r="S64" i="3"/>
  <c r="S63" i="3"/>
  <c r="S70" i="3" s="1"/>
  <c r="S62" i="3"/>
  <c r="S61" i="3"/>
  <c r="S66" i="3" s="1"/>
  <c r="Q64" i="3"/>
  <c r="Q63" i="3"/>
  <c r="Q70" i="3" s="1"/>
  <c r="Q62" i="3"/>
  <c r="Q61" i="3"/>
  <c r="Q67" i="3" s="1"/>
  <c r="O64" i="3"/>
  <c r="O63" i="3"/>
  <c r="O70" i="3" s="1"/>
  <c r="O62" i="3"/>
  <c r="O61" i="3"/>
  <c r="O68" i="3" s="1"/>
  <c r="M64" i="3"/>
  <c r="M63" i="3"/>
  <c r="M70" i="3" s="1"/>
  <c r="M62" i="3"/>
  <c r="M61" i="3"/>
  <c r="M66" i="3" s="1"/>
  <c r="K64" i="3"/>
  <c r="K63" i="3"/>
  <c r="K70" i="3" s="1"/>
  <c r="K62" i="3"/>
  <c r="K61" i="3"/>
  <c r="K66" i="3" s="1"/>
  <c r="I64" i="3"/>
  <c r="I63" i="3"/>
  <c r="I70" i="3" s="1"/>
  <c r="I62" i="3"/>
  <c r="I61" i="3"/>
  <c r="I67" i="3" s="1"/>
  <c r="G64" i="3"/>
  <c r="G63" i="3"/>
  <c r="G70" i="3" s="1"/>
  <c r="G62" i="3"/>
  <c r="G61" i="3"/>
  <c r="G66" i="3" s="1"/>
  <c r="AS54" i="3"/>
  <c r="AS53" i="3"/>
  <c r="AS56" i="3" s="1"/>
  <c r="AQ54" i="3"/>
  <c r="AQ53" i="3"/>
  <c r="AQ56" i="3" s="1"/>
  <c r="AO54" i="3"/>
  <c r="AO53" i="3"/>
  <c r="AO56" i="3" s="1"/>
  <c r="AM54" i="3"/>
  <c r="AM53" i="3"/>
  <c r="AM56" i="3" s="1"/>
  <c r="AK54" i="3"/>
  <c r="AK53" i="3"/>
  <c r="AK56" i="3" s="1"/>
  <c r="AI56" i="3"/>
  <c r="AI54" i="3"/>
  <c r="AI53" i="3"/>
  <c r="AG54" i="3"/>
  <c r="AE54" i="3"/>
  <c r="AB56" i="3"/>
  <c r="Z56" i="3"/>
  <c r="X56" i="3"/>
  <c r="V56" i="3"/>
  <c r="T56" i="3"/>
  <c r="R56" i="3"/>
  <c r="P56" i="3"/>
  <c r="N56" i="3"/>
  <c r="J56" i="3"/>
  <c r="H56" i="3"/>
  <c r="BN55" i="3"/>
  <c r="BL55" i="3"/>
  <c r="BJ55" i="3"/>
  <c r="BH55" i="3"/>
  <c r="BF55" i="3"/>
  <c r="BB55" i="3"/>
  <c r="AZ55" i="3"/>
  <c r="AX55" i="3"/>
  <c r="AU54" i="3"/>
  <c r="AU53" i="3"/>
  <c r="H55" i="3"/>
  <c r="F55" i="3"/>
  <c r="BE54" i="3"/>
  <c r="BE53" i="3"/>
  <c r="BC54" i="3"/>
  <c r="BC53" i="3"/>
  <c r="BA54" i="3"/>
  <c r="BA53" i="3"/>
  <c r="AY54" i="3"/>
  <c r="AY53" i="3"/>
  <c r="AW54" i="3"/>
  <c r="AW53" i="3"/>
  <c r="BI47" i="3"/>
  <c r="BK47" i="3" s="1"/>
  <c r="BM47" i="3" s="1"/>
  <c r="BO47" i="3" s="1"/>
  <c r="BQ47" i="3" s="1"/>
  <c r="BI46" i="3"/>
  <c r="BK46" i="3" s="1"/>
  <c r="BM46" i="3" s="1"/>
  <c r="BO46" i="3" s="1"/>
  <c r="BQ46" i="3" s="1"/>
  <c r="BI43" i="3"/>
  <c r="BG43" i="3"/>
  <c r="BE48" i="3"/>
  <c r="BE75" i="3" s="1"/>
  <c r="BC48" i="3"/>
  <c r="BC75" i="3" s="1"/>
  <c r="BA48" i="3"/>
  <c r="BA75" i="3" s="1"/>
  <c r="AY48" i="3"/>
  <c r="AY75" i="3" s="1"/>
  <c r="AW48" i="3"/>
  <c r="AW75" i="3" s="1"/>
  <c r="AU48" i="3"/>
  <c r="AU75" i="3" s="1"/>
  <c r="AS48" i="3"/>
  <c r="AS75" i="3" s="1"/>
  <c r="AQ48" i="3"/>
  <c r="AQ75" i="3" s="1"/>
  <c r="AO48" i="3"/>
  <c r="AO75" i="3" s="1"/>
  <c r="AM48" i="3"/>
  <c r="AM75" i="3" s="1"/>
  <c r="AK48" i="3"/>
  <c r="AG48" i="3"/>
  <c r="AG75" i="3" s="1"/>
  <c r="AE48" i="3"/>
  <c r="AC48" i="3"/>
  <c r="Y48" i="3"/>
  <c r="W48" i="3"/>
  <c r="U48" i="3"/>
  <c r="S48" i="3"/>
  <c r="Q48" i="3"/>
  <c r="Q50" i="3" s="1"/>
  <c r="O48" i="3"/>
  <c r="M48" i="3"/>
  <c r="K48" i="3"/>
  <c r="I48" i="3"/>
  <c r="G48" i="3"/>
  <c r="E48" i="3"/>
  <c r="AO46" i="3"/>
  <c r="AM46" i="3"/>
  <c r="AK46" i="3"/>
  <c r="AI46" i="3"/>
  <c r="AI48" i="3" s="1"/>
  <c r="AG46" i="3"/>
  <c r="AE46" i="3"/>
  <c r="AC46" i="3"/>
  <c r="AA46" i="3"/>
  <c r="AA48" i="3" s="1"/>
  <c r="BC40" i="3"/>
  <c r="BC50" i="3" s="1"/>
  <c r="AU40" i="3"/>
  <c r="AU50" i="3" s="1"/>
  <c r="AM40" i="3"/>
  <c r="AM50" i="3" s="1"/>
  <c r="AE40" i="3"/>
  <c r="AE50" i="3" s="1"/>
  <c r="W40" i="3"/>
  <c r="W50" i="3" s="1"/>
  <c r="O40" i="3"/>
  <c r="O50" i="3" s="1"/>
  <c r="G40" i="3"/>
  <c r="G50" i="3" s="1"/>
  <c r="BE38" i="3"/>
  <c r="BE40" i="3" s="1"/>
  <c r="BC38" i="3"/>
  <c r="BA38" i="3"/>
  <c r="AY38" i="3"/>
  <c r="AW38" i="3"/>
  <c r="AW40" i="3" s="1"/>
  <c r="AU38" i="3"/>
  <c r="AS38" i="3"/>
  <c r="AQ38" i="3"/>
  <c r="AO38" i="3"/>
  <c r="AO40" i="3" s="1"/>
  <c r="AM38" i="3"/>
  <c r="AK38" i="3"/>
  <c r="AI38" i="3"/>
  <c r="AG38" i="3"/>
  <c r="AG40" i="3" s="1"/>
  <c r="AE38" i="3"/>
  <c r="AC38" i="3"/>
  <c r="AA38" i="3"/>
  <c r="Y38" i="3"/>
  <c r="Y40" i="3" s="1"/>
  <c r="W38" i="3"/>
  <c r="Q38" i="3"/>
  <c r="Q40" i="3" s="1"/>
  <c r="I38" i="3"/>
  <c r="I40" i="3" s="1"/>
  <c r="G38" i="3"/>
  <c r="E38" i="3"/>
  <c r="BI36" i="3"/>
  <c r="BK36" i="3" s="1"/>
  <c r="BM36" i="3" s="1"/>
  <c r="BO36" i="3" s="1"/>
  <c r="BQ36" i="3" s="1"/>
  <c r="BI35" i="3"/>
  <c r="BK35" i="3" s="1"/>
  <c r="BM35" i="3" s="1"/>
  <c r="BO35" i="3" s="1"/>
  <c r="BQ35" i="3" s="1"/>
  <c r="BP15" i="32" s="1"/>
  <c r="BI34" i="3"/>
  <c r="BK34" i="3" s="1"/>
  <c r="BM34" i="3" s="1"/>
  <c r="BO34" i="3" s="1"/>
  <c r="BQ34" i="3" s="1"/>
  <c r="BI33" i="3"/>
  <c r="U36" i="3"/>
  <c r="U38" i="3" s="1"/>
  <c r="S36" i="3"/>
  <c r="S38" i="3" s="1"/>
  <c r="Q36" i="3"/>
  <c r="O36" i="3"/>
  <c r="O38" i="3" s="1"/>
  <c r="M36" i="3"/>
  <c r="M38" i="3" s="1"/>
  <c r="K36" i="3"/>
  <c r="K38" i="3" s="1"/>
  <c r="BI28" i="3"/>
  <c r="BK28" i="3" s="1"/>
  <c r="BJ50" i="32" s="1"/>
  <c r="BE31" i="3"/>
  <c r="BC31" i="3"/>
  <c r="BA31" i="3"/>
  <c r="BA40" i="3" s="1"/>
  <c r="AY31" i="3"/>
  <c r="AY40" i="3" s="1"/>
  <c r="AY50" i="3" s="1"/>
  <c r="AW31" i="3"/>
  <c r="AU31" i="3"/>
  <c r="AS31" i="3"/>
  <c r="AS40" i="3" s="1"/>
  <c r="AQ31" i="3"/>
  <c r="AQ40" i="3" s="1"/>
  <c r="AQ50" i="3" s="1"/>
  <c r="AO31" i="3"/>
  <c r="AM31" i="3"/>
  <c r="AK31" i="3"/>
  <c r="AK40" i="3" s="1"/>
  <c r="AI31" i="3"/>
  <c r="AI40" i="3" s="1"/>
  <c r="AG31" i="3"/>
  <c r="AE31" i="3"/>
  <c r="AC31" i="3"/>
  <c r="AC40" i="3" s="1"/>
  <c r="AA31" i="3"/>
  <c r="AA40" i="3" s="1"/>
  <c r="Y31" i="3"/>
  <c r="W31" i="3"/>
  <c r="U31" i="3"/>
  <c r="S31" i="3"/>
  <c r="Q31" i="3"/>
  <c r="O31" i="3"/>
  <c r="M31" i="3"/>
  <c r="K31" i="3"/>
  <c r="I31" i="3"/>
  <c r="G31" i="3"/>
  <c r="E31" i="3"/>
  <c r="E40" i="3" s="1"/>
  <c r="BE19" i="3"/>
  <c r="BA19" i="3"/>
  <c r="AY19" i="3"/>
  <c r="AW19" i="3"/>
  <c r="AU19" i="3"/>
  <c r="AS19" i="3"/>
  <c r="AQ19" i="3"/>
  <c r="AO19" i="3"/>
  <c r="AM19" i="3"/>
  <c r="AK19" i="3"/>
  <c r="AI19" i="3"/>
  <c r="AC19" i="3"/>
  <c r="AA19" i="3"/>
  <c r="Y19" i="3"/>
  <c r="W19" i="3"/>
  <c r="U19" i="3"/>
  <c r="S19" i="3"/>
  <c r="Q19" i="3"/>
  <c r="O19" i="3"/>
  <c r="M19" i="3"/>
  <c r="I19" i="3"/>
  <c r="BO13" i="3"/>
  <c r="BI10" i="3"/>
  <c r="BK10" i="3" s="1"/>
  <c r="BM10" i="3" s="1"/>
  <c r="BO10" i="3" s="1"/>
  <c r="BQ10" i="3" s="1"/>
  <c r="BP34" i="32" s="1"/>
  <c r="BG13" i="3"/>
  <c r="BI13" i="3" s="1"/>
  <c r="BK13" i="3" s="1"/>
  <c r="BM13" i="3" s="1"/>
  <c r="AK14" i="3"/>
  <c r="Q14" i="3"/>
  <c r="Q68" i="3" s="1"/>
  <c r="M14" i="3"/>
  <c r="M68" i="3" s="1"/>
  <c r="G15" i="3"/>
  <c r="G21" i="3" s="1"/>
  <c r="E15" i="3"/>
  <c r="E21" i="3" s="1"/>
  <c r="BE13" i="3"/>
  <c r="K13" i="3"/>
  <c r="AK10" i="3"/>
  <c r="N9" i="3"/>
  <c r="L9" i="3"/>
  <c r="J9" i="3"/>
  <c r="K6" i="3"/>
  <c r="M6" i="3" s="1"/>
  <c r="O6" i="3" s="1"/>
  <c r="Q6" i="3" s="1"/>
  <c r="S6" i="3" s="1"/>
  <c r="U6" i="3" s="1"/>
  <c r="W6" i="3" s="1"/>
  <c r="Y6" i="3" s="1"/>
  <c r="AA6" i="3" s="1"/>
  <c r="AC6" i="3" s="1"/>
  <c r="AE6" i="3" s="1"/>
  <c r="AG6" i="3" s="1"/>
  <c r="AI6" i="3" s="1"/>
  <c r="AK6" i="3" s="1"/>
  <c r="AM6" i="3" s="1"/>
  <c r="AO6" i="3" s="1"/>
  <c r="AQ6" i="3" s="1"/>
  <c r="AS6" i="3" s="1"/>
  <c r="AU6" i="3" s="1"/>
  <c r="AW6" i="3" s="1"/>
  <c r="AY6" i="3" s="1"/>
  <c r="BA6" i="3" s="1"/>
  <c r="BC6" i="3" s="1"/>
  <c r="BE6" i="3" s="1"/>
  <c r="BG6" i="3" s="1"/>
  <c r="BI6" i="3" s="1"/>
  <c r="BK6" i="3" s="1"/>
  <c r="BM6" i="3" s="1"/>
  <c r="BO6" i="3" s="1"/>
  <c r="BQ6" i="3" s="1"/>
  <c r="I6" i="3"/>
  <c r="G6" i="3"/>
  <c r="AI66" i="8"/>
  <c r="U64" i="8"/>
  <c r="V64" i="8" s="1"/>
  <c r="W64" i="8" s="1"/>
  <c r="X64" i="8" s="1"/>
  <c r="Y64" i="8" s="1"/>
  <c r="Z64" i="8" s="1"/>
  <c r="AA64" i="8" s="1"/>
  <c r="AB64" i="8" s="1"/>
  <c r="T64" i="8"/>
  <c r="S64" i="8"/>
  <c r="R64" i="8"/>
  <c r="Q64" i="8"/>
  <c r="P64" i="8"/>
  <c r="O64" i="8"/>
  <c r="N64" i="8"/>
  <c r="M64" i="8"/>
  <c r="L64" i="8"/>
  <c r="U63" i="8"/>
  <c r="T63" i="8"/>
  <c r="S63" i="8"/>
  <c r="R63" i="8"/>
  <c r="Q63" i="8"/>
  <c r="P63" i="8"/>
  <c r="O63" i="8"/>
  <c r="N63" i="8"/>
  <c r="M63" i="8"/>
  <c r="L63" i="8"/>
  <c r="AC61" i="8"/>
  <c r="AB61" i="8"/>
  <c r="AA61" i="8"/>
  <c r="Z61" i="8"/>
  <c r="Y61" i="8"/>
  <c r="X61" i="8"/>
  <c r="W61" i="8"/>
  <c r="V61" i="8"/>
  <c r="U61" i="8"/>
  <c r="T61" i="8"/>
  <c r="S61" i="8"/>
  <c r="R61" i="8"/>
  <c r="Q61" i="8"/>
  <c r="P61" i="8"/>
  <c r="O61" i="8"/>
  <c r="N61" i="8"/>
  <c r="M61" i="8"/>
  <c r="L61" i="8"/>
  <c r="K61" i="8"/>
  <c r="J61" i="8"/>
  <c r="Y59" i="8"/>
  <c r="Y60" i="8" s="1"/>
  <c r="V59" i="8"/>
  <c r="V60" i="8" s="1"/>
  <c r="U59" i="8"/>
  <c r="U60" i="8" s="1"/>
  <c r="S59" i="8"/>
  <c r="S60" i="8" s="1"/>
  <c r="R59" i="8"/>
  <c r="R60" i="8" s="1"/>
  <c r="Q59" i="8"/>
  <c r="Q60" i="8" s="1"/>
  <c r="P59" i="8"/>
  <c r="M59" i="8"/>
  <c r="M60" i="8" s="1"/>
  <c r="L59" i="8"/>
  <c r="AB52" i="8"/>
  <c r="AA52" i="8"/>
  <c r="Z52" i="8"/>
  <c r="Y52" i="8"/>
  <c r="X52" i="8"/>
  <c r="W52" i="8"/>
  <c r="AJ52" i="8" s="1"/>
  <c r="V52" i="8"/>
  <c r="V63" i="8" s="1"/>
  <c r="U52" i="8"/>
  <c r="U66" i="8" s="1"/>
  <c r="T52" i="8"/>
  <c r="S52" i="8"/>
  <c r="R52" i="8"/>
  <c r="Q52" i="8"/>
  <c r="P52" i="8"/>
  <c r="P60" i="8" s="1"/>
  <c r="O52" i="8"/>
  <c r="N52" i="8"/>
  <c r="M52" i="8"/>
  <c r="L52" i="8"/>
  <c r="L60" i="8" s="1"/>
  <c r="K52" i="8"/>
  <c r="J52" i="8"/>
  <c r="I52" i="8"/>
  <c r="H52" i="8"/>
  <c r="G52" i="8"/>
  <c r="F52" i="8"/>
  <c r="E52" i="8"/>
  <c r="D52" i="8"/>
  <c r="C52" i="8"/>
  <c r="B52" i="8"/>
  <c r="B50" i="8"/>
  <c r="AB43" i="8"/>
  <c r="AA43" i="8"/>
  <c r="Z43" i="8"/>
  <c r="Y43" i="8"/>
  <c r="X43" i="8"/>
  <c r="W43" i="8"/>
  <c r="AJ43" i="8" s="1"/>
  <c r="V43" i="8"/>
  <c r="U43" i="8"/>
  <c r="T43" i="8"/>
  <c r="S43" i="8"/>
  <c r="Q43" i="8"/>
  <c r="P43" i="8"/>
  <c r="O43" i="8"/>
  <c r="N43" i="8"/>
  <c r="M43" i="8"/>
  <c r="L43" i="8"/>
  <c r="K43" i="8"/>
  <c r="J43" i="8"/>
  <c r="I43" i="8"/>
  <c r="H43" i="8"/>
  <c r="G43" i="8"/>
  <c r="F43" i="8"/>
  <c r="E43" i="8"/>
  <c r="D43" i="8"/>
  <c r="C43" i="8"/>
  <c r="B43" i="8"/>
  <c r="Z37" i="8"/>
  <c r="AB34" i="8"/>
  <c r="AA34" i="8"/>
  <c r="Z34" i="8"/>
  <c r="Z35" i="8" s="1"/>
  <c r="Y34" i="8"/>
  <c r="X34" i="8"/>
  <c r="W34" i="8"/>
  <c r="AJ34" i="8" s="1"/>
  <c r="V34" i="8"/>
  <c r="V35" i="8" s="1"/>
  <c r="U34" i="8"/>
  <c r="T34" i="8"/>
  <c r="T35" i="8" s="1"/>
  <c r="S34" i="8"/>
  <c r="R34" i="8"/>
  <c r="R35" i="8" s="1"/>
  <c r="Q34" i="8"/>
  <c r="P34" i="8"/>
  <c r="P35" i="8" s="1"/>
  <c r="O34" i="8"/>
  <c r="N34" i="8"/>
  <c r="M34" i="8"/>
  <c r="L34" i="8"/>
  <c r="K34" i="8"/>
  <c r="J34" i="8"/>
  <c r="I34" i="8"/>
  <c r="H34" i="8"/>
  <c r="G34" i="8"/>
  <c r="F34" i="8"/>
  <c r="E34" i="8"/>
  <c r="D34" i="8"/>
  <c r="D35" i="8" s="1"/>
  <c r="C34" i="8"/>
  <c r="B34" i="8"/>
  <c r="R29" i="8"/>
  <c r="AB28" i="8"/>
  <c r="AA28" i="8"/>
  <c r="Z28" i="8"/>
  <c r="Y28" i="8"/>
  <c r="X28" i="8"/>
  <c r="W28" i="8"/>
  <c r="AJ28" i="8" s="1"/>
  <c r="V28" i="8"/>
  <c r="U28" i="8"/>
  <c r="T28" i="8"/>
  <c r="S28" i="8"/>
  <c r="R28" i="8"/>
  <c r="Q28" i="8"/>
  <c r="P28" i="8"/>
  <c r="O28" i="8"/>
  <c r="N28" i="8"/>
  <c r="M28" i="8"/>
  <c r="L28" i="8"/>
  <c r="K28" i="8"/>
  <c r="J28" i="8"/>
  <c r="I28" i="8"/>
  <c r="H28" i="8"/>
  <c r="G28" i="8"/>
  <c r="F28" i="8"/>
  <c r="E28" i="8"/>
  <c r="D28" i="8"/>
  <c r="C28" i="8"/>
  <c r="B28" i="8"/>
  <c r="AH26" i="8"/>
  <c r="AG26" i="8"/>
  <c r="AF26" i="8"/>
  <c r="Z26" i="8"/>
  <c r="Y26" i="8"/>
  <c r="X26" i="8"/>
  <c r="W26" i="8"/>
  <c r="V26" i="8"/>
  <c r="U26" i="8"/>
  <c r="T26" i="8"/>
  <c r="S26" i="8"/>
  <c r="R26" i="8"/>
  <c r="Q26" i="8"/>
  <c r="P26" i="8"/>
  <c r="O26" i="8"/>
  <c r="N26" i="8"/>
  <c r="M26" i="8"/>
  <c r="L26" i="8"/>
  <c r="K26" i="8"/>
  <c r="J26" i="8"/>
  <c r="I26" i="8"/>
  <c r="H26" i="8"/>
  <c r="G26" i="8"/>
  <c r="M24" i="8"/>
  <c r="T23" i="8"/>
  <c r="L23" i="8"/>
  <c r="E23" i="8"/>
  <c r="X21" i="8"/>
  <c r="S21" i="8"/>
  <c r="M21" i="8"/>
  <c r="M22" i="8" s="1"/>
  <c r="H21" i="8"/>
  <c r="W20" i="8"/>
  <c r="R20" i="8"/>
  <c r="M20" i="8"/>
  <c r="I20" i="8"/>
  <c r="E20" i="8"/>
  <c r="AB19" i="8"/>
  <c r="AA19" i="8"/>
  <c r="Z19" i="8"/>
  <c r="Y19" i="8"/>
  <c r="X19" i="8"/>
  <c r="W19" i="8"/>
  <c r="V19" i="8"/>
  <c r="U19" i="8"/>
  <c r="T19" i="8"/>
  <c r="S19" i="8"/>
  <c r="R19" i="8"/>
  <c r="Q19" i="8"/>
  <c r="P19" i="8"/>
  <c r="O19" i="8"/>
  <c r="N19" i="8"/>
  <c r="M19" i="8"/>
  <c r="L19" i="8"/>
  <c r="K19" i="8"/>
  <c r="J19" i="8"/>
  <c r="I19" i="8"/>
  <c r="H19" i="8"/>
  <c r="G19" i="8"/>
  <c r="F19" i="8"/>
  <c r="E19" i="8"/>
  <c r="D19" i="8"/>
  <c r="AB17" i="8"/>
  <c r="Z17" i="8"/>
  <c r="V17" i="8"/>
  <c r="R17" i="8"/>
  <c r="Q17" i="8"/>
  <c r="P17" i="8"/>
  <c r="O17" i="8"/>
  <c r="N17" i="8"/>
  <c r="M17" i="8"/>
  <c r="L17" i="8"/>
  <c r="K17" i="8"/>
  <c r="J17" i="8"/>
  <c r="I17" i="8"/>
  <c r="H17" i="8"/>
  <c r="G17" i="8"/>
  <c r="F17" i="8"/>
  <c r="E17" i="8"/>
  <c r="D17" i="8"/>
  <c r="AA16" i="8"/>
  <c r="W16" i="8"/>
  <c r="O16" i="8"/>
  <c r="G16" i="8"/>
  <c r="Z15" i="8"/>
  <c r="AA17" i="8" s="1"/>
  <c r="Y15" i="8"/>
  <c r="Y16" i="8" s="1"/>
  <c r="X15" i="8"/>
  <c r="X17" i="8" s="1"/>
  <c r="W15" i="8"/>
  <c r="W17" i="8" s="1"/>
  <c r="V15" i="8"/>
  <c r="V16" i="8" s="1"/>
  <c r="U15" i="8"/>
  <c r="U16" i="8" s="1"/>
  <c r="T15" i="8"/>
  <c r="T17" i="8" s="1"/>
  <c r="S15" i="8"/>
  <c r="S17" i="8" s="1"/>
  <c r="AB14" i="8"/>
  <c r="AB21" i="8" s="1"/>
  <c r="AA14" i="8"/>
  <c r="Z14" i="8"/>
  <c r="Y14" i="8"/>
  <c r="Y21" i="8" s="1"/>
  <c r="Y22" i="8" s="1"/>
  <c r="X14" i="8"/>
  <c r="W14" i="8"/>
  <c r="V14" i="8"/>
  <c r="U14" i="8"/>
  <c r="T14" i="8"/>
  <c r="S14" i="8"/>
  <c r="R14" i="8"/>
  <c r="Q14" i="8"/>
  <c r="Q24" i="8" s="1"/>
  <c r="P14" i="8"/>
  <c r="O14" i="8"/>
  <c r="N14" i="8"/>
  <c r="M14" i="8"/>
  <c r="L14" i="8"/>
  <c r="L21" i="8" s="1"/>
  <c r="K14" i="8"/>
  <c r="J14" i="8"/>
  <c r="I14" i="8"/>
  <c r="I21" i="8" s="1"/>
  <c r="H14" i="8"/>
  <c r="H23" i="8" s="1"/>
  <c r="G14" i="8"/>
  <c r="F14" i="8"/>
  <c r="E14" i="8"/>
  <c r="E21" i="8" s="1"/>
  <c r="D14" i="8"/>
  <c r="D21" i="8" s="1"/>
  <c r="C14" i="8"/>
  <c r="C23" i="8" s="1"/>
  <c r="B14" i="8"/>
  <c r="Z12" i="8"/>
  <c r="V12" i="8"/>
  <c r="R12" i="8"/>
  <c r="N12" i="8"/>
  <c r="J12" i="8"/>
  <c r="F12" i="8"/>
  <c r="AB11" i="8"/>
  <c r="AA11" i="8"/>
  <c r="Z11" i="8"/>
  <c r="Y11" i="8"/>
  <c r="X11" i="8"/>
  <c r="W11" i="8"/>
  <c r="V11" i="8"/>
  <c r="U11" i="8"/>
  <c r="T11" i="8"/>
  <c r="S11" i="8"/>
  <c r="Q11" i="8"/>
  <c r="P11" i="8"/>
  <c r="O11" i="8"/>
  <c r="N11" i="8"/>
  <c r="M11" i="8"/>
  <c r="L11" i="8"/>
  <c r="K11" i="8"/>
  <c r="J11" i="8"/>
  <c r="I11" i="8"/>
  <c r="H11" i="8"/>
  <c r="G11" i="8"/>
  <c r="F11" i="8"/>
  <c r="E11" i="8"/>
  <c r="D11" i="8"/>
  <c r="C11" i="8"/>
  <c r="B11" i="8"/>
  <c r="B7" i="8"/>
  <c r="B31" i="8" s="1"/>
  <c r="B40" i="8" s="1"/>
  <c r="B46" i="8" s="1"/>
  <c r="AB9" i="8"/>
  <c r="AA9" i="8"/>
  <c r="Z9" i="8"/>
  <c r="Y9" i="8"/>
  <c r="X9" i="8"/>
  <c r="W9" i="8"/>
  <c r="X8" i="8"/>
  <c r="AB7" i="8"/>
  <c r="AA7" i="8"/>
  <c r="AA29" i="8" s="1"/>
  <c r="Z7" i="8"/>
  <c r="Y7" i="8"/>
  <c r="Y31" i="8" s="1"/>
  <c r="X7" i="8"/>
  <c r="W7" i="8"/>
  <c r="W29" i="8" s="1"/>
  <c r="P8" i="8"/>
  <c r="L8" i="8"/>
  <c r="H8" i="8"/>
  <c r="V7" i="8"/>
  <c r="V31" i="8" s="1"/>
  <c r="U7" i="8"/>
  <c r="U31" i="8" s="1"/>
  <c r="T7" i="8"/>
  <c r="S7" i="8"/>
  <c r="R7" i="8"/>
  <c r="R31" i="8" s="1"/>
  <c r="Q7" i="8"/>
  <c r="Q31" i="8" s="1"/>
  <c r="P7" i="8"/>
  <c r="O7" i="8"/>
  <c r="N7" i="8"/>
  <c r="N31" i="8" s="1"/>
  <c r="M7" i="8"/>
  <c r="M31" i="8" s="1"/>
  <c r="L7" i="8"/>
  <c r="L31" i="8" s="1"/>
  <c r="K7" i="8"/>
  <c r="K16" i="8" s="1"/>
  <c r="J7" i="8"/>
  <c r="J31" i="8" s="1"/>
  <c r="I7" i="8"/>
  <c r="I31" i="8" s="1"/>
  <c r="I32" i="8" s="1"/>
  <c r="H7" i="8"/>
  <c r="H31" i="8" s="1"/>
  <c r="G7" i="8"/>
  <c r="F7" i="8"/>
  <c r="F31" i="8" s="1"/>
  <c r="E7" i="8"/>
  <c r="E31" i="8" s="1"/>
  <c r="D7" i="8"/>
  <c r="D31" i="8" s="1"/>
  <c r="C7" i="8"/>
  <c r="D5" i="8"/>
  <c r="E5" i="8" s="1"/>
  <c r="F5" i="8" s="1"/>
  <c r="G5" i="8" s="1"/>
  <c r="H5" i="8" s="1"/>
  <c r="I5" i="8" s="1"/>
  <c r="J5" i="8" s="1"/>
  <c r="K5" i="8" s="1"/>
  <c r="L5" i="8" s="1"/>
  <c r="M5" i="8" s="1"/>
  <c r="N5" i="8" s="1"/>
  <c r="O5" i="8" s="1"/>
  <c r="P5" i="8" s="1"/>
  <c r="Q5" i="8" s="1"/>
  <c r="R5" i="8" s="1"/>
  <c r="S5" i="8" s="1"/>
  <c r="T5" i="8" s="1"/>
  <c r="U5" i="8" s="1"/>
  <c r="V5" i="8" s="1"/>
  <c r="W5" i="8" s="1"/>
  <c r="X5" i="8" s="1"/>
  <c r="Y5" i="8" s="1"/>
  <c r="Z5" i="8" s="1"/>
  <c r="AA5" i="8" s="1"/>
  <c r="AB5" i="8" s="1"/>
  <c r="AD5" i="8" s="1"/>
  <c r="AE5" i="8" s="1"/>
  <c r="AF5" i="8" s="1"/>
  <c r="AG5" i="8" s="1"/>
  <c r="AH5" i="8" s="1"/>
  <c r="C5" i="8"/>
  <c r="A1" i="8"/>
  <c r="V369" i="14"/>
  <c r="R369" i="14"/>
  <c r="Y368" i="14"/>
  <c r="Y369" i="14" s="1"/>
  <c r="X368" i="14"/>
  <c r="Y365" i="14" s="1"/>
  <c r="W368" i="14"/>
  <c r="W369" i="14" s="1"/>
  <c r="V368" i="14"/>
  <c r="U368" i="14"/>
  <c r="U369" i="14" s="1"/>
  <c r="T368" i="14"/>
  <c r="U365" i="14" s="1"/>
  <c r="S368" i="14"/>
  <c r="S369" i="14" s="1"/>
  <c r="R368" i="14"/>
  <c r="Q368" i="14"/>
  <c r="Q369" i="14" s="1"/>
  <c r="P368" i="14"/>
  <c r="Q365" i="14" s="1"/>
  <c r="V365" i="14"/>
  <c r="V366" i="14" s="1"/>
  <c r="R365" i="14"/>
  <c r="R366" i="14" s="1"/>
  <c r="N358" i="14"/>
  <c r="O356" i="14" s="1"/>
  <c r="O358" i="14" s="1"/>
  <c r="P356" i="14" s="1"/>
  <c r="P358" i="14" s="1"/>
  <c r="AI357" i="14"/>
  <c r="AH357" i="14"/>
  <c r="AG357" i="14"/>
  <c r="AF357" i="14"/>
  <c r="AE357" i="14"/>
  <c r="AD357" i="14"/>
  <c r="AC357" i="14"/>
  <c r="AB357" i="14"/>
  <c r="AA357" i="14"/>
  <c r="Z357" i="14"/>
  <c r="Y357" i="14"/>
  <c r="X357" i="14"/>
  <c r="W357" i="14"/>
  <c r="V357" i="14"/>
  <c r="U357" i="14"/>
  <c r="T357" i="14"/>
  <c r="S357" i="14"/>
  <c r="R357" i="14"/>
  <c r="Q357" i="14"/>
  <c r="P357" i="14"/>
  <c r="O357" i="14"/>
  <c r="AH353" i="14"/>
  <c r="AG353" i="14"/>
  <c r="AF353" i="14"/>
  <c r="AE353" i="14"/>
  <c r="AD353" i="14"/>
  <c r="AC353" i="14"/>
  <c r="AB353" i="14"/>
  <c r="AA353" i="14"/>
  <c r="Z353" i="14"/>
  <c r="Y353" i="14"/>
  <c r="Y374" i="14" s="1"/>
  <c r="X353" i="14"/>
  <c r="W353" i="14"/>
  <c r="V353" i="14"/>
  <c r="V374" i="14" s="1"/>
  <c r="U353" i="14"/>
  <c r="U374" i="14" s="1"/>
  <c r="T353" i="14"/>
  <c r="S353" i="14"/>
  <c r="R353" i="14"/>
  <c r="R374" i="14" s="1"/>
  <c r="Q353" i="14"/>
  <c r="Q374" i="14" s="1"/>
  <c r="P353" i="14"/>
  <c r="O353" i="14"/>
  <c r="N353" i="14"/>
  <c r="L351" i="14"/>
  <c r="B351" i="14"/>
  <c r="A349" i="14"/>
  <c r="E345" i="14"/>
  <c r="D345" i="14"/>
  <c r="C345" i="14"/>
  <c r="S343" i="14"/>
  <c r="S338" i="14"/>
  <c r="R338" i="14"/>
  <c r="Q338" i="14"/>
  <c r="P338" i="14"/>
  <c r="U336" i="14"/>
  <c r="T336" i="14"/>
  <c r="S336" i="14"/>
  <c r="R336" i="14"/>
  <c r="Q336" i="14"/>
  <c r="P336" i="14"/>
  <c r="O336" i="14"/>
  <c r="N336" i="14"/>
  <c r="M336" i="14"/>
  <c r="L336" i="14"/>
  <c r="K336" i="14"/>
  <c r="J336" i="14"/>
  <c r="I336" i="14"/>
  <c r="H336" i="14"/>
  <c r="U335" i="14"/>
  <c r="T335" i="14"/>
  <c r="S335" i="14"/>
  <c r="R335" i="14"/>
  <c r="Q335" i="14"/>
  <c r="P335" i="14"/>
  <c r="O335" i="14"/>
  <c r="N335" i="14"/>
  <c r="M335" i="14"/>
  <c r="L335" i="14"/>
  <c r="K335" i="14"/>
  <c r="J335" i="14"/>
  <c r="I335" i="14"/>
  <c r="H335" i="14"/>
  <c r="U334" i="14"/>
  <c r="T334" i="14"/>
  <c r="S334" i="14"/>
  <c r="R334" i="14"/>
  <c r="Q334" i="14"/>
  <c r="P334" i="14"/>
  <c r="O334" i="14"/>
  <c r="N334" i="14"/>
  <c r="M334" i="14"/>
  <c r="L334" i="14"/>
  <c r="K334" i="14"/>
  <c r="J334" i="14"/>
  <c r="I334" i="14"/>
  <c r="H334" i="14"/>
  <c r="G334" i="14"/>
  <c r="F334" i="14"/>
  <c r="AF331" i="14"/>
  <c r="AF330" i="14"/>
  <c r="AG325" i="14"/>
  <c r="AG324" i="14"/>
  <c r="AG330" i="14" s="1"/>
  <c r="AG331" i="14" s="1"/>
  <c r="AF324" i="14"/>
  <c r="AE324" i="14"/>
  <c r="AE330" i="14" s="1"/>
  <c r="AD324" i="14"/>
  <c r="AC324" i="14"/>
  <c r="AC330" i="14" s="1"/>
  <c r="AB324" i="14"/>
  <c r="AA324" i="14"/>
  <c r="AA330" i="14" s="1"/>
  <c r="Z324" i="14"/>
  <c r="Y324" i="14"/>
  <c r="Y330" i="14" s="1"/>
  <c r="X324" i="14"/>
  <c r="W324" i="14"/>
  <c r="W330" i="14" s="1"/>
  <c r="V324" i="14"/>
  <c r="U324" i="14"/>
  <c r="U330" i="14" s="1"/>
  <c r="T324" i="14"/>
  <c r="S324" i="14"/>
  <c r="R324" i="14"/>
  <c r="Q324" i="14"/>
  <c r="P324" i="14"/>
  <c r="Q325" i="14" s="1"/>
  <c r="O324" i="14"/>
  <c r="N324" i="14"/>
  <c r="M324" i="14"/>
  <c r="L324" i="14"/>
  <c r="K324" i="14"/>
  <c r="J324" i="14"/>
  <c r="I324" i="14"/>
  <c r="H324" i="14"/>
  <c r="G324" i="14"/>
  <c r="F324" i="14"/>
  <c r="E324" i="14"/>
  <c r="D324" i="14"/>
  <c r="AF321" i="14"/>
  <c r="AE321" i="14"/>
  <c r="AD321" i="14"/>
  <c r="AA321" i="14"/>
  <c r="AA322" i="14" s="1"/>
  <c r="Z321" i="14"/>
  <c r="W321" i="14"/>
  <c r="V321" i="14"/>
  <c r="S321" i="14"/>
  <c r="R321" i="14"/>
  <c r="O321" i="14"/>
  <c r="N321" i="14"/>
  <c r="K321" i="14"/>
  <c r="K322" i="14" s="1"/>
  <c r="J321" i="14"/>
  <c r="G321" i="14"/>
  <c r="F321" i="14"/>
  <c r="E313" i="14"/>
  <c r="D313" i="14"/>
  <c r="F311" i="14"/>
  <c r="F310" i="14"/>
  <c r="D307" i="14"/>
  <c r="G306" i="14"/>
  <c r="F306" i="14"/>
  <c r="F307" i="14" s="1"/>
  <c r="E306" i="14"/>
  <c r="E312" i="14" s="1"/>
  <c r="D306" i="14"/>
  <c r="D311" i="14" s="1"/>
  <c r="C306" i="14"/>
  <c r="C312" i="14" s="1"/>
  <c r="B306" i="14"/>
  <c r="AP305" i="14"/>
  <c r="AP304" i="14"/>
  <c r="AP303" i="14"/>
  <c r="AP302" i="14"/>
  <c r="W299" i="14"/>
  <c r="V299" i="14"/>
  <c r="V298" i="14"/>
  <c r="V297" i="14"/>
  <c r="V296" i="14"/>
  <c r="T299" i="14"/>
  <c r="S299" i="14"/>
  <c r="R299" i="14"/>
  <c r="Q299" i="14"/>
  <c r="P299" i="14"/>
  <c r="O299" i="14"/>
  <c r="N299" i="14"/>
  <c r="M299" i="14"/>
  <c r="L299" i="14"/>
  <c r="K299" i="14"/>
  <c r="J299" i="14"/>
  <c r="I299" i="14"/>
  <c r="H299" i="14"/>
  <c r="G299" i="14"/>
  <c r="F299" i="14"/>
  <c r="E299" i="14"/>
  <c r="D299" i="14"/>
  <c r="C299" i="14"/>
  <c r="B299" i="14"/>
  <c r="T298" i="14"/>
  <c r="S298" i="14"/>
  <c r="R298" i="14"/>
  <c r="Q298" i="14"/>
  <c r="P298" i="14"/>
  <c r="O298" i="14"/>
  <c r="N298" i="14"/>
  <c r="M298" i="14"/>
  <c r="L298" i="14"/>
  <c r="K298" i="14"/>
  <c r="J298" i="14"/>
  <c r="I298" i="14"/>
  <c r="H298" i="14"/>
  <c r="G298" i="14"/>
  <c r="F298" i="14"/>
  <c r="E298" i="14"/>
  <c r="D298" i="14"/>
  <c r="C298" i="14"/>
  <c r="B298" i="14"/>
  <c r="W297" i="14"/>
  <c r="U297" i="14"/>
  <c r="T297" i="14"/>
  <c r="S297" i="14"/>
  <c r="R297" i="14"/>
  <c r="Q297" i="14"/>
  <c r="P297" i="14"/>
  <c r="O297" i="14"/>
  <c r="N297" i="14"/>
  <c r="M297" i="14"/>
  <c r="L297" i="14"/>
  <c r="K297" i="14"/>
  <c r="J297" i="14"/>
  <c r="I297" i="14"/>
  <c r="H297" i="14"/>
  <c r="G297" i="14"/>
  <c r="F297" i="14"/>
  <c r="E297" i="14"/>
  <c r="D297" i="14"/>
  <c r="C297" i="14"/>
  <c r="B297" i="14"/>
  <c r="U296" i="14"/>
  <c r="T296" i="14"/>
  <c r="S296" i="14"/>
  <c r="R296" i="14"/>
  <c r="Q296" i="14"/>
  <c r="P296" i="14"/>
  <c r="O296" i="14"/>
  <c r="N296" i="14"/>
  <c r="M296" i="14"/>
  <c r="L296" i="14"/>
  <c r="K296" i="14"/>
  <c r="J296" i="14"/>
  <c r="I296" i="14"/>
  <c r="H296" i="14"/>
  <c r="G296" i="14"/>
  <c r="F296" i="14"/>
  <c r="E296" i="14"/>
  <c r="D296" i="14"/>
  <c r="C296" i="14"/>
  <c r="B296" i="14"/>
  <c r="U292" i="14"/>
  <c r="U305" i="14" s="1"/>
  <c r="T292" i="14"/>
  <c r="T305" i="14" s="1"/>
  <c r="S292" i="14"/>
  <c r="S305" i="14" s="1"/>
  <c r="J292" i="14"/>
  <c r="J305" i="14" s="1"/>
  <c r="K292" i="14" s="1"/>
  <c r="K305" i="14" s="1"/>
  <c r="I292" i="14"/>
  <c r="I305" i="14" s="1"/>
  <c r="H292" i="14"/>
  <c r="H305" i="14" s="1"/>
  <c r="G292" i="14"/>
  <c r="F292" i="14"/>
  <c r="E292" i="14"/>
  <c r="D292" i="14"/>
  <c r="H291" i="14"/>
  <c r="H304" i="14" s="1"/>
  <c r="I291" i="14" s="1"/>
  <c r="I304" i="14" s="1"/>
  <c r="G291" i="14"/>
  <c r="F291" i="14"/>
  <c r="E291" i="14"/>
  <c r="D291" i="14"/>
  <c r="I290" i="14"/>
  <c r="I303" i="14" s="1"/>
  <c r="H290" i="14"/>
  <c r="H303" i="14" s="1"/>
  <c r="G290" i="14"/>
  <c r="F290" i="14"/>
  <c r="E290" i="14"/>
  <c r="D290" i="14"/>
  <c r="H289" i="14"/>
  <c r="H293" i="14" s="1"/>
  <c r="G289" i="14"/>
  <c r="G293" i="14" s="1"/>
  <c r="F289" i="14"/>
  <c r="F293" i="14" s="1"/>
  <c r="E289" i="14"/>
  <c r="D289" i="14"/>
  <c r="D293" i="14" s="1"/>
  <c r="AG286" i="14"/>
  <c r="AG339" i="14" s="1"/>
  <c r="AF286" i="14"/>
  <c r="AF339" i="14" s="1"/>
  <c r="AE286" i="14"/>
  <c r="AE339" i="14" s="1"/>
  <c r="AD286" i="14"/>
  <c r="AD339" i="14" s="1"/>
  <c r="AC286" i="14"/>
  <c r="AC339" i="14" s="1"/>
  <c r="AB286" i="14"/>
  <c r="AB339" i="14" s="1"/>
  <c r="AA286" i="14"/>
  <c r="AA339" i="14" s="1"/>
  <c r="Z286" i="14"/>
  <c r="Z339" i="14" s="1"/>
  <c r="Y286" i="14"/>
  <c r="Y339" i="14" s="1"/>
  <c r="X286" i="14"/>
  <c r="W286" i="14"/>
  <c r="V286" i="14"/>
  <c r="U286" i="14"/>
  <c r="R286" i="14"/>
  <c r="N286" i="14"/>
  <c r="J286" i="14"/>
  <c r="F286" i="14"/>
  <c r="S285" i="14"/>
  <c r="T286" i="14" s="1"/>
  <c r="R285" i="14"/>
  <c r="Q285" i="14"/>
  <c r="P285" i="14"/>
  <c r="Q286" i="14" s="1"/>
  <c r="O285" i="14"/>
  <c r="O286" i="14" s="1"/>
  <c r="N285" i="14"/>
  <c r="M285" i="14"/>
  <c r="M330" i="14" s="1"/>
  <c r="L285" i="14"/>
  <c r="M286" i="14" s="1"/>
  <c r="K285" i="14"/>
  <c r="K286" i="14" s="1"/>
  <c r="J285" i="14"/>
  <c r="I285" i="14"/>
  <c r="H285" i="14"/>
  <c r="I286" i="14" s="1"/>
  <c r="G285" i="14"/>
  <c r="G330" i="14" s="1"/>
  <c r="G331" i="14" s="1"/>
  <c r="F285" i="14"/>
  <c r="F330" i="14" s="1"/>
  <c r="F331" i="14" s="1"/>
  <c r="E285" i="14"/>
  <c r="E330" i="14" s="1"/>
  <c r="D285" i="14"/>
  <c r="L283" i="14"/>
  <c r="B283" i="14"/>
  <c r="A281" i="14"/>
  <c r="C277" i="14"/>
  <c r="AE275" i="14"/>
  <c r="Y275" i="14"/>
  <c r="T275" i="14"/>
  <c r="I275" i="14"/>
  <c r="D275" i="14"/>
  <c r="AD273" i="14"/>
  <c r="Z273" i="14"/>
  <c r="X273" i="14"/>
  <c r="V273" i="14"/>
  <c r="S272" i="14"/>
  <c r="R272" i="14"/>
  <c r="Q272" i="14"/>
  <c r="P272" i="14"/>
  <c r="O272" i="14"/>
  <c r="N272" i="14"/>
  <c r="M272" i="14"/>
  <c r="L272" i="14"/>
  <c r="K272" i="14"/>
  <c r="J272" i="14"/>
  <c r="I272" i="14"/>
  <c r="H272" i="14"/>
  <c r="G272" i="14"/>
  <c r="F272" i="14"/>
  <c r="E272" i="14"/>
  <c r="D272" i="14"/>
  <c r="B269" i="14"/>
  <c r="AG264" i="14"/>
  <c r="AC264" i="14"/>
  <c r="AB264" i="14"/>
  <c r="V264" i="14"/>
  <c r="R264" i="14"/>
  <c r="Q264" i="14"/>
  <c r="M264" i="14"/>
  <c r="F264" i="14"/>
  <c r="AG263" i="14"/>
  <c r="AG275" i="14" s="1"/>
  <c r="AF263" i="14"/>
  <c r="AE263" i="14"/>
  <c r="AD263" i="14"/>
  <c r="AC263" i="14"/>
  <c r="AD264" i="14" s="1"/>
  <c r="AB263" i="14"/>
  <c r="AA263" i="14"/>
  <c r="Z263" i="14"/>
  <c r="Y263" i="14"/>
  <c r="X263" i="14"/>
  <c r="W263" i="14"/>
  <c r="V263" i="14"/>
  <c r="U263" i="14"/>
  <c r="U275" i="14" s="1"/>
  <c r="T263" i="14"/>
  <c r="S263" i="14"/>
  <c r="R263" i="14"/>
  <c r="Q263" i="14"/>
  <c r="Q275" i="14" s="1"/>
  <c r="P263" i="14"/>
  <c r="O263" i="14"/>
  <c r="O275" i="14" s="1"/>
  <c r="N263" i="14"/>
  <c r="M263" i="14"/>
  <c r="N264" i="14" s="1"/>
  <c r="L263" i="14"/>
  <c r="K263" i="14"/>
  <c r="J263" i="14"/>
  <c r="I263" i="14"/>
  <c r="H263" i="14"/>
  <c r="G263" i="14"/>
  <c r="F263" i="14"/>
  <c r="E263" i="14"/>
  <c r="E275" i="14" s="1"/>
  <c r="D263" i="14"/>
  <c r="AC260" i="14"/>
  <c r="Y260" i="14"/>
  <c r="Y269" i="14" s="1"/>
  <c r="X260" i="14"/>
  <c r="U260" i="14"/>
  <c r="U269" i="14" s="1"/>
  <c r="S260" i="14"/>
  <c r="M260" i="14"/>
  <c r="I260" i="14"/>
  <c r="H260" i="14"/>
  <c r="E260" i="14"/>
  <c r="B251" i="14"/>
  <c r="B250" i="14"/>
  <c r="B252" i="14" s="1"/>
  <c r="C250" i="14" s="1"/>
  <c r="AP252" i="14"/>
  <c r="T251" i="14"/>
  <c r="S251" i="14"/>
  <c r="R251" i="14"/>
  <c r="Q251" i="14"/>
  <c r="P251" i="14"/>
  <c r="O251" i="14"/>
  <c r="N251" i="14"/>
  <c r="M251" i="14"/>
  <c r="L251" i="14"/>
  <c r="K251" i="14"/>
  <c r="J251" i="14"/>
  <c r="I251" i="14"/>
  <c r="H251" i="14"/>
  <c r="G251" i="14"/>
  <c r="F251" i="14"/>
  <c r="E251" i="14"/>
  <c r="D251" i="14"/>
  <c r="C251" i="14"/>
  <c r="C275" i="14" s="1"/>
  <c r="AG251" i="14"/>
  <c r="AF251" i="14"/>
  <c r="AE251" i="14"/>
  <c r="AD251" i="14"/>
  <c r="AC251" i="14"/>
  <c r="AB251" i="14"/>
  <c r="AA251" i="14"/>
  <c r="Z251" i="14"/>
  <c r="Y251" i="14"/>
  <c r="X251" i="14"/>
  <c r="AG248" i="14"/>
  <c r="AG273" i="14" s="1"/>
  <c r="AF248" i="14"/>
  <c r="AF273" i="14" s="1"/>
  <c r="AE248" i="14"/>
  <c r="AE273" i="14" s="1"/>
  <c r="AD248" i="14"/>
  <c r="AC248" i="14"/>
  <c r="AC273" i="14" s="1"/>
  <c r="AB248" i="14"/>
  <c r="AB273" i="14" s="1"/>
  <c r="AA248" i="14"/>
  <c r="AA273" i="14" s="1"/>
  <c r="Z248" i="14"/>
  <c r="Y248" i="14"/>
  <c r="Y273" i="14" s="1"/>
  <c r="X248" i="14"/>
  <c r="W248" i="14"/>
  <c r="V248" i="14"/>
  <c r="U248" i="14"/>
  <c r="U273" i="14" s="1"/>
  <c r="O248" i="14"/>
  <c r="G248" i="14"/>
  <c r="S247" i="14"/>
  <c r="S248" i="14" s="1"/>
  <c r="R247" i="14"/>
  <c r="Q247" i="14"/>
  <c r="P247" i="14"/>
  <c r="O247" i="14"/>
  <c r="N247" i="14"/>
  <c r="N248" i="14" s="1"/>
  <c r="M247" i="14"/>
  <c r="L247" i="14"/>
  <c r="K247" i="14"/>
  <c r="J247" i="14"/>
  <c r="I247" i="14"/>
  <c r="H247" i="14"/>
  <c r="G247" i="14"/>
  <c r="H248" i="14" s="1"/>
  <c r="F247" i="14"/>
  <c r="F248" i="14" s="1"/>
  <c r="E247" i="14"/>
  <c r="D247" i="14"/>
  <c r="C247" i="14"/>
  <c r="C269" i="14" s="1"/>
  <c r="L245" i="14"/>
  <c r="B245" i="14"/>
  <c r="A243" i="14"/>
  <c r="Y239" i="14"/>
  <c r="Z239" i="14" s="1"/>
  <c r="AA239" i="14" s="1"/>
  <c r="AB239" i="14" s="1"/>
  <c r="AC239" i="14" s="1"/>
  <c r="AD239" i="14" s="1"/>
  <c r="AD237" i="14"/>
  <c r="AE237" i="14" s="1"/>
  <c r="AF237" i="14" s="1"/>
  <c r="AG237" i="14" s="1"/>
  <c r="AH237" i="14" s="1"/>
  <c r="AB237" i="14"/>
  <c r="AC237" i="14" s="1"/>
  <c r="Z237" i="14"/>
  <c r="Y237" i="14"/>
  <c r="AB234" i="14"/>
  <c r="AA234" i="14"/>
  <c r="Z234" i="14"/>
  <c r="Y234" i="14"/>
  <c r="X234" i="14"/>
  <c r="AF228" i="14"/>
  <c r="AG228" i="14" s="1"/>
  <c r="AH228" i="14" s="1"/>
  <c r="AA228" i="14"/>
  <c r="AB228" i="14" s="1"/>
  <c r="AC228" i="14" s="1"/>
  <c r="AD228" i="14" s="1"/>
  <c r="AE228" i="14" s="1"/>
  <c r="Y228" i="14"/>
  <c r="Z228" i="14" s="1"/>
  <c r="Y225" i="14"/>
  <c r="Y226" i="14" s="1"/>
  <c r="X215" i="14"/>
  <c r="X225" i="14" s="1"/>
  <c r="X222" i="14" s="1"/>
  <c r="X214" i="14"/>
  <c r="Y215" i="14" s="1"/>
  <c r="Y216" i="14" s="1"/>
  <c r="AD213" i="14"/>
  <c r="AC213" i="14"/>
  <c r="AB213" i="14"/>
  <c r="AA213" i="14"/>
  <c r="Z213" i="14"/>
  <c r="Y213" i="14"/>
  <c r="Y212" i="14"/>
  <c r="Y214" i="14" s="1"/>
  <c r="X212" i="14"/>
  <c r="Y210" i="14"/>
  <c r="Y235" i="14" s="1"/>
  <c r="AB209" i="14"/>
  <c r="AA209" i="14"/>
  <c r="Z209" i="14"/>
  <c r="Z210" i="14" s="1"/>
  <c r="Z235" i="14" s="1"/>
  <c r="Y209" i="14"/>
  <c r="X209" i="14"/>
  <c r="X219" i="14" s="1"/>
  <c r="L207" i="14"/>
  <c r="B207" i="14"/>
  <c r="A205" i="14"/>
  <c r="C202" i="14"/>
  <c r="AE200" i="14"/>
  <c r="AF200" i="14" s="1"/>
  <c r="AG200" i="14" s="1"/>
  <c r="AH200" i="14" s="1"/>
  <c r="AB197" i="14"/>
  <c r="AA197" i="14"/>
  <c r="Z197" i="14"/>
  <c r="Y197" i="14"/>
  <c r="X197" i="14"/>
  <c r="W197" i="14"/>
  <c r="V197" i="14"/>
  <c r="U197" i="14"/>
  <c r="T197" i="14"/>
  <c r="S197" i="14"/>
  <c r="I198" i="14"/>
  <c r="G198" i="14"/>
  <c r="E198" i="14"/>
  <c r="K197" i="14"/>
  <c r="K198" i="14" s="1"/>
  <c r="J197" i="14"/>
  <c r="I197" i="14"/>
  <c r="H197" i="14"/>
  <c r="G197" i="14"/>
  <c r="F197" i="14"/>
  <c r="F198" i="14" s="1"/>
  <c r="E197" i="14"/>
  <c r="E202" i="14" s="1"/>
  <c r="D197" i="14"/>
  <c r="D202" i="14" s="1"/>
  <c r="D194" i="14"/>
  <c r="C194" i="14"/>
  <c r="B194" i="14"/>
  <c r="W188" i="14"/>
  <c r="V188" i="14"/>
  <c r="U188" i="14"/>
  <c r="T188" i="14"/>
  <c r="K188" i="14"/>
  <c r="J188" i="14"/>
  <c r="I188" i="14"/>
  <c r="H188" i="14"/>
  <c r="G188" i="14"/>
  <c r="F188" i="14"/>
  <c r="G185" i="14" s="1"/>
  <c r="E188" i="14"/>
  <c r="D188" i="14"/>
  <c r="I185" i="14"/>
  <c r="E185" i="14"/>
  <c r="E194" i="14" s="1"/>
  <c r="AD176" i="14"/>
  <c r="AC176" i="14"/>
  <c r="AB176" i="14"/>
  <c r="AA176" i="14"/>
  <c r="Z176" i="14"/>
  <c r="Y176" i="14"/>
  <c r="X176" i="14"/>
  <c r="W176" i="14"/>
  <c r="V176" i="14"/>
  <c r="U176" i="14"/>
  <c r="T176" i="14"/>
  <c r="S176" i="14"/>
  <c r="R176" i="14"/>
  <c r="Q176" i="14"/>
  <c r="P176" i="14"/>
  <c r="O176" i="14"/>
  <c r="N176" i="14"/>
  <c r="M176" i="14"/>
  <c r="L176" i="14"/>
  <c r="K176" i="14"/>
  <c r="J176" i="14"/>
  <c r="I176" i="14"/>
  <c r="H176" i="14"/>
  <c r="G176" i="14"/>
  <c r="F176" i="14"/>
  <c r="E176" i="14"/>
  <c r="D176" i="14"/>
  <c r="C176" i="14"/>
  <c r="C200" i="14" s="1"/>
  <c r="B176" i="14"/>
  <c r="I175" i="14"/>
  <c r="H175" i="14"/>
  <c r="H177" i="14" s="1"/>
  <c r="G175" i="14"/>
  <c r="F175" i="14"/>
  <c r="F177" i="14" s="1"/>
  <c r="E175" i="14"/>
  <c r="D175" i="14"/>
  <c r="D177" i="14" s="1"/>
  <c r="C175" i="14"/>
  <c r="B175" i="14"/>
  <c r="Y173" i="14"/>
  <c r="AB172" i="14"/>
  <c r="AB173" i="14" s="1"/>
  <c r="AA172" i="14"/>
  <c r="Z172" i="14"/>
  <c r="Y172" i="14"/>
  <c r="X172" i="14"/>
  <c r="W172" i="14"/>
  <c r="V172" i="14"/>
  <c r="U172" i="14"/>
  <c r="T172" i="14"/>
  <c r="S172" i="14"/>
  <c r="R172" i="14"/>
  <c r="L170" i="14"/>
  <c r="B170" i="14"/>
  <c r="A168" i="14"/>
  <c r="AE162" i="14"/>
  <c r="AF162" i="14" s="1"/>
  <c r="AG162" i="14" s="1"/>
  <c r="AH162" i="14" s="1"/>
  <c r="AC162" i="14"/>
  <c r="AA162" i="14"/>
  <c r="Y162" i="14"/>
  <c r="Z162" i="14" s="1"/>
  <c r="X162" i="14"/>
  <c r="U162" i="14"/>
  <c r="AC159" i="14"/>
  <c r="AB159" i="14"/>
  <c r="AA159" i="14"/>
  <c r="Z159" i="14"/>
  <c r="Y159" i="14"/>
  <c r="X159" i="14"/>
  <c r="W159" i="14"/>
  <c r="V159" i="14"/>
  <c r="U159" i="14"/>
  <c r="T159" i="14"/>
  <c r="S159" i="14"/>
  <c r="W150" i="14"/>
  <c r="V150" i="14"/>
  <c r="U150" i="14"/>
  <c r="V147" i="14"/>
  <c r="B139" i="14"/>
  <c r="B138" i="14"/>
  <c r="B137" i="14"/>
  <c r="E139" i="14"/>
  <c r="F140" i="14" s="1"/>
  <c r="AD138" i="14"/>
  <c r="AC138" i="14"/>
  <c r="AB138" i="14"/>
  <c r="AA138" i="14"/>
  <c r="Z138" i="14"/>
  <c r="Y138" i="14"/>
  <c r="X138" i="14"/>
  <c r="W138" i="14"/>
  <c r="V138" i="14"/>
  <c r="U138" i="14"/>
  <c r="T138" i="14"/>
  <c r="S138" i="14"/>
  <c r="R138" i="14"/>
  <c r="Q138" i="14"/>
  <c r="P138" i="14"/>
  <c r="O138" i="14"/>
  <c r="N138" i="14"/>
  <c r="M138" i="14"/>
  <c r="L138" i="14"/>
  <c r="K138" i="14"/>
  <c r="J138" i="14"/>
  <c r="I138" i="14"/>
  <c r="H138" i="14"/>
  <c r="G138" i="14"/>
  <c r="F138" i="14"/>
  <c r="E138" i="14"/>
  <c r="D138" i="14"/>
  <c r="C138" i="14"/>
  <c r="H137" i="14"/>
  <c r="H139" i="14" s="1"/>
  <c r="G137" i="14"/>
  <c r="G139" i="14" s="1"/>
  <c r="F137" i="14"/>
  <c r="F139" i="14" s="1"/>
  <c r="E137" i="14"/>
  <c r="D137" i="14"/>
  <c r="D139" i="14" s="1"/>
  <c r="E140" i="14" s="1"/>
  <c r="C137" i="14"/>
  <c r="C139" i="14" s="1"/>
  <c r="AB135" i="14"/>
  <c r="V135" i="14"/>
  <c r="T135" i="14"/>
  <c r="T160" i="14" s="1"/>
  <c r="AB134" i="14"/>
  <c r="AA134" i="14"/>
  <c r="Z134" i="14"/>
  <c r="Y134" i="14"/>
  <c r="X134" i="14"/>
  <c r="X135" i="14" s="1"/>
  <c r="W134" i="14"/>
  <c r="V134" i="14"/>
  <c r="V156" i="14" s="1"/>
  <c r="U134" i="14"/>
  <c r="T134" i="14"/>
  <c r="S134" i="14"/>
  <c r="R134" i="14"/>
  <c r="L132" i="14"/>
  <c r="B132" i="14"/>
  <c r="A130" i="14"/>
  <c r="AE124" i="14"/>
  <c r="AF124" i="14" s="1"/>
  <c r="AG124" i="14" s="1"/>
  <c r="AH124" i="14" s="1"/>
  <c r="AA124" i="14"/>
  <c r="Y124" i="14"/>
  <c r="U124" i="14"/>
  <c r="AB121" i="14"/>
  <c r="AA121" i="14"/>
  <c r="Z121" i="14"/>
  <c r="Y121" i="14"/>
  <c r="X121" i="14"/>
  <c r="W121" i="14"/>
  <c r="V121" i="14"/>
  <c r="U121" i="14"/>
  <c r="T121" i="14"/>
  <c r="S121" i="14"/>
  <c r="X112" i="14"/>
  <c r="W112" i="14"/>
  <c r="V112" i="14"/>
  <c r="U112" i="14"/>
  <c r="V109" i="14" s="1"/>
  <c r="T112" i="14"/>
  <c r="V110" i="14"/>
  <c r="X109" i="14"/>
  <c r="U109" i="14"/>
  <c r="B100" i="14"/>
  <c r="B99" i="14"/>
  <c r="B101" i="14" s="1"/>
  <c r="G101" i="14"/>
  <c r="AD100" i="14"/>
  <c r="AC100" i="14"/>
  <c r="AB100" i="14"/>
  <c r="AA100" i="14"/>
  <c r="Z100" i="14"/>
  <c r="Y100" i="14"/>
  <c r="X100" i="14"/>
  <c r="W100" i="14"/>
  <c r="V100" i="14"/>
  <c r="U100" i="14"/>
  <c r="T100" i="14"/>
  <c r="S100" i="14"/>
  <c r="R100" i="14"/>
  <c r="Q100" i="14"/>
  <c r="P100" i="14"/>
  <c r="O100" i="14"/>
  <c r="N100" i="14"/>
  <c r="M100" i="14"/>
  <c r="L100" i="14"/>
  <c r="K100" i="14"/>
  <c r="J100" i="14"/>
  <c r="I100" i="14"/>
  <c r="H100" i="14"/>
  <c r="G100" i="14"/>
  <c r="F100" i="14"/>
  <c r="F101" i="14" s="1"/>
  <c r="E100" i="14"/>
  <c r="D100" i="14"/>
  <c r="C100" i="14"/>
  <c r="I99" i="14"/>
  <c r="I101" i="14" s="1"/>
  <c r="I104" i="14" s="1"/>
  <c r="H99" i="14"/>
  <c r="H101" i="14" s="1"/>
  <c r="G99" i="14"/>
  <c r="F99" i="14"/>
  <c r="E99" i="14"/>
  <c r="E101" i="14" s="1"/>
  <c r="E104" i="14" s="1"/>
  <c r="D99" i="14"/>
  <c r="D101" i="14" s="1"/>
  <c r="C99" i="14"/>
  <c r="C101" i="14" s="1"/>
  <c r="Y97" i="14"/>
  <c r="X97" i="14"/>
  <c r="T97" i="14"/>
  <c r="T122" i="14" s="1"/>
  <c r="AB96" i="14"/>
  <c r="AB97" i="14" s="1"/>
  <c r="AA96" i="14"/>
  <c r="Z96" i="14"/>
  <c r="Y96" i="14"/>
  <c r="X96" i="14"/>
  <c r="X118" i="14" s="1"/>
  <c r="W96" i="14"/>
  <c r="V96" i="14"/>
  <c r="U96" i="14"/>
  <c r="U118" i="14" s="1"/>
  <c r="T96" i="14"/>
  <c r="U97" i="14" s="1"/>
  <c r="U122" i="14" s="1"/>
  <c r="S96" i="14"/>
  <c r="R96" i="14"/>
  <c r="S97" i="14" s="1"/>
  <c r="S122" i="14" s="1"/>
  <c r="L94" i="14"/>
  <c r="B94" i="14"/>
  <c r="A92" i="14"/>
  <c r="AE86" i="14"/>
  <c r="AF86" i="14" s="1"/>
  <c r="AG86" i="14" s="1"/>
  <c r="AH86" i="14" s="1"/>
  <c r="AD86" i="14"/>
  <c r="AC86" i="14"/>
  <c r="AA86" i="14"/>
  <c r="AA85" i="14"/>
  <c r="AE85" i="14"/>
  <c r="AF85" i="14" s="1"/>
  <c r="AG85" i="14" s="1"/>
  <c r="AH85" i="14" s="1"/>
  <c r="Y85" i="14"/>
  <c r="AB82" i="14"/>
  <c r="AA82" i="14"/>
  <c r="Z82" i="14"/>
  <c r="Y82" i="14"/>
  <c r="X82" i="14"/>
  <c r="W82" i="14"/>
  <c r="V82" i="14"/>
  <c r="U82" i="14"/>
  <c r="T82" i="14"/>
  <c r="S82" i="14"/>
  <c r="U74" i="14"/>
  <c r="W73" i="14"/>
  <c r="W74" i="14" s="1"/>
  <c r="V73" i="14"/>
  <c r="V70" i="14" s="1"/>
  <c r="V71" i="14" s="1"/>
  <c r="U73" i="14"/>
  <c r="T73" i="14"/>
  <c r="U71" i="14"/>
  <c r="U70" i="14"/>
  <c r="B61" i="14"/>
  <c r="B60" i="14"/>
  <c r="B62" i="14" s="1"/>
  <c r="C63" i="14" s="1"/>
  <c r="AD61" i="14"/>
  <c r="AC61" i="14"/>
  <c r="AB61" i="14"/>
  <c r="AA61" i="14"/>
  <c r="Z61" i="14"/>
  <c r="Y61" i="14"/>
  <c r="X61" i="14"/>
  <c r="W61" i="14"/>
  <c r="V61" i="14"/>
  <c r="U61" i="14"/>
  <c r="T61" i="14"/>
  <c r="S61" i="14"/>
  <c r="R61" i="14"/>
  <c r="Q61" i="14"/>
  <c r="P61" i="14"/>
  <c r="O61" i="14"/>
  <c r="N61" i="14"/>
  <c r="M61" i="14"/>
  <c r="L61" i="14"/>
  <c r="K61" i="14"/>
  <c r="J61" i="14"/>
  <c r="I61" i="14"/>
  <c r="H61" i="14"/>
  <c r="G61" i="14"/>
  <c r="F61" i="14"/>
  <c r="E61" i="14"/>
  <c r="D61" i="14"/>
  <c r="C61" i="14"/>
  <c r="C60" i="14"/>
  <c r="C62" i="14" s="1"/>
  <c r="AB57" i="14"/>
  <c r="AA57" i="14"/>
  <c r="Z57" i="14"/>
  <c r="Y57" i="14"/>
  <c r="Y58" i="14" s="1"/>
  <c r="X57" i="14"/>
  <c r="W57" i="14"/>
  <c r="V57" i="14"/>
  <c r="V79" i="14" s="1"/>
  <c r="U57" i="14"/>
  <c r="U58" i="14" s="1"/>
  <c r="U83" i="14" s="1"/>
  <c r="T57" i="14"/>
  <c r="S57" i="14"/>
  <c r="R57" i="14"/>
  <c r="L55" i="14"/>
  <c r="B55" i="14"/>
  <c r="A53" i="14"/>
  <c r="Z46" i="14"/>
  <c r="Y46" i="14"/>
  <c r="AL46" i="14" s="1"/>
  <c r="X46" i="14"/>
  <c r="W46" i="14"/>
  <c r="V46" i="14"/>
  <c r="U46" i="14"/>
  <c r="T46" i="14"/>
  <c r="S46" i="14"/>
  <c r="R46" i="14"/>
  <c r="Q46" i="14"/>
  <c r="P46" i="14"/>
  <c r="O46" i="14"/>
  <c r="N46" i="14"/>
  <c r="M46" i="14"/>
  <c r="L46" i="14"/>
  <c r="K46" i="14"/>
  <c r="J46" i="14"/>
  <c r="I46" i="14"/>
  <c r="H46" i="14"/>
  <c r="G46" i="14"/>
  <c r="F46" i="14"/>
  <c r="E46" i="14"/>
  <c r="D46" i="14"/>
  <c r="C46" i="14"/>
  <c r="B46" i="14"/>
  <c r="AB39" i="14"/>
  <c r="AA39" i="14"/>
  <c r="Z39" i="14"/>
  <c r="Y39" i="14"/>
  <c r="X39" i="14"/>
  <c r="W39" i="14"/>
  <c r="V39" i="14"/>
  <c r="U39" i="14"/>
  <c r="T39" i="14"/>
  <c r="S39" i="14"/>
  <c r="R39" i="14"/>
  <c r="Q39" i="14"/>
  <c r="P39" i="14"/>
  <c r="O39" i="14"/>
  <c r="N39" i="14"/>
  <c r="M39" i="14"/>
  <c r="L39" i="14"/>
  <c r="K39" i="14"/>
  <c r="J39" i="14"/>
  <c r="I39" i="14"/>
  <c r="H39" i="14"/>
  <c r="G39" i="14"/>
  <c r="F39" i="14"/>
  <c r="E39" i="14"/>
  <c r="D39" i="14"/>
  <c r="C39" i="14"/>
  <c r="C44" i="14" s="1"/>
  <c r="B39" i="14"/>
  <c r="C31" i="14"/>
  <c r="B31" i="14"/>
  <c r="Q31" i="14"/>
  <c r="I31" i="14"/>
  <c r="W30" i="14"/>
  <c r="V30" i="14"/>
  <c r="U30" i="14"/>
  <c r="T30" i="14"/>
  <c r="T33" i="14" s="1"/>
  <c r="S30" i="14"/>
  <c r="R30" i="14"/>
  <c r="Q30" i="14"/>
  <c r="P30" i="14"/>
  <c r="O30" i="14"/>
  <c r="N30" i="14"/>
  <c r="M30" i="14"/>
  <c r="L30" i="14"/>
  <c r="L31" i="14" s="1"/>
  <c r="K30" i="14"/>
  <c r="J30" i="14"/>
  <c r="I30" i="14"/>
  <c r="H30" i="14"/>
  <c r="G30" i="14"/>
  <c r="F30" i="14"/>
  <c r="E30" i="14"/>
  <c r="W27" i="14"/>
  <c r="V27" i="14"/>
  <c r="S27" i="14"/>
  <c r="R27" i="14"/>
  <c r="O27" i="14"/>
  <c r="O28" i="14" s="1"/>
  <c r="N27" i="14"/>
  <c r="K27" i="14"/>
  <c r="J27" i="14"/>
  <c r="G27" i="14"/>
  <c r="G28" i="14" s="1"/>
  <c r="F27" i="14"/>
  <c r="D27" i="14"/>
  <c r="C27" i="14"/>
  <c r="B19" i="14"/>
  <c r="B33" i="14" s="1"/>
  <c r="B18" i="14"/>
  <c r="B41" i="14" s="1"/>
  <c r="B17" i="14"/>
  <c r="T19" i="14"/>
  <c r="AH18" i="14"/>
  <c r="AG18" i="14"/>
  <c r="AF18" i="14"/>
  <c r="AE18" i="14"/>
  <c r="AC18" i="14"/>
  <c r="AB18" i="14"/>
  <c r="AA18" i="14"/>
  <c r="Z18" i="14"/>
  <c r="Y18" i="14"/>
  <c r="X18" i="14"/>
  <c r="W18" i="14"/>
  <c r="V18" i="14"/>
  <c r="U18" i="14"/>
  <c r="T18" i="14"/>
  <c r="S18" i="14"/>
  <c r="R18" i="14"/>
  <c r="Q18" i="14"/>
  <c r="P18" i="14"/>
  <c r="O18" i="14"/>
  <c r="N18" i="14"/>
  <c r="M18" i="14"/>
  <c r="L18" i="14"/>
  <c r="K18" i="14"/>
  <c r="J18" i="14"/>
  <c r="I18" i="14"/>
  <c r="H18" i="14"/>
  <c r="G18" i="14"/>
  <c r="F18" i="14"/>
  <c r="E18" i="14"/>
  <c r="D18" i="14"/>
  <c r="D41" i="14" s="1"/>
  <c r="C18" i="14"/>
  <c r="C41" i="14" s="1"/>
  <c r="U17" i="14"/>
  <c r="U19" i="14" s="1"/>
  <c r="C17" i="14"/>
  <c r="T14" i="14"/>
  <c r="T47" i="14" s="1"/>
  <c r="S14" i="14"/>
  <c r="S15" i="14" s="1"/>
  <c r="R14" i="14"/>
  <c r="R15" i="14" s="1"/>
  <c r="Q14" i="14"/>
  <c r="Q47" i="14" s="1"/>
  <c r="P14" i="14"/>
  <c r="P47" i="14" s="1"/>
  <c r="O14" i="14"/>
  <c r="O15" i="14" s="1"/>
  <c r="N14" i="14"/>
  <c r="N15" i="14" s="1"/>
  <c r="M14" i="14"/>
  <c r="M47" i="14" s="1"/>
  <c r="L14" i="14"/>
  <c r="L47" i="14" s="1"/>
  <c r="K14" i="14"/>
  <c r="K15" i="14" s="1"/>
  <c r="J14" i="14"/>
  <c r="J15" i="14" s="1"/>
  <c r="I14" i="14"/>
  <c r="I47" i="14" s="1"/>
  <c r="H14" i="14"/>
  <c r="H47" i="14" s="1"/>
  <c r="G14" i="14"/>
  <c r="G15" i="14" s="1"/>
  <c r="F14" i="14"/>
  <c r="F15" i="14" s="1"/>
  <c r="E14" i="14"/>
  <c r="E47" i="14" s="1"/>
  <c r="D14" i="14"/>
  <c r="D47" i="14" s="1"/>
  <c r="C14" i="14"/>
  <c r="C15" i="14" s="1"/>
  <c r="B14" i="14"/>
  <c r="AB12" i="14"/>
  <c r="AB14" i="14" s="1"/>
  <c r="AA12" i="14"/>
  <c r="AA14" i="14" s="1"/>
  <c r="Z12" i="14"/>
  <c r="Z14" i="14" s="1"/>
  <c r="Y12" i="14"/>
  <c r="AY18" i="14" s="1"/>
  <c r="X12" i="14"/>
  <c r="W12" i="14"/>
  <c r="V12" i="14"/>
  <c r="U12" i="14"/>
  <c r="U13" i="14" s="1"/>
  <c r="T12" i="14"/>
  <c r="S12" i="14"/>
  <c r="R12" i="14"/>
  <c r="R13" i="14" s="1"/>
  <c r="Q12" i="14"/>
  <c r="Q13" i="14" s="1"/>
  <c r="P12" i="14"/>
  <c r="P13" i="14" s="1"/>
  <c r="O12" i="14"/>
  <c r="O13" i="14" s="1"/>
  <c r="N12" i="14"/>
  <c r="N10" i="14"/>
  <c r="N11" i="14" s="1"/>
  <c r="R10" i="14"/>
  <c r="R11" i="14" s="1"/>
  <c r="Q10" i="14"/>
  <c r="Q11" i="14" s="1"/>
  <c r="P10" i="14"/>
  <c r="P11" i="14" s="1"/>
  <c r="O10" i="14"/>
  <c r="O11" i="14" s="1"/>
  <c r="C10" i="14"/>
  <c r="K11" i="14"/>
  <c r="G11" i="14"/>
  <c r="M10" i="14"/>
  <c r="M11" i="14" s="1"/>
  <c r="L10" i="14"/>
  <c r="L11" i="14" s="1"/>
  <c r="K10" i="14"/>
  <c r="J10" i="14"/>
  <c r="I10" i="14"/>
  <c r="I11" i="14" s="1"/>
  <c r="H10" i="14"/>
  <c r="H11" i="14" s="1"/>
  <c r="G10" i="14"/>
  <c r="F10" i="14"/>
  <c r="E10" i="14"/>
  <c r="E11" i="14" s="1"/>
  <c r="D10" i="14"/>
  <c r="D11" i="14" s="1"/>
  <c r="AB8" i="14"/>
  <c r="AA8" i="14"/>
  <c r="Z8" i="14"/>
  <c r="Y8" i="14"/>
  <c r="X8" i="14"/>
  <c r="W8" i="14"/>
  <c r="V8" i="14"/>
  <c r="U8" i="14"/>
  <c r="T8" i="14"/>
  <c r="S8" i="14"/>
  <c r="AB7" i="14"/>
  <c r="AA7" i="14"/>
  <c r="Z7" i="14"/>
  <c r="Y7" i="14"/>
  <c r="Y14" i="14" s="1"/>
  <c r="X7" i="14"/>
  <c r="W7" i="14"/>
  <c r="V7" i="14"/>
  <c r="V36" i="14" s="1"/>
  <c r="U7" i="14"/>
  <c r="U14" i="14" s="1"/>
  <c r="T7" i="14"/>
  <c r="S7" i="14"/>
  <c r="R7" i="14"/>
  <c r="R36" i="14" s="1"/>
  <c r="Q7" i="14"/>
  <c r="P7" i="14"/>
  <c r="O7" i="14"/>
  <c r="O36" i="14" s="1"/>
  <c r="O37" i="14" s="1"/>
  <c r="N7" i="14"/>
  <c r="N36" i="14" s="1"/>
  <c r="M7" i="14"/>
  <c r="N9" i="14" s="1"/>
  <c r="L7" i="14"/>
  <c r="K7" i="14"/>
  <c r="K36" i="14" s="1"/>
  <c r="K37" i="14" s="1"/>
  <c r="J7" i="14"/>
  <c r="J36" i="14" s="1"/>
  <c r="I7" i="14"/>
  <c r="J9" i="14" s="1"/>
  <c r="H7" i="14"/>
  <c r="G7" i="14"/>
  <c r="F7" i="14"/>
  <c r="F36" i="14" s="1"/>
  <c r="E7" i="14"/>
  <c r="D7" i="14"/>
  <c r="C7" i="14"/>
  <c r="C36" i="14" s="1"/>
  <c r="B7" i="14"/>
  <c r="B36" i="14" s="1"/>
  <c r="AN5" i="14"/>
  <c r="AJ5" i="14"/>
  <c r="M5" i="14"/>
  <c r="D5" i="14"/>
  <c r="C5" i="14"/>
  <c r="A221" i="36"/>
  <c r="A220" i="36"/>
  <c r="CP217" i="36"/>
  <c r="CL218" i="36"/>
  <c r="CL217" i="36"/>
  <c r="CL216" i="36"/>
  <c r="CL215" i="36"/>
  <c r="CH219" i="36"/>
  <c r="CH218" i="36"/>
  <c r="CH217" i="36"/>
  <c r="CH216" i="36"/>
  <c r="CH215" i="36"/>
  <c r="CD219" i="36"/>
  <c r="CD218" i="36"/>
  <c r="CD217" i="36"/>
  <c r="CD216" i="36"/>
  <c r="CD215" i="36"/>
  <c r="BZ219" i="36"/>
  <c r="BZ218" i="36"/>
  <c r="BZ217" i="36"/>
  <c r="BZ216" i="36"/>
  <c r="BZ215" i="36"/>
  <c r="BV219" i="36"/>
  <c r="BV218" i="36"/>
  <c r="BV217" i="36"/>
  <c r="BV216" i="36"/>
  <c r="BV215" i="36"/>
  <c r="BR219" i="36"/>
  <c r="BR218" i="36"/>
  <c r="BR217" i="36"/>
  <c r="BR215" i="36"/>
  <c r="BR216" i="36" s="1"/>
  <c r="BN219" i="36"/>
  <c r="BN217" i="36"/>
  <c r="BN216" i="36"/>
  <c r="BN215" i="36"/>
  <c r="BJ219" i="36"/>
  <c r="BJ218" i="36"/>
  <c r="BJ217" i="36"/>
  <c r="BJ216" i="36"/>
  <c r="BJ215" i="36"/>
  <c r="BF219" i="36"/>
  <c r="BF218" i="36"/>
  <c r="BF217" i="36"/>
  <c r="BF216" i="36"/>
  <c r="BF215" i="36"/>
  <c r="BB219" i="36"/>
  <c r="BB218" i="36"/>
  <c r="BB217" i="36"/>
  <c r="BB216" i="36"/>
  <c r="BB215" i="36"/>
  <c r="AX219" i="36"/>
  <c r="AX218" i="36"/>
  <c r="AX217" i="36"/>
  <c r="AX216" i="36"/>
  <c r="AX215" i="36"/>
  <c r="AT219" i="36"/>
  <c r="AT218" i="36"/>
  <c r="AT217" i="36"/>
  <c r="AT216" i="36"/>
  <c r="AT215" i="36"/>
  <c r="B219" i="36"/>
  <c r="B218" i="36"/>
  <c r="B217" i="36"/>
  <c r="B216" i="36"/>
  <c r="B215" i="36"/>
  <c r="A218" i="36"/>
  <c r="A217" i="36"/>
  <c r="A216" i="36"/>
  <c r="A215" i="36"/>
  <c r="N215" i="36"/>
  <c r="N217" i="36" s="1"/>
  <c r="J215" i="36"/>
  <c r="E213" i="36"/>
  <c r="A211" i="36"/>
  <c r="A210" i="36"/>
  <c r="CT207" i="36"/>
  <c r="CP208" i="36"/>
  <c r="CP207" i="36"/>
  <c r="CP205" i="36"/>
  <c r="CP215" i="36" s="1"/>
  <c r="CL209" i="36"/>
  <c r="CL208" i="36"/>
  <c r="B209" i="36"/>
  <c r="B208" i="36"/>
  <c r="B207" i="36"/>
  <c r="B206" i="36"/>
  <c r="B205" i="36"/>
  <c r="A208" i="36"/>
  <c r="A207" i="36"/>
  <c r="A206" i="36"/>
  <c r="A205" i="36"/>
  <c r="N205" i="36"/>
  <c r="N207" i="36" s="1"/>
  <c r="J205" i="36"/>
  <c r="DN200" i="36"/>
  <c r="DJ200" i="36"/>
  <c r="DF200" i="36"/>
  <c r="DB200" i="36"/>
  <c r="CX200" i="36"/>
  <c r="CT200" i="36"/>
  <c r="CP200" i="36"/>
  <c r="CH200" i="36"/>
  <c r="CD200" i="36"/>
  <c r="BZ200" i="36"/>
  <c r="CL197" i="36"/>
  <c r="CL196" i="36"/>
  <c r="CL200" i="36" s="1"/>
  <c r="BV196" i="36"/>
  <c r="BV200" i="36" s="1"/>
  <c r="BR196" i="36"/>
  <c r="BR200" i="36" s="1"/>
  <c r="DN192" i="36"/>
  <c r="AD61" i="8" s="1"/>
  <c r="DJ192" i="36"/>
  <c r="DF192" i="36"/>
  <c r="DB192" i="36"/>
  <c r="CX192" i="36"/>
  <c r="CT192" i="36"/>
  <c r="CT191" i="36"/>
  <c r="CT190" i="36"/>
  <c r="CP191" i="36"/>
  <c r="CP190" i="36"/>
  <c r="CP189" i="36"/>
  <c r="CP192" i="36" s="1"/>
  <c r="CL191" i="36"/>
  <c r="CL190" i="36"/>
  <c r="CH190" i="36"/>
  <c r="CD189" i="36"/>
  <c r="BZ192" i="36"/>
  <c r="BZ191" i="36"/>
  <c r="BZ190" i="36"/>
  <c r="BV192" i="36"/>
  <c r="BR192" i="36"/>
  <c r="BN192" i="36"/>
  <c r="BJ192" i="36"/>
  <c r="BF192" i="36"/>
  <c r="BB192" i="36"/>
  <c r="AX192" i="36"/>
  <c r="AT192" i="36"/>
  <c r="AP192" i="36"/>
  <c r="AL192" i="36"/>
  <c r="AH192" i="36"/>
  <c r="AD192" i="36"/>
  <c r="Z192" i="36"/>
  <c r="B192" i="36"/>
  <c r="B191" i="36"/>
  <c r="B190" i="36"/>
  <c r="B189" i="36"/>
  <c r="B188" i="36"/>
  <c r="A191" i="36"/>
  <c r="A190" i="36"/>
  <c r="A189" i="36"/>
  <c r="A188" i="36"/>
  <c r="A186" i="36"/>
  <c r="A185" i="36"/>
  <c r="A184" i="36"/>
  <c r="A183" i="36"/>
  <c r="DJ184" i="36"/>
  <c r="DJ183" i="36"/>
  <c r="DF184" i="36"/>
  <c r="DF183" i="36"/>
  <c r="DB184" i="36"/>
  <c r="DB183" i="36"/>
  <c r="CX184" i="36"/>
  <c r="CX183" i="36"/>
  <c r="CT184" i="36"/>
  <c r="CT183" i="36"/>
  <c r="CL184" i="36"/>
  <c r="CL183" i="36"/>
  <c r="CL182" i="36"/>
  <c r="CH184" i="36"/>
  <c r="CH183" i="36"/>
  <c r="CD184" i="36"/>
  <c r="CD183" i="36"/>
  <c r="BZ184" i="36"/>
  <c r="BZ183" i="36"/>
  <c r="BV184" i="36"/>
  <c r="BV183" i="36"/>
  <c r="BR184" i="36"/>
  <c r="BR183" i="36"/>
  <c r="BN184" i="36"/>
  <c r="BN183" i="36"/>
  <c r="BJ184" i="36"/>
  <c r="BJ183" i="36"/>
  <c r="BF184" i="36"/>
  <c r="BF183" i="36"/>
  <c r="BB184" i="36"/>
  <c r="BB183" i="36"/>
  <c r="AX184" i="36"/>
  <c r="AX183" i="36"/>
  <c r="AT184" i="36"/>
  <c r="AT183" i="36"/>
  <c r="AP184" i="36"/>
  <c r="AP183" i="36"/>
  <c r="AL184" i="36"/>
  <c r="AL183" i="36"/>
  <c r="Z184" i="36"/>
  <c r="Z183" i="36"/>
  <c r="V184" i="36"/>
  <c r="V183" i="36"/>
  <c r="R184" i="36"/>
  <c r="R183" i="36"/>
  <c r="N184" i="36"/>
  <c r="N183" i="36"/>
  <c r="J184" i="36"/>
  <c r="J183" i="36"/>
  <c r="F184" i="36"/>
  <c r="F183" i="36"/>
  <c r="BK182" i="36"/>
  <c r="BK181" i="36"/>
  <c r="BK180" i="36"/>
  <c r="BK179" i="36"/>
  <c r="BK178" i="36"/>
  <c r="BG182" i="36"/>
  <c r="BG181" i="36"/>
  <c r="BG180" i="36"/>
  <c r="BG179" i="36"/>
  <c r="BG178" i="36"/>
  <c r="BC182" i="36"/>
  <c r="BC181" i="36"/>
  <c r="BC180" i="36"/>
  <c r="BC179" i="36"/>
  <c r="BC178" i="36"/>
  <c r="AY182" i="36"/>
  <c r="AY181" i="36"/>
  <c r="AY180" i="36"/>
  <c r="AY179" i="36"/>
  <c r="AY178" i="36"/>
  <c r="AU182" i="36"/>
  <c r="AU181" i="36"/>
  <c r="AU180" i="36"/>
  <c r="AU179" i="36"/>
  <c r="AU178" i="36"/>
  <c r="B182" i="36"/>
  <c r="B181" i="36"/>
  <c r="B180" i="36"/>
  <c r="B179" i="36"/>
  <c r="B178" i="36"/>
  <c r="AL181" i="36"/>
  <c r="A181" i="36"/>
  <c r="A180" i="36"/>
  <c r="A179" i="36"/>
  <c r="A178" i="36"/>
  <c r="AH180" i="36"/>
  <c r="AH179" i="36"/>
  <c r="AH178" i="36"/>
  <c r="AH184" i="36" s="1"/>
  <c r="AD180" i="36"/>
  <c r="AD184" i="36" s="1"/>
  <c r="AD179" i="36"/>
  <c r="AD183" i="36" s="1"/>
  <c r="AD178" i="36"/>
  <c r="CP179" i="36"/>
  <c r="CQ169" i="36" s="1"/>
  <c r="E176" i="36"/>
  <c r="DJ174" i="36"/>
  <c r="DJ173" i="36"/>
  <c r="DF174" i="36"/>
  <c r="DF173" i="36"/>
  <c r="DB174" i="36"/>
  <c r="DB173" i="36"/>
  <c r="CX174" i="36"/>
  <c r="CX173" i="36"/>
  <c r="CT174" i="36"/>
  <c r="CT173" i="36"/>
  <c r="CT172" i="36"/>
  <c r="CP174" i="36"/>
  <c r="CP173" i="36"/>
  <c r="CP172" i="36"/>
  <c r="CL174" i="36"/>
  <c r="CL173" i="36"/>
  <c r="CL172" i="36"/>
  <c r="CL219" i="36" s="1"/>
  <c r="CH174" i="36"/>
  <c r="CH173" i="36"/>
  <c r="CD174" i="36"/>
  <c r="CD173" i="36"/>
  <c r="BZ174" i="36"/>
  <c r="BZ173" i="36"/>
  <c r="BV174" i="36"/>
  <c r="BV173" i="36"/>
  <c r="BR174" i="36"/>
  <c r="BR173" i="36"/>
  <c r="BN174" i="36"/>
  <c r="BN173" i="36"/>
  <c r="BJ174" i="36"/>
  <c r="BJ173" i="36"/>
  <c r="BF174" i="36"/>
  <c r="BF173" i="36"/>
  <c r="BB174" i="36"/>
  <c r="BB173" i="36"/>
  <c r="AX174" i="36"/>
  <c r="AX173" i="36"/>
  <c r="AT174" i="36"/>
  <c r="AT173" i="36"/>
  <c r="AP172" i="36"/>
  <c r="AP171" i="36"/>
  <c r="AU171" i="36" s="1"/>
  <c r="AP170" i="36"/>
  <c r="AU170" i="36" s="1"/>
  <c r="AP169" i="36"/>
  <c r="AP168" i="36"/>
  <c r="AL174" i="36"/>
  <c r="AL173" i="36"/>
  <c r="AH173" i="36"/>
  <c r="Z174" i="36"/>
  <c r="Z173" i="36"/>
  <c r="V174" i="36"/>
  <c r="V173" i="36"/>
  <c r="R174" i="36"/>
  <c r="R173" i="36"/>
  <c r="N174" i="36"/>
  <c r="N173" i="36"/>
  <c r="F174" i="36"/>
  <c r="F173" i="36"/>
  <c r="A174" i="36"/>
  <c r="A173" i="36"/>
  <c r="BK172" i="36"/>
  <c r="BK171" i="36"/>
  <c r="BK170" i="36"/>
  <c r="BK169" i="36"/>
  <c r="BK168" i="36"/>
  <c r="BG172" i="36"/>
  <c r="BG171" i="36"/>
  <c r="BG170" i="36"/>
  <c r="BG169" i="36"/>
  <c r="BG168" i="36"/>
  <c r="BC172" i="36"/>
  <c r="BC171" i="36"/>
  <c r="BC170" i="36"/>
  <c r="BC169" i="36"/>
  <c r="BC168" i="36"/>
  <c r="AY172" i="36"/>
  <c r="AY171" i="36"/>
  <c r="AY170" i="36"/>
  <c r="AY169" i="36"/>
  <c r="AY168" i="36"/>
  <c r="AU169" i="36"/>
  <c r="AU168" i="36"/>
  <c r="B172" i="36"/>
  <c r="B171" i="36"/>
  <c r="B170" i="36"/>
  <c r="B169" i="36"/>
  <c r="B168" i="36"/>
  <c r="DK170" i="36"/>
  <c r="DK169" i="36"/>
  <c r="DK168" i="36"/>
  <c r="DG171" i="36"/>
  <c r="DG170" i="36"/>
  <c r="DG169" i="36"/>
  <c r="DG168" i="36"/>
  <c r="DC171" i="36"/>
  <c r="DC170" i="36"/>
  <c r="DC169" i="36"/>
  <c r="DC168" i="36"/>
  <c r="CY171" i="36"/>
  <c r="CY170" i="36"/>
  <c r="CY169" i="36"/>
  <c r="CY168" i="36"/>
  <c r="CU171" i="36"/>
  <c r="CU170" i="36"/>
  <c r="CU169" i="36"/>
  <c r="CU168" i="36"/>
  <c r="CQ171" i="36"/>
  <c r="CQ170" i="36"/>
  <c r="CQ168" i="36"/>
  <c r="CM171" i="36"/>
  <c r="CM170" i="36"/>
  <c r="CM169" i="36"/>
  <c r="CM168" i="36"/>
  <c r="BN171" i="36"/>
  <c r="BN218" i="36" s="1"/>
  <c r="A171" i="36"/>
  <c r="A170" i="36"/>
  <c r="A169" i="36"/>
  <c r="A168" i="36"/>
  <c r="AH170" i="36"/>
  <c r="AH169" i="36"/>
  <c r="AH168" i="36"/>
  <c r="AD170" i="36"/>
  <c r="AD169" i="36"/>
  <c r="AD174" i="36" s="1"/>
  <c r="AD168" i="36"/>
  <c r="N170" i="36"/>
  <c r="N168" i="36"/>
  <c r="J168" i="36"/>
  <c r="E166" i="36"/>
  <c r="A164" i="36"/>
  <c r="A163" i="36"/>
  <c r="B162" i="36"/>
  <c r="B161" i="36"/>
  <c r="B160" i="36"/>
  <c r="B159" i="36"/>
  <c r="B158" i="36"/>
  <c r="A161" i="36"/>
  <c r="A160" i="36"/>
  <c r="A159" i="36"/>
  <c r="A158" i="36"/>
  <c r="A154" i="36"/>
  <c r="A153" i="36"/>
  <c r="B152" i="36"/>
  <c r="B151" i="36"/>
  <c r="B150" i="36"/>
  <c r="B149" i="36"/>
  <c r="B148" i="36"/>
  <c r="A151" i="36"/>
  <c r="A150" i="36"/>
  <c r="A149" i="36"/>
  <c r="A148" i="36"/>
  <c r="DO145" i="36"/>
  <c r="DK145" i="36"/>
  <c r="DG145" i="36"/>
  <c r="DC145" i="36"/>
  <c r="F144" i="36"/>
  <c r="F143" i="36"/>
  <c r="A144" i="36"/>
  <c r="A143" i="36"/>
  <c r="CN142" i="36"/>
  <c r="B142" i="36"/>
  <c r="B141" i="36"/>
  <c r="B140" i="36"/>
  <c r="B139" i="36"/>
  <c r="B138" i="36"/>
  <c r="A141" i="36"/>
  <c r="A140" i="36"/>
  <c r="A139" i="36"/>
  <c r="A138" i="36"/>
  <c r="E136" i="36"/>
  <c r="A134" i="36"/>
  <c r="A133" i="36"/>
  <c r="B132" i="36"/>
  <c r="B131" i="36"/>
  <c r="B130" i="36"/>
  <c r="B129" i="36"/>
  <c r="B128" i="36"/>
  <c r="A131" i="36"/>
  <c r="A130" i="36"/>
  <c r="A129" i="36"/>
  <c r="A128" i="36"/>
  <c r="AL126" i="36"/>
  <c r="E126" i="36"/>
  <c r="DN124" i="36"/>
  <c r="DN123" i="36"/>
  <c r="DN122" i="36"/>
  <c r="DJ124" i="36"/>
  <c r="DJ123" i="36"/>
  <c r="DJ122" i="36"/>
  <c r="DF124" i="36"/>
  <c r="DF123" i="36"/>
  <c r="DF122" i="36"/>
  <c r="DB124" i="36"/>
  <c r="DB123" i="36"/>
  <c r="DB122" i="36"/>
  <c r="CX124" i="36"/>
  <c r="CX123" i="36"/>
  <c r="CX122" i="36"/>
  <c r="CT124" i="36"/>
  <c r="CT123" i="36"/>
  <c r="CT122" i="36"/>
  <c r="CP124" i="36"/>
  <c r="CP123" i="36"/>
  <c r="CP122" i="36"/>
  <c r="CL124" i="36"/>
  <c r="CL123" i="36"/>
  <c r="CL122" i="36"/>
  <c r="CH124" i="36"/>
  <c r="CH123" i="36"/>
  <c r="CH122" i="36"/>
  <c r="CD124" i="36"/>
  <c r="CD123" i="36"/>
  <c r="CD122" i="36"/>
  <c r="BZ124" i="36"/>
  <c r="BZ123" i="36"/>
  <c r="BZ122" i="36"/>
  <c r="BV124" i="36"/>
  <c r="BV123" i="36"/>
  <c r="BV122" i="36"/>
  <c r="BR124" i="36"/>
  <c r="BR123" i="36"/>
  <c r="BR122" i="36"/>
  <c r="BN124" i="36"/>
  <c r="BN123" i="36"/>
  <c r="BN122" i="36"/>
  <c r="BJ124" i="36"/>
  <c r="BJ123" i="36"/>
  <c r="BJ122" i="36"/>
  <c r="BF124" i="36"/>
  <c r="BF123" i="36"/>
  <c r="BF122" i="36"/>
  <c r="BB124" i="36"/>
  <c r="BB123" i="36"/>
  <c r="BB122" i="36"/>
  <c r="AX124" i="36"/>
  <c r="AX123" i="36"/>
  <c r="AX122" i="36"/>
  <c r="AT124" i="36"/>
  <c r="AT123" i="36"/>
  <c r="AT122" i="36"/>
  <c r="AP124" i="36"/>
  <c r="AP123" i="36"/>
  <c r="AP122" i="36"/>
  <c r="AL124" i="36"/>
  <c r="AL123" i="36"/>
  <c r="AL122" i="36"/>
  <c r="AH124" i="36"/>
  <c r="AH123" i="36"/>
  <c r="AH122" i="36"/>
  <c r="AD124" i="36"/>
  <c r="AD123" i="36"/>
  <c r="AD122" i="36"/>
  <c r="Z124" i="36"/>
  <c r="Z123" i="36"/>
  <c r="V124" i="36"/>
  <c r="V123" i="36"/>
  <c r="R124" i="36"/>
  <c r="R123" i="36"/>
  <c r="N124" i="36"/>
  <c r="N123" i="36"/>
  <c r="N122" i="36"/>
  <c r="J124" i="36"/>
  <c r="J123" i="36"/>
  <c r="J122" i="36"/>
  <c r="F124" i="36"/>
  <c r="F123" i="36"/>
  <c r="F122" i="36"/>
  <c r="A124" i="36"/>
  <c r="A123" i="36"/>
  <c r="B122" i="36"/>
  <c r="B121" i="36"/>
  <c r="B120" i="36"/>
  <c r="B119" i="36"/>
  <c r="B118" i="36"/>
  <c r="Z121" i="36"/>
  <c r="V121" i="36"/>
  <c r="A121" i="36"/>
  <c r="A120" i="36"/>
  <c r="A119" i="36"/>
  <c r="A118" i="36"/>
  <c r="E116" i="36"/>
  <c r="A114" i="36"/>
  <c r="A113" i="36"/>
  <c r="B112" i="36"/>
  <c r="B111" i="36"/>
  <c r="B110" i="36"/>
  <c r="B109" i="36"/>
  <c r="B108" i="36"/>
  <c r="A111" i="36"/>
  <c r="A110" i="36"/>
  <c r="A109" i="36"/>
  <c r="A108" i="36"/>
  <c r="E106" i="36"/>
  <c r="F104" i="36"/>
  <c r="F103" i="36"/>
  <c r="F102" i="36"/>
  <c r="A104" i="36"/>
  <c r="A103" i="36"/>
  <c r="BB104" i="36"/>
  <c r="BB103" i="36"/>
  <c r="DJ104" i="36"/>
  <c r="DJ103" i="36"/>
  <c r="DF104" i="36"/>
  <c r="DF103" i="36"/>
  <c r="DF102" i="36"/>
  <c r="CX104" i="36"/>
  <c r="CX103" i="36"/>
  <c r="CX102" i="36"/>
  <c r="CT104" i="36"/>
  <c r="CT103" i="36"/>
  <c r="CT102" i="36"/>
  <c r="CP104" i="36"/>
  <c r="CP103" i="36"/>
  <c r="CP102" i="36"/>
  <c r="CD104" i="36"/>
  <c r="CD102" i="36"/>
  <c r="BR104" i="36"/>
  <c r="BR103" i="36"/>
  <c r="BR102" i="36"/>
  <c r="BN104" i="36"/>
  <c r="BN103" i="36"/>
  <c r="BN102" i="36"/>
  <c r="BJ104" i="36"/>
  <c r="BJ103" i="36"/>
  <c r="BJ102" i="36"/>
  <c r="BF104" i="36"/>
  <c r="BF103" i="36"/>
  <c r="BF102" i="36"/>
  <c r="AX104" i="36"/>
  <c r="AX103" i="36"/>
  <c r="AX102" i="36"/>
  <c r="AP104" i="36"/>
  <c r="AP103" i="36"/>
  <c r="AP102" i="36"/>
  <c r="AL104" i="36"/>
  <c r="AL103" i="36"/>
  <c r="AL102" i="36"/>
  <c r="AH104" i="36"/>
  <c r="AH103" i="36"/>
  <c r="AH102" i="36"/>
  <c r="AD104" i="36"/>
  <c r="AD103" i="36"/>
  <c r="AD102" i="36"/>
  <c r="Z104" i="36"/>
  <c r="Z103" i="36"/>
  <c r="Z102" i="36"/>
  <c r="W104" i="36"/>
  <c r="V104" i="36"/>
  <c r="W103" i="36"/>
  <c r="V103" i="36"/>
  <c r="W102" i="36"/>
  <c r="V102" i="36"/>
  <c r="B102" i="36"/>
  <c r="B101" i="36"/>
  <c r="B100" i="36"/>
  <c r="B99" i="36"/>
  <c r="B98" i="36"/>
  <c r="DB101" i="36"/>
  <c r="CL101" i="36"/>
  <c r="BZ101" i="36"/>
  <c r="AT104" i="36"/>
  <c r="AT103" i="36"/>
  <c r="AT101" i="36"/>
  <c r="AT102" i="36" s="1"/>
  <c r="A101" i="36"/>
  <c r="A100" i="36"/>
  <c r="A99" i="36"/>
  <c r="A98" i="36"/>
  <c r="DK100" i="36"/>
  <c r="CD100" i="36"/>
  <c r="CD99" i="36"/>
  <c r="CD98" i="36"/>
  <c r="CD103" i="36" s="1"/>
  <c r="BV103" i="36"/>
  <c r="BV101" i="36"/>
  <c r="BV100" i="36"/>
  <c r="BV102" i="36" s="1"/>
  <c r="BB100" i="36"/>
  <c r="J100" i="36"/>
  <c r="DB99" i="36"/>
  <c r="DB103" i="36" s="1"/>
  <c r="CL99" i="36"/>
  <c r="CL98" i="36"/>
  <c r="R99" i="36"/>
  <c r="CT98" i="36"/>
  <c r="CH101" i="36"/>
  <c r="CH100" i="36"/>
  <c r="CH99" i="36"/>
  <c r="CH98" i="36"/>
  <c r="CH104" i="36" s="1"/>
  <c r="BZ98" i="36"/>
  <c r="BR98" i="36"/>
  <c r="N98" i="36"/>
  <c r="J98" i="36"/>
  <c r="J103" i="36" s="1"/>
  <c r="E96" i="36"/>
  <c r="DN94" i="36"/>
  <c r="DN93" i="36"/>
  <c r="DN92" i="36"/>
  <c r="DJ94" i="36"/>
  <c r="DJ93" i="36"/>
  <c r="DJ92" i="36"/>
  <c r="DF94" i="36"/>
  <c r="DF93" i="36"/>
  <c r="DF92" i="36"/>
  <c r="DB94" i="36"/>
  <c r="DB93" i="36"/>
  <c r="DB92" i="36"/>
  <c r="CX94" i="36"/>
  <c r="CX93" i="36"/>
  <c r="CX92" i="36"/>
  <c r="CT94" i="36"/>
  <c r="CT93" i="36"/>
  <c r="CT92" i="36"/>
  <c r="CP94" i="36"/>
  <c r="CP93" i="36"/>
  <c r="CP92" i="36"/>
  <c r="CL94" i="36"/>
  <c r="CL93" i="36"/>
  <c r="CL92" i="36"/>
  <c r="CH94" i="36"/>
  <c r="CH93" i="36"/>
  <c r="CH92" i="36"/>
  <c r="CD94" i="36"/>
  <c r="BZ94" i="36"/>
  <c r="BZ93" i="36"/>
  <c r="BZ92" i="36"/>
  <c r="BV93" i="36"/>
  <c r="BV92" i="36"/>
  <c r="BV91" i="36"/>
  <c r="BV90" i="36"/>
  <c r="BV94" i="36" s="1"/>
  <c r="BR94" i="36"/>
  <c r="BR93" i="36"/>
  <c r="BR92" i="36"/>
  <c r="BN94" i="36"/>
  <c r="BN93" i="36"/>
  <c r="BN92" i="36"/>
  <c r="BJ94" i="36"/>
  <c r="BJ93" i="36"/>
  <c r="BJ92" i="36"/>
  <c r="BF94" i="36"/>
  <c r="BF93" i="36"/>
  <c r="BF92" i="36"/>
  <c r="BB94" i="36"/>
  <c r="BB93" i="36"/>
  <c r="BB92" i="36"/>
  <c r="AX94" i="36"/>
  <c r="AX93" i="36"/>
  <c r="AX92" i="36"/>
  <c r="AT94" i="36"/>
  <c r="AT93" i="36"/>
  <c r="AT92" i="36"/>
  <c r="AP94" i="36"/>
  <c r="AP93" i="36"/>
  <c r="AP92" i="36"/>
  <c r="AL94" i="36"/>
  <c r="AL93" i="36"/>
  <c r="AL92" i="36"/>
  <c r="AH94" i="36"/>
  <c r="AH93" i="36"/>
  <c r="AH92" i="36"/>
  <c r="AD94" i="36"/>
  <c r="AD93" i="36"/>
  <c r="AD92" i="36"/>
  <c r="Z94" i="36"/>
  <c r="Z93" i="36"/>
  <c r="Z92" i="36"/>
  <c r="V94" i="36"/>
  <c r="V93" i="36"/>
  <c r="V92" i="36"/>
  <c r="R94" i="36"/>
  <c r="R92" i="36"/>
  <c r="N94" i="36"/>
  <c r="N93" i="36"/>
  <c r="N92" i="36"/>
  <c r="J94" i="36"/>
  <c r="J93" i="36"/>
  <c r="J92" i="36"/>
  <c r="F94" i="36"/>
  <c r="F93" i="36"/>
  <c r="F92" i="36"/>
  <c r="A94" i="36"/>
  <c r="A93" i="36"/>
  <c r="B92" i="36"/>
  <c r="B91" i="36"/>
  <c r="B90" i="36"/>
  <c r="B89" i="36"/>
  <c r="B88" i="36"/>
  <c r="A91" i="36"/>
  <c r="A90" i="36"/>
  <c r="A89" i="36"/>
  <c r="A88" i="36"/>
  <c r="CD90" i="36"/>
  <c r="CD89" i="36"/>
  <c r="CD92" i="36" s="1"/>
  <c r="R89" i="36"/>
  <c r="R93" i="36" s="1"/>
  <c r="E86" i="36"/>
  <c r="F81" i="36"/>
  <c r="F111" i="36" s="1"/>
  <c r="F131" i="36" s="1"/>
  <c r="A84" i="36"/>
  <c r="A83" i="36"/>
  <c r="B82" i="36"/>
  <c r="B81" i="36"/>
  <c r="B80" i="36"/>
  <c r="B79" i="36"/>
  <c r="B78" i="36"/>
  <c r="A81" i="36"/>
  <c r="A80" i="36"/>
  <c r="A79" i="36"/>
  <c r="A78" i="36"/>
  <c r="DJ78" i="36"/>
  <c r="CY81" i="36"/>
  <c r="CT81" i="36"/>
  <c r="CP81" i="36"/>
  <c r="CQ79" i="36"/>
  <c r="BO80" i="36"/>
  <c r="BJ80" i="36"/>
  <c r="BF80" i="36"/>
  <c r="BG78" i="36"/>
  <c r="BB80" i="36"/>
  <c r="BB78" i="36"/>
  <c r="AX78" i="36"/>
  <c r="AP78" i="36"/>
  <c r="N81" i="36"/>
  <c r="N79" i="36"/>
  <c r="E76" i="36"/>
  <c r="A74" i="36"/>
  <c r="A73" i="36"/>
  <c r="DN72" i="36"/>
  <c r="DJ72" i="36"/>
  <c r="DF72" i="36"/>
  <c r="DB72" i="36"/>
  <c r="CX72" i="36"/>
  <c r="B72" i="36"/>
  <c r="B71" i="36"/>
  <c r="B70" i="36"/>
  <c r="B69" i="36"/>
  <c r="B68" i="36"/>
  <c r="A71" i="36"/>
  <c r="A70" i="36"/>
  <c r="A69" i="36"/>
  <c r="A68" i="36"/>
  <c r="E66" i="36"/>
  <c r="F64" i="36"/>
  <c r="F63" i="36"/>
  <c r="F62" i="36"/>
  <c r="A64" i="36"/>
  <c r="A63" i="36"/>
  <c r="DN64" i="36"/>
  <c r="DN63" i="36"/>
  <c r="DN62" i="36"/>
  <c r="AD34" i="8" s="1"/>
  <c r="DJ64" i="36"/>
  <c r="DJ63" i="36"/>
  <c r="DJ62" i="36"/>
  <c r="AC34" i="8" s="1"/>
  <c r="DF64" i="36"/>
  <c r="DF63" i="36"/>
  <c r="DG63" i="36" s="1"/>
  <c r="DF62" i="36"/>
  <c r="DB64" i="36"/>
  <c r="DB63" i="36"/>
  <c r="DB62" i="36"/>
  <c r="CX63" i="36"/>
  <c r="CY63" i="36" s="1"/>
  <c r="CT64" i="36"/>
  <c r="CT63" i="36"/>
  <c r="CT62" i="36"/>
  <c r="CP64" i="36"/>
  <c r="CP63" i="36"/>
  <c r="CQ63" i="36" s="1"/>
  <c r="CP62" i="36"/>
  <c r="CL64" i="36"/>
  <c r="CM63" i="36"/>
  <c r="CL63" i="36"/>
  <c r="CL62" i="36"/>
  <c r="CH64" i="36"/>
  <c r="CH63" i="36"/>
  <c r="CH62" i="36"/>
  <c r="CD64" i="36"/>
  <c r="CD63" i="36"/>
  <c r="CD62" i="36"/>
  <c r="BZ63" i="36"/>
  <c r="BV64" i="36"/>
  <c r="BW63" i="36"/>
  <c r="BV63" i="36"/>
  <c r="BV62" i="36"/>
  <c r="BN64" i="36"/>
  <c r="BN63" i="36"/>
  <c r="BN62" i="36"/>
  <c r="BO62" i="36" s="1"/>
  <c r="BJ64" i="36"/>
  <c r="BJ63" i="36"/>
  <c r="BK62" i="36"/>
  <c r="BJ62" i="36"/>
  <c r="BF64" i="36"/>
  <c r="BF63" i="36"/>
  <c r="BF62" i="36"/>
  <c r="BB64" i="36"/>
  <c r="BB63" i="36"/>
  <c r="BB62" i="36"/>
  <c r="AX64" i="36"/>
  <c r="AY63" i="36"/>
  <c r="AX63" i="36"/>
  <c r="AX62" i="36"/>
  <c r="AP64" i="36"/>
  <c r="AP63" i="36"/>
  <c r="AQ62" i="36"/>
  <c r="AP62" i="36"/>
  <c r="AL64" i="36"/>
  <c r="AM64" i="36" s="1"/>
  <c r="AL63" i="36"/>
  <c r="AL62" i="36"/>
  <c r="AM62" i="36" s="1"/>
  <c r="AI64" i="36"/>
  <c r="AH64" i="36"/>
  <c r="AH63" i="36"/>
  <c r="AH62" i="36"/>
  <c r="AD64" i="36"/>
  <c r="AD63" i="36"/>
  <c r="AD62" i="36"/>
  <c r="AE62" i="36" s="1"/>
  <c r="Z64" i="36"/>
  <c r="Z63" i="36"/>
  <c r="AA62" i="36"/>
  <c r="Z62" i="36"/>
  <c r="V64" i="36"/>
  <c r="V63" i="36"/>
  <c r="V62" i="36"/>
  <c r="R64" i="36"/>
  <c r="R63" i="36"/>
  <c r="R62" i="36"/>
  <c r="J63" i="36"/>
  <c r="B62" i="36"/>
  <c r="B61" i="36"/>
  <c r="B60" i="36"/>
  <c r="B59" i="36"/>
  <c r="B58" i="36"/>
  <c r="DK60" i="36"/>
  <c r="DK59" i="36"/>
  <c r="DK58" i="36"/>
  <c r="DG61" i="36"/>
  <c r="DG60" i="36"/>
  <c r="DG59" i="36"/>
  <c r="DG58" i="36"/>
  <c r="DC61" i="36"/>
  <c r="DC60" i="36"/>
  <c r="DC59" i="36"/>
  <c r="DC58" i="36"/>
  <c r="CY61" i="36"/>
  <c r="CY60" i="36"/>
  <c r="CY59" i="36"/>
  <c r="CY58" i="36"/>
  <c r="CU61" i="36"/>
  <c r="CU60" i="36"/>
  <c r="CU59" i="36"/>
  <c r="CU58" i="36"/>
  <c r="CQ61" i="36"/>
  <c r="CQ60" i="36"/>
  <c r="CQ59" i="36"/>
  <c r="CQ58" i="36"/>
  <c r="CM61" i="36"/>
  <c r="CM60" i="36"/>
  <c r="CM59" i="36"/>
  <c r="CM58" i="36"/>
  <c r="CI61" i="36"/>
  <c r="CI60" i="36"/>
  <c r="CI59" i="36"/>
  <c r="CI58" i="36"/>
  <c r="CF61" i="36"/>
  <c r="CE61" i="36"/>
  <c r="CA61" i="36"/>
  <c r="BW61" i="36"/>
  <c r="BW60" i="36"/>
  <c r="BW59" i="36"/>
  <c r="BW58" i="36"/>
  <c r="BS61" i="36"/>
  <c r="BS60" i="36"/>
  <c r="BS59" i="36"/>
  <c r="BO61" i="36"/>
  <c r="BO60" i="36"/>
  <c r="BO59" i="36"/>
  <c r="BO58" i="36"/>
  <c r="BK61" i="36"/>
  <c r="BK60" i="36"/>
  <c r="BK59" i="36"/>
  <c r="BK58" i="36"/>
  <c r="BG61" i="36"/>
  <c r="BG60" i="36"/>
  <c r="BG59" i="36"/>
  <c r="BG58" i="36"/>
  <c r="BC61" i="36"/>
  <c r="BC60" i="36"/>
  <c r="BC59" i="36"/>
  <c r="BC58" i="36"/>
  <c r="AY61" i="36"/>
  <c r="AY60" i="36"/>
  <c r="AY59" i="36"/>
  <c r="AY58" i="36"/>
  <c r="AT64" i="36"/>
  <c r="AU64" i="36" s="1"/>
  <c r="AT63" i="36"/>
  <c r="AT61" i="36"/>
  <c r="AQ60" i="36"/>
  <c r="AQ59" i="36"/>
  <c r="AQ58" i="36"/>
  <c r="AM60" i="36"/>
  <c r="AM59" i="36"/>
  <c r="AM58" i="36"/>
  <c r="AI61" i="36"/>
  <c r="AI60" i="36"/>
  <c r="AI59" i="36"/>
  <c r="AI58" i="36"/>
  <c r="AE61" i="36"/>
  <c r="AE60" i="36"/>
  <c r="AE59" i="36"/>
  <c r="AE58" i="36"/>
  <c r="AA61" i="36"/>
  <c r="AA60" i="36"/>
  <c r="AA59" i="36"/>
  <c r="AA58" i="36"/>
  <c r="W61" i="36"/>
  <c r="S61" i="36"/>
  <c r="S58" i="36"/>
  <c r="O61" i="36"/>
  <c r="O59" i="36"/>
  <c r="K61" i="36"/>
  <c r="K59" i="36"/>
  <c r="A61" i="36"/>
  <c r="A60" i="36"/>
  <c r="A59" i="36"/>
  <c r="A58" i="36"/>
  <c r="CX60" i="36"/>
  <c r="CX64" i="36" s="1"/>
  <c r="CY64" i="36" s="1"/>
  <c r="CE59" i="36"/>
  <c r="BZ60" i="36"/>
  <c r="AU60" i="36"/>
  <c r="AU59" i="36"/>
  <c r="AU58" i="36"/>
  <c r="J60" i="36"/>
  <c r="BR58" i="36"/>
  <c r="BR63" i="36" s="1"/>
  <c r="N58" i="36"/>
  <c r="J58" i="36"/>
  <c r="J64" i="36" s="1"/>
  <c r="E56" i="36"/>
  <c r="F53" i="36"/>
  <c r="F51" i="36"/>
  <c r="F50" i="36"/>
  <c r="F80" i="36" s="1"/>
  <c r="F110" i="36" s="1"/>
  <c r="F130" i="36" s="1"/>
  <c r="F49" i="36"/>
  <c r="F48" i="36"/>
  <c r="F78" i="36" s="1"/>
  <c r="D51" i="36"/>
  <c r="D81" i="36" s="1"/>
  <c r="D111" i="36" s="1"/>
  <c r="D50" i="36"/>
  <c r="D80" i="36" s="1"/>
  <c r="D110" i="36" s="1"/>
  <c r="D49" i="36"/>
  <c r="D79" i="36" s="1"/>
  <c r="D109" i="36" s="1"/>
  <c r="D48" i="36"/>
  <c r="A54" i="36"/>
  <c r="A53" i="36"/>
  <c r="B52" i="36"/>
  <c r="B51" i="36"/>
  <c r="B50" i="36"/>
  <c r="B49" i="36"/>
  <c r="B48" i="36"/>
  <c r="R51" i="36"/>
  <c r="R81" i="36" s="1"/>
  <c r="A51" i="36"/>
  <c r="A50" i="36"/>
  <c r="A49" i="36"/>
  <c r="A48" i="36"/>
  <c r="DL50" i="36"/>
  <c r="DK50" i="36"/>
  <c r="DJ50" i="36"/>
  <c r="DJ80" i="36" s="1"/>
  <c r="DJ110" i="36" s="1"/>
  <c r="DJ49" i="36"/>
  <c r="DJ48" i="36"/>
  <c r="DK48" i="36" s="1"/>
  <c r="DF52" i="36"/>
  <c r="DH50" i="36"/>
  <c r="DG50" i="36"/>
  <c r="DF50" i="36"/>
  <c r="DF80" i="36" s="1"/>
  <c r="DG49" i="36"/>
  <c r="DF49" i="36"/>
  <c r="DF79" i="36" s="1"/>
  <c r="DF48" i="36"/>
  <c r="DB50" i="36"/>
  <c r="DC50" i="36" s="1"/>
  <c r="DD48" i="36"/>
  <c r="DC48" i="36"/>
  <c r="DB48" i="36"/>
  <c r="DB78" i="36" s="1"/>
  <c r="CZ51" i="36"/>
  <c r="CY51" i="36"/>
  <c r="CX51" i="36"/>
  <c r="CX81" i="36" s="1"/>
  <c r="CX111" i="36" s="1"/>
  <c r="CX50" i="36"/>
  <c r="CX49" i="36"/>
  <c r="CY49" i="36" s="1"/>
  <c r="CY48" i="36"/>
  <c r="CX48" i="36"/>
  <c r="CV51" i="36"/>
  <c r="CU51" i="36"/>
  <c r="CT51" i="36"/>
  <c r="CT151" i="36" s="1"/>
  <c r="CV50" i="36"/>
  <c r="CU50" i="36"/>
  <c r="CT50" i="36"/>
  <c r="CT80" i="36" s="1"/>
  <c r="CT49" i="36"/>
  <c r="CP52" i="36"/>
  <c r="CP51" i="36"/>
  <c r="CQ51" i="36" s="1"/>
  <c r="CR50" i="36"/>
  <c r="CQ50" i="36"/>
  <c r="CP50" i="36"/>
  <c r="CP80" i="36" s="1"/>
  <c r="CQ49" i="36"/>
  <c r="CP49" i="36"/>
  <c r="CP79" i="36" s="1"/>
  <c r="CP48" i="36"/>
  <c r="CL50" i="36"/>
  <c r="CL80" i="36" s="1"/>
  <c r="CN49" i="36"/>
  <c r="CI51" i="36"/>
  <c r="CF51" i="36"/>
  <c r="CE51" i="36"/>
  <c r="CD51" i="36"/>
  <c r="CD81" i="36" s="1"/>
  <c r="BZ51" i="36"/>
  <c r="CA51" i="36" s="1"/>
  <c r="BX49" i="36"/>
  <c r="BW49" i="36"/>
  <c r="BV49" i="36"/>
  <c r="BV79" i="36" s="1"/>
  <c r="BW48" i="36"/>
  <c r="BV48" i="36"/>
  <c r="BV78" i="36" s="1"/>
  <c r="BT51" i="36"/>
  <c r="BS51" i="36"/>
  <c r="BR51" i="36"/>
  <c r="BR81" i="36" s="1"/>
  <c r="BR111" i="36" s="1"/>
  <c r="BR50" i="36"/>
  <c r="BR49" i="36"/>
  <c r="BS49" i="36" s="1"/>
  <c r="BT48" i="36"/>
  <c r="BN53" i="36"/>
  <c r="BP51" i="36"/>
  <c r="BO51" i="36"/>
  <c r="BN51" i="36"/>
  <c r="BN81" i="36" s="1"/>
  <c r="BP50" i="36"/>
  <c r="BO50" i="36"/>
  <c r="BN50" i="36"/>
  <c r="BN80" i="36" s="1"/>
  <c r="BN49" i="36"/>
  <c r="BN48" i="36"/>
  <c r="BO48" i="36" s="1"/>
  <c r="BJ51" i="36"/>
  <c r="BJ81" i="36" s="1"/>
  <c r="BL50" i="36"/>
  <c r="BK50" i="36"/>
  <c r="BJ50" i="36"/>
  <c r="BL49" i="36"/>
  <c r="BK49" i="36"/>
  <c r="BJ49" i="36"/>
  <c r="BJ79" i="36" s="1"/>
  <c r="BJ48" i="36"/>
  <c r="BF51" i="36"/>
  <c r="BF50" i="36"/>
  <c r="BG50" i="36" s="1"/>
  <c r="BH49" i="36"/>
  <c r="BG49" i="36"/>
  <c r="BF49" i="36"/>
  <c r="BF79" i="36" s="1"/>
  <c r="BF109" i="36" s="1"/>
  <c r="BH48" i="36"/>
  <c r="BG48" i="36"/>
  <c r="BF48" i="36"/>
  <c r="BF78" i="36" s="1"/>
  <c r="BB54" i="36"/>
  <c r="BD51" i="36"/>
  <c r="BC51" i="36"/>
  <c r="BB51" i="36"/>
  <c r="BB81" i="36" s="1"/>
  <c r="BB50" i="36"/>
  <c r="BB49" i="36"/>
  <c r="BB79" i="36" s="1"/>
  <c r="BD48" i="36"/>
  <c r="BC48" i="36"/>
  <c r="BB48" i="36"/>
  <c r="BB52" i="36" s="1"/>
  <c r="AY51" i="36"/>
  <c r="AX51" i="36"/>
  <c r="AX81" i="36" s="1"/>
  <c r="BD81" i="36" s="1"/>
  <c r="AZ50" i="36"/>
  <c r="AY50" i="36"/>
  <c r="AX50" i="36"/>
  <c r="AX80" i="36" s="1"/>
  <c r="AX49" i="36"/>
  <c r="AX53" i="36" s="1"/>
  <c r="AX48" i="36"/>
  <c r="AY48" i="36" s="1"/>
  <c r="AV50" i="36"/>
  <c r="AU50" i="36"/>
  <c r="AT50" i="36"/>
  <c r="AT80" i="36" s="1"/>
  <c r="AV49" i="36"/>
  <c r="AU49" i="36"/>
  <c r="AT49" i="36"/>
  <c r="AT79" i="36" s="1"/>
  <c r="AT48" i="36"/>
  <c r="AT78" i="36" s="1"/>
  <c r="AP54" i="36"/>
  <c r="AP50" i="36"/>
  <c r="AQ49" i="36"/>
  <c r="AP49" i="36"/>
  <c r="AP79" i="36" s="1"/>
  <c r="AR48" i="36"/>
  <c r="AQ48" i="36"/>
  <c r="AP48" i="36"/>
  <c r="AV48" i="36" s="1"/>
  <c r="AL50" i="36"/>
  <c r="AL49" i="36"/>
  <c r="AM48" i="36"/>
  <c r="AL48" i="36"/>
  <c r="AI51" i="36"/>
  <c r="AH51" i="36"/>
  <c r="AH81" i="36" s="1"/>
  <c r="AH111" i="36" s="1"/>
  <c r="AJ50" i="36"/>
  <c r="AH48" i="36"/>
  <c r="AD51" i="36"/>
  <c r="AJ51" i="36" s="1"/>
  <c r="AF49" i="36"/>
  <c r="AA51" i="36"/>
  <c r="Z51" i="36"/>
  <c r="AB48" i="36"/>
  <c r="X51" i="36"/>
  <c r="V51" i="36"/>
  <c r="AB51" i="36" s="1"/>
  <c r="W48" i="36"/>
  <c r="N51" i="36"/>
  <c r="T51" i="36" s="1"/>
  <c r="O49" i="36"/>
  <c r="N49" i="36"/>
  <c r="J51" i="36"/>
  <c r="J49" i="36"/>
  <c r="E46" i="36"/>
  <c r="A45" i="36"/>
  <c r="CX44" i="36"/>
  <c r="CY44" i="36" s="1"/>
  <c r="BJ44" i="36"/>
  <c r="BJ40" i="36"/>
  <c r="BJ41" i="36" s="1"/>
  <c r="BF44" i="36"/>
  <c r="BF43" i="36" s="1"/>
  <c r="BF41" i="36"/>
  <c r="BF42" i="36" s="1"/>
  <c r="BB44" i="36"/>
  <c r="BB43" i="36" s="1"/>
  <c r="BB41" i="36"/>
  <c r="BB42" i="36" s="1"/>
  <c r="AX44" i="36"/>
  <c r="AX43" i="36" s="1"/>
  <c r="AX41" i="36"/>
  <c r="AX42" i="36" s="1"/>
  <c r="AT44" i="36"/>
  <c r="AT43" i="36" s="1"/>
  <c r="AT41" i="36"/>
  <c r="AT42" i="36" s="1"/>
  <c r="AP44" i="36"/>
  <c r="AP43" i="36" s="1"/>
  <c r="AP41" i="36"/>
  <c r="AP42" i="36" s="1"/>
  <c r="AL44" i="36"/>
  <c r="AL43" i="36" s="1"/>
  <c r="AL41" i="36"/>
  <c r="AL42" i="36" s="1"/>
  <c r="AH44" i="36"/>
  <c r="AH43" i="36" s="1"/>
  <c r="AH41" i="36"/>
  <c r="AH42" i="36" s="1"/>
  <c r="AD44" i="36"/>
  <c r="AD43" i="36" s="1"/>
  <c r="AD41" i="36"/>
  <c r="AD42" i="36" s="1"/>
  <c r="Z44" i="36"/>
  <c r="Z43" i="36" s="1"/>
  <c r="Z41" i="36"/>
  <c r="Z42" i="36" s="1"/>
  <c r="V44" i="36"/>
  <c r="V43" i="36" s="1"/>
  <c r="V41" i="36"/>
  <c r="V42" i="36" s="1"/>
  <c r="R44" i="36"/>
  <c r="N44" i="36"/>
  <c r="J44" i="36"/>
  <c r="B44" i="36"/>
  <c r="B43" i="36"/>
  <c r="B42" i="36"/>
  <c r="B41" i="36"/>
  <c r="B40" i="36"/>
  <c r="CY40" i="36"/>
  <c r="A43" i="36"/>
  <c r="A42" i="36"/>
  <c r="A41" i="36"/>
  <c r="A40" i="36"/>
  <c r="DO40" i="36"/>
  <c r="CX41" i="36"/>
  <c r="DJ41" i="36"/>
  <c r="DF44" i="36"/>
  <c r="DG44" i="36" s="1"/>
  <c r="DF41" i="36"/>
  <c r="DB44" i="36"/>
  <c r="DC44" i="36" s="1"/>
  <c r="DB41" i="36"/>
  <c r="CT44" i="36"/>
  <c r="CU44" i="36" s="1"/>
  <c r="CT41" i="36"/>
  <c r="CP44" i="36"/>
  <c r="CQ44" i="36" s="1"/>
  <c r="CP41" i="36"/>
  <c r="CL44" i="36"/>
  <c r="CM44" i="36" s="1"/>
  <c r="CL41" i="36"/>
  <c r="CH44" i="36"/>
  <c r="CI44" i="36" s="1"/>
  <c r="CH41" i="36"/>
  <c r="CD44" i="36"/>
  <c r="CE44" i="36" s="1"/>
  <c r="CD41" i="36"/>
  <c r="BZ44" i="36"/>
  <c r="CA44" i="36" s="1"/>
  <c r="BZ41" i="36"/>
  <c r="BV44" i="36"/>
  <c r="BW44" i="36" s="1"/>
  <c r="BV41" i="36"/>
  <c r="BR44" i="36"/>
  <c r="BS44" i="36" s="1"/>
  <c r="BR41" i="36"/>
  <c r="BN44" i="36"/>
  <c r="BO44" i="36" s="1"/>
  <c r="BN41" i="36"/>
  <c r="DK40" i="36"/>
  <c r="DG40" i="36"/>
  <c r="DC40" i="36"/>
  <c r="CU40" i="36"/>
  <c r="CQ40" i="36"/>
  <c r="CM40" i="36"/>
  <c r="CI40" i="36"/>
  <c r="CE40" i="36"/>
  <c r="CA40" i="36"/>
  <c r="BW40" i="36"/>
  <c r="BS40" i="36"/>
  <c r="BO40" i="36"/>
  <c r="E38" i="36"/>
  <c r="F36" i="36"/>
  <c r="F35" i="36"/>
  <c r="F34" i="36"/>
  <c r="D36" i="36"/>
  <c r="D35" i="36"/>
  <c r="D34" i="36"/>
  <c r="A36" i="36"/>
  <c r="A35" i="36"/>
  <c r="AQ36" i="36"/>
  <c r="AP36" i="36"/>
  <c r="AP35" i="36"/>
  <c r="AL36" i="36"/>
  <c r="AR36" i="36" s="1"/>
  <c r="AL35" i="36"/>
  <c r="AM35" i="36" s="1"/>
  <c r="EC33" i="36"/>
  <c r="DS30" i="36"/>
  <c r="DJ36" i="36"/>
  <c r="DJ35" i="36"/>
  <c r="DL35" i="36" s="1"/>
  <c r="CY36" i="36"/>
  <c r="CX36" i="36"/>
  <c r="CX35" i="36"/>
  <c r="CX34" i="36"/>
  <c r="CT34" i="36"/>
  <c r="CP36" i="36"/>
  <c r="CP35" i="36"/>
  <c r="CQ35" i="36" s="1"/>
  <c r="CP34" i="36"/>
  <c r="CD36" i="36"/>
  <c r="BZ35" i="36"/>
  <c r="BT36" i="36"/>
  <c r="BR36" i="36"/>
  <c r="BR35" i="36"/>
  <c r="BR34" i="36"/>
  <c r="BN36" i="36"/>
  <c r="BP35" i="36"/>
  <c r="BN35" i="36"/>
  <c r="BT35" i="36" s="1"/>
  <c r="BO34" i="36"/>
  <c r="BN34" i="36"/>
  <c r="BJ36" i="36"/>
  <c r="BJ35" i="36"/>
  <c r="BL34" i="36"/>
  <c r="BJ34" i="36"/>
  <c r="BP34" i="36" s="1"/>
  <c r="BG36" i="36"/>
  <c r="BF36" i="36"/>
  <c r="BF35" i="36"/>
  <c r="BF34" i="36"/>
  <c r="BD36" i="36"/>
  <c r="BB36" i="36"/>
  <c r="BH36" i="36" s="1"/>
  <c r="BB35" i="36"/>
  <c r="BB34" i="36"/>
  <c r="AX36" i="36"/>
  <c r="AZ36" i="36" s="1"/>
  <c r="AZ35" i="36"/>
  <c r="AX35" i="36"/>
  <c r="BD35" i="36" s="1"/>
  <c r="AY34" i="36"/>
  <c r="AX34" i="36"/>
  <c r="Z34" i="36"/>
  <c r="N35" i="36"/>
  <c r="B34" i="36"/>
  <c r="B33" i="36"/>
  <c r="B32" i="36"/>
  <c r="B31" i="36"/>
  <c r="B30" i="36"/>
  <c r="DL32" i="36"/>
  <c r="DL31" i="36"/>
  <c r="DL30" i="36"/>
  <c r="DF36" i="36"/>
  <c r="DG36" i="36" s="1"/>
  <c r="DG35" i="36"/>
  <c r="DF35" i="36"/>
  <c r="DF34" i="36"/>
  <c r="DG33" i="36"/>
  <c r="DF33" i="36"/>
  <c r="DF51" i="36" s="1"/>
  <c r="DC33" i="36"/>
  <c r="DB33" i="36"/>
  <c r="DB51" i="36" s="1"/>
  <c r="CL34" i="36"/>
  <c r="CM33" i="36"/>
  <c r="CL33" i="36"/>
  <c r="CN33" i="36" s="1"/>
  <c r="BT33" i="36"/>
  <c r="BT32" i="36"/>
  <c r="BT31" i="36"/>
  <c r="BT30" i="36"/>
  <c r="AV36" i="36"/>
  <c r="AT36" i="36"/>
  <c r="AU36" i="36" s="1"/>
  <c r="AT35" i="36"/>
  <c r="AT34" i="36"/>
  <c r="AT33" i="36"/>
  <c r="AP33" i="36"/>
  <c r="AL33" i="36"/>
  <c r="K33" i="36"/>
  <c r="K31" i="36"/>
  <c r="A33" i="36"/>
  <c r="A32" i="36"/>
  <c r="A31" i="36"/>
  <c r="A30" i="36"/>
  <c r="DK32" i="36"/>
  <c r="DK31" i="36"/>
  <c r="DK30" i="36"/>
  <c r="CD32" i="36"/>
  <c r="CD31" i="36"/>
  <c r="CD49" i="36" s="1"/>
  <c r="CD30" i="36"/>
  <c r="CD34" i="36" s="1"/>
  <c r="BX35" i="36"/>
  <c r="BW35" i="36"/>
  <c r="BV35" i="36"/>
  <c r="BV34" i="36"/>
  <c r="BW33" i="36"/>
  <c r="BV33" i="36"/>
  <c r="BX33" i="36" s="1"/>
  <c r="BX32" i="36"/>
  <c r="BV32" i="36"/>
  <c r="BV50" i="36" s="1"/>
  <c r="AH32" i="36"/>
  <c r="AH50" i="36" s="1"/>
  <c r="AN50" i="36" s="1"/>
  <c r="AH31" i="36"/>
  <c r="AI31" i="36" s="1"/>
  <c r="AH30" i="36"/>
  <c r="AD32" i="36"/>
  <c r="AD50" i="36" s="1"/>
  <c r="AD31" i="36"/>
  <c r="AD49" i="36" s="1"/>
  <c r="AD79" i="36" s="1"/>
  <c r="AD30" i="36"/>
  <c r="AD35" i="36" s="1"/>
  <c r="AE35" i="36" s="1"/>
  <c r="Z32" i="36"/>
  <c r="Z50" i="36" s="1"/>
  <c r="Z54" i="36" s="1"/>
  <c r="Z31" i="36"/>
  <c r="Z49" i="36" s="1"/>
  <c r="Z30" i="36"/>
  <c r="Z48" i="36" s="1"/>
  <c r="AA48" i="36" s="1"/>
  <c r="V32" i="36"/>
  <c r="V50" i="36" s="1"/>
  <c r="V31" i="36"/>
  <c r="W59" i="36" s="1"/>
  <c r="V30" i="36"/>
  <c r="V48" i="36" s="1"/>
  <c r="R32" i="36"/>
  <c r="R31" i="36"/>
  <c r="R36" i="36" s="1"/>
  <c r="R30" i="36"/>
  <c r="DB31" i="36"/>
  <c r="CL31" i="36"/>
  <c r="CL49" i="36" s="1"/>
  <c r="CL30" i="36"/>
  <c r="CL36" i="36" s="1"/>
  <c r="CM36" i="36" s="1"/>
  <c r="DV33" i="36"/>
  <c r="DV32" i="36"/>
  <c r="DV31" i="36"/>
  <c r="DV30" i="36"/>
  <c r="DH32" i="36"/>
  <c r="DG32" i="36"/>
  <c r="DG31" i="36"/>
  <c r="DH30" i="36"/>
  <c r="DG30" i="36"/>
  <c r="DD32" i="36"/>
  <c r="DC32" i="36"/>
  <c r="DC31" i="36"/>
  <c r="DD30" i="36"/>
  <c r="DC30" i="36"/>
  <c r="CZ33" i="36"/>
  <c r="CY33" i="36"/>
  <c r="CZ32" i="36"/>
  <c r="CY32" i="36"/>
  <c r="CZ31" i="36"/>
  <c r="CY31" i="36"/>
  <c r="CY30" i="36"/>
  <c r="CV33" i="36"/>
  <c r="CU33" i="36"/>
  <c r="CV32" i="36"/>
  <c r="CU32" i="36"/>
  <c r="CV31" i="36"/>
  <c r="CU31" i="36"/>
  <c r="CU30" i="36"/>
  <c r="CT30" i="36"/>
  <c r="CT48" i="36" s="1"/>
  <c r="CR33" i="36"/>
  <c r="CQ33" i="36"/>
  <c r="CR32" i="36"/>
  <c r="CQ32" i="36"/>
  <c r="CR31" i="36"/>
  <c r="CQ31" i="36"/>
  <c r="CR30" i="36"/>
  <c r="CQ30" i="36"/>
  <c r="CM32" i="36"/>
  <c r="CM31" i="36"/>
  <c r="CN30" i="36"/>
  <c r="CM30" i="36"/>
  <c r="CJ33" i="36"/>
  <c r="CI33" i="36"/>
  <c r="CH33" i="36"/>
  <c r="CH32" i="36"/>
  <c r="CN32" i="36" s="1"/>
  <c r="CI31" i="36"/>
  <c r="CH31" i="36"/>
  <c r="CN31" i="36" s="1"/>
  <c r="CJ30" i="36"/>
  <c r="CH30" i="36"/>
  <c r="CH34" i="36" s="1"/>
  <c r="CI34" i="36" s="1"/>
  <c r="CF33" i="36"/>
  <c r="CE33" i="36"/>
  <c r="CF32" i="36"/>
  <c r="CF31" i="36"/>
  <c r="CE31" i="36"/>
  <c r="CB33" i="36"/>
  <c r="CA33" i="36"/>
  <c r="CB32" i="36"/>
  <c r="CB31" i="36"/>
  <c r="BZ30" i="36"/>
  <c r="BZ34" i="36" s="1"/>
  <c r="BX31" i="36"/>
  <c r="BW31" i="36"/>
  <c r="BX30" i="36"/>
  <c r="BW30" i="36"/>
  <c r="BS30" i="36"/>
  <c r="BP33" i="36"/>
  <c r="BO33" i="36"/>
  <c r="BP32" i="36"/>
  <c r="BO32" i="36"/>
  <c r="BP31" i="36"/>
  <c r="BO31" i="36"/>
  <c r="BP30" i="36"/>
  <c r="BO30" i="36"/>
  <c r="BL33" i="36"/>
  <c r="BK33" i="36"/>
  <c r="BL32" i="36"/>
  <c r="BK32" i="36"/>
  <c r="BL31" i="36"/>
  <c r="BK31" i="36"/>
  <c r="BL30" i="36"/>
  <c r="BK30" i="36"/>
  <c r="BH33" i="36"/>
  <c r="BG33" i="36"/>
  <c r="BH32" i="36"/>
  <c r="BG32" i="36"/>
  <c r="BH31" i="36"/>
  <c r="BG31" i="36"/>
  <c r="BH30" i="36"/>
  <c r="BG30" i="36"/>
  <c r="BD33" i="36"/>
  <c r="BC33" i="36"/>
  <c r="BD32" i="36"/>
  <c r="BC32" i="36"/>
  <c r="BD31" i="36"/>
  <c r="BC31" i="36"/>
  <c r="BD30" i="36"/>
  <c r="BC30" i="36"/>
  <c r="AZ33" i="36"/>
  <c r="AY33" i="36"/>
  <c r="AZ32" i="36"/>
  <c r="AY32" i="36"/>
  <c r="AZ31" i="36"/>
  <c r="AY31" i="36"/>
  <c r="AZ30" i="36"/>
  <c r="AY30" i="36"/>
  <c r="AV32" i="36"/>
  <c r="AU32" i="36"/>
  <c r="AV31" i="36"/>
  <c r="AU31" i="36"/>
  <c r="AV30" i="36"/>
  <c r="AU30" i="36"/>
  <c r="AR34" i="36"/>
  <c r="AQ34" i="36"/>
  <c r="AR32" i="36"/>
  <c r="AQ32" i="36"/>
  <c r="AR31" i="36"/>
  <c r="AQ31" i="36"/>
  <c r="AR30" i="36"/>
  <c r="AQ30" i="36"/>
  <c r="AM34" i="36"/>
  <c r="AN33" i="36"/>
  <c r="AM33" i="36"/>
  <c r="AN32" i="36"/>
  <c r="AM32" i="36"/>
  <c r="AM31" i="36"/>
  <c r="AN30" i="36"/>
  <c r="AM30" i="36"/>
  <c r="AJ33" i="36"/>
  <c r="AI33" i="36"/>
  <c r="AJ32" i="36"/>
  <c r="AI32" i="36"/>
  <c r="AI30" i="36"/>
  <c r="AF33" i="36"/>
  <c r="AE33" i="36"/>
  <c r="AF32" i="36"/>
  <c r="AE32" i="36"/>
  <c r="AF31" i="36"/>
  <c r="AE31" i="36"/>
  <c r="AB33" i="36"/>
  <c r="AA33" i="36"/>
  <c r="AA32" i="36"/>
  <c r="AB31" i="36"/>
  <c r="AA31" i="36"/>
  <c r="AB30" i="36"/>
  <c r="AA30" i="36"/>
  <c r="X33" i="36"/>
  <c r="W33" i="36"/>
  <c r="W31" i="36"/>
  <c r="X30" i="36"/>
  <c r="W30" i="36"/>
  <c r="T33" i="36"/>
  <c r="S33" i="36"/>
  <c r="S32" i="36"/>
  <c r="S31" i="36"/>
  <c r="S30" i="36"/>
  <c r="P33" i="36"/>
  <c r="O33" i="36"/>
  <c r="P31" i="36"/>
  <c r="O31" i="36"/>
  <c r="N30" i="36"/>
  <c r="N32" i="36" s="1"/>
  <c r="J30" i="36"/>
  <c r="E28" i="36"/>
  <c r="F26" i="36"/>
  <c r="F25" i="36"/>
  <c r="F24" i="36"/>
  <c r="D26" i="36"/>
  <c r="D25" i="36"/>
  <c r="D24" i="36"/>
  <c r="A26" i="36"/>
  <c r="A25" i="36"/>
  <c r="DJ26" i="36"/>
  <c r="DK25" i="36"/>
  <c r="DJ25" i="36"/>
  <c r="DF26" i="36"/>
  <c r="DG25" i="36"/>
  <c r="DF25" i="36"/>
  <c r="DB26" i="36"/>
  <c r="DB25" i="36"/>
  <c r="CX26" i="36"/>
  <c r="CY25" i="36"/>
  <c r="CX25" i="36"/>
  <c r="CT26" i="36"/>
  <c r="CT25" i="36"/>
  <c r="CP26" i="36"/>
  <c r="CQ25" i="36"/>
  <c r="CP25" i="36"/>
  <c r="BV26" i="36"/>
  <c r="BW25" i="36"/>
  <c r="BV25" i="36"/>
  <c r="BN26" i="36"/>
  <c r="BO25" i="36"/>
  <c r="BN25" i="36"/>
  <c r="BJ26" i="36"/>
  <c r="BJ25" i="36"/>
  <c r="BF26" i="36"/>
  <c r="BG25" i="36"/>
  <c r="BF25" i="36"/>
  <c r="BB26" i="36"/>
  <c r="BB25" i="36"/>
  <c r="AX26" i="36"/>
  <c r="AY25" i="36"/>
  <c r="AX25" i="36"/>
  <c r="AT26" i="36"/>
  <c r="AT25" i="36"/>
  <c r="AP26" i="36"/>
  <c r="AP25" i="36"/>
  <c r="AL26" i="36"/>
  <c r="AM25" i="36"/>
  <c r="AL25" i="36"/>
  <c r="AH26" i="36"/>
  <c r="AH25" i="36"/>
  <c r="AD26" i="36"/>
  <c r="AE25" i="36"/>
  <c r="AD25" i="36"/>
  <c r="Z26" i="36"/>
  <c r="Z25" i="36"/>
  <c r="V26" i="36"/>
  <c r="W25" i="36"/>
  <c r="V25" i="36"/>
  <c r="DF24" i="36"/>
  <c r="DC24" i="36"/>
  <c r="DB24" i="36"/>
  <c r="CX24" i="36"/>
  <c r="CT24" i="36"/>
  <c r="CP24" i="36"/>
  <c r="BN24" i="36"/>
  <c r="BK24" i="36"/>
  <c r="BJ24" i="36"/>
  <c r="BF24" i="36"/>
  <c r="BB24" i="36"/>
  <c r="AX24" i="36"/>
  <c r="AI24" i="36"/>
  <c r="AH24" i="36"/>
  <c r="AD24" i="36"/>
  <c r="Z24" i="36"/>
  <c r="V24" i="36"/>
  <c r="J25" i="36"/>
  <c r="B24" i="36"/>
  <c r="B23" i="36"/>
  <c r="B22" i="36"/>
  <c r="B21" i="36"/>
  <c r="B20" i="36"/>
  <c r="DP23" i="36"/>
  <c r="DL23" i="36"/>
  <c r="CL23" i="36"/>
  <c r="CL51" i="36" s="1"/>
  <c r="BV23" i="36"/>
  <c r="AT24" i="36"/>
  <c r="AV23" i="36"/>
  <c r="AT23" i="36"/>
  <c r="AP23" i="36"/>
  <c r="AL23" i="36"/>
  <c r="AN23" i="36" s="1"/>
  <c r="K23" i="36"/>
  <c r="K21" i="36"/>
  <c r="K20" i="36"/>
  <c r="A23" i="36"/>
  <c r="A22" i="36"/>
  <c r="A21" i="36"/>
  <c r="A20" i="36"/>
  <c r="DK22" i="36"/>
  <c r="DP22" i="36" s="1"/>
  <c r="DK21" i="36"/>
  <c r="DP21" i="36" s="1"/>
  <c r="DK20" i="36"/>
  <c r="DP20" i="36" s="1"/>
  <c r="CD22" i="36"/>
  <c r="BZ22" i="36"/>
  <c r="R21" i="36"/>
  <c r="DG23" i="36"/>
  <c r="DH23" i="36" s="1"/>
  <c r="DG22" i="36"/>
  <c r="DG21" i="36"/>
  <c r="DH21" i="36" s="1"/>
  <c r="DG20" i="36"/>
  <c r="DC23" i="36"/>
  <c r="DD23" i="36" s="1"/>
  <c r="DU23" i="36" s="1"/>
  <c r="DC22" i="36"/>
  <c r="DC21" i="36"/>
  <c r="DD21" i="36" s="1"/>
  <c r="DU21" i="36" s="1"/>
  <c r="DC20" i="36"/>
  <c r="CY23" i="36"/>
  <c r="CZ23" i="36" s="1"/>
  <c r="CY22" i="36"/>
  <c r="CY21" i="36"/>
  <c r="CZ21" i="36" s="1"/>
  <c r="CY20" i="36"/>
  <c r="CU23" i="36"/>
  <c r="CV23" i="36" s="1"/>
  <c r="CU22" i="36"/>
  <c r="CU21" i="36"/>
  <c r="CV21" i="36" s="1"/>
  <c r="CU20" i="36"/>
  <c r="CQ23" i="36"/>
  <c r="CQ22" i="36"/>
  <c r="CR22" i="36" s="1"/>
  <c r="CQ21" i="36"/>
  <c r="CQ20" i="36"/>
  <c r="CM22" i="36"/>
  <c r="CM21" i="36"/>
  <c r="CL20" i="36"/>
  <c r="CL48" i="36" s="1"/>
  <c r="CM48" i="36" s="1"/>
  <c r="CI23" i="36"/>
  <c r="CJ23" i="36" s="1"/>
  <c r="CH23" i="36"/>
  <c r="CH51" i="36" s="1"/>
  <c r="CH22" i="36"/>
  <c r="CH21" i="36"/>
  <c r="CH49" i="36" s="1"/>
  <c r="CI49" i="36" s="1"/>
  <c r="CH20" i="36"/>
  <c r="CH48" i="36" s="1"/>
  <c r="CE23" i="36"/>
  <c r="CF23" i="36" s="1"/>
  <c r="CE21" i="36"/>
  <c r="CD20" i="36"/>
  <c r="CA23" i="36"/>
  <c r="BZ20" i="36"/>
  <c r="BZ24" i="36" s="1"/>
  <c r="BW22" i="36"/>
  <c r="BX22" i="36" s="1"/>
  <c r="BW21" i="36"/>
  <c r="BW20" i="36"/>
  <c r="BS23" i="36"/>
  <c r="BT23" i="36" s="1"/>
  <c r="BS22" i="36"/>
  <c r="BT22" i="36" s="1"/>
  <c r="BS21" i="36"/>
  <c r="BT21" i="36" s="1"/>
  <c r="BR20" i="36"/>
  <c r="BR26" i="36" s="1"/>
  <c r="BP23" i="36"/>
  <c r="BO23" i="36"/>
  <c r="BO22" i="36"/>
  <c r="BP22" i="36" s="1"/>
  <c r="BP21" i="36"/>
  <c r="BO21" i="36"/>
  <c r="BO20" i="36"/>
  <c r="BP20" i="36" s="1"/>
  <c r="BL23" i="36"/>
  <c r="BK23" i="36"/>
  <c r="BK22" i="36"/>
  <c r="BL22" i="36" s="1"/>
  <c r="BL21" i="36"/>
  <c r="BK21" i="36"/>
  <c r="BK20" i="36"/>
  <c r="BL20" i="36" s="1"/>
  <c r="BH23" i="36"/>
  <c r="BG23" i="36"/>
  <c r="BG22" i="36"/>
  <c r="BH22" i="36" s="1"/>
  <c r="BH21" i="36"/>
  <c r="BG21" i="36"/>
  <c r="BG20" i="36"/>
  <c r="BH20" i="36" s="1"/>
  <c r="BD23" i="36"/>
  <c r="BC23" i="36"/>
  <c r="BC22" i="36"/>
  <c r="BD22" i="36" s="1"/>
  <c r="BD21" i="36"/>
  <c r="BC21" i="36"/>
  <c r="BC20" i="36"/>
  <c r="BD20" i="36" s="1"/>
  <c r="AY23" i="36"/>
  <c r="AY22" i="36"/>
  <c r="AZ22" i="36" s="1"/>
  <c r="AZ21" i="36"/>
  <c r="AY21" i="36"/>
  <c r="AY20" i="36"/>
  <c r="AZ20" i="36" s="1"/>
  <c r="AV22" i="36"/>
  <c r="AU22" i="36"/>
  <c r="AV21" i="36"/>
  <c r="AU21" i="36"/>
  <c r="AV20" i="36"/>
  <c r="AU20" i="36"/>
  <c r="AQ24" i="36"/>
  <c r="AR24" i="36" s="1"/>
  <c r="AR23" i="36"/>
  <c r="AR22" i="36"/>
  <c r="AQ22" i="36"/>
  <c r="AR21" i="36"/>
  <c r="AQ21" i="36"/>
  <c r="AR20" i="36"/>
  <c r="AQ20" i="36"/>
  <c r="AN24" i="36"/>
  <c r="AM24" i="36"/>
  <c r="AN22" i="36"/>
  <c r="AM22" i="36"/>
  <c r="AN21" i="36"/>
  <c r="AM21" i="36"/>
  <c r="AN20" i="36"/>
  <c r="AM20" i="36"/>
  <c r="AJ23" i="36"/>
  <c r="AI23" i="36"/>
  <c r="AJ22" i="36"/>
  <c r="AI22" i="36"/>
  <c r="AJ21" i="36"/>
  <c r="AI21" i="36"/>
  <c r="AJ20" i="36"/>
  <c r="AI20" i="36"/>
  <c r="AF23" i="36"/>
  <c r="AE23" i="36"/>
  <c r="AF22" i="36"/>
  <c r="AE22" i="36"/>
  <c r="AF21" i="36"/>
  <c r="AE21" i="36"/>
  <c r="AF20" i="36"/>
  <c r="AE20" i="36"/>
  <c r="AB23" i="36"/>
  <c r="AA23" i="36"/>
  <c r="AB22" i="36"/>
  <c r="AA22" i="36"/>
  <c r="AB21" i="36"/>
  <c r="AA21" i="36"/>
  <c r="AB20" i="36"/>
  <c r="AA20" i="36"/>
  <c r="X23" i="36"/>
  <c r="W23" i="36"/>
  <c r="X22" i="36"/>
  <c r="W22" i="36"/>
  <c r="W21" i="36"/>
  <c r="X20" i="36"/>
  <c r="W20" i="36"/>
  <c r="T23" i="36"/>
  <c r="S23" i="36"/>
  <c r="S22" i="36"/>
  <c r="T20" i="36"/>
  <c r="S20" i="36"/>
  <c r="P23" i="36"/>
  <c r="O23" i="36"/>
  <c r="P21" i="36"/>
  <c r="O21" i="36"/>
  <c r="P20" i="36"/>
  <c r="N20" i="36"/>
  <c r="N22" i="36" s="1"/>
  <c r="O22" i="36" s="1"/>
  <c r="J20" i="36"/>
  <c r="E18" i="36"/>
  <c r="F16" i="36"/>
  <c r="F15" i="36"/>
  <c r="H15" i="36" s="1"/>
  <c r="F14" i="36"/>
  <c r="D16" i="36"/>
  <c r="D15" i="36"/>
  <c r="D14" i="36"/>
  <c r="DF16" i="36"/>
  <c r="DG64" i="36" s="1"/>
  <c r="DH15" i="36"/>
  <c r="DF15" i="36"/>
  <c r="DB16" i="36"/>
  <c r="DC26" i="36" s="1"/>
  <c r="DB15" i="36"/>
  <c r="DC25" i="36" s="1"/>
  <c r="CX16" i="36"/>
  <c r="CY26" i="36" s="1"/>
  <c r="CZ15" i="36"/>
  <c r="CX15" i="36"/>
  <c r="CU16" i="36"/>
  <c r="CT16" i="36"/>
  <c r="CU26" i="36" s="1"/>
  <c r="CT15" i="36"/>
  <c r="CU25" i="36" s="1"/>
  <c r="CP16" i="36"/>
  <c r="CQ64" i="36" s="1"/>
  <c r="CR15" i="36"/>
  <c r="CP15" i="36"/>
  <c r="CH16" i="36"/>
  <c r="CH15" i="36"/>
  <c r="BZ15" i="36"/>
  <c r="CA15" i="36" s="1"/>
  <c r="BV16" i="36"/>
  <c r="BW26" i="36" s="1"/>
  <c r="BX15" i="36"/>
  <c r="BV15" i="36"/>
  <c r="BR15" i="36"/>
  <c r="BN16" i="36"/>
  <c r="BO36" i="36" s="1"/>
  <c r="BP15" i="36"/>
  <c r="BN15" i="36"/>
  <c r="BO63" i="36" s="1"/>
  <c r="BK16" i="36"/>
  <c r="BJ16" i="36"/>
  <c r="BK26" i="36" s="1"/>
  <c r="BJ15" i="36"/>
  <c r="BK25" i="36" s="1"/>
  <c r="BF16" i="36"/>
  <c r="BG26" i="36" s="1"/>
  <c r="BH15" i="36"/>
  <c r="BF15" i="36"/>
  <c r="BG63" i="36" s="1"/>
  <c r="BC16" i="36"/>
  <c r="BB16" i="36"/>
  <c r="BC64" i="36" s="1"/>
  <c r="BB15" i="36"/>
  <c r="AX16" i="36"/>
  <c r="AY36" i="36" s="1"/>
  <c r="AZ15" i="36"/>
  <c r="AX15" i="36"/>
  <c r="AQ16" i="36"/>
  <c r="AP16" i="36"/>
  <c r="AQ26" i="36" s="1"/>
  <c r="AP15" i="36"/>
  <c r="AQ25" i="36" s="1"/>
  <c r="AL16" i="36"/>
  <c r="AM36" i="36" s="1"/>
  <c r="AN15" i="36"/>
  <c r="AL15" i="36"/>
  <c r="AM63" i="36" s="1"/>
  <c r="AI16" i="36"/>
  <c r="AH16" i="36"/>
  <c r="AI26" i="36" s="1"/>
  <c r="AH15" i="36"/>
  <c r="AI25" i="36" s="1"/>
  <c r="AD16" i="36"/>
  <c r="AE26" i="36" s="1"/>
  <c r="AF15" i="36"/>
  <c r="AD15" i="36"/>
  <c r="AE63" i="36" s="1"/>
  <c r="AA16" i="36"/>
  <c r="Z16" i="36"/>
  <c r="AA26" i="36" s="1"/>
  <c r="Z15" i="36"/>
  <c r="AA25" i="36" s="1"/>
  <c r="V16" i="36"/>
  <c r="W26" i="36" s="1"/>
  <c r="X15" i="36"/>
  <c r="V15" i="36"/>
  <c r="R15" i="36"/>
  <c r="J16" i="36"/>
  <c r="DF14" i="36"/>
  <c r="DB14" i="36"/>
  <c r="CX14" i="36"/>
  <c r="CT14" i="36"/>
  <c r="CU24" i="36" s="1"/>
  <c r="CP14" i="36"/>
  <c r="CQ34" i="36" s="1"/>
  <c r="CL16" i="36"/>
  <c r="CN15" i="36"/>
  <c r="CL15" i="36"/>
  <c r="CQ15" i="36" s="1"/>
  <c r="CN14" i="36"/>
  <c r="CM14" i="36"/>
  <c r="CL14" i="36"/>
  <c r="CH14" i="36"/>
  <c r="CI62" i="36" s="1"/>
  <c r="BV14" i="36"/>
  <c r="BO14" i="36"/>
  <c r="BN14" i="36"/>
  <c r="BO24" i="36" s="1"/>
  <c r="BP24" i="36" s="1"/>
  <c r="BJ14" i="36"/>
  <c r="BK14" i="36" s="1"/>
  <c r="BG14" i="36"/>
  <c r="BF14" i="36"/>
  <c r="BG34" i="36" s="1"/>
  <c r="BB14" i="36"/>
  <c r="BC24" i="36" s="1"/>
  <c r="BD24" i="36" s="1"/>
  <c r="AX14" i="36"/>
  <c r="AY24" i="36" s="1"/>
  <c r="AQ14" i="36"/>
  <c r="AQ12" i="36"/>
  <c r="AQ11" i="36"/>
  <c r="AQ10" i="36"/>
  <c r="AM14" i="36"/>
  <c r="AM13" i="36"/>
  <c r="AM12" i="36"/>
  <c r="AM11" i="36"/>
  <c r="AM10" i="36"/>
  <c r="AI14" i="36"/>
  <c r="AH14" i="36"/>
  <c r="AI62" i="36" s="1"/>
  <c r="AD14" i="36"/>
  <c r="AE14" i="36" s="1"/>
  <c r="AA14" i="36"/>
  <c r="Z14" i="36"/>
  <c r="AA24" i="36" s="1"/>
  <c r="V14" i="36"/>
  <c r="J14" i="36"/>
  <c r="DJ16" i="36"/>
  <c r="DK26" i="36" s="1"/>
  <c r="DL15" i="36"/>
  <c r="DJ15" i="36"/>
  <c r="DK35" i="36" s="1"/>
  <c r="DG13" i="36"/>
  <c r="DG12" i="36"/>
  <c r="DG11" i="36"/>
  <c r="DG10" i="36"/>
  <c r="DC13" i="36"/>
  <c r="DC12" i="36"/>
  <c r="EC32" i="36" s="1"/>
  <c r="DC11" i="36"/>
  <c r="EC31" i="36" s="1"/>
  <c r="DC10" i="36"/>
  <c r="EC30" i="36" s="1"/>
  <c r="CY13" i="36"/>
  <c r="CY12" i="36"/>
  <c r="CY11" i="36"/>
  <c r="CY10" i="36"/>
  <c r="CU13" i="36"/>
  <c r="CU12" i="36"/>
  <c r="CU11" i="36"/>
  <c r="CU10" i="36"/>
  <c r="CQ13" i="36"/>
  <c r="CQ12" i="36"/>
  <c r="CQ11" i="36"/>
  <c r="CQ10" i="36"/>
  <c r="CM13" i="36"/>
  <c r="CM12" i="36"/>
  <c r="CM11" i="36"/>
  <c r="CM10" i="36"/>
  <c r="CI13" i="36"/>
  <c r="CI11" i="36"/>
  <c r="CI10" i="36"/>
  <c r="CE13" i="36"/>
  <c r="CE10" i="36"/>
  <c r="CA13" i="36"/>
  <c r="CA10" i="36"/>
  <c r="BW13" i="36"/>
  <c r="BW12" i="36"/>
  <c r="BW11" i="36"/>
  <c r="BW10" i="36"/>
  <c r="BS13" i="36"/>
  <c r="BS12" i="36"/>
  <c r="BS11" i="36"/>
  <c r="BS10" i="36"/>
  <c r="BO13" i="36"/>
  <c r="BO12" i="36"/>
  <c r="BO11" i="36"/>
  <c r="BO10" i="36"/>
  <c r="BK13" i="36"/>
  <c r="BK12" i="36"/>
  <c r="BK11" i="36"/>
  <c r="BK10" i="36"/>
  <c r="BG13" i="36"/>
  <c r="BG12" i="36"/>
  <c r="BG11" i="36"/>
  <c r="BG10" i="36"/>
  <c r="BC13" i="36"/>
  <c r="BC12" i="36"/>
  <c r="BC11" i="36"/>
  <c r="BC10" i="36"/>
  <c r="AY12" i="36"/>
  <c r="AY11" i="36"/>
  <c r="AY10" i="36"/>
  <c r="AU16" i="36"/>
  <c r="AT16" i="36"/>
  <c r="AU26" i="36" s="1"/>
  <c r="AT15" i="36"/>
  <c r="AT13" i="36"/>
  <c r="AP13" i="36"/>
  <c r="AQ61" i="36" s="1"/>
  <c r="AL13" i="36"/>
  <c r="AM23" i="36" s="1"/>
  <c r="AI13" i="36"/>
  <c r="AI12" i="36"/>
  <c r="AI11" i="36"/>
  <c r="AI10" i="36"/>
  <c r="AE13" i="36"/>
  <c r="AE12" i="36"/>
  <c r="AE11" i="36"/>
  <c r="AE10" i="36"/>
  <c r="AA13" i="36"/>
  <c r="AA12" i="36"/>
  <c r="AA11" i="36"/>
  <c r="AA10" i="36"/>
  <c r="W13" i="36"/>
  <c r="W12" i="36"/>
  <c r="W10" i="36"/>
  <c r="S13" i="36"/>
  <c r="S12" i="36"/>
  <c r="O13" i="36"/>
  <c r="O12" i="36"/>
  <c r="O11" i="36"/>
  <c r="DK12" i="36"/>
  <c r="DS32" i="36" s="1"/>
  <c r="DK11" i="36"/>
  <c r="DS31" i="36" s="1"/>
  <c r="DK10" i="36"/>
  <c r="CD12" i="36"/>
  <c r="BZ12" i="36"/>
  <c r="BZ50" i="36" s="1"/>
  <c r="BZ11" i="36"/>
  <c r="BZ10" i="36"/>
  <c r="CA30" i="36" s="1"/>
  <c r="AU12" i="36"/>
  <c r="AU11" i="36"/>
  <c r="AU10" i="36"/>
  <c r="R11" i="36"/>
  <c r="R49" i="36" s="1"/>
  <c r="DY13" i="36"/>
  <c r="DY12" i="36"/>
  <c r="DY11" i="36"/>
  <c r="DY10" i="36"/>
  <c r="DU14" i="36"/>
  <c r="DT14" i="36"/>
  <c r="DS14" i="36"/>
  <c r="DU13" i="36"/>
  <c r="DT13" i="36"/>
  <c r="DS13" i="36"/>
  <c r="DV12" i="36"/>
  <c r="DU12" i="36"/>
  <c r="DT12" i="36"/>
  <c r="DS12" i="36"/>
  <c r="DV11" i="36"/>
  <c r="DU11" i="36"/>
  <c r="DT11" i="36"/>
  <c r="DS11" i="36"/>
  <c r="DU10" i="36"/>
  <c r="DT10" i="36"/>
  <c r="DS10" i="36"/>
  <c r="CD10" i="36"/>
  <c r="CD48" i="36" s="1"/>
  <c r="BR10" i="36"/>
  <c r="BR48" i="36" s="1"/>
  <c r="BR54" i="36" s="1"/>
  <c r="AV10" i="36"/>
  <c r="N10" i="36"/>
  <c r="N48" i="36" s="1"/>
  <c r="J10" i="36"/>
  <c r="J48" i="36" s="1"/>
  <c r="P48" i="36" s="1"/>
  <c r="E8" i="36"/>
  <c r="AX6" i="36"/>
  <c r="AH6" i="36"/>
  <c r="AL6" i="36" s="1"/>
  <c r="AP6" i="36" s="1"/>
  <c r="AT6" i="36" s="1"/>
  <c r="AD6" i="36"/>
  <c r="AI300" i="45"/>
  <c r="AI299" i="45"/>
  <c r="AI298" i="45"/>
  <c r="AI297" i="45"/>
  <c r="Y300" i="45"/>
  <c r="Y299" i="45"/>
  <c r="Y298" i="45"/>
  <c r="Y297" i="45"/>
  <c r="S300" i="45"/>
  <c r="S299" i="45"/>
  <c r="S298" i="45"/>
  <c r="S297" i="45"/>
  <c r="G300" i="45"/>
  <c r="G299" i="45"/>
  <c r="G298" i="45"/>
  <c r="G297" i="45"/>
  <c r="AI294" i="45"/>
  <c r="AI293" i="45"/>
  <c r="AI292" i="45"/>
  <c r="AI291" i="45"/>
  <c r="Y294" i="45"/>
  <c r="Y293" i="45"/>
  <c r="Y292" i="45"/>
  <c r="Y291" i="45"/>
  <c r="S294" i="45"/>
  <c r="S293" i="45"/>
  <c r="S292" i="45"/>
  <c r="S291" i="45"/>
  <c r="G294" i="45"/>
  <c r="G293" i="45"/>
  <c r="G292" i="45"/>
  <c r="G291" i="45"/>
  <c r="AI288" i="45"/>
  <c r="AI287" i="45"/>
  <c r="AI286" i="45"/>
  <c r="AI285" i="45"/>
  <c r="Y288" i="45"/>
  <c r="Y287" i="45"/>
  <c r="Y286" i="45"/>
  <c r="Y285" i="45"/>
  <c r="S288" i="45"/>
  <c r="S287" i="45"/>
  <c r="S286" i="45"/>
  <c r="S285" i="45"/>
  <c r="G288" i="45"/>
  <c r="G287" i="45"/>
  <c r="G286" i="45"/>
  <c r="G285" i="45"/>
  <c r="AI279" i="45"/>
  <c r="AI278" i="45"/>
  <c r="AI277" i="45"/>
  <c r="AI276" i="45"/>
  <c r="Y279" i="45"/>
  <c r="Y278" i="45"/>
  <c r="Y277" i="45"/>
  <c r="Y276" i="45"/>
  <c r="S279" i="45"/>
  <c r="S278" i="45"/>
  <c r="S277" i="45"/>
  <c r="S276" i="45"/>
  <c r="G279" i="45"/>
  <c r="G278" i="45"/>
  <c r="G277" i="45"/>
  <c r="G276" i="45"/>
  <c r="AI273" i="45"/>
  <c r="AI272" i="45"/>
  <c r="AI271" i="45"/>
  <c r="AI270" i="45"/>
  <c r="Y273" i="45"/>
  <c r="Y272" i="45"/>
  <c r="Y271" i="45"/>
  <c r="Y270" i="45"/>
  <c r="G273" i="45"/>
  <c r="G272" i="45"/>
  <c r="G271" i="45"/>
  <c r="G270" i="45"/>
  <c r="T273" i="45"/>
  <c r="S273" i="45"/>
  <c r="T272" i="45"/>
  <c r="S272" i="45"/>
  <c r="T271" i="45"/>
  <c r="S271" i="45"/>
  <c r="T270" i="45"/>
  <c r="S270" i="45"/>
  <c r="G267" i="45"/>
  <c r="G266" i="45"/>
  <c r="G265" i="45"/>
  <c r="G264" i="45"/>
  <c r="AJ267" i="45"/>
  <c r="AI267" i="45"/>
  <c r="AJ266" i="45"/>
  <c r="AI266" i="45"/>
  <c r="AJ265" i="45"/>
  <c r="AI265" i="45"/>
  <c r="AJ264" i="45"/>
  <c r="AI264" i="45"/>
  <c r="Z267" i="45"/>
  <c r="Y267" i="45"/>
  <c r="Z266" i="45"/>
  <c r="Y266" i="45"/>
  <c r="Z265" i="45"/>
  <c r="Y265" i="45"/>
  <c r="Z264" i="45"/>
  <c r="Y264" i="45"/>
  <c r="T267" i="45"/>
  <c r="S267" i="45"/>
  <c r="U266" i="45"/>
  <c r="T266" i="45"/>
  <c r="S266" i="45"/>
  <c r="U265" i="45"/>
  <c r="T265" i="45"/>
  <c r="S265" i="45"/>
  <c r="U264" i="45"/>
  <c r="T264" i="45"/>
  <c r="S264" i="45"/>
  <c r="AS258" i="45"/>
  <c r="AS257" i="45"/>
  <c r="AJ260" i="45"/>
  <c r="AI260" i="45"/>
  <c r="AJ259" i="45"/>
  <c r="AI259" i="45"/>
  <c r="AJ258" i="45"/>
  <c r="AI258" i="45"/>
  <c r="AJ257" i="45"/>
  <c r="AI257" i="45"/>
  <c r="Z260" i="45"/>
  <c r="Y260" i="45"/>
  <c r="X260" i="45"/>
  <c r="Z259" i="45"/>
  <c r="Y259" i="45"/>
  <c r="X259" i="45"/>
  <c r="Z258" i="45"/>
  <c r="Y258" i="45"/>
  <c r="X258" i="45"/>
  <c r="Z257" i="45"/>
  <c r="Y257" i="45"/>
  <c r="X257" i="45"/>
  <c r="T260" i="45"/>
  <c r="S260" i="45"/>
  <c r="T259" i="45"/>
  <c r="S259" i="45"/>
  <c r="T258" i="45"/>
  <c r="S258" i="45"/>
  <c r="T257" i="45"/>
  <c r="S257" i="45"/>
  <c r="H260" i="45"/>
  <c r="G260" i="45"/>
  <c r="H259" i="45"/>
  <c r="G259" i="45"/>
  <c r="H258" i="45"/>
  <c r="G258" i="45"/>
  <c r="H257" i="45"/>
  <c r="G257" i="45"/>
  <c r="AJ255" i="45"/>
  <c r="AI255" i="45"/>
  <c r="AJ254" i="45"/>
  <c r="AI254" i="45"/>
  <c r="AJ253" i="45"/>
  <c r="AI253" i="45"/>
  <c r="AJ252" i="45"/>
  <c r="AI252" i="45"/>
  <c r="Z255" i="45"/>
  <c r="Y255" i="45"/>
  <c r="X255" i="45"/>
  <c r="Z254" i="45"/>
  <c r="Y254" i="45"/>
  <c r="X254" i="45"/>
  <c r="Z253" i="45"/>
  <c r="Y253" i="45"/>
  <c r="X253" i="45"/>
  <c r="Z252" i="45"/>
  <c r="Y252" i="45"/>
  <c r="X252" i="45"/>
  <c r="T255" i="45"/>
  <c r="S255" i="45"/>
  <c r="T254" i="45"/>
  <c r="S254" i="45"/>
  <c r="T253" i="45"/>
  <c r="S253" i="45"/>
  <c r="T252" i="45"/>
  <c r="S252" i="45"/>
  <c r="H255" i="45"/>
  <c r="G255" i="45"/>
  <c r="H254" i="45"/>
  <c r="G254" i="45"/>
  <c r="H253" i="45"/>
  <c r="G253" i="45"/>
  <c r="H252" i="45"/>
  <c r="G252" i="45"/>
  <c r="T251" i="45"/>
  <c r="T250" i="45"/>
  <c r="T249" i="45"/>
  <c r="T248" i="45"/>
  <c r="T247" i="45"/>
  <c r="T246" i="45"/>
  <c r="T245" i="45"/>
  <c r="T244" i="45"/>
  <c r="T243" i="45"/>
  <c r="T242" i="45"/>
  <c r="AJ243" i="45"/>
  <c r="Z243" i="45"/>
  <c r="H243" i="45"/>
  <c r="AT243" i="45" s="1"/>
  <c r="AR246" i="45"/>
  <c r="AR245" i="45"/>
  <c r="AR244" i="45"/>
  <c r="AR243" i="45"/>
  <c r="AR242" i="45"/>
  <c r="AV245" i="45"/>
  <c r="AV244" i="45"/>
  <c r="AV243" i="45"/>
  <c r="AV242" i="45"/>
  <c r="AG245" i="45"/>
  <c r="AG244" i="45"/>
  <c r="AJ244" i="45" s="1"/>
  <c r="AG243" i="45"/>
  <c r="AG242" i="45"/>
  <c r="AJ242" i="45" s="1"/>
  <c r="W245" i="45"/>
  <c r="W244" i="45"/>
  <c r="Z244" i="45" s="1"/>
  <c r="W243" i="45"/>
  <c r="W242" i="45"/>
  <c r="Z242" i="45" s="1"/>
  <c r="Q245" i="45"/>
  <c r="Q244" i="45"/>
  <c r="Q243" i="45"/>
  <c r="Q242" i="45"/>
  <c r="E245" i="45"/>
  <c r="E244" i="45"/>
  <c r="AM244" i="45" s="1"/>
  <c r="E243" i="45"/>
  <c r="E242" i="45"/>
  <c r="H242" i="45" s="1"/>
  <c r="AM245" i="45"/>
  <c r="AM243" i="45"/>
  <c r="AM242" i="45"/>
  <c r="BE240" i="45"/>
  <c r="AY240" i="45"/>
  <c r="AY239" i="45"/>
  <c r="AY238" i="45"/>
  <c r="AY237" i="45"/>
  <c r="AY236" i="45"/>
  <c r="AT240" i="45"/>
  <c r="C240" i="45"/>
  <c r="C239" i="45"/>
  <c r="C238" i="45"/>
  <c r="C237" i="45"/>
  <c r="C236" i="45"/>
  <c r="AR238" i="45"/>
  <c r="AR237" i="45"/>
  <c r="AR236" i="45"/>
  <c r="B239" i="45"/>
  <c r="B238" i="45"/>
  <c r="B237" i="45"/>
  <c r="B236" i="45"/>
  <c r="AM239" i="45"/>
  <c r="AM238" i="45"/>
  <c r="AN238" i="45" s="1"/>
  <c r="AM237" i="45"/>
  <c r="AM236" i="45"/>
  <c r="AN236" i="45" s="1"/>
  <c r="AG234" i="45"/>
  <c r="BW229" i="45"/>
  <c r="BC231" i="45"/>
  <c r="BC229" i="45"/>
  <c r="AY233" i="45"/>
  <c r="AY232" i="45"/>
  <c r="AY231" i="45"/>
  <c r="AY230" i="45"/>
  <c r="AY229" i="45"/>
  <c r="AW231" i="45"/>
  <c r="BW231" i="45" s="1"/>
  <c r="AW230" i="45"/>
  <c r="BW230" i="45" s="1"/>
  <c r="AW229" i="45"/>
  <c r="AR233" i="45"/>
  <c r="AC209" i="14" s="1"/>
  <c r="C233" i="45"/>
  <c r="C232" i="45"/>
  <c r="C231" i="45"/>
  <c r="C230" i="45"/>
  <c r="C229" i="45"/>
  <c r="BF231" i="45"/>
  <c r="BF230" i="45"/>
  <c r="BF229" i="45"/>
  <c r="AU231" i="45"/>
  <c r="AU230" i="45"/>
  <c r="AU229" i="45"/>
  <c r="AH231" i="45"/>
  <c r="AH230" i="45"/>
  <c r="AH229" i="45"/>
  <c r="X232" i="45"/>
  <c r="B232" i="45"/>
  <c r="B231" i="45"/>
  <c r="B230" i="45"/>
  <c r="B229" i="45"/>
  <c r="AS231" i="45"/>
  <c r="AS230" i="45"/>
  <c r="AS229" i="45"/>
  <c r="AK231" i="45"/>
  <c r="AK230" i="45"/>
  <c r="AK229" i="45"/>
  <c r="AA231" i="45"/>
  <c r="AA230" i="45"/>
  <c r="AA229" i="45"/>
  <c r="X231" i="45"/>
  <c r="X230" i="45"/>
  <c r="X229" i="45"/>
  <c r="U231" i="45"/>
  <c r="U230" i="45"/>
  <c r="U229" i="45"/>
  <c r="R231" i="45"/>
  <c r="R230" i="45"/>
  <c r="R229" i="45"/>
  <c r="I231" i="45"/>
  <c r="I230" i="45"/>
  <c r="I229" i="45"/>
  <c r="F231" i="45"/>
  <c r="F230" i="45"/>
  <c r="F229" i="45"/>
  <c r="BT231" i="45"/>
  <c r="BT230" i="45"/>
  <c r="BT229" i="45"/>
  <c r="BR231" i="45"/>
  <c r="BQ231" i="45"/>
  <c r="BU231" i="45" s="1"/>
  <c r="BP231" i="45"/>
  <c r="BO231" i="45"/>
  <c r="BR230" i="45"/>
  <c r="BQ230" i="45"/>
  <c r="BU230" i="45" s="1"/>
  <c r="BP230" i="45"/>
  <c r="BO230" i="45"/>
  <c r="BR229" i="45"/>
  <c r="BQ229" i="45"/>
  <c r="BU229" i="45" s="1"/>
  <c r="BP229" i="45"/>
  <c r="BO229" i="45"/>
  <c r="AM232" i="45"/>
  <c r="AN239" i="45" s="1"/>
  <c r="AM231" i="45"/>
  <c r="AM230" i="45"/>
  <c r="AN237" i="45" s="1"/>
  <c r="AM229" i="45"/>
  <c r="AN229" i="45" s="1"/>
  <c r="BF226" i="45"/>
  <c r="BF224" i="45"/>
  <c r="BF223" i="45"/>
  <c r="BF222" i="45"/>
  <c r="BC225" i="45"/>
  <c r="BC224" i="45"/>
  <c r="BC223" i="45"/>
  <c r="BC222" i="45"/>
  <c r="AY226" i="45"/>
  <c r="AY225" i="45"/>
  <c r="AY224" i="45"/>
  <c r="AY223" i="45"/>
  <c r="AY222" i="45"/>
  <c r="AW225" i="45"/>
  <c r="BW225" i="45" s="1"/>
  <c r="AW224" i="45"/>
  <c r="BT224" i="45" s="1"/>
  <c r="AW223" i="45"/>
  <c r="BW223" i="45" s="1"/>
  <c r="AW222" i="45"/>
  <c r="BW222" i="45" s="1"/>
  <c r="AU226" i="45"/>
  <c r="AU224" i="45"/>
  <c r="AU223" i="45"/>
  <c r="AU222" i="45"/>
  <c r="AR226" i="45"/>
  <c r="AK225" i="45"/>
  <c r="AK224" i="45"/>
  <c r="AK223" i="45"/>
  <c r="AK222" i="45"/>
  <c r="AG226" i="45"/>
  <c r="AK226" i="45" s="1"/>
  <c r="AA224" i="45"/>
  <c r="AA223" i="45"/>
  <c r="AA222" i="45"/>
  <c r="W226" i="45"/>
  <c r="X226" i="45" s="1"/>
  <c r="U226" i="45"/>
  <c r="U224" i="45"/>
  <c r="U223" i="45"/>
  <c r="U222" i="45"/>
  <c r="Q226" i="45"/>
  <c r="I226" i="45"/>
  <c r="I225" i="45"/>
  <c r="I224" i="45"/>
  <c r="I223" i="45"/>
  <c r="I222" i="45"/>
  <c r="E226" i="45"/>
  <c r="C226" i="45"/>
  <c r="C225" i="45"/>
  <c r="C224" i="45"/>
  <c r="C223" i="45"/>
  <c r="C222" i="45"/>
  <c r="BE225" i="45"/>
  <c r="AT225" i="45"/>
  <c r="AU225" i="45" s="1"/>
  <c r="AS225" i="45"/>
  <c r="AJ225" i="45"/>
  <c r="AH225" i="45"/>
  <c r="AH224" i="45"/>
  <c r="AH223" i="45"/>
  <c r="AH222" i="45"/>
  <c r="Z225" i="45"/>
  <c r="AA225" i="45" s="1"/>
  <c r="X225" i="45"/>
  <c r="X224" i="45"/>
  <c r="X223" i="45"/>
  <c r="X222" i="45"/>
  <c r="T225" i="45"/>
  <c r="U225" i="45" s="1"/>
  <c r="R225" i="45"/>
  <c r="R224" i="45"/>
  <c r="R223" i="45"/>
  <c r="R222" i="45"/>
  <c r="H225" i="45"/>
  <c r="BF225" i="45" s="1"/>
  <c r="F225" i="45"/>
  <c r="F224" i="45"/>
  <c r="F223" i="45"/>
  <c r="F222" i="45"/>
  <c r="B225" i="45"/>
  <c r="B224" i="45"/>
  <c r="B223" i="45"/>
  <c r="B222" i="45"/>
  <c r="AS224" i="45"/>
  <c r="AS223" i="45"/>
  <c r="AS222" i="45"/>
  <c r="BT225" i="45"/>
  <c r="BT223" i="45"/>
  <c r="BT222" i="45"/>
  <c r="BR225" i="45"/>
  <c r="BQ225" i="45"/>
  <c r="BU225" i="45" s="1"/>
  <c r="BP225" i="45"/>
  <c r="BO225" i="45"/>
  <c r="BR224" i="45"/>
  <c r="BQ224" i="45"/>
  <c r="BU224" i="45" s="1"/>
  <c r="BP224" i="45"/>
  <c r="BR223" i="45"/>
  <c r="BQ223" i="45"/>
  <c r="BU223" i="45" s="1"/>
  <c r="BP223" i="45"/>
  <c r="BO223" i="45"/>
  <c r="BR222" i="45"/>
  <c r="BQ222" i="45"/>
  <c r="BU222" i="45" s="1"/>
  <c r="BP222" i="45"/>
  <c r="BO222" i="45"/>
  <c r="AM226" i="45"/>
  <c r="AM225" i="45"/>
  <c r="AN232" i="45" s="1"/>
  <c r="AM224" i="45"/>
  <c r="AN224" i="45" s="1"/>
  <c r="AM223" i="45"/>
  <c r="AN230" i="45" s="1"/>
  <c r="AM222" i="45"/>
  <c r="BF219" i="45"/>
  <c r="BF217" i="45"/>
  <c r="BF216" i="45"/>
  <c r="BF215" i="45"/>
  <c r="BC217" i="45"/>
  <c r="BC215" i="45"/>
  <c r="AY219" i="45"/>
  <c r="AY218" i="45"/>
  <c r="AY217" i="45"/>
  <c r="AY216" i="45"/>
  <c r="AY215" i="45"/>
  <c r="AW218" i="45"/>
  <c r="BW218" i="45" s="1"/>
  <c r="AW217" i="45"/>
  <c r="BW217" i="45" s="1"/>
  <c r="AW216" i="45"/>
  <c r="BW216" i="45" s="1"/>
  <c r="AW215" i="45"/>
  <c r="BW215" i="45" s="1"/>
  <c r="AU219" i="45"/>
  <c r="AU217" i="45"/>
  <c r="AU216" i="45"/>
  <c r="AU215" i="45"/>
  <c r="AR219" i="45"/>
  <c r="AK217" i="45"/>
  <c r="AK216" i="45"/>
  <c r="AK215" i="45"/>
  <c r="AG219" i="45"/>
  <c r="AK219" i="45" s="1"/>
  <c r="AA219" i="45"/>
  <c r="AA217" i="45"/>
  <c r="AA216" i="45"/>
  <c r="AA215" i="45"/>
  <c r="X219" i="45"/>
  <c r="W219" i="45"/>
  <c r="U217" i="45"/>
  <c r="U216" i="45"/>
  <c r="U215" i="45"/>
  <c r="Q219" i="45"/>
  <c r="R226" i="45" s="1"/>
  <c r="I217" i="45"/>
  <c r="I216" i="45"/>
  <c r="I215" i="45"/>
  <c r="E219" i="45"/>
  <c r="F226" i="45" s="1"/>
  <c r="C219" i="45"/>
  <c r="C218" i="45"/>
  <c r="C217" i="45"/>
  <c r="C216" i="45"/>
  <c r="C215" i="45"/>
  <c r="BE218" i="45"/>
  <c r="AT218" i="45"/>
  <c r="AU218" i="45" s="1"/>
  <c r="AS218" i="45"/>
  <c r="AJ218" i="45"/>
  <c r="AK218" i="45" s="1"/>
  <c r="AH218" i="45"/>
  <c r="AH217" i="45"/>
  <c r="AH216" i="45"/>
  <c r="AH215" i="45"/>
  <c r="Z218" i="45"/>
  <c r="AA218" i="45" s="1"/>
  <c r="X218" i="45"/>
  <c r="X217" i="45"/>
  <c r="X216" i="45"/>
  <c r="X215" i="45"/>
  <c r="T218" i="45"/>
  <c r="U218" i="45" s="1"/>
  <c r="R218" i="45"/>
  <c r="R217" i="45"/>
  <c r="R216" i="45"/>
  <c r="R215" i="45"/>
  <c r="H218" i="45"/>
  <c r="I218" i="45" s="1"/>
  <c r="F218" i="45"/>
  <c r="F217" i="45"/>
  <c r="F216" i="45"/>
  <c r="F215" i="45"/>
  <c r="B218" i="45"/>
  <c r="B217" i="45"/>
  <c r="B216" i="45"/>
  <c r="B215" i="45"/>
  <c r="AS217" i="45"/>
  <c r="AS216" i="45"/>
  <c r="AS260" i="45" s="1"/>
  <c r="AS215" i="45"/>
  <c r="AS259" i="45" s="1"/>
  <c r="BT218" i="45"/>
  <c r="BU217" i="45"/>
  <c r="BT217" i="45"/>
  <c r="BT216" i="45"/>
  <c r="BU215" i="45"/>
  <c r="BT215" i="45"/>
  <c r="BQ218" i="45"/>
  <c r="BU218" i="45" s="1"/>
  <c r="BP218" i="45"/>
  <c r="BO218" i="45"/>
  <c r="BQ217" i="45"/>
  <c r="BP217" i="45"/>
  <c r="BO217" i="45"/>
  <c r="BR216" i="45"/>
  <c r="BQ216" i="45"/>
  <c r="BU216" i="45" s="1"/>
  <c r="BP216" i="45"/>
  <c r="BO216" i="45"/>
  <c r="BR215" i="45"/>
  <c r="BQ215" i="45"/>
  <c r="BP215" i="45"/>
  <c r="BO215" i="45"/>
  <c r="AM218" i="45"/>
  <c r="AN225" i="45" s="1"/>
  <c r="AM217" i="45"/>
  <c r="AN217" i="45" s="1"/>
  <c r="AM216" i="45"/>
  <c r="AN223" i="45" s="1"/>
  <c r="AM215" i="45"/>
  <c r="AM219" i="45" s="1"/>
  <c r="AG214" i="45"/>
  <c r="W214" i="45"/>
  <c r="E214" i="45"/>
  <c r="BP209" i="45"/>
  <c r="BP208" i="45"/>
  <c r="AW211" i="45"/>
  <c r="BP211" i="45" s="1"/>
  <c r="AW210" i="45"/>
  <c r="BR210" i="45" s="1"/>
  <c r="AW209" i="45"/>
  <c r="AW208" i="45"/>
  <c r="BW208" i="45" s="1"/>
  <c r="AT213" i="45"/>
  <c r="AJ213" i="45"/>
  <c r="Z213" i="45"/>
  <c r="T213" i="45"/>
  <c r="L213" i="45"/>
  <c r="H213" i="45"/>
  <c r="AW213" i="45" s="1"/>
  <c r="BP213" i="45" s="1"/>
  <c r="BW209" i="45"/>
  <c r="BO211" i="45"/>
  <c r="BO210" i="45"/>
  <c r="BO209" i="45"/>
  <c r="BO208" i="45"/>
  <c r="BF212" i="45"/>
  <c r="BF210" i="45"/>
  <c r="BF209" i="45"/>
  <c r="BF208" i="45"/>
  <c r="BC211" i="45"/>
  <c r="BC209" i="45"/>
  <c r="BC208" i="45"/>
  <c r="AU210" i="45"/>
  <c r="AU209" i="45"/>
  <c r="AU208" i="45"/>
  <c r="AR212" i="45"/>
  <c r="AW212" i="45" s="1"/>
  <c r="AK212" i="45"/>
  <c r="AK210" i="45"/>
  <c r="AK209" i="45"/>
  <c r="AK208" i="45"/>
  <c r="AG212" i="45"/>
  <c r="AH212" i="45" s="1"/>
  <c r="AA212" i="45"/>
  <c r="AA211" i="45"/>
  <c r="AA210" i="45"/>
  <c r="AA209" i="45"/>
  <c r="AA208" i="45"/>
  <c r="W212" i="45"/>
  <c r="U211" i="45"/>
  <c r="U210" i="45"/>
  <c r="U209" i="45"/>
  <c r="U208" i="45"/>
  <c r="Q212" i="45"/>
  <c r="I210" i="45"/>
  <c r="I209" i="45"/>
  <c r="I208" i="45"/>
  <c r="E212" i="45"/>
  <c r="I212" i="45" s="1"/>
  <c r="C212" i="45"/>
  <c r="C211" i="45"/>
  <c r="C210" i="45"/>
  <c r="C209" i="45"/>
  <c r="C208" i="45"/>
  <c r="BE211" i="45"/>
  <c r="AT211" i="45"/>
  <c r="AS211" i="45"/>
  <c r="AS255" i="45" s="1"/>
  <c r="AJ211" i="45"/>
  <c r="AK211" i="45" s="1"/>
  <c r="AH210" i="45"/>
  <c r="AH209" i="45"/>
  <c r="AH208" i="45"/>
  <c r="Z211" i="45"/>
  <c r="X210" i="45"/>
  <c r="X209" i="45"/>
  <c r="X208" i="45"/>
  <c r="T211" i="45"/>
  <c r="R210" i="45"/>
  <c r="R209" i="45"/>
  <c r="R208" i="45"/>
  <c r="H211" i="45"/>
  <c r="I211" i="45" s="1"/>
  <c r="F211" i="45"/>
  <c r="F210" i="45"/>
  <c r="F209" i="45"/>
  <c r="F208" i="45"/>
  <c r="B211" i="45"/>
  <c r="B210" i="45"/>
  <c r="B209" i="45"/>
  <c r="B208" i="45"/>
  <c r="AS210" i="45"/>
  <c r="AS254" i="45" s="1"/>
  <c r="AS209" i="45"/>
  <c r="AS253" i="45" s="1"/>
  <c r="AS208" i="45"/>
  <c r="AS252" i="45" s="1"/>
  <c r="BT211" i="45"/>
  <c r="BU210" i="45"/>
  <c r="BT210" i="45"/>
  <c r="BT209" i="45"/>
  <c r="BU208" i="45"/>
  <c r="BT208" i="45"/>
  <c r="BR211" i="45"/>
  <c r="BQ211" i="45"/>
  <c r="BU211" i="45" s="1"/>
  <c r="BQ210" i="45"/>
  <c r="BR209" i="45"/>
  <c r="BQ209" i="45"/>
  <c r="BU209" i="45" s="1"/>
  <c r="BQ208" i="45"/>
  <c r="AM211" i="45"/>
  <c r="AN211" i="45" s="1"/>
  <c r="AM210" i="45"/>
  <c r="AM209" i="45"/>
  <c r="AM208" i="45"/>
  <c r="L206" i="45"/>
  <c r="BW202" i="45"/>
  <c r="BW201" i="45"/>
  <c r="BF205" i="45"/>
  <c r="BF203" i="45"/>
  <c r="BF202" i="45"/>
  <c r="BF201" i="45"/>
  <c r="BC204" i="45"/>
  <c r="BC203" i="45"/>
  <c r="BC202" i="45"/>
  <c r="BC201" i="45"/>
  <c r="AW203" i="45"/>
  <c r="AW202" i="45"/>
  <c r="E265" i="45" s="1"/>
  <c r="AW201" i="45"/>
  <c r="E264" i="45" s="1"/>
  <c r="AU204" i="45"/>
  <c r="AU203" i="45"/>
  <c r="AU202" i="45"/>
  <c r="AU201" i="45"/>
  <c r="AS205" i="45"/>
  <c r="AK204" i="45"/>
  <c r="AK203" i="45"/>
  <c r="AK202" i="45"/>
  <c r="AK201" i="45"/>
  <c r="AA203" i="45"/>
  <c r="AA202" i="45"/>
  <c r="AA201" i="45"/>
  <c r="U203" i="45"/>
  <c r="U202" i="45"/>
  <c r="U201" i="45"/>
  <c r="I204" i="45"/>
  <c r="I203" i="45"/>
  <c r="I202" i="45"/>
  <c r="I201" i="45"/>
  <c r="C205" i="45"/>
  <c r="C204" i="45"/>
  <c r="C203" i="45"/>
  <c r="C202" i="45"/>
  <c r="C201" i="45"/>
  <c r="AT204" i="45"/>
  <c r="AS204" i="45"/>
  <c r="AR204" i="45"/>
  <c r="AR205" i="45" s="1"/>
  <c r="AJ204" i="45"/>
  <c r="AG205" i="45"/>
  <c r="AK205" i="45" s="1"/>
  <c r="AG204" i="45"/>
  <c r="AW204" i="45" s="1"/>
  <c r="Z204" i="45"/>
  <c r="AA204" i="45" s="1"/>
  <c r="W204" i="45"/>
  <c r="T204" i="45"/>
  <c r="U204" i="45" s="1"/>
  <c r="Q204" i="45"/>
  <c r="R211" i="45" s="1"/>
  <c r="H204" i="45"/>
  <c r="E205" i="45"/>
  <c r="F204" i="45"/>
  <c r="E204" i="45"/>
  <c r="B204" i="45"/>
  <c r="B203" i="45"/>
  <c r="B202" i="45"/>
  <c r="B201" i="45"/>
  <c r="AS203" i="45"/>
  <c r="AS202" i="45"/>
  <c r="AS201" i="45"/>
  <c r="AH203" i="45"/>
  <c r="AH202" i="45"/>
  <c r="AH201" i="45"/>
  <c r="X203" i="45"/>
  <c r="X202" i="45"/>
  <c r="X201" i="45"/>
  <c r="R203" i="45"/>
  <c r="R202" i="45"/>
  <c r="R201" i="45"/>
  <c r="F203" i="45"/>
  <c r="F202" i="45"/>
  <c r="F201" i="45"/>
  <c r="BT204" i="45"/>
  <c r="BT203" i="45"/>
  <c r="BT202" i="45"/>
  <c r="BT201" i="45"/>
  <c r="BR204" i="45"/>
  <c r="BR203" i="45"/>
  <c r="BQ203" i="45"/>
  <c r="BU203" i="45" s="1"/>
  <c r="BO203" i="45"/>
  <c r="BR202" i="45"/>
  <c r="BQ202" i="45"/>
  <c r="BU202" i="45" s="1"/>
  <c r="BP202" i="45"/>
  <c r="BO202" i="45"/>
  <c r="BR201" i="45"/>
  <c r="BQ201" i="45"/>
  <c r="BU201" i="45" s="1"/>
  <c r="BO201" i="45"/>
  <c r="AM204" i="45"/>
  <c r="AN203" i="45"/>
  <c r="AM203" i="45"/>
  <c r="AM202" i="45"/>
  <c r="AM201" i="45"/>
  <c r="BT195" i="45"/>
  <c r="BT194" i="45"/>
  <c r="AW197" i="45"/>
  <c r="BT197" i="45" s="1"/>
  <c r="AW196" i="45"/>
  <c r="AW195" i="45"/>
  <c r="AW194" i="45"/>
  <c r="BW197" i="45"/>
  <c r="BW194" i="45"/>
  <c r="BU197" i="45"/>
  <c r="BF198" i="45"/>
  <c r="BF196" i="45"/>
  <c r="BF195" i="45"/>
  <c r="BF194" i="45"/>
  <c r="BC197" i="45"/>
  <c r="BC196" i="45"/>
  <c r="BC195" i="45"/>
  <c r="BC194" i="45"/>
  <c r="AU198" i="45"/>
  <c r="AU196" i="45"/>
  <c r="AU195" i="45"/>
  <c r="AU194" i="45"/>
  <c r="AR198" i="45"/>
  <c r="AK197" i="45"/>
  <c r="AK196" i="45"/>
  <c r="AK195" i="45"/>
  <c r="AK194" i="45"/>
  <c r="AA197" i="45"/>
  <c r="AA196" i="45"/>
  <c r="AA195" i="45"/>
  <c r="AA194" i="45"/>
  <c r="U196" i="45"/>
  <c r="U195" i="45"/>
  <c r="U194" i="45"/>
  <c r="I196" i="45"/>
  <c r="I195" i="45"/>
  <c r="I194" i="45"/>
  <c r="C198" i="45"/>
  <c r="C197" i="45"/>
  <c r="C196" i="45"/>
  <c r="C195" i="45"/>
  <c r="C194" i="45"/>
  <c r="BE197" i="45"/>
  <c r="AT197" i="45"/>
  <c r="AU197" i="45" s="1"/>
  <c r="AS197" i="45"/>
  <c r="AR197" i="45"/>
  <c r="AJ197" i="45"/>
  <c r="AG198" i="45"/>
  <c r="AG197" i="45"/>
  <c r="Z197" i="45"/>
  <c r="W197" i="45"/>
  <c r="T197" i="45"/>
  <c r="U197" i="45" s="1"/>
  <c r="R197" i="45"/>
  <c r="Q197" i="45"/>
  <c r="H197" i="45"/>
  <c r="E198" i="45"/>
  <c r="E197" i="45"/>
  <c r="B197" i="45"/>
  <c r="B196" i="45"/>
  <c r="B195" i="45"/>
  <c r="B194" i="45"/>
  <c r="AS196" i="45"/>
  <c r="AS195" i="45"/>
  <c r="AS194" i="45"/>
  <c r="AH196" i="45"/>
  <c r="AH195" i="45"/>
  <c r="AH194" i="45"/>
  <c r="X196" i="45"/>
  <c r="X195" i="45"/>
  <c r="X194" i="45"/>
  <c r="R196" i="45"/>
  <c r="R195" i="45"/>
  <c r="R194" i="45"/>
  <c r="F196" i="45"/>
  <c r="F195" i="45"/>
  <c r="F194" i="45"/>
  <c r="BQ197" i="45"/>
  <c r="BP196" i="45"/>
  <c r="BQ195" i="45"/>
  <c r="BU195" i="45" s="1"/>
  <c r="BP195" i="45"/>
  <c r="BO195" i="45"/>
  <c r="BR194" i="45"/>
  <c r="BQ194" i="45"/>
  <c r="BU194" i="45" s="1"/>
  <c r="BP194" i="45"/>
  <c r="BO194" i="45"/>
  <c r="AM197" i="45"/>
  <c r="AN197" i="45" s="1"/>
  <c r="AM196" i="45"/>
  <c r="AM195" i="45"/>
  <c r="AN195" i="45" s="1"/>
  <c r="AM194" i="45"/>
  <c r="AM198" i="45" s="1"/>
  <c r="BT189" i="45"/>
  <c r="BT188" i="45"/>
  <c r="BO190" i="45"/>
  <c r="BO188" i="45"/>
  <c r="BW189" i="45"/>
  <c r="BW188" i="45"/>
  <c r="BU189" i="45"/>
  <c r="BU188" i="45"/>
  <c r="BP190" i="45"/>
  <c r="BP189" i="45"/>
  <c r="BP187" i="45"/>
  <c r="BC189" i="45"/>
  <c r="BC188" i="45"/>
  <c r="BC187" i="45"/>
  <c r="AW190" i="45"/>
  <c r="AW189" i="45"/>
  <c r="BO189" i="45" s="1"/>
  <c r="AW188" i="45"/>
  <c r="BP188" i="45" s="1"/>
  <c r="AW187" i="45"/>
  <c r="AU189" i="45"/>
  <c r="AU188" i="45"/>
  <c r="AU187" i="45"/>
  <c r="AK190" i="45"/>
  <c r="AK189" i="45"/>
  <c r="AK188" i="45"/>
  <c r="AK187" i="45"/>
  <c r="AA189" i="45"/>
  <c r="AA188" i="45"/>
  <c r="AA187" i="45"/>
  <c r="U189" i="45"/>
  <c r="U188" i="45"/>
  <c r="U187" i="45"/>
  <c r="I191" i="45"/>
  <c r="I189" i="45"/>
  <c r="I188" i="45"/>
  <c r="I187" i="45"/>
  <c r="C191" i="45"/>
  <c r="C190" i="45"/>
  <c r="C189" i="45"/>
  <c r="C188" i="45"/>
  <c r="C187" i="45"/>
  <c r="BF189" i="45"/>
  <c r="BF188" i="45"/>
  <c r="BF187" i="45"/>
  <c r="AT190" i="45"/>
  <c r="AU190" i="45" s="1"/>
  <c r="AR190" i="45"/>
  <c r="AJ190" i="45"/>
  <c r="AG190" i="45"/>
  <c r="BT190" i="45" s="1"/>
  <c r="Z190" i="45"/>
  <c r="W190" i="45"/>
  <c r="T190" i="45"/>
  <c r="Q190" i="45"/>
  <c r="U190" i="45" s="1"/>
  <c r="H190" i="45"/>
  <c r="I190" i="45" s="1"/>
  <c r="E190" i="45"/>
  <c r="E191" i="45" s="1"/>
  <c r="B190" i="45"/>
  <c r="B189" i="45"/>
  <c r="B188" i="45"/>
  <c r="B187" i="45"/>
  <c r="AS189" i="45"/>
  <c r="AS188" i="45"/>
  <c r="AS187" i="45"/>
  <c r="AH189" i="45"/>
  <c r="AH188" i="45"/>
  <c r="X189" i="45"/>
  <c r="X188" i="45"/>
  <c r="R189" i="45"/>
  <c r="R188" i="45"/>
  <c r="F189" i="45"/>
  <c r="F188" i="45"/>
  <c r="F187" i="45"/>
  <c r="BQ190" i="45"/>
  <c r="BU190" i="45" s="1"/>
  <c r="BR189" i="45"/>
  <c r="BQ189" i="45"/>
  <c r="BR188" i="45"/>
  <c r="BQ188" i="45"/>
  <c r="BR187" i="45"/>
  <c r="BE187" i="45"/>
  <c r="BE191" i="45" s="1"/>
  <c r="BF191" i="45" s="1"/>
  <c r="AM190" i="45"/>
  <c r="AM189" i="45"/>
  <c r="AN189" i="45" s="1"/>
  <c r="AM188" i="45"/>
  <c r="AM187" i="45"/>
  <c r="AN187" i="45" s="1"/>
  <c r="BU182" i="45"/>
  <c r="BP182" i="45"/>
  <c r="BF184" i="45"/>
  <c r="BF182" i="45"/>
  <c r="BF181" i="45"/>
  <c r="BF180" i="45"/>
  <c r="BC183" i="45"/>
  <c r="BC181" i="45"/>
  <c r="BC180" i="45"/>
  <c r="AW182" i="45"/>
  <c r="AW181" i="45"/>
  <c r="BO181" i="45" s="1"/>
  <c r="AU183" i="45"/>
  <c r="AU182" i="45"/>
  <c r="AU181" i="45"/>
  <c r="AU180" i="45"/>
  <c r="AS184" i="45"/>
  <c r="AR184" i="45"/>
  <c r="AK182" i="45"/>
  <c r="AK181" i="45"/>
  <c r="AA182" i="45"/>
  <c r="AA181" i="45"/>
  <c r="U183" i="45"/>
  <c r="U182" i="45"/>
  <c r="U181" i="45"/>
  <c r="U180" i="45"/>
  <c r="I184" i="45"/>
  <c r="I182" i="45"/>
  <c r="I181" i="45"/>
  <c r="I180" i="45"/>
  <c r="C184" i="45"/>
  <c r="C183" i="45"/>
  <c r="C182" i="45"/>
  <c r="C181" i="45"/>
  <c r="C180" i="45"/>
  <c r="BW181" i="45"/>
  <c r="BE183" i="45"/>
  <c r="AT183" i="45"/>
  <c r="AS183" i="45"/>
  <c r="AR183" i="45"/>
  <c r="AJ183" i="45"/>
  <c r="Z183" i="45"/>
  <c r="T183" i="45"/>
  <c r="BF183" i="45" s="1"/>
  <c r="R183" i="45"/>
  <c r="Q183" i="45"/>
  <c r="H183" i="45"/>
  <c r="I183" i="45" s="1"/>
  <c r="E184" i="45"/>
  <c r="F183" i="45"/>
  <c r="E183" i="45"/>
  <c r="B183" i="45"/>
  <c r="B182" i="45"/>
  <c r="B181" i="45"/>
  <c r="B180" i="45"/>
  <c r="AS182" i="45"/>
  <c r="AS181" i="45"/>
  <c r="AS180" i="45"/>
  <c r="AH182" i="45"/>
  <c r="AH181" i="45"/>
  <c r="X182" i="45"/>
  <c r="X181" i="45"/>
  <c r="R182" i="45"/>
  <c r="R181" i="45"/>
  <c r="F182" i="45"/>
  <c r="F181" i="45"/>
  <c r="F180" i="45"/>
  <c r="BR182" i="45"/>
  <c r="BQ182" i="45"/>
  <c r="AM183" i="45"/>
  <c r="AN183" i="45" s="1"/>
  <c r="AM182" i="45"/>
  <c r="AM181" i="45"/>
  <c r="AM180" i="45"/>
  <c r="AG180" i="45"/>
  <c r="AH187" i="45" s="1"/>
  <c r="W180" i="45"/>
  <c r="W183" i="45" s="1"/>
  <c r="Q180" i="45"/>
  <c r="R180" i="45" s="1"/>
  <c r="AG177" i="45"/>
  <c r="AH177" i="45" s="1"/>
  <c r="BF177" i="45"/>
  <c r="BF175" i="45"/>
  <c r="BF174" i="45"/>
  <c r="BF173" i="45"/>
  <c r="BC176" i="45"/>
  <c r="BC173" i="45"/>
  <c r="AW176" i="45"/>
  <c r="AW175" i="45"/>
  <c r="BW175" i="45" s="1"/>
  <c r="AW174" i="45"/>
  <c r="AW173" i="45"/>
  <c r="AU177" i="45"/>
  <c r="AU176" i="45"/>
  <c r="AU175" i="45"/>
  <c r="AU174" i="45"/>
  <c r="AU173" i="45"/>
  <c r="AR177" i="45"/>
  <c r="AK176" i="45"/>
  <c r="AK175" i="45"/>
  <c r="AK174" i="45"/>
  <c r="AK173" i="45"/>
  <c r="AH176" i="45"/>
  <c r="AH175" i="45"/>
  <c r="AH174" i="45"/>
  <c r="AH173" i="45"/>
  <c r="AA177" i="45"/>
  <c r="AA175" i="45"/>
  <c r="AA174" i="45"/>
  <c r="AA173" i="45"/>
  <c r="W177" i="45"/>
  <c r="U177" i="45"/>
  <c r="U176" i="45"/>
  <c r="U175" i="45"/>
  <c r="U174" i="45"/>
  <c r="U173" i="45"/>
  <c r="Q177" i="45"/>
  <c r="I177" i="45"/>
  <c r="I176" i="45"/>
  <c r="I175" i="45"/>
  <c r="I174" i="45"/>
  <c r="I173" i="45"/>
  <c r="E177" i="45"/>
  <c r="C177" i="45"/>
  <c r="C176" i="45"/>
  <c r="C175" i="45"/>
  <c r="C174" i="45"/>
  <c r="C173" i="45"/>
  <c r="BW176" i="45"/>
  <c r="BW174" i="45"/>
  <c r="BW173" i="45"/>
  <c r="BE176" i="45"/>
  <c r="AT176" i="45"/>
  <c r="AS176" i="45"/>
  <c r="AJ176" i="45"/>
  <c r="Z176" i="45"/>
  <c r="AA176" i="45" s="1"/>
  <c r="X176" i="45"/>
  <c r="X175" i="45"/>
  <c r="X174" i="45"/>
  <c r="X173" i="45"/>
  <c r="T176" i="45"/>
  <c r="R176" i="45"/>
  <c r="R175" i="45"/>
  <c r="R174" i="45"/>
  <c r="R173" i="45"/>
  <c r="H176" i="45"/>
  <c r="F176" i="45"/>
  <c r="F175" i="45"/>
  <c r="F174" i="45"/>
  <c r="F173" i="45"/>
  <c r="B176" i="45"/>
  <c r="B175" i="45"/>
  <c r="B174" i="45"/>
  <c r="B173" i="45"/>
  <c r="AS175" i="45"/>
  <c r="AS174" i="45"/>
  <c r="AS173" i="45"/>
  <c r="BT176" i="45"/>
  <c r="BT175" i="45"/>
  <c r="BT174" i="45"/>
  <c r="BT173" i="45"/>
  <c r="BR176" i="45"/>
  <c r="BQ176" i="45"/>
  <c r="BU176" i="45" s="1"/>
  <c r="BO176" i="45"/>
  <c r="BQ175" i="45"/>
  <c r="BU175" i="45" s="1"/>
  <c r="BO175" i="45"/>
  <c r="BR174" i="45"/>
  <c r="BQ174" i="45"/>
  <c r="BU174" i="45" s="1"/>
  <c r="BO174" i="45"/>
  <c r="BR173" i="45"/>
  <c r="BQ173" i="45"/>
  <c r="BU173" i="45" s="1"/>
  <c r="BO173" i="45"/>
  <c r="AM176" i="45"/>
  <c r="AM175" i="45"/>
  <c r="AN175" i="45" s="1"/>
  <c r="AM174" i="45"/>
  <c r="AM173" i="45"/>
  <c r="BH167" i="45"/>
  <c r="BF170" i="45"/>
  <c r="BF168" i="45"/>
  <c r="BH168" i="45" s="1"/>
  <c r="BF167" i="45"/>
  <c r="BF166" i="45"/>
  <c r="BC169" i="45"/>
  <c r="BC168" i="45"/>
  <c r="AW169" i="45"/>
  <c r="AW168" i="45"/>
  <c r="AW167" i="45"/>
  <c r="AW166" i="45"/>
  <c r="AU169" i="45"/>
  <c r="AU168" i="45"/>
  <c r="AU167" i="45"/>
  <c r="AU166" i="45"/>
  <c r="AR170" i="45"/>
  <c r="AU170" i="45" s="1"/>
  <c r="AK168" i="45"/>
  <c r="AK167" i="45"/>
  <c r="AK166" i="45"/>
  <c r="AG170" i="45"/>
  <c r="W170" i="45"/>
  <c r="AA170" i="45" s="1"/>
  <c r="U168" i="45"/>
  <c r="U167" i="45"/>
  <c r="U166" i="45"/>
  <c r="Q170" i="45"/>
  <c r="AW170" i="45" s="1"/>
  <c r="K169" i="45"/>
  <c r="K176" i="45" s="1"/>
  <c r="BP176" i="45" s="1"/>
  <c r="K168" i="45"/>
  <c r="K175" i="45" s="1"/>
  <c r="BP175" i="45" s="1"/>
  <c r="K167" i="45"/>
  <c r="K174" i="45" s="1"/>
  <c r="BP174" i="45" s="1"/>
  <c r="I168" i="45"/>
  <c r="I167" i="45"/>
  <c r="I166" i="45"/>
  <c r="E170" i="45"/>
  <c r="F177" i="45" s="1"/>
  <c r="C170" i="45"/>
  <c r="C169" i="45"/>
  <c r="C168" i="45"/>
  <c r="C167" i="45"/>
  <c r="C166" i="45"/>
  <c r="BW169" i="45"/>
  <c r="BW168" i="45"/>
  <c r="BW167" i="45"/>
  <c r="BW166" i="45"/>
  <c r="BE169" i="45"/>
  <c r="AT169" i="45"/>
  <c r="AS169" i="45"/>
  <c r="AJ169" i="45"/>
  <c r="AK169" i="45" s="1"/>
  <c r="AH169" i="45"/>
  <c r="AH168" i="45"/>
  <c r="AH167" i="45"/>
  <c r="AH166" i="45"/>
  <c r="T169" i="45"/>
  <c r="U169" i="45" s="1"/>
  <c r="R169" i="45"/>
  <c r="R168" i="45"/>
  <c r="R167" i="45"/>
  <c r="R166" i="45"/>
  <c r="H169" i="45"/>
  <c r="BF169" i="45" s="1"/>
  <c r="BH169" i="45" s="1"/>
  <c r="F169" i="45"/>
  <c r="F168" i="45"/>
  <c r="F167" i="45"/>
  <c r="F166" i="45"/>
  <c r="B169" i="45"/>
  <c r="B168" i="45"/>
  <c r="B167" i="45"/>
  <c r="B166" i="45"/>
  <c r="AS168" i="45"/>
  <c r="AS167" i="45"/>
  <c r="AS166" i="45"/>
  <c r="BU169" i="45"/>
  <c r="BT169" i="45"/>
  <c r="BT168" i="45"/>
  <c r="BU167" i="45"/>
  <c r="BT167" i="45"/>
  <c r="BT166" i="45"/>
  <c r="BR169" i="45"/>
  <c r="BQ169" i="45"/>
  <c r="BP169" i="45"/>
  <c r="BO169" i="45"/>
  <c r="BR168" i="45"/>
  <c r="BQ168" i="45"/>
  <c r="BU168" i="45" s="1"/>
  <c r="BP168" i="45"/>
  <c r="BO168" i="45"/>
  <c r="BR167" i="45"/>
  <c r="BQ167" i="45"/>
  <c r="BP167" i="45"/>
  <c r="BO167" i="45"/>
  <c r="BR166" i="45"/>
  <c r="BQ166" i="45"/>
  <c r="BU166" i="45" s="1"/>
  <c r="BO166" i="45"/>
  <c r="AM169" i="45"/>
  <c r="AN169" i="45" s="1"/>
  <c r="AM168" i="45"/>
  <c r="AM167" i="45"/>
  <c r="AN167" i="45" s="1"/>
  <c r="AM166" i="45"/>
  <c r="AN173" i="45" s="1"/>
  <c r="B165" i="45"/>
  <c r="B172" i="45" s="1"/>
  <c r="B179" i="45" s="1"/>
  <c r="B186" i="45" s="1"/>
  <c r="B193" i="45" s="1"/>
  <c r="B200" i="45" s="1"/>
  <c r="B207" i="45" s="1"/>
  <c r="B214" i="45" s="1"/>
  <c r="B221" i="45" s="1"/>
  <c r="B228" i="45" s="1"/>
  <c r="B235" i="45" s="1"/>
  <c r="BX163" i="45"/>
  <c r="BC161" i="45"/>
  <c r="BC160" i="45"/>
  <c r="BC159" i="45"/>
  <c r="AW163" i="45"/>
  <c r="AW162" i="45"/>
  <c r="AW161" i="45"/>
  <c r="AW160" i="45"/>
  <c r="AW159" i="45"/>
  <c r="BQ159" i="45" s="1"/>
  <c r="BU159" i="45" s="1"/>
  <c r="AU161" i="45"/>
  <c r="AU160" i="45"/>
  <c r="AU159" i="45"/>
  <c r="AR163" i="45"/>
  <c r="AS170" i="45" s="1"/>
  <c r="AK163" i="45"/>
  <c r="AK161" i="45"/>
  <c r="AK160" i="45"/>
  <c r="AK159" i="45"/>
  <c r="AG163" i="45"/>
  <c r="W162" i="45"/>
  <c r="W161" i="45"/>
  <c r="W160" i="45"/>
  <c r="W159" i="45"/>
  <c r="W163" i="45" s="1"/>
  <c r="U163" i="45"/>
  <c r="U161" i="45"/>
  <c r="U160" i="45"/>
  <c r="U159" i="45"/>
  <c r="Q163" i="45"/>
  <c r="I163" i="45"/>
  <c r="I162" i="45"/>
  <c r="I161" i="45"/>
  <c r="I160" i="45"/>
  <c r="I159" i="45"/>
  <c r="E163" i="45"/>
  <c r="C163" i="45"/>
  <c r="C162" i="45"/>
  <c r="C161" i="45"/>
  <c r="C160" i="45"/>
  <c r="C159" i="45"/>
  <c r="BW162" i="45"/>
  <c r="BW161" i="45"/>
  <c r="BW160" i="45"/>
  <c r="AT162" i="45"/>
  <c r="AU162" i="45" s="1"/>
  <c r="AS162" i="45"/>
  <c r="AJ162" i="45"/>
  <c r="AK162" i="45" s="1"/>
  <c r="AH162" i="45"/>
  <c r="AH161" i="45"/>
  <c r="AH160" i="45"/>
  <c r="AH159" i="45"/>
  <c r="T162" i="45"/>
  <c r="U162" i="45" s="1"/>
  <c r="R162" i="45"/>
  <c r="R161" i="45"/>
  <c r="R160" i="45"/>
  <c r="R159" i="45"/>
  <c r="H162" i="45"/>
  <c r="BF162" i="45" s="1"/>
  <c r="BH162" i="45" s="1"/>
  <c r="F162" i="45"/>
  <c r="F161" i="45"/>
  <c r="F160" i="45"/>
  <c r="F159" i="45"/>
  <c r="B162" i="45"/>
  <c r="B161" i="45"/>
  <c r="B160" i="45"/>
  <c r="B159" i="45"/>
  <c r="BF163" i="45"/>
  <c r="BH163" i="45" s="1"/>
  <c r="BE163" i="45"/>
  <c r="BE162" i="45"/>
  <c r="BF161" i="45"/>
  <c r="BH161" i="45" s="1"/>
  <c r="BE161" i="45"/>
  <c r="AS161" i="45"/>
  <c r="AS160" i="45"/>
  <c r="AS159" i="45"/>
  <c r="BF160" i="45"/>
  <c r="BH160" i="45" s="1"/>
  <c r="BF159" i="45"/>
  <c r="BH159" i="45" s="1"/>
  <c r="BT163" i="45"/>
  <c r="BT162" i="45"/>
  <c r="BT161" i="45"/>
  <c r="BU160" i="45"/>
  <c r="BT160" i="45"/>
  <c r="BT159" i="45"/>
  <c r="BO163" i="45"/>
  <c r="BQ162" i="45"/>
  <c r="BU162" i="45" s="1"/>
  <c r="BP162" i="45"/>
  <c r="BO162" i="45"/>
  <c r="BQ161" i="45"/>
  <c r="BU161" i="45" s="1"/>
  <c r="BP161" i="45"/>
  <c r="BO161" i="45"/>
  <c r="BQ160" i="45"/>
  <c r="BP160" i="45"/>
  <c r="BO160" i="45"/>
  <c r="BO159" i="45"/>
  <c r="AM162" i="45"/>
  <c r="AN162" i="45" s="1"/>
  <c r="AN161" i="45"/>
  <c r="AM161" i="45"/>
  <c r="AN168" i="45" s="1"/>
  <c r="AM160" i="45"/>
  <c r="AN160" i="45" s="1"/>
  <c r="AM159" i="45"/>
  <c r="AN166" i="45" s="1"/>
  <c r="BG157" i="45"/>
  <c r="BX156" i="45"/>
  <c r="AW155" i="45"/>
  <c r="AW154" i="45"/>
  <c r="BW154" i="45" s="1"/>
  <c r="AW153" i="45"/>
  <c r="AW152" i="45"/>
  <c r="AR156" i="45"/>
  <c r="AM155" i="45"/>
  <c r="AM154" i="45"/>
  <c r="AM153" i="45"/>
  <c r="AM152" i="45"/>
  <c r="AN159" i="45" s="1"/>
  <c r="AG156" i="45"/>
  <c r="AH163" i="45" s="1"/>
  <c r="Q156" i="45"/>
  <c r="U156" i="45" s="1"/>
  <c r="E156" i="45"/>
  <c r="F163" i="45" s="1"/>
  <c r="C156" i="45"/>
  <c r="C155" i="45"/>
  <c r="C154" i="45"/>
  <c r="C153" i="45"/>
  <c r="C152" i="45"/>
  <c r="BW155" i="45"/>
  <c r="BW153" i="45"/>
  <c r="BW152" i="45"/>
  <c r="B155" i="45"/>
  <c r="B154" i="45"/>
  <c r="B153" i="45"/>
  <c r="B152" i="45"/>
  <c r="BT155" i="45"/>
  <c r="BT153" i="45"/>
  <c r="BU152" i="45"/>
  <c r="BT152" i="45"/>
  <c r="BQ155" i="45"/>
  <c r="BU155" i="45" s="1"/>
  <c r="BP155" i="45"/>
  <c r="BO155" i="45"/>
  <c r="BQ154" i="45"/>
  <c r="BU154" i="45" s="1"/>
  <c r="BQ153" i="45"/>
  <c r="BU153" i="45" s="1"/>
  <c r="BP153" i="45"/>
  <c r="BO153" i="45"/>
  <c r="BQ152" i="45"/>
  <c r="BP152" i="45"/>
  <c r="BO152" i="45"/>
  <c r="BG151" i="45"/>
  <c r="BG149" i="45"/>
  <c r="BG147" i="45"/>
  <c r="BG145" i="45"/>
  <c r="BG139" i="45"/>
  <c r="BG138" i="45"/>
  <c r="BG132" i="45"/>
  <c r="BG131" i="45"/>
  <c r="BG125" i="45"/>
  <c r="BG124" i="45"/>
  <c r="BG118" i="45"/>
  <c r="BG117" i="45"/>
  <c r="BG111" i="45"/>
  <c r="BG110" i="45"/>
  <c r="BG104" i="45"/>
  <c r="BG103" i="45"/>
  <c r="BG97" i="45"/>
  <c r="BG96" i="45"/>
  <c r="BG90" i="45"/>
  <c r="BG89" i="45"/>
  <c r="BG83" i="45"/>
  <c r="BG82" i="45"/>
  <c r="BG76" i="45"/>
  <c r="BG75" i="45"/>
  <c r="S144" i="45"/>
  <c r="G144" i="45"/>
  <c r="C144" i="45"/>
  <c r="C143" i="45"/>
  <c r="C142" i="45"/>
  <c r="C141" i="45"/>
  <c r="C140" i="45"/>
  <c r="AR143" i="45"/>
  <c r="AT143" i="45" s="1"/>
  <c r="AR142" i="45"/>
  <c r="AT142" i="45" s="1"/>
  <c r="AR141" i="45"/>
  <c r="AT141" i="45" s="1"/>
  <c r="AR140" i="45"/>
  <c r="AR144" i="45" s="1"/>
  <c r="AM143" i="45"/>
  <c r="AO143" i="45" s="1"/>
  <c r="AM142" i="45"/>
  <c r="AO142" i="45" s="1"/>
  <c r="AM141" i="45"/>
  <c r="AO141" i="45" s="1"/>
  <c r="AM140" i="45"/>
  <c r="AM144" i="45" s="1"/>
  <c r="B143" i="45"/>
  <c r="B142" i="45"/>
  <c r="B141" i="45"/>
  <c r="B140" i="45"/>
  <c r="BC143" i="45"/>
  <c r="BC142" i="45"/>
  <c r="AW143" i="45"/>
  <c r="AW142" i="45"/>
  <c r="AX142" i="45" s="1"/>
  <c r="AW141" i="45"/>
  <c r="AY140" i="45"/>
  <c r="BL140" i="45" s="1"/>
  <c r="AW140" i="45"/>
  <c r="T143" i="45"/>
  <c r="S143" i="45"/>
  <c r="R143" i="45"/>
  <c r="Q143" i="45"/>
  <c r="T142" i="45"/>
  <c r="S142" i="45"/>
  <c r="R142" i="45"/>
  <c r="Q142" i="45"/>
  <c r="T141" i="45"/>
  <c r="S141" i="45"/>
  <c r="R141" i="45"/>
  <c r="Q141" i="45"/>
  <c r="T140" i="45"/>
  <c r="T144" i="45" s="1"/>
  <c r="S140" i="45"/>
  <c r="R140" i="45"/>
  <c r="Q140" i="45"/>
  <c r="Q144" i="45" s="1"/>
  <c r="H143" i="45"/>
  <c r="G143" i="45"/>
  <c r="F143" i="45"/>
  <c r="E143" i="45"/>
  <c r="H142" i="45"/>
  <c r="G142" i="45"/>
  <c r="F142" i="45"/>
  <c r="E142" i="45"/>
  <c r="H141" i="45"/>
  <c r="H144" i="45" s="1"/>
  <c r="G141" i="45"/>
  <c r="F141" i="45"/>
  <c r="E141" i="45"/>
  <c r="AY141" i="45" s="1"/>
  <c r="G140" i="45"/>
  <c r="E140" i="45"/>
  <c r="H140" i="45" s="1"/>
  <c r="BF134" i="45"/>
  <c r="AW137" i="45"/>
  <c r="AR137" i="45"/>
  <c r="AM137" i="45"/>
  <c r="AN137" i="45" s="1"/>
  <c r="Q137" i="45"/>
  <c r="C137" i="45"/>
  <c r="C136" i="45"/>
  <c r="C135" i="45"/>
  <c r="C134" i="45"/>
  <c r="C133" i="45"/>
  <c r="T136" i="45"/>
  <c r="T135" i="45"/>
  <c r="T137" i="45" s="1"/>
  <c r="R136" i="45"/>
  <c r="R135" i="45"/>
  <c r="R134" i="45"/>
  <c r="R133" i="45"/>
  <c r="H136" i="45"/>
  <c r="H135" i="45"/>
  <c r="BF135" i="45" s="1"/>
  <c r="F136" i="45"/>
  <c r="F135" i="45"/>
  <c r="F134" i="45"/>
  <c r="B136" i="45"/>
  <c r="B135" i="45"/>
  <c r="B134" i="45"/>
  <c r="B133" i="45"/>
  <c r="BE135" i="45"/>
  <c r="BE142" i="45" s="1"/>
  <c r="BE143" i="45" s="1"/>
  <c r="BC135" i="45"/>
  <c r="BG135" i="45" s="1"/>
  <c r="AT136" i="45"/>
  <c r="AS136" i="45"/>
  <c r="AT135" i="45"/>
  <c r="AS135" i="45"/>
  <c r="AO136" i="45"/>
  <c r="AN136" i="45"/>
  <c r="AO135" i="45"/>
  <c r="AN135" i="45"/>
  <c r="AU134" i="45"/>
  <c r="AP134" i="45"/>
  <c r="AN134" i="45"/>
  <c r="AN133" i="45"/>
  <c r="U134" i="45"/>
  <c r="U133" i="45"/>
  <c r="I134" i="45"/>
  <c r="BR134" i="45"/>
  <c r="BQ134" i="45"/>
  <c r="BP134" i="45"/>
  <c r="BO134" i="45"/>
  <c r="BL136" i="45"/>
  <c r="BL133" i="45"/>
  <c r="BC134" i="45"/>
  <c r="BC133" i="45"/>
  <c r="AY136" i="45"/>
  <c r="AW136" i="45"/>
  <c r="AZ136" i="45" s="1"/>
  <c r="AY135" i="45"/>
  <c r="BL135" i="45" s="1"/>
  <c r="AW135" i="45"/>
  <c r="AY134" i="45"/>
  <c r="AW134" i="45"/>
  <c r="AZ134" i="45" s="1"/>
  <c r="AY133" i="45"/>
  <c r="AW133" i="45"/>
  <c r="AT133" i="45"/>
  <c r="AO133" i="45"/>
  <c r="H133" i="45"/>
  <c r="E133" i="45"/>
  <c r="E137" i="45" s="1"/>
  <c r="BF130" i="45"/>
  <c r="BF128" i="45"/>
  <c r="BF127" i="45"/>
  <c r="BO127" i="45" s="1"/>
  <c r="AU128" i="45"/>
  <c r="AP130" i="45"/>
  <c r="AP128" i="45"/>
  <c r="AP127" i="45"/>
  <c r="AP126" i="45"/>
  <c r="AM130" i="45"/>
  <c r="U129" i="45"/>
  <c r="U128" i="45"/>
  <c r="U127" i="45"/>
  <c r="U126" i="45"/>
  <c r="Q130" i="45"/>
  <c r="U130" i="45" s="1"/>
  <c r="I128" i="45"/>
  <c r="I127" i="45"/>
  <c r="E130" i="45"/>
  <c r="F130" i="45" s="1"/>
  <c r="C130" i="45"/>
  <c r="C129" i="45"/>
  <c r="C128" i="45"/>
  <c r="C127" i="45"/>
  <c r="C126" i="45"/>
  <c r="BC129" i="45"/>
  <c r="AT129" i="45"/>
  <c r="AU129" i="45" s="1"/>
  <c r="AS129" i="45"/>
  <c r="AO129" i="45"/>
  <c r="AP129" i="45" s="1"/>
  <c r="AN129" i="45"/>
  <c r="T129" i="45"/>
  <c r="R129" i="45"/>
  <c r="R128" i="45"/>
  <c r="R127" i="45"/>
  <c r="R126" i="45"/>
  <c r="F129" i="45"/>
  <c r="F128" i="45"/>
  <c r="F127" i="45"/>
  <c r="F126" i="45"/>
  <c r="B129" i="45"/>
  <c r="B128" i="45"/>
  <c r="B127" i="45"/>
  <c r="B126" i="45"/>
  <c r="AS128" i="45"/>
  <c r="AS127" i="45"/>
  <c r="AN128" i="45"/>
  <c r="AN127" i="45"/>
  <c r="AN126" i="45"/>
  <c r="BC128" i="45"/>
  <c r="BG128" i="45" s="1"/>
  <c r="BC127" i="45"/>
  <c r="BG127" i="45" s="1"/>
  <c r="AR127" i="45"/>
  <c r="AS134" i="45" s="1"/>
  <c r="BR130" i="45"/>
  <c r="BQ130" i="45"/>
  <c r="BP130" i="45"/>
  <c r="BO130" i="45"/>
  <c r="BR128" i="45"/>
  <c r="BQ128" i="45"/>
  <c r="BP128" i="45"/>
  <c r="BO128" i="45"/>
  <c r="BR127" i="45"/>
  <c r="BQ127" i="45"/>
  <c r="BP127" i="45"/>
  <c r="BL129" i="45"/>
  <c r="BL128" i="45"/>
  <c r="BL127" i="45"/>
  <c r="BE126" i="45"/>
  <c r="BE129" i="45" s="1"/>
  <c r="BC126" i="45"/>
  <c r="BD126" i="45" s="1"/>
  <c r="AY129" i="45"/>
  <c r="BM129" i="45" s="1"/>
  <c r="AW129" i="45"/>
  <c r="AX136" i="45" s="1"/>
  <c r="AY128" i="45"/>
  <c r="BA128" i="45" s="1"/>
  <c r="AW128" i="45"/>
  <c r="AX135" i="45" s="1"/>
  <c r="AY127" i="45"/>
  <c r="BA127" i="45" s="1"/>
  <c r="AW127" i="45"/>
  <c r="AX134" i="45" s="1"/>
  <c r="AW126" i="45"/>
  <c r="AX133" i="45" s="1"/>
  <c r="AT126" i="45"/>
  <c r="H126" i="45"/>
  <c r="BF126" i="45" s="1"/>
  <c r="BX123" i="45"/>
  <c r="BH121" i="45"/>
  <c r="BF123" i="45"/>
  <c r="BF121" i="45"/>
  <c r="BF120" i="45"/>
  <c r="BH120" i="45" s="1"/>
  <c r="BF119" i="45"/>
  <c r="BH119" i="45" s="1"/>
  <c r="AW123" i="45"/>
  <c r="AU122" i="45"/>
  <c r="AU121" i="45"/>
  <c r="AU120" i="45"/>
  <c r="AU119" i="45"/>
  <c r="AS123" i="45"/>
  <c r="AR123" i="45"/>
  <c r="AU123" i="45" s="1"/>
  <c r="AP121" i="45"/>
  <c r="AP120" i="45"/>
  <c r="AP119" i="45"/>
  <c r="AM123" i="45"/>
  <c r="AN123" i="45" s="1"/>
  <c r="U123" i="45"/>
  <c r="U121" i="45"/>
  <c r="U120" i="45"/>
  <c r="U119" i="45"/>
  <c r="Q123" i="45"/>
  <c r="R130" i="45" s="1"/>
  <c r="I123" i="45"/>
  <c r="I121" i="45"/>
  <c r="I120" i="45"/>
  <c r="I119" i="45"/>
  <c r="F123" i="45"/>
  <c r="E123" i="45"/>
  <c r="C123" i="45"/>
  <c r="C122" i="45"/>
  <c r="C121" i="45"/>
  <c r="C120" i="45"/>
  <c r="C119" i="45"/>
  <c r="BE122" i="45"/>
  <c r="BC122" i="45"/>
  <c r="AT122" i="45"/>
  <c r="AS122" i="45"/>
  <c r="AO122" i="45"/>
  <c r="AP122" i="45" s="1"/>
  <c r="AN122" i="45"/>
  <c r="T122" i="45"/>
  <c r="U122" i="45" s="1"/>
  <c r="R122" i="45"/>
  <c r="R121" i="45"/>
  <c r="R120" i="45"/>
  <c r="R119" i="45"/>
  <c r="H122" i="45"/>
  <c r="BF122" i="45" s="1"/>
  <c r="F122" i="45"/>
  <c r="F121" i="45"/>
  <c r="F120" i="45"/>
  <c r="F119" i="45"/>
  <c r="B122" i="45"/>
  <c r="B121" i="45"/>
  <c r="B120" i="45"/>
  <c r="B119" i="45"/>
  <c r="AS121" i="45"/>
  <c r="AS120" i="45"/>
  <c r="AS119" i="45"/>
  <c r="AN121" i="45"/>
  <c r="AN120" i="45"/>
  <c r="AN119" i="45"/>
  <c r="BR123" i="45"/>
  <c r="BQ123" i="45"/>
  <c r="BP123" i="45"/>
  <c r="BR121" i="45"/>
  <c r="BQ121" i="45"/>
  <c r="BP121" i="45"/>
  <c r="BO121" i="45"/>
  <c r="BR120" i="45"/>
  <c r="BQ120" i="45"/>
  <c r="BP120" i="45"/>
  <c r="BR119" i="45"/>
  <c r="BQ119" i="45"/>
  <c r="BP119" i="45"/>
  <c r="BM122" i="45"/>
  <c r="BL122" i="45"/>
  <c r="BK122" i="45"/>
  <c r="BM121" i="45"/>
  <c r="BL121" i="45"/>
  <c r="BK121" i="45"/>
  <c r="BM120" i="45"/>
  <c r="BL120" i="45"/>
  <c r="BK120" i="45"/>
  <c r="BM119" i="45"/>
  <c r="BL119" i="45"/>
  <c r="BK119" i="45"/>
  <c r="BC121" i="45"/>
  <c r="BG121" i="45" s="1"/>
  <c r="BC120" i="45"/>
  <c r="BC119" i="45"/>
  <c r="BG119" i="45" s="1"/>
  <c r="AY122" i="45"/>
  <c r="BJ122" i="45" s="1"/>
  <c r="AW122" i="45"/>
  <c r="AX122" i="45" s="1"/>
  <c r="AY121" i="45"/>
  <c r="BJ121" i="45" s="1"/>
  <c r="AW121" i="45"/>
  <c r="AX121" i="45" s="1"/>
  <c r="AY120" i="45"/>
  <c r="BA120" i="45" s="1"/>
  <c r="AW120" i="45"/>
  <c r="AX120" i="45" s="1"/>
  <c r="AY119" i="45"/>
  <c r="BJ119" i="45" s="1"/>
  <c r="AW119" i="45"/>
  <c r="AX119" i="45" s="1"/>
  <c r="BX116" i="45"/>
  <c r="BH116" i="45"/>
  <c r="BF116" i="45"/>
  <c r="BR116" i="45" s="1"/>
  <c r="BF114" i="45"/>
  <c r="BH114" i="45" s="1"/>
  <c r="BF113" i="45"/>
  <c r="BH113" i="45" s="1"/>
  <c r="BF112" i="45"/>
  <c r="BR112" i="45" s="1"/>
  <c r="AY116" i="45"/>
  <c r="BM116" i="45" s="1"/>
  <c r="AW116" i="45"/>
  <c r="BY123" i="45" s="1"/>
  <c r="AU116" i="45"/>
  <c r="AU115" i="45"/>
  <c r="AU114" i="45"/>
  <c r="AU113" i="45"/>
  <c r="AU112" i="45"/>
  <c r="AS116" i="45"/>
  <c r="AR116" i="45"/>
  <c r="AP116" i="45"/>
  <c r="AP114" i="45"/>
  <c r="AP113" i="45"/>
  <c r="AP112" i="45"/>
  <c r="AN116" i="45"/>
  <c r="AN115" i="45"/>
  <c r="AN114" i="45"/>
  <c r="AN113" i="45"/>
  <c r="AN112" i="45"/>
  <c r="U116" i="45"/>
  <c r="U114" i="45"/>
  <c r="U113" i="45"/>
  <c r="U112" i="45"/>
  <c r="Q116" i="45"/>
  <c r="R116" i="45" s="1"/>
  <c r="I116" i="45"/>
  <c r="I115" i="45"/>
  <c r="I114" i="45"/>
  <c r="I113" i="45"/>
  <c r="I112" i="45"/>
  <c r="F116" i="45"/>
  <c r="F115" i="45"/>
  <c r="F114" i="45"/>
  <c r="F113" i="45"/>
  <c r="F112" i="45"/>
  <c r="C116" i="45"/>
  <c r="C115" i="45"/>
  <c r="C114" i="45"/>
  <c r="C113" i="45"/>
  <c r="C112" i="45"/>
  <c r="BE115" i="45"/>
  <c r="BD115" i="45"/>
  <c r="BC115" i="45"/>
  <c r="AT115" i="45"/>
  <c r="AS115" i="45"/>
  <c r="AO115" i="45"/>
  <c r="T115" i="45"/>
  <c r="U115" i="45" s="1"/>
  <c r="R115" i="45"/>
  <c r="R114" i="45"/>
  <c r="R113" i="45"/>
  <c r="R112" i="45"/>
  <c r="H115" i="45"/>
  <c r="BF115" i="45" s="1"/>
  <c r="B115" i="45"/>
  <c r="B114" i="45"/>
  <c r="B113" i="45"/>
  <c r="B112" i="45"/>
  <c r="AS114" i="45"/>
  <c r="AS113" i="45"/>
  <c r="AS112" i="45"/>
  <c r="BQ116" i="45"/>
  <c r="BP116" i="45"/>
  <c r="BO116" i="45"/>
  <c r="BQ114" i="45"/>
  <c r="BP114" i="45"/>
  <c r="BO114" i="45"/>
  <c r="BP113" i="45"/>
  <c r="BO113" i="45"/>
  <c r="BQ112" i="45"/>
  <c r="BP112" i="45"/>
  <c r="BO112" i="45"/>
  <c r="BL116" i="45"/>
  <c r="BK116" i="45"/>
  <c r="BJ116" i="45"/>
  <c r="BK115" i="45"/>
  <c r="BK114" i="45"/>
  <c r="BC114" i="45"/>
  <c r="BG114" i="45" s="1"/>
  <c r="BC113" i="45"/>
  <c r="BC112" i="45"/>
  <c r="BG112" i="45" s="1"/>
  <c r="AZ115" i="45"/>
  <c r="AY115" i="45"/>
  <c r="BL115" i="45" s="1"/>
  <c r="AW115" i="45"/>
  <c r="AX115" i="45" s="1"/>
  <c r="AZ114" i="45"/>
  <c r="AY114" i="45"/>
  <c r="BL114" i="45" s="1"/>
  <c r="AW114" i="45"/>
  <c r="AX114" i="45" s="1"/>
  <c r="AZ113" i="45"/>
  <c r="AY113" i="45"/>
  <c r="BA113" i="45" s="1"/>
  <c r="AW113" i="45"/>
  <c r="AX113" i="45" s="1"/>
  <c r="AZ112" i="45"/>
  <c r="AY112" i="45"/>
  <c r="BA119" i="45" s="1"/>
  <c r="AW112" i="45"/>
  <c r="AX112" i="45" s="1"/>
  <c r="AE112" i="45"/>
  <c r="AD112" i="45"/>
  <c r="X112" i="45"/>
  <c r="S112" i="45"/>
  <c r="BX109" i="45"/>
  <c r="BF109" i="45"/>
  <c r="BH109" i="45" s="1"/>
  <c r="BF107" i="45"/>
  <c r="BF106" i="45"/>
  <c r="BH106" i="45" s="1"/>
  <c r="BF105" i="45"/>
  <c r="BH105" i="45" s="1"/>
  <c r="AY109" i="45"/>
  <c r="BA109" i="45" s="1"/>
  <c r="AW109" i="45"/>
  <c r="AU109" i="45"/>
  <c r="AU107" i="45"/>
  <c r="AU106" i="45"/>
  <c r="AU105" i="45"/>
  <c r="AS109" i="45"/>
  <c r="AS108" i="45"/>
  <c r="AS107" i="45"/>
  <c r="AP109" i="45"/>
  <c r="AP108" i="45"/>
  <c r="AP107" i="45"/>
  <c r="AP106" i="45"/>
  <c r="AP105" i="45"/>
  <c r="AN108" i="45"/>
  <c r="AN107" i="45"/>
  <c r="AN106" i="45"/>
  <c r="AN105" i="45"/>
  <c r="U109" i="45"/>
  <c r="U107" i="45"/>
  <c r="U106" i="45"/>
  <c r="U105" i="45"/>
  <c r="R108" i="45"/>
  <c r="R107" i="45"/>
  <c r="R106" i="45"/>
  <c r="R105" i="45"/>
  <c r="I109" i="45"/>
  <c r="I107" i="45"/>
  <c r="I106" i="45"/>
  <c r="I105" i="45"/>
  <c r="F108" i="45"/>
  <c r="F107" i="45"/>
  <c r="F106" i="45"/>
  <c r="F105" i="45"/>
  <c r="C109" i="45"/>
  <c r="C108" i="45"/>
  <c r="C107" i="45"/>
  <c r="C106" i="45"/>
  <c r="C105" i="45"/>
  <c r="BE108" i="45"/>
  <c r="AT108" i="45"/>
  <c r="AU108" i="45" s="1"/>
  <c r="AO108" i="45"/>
  <c r="T108" i="45"/>
  <c r="U108" i="45" s="1"/>
  <c r="H108" i="45"/>
  <c r="I108" i="45" s="1"/>
  <c r="B108" i="45"/>
  <c r="B107" i="45"/>
  <c r="B106" i="45"/>
  <c r="B105" i="45"/>
  <c r="BR109" i="45"/>
  <c r="BO109" i="45"/>
  <c r="BR107" i="45"/>
  <c r="BQ107" i="45"/>
  <c r="BP107" i="45"/>
  <c r="BO107" i="45"/>
  <c r="BR106" i="45"/>
  <c r="BP106" i="45"/>
  <c r="BO106" i="45"/>
  <c r="BR105" i="45"/>
  <c r="BO105" i="45"/>
  <c r="BM109" i="45"/>
  <c r="BJ109" i="45"/>
  <c r="BD107" i="45"/>
  <c r="BC107" i="45"/>
  <c r="BG107" i="45" s="1"/>
  <c r="BC106" i="45"/>
  <c r="BG106" i="45" s="1"/>
  <c r="BD105" i="45"/>
  <c r="BC105" i="45"/>
  <c r="AY108" i="45"/>
  <c r="BK108" i="45" s="1"/>
  <c r="AW108" i="45"/>
  <c r="AY107" i="45"/>
  <c r="BK107" i="45" s="1"/>
  <c r="AW107" i="45"/>
  <c r="AY106" i="45"/>
  <c r="BK106" i="45" s="1"/>
  <c r="AW106" i="45"/>
  <c r="AY105" i="45"/>
  <c r="BA105" i="45" s="1"/>
  <c r="AW105" i="45"/>
  <c r="BX102" i="45"/>
  <c r="BF102" i="45"/>
  <c r="BH102" i="45" s="1"/>
  <c r="BF100" i="45"/>
  <c r="BR100" i="45" s="1"/>
  <c r="BF99" i="45"/>
  <c r="BF98" i="45"/>
  <c r="BH98" i="45" s="1"/>
  <c r="BC102" i="45"/>
  <c r="AU102" i="45"/>
  <c r="AU101" i="45"/>
  <c r="AU100" i="45"/>
  <c r="AR102" i="45"/>
  <c r="AP101" i="45"/>
  <c r="AP100" i="45"/>
  <c r="AP99" i="45"/>
  <c r="AP98" i="45"/>
  <c r="AM102" i="45"/>
  <c r="AP102" i="45" s="1"/>
  <c r="U100" i="45"/>
  <c r="U99" i="45"/>
  <c r="U98" i="45"/>
  <c r="Q102" i="45"/>
  <c r="R102" i="45" s="1"/>
  <c r="I102" i="45"/>
  <c r="I100" i="45"/>
  <c r="I99" i="45"/>
  <c r="I98" i="45"/>
  <c r="E102" i="45"/>
  <c r="F109" i="45" s="1"/>
  <c r="C102" i="45"/>
  <c r="C101" i="45"/>
  <c r="C100" i="45"/>
  <c r="C99" i="45"/>
  <c r="C98" i="45"/>
  <c r="BE101" i="45"/>
  <c r="BC101" i="45"/>
  <c r="BD101" i="45" s="1"/>
  <c r="AY102" i="45"/>
  <c r="AW102" i="45"/>
  <c r="AY101" i="45"/>
  <c r="BA101" i="45" s="1"/>
  <c r="AX101" i="45"/>
  <c r="AW101" i="45"/>
  <c r="AX108" i="45" s="1"/>
  <c r="AT101" i="45"/>
  <c r="AO101" i="45"/>
  <c r="AN101" i="45"/>
  <c r="T101" i="45"/>
  <c r="U101" i="45" s="1"/>
  <c r="R101" i="45"/>
  <c r="R100" i="45"/>
  <c r="R99" i="45"/>
  <c r="R98" i="45"/>
  <c r="H101" i="45"/>
  <c r="I101" i="45" s="1"/>
  <c r="F101" i="45"/>
  <c r="F100" i="45"/>
  <c r="F99" i="45"/>
  <c r="F98" i="45"/>
  <c r="B101" i="45"/>
  <c r="B100" i="45"/>
  <c r="B99" i="45"/>
  <c r="B98" i="45"/>
  <c r="AN100" i="45"/>
  <c r="AN99" i="45"/>
  <c r="AN98" i="45"/>
  <c r="BQ102" i="45"/>
  <c r="BP102" i="45"/>
  <c r="BO102" i="45"/>
  <c r="BQ100" i="45"/>
  <c r="BP100" i="45"/>
  <c r="BO100" i="45"/>
  <c r="BR99" i="45"/>
  <c r="BQ99" i="45"/>
  <c r="BP99" i="45"/>
  <c r="BO99" i="45"/>
  <c r="BQ98" i="45"/>
  <c r="BP98" i="45"/>
  <c r="BO98" i="45"/>
  <c r="BK102" i="45"/>
  <c r="BJ102" i="45"/>
  <c r="BL101" i="45"/>
  <c r="BK101" i="45"/>
  <c r="BJ101" i="45"/>
  <c r="BK100" i="45"/>
  <c r="BK99" i="45"/>
  <c r="BK98" i="45"/>
  <c r="BC100" i="45"/>
  <c r="BG100" i="45" s="1"/>
  <c r="BC99" i="45"/>
  <c r="BG99" i="45" s="1"/>
  <c r="BC98" i="45"/>
  <c r="BG98" i="45" s="1"/>
  <c r="AZ100" i="45"/>
  <c r="AY100" i="45"/>
  <c r="BL100" i="45" s="1"/>
  <c r="AW100" i="45"/>
  <c r="AX107" i="45" s="1"/>
  <c r="AZ99" i="45"/>
  <c r="AY99" i="45"/>
  <c r="BL99" i="45" s="1"/>
  <c r="AW99" i="45"/>
  <c r="AX106" i="45" s="1"/>
  <c r="AZ98" i="45"/>
  <c r="AY98" i="45"/>
  <c r="BL98" i="45" s="1"/>
  <c r="AW98" i="45"/>
  <c r="AX105" i="45" s="1"/>
  <c r="BF95" i="45"/>
  <c r="BF93" i="45"/>
  <c r="BH93" i="45" s="1"/>
  <c r="BF92" i="45"/>
  <c r="BP92" i="45" s="1"/>
  <c r="BF91" i="45"/>
  <c r="AW95" i="45"/>
  <c r="AP95" i="45"/>
  <c r="AP93" i="45"/>
  <c r="AP92" i="45"/>
  <c r="AP91" i="45"/>
  <c r="AM95" i="45"/>
  <c r="AN102" i="45" s="1"/>
  <c r="U95" i="45"/>
  <c r="U93" i="45"/>
  <c r="U92" i="45"/>
  <c r="U91" i="45"/>
  <c r="Q95" i="45"/>
  <c r="I94" i="45"/>
  <c r="I93" i="45"/>
  <c r="I92" i="45"/>
  <c r="I91" i="45"/>
  <c r="F95" i="45"/>
  <c r="E95" i="45"/>
  <c r="I95" i="45" s="1"/>
  <c r="C95" i="45"/>
  <c r="C94" i="45"/>
  <c r="C93" i="45"/>
  <c r="C92" i="45"/>
  <c r="C91" i="45"/>
  <c r="BE94" i="45"/>
  <c r="BD94" i="45"/>
  <c r="BC94" i="45"/>
  <c r="AO94" i="45"/>
  <c r="AP94" i="45" s="1"/>
  <c r="AN94" i="45"/>
  <c r="T94" i="45"/>
  <c r="R94" i="45"/>
  <c r="R93" i="45"/>
  <c r="R92" i="45"/>
  <c r="R91" i="45"/>
  <c r="H94" i="45"/>
  <c r="BF94" i="45" s="1"/>
  <c r="F94" i="45"/>
  <c r="F93" i="45"/>
  <c r="F92" i="45"/>
  <c r="F91" i="45"/>
  <c r="B94" i="45"/>
  <c r="B93" i="45"/>
  <c r="B92" i="45"/>
  <c r="B91" i="45"/>
  <c r="AN93" i="45"/>
  <c r="AN92" i="45"/>
  <c r="AN91" i="45"/>
  <c r="BR95" i="45"/>
  <c r="BQ95" i="45"/>
  <c r="BP95" i="45"/>
  <c r="BO95" i="45"/>
  <c r="BR93" i="45"/>
  <c r="BO93" i="45"/>
  <c r="BR92" i="45"/>
  <c r="BO92" i="45"/>
  <c r="BR91" i="45"/>
  <c r="BQ91" i="45"/>
  <c r="BP91" i="45"/>
  <c r="BO91" i="45"/>
  <c r="BD93" i="45"/>
  <c r="BC93" i="45"/>
  <c r="BC92" i="45"/>
  <c r="BG92" i="45" s="1"/>
  <c r="BC91" i="45"/>
  <c r="BG91" i="45" s="1"/>
  <c r="AY94" i="45"/>
  <c r="BK94" i="45" s="1"/>
  <c r="AW94" i="45"/>
  <c r="AY93" i="45"/>
  <c r="BA93" i="45" s="1"/>
  <c r="AW93" i="45"/>
  <c r="AY92" i="45"/>
  <c r="BK92" i="45" s="1"/>
  <c r="AW92" i="45"/>
  <c r="AY91" i="45"/>
  <c r="BK91" i="45" s="1"/>
  <c r="AW91" i="45"/>
  <c r="BH84" i="45"/>
  <c r="BF88" i="45"/>
  <c r="BR88" i="45" s="1"/>
  <c r="BF86" i="45"/>
  <c r="BH86" i="45" s="1"/>
  <c r="BF85" i="45"/>
  <c r="BH85" i="45" s="1"/>
  <c r="BF84" i="45"/>
  <c r="BR84" i="45" s="1"/>
  <c r="BA84" i="45"/>
  <c r="AP88" i="45"/>
  <c r="AP86" i="45"/>
  <c r="AP85" i="45"/>
  <c r="AP84" i="45"/>
  <c r="AN88" i="45"/>
  <c r="AM88" i="45"/>
  <c r="U87" i="45"/>
  <c r="U86" i="45"/>
  <c r="U85" i="45"/>
  <c r="U84" i="45"/>
  <c r="R88" i="45"/>
  <c r="Q88" i="45"/>
  <c r="U88" i="45" s="1"/>
  <c r="I88" i="45"/>
  <c r="I86" i="45"/>
  <c r="I85" i="45"/>
  <c r="I84" i="45"/>
  <c r="F88" i="45"/>
  <c r="F86" i="45"/>
  <c r="F85" i="45"/>
  <c r="F84" i="45"/>
  <c r="C88" i="45"/>
  <c r="C87" i="45"/>
  <c r="C86" i="45"/>
  <c r="C85" i="45"/>
  <c r="C84" i="45"/>
  <c r="BE87" i="45"/>
  <c r="AO87" i="45"/>
  <c r="AP87" i="45" s="1"/>
  <c r="T87" i="45"/>
  <c r="R86" i="45"/>
  <c r="R85" i="45"/>
  <c r="R84" i="45"/>
  <c r="H87" i="45"/>
  <c r="I87" i="45" s="1"/>
  <c r="B87" i="45"/>
  <c r="B86" i="45"/>
  <c r="B85" i="45"/>
  <c r="B84" i="45"/>
  <c r="AN86" i="45"/>
  <c r="AN85" i="45"/>
  <c r="AN84" i="45"/>
  <c r="BQ88" i="45"/>
  <c r="BP88" i="45"/>
  <c r="BR86" i="45"/>
  <c r="BQ86" i="45"/>
  <c r="BP86" i="45"/>
  <c r="BQ85" i="45"/>
  <c r="BP85" i="45"/>
  <c r="BQ84" i="45"/>
  <c r="BP84" i="45"/>
  <c r="BM87" i="45"/>
  <c r="BL87" i="45"/>
  <c r="BK87" i="45"/>
  <c r="BM86" i="45"/>
  <c r="BL86" i="45"/>
  <c r="BK86" i="45"/>
  <c r="BM85" i="45"/>
  <c r="BL85" i="45"/>
  <c r="BK85" i="45"/>
  <c r="BM84" i="45"/>
  <c r="BL84" i="45"/>
  <c r="BK84" i="45"/>
  <c r="BC86" i="45"/>
  <c r="BC85" i="45"/>
  <c r="BC84" i="45"/>
  <c r="AY87" i="45"/>
  <c r="BJ87" i="45" s="1"/>
  <c r="AW87" i="45"/>
  <c r="AY86" i="45"/>
  <c r="AW86" i="45"/>
  <c r="AY85" i="45"/>
  <c r="BJ85" i="45" s="1"/>
  <c r="AW85" i="45"/>
  <c r="AY84" i="45"/>
  <c r="BJ84" i="45" s="1"/>
  <c r="AW84" i="45"/>
  <c r="AZ84" i="45" s="1"/>
  <c r="BL81" i="45"/>
  <c r="BK81" i="45"/>
  <c r="BJ81" i="45"/>
  <c r="BF81" i="45"/>
  <c r="BH81" i="45" s="1"/>
  <c r="BF79" i="45"/>
  <c r="BH79" i="45" s="1"/>
  <c r="BF78" i="45"/>
  <c r="BF77" i="45"/>
  <c r="BH77" i="45" s="1"/>
  <c r="AP81" i="45"/>
  <c r="AP79" i="45"/>
  <c r="AP78" i="45"/>
  <c r="AP77" i="45"/>
  <c r="AN81" i="45"/>
  <c r="AN79" i="45"/>
  <c r="AN78" i="45"/>
  <c r="AN77" i="45"/>
  <c r="U81" i="45"/>
  <c r="U80" i="45"/>
  <c r="U79" i="45"/>
  <c r="U78" i="45"/>
  <c r="U77" i="45"/>
  <c r="R81" i="45"/>
  <c r="R79" i="45"/>
  <c r="R78" i="45"/>
  <c r="R77" i="45"/>
  <c r="I81" i="45"/>
  <c r="I79" i="45"/>
  <c r="I78" i="45"/>
  <c r="I77" i="45"/>
  <c r="F81" i="45"/>
  <c r="F79" i="45"/>
  <c r="F78" i="45"/>
  <c r="F77" i="45"/>
  <c r="C81" i="45"/>
  <c r="C80" i="45"/>
  <c r="C79" i="45"/>
  <c r="C78" i="45"/>
  <c r="C77" i="45"/>
  <c r="BE80" i="45"/>
  <c r="AO80" i="45"/>
  <c r="AM80" i="45"/>
  <c r="AN87" i="45" s="1"/>
  <c r="T80" i="45"/>
  <c r="Q80" i="45"/>
  <c r="R87" i="45" s="1"/>
  <c r="H80" i="45"/>
  <c r="E80" i="45"/>
  <c r="B80" i="45"/>
  <c r="B79" i="45"/>
  <c r="B78" i="45"/>
  <c r="B77" i="45"/>
  <c r="BC79" i="45"/>
  <c r="BD79" i="45" s="1"/>
  <c r="BC78" i="45"/>
  <c r="BG78" i="45" s="1"/>
  <c r="BC77" i="45"/>
  <c r="BG77" i="45" s="1"/>
  <c r="BA81" i="45"/>
  <c r="AY81" i="45"/>
  <c r="BM81" i="45" s="1"/>
  <c r="AW81" i="45"/>
  <c r="AX81" i="45" s="1"/>
  <c r="AW80" i="45"/>
  <c r="AY79" i="45"/>
  <c r="AX79" i="45"/>
  <c r="AW79" i="45"/>
  <c r="AY78" i="45"/>
  <c r="BH78" i="45" s="1"/>
  <c r="AW78" i="45"/>
  <c r="BA77" i="45"/>
  <c r="AZ77" i="45"/>
  <c r="AY77" i="45"/>
  <c r="AW77" i="45"/>
  <c r="BL74" i="45"/>
  <c r="BK74" i="45"/>
  <c r="BJ74" i="45"/>
  <c r="BH71" i="45"/>
  <c r="BF74" i="45"/>
  <c r="BH74" i="45" s="1"/>
  <c r="BF72" i="45"/>
  <c r="BH72" i="45" s="1"/>
  <c r="BF71" i="45"/>
  <c r="BF70" i="45"/>
  <c r="BH70" i="45" s="1"/>
  <c r="AP74" i="45"/>
  <c r="AP72" i="45"/>
  <c r="AP71" i="45"/>
  <c r="AP70" i="45"/>
  <c r="AN73" i="45"/>
  <c r="AN72" i="45"/>
  <c r="AN71" i="45"/>
  <c r="AN70" i="45"/>
  <c r="U74" i="45"/>
  <c r="U72" i="45"/>
  <c r="U71" i="45"/>
  <c r="U70" i="45"/>
  <c r="R74" i="45"/>
  <c r="R72" i="45"/>
  <c r="R71" i="45"/>
  <c r="R70" i="45"/>
  <c r="I74" i="45"/>
  <c r="I72" i="45"/>
  <c r="I71" i="45"/>
  <c r="I70" i="45"/>
  <c r="F72" i="45"/>
  <c r="F71" i="45"/>
  <c r="F70" i="45"/>
  <c r="C74" i="45"/>
  <c r="C73" i="45"/>
  <c r="C72" i="45"/>
  <c r="C71" i="45"/>
  <c r="C70" i="45"/>
  <c r="BE73" i="45"/>
  <c r="AO73" i="45"/>
  <c r="AP73" i="45" s="1"/>
  <c r="AM73" i="45"/>
  <c r="T73" i="45"/>
  <c r="Q73" i="45"/>
  <c r="R73" i="45" s="1"/>
  <c r="H73" i="45"/>
  <c r="BF73" i="45" s="1"/>
  <c r="BH73" i="45" s="1"/>
  <c r="E73" i="45"/>
  <c r="F73" i="45" s="1"/>
  <c r="B73" i="45"/>
  <c r="B72" i="45"/>
  <c r="B71" i="45"/>
  <c r="B70" i="45"/>
  <c r="BC72" i="45"/>
  <c r="BC71" i="45"/>
  <c r="BG71" i="45" s="1"/>
  <c r="BC70" i="45"/>
  <c r="AZ74" i="45"/>
  <c r="AY74" i="45"/>
  <c r="BM74" i="45" s="1"/>
  <c r="AW74" i="45"/>
  <c r="AY73" i="45"/>
  <c r="BA73" i="45" s="1"/>
  <c r="AW73" i="45"/>
  <c r="AX73" i="45" s="1"/>
  <c r="AY72" i="45"/>
  <c r="AX72" i="45"/>
  <c r="AW72" i="45"/>
  <c r="BA71" i="45"/>
  <c r="AZ71" i="45"/>
  <c r="AY71" i="45"/>
  <c r="AW71" i="45"/>
  <c r="AZ70" i="45"/>
  <c r="AY70" i="45"/>
  <c r="AW70" i="45"/>
  <c r="AX70" i="45" s="1"/>
  <c r="BH64" i="45"/>
  <c r="BF67" i="45"/>
  <c r="BF66" i="45"/>
  <c r="BH66" i="45" s="1"/>
  <c r="BF65" i="45"/>
  <c r="BH65" i="45" s="1"/>
  <c r="BF64" i="45"/>
  <c r="BF63" i="45"/>
  <c r="AW67" i="45"/>
  <c r="AW66" i="45"/>
  <c r="AW65" i="45"/>
  <c r="AW64" i="45"/>
  <c r="AW63" i="45"/>
  <c r="AP66" i="45"/>
  <c r="AP65" i="45"/>
  <c r="AP64" i="45"/>
  <c r="AP63" i="45"/>
  <c r="AM67" i="45"/>
  <c r="AN74" i="45" s="1"/>
  <c r="AO72" i="40" s="1"/>
  <c r="U67" i="45"/>
  <c r="U66" i="45"/>
  <c r="U65" i="45"/>
  <c r="U64" i="45"/>
  <c r="U63" i="45"/>
  <c r="Q67" i="45"/>
  <c r="I66" i="45"/>
  <c r="I65" i="45"/>
  <c r="I64" i="45"/>
  <c r="I63" i="45"/>
  <c r="E67" i="45"/>
  <c r="I67" i="45" s="1"/>
  <c r="C67" i="45"/>
  <c r="C66" i="45"/>
  <c r="C65" i="45"/>
  <c r="C64" i="45"/>
  <c r="C63" i="45"/>
  <c r="AN66" i="45"/>
  <c r="AN65" i="45"/>
  <c r="AN64" i="45"/>
  <c r="AN63" i="45"/>
  <c r="R66" i="45"/>
  <c r="R65" i="45"/>
  <c r="R64" i="45"/>
  <c r="R63" i="45"/>
  <c r="F66" i="45"/>
  <c r="F65" i="45"/>
  <c r="F64" i="45"/>
  <c r="F63" i="45"/>
  <c r="B66" i="45"/>
  <c r="B65" i="45"/>
  <c r="B64" i="45"/>
  <c r="B63" i="45"/>
  <c r="BC66" i="45"/>
  <c r="BD66" i="45" s="1"/>
  <c r="BC65" i="45"/>
  <c r="BD65" i="45" s="1"/>
  <c r="BC63" i="45"/>
  <c r="BD63" i="45" s="1"/>
  <c r="BA66" i="45"/>
  <c r="AZ66" i="45"/>
  <c r="AY66" i="45"/>
  <c r="AY65" i="45"/>
  <c r="AZ65" i="45" s="1"/>
  <c r="AZ64" i="45"/>
  <c r="AY64" i="45"/>
  <c r="AY63" i="45"/>
  <c r="BA63" i="45" s="1"/>
  <c r="BF60" i="45"/>
  <c r="BF59" i="45"/>
  <c r="BF58" i="45"/>
  <c r="BH58" i="45" s="1"/>
  <c r="BF57" i="45"/>
  <c r="BH57" i="45" s="1"/>
  <c r="BF56" i="45"/>
  <c r="BH56" i="45" s="1"/>
  <c r="BC59" i="45"/>
  <c r="BC58" i="45"/>
  <c r="BC57" i="45"/>
  <c r="AW60" i="45"/>
  <c r="AW59" i="45"/>
  <c r="AW58" i="45"/>
  <c r="AW57" i="45"/>
  <c r="AW56" i="45"/>
  <c r="AZ56" i="45" s="1"/>
  <c r="AM60" i="45"/>
  <c r="U59" i="45"/>
  <c r="U58" i="45"/>
  <c r="U57" i="45"/>
  <c r="U56" i="45"/>
  <c r="Q60" i="45"/>
  <c r="I60" i="45"/>
  <c r="I59" i="45"/>
  <c r="I58" i="45"/>
  <c r="I57" i="45"/>
  <c r="I56" i="45"/>
  <c r="E60" i="45"/>
  <c r="F60" i="45" s="1"/>
  <c r="C60" i="45"/>
  <c r="C59" i="45"/>
  <c r="C58" i="45"/>
  <c r="C57" i="45"/>
  <c r="C56" i="45"/>
  <c r="AN59" i="45"/>
  <c r="AN58" i="45"/>
  <c r="AN57" i="45"/>
  <c r="AN56" i="45"/>
  <c r="R59" i="45"/>
  <c r="R58" i="45"/>
  <c r="R57" i="45"/>
  <c r="R56" i="45"/>
  <c r="F59" i="45"/>
  <c r="F58" i="45"/>
  <c r="F57" i="45"/>
  <c r="F56" i="45"/>
  <c r="B59" i="45"/>
  <c r="B58" i="45"/>
  <c r="B57" i="45"/>
  <c r="B56" i="45"/>
  <c r="BA59" i="45"/>
  <c r="AZ59" i="45"/>
  <c r="AY59" i="45"/>
  <c r="AY58" i="45"/>
  <c r="BA58" i="45" s="1"/>
  <c r="AY57" i="45"/>
  <c r="AZ57" i="45" s="1"/>
  <c r="BA56" i="45"/>
  <c r="AY56" i="45"/>
  <c r="BH49" i="45"/>
  <c r="BE53" i="45"/>
  <c r="BC52" i="45"/>
  <c r="BC51" i="45"/>
  <c r="BC50" i="45"/>
  <c r="BC49" i="45"/>
  <c r="AW53" i="45"/>
  <c r="AW52" i="45"/>
  <c r="AW51" i="45"/>
  <c r="AW50" i="45"/>
  <c r="AZ50" i="45" s="1"/>
  <c r="AW49" i="45"/>
  <c r="AZ49" i="45" s="1"/>
  <c r="AM53" i="45"/>
  <c r="T53" i="45"/>
  <c r="U53" i="45" s="1"/>
  <c r="Q53" i="45"/>
  <c r="I52" i="45"/>
  <c r="I51" i="45"/>
  <c r="I50" i="45"/>
  <c r="I49" i="45"/>
  <c r="E53" i="45"/>
  <c r="AY53" i="45" s="1"/>
  <c r="C53" i="45"/>
  <c r="C52" i="45"/>
  <c r="C51" i="45"/>
  <c r="C50" i="45"/>
  <c r="C49" i="45"/>
  <c r="BF52" i="45"/>
  <c r="BH52" i="45" s="1"/>
  <c r="BF51" i="45"/>
  <c r="BH51" i="45" s="1"/>
  <c r="BF50" i="45"/>
  <c r="BH50" i="45" s="1"/>
  <c r="BF49" i="45"/>
  <c r="U52" i="45"/>
  <c r="U51" i="45"/>
  <c r="U50" i="45"/>
  <c r="U49" i="45"/>
  <c r="F52" i="45"/>
  <c r="F51" i="45"/>
  <c r="F50" i="45"/>
  <c r="F49" i="45"/>
  <c r="B52" i="45"/>
  <c r="B51" i="45"/>
  <c r="B50" i="45"/>
  <c r="B49" i="45"/>
  <c r="AN51" i="45"/>
  <c r="AN50" i="45"/>
  <c r="AN49" i="45"/>
  <c r="R51" i="45"/>
  <c r="R50" i="45"/>
  <c r="R49" i="45"/>
  <c r="AZ52" i="45"/>
  <c r="AY52" i="45"/>
  <c r="AY51" i="45"/>
  <c r="BA51" i="45" s="1"/>
  <c r="AY50" i="45"/>
  <c r="BA50" i="45" s="1"/>
  <c r="BA49" i="45"/>
  <c r="AY49" i="45"/>
  <c r="BM46" i="45"/>
  <c r="BK46" i="45"/>
  <c r="BJ46" i="45"/>
  <c r="BH42" i="45"/>
  <c r="BE46" i="45"/>
  <c r="BF46" i="45" s="1"/>
  <c r="BH46" i="45" s="1"/>
  <c r="BC45" i="45"/>
  <c r="BC42" i="45"/>
  <c r="BA46" i="45"/>
  <c r="AY46" i="45"/>
  <c r="BL46" i="45" s="1"/>
  <c r="AY44" i="45"/>
  <c r="BH44" i="45" s="1"/>
  <c r="AY43" i="45"/>
  <c r="BH43" i="45" s="1"/>
  <c r="AY42" i="45"/>
  <c r="AW46" i="45"/>
  <c r="AW45" i="45"/>
  <c r="AW44" i="45"/>
  <c r="AW43" i="45"/>
  <c r="AW42" i="45"/>
  <c r="AN46" i="45"/>
  <c r="U46" i="45"/>
  <c r="R46" i="45"/>
  <c r="I46" i="45"/>
  <c r="C46" i="45"/>
  <c r="C45" i="45"/>
  <c r="C44" i="45"/>
  <c r="C43" i="45"/>
  <c r="C42" i="45"/>
  <c r="BF45" i="45"/>
  <c r="BF44" i="45"/>
  <c r="BF43" i="45"/>
  <c r="BF42" i="45"/>
  <c r="Q45" i="45"/>
  <c r="AY45" i="45" s="1"/>
  <c r="BA52" i="45" s="1"/>
  <c r="E45" i="45"/>
  <c r="B45" i="45"/>
  <c r="B44" i="45"/>
  <c r="B43" i="45"/>
  <c r="B42" i="45"/>
  <c r="AN44" i="45"/>
  <c r="BM39" i="45"/>
  <c r="BJ39" i="45"/>
  <c r="BF39" i="45"/>
  <c r="BE39" i="45"/>
  <c r="AY39" i="45"/>
  <c r="BK39" i="45" s="1"/>
  <c r="AN39" i="45"/>
  <c r="AN38" i="45"/>
  <c r="U39" i="45"/>
  <c r="R39" i="45"/>
  <c r="I39" i="45"/>
  <c r="F39" i="45"/>
  <c r="F38" i="45"/>
  <c r="C39" i="45"/>
  <c r="C38" i="45"/>
  <c r="C37" i="45"/>
  <c r="C36" i="45"/>
  <c r="C35" i="45"/>
  <c r="BF38" i="45"/>
  <c r="BF37" i="45"/>
  <c r="BF36" i="45"/>
  <c r="BF35" i="45"/>
  <c r="Q38" i="45"/>
  <c r="B38" i="45"/>
  <c r="B37" i="45"/>
  <c r="B36" i="45"/>
  <c r="B35" i="45"/>
  <c r="Q36" i="45"/>
  <c r="BF32" i="45"/>
  <c r="BF31" i="45"/>
  <c r="BF30" i="45"/>
  <c r="BF29" i="45"/>
  <c r="BF28" i="45"/>
  <c r="AY32" i="45"/>
  <c r="BJ32" i="45" s="1"/>
  <c r="AN32" i="45"/>
  <c r="AN31" i="45"/>
  <c r="U32" i="45"/>
  <c r="R32" i="45"/>
  <c r="I32" i="45"/>
  <c r="F32" i="45"/>
  <c r="C32" i="45"/>
  <c r="C31" i="45"/>
  <c r="C30" i="45"/>
  <c r="C29" i="45"/>
  <c r="C28" i="45"/>
  <c r="B31" i="45"/>
  <c r="B30" i="45"/>
  <c r="B29" i="45"/>
  <c r="B28" i="45"/>
  <c r="AM28" i="45"/>
  <c r="Q28" i="45"/>
  <c r="E28" i="45"/>
  <c r="BK25" i="45"/>
  <c r="BF25" i="45"/>
  <c r="BF24" i="45"/>
  <c r="BF23" i="45"/>
  <c r="BF22" i="45"/>
  <c r="BF21" i="45"/>
  <c r="AY25" i="45"/>
  <c r="BM25" i="45" s="1"/>
  <c r="AW25" i="45"/>
  <c r="AM25" i="45"/>
  <c r="AM24" i="45"/>
  <c r="U25" i="45"/>
  <c r="R25" i="45"/>
  <c r="E25" i="45"/>
  <c r="BJ25" i="45" s="1"/>
  <c r="E24" i="45"/>
  <c r="F31" i="45" s="1"/>
  <c r="C25" i="45"/>
  <c r="C24" i="45"/>
  <c r="C23" i="45"/>
  <c r="C22" i="45"/>
  <c r="C21" i="45"/>
  <c r="B24" i="45"/>
  <c r="B23" i="45"/>
  <c r="B22" i="45"/>
  <c r="B21" i="45"/>
  <c r="AM22" i="45"/>
  <c r="B20" i="45"/>
  <c r="B27" i="45" s="1"/>
  <c r="B34" i="45" s="1"/>
  <c r="B41" i="45" s="1"/>
  <c r="B48" i="45" s="1"/>
  <c r="B55" i="45" s="1"/>
  <c r="B62" i="45" s="1"/>
  <c r="B69" i="45" s="1"/>
  <c r="B76" i="45" s="1"/>
  <c r="B83" i="45" s="1"/>
  <c r="B90" i="45" s="1"/>
  <c r="B97" i="45" s="1"/>
  <c r="B104" i="45" s="1"/>
  <c r="B111" i="45" s="1"/>
  <c r="B118" i="45" s="1"/>
  <c r="B125" i="45" s="1"/>
  <c r="B132" i="45" s="1"/>
  <c r="B139" i="45" s="1"/>
  <c r="BL18" i="45"/>
  <c r="AY18" i="45"/>
  <c r="BJ18" i="45" s="1"/>
  <c r="AW18" i="45"/>
  <c r="BW8" i="45"/>
  <c r="BT8" i="45"/>
  <c r="BS8" i="45"/>
  <c r="BR8" i="45"/>
  <c r="BQ8" i="45"/>
  <c r="BP8" i="45"/>
  <c r="BO8" i="45"/>
  <c r="BG7" i="45"/>
  <c r="BN213" i="40"/>
  <c r="B212" i="40"/>
  <c r="B211" i="40"/>
  <c r="B210" i="40"/>
  <c r="B209" i="40"/>
  <c r="B208" i="40"/>
  <c r="A211" i="40"/>
  <c r="A210" i="40"/>
  <c r="A209" i="40"/>
  <c r="A208" i="40"/>
  <c r="BI211" i="40"/>
  <c r="BH211" i="40"/>
  <c r="BG211" i="40"/>
  <c r="BF211" i="40"/>
  <c r="BI210" i="40"/>
  <c r="BH210" i="40"/>
  <c r="BG210" i="40"/>
  <c r="BF210" i="40"/>
  <c r="BI209" i="40"/>
  <c r="BH209" i="40"/>
  <c r="BG209" i="40"/>
  <c r="BF209" i="40"/>
  <c r="BI208" i="40"/>
  <c r="BH208" i="40"/>
  <c r="BG208" i="40"/>
  <c r="BF208" i="40"/>
  <c r="AQ210" i="40"/>
  <c r="AQ209" i="40"/>
  <c r="AQ208" i="40"/>
  <c r="AY203" i="40"/>
  <c r="AY202" i="40"/>
  <c r="AY201" i="40"/>
  <c r="F203" i="40"/>
  <c r="F202" i="40"/>
  <c r="F201" i="40"/>
  <c r="B205" i="40"/>
  <c r="B204" i="40"/>
  <c r="B203" i="40"/>
  <c r="B202" i="40"/>
  <c r="B201" i="40"/>
  <c r="J203" i="40"/>
  <c r="L203" i="40" s="1"/>
  <c r="N203" i="40" s="1"/>
  <c r="J202" i="40"/>
  <c r="L202" i="40" s="1"/>
  <c r="N202" i="40" s="1"/>
  <c r="J201" i="40"/>
  <c r="L201" i="40" s="1"/>
  <c r="A204" i="40"/>
  <c r="A203" i="40"/>
  <c r="A202" i="40"/>
  <c r="A201" i="40"/>
  <c r="BF205" i="40"/>
  <c r="BI204" i="40"/>
  <c r="BH204" i="40"/>
  <c r="BG204" i="40"/>
  <c r="BF204" i="40"/>
  <c r="BI203" i="40"/>
  <c r="BH203" i="40"/>
  <c r="BG203" i="40"/>
  <c r="BF203" i="40"/>
  <c r="BI202" i="40"/>
  <c r="BH202" i="40"/>
  <c r="BG202" i="40"/>
  <c r="BF202" i="40"/>
  <c r="BI201" i="40"/>
  <c r="BH201" i="40"/>
  <c r="BG201" i="40"/>
  <c r="BF201" i="40"/>
  <c r="BD203" i="40"/>
  <c r="BC203" i="40"/>
  <c r="BB203" i="40"/>
  <c r="BA203" i="40"/>
  <c r="BK203" i="40" s="1"/>
  <c r="BL203" i="40" s="1"/>
  <c r="BD202" i="40"/>
  <c r="BC202" i="40"/>
  <c r="BB202" i="40"/>
  <c r="BA202" i="40"/>
  <c r="BD201" i="40"/>
  <c r="BC201" i="40"/>
  <c r="BB201" i="40"/>
  <c r="BA201" i="40"/>
  <c r="BK201" i="40" s="1"/>
  <c r="BL201" i="40" s="1"/>
  <c r="BN201" i="40" s="1"/>
  <c r="AQ204" i="40"/>
  <c r="AQ203" i="40"/>
  <c r="AR203" i="40" s="1"/>
  <c r="AQ202" i="40"/>
  <c r="AR209" i="40" s="1"/>
  <c r="AQ201" i="40"/>
  <c r="AR201" i="40" s="1"/>
  <c r="AY198" i="40"/>
  <c r="AY197" i="40"/>
  <c r="AY196" i="40"/>
  <c r="AY195" i="40"/>
  <c r="AY194" i="40"/>
  <c r="F197" i="40"/>
  <c r="F196" i="40"/>
  <c r="F195" i="40"/>
  <c r="F194" i="40"/>
  <c r="B198" i="40"/>
  <c r="B197" i="40"/>
  <c r="B196" i="40"/>
  <c r="B195" i="40"/>
  <c r="B194" i="40"/>
  <c r="J197" i="40"/>
  <c r="L197" i="40" s="1"/>
  <c r="N197" i="40" s="1"/>
  <c r="J196" i="40"/>
  <c r="L196" i="40" s="1"/>
  <c r="J195" i="40"/>
  <c r="L195" i="40" s="1"/>
  <c r="J194" i="40"/>
  <c r="A197" i="40"/>
  <c r="A196" i="40"/>
  <c r="A195" i="40"/>
  <c r="A194" i="40"/>
  <c r="BI198" i="40"/>
  <c r="BH198" i="40"/>
  <c r="BG198" i="40"/>
  <c r="BF198" i="40"/>
  <c r="BI197" i="40"/>
  <c r="BH197" i="40"/>
  <c r="BG197" i="40"/>
  <c r="BF197" i="40"/>
  <c r="BI196" i="40"/>
  <c r="BH196" i="40"/>
  <c r="BG196" i="40"/>
  <c r="BF196" i="40"/>
  <c r="BI195" i="40"/>
  <c r="BH195" i="40"/>
  <c r="BG195" i="40"/>
  <c r="BF195" i="40"/>
  <c r="BI194" i="40"/>
  <c r="BH194" i="40"/>
  <c r="BG194" i="40"/>
  <c r="BF194" i="40"/>
  <c r="BD197" i="40"/>
  <c r="BC197" i="40"/>
  <c r="BB197" i="40"/>
  <c r="BA197" i="40"/>
  <c r="BD196" i="40"/>
  <c r="BC196" i="40"/>
  <c r="BB196" i="40"/>
  <c r="BA196" i="40"/>
  <c r="BD195" i="40"/>
  <c r="BC195" i="40"/>
  <c r="BB195" i="40"/>
  <c r="BA195" i="40"/>
  <c r="BD194" i="40"/>
  <c r="BC194" i="40"/>
  <c r="BB194" i="40"/>
  <c r="BA194" i="40"/>
  <c r="AQ198" i="40"/>
  <c r="AQ197" i="40"/>
  <c r="AR197" i="40" s="1"/>
  <c r="AQ196" i="40"/>
  <c r="AQ195" i="40"/>
  <c r="AQ194" i="40"/>
  <c r="AY191" i="40"/>
  <c r="AY190" i="40"/>
  <c r="AY189" i="40"/>
  <c r="AY188" i="40"/>
  <c r="AY187" i="40"/>
  <c r="L190" i="40"/>
  <c r="F190" i="40"/>
  <c r="F189" i="40"/>
  <c r="F188" i="40"/>
  <c r="F187" i="40"/>
  <c r="B191" i="40"/>
  <c r="B190" i="40"/>
  <c r="B189" i="40"/>
  <c r="B188" i="40"/>
  <c r="B187" i="40"/>
  <c r="J190" i="40"/>
  <c r="L194" i="40" s="1"/>
  <c r="J189" i="40"/>
  <c r="J188" i="40"/>
  <c r="L188" i="40" s="1"/>
  <c r="N188" i="40" s="1"/>
  <c r="J187" i="40"/>
  <c r="A190" i="40"/>
  <c r="A189" i="40"/>
  <c r="A188" i="40"/>
  <c r="A187" i="40"/>
  <c r="BI191" i="40"/>
  <c r="BH191" i="40"/>
  <c r="BG191" i="40"/>
  <c r="BF191" i="40"/>
  <c r="BI190" i="40"/>
  <c r="BH190" i="40"/>
  <c r="BG190" i="40"/>
  <c r="BF190" i="40"/>
  <c r="BI189" i="40"/>
  <c r="BH189" i="40"/>
  <c r="BG189" i="40"/>
  <c r="BF189" i="40"/>
  <c r="BI188" i="40"/>
  <c r="BH188" i="40"/>
  <c r="BG188" i="40"/>
  <c r="BF188" i="40"/>
  <c r="BI187" i="40"/>
  <c r="BH187" i="40"/>
  <c r="BG187" i="40"/>
  <c r="BF187" i="40"/>
  <c r="BD190" i="40"/>
  <c r="BC190" i="40"/>
  <c r="BB190" i="40"/>
  <c r="BA190" i="40"/>
  <c r="BD189" i="40"/>
  <c r="BC189" i="40"/>
  <c r="BB189" i="40"/>
  <c r="BA189" i="40"/>
  <c r="BD188" i="40"/>
  <c r="BC188" i="40"/>
  <c r="BB188" i="40"/>
  <c r="BA188" i="40"/>
  <c r="BD187" i="40"/>
  <c r="BC187" i="40"/>
  <c r="BB187" i="40"/>
  <c r="BA187" i="40"/>
  <c r="AQ191" i="40"/>
  <c r="AR198" i="40" s="1"/>
  <c r="AQ190" i="40"/>
  <c r="AQ189" i="40"/>
  <c r="AR196" i="40" s="1"/>
  <c r="AQ188" i="40"/>
  <c r="AQ187" i="40"/>
  <c r="AR194" i="40" s="1"/>
  <c r="BN182" i="40"/>
  <c r="BN181" i="40"/>
  <c r="AY184" i="40"/>
  <c r="BN184" i="40" s="1"/>
  <c r="AY183" i="40"/>
  <c r="BN183" i="40" s="1"/>
  <c r="AY182" i="40"/>
  <c r="AY181" i="40"/>
  <c r="AY180" i="40"/>
  <c r="BN180" i="40" s="1"/>
  <c r="L181" i="40"/>
  <c r="F183" i="40"/>
  <c r="F182" i="40"/>
  <c r="F181" i="40"/>
  <c r="F180" i="40"/>
  <c r="B184" i="40"/>
  <c r="B183" i="40"/>
  <c r="B182" i="40"/>
  <c r="B181" i="40"/>
  <c r="B180" i="40"/>
  <c r="J183" i="40"/>
  <c r="J182" i="40"/>
  <c r="L182" i="40" s="1"/>
  <c r="J181" i="40"/>
  <c r="J180" i="40"/>
  <c r="A183" i="40"/>
  <c r="A182" i="40"/>
  <c r="A181" i="40"/>
  <c r="A180" i="40"/>
  <c r="BH184" i="40"/>
  <c r="BI183" i="40"/>
  <c r="BH183" i="40"/>
  <c r="BG183" i="40"/>
  <c r="BF183" i="40"/>
  <c r="BI182" i="40"/>
  <c r="BH182" i="40"/>
  <c r="BG182" i="40"/>
  <c r="BF182" i="40"/>
  <c r="BI181" i="40"/>
  <c r="BH181" i="40"/>
  <c r="BG181" i="40"/>
  <c r="BF181" i="40"/>
  <c r="BI180" i="40"/>
  <c r="BH180" i="40"/>
  <c r="BG180" i="40"/>
  <c r="BF180" i="40"/>
  <c r="BD184" i="40"/>
  <c r="BC184" i="40"/>
  <c r="BB184" i="40"/>
  <c r="BA184" i="40"/>
  <c r="BD183" i="40"/>
  <c r="BC183" i="40"/>
  <c r="BB183" i="40"/>
  <c r="BA183" i="40"/>
  <c r="BD182" i="40"/>
  <c r="BC182" i="40"/>
  <c r="BB182" i="40"/>
  <c r="BA182" i="40"/>
  <c r="BD181" i="40"/>
  <c r="BC181" i="40"/>
  <c r="BB181" i="40"/>
  <c r="BA181" i="40"/>
  <c r="BD180" i="40"/>
  <c r="BC180" i="40"/>
  <c r="BB180" i="40"/>
  <c r="BA180" i="40"/>
  <c r="AR184" i="40"/>
  <c r="AQ184" i="40"/>
  <c r="AQ183" i="40"/>
  <c r="AR190" i="40" s="1"/>
  <c r="AQ182" i="40"/>
  <c r="AQ181" i="40"/>
  <c r="AR188" i="40" s="1"/>
  <c r="AQ180" i="40"/>
  <c r="BN175" i="40"/>
  <c r="BN174" i="40"/>
  <c r="AY177" i="40"/>
  <c r="BN177" i="40" s="1"/>
  <c r="AY176" i="40"/>
  <c r="BN176" i="40" s="1"/>
  <c r="AY175" i="40"/>
  <c r="AY174" i="40"/>
  <c r="AY173" i="40"/>
  <c r="BN173" i="40" s="1"/>
  <c r="F176" i="40"/>
  <c r="F175" i="40"/>
  <c r="F174" i="40"/>
  <c r="F173" i="40"/>
  <c r="B177" i="40"/>
  <c r="B176" i="40"/>
  <c r="B175" i="40"/>
  <c r="B174" i="40"/>
  <c r="B173" i="40"/>
  <c r="J176" i="40"/>
  <c r="J175" i="40"/>
  <c r="L175" i="40" s="1"/>
  <c r="N175" i="40" s="1"/>
  <c r="J174" i="40"/>
  <c r="L174" i="40" s="1"/>
  <c r="J173" i="40"/>
  <c r="A176" i="40"/>
  <c r="A175" i="40"/>
  <c r="A174" i="40"/>
  <c r="A173" i="40"/>
  <c r="BI177" i="40"/>
  <c r="BH177" i="40"/>
  <c r="BG177" i="40"/>
  <c r="BI176" i="40"/>
  <c r="BH176" i="40"/>
  <c r="BG176" i="40"/>
  <c r="BF176" i="40"/>
  <c r="BI175" i="40"/>
  <c r="BH175" i="40"/>
  <c r="BG175" i="40"/>
  <c r="BF175" i="40"/>
  <c r="BI174" i="40"/>
  <c r="BH174" i="40"/>
  <c r="BG174" i="40"/>
  <c r="BF174" i="40"/>
  <c r="BI173" i="40"/>
  <c r="BH173" i="40"/>
  <c r="BG173" i="40"/>
  <c r="BF173" i="40"/>
  <c r="BD176" i="40"/>
  <c r="BC176" i="40"/>
  <c r="BB176" i="40"/>
  <c r="BK183" i="40" s="1"/>
  <c r="BA176" i="40"/>
  <c r="BD175" i="40"/>
  <c r="BC175" i="40"/>
  <c r="BB175" i="40"/>
  <c r="BA175" i="40"/>
  <c r="BD174" i="40"/>
  <c r="BC174" i="40"/>
  <c r="BB174" i="40"/>
  <c r="BA174" i="40"/>
  <c r="BD173" i="40"/>
  <c r="BC173" i="40"/>
  <c r="BB173" i="40"/>
  <c r="BA173" i="40"/>
  <c r="AQ177" i="40"/>
  <c r="AR177" i="40" s="1"/>
  <c r="AQ176" i="40"/>
  <c r="AR183" i="40" s="1"/>
  <c r="AR175" i="40"/>
  <c r="AQ175" i="40"/>
  <c r="AQ174" i="40"/>
  <c r="AR181" i="40" s="1"/>
  <c r="AR173" i="40"/>
  <c r="AQ173" i="40"/>
  <c r="BN166" i="40"/>
  <c r="AY170" i="40"/>
  <c r="BN170" i="40" s="1"/>
  <c r="AY169" i="40"/>
  <c r="BN169" i="40" s="1"/>
  <c r="AY168" i="40"/>
  <c r="BN168" i="40" s="1"/>
  <c r="AY167" i="40"/>
  <c r="BN167" i="40" s="1"/>
  <c r="AY166" i="40"/>
  <c r="L168" i="40"/>
  <c r="F169" i="40"/>
  <c r="F168" i="40"/>
  <c r="F167" i="40"/>
  <c r="F166" i="40"/>
  <c r="B170" i="40"/>
  <c r="B169" i="40"/>
  <c r="B168" i="40"/>
  <c r="B167" i="40"/>
  <c r="B166" i="40"/>
  <c r="J169" i="40"/>
  <c r="L169" i="40" s="1"/>
  <c r="N169" i="40" s="1"/>
  <c r="J168" i="40"/>
  <c r="J167" i="40"/>
  <c r="L167" i="40" s="1"/>
  <c r="N167" i="40" s="1"/>
  <c r="J166" i="40"/>
  <c r="L166" i="40" s="1"/>
  <c r="A169" i="40"/>
  <c r="A168" i="40"/>
  <c r="A167" i="40"/>
  <c r="A166" i="40"/>
  <c r="BI169" i="40"/>
  <c r="BH169" i="40"/>
  <c r="BG169" i="40"/>
  <c r="BF169" i="40"/>
  <c r="BI168" i="40"/>
  <c r="BH168" i="40"/>
  <c r="BG168" i="40"/>
  <c r="BF168" i="40"/>
  <c r="BI167" i="40"/>
  <c r="BH167" i="40"/>
  <c r="BG167" i="40"/>
  <c r="BF167" i="40"/>
  <c r="BI166" i="40"/>
  <c r="BH166" i="40"/>
  <c r="BG166" i="40"/>
  <c r="BF166" i="40"/>
  <c r="BD169" i="40"/>
  <c r="BC169" i="40"/>
  <c r="BB169" i="40"/>
  <c r="BA169" i="40"/>
  <c r="BD168" i="40"/>
  <c r="BC168" i="40"/>
  <c r="BB168" i="40"/>
  <c r="BA168" i="40"/>
  <c r="BD167" i="40"/>
  <c r="BC167" i="40"/>
  <c r="BB167" i="40"/>
  <c r="BA167" i="40"/>
  <c r="BD166" i="40"/>
  <c r="BC166" i="40"/>
  <c r="BB166" i="40"/>
  <c r="BA166" i="40"/>
  <c r="AQ170" i="40"/>
  <c r="AQ169" i="40"/>
  <c r="AR169" i="40" s="1"/>
  <c r="AQ168" i="40"/>
  <c r="AQ167" i="40"/>
  <c r="AQ166" i="40"/>
  <c r="F162" i="40"/>
  <c r="F161" i="40"/>
  <c r="F160" i="40"/>
  <c r="F159" i="40"/>
  <c r="B163" i="40"/>
  <c r="B162" i="40"/>
  <c r="B161" i="40"/>
  <c r="B160" i="40"/>
  <c r="B159" i="40"/>
  <c r="Y162" i="40"/>
  <c r="J162" i="40"/>
  <c r="L162" i="40" s="1"/>
  <c r="J161" i="40"/>
  <c r="L161" i="40" s="1"/>
  <c r="N161" i="40" s="1"/>
  <c r="J160" i="40"/>
  <c r="L160" i="40" s="1"/>
  <c r="J159" i="40"/>
  <c r="A162" i="40"/>
  <c r="A161" i="40"/>
  <c r="A160" i="40"/>
  <c r="A159" i="40"/>
  <c r="BI162" i="40"/>
  <c r="BH162" i="40"/>
  <c r="BG162" i="40"/>
  <c r="BF162" i="40"/>
  <c r="BI161" i="40"/>
  <c r="BH161" i="40"/>
  <c r="BG161" i="40"/>
  <c r="BF161" i="40"/>
  <c r="BI160" i="40"/>
  <c r="BH160" i="40"/>
  <c r="BG160" i="40"/>
  <c r="BF160" i="40"/>
  <c r="BI159" i="40"/>
  <c r="BH159" i="40"/>
  <c r="BG159" i="40"/>
  <c r="BF159" i="40"/>
  <c r="BD162" i="40"/>
  <c r="BC162" i="40"/>
  <c r="BB162" i="40"/>
  <c r="BA162" i="40"/>
  <c r="BK169" i="40" s="1"/>
  <c r="BD161" i="40"/>
  <c r="BC161" i="40"/>
  <c r="BB161" i="40"/>
  <c r="BA161" i="40"/>
  <c r="BD160" i="40"/>
  <c r="BC160" i="40"/>
  <c r="BB160" i="40"/>
  <c r="BA160" i="40"/>
  <c r="BD159" i="40"/>
  <c r="BC159" i="40"/>
  <c r="BB159" i="40"/>
  <c r="BA159" i="40"/>
  <c r="AW162" i="40"/>
  <c r="AV162" i="40"/>
  <c r="AU162" i="40"/>
  <c r="AW161" i="40"/>
  <c r="AV161" i="40"/>
  <c r="AU161" i="40"/>
  <c r="AW160" i="40"/>
  <c r="AV160" i="40"/>
  <c r="AU160" i="40"/>
  <c r="AV159" i="40"/>
  <c r="AV163" i="40" s="1"/>
  <c r="AQ162" i="40"/>
  <c r="AQ161" i="40"/>
  <c r="AQ160" i="40"/>
  <c r="AQ159" i="40"/>
  <c r="L155" i="40"/>
  <c r="L154" i="40"/>
  <c r="F155" i="40"/>
  <c r="F154" i="40"/>
  <c r="F153" i="40"/>
  <c r="F152" i="40"/>
  <c r="B156" i="40"/>
  <c r="B155" i="40"/>
  <c r="B154" i="40"/>
  <c r="B153" i="40"/>
  <c r="B152" i="40"/>
  <c r="Y155" i="40"/>
  <c r="J155" i="40"/>
  <c r="L159" i="40" s="1"/>
  <c r="J154" i="40"/>
  <c r="J153" i="40"/>
  <c r="J152" i="40"/>
  <c r="L152" i="40" s="1"/>
  <c r="A155" i="40"/>
  <c r="A154" i="40"/>
  <c r="A153" i="40"/>
  <c r="A152" i="40"/>
  <c r="AW154" i="40"/>
  <c r="AU154" i="40" s="1"/>
  <c r="AV154" i="40"/>
  <c r="AW153" i="40"/>
  <c r="AV153" i="40"/>
  <c r="BI155" i="40"/>
  <c r="BH155" i="40"/>
  <c r="BG155" i="40"/>
  <c r="BF155" i="40"/>
  <c r="BI154" i="40"/>
  <c r="BH154" i="40"/>
  <c r="BG154" i="40"/>
  <c r="BF154" i="40"/>
  <c r="BI153" i="40"/>
  <c r="BH153" i="40"/>
  <c r="BG153" i="40"/>
  <c r="BF153" i="40"/>
  <c r="BI152" i="40"/>
  <c r="BH152" i="40"/>
  <c r="BG152" i="40"/>
  <c r="BF152" i="40"/>
  <c r="BD154" i="40"/>
  <c r="BC154" i="40"/>
  <c r="BB154" i="40"/>
  <c r="BA154" i="40"/>
  <c r="BD153" i="40"/>
  <c r="BC153" i="40"/>
  <c r="BB153" i="40"/>
  <c r="BA153" i="40"/>
  <c r="AV152" i="40"/>
  <c r="AQ156" i="40"/>
  <c r="AQ155" i="40"/>
  <c r="R155" i="40" s="1"/>
  <c r="AQ154" i="40"/>
  <c r="AQ153" i="40"/>
  <c r="AR160" i="40" s="1"/>
  <c r="AQ152" i="40"/>
  <c r="F149" i="40"/>
  <c r="F148" i="40"/>
  <c r="F147" i="40"/>
  <c r="F146" i="40"/>
  <c r="F145" i="40"/>
  <c r="B149" i="40"/>
  <c r="B148" i="40"/>
  <c r="B147" i="40"/>
  <c r="B146" i="40"/>
  <c r="B145" i="40"/>
  <c r="Y148" i="40"/>
  <c r="J148" i="40"/>
  <c r="J147" i="40"/>
  <c r="L147" i="40" s="1"/>
  <c r="J146" i="40"/>
  <c r="L146" i="40" s="1"/>
  <c r="J145" i="40"/>
  <c r="A148" i="40"/>
  <c r="A147" i="40"/>
  <c r="A146" i="40"/>
  <c r="A145" i="40"/>
  <c r="AU146" i="40"/>
  <c r="BI149" i="40"/>
  <c r="BH149" i="40"/>
  <c r="BG149" i="40"/>
  <c r="BF149" i="40"/>
  <c r="BI148" i="40"/>
  <c r="BH148" i="40"/>
  <c r="BG148" i="40"/>
  <c r="BF148" i="40"/>
  <c r="BI147" i="40"/>
  <c r="BH147" i="40"/>
  <c r="BG147" i="40"/>
  <c r="BF147" i="40"/>
  <c r="BI146" i="40"/>
  <c r="BH146" i="40"/>
  <c r="BG146" i="40"/>
  <c r="BF146" i="40"/>
  <c r="BI145" i="40"/>
  <c r="BH145" i="40"/>
  <c r="BG145" i="40"/>
  <c r="BF145" i="40"/>
  <c r="BD148" i="40"/>
  <c r="BC148" i="40"/>
  <c r="BB148" i="40"/>
  <c r="BA148" i="40"/>
  <c r="BD147" i="40"/>
  <c r="BC147" i="40"/>
  <c r="BB147" i="40"/>
  <c r="BA147" i="40"/>
  <c r="BD146" i="40"/>
  <c r="BC146" i="40"/>
  <c r="BB146" i="40"/>
  <c r="BA146" i="40"/>
  <c r="BD145" i="40"/>
  <c r="BC145" i="40"/>
  <c r="BB145" i="40"/>
  <c r="BA145" i="40"/>
  <c r="AW148" i="40"/>
  <c r="AV148" i="40"/>
  <c r="AW147" i="40"/>
  <c r="AV147" i="40"/>
  <c r="AU147" i="40" s="1"/>
  <c r="AW146" i="40"/>
  <c r="AV146" i="40"/>
  <c r="AW145" i="40"/>
  <c r="AW149" i="40" s="1"/>
  <c r="AV145" i="40"/>
  <c r="AV149" i="40" s="1"/>
  <c r="AQ149" i="40"/>
  <c r="AQ148" i="40"/>
  <c r="AR155" i="40" s="1"/>
  <c r="AQ147" i="40"/>
  <c r="AQ146" i="40"/>
  <c r="AQ145" i="40"/>
  <c r="F142" i="40"/>
  <c r="F141" i="40"/>
  <c r="F140" i="40"/>
  <c r="F139" i="40"/>
  <c r="F138" i="40"/>
  <c r="B142" i="40"/>
  <c r="B141" i="40"/>
  <c r="B140" i="40"/>
  <c r="B139" i="40"/>
  <c r="B138" i="40"/>
  <c r="Y141" i="40"/>
  <c r="Y140" i="40"/>
  <c r="AA140" i="40" s="1"/>
  <c r="Y139" i="40"/>
  <c r="Y138" i="40"/>
  <c r="AA138" i="40" s="1"/>
  <c r="J141" i="40"/>
  <c r="L145" i="40" s="1"/>
  <c r="J140" i="40"/>
  <c r="L141" i="40" s="1"/>
  <c r="N141" i="40" s="1"/>
  <c r="J139" i="40"/>
  <c r="J138" i="40"/>
  <c r="L138" i="40" s="1"/>
  <c r="A141" i="40"/>
  <c r="A140" i="40"/>
  <c r="A139" i="40"/>
  <c r="A138" i="40"/>
  <c r="BI142" i="40"/>
  <c r="BH142" i="40"/>
  <c r="BG142" i="40"/>
  <c r="BF142" i="40"/>
  <c r="BI141" i="40"/>
  <c r="BH141" i="40"/>
  <c r="BG141" i="40"/>
  <c r="BF141" i="40"/>
  <c r="BI140" i="40"/>
  <c r="BH140" i="40"/>
  <c r="BG140" i="40"/>
  <c r="BF140" i="40"/>
  <c r="BI139" i="40"/>
  <c r="BH139" i="40"/>
  <c r="BG139" i="40"/>
  <c r="BF139" i="40"/>
  <c r="BI138" i="40"/>
  <c r="BH138" i="40"/>
  <c r="BG138" i="40"/>
  <c r="BF138" i="40"/>
  <c r="BD142" i="40"/>
  <c r="BC142" i="40"/>
  <c r="BB142" i="40"/>
  <c r="BA142" i="40"/>
  <c r="BK149" i="40" s="1"/>
  <c r="BD141" i="40"/>
  <c r="BC141" i="40"/>
  <c r="BB141" i="40"/>
  <c r="BA141" i="40"/>
  <c r="BK148" i="40" s="1"/>
  <c r="BD140" i="40"/>
  <c r="BC140" i="40"/>
  <c r="BB140" i="40"/>
  <c r="BA140" i="40"/>
  <c r="BD139" i="40"/>
  <c r="BC139" i="40"/>
  <c r="BB139" i="40"/>
  <c r="BA139" i="40"/>
  <c r="BK146" i="40" s="1"/>
  <c r="BD138" i="40"/>
  <c r="BC138" i="40"/>
  <c r="BB138" i="40"/>
  <c r="BA138" i="40"/>
  <c r="BK145" i="40" s="1"/>
  <c r="AW141" i="40"/>
  <c r="AV141" i="40"/>
  <c r="AW140" i="40"/>
  <c r="AV140" i="40"/>
  <c r="AU140" i="40" s="1"/>
  <c r="AW139" i="40"/>
  <c r="AV139" i="40"/>
  <c r="AW138" i="40"/>
  <c r="AW142" i="40" s="1"/>
  <c r="AV138" i="40"/>
  <c r="AU138" i="40" s="1"/>
  <c r="AQ142" i="40"/>
  <c r="AQ141" i="40"/>
  <c r="AQ140" i="40"/>
  <c r="AQ139" i="40"/>
  <c r="AR146" i="40" s="1"/>
  <c r="AQ138" i="40"/>
  <c r="F134" i="40"/>
  <c r="F133" i="40"/>
  <c r="F132" i="40"/>
  <c r="F131" i="40"/>
  <c r="B135" i="40"/>
  <c r="B134" i="40"/>
  <c r="B133" i="40"/>
  <c r="B132" i="40"/>
  <c r="B131" i="40"/>
  <c r="B130" i="40"/>
  <c r="B137" i="40" s="1"/>
  <c r="B144" i="40" s="1"/>
  <c r="B151" i="40" s="1"/>
  <c r="B158" i="40" s="1"/>
  <c r="B165" i="40" s="1"/>
  <c r="B172" i="40" s="1"/>
  <c r="B179" i="40" s="1"/>
  <c r="B186" i="40" s="1"/>
  <c r="B193" i="40" s="1"/>
  <c r="B200" i="40" s="1"/>
  <c r="B207" i="40" s="1"/>
  <c r="Y134" i="40"/>
  <c r="Y133" i="40"/>
  <c r="AA134" i="40" s="1"/>
  <c r="Y132" i="40"/>
  <c r="Y131" i="40"/>
  <c r="AA132" i="40" s="1"/>
  <c r="AC132" i="40" s="1"/>
  <c r="J134" i="40"/>
  <c r="J133" i="40"/>
  <c r="L134" i="40" s="1"/>
  <c r="J132" i="40"/>
  <c r="J131" i="40"/>
  <c r="L132" i="40" s="1"/>
  <c r="N132" i="40" s="1"/>
  <c r="A134" i="40"/>
  <c r="A133" i="40"/>
  <c r="A132" i="40"/>
  <c r="A131" i="40"/>
  <c r="BD135" i="40"/>
  <c r="BC135" i="40"/>
  <c r="BB135" i="40"/>
  <c r="BA135" i="40"/>
  <c r="BD134" i="40"/>
  <c r="BC134" i="40"/>
  <c r="BB134" i="40"/>
  <c r="BA134" i="40"/>
  <c r="BD133" i="40"/>
  <c r="BC133" i="40"/>
  <c r="BB133" i="40"/>
  <c r="BA133" i="40"/>
  <c r="BD132" i="40"/>
  <c r="BC132" i="40"/>
  <c r="BB132" i="40"/>
  <c r="BA132" i="40"/>
  <c r="BD131" i="40"/>
  <c r="BC131" i="40"/>
  <c r="BB131" i="40"/>
  <c r="BA131" i="40"/>
  <c r="AW134" i="40"/>
  <c r="AV134" i="40"/>
  <c r="AU134" i="40" s="1"/>
  <c r="AW133" i="40"/>
  <c r="AV133" i="40"/>
  <c r="AU133" i="40" s="1"/>
  <c r="AW132" i="40"/>
  <c r="AV132" i="40"/>
  <c r="AU132" i="40" s="1"/>
  <c r="AW131" i="40"/>
  <c r="AW135" i="40" s="1"/>
  <c r="AQ135" i="40"/>
  <c r="AR142" i="40" s="1"/>
  <c r="AR134" i="40"/>
  <c r="AQ134" i="40"/>
  <c r="R134" i="40" s="1"/>
  <c r="AR133" i="40"/>
  <c r="AQ133" i="40"/>
  <c r="R133" i="40" s="1"/>
  <c r="AR132" i="40"/>
  <c r="AQ132" i="40"/>
  <c r="R132" i="40" s="1"/>
  <c r="AQ131" i="40"/>
  <c r="AR138" i="40" s="1"/>
  <c r="AO135" i="40"/>
  <c r="AN135" i="40"/>
  <c r="AN142" i="40" s="1"/>
  <c r="AO142" i="40" s="1"/>
  <c r="AO134" i="40"/>
  <c r="AN134" i="40"/>
  <c r="AN141" i="40" s="1"/>
  <c r="AN148" i="40" s="1"/>
  <c r="AN155" i="40" s="1"/>
  <c r="AN162" i="40" s="1"/>
  <c r="AO133" i="40"/>
  <c r="AN133" i="40"/>
  <c r="AN140" i="40" s="1"/>
  <c r="AN147" i="40" s="1"/>
  <c r="AN154" i="40" s="1"/>
  <c r="AN161" i="40" s="1"/>
  <c r="AN168" i="40" s="1"/>
  <c r="AN175" i="40" s="1"/>
  <c r="AO132" i="40"/>
  <c r="AN132" i="40"/>
  <c r="AN139" i="40" s="1"/>
  <c r="AN146" i="40" s="1"/>
  <c r="AO131" i="40"/>
  <c r="AN131" i="40"/>
  <c r="AN138" i="40" s="1"/>
  <c r="AN145" i="40" s="1"/>
  <c r="AA126" i="40"/>
  <c r="T126" i="40"/>
  <c r="L126" i="40"/>
  <c r="F128" i="40"/>
  <c r="F127" i="40"/>
  <c r="F126" i="40"/>
  <c r="F125" i="40"/>
  <c r="F124" i="40"/>
  <c r="B128" i="40"/>
  <c r="B127" i="40"/>
  <c r="B126" i="40"/>
  <c r="B125" i="40"/>
  <c r="B124" i="40"/>
  <c r="B123" i="40"/>
  <c r="Y127" i="40"/>
  <c r="AA127" i="40" s="1"/>
  <c r="Y126" i="40"/>
  <c r="Y125" i="40"/>
  <c r="AA125" i="40" s="1"/>
  <c r="Y124" i="40"/>
  <c r="J127" i="40"/>
  <c r="L127" i="40" s="1"/>
  <c r="N127" i="40" s="1"/>
  <c r="J126" i="40"/>
  <c r="J125" i="40"/>
  <c r="L125" i="40" s="1"/>
  <c r="J124" i="40"/>
  <c r="A127" i="40"/>
  <c r="A126" i="40"/>
  <c r="A125" i="40"/>
  <c r="A124" i="40"/>
  <c r="AW127" i="40"/>
  <c r="AV127" i="40"/>
  <c r="AU127" i="40"/>
  <c r="AW126" i="40"/>
  <c r="AU126" i="40" s="1"/>
  <c r="AV126" i="40"/>
  <c r="AW125" i="40"/>
  <c r="AW128" i="40" s="1"/>
  <c r="AV125" i="40"/>
  <c r="AU125" i="40" s="1"/>
  <c r="AW124" i="40"/>
  <c r="AV124" i="40"/>
  <c r="AV128" i="40" s="1"/>
  <c r="AR127" i="40"/>
  <c r="AQ127" i="40"/>
  <c r="AR126" i="40"/>
  <c r="AQ126" i="40"/>
  <c r="R126" i="40" s="1"/>
  <c r="AR125" i="40"/>
  <c r="AQ125" i="40"/>
  <c r="R125" i="40" s="1"/>
  <c r="AG125" i="40" s="1"/>
  <c r="AI125" i="40" s="1"/>
  <c r="AN128" i="40"/>
  <c r="AO127" i="40"/>
  <c r="AN127" i="40"/>
  <c r="R127" i="40" s="1"/>
  <c r="AO126" i="40"/>
  <c r="AN126" i="40"/>
  <c r="AO125" i="40"/>
  <c r="AN125" i="40"/>
  <c r="AO124" i="40"/>
  <c r="AN124" i="40"/>
  <c r="AA117" i="40"/>
  <c r="L120" i="40"/>
  <c r="L119" i="40"/>
  <c r="F121" i="40"/>
  <c r="F120" i="40"/>
  <c r="F119" i="40"/>
  <c r="F118" i="40"/>
  <c r="F117" i="40"/>
  <c r="B121" i="40"/>
  <c r="B120" i="40"/>
  <c r="B119" i="40"/>
  <c r="B118" i="40"/>
  <c r="B117" i="40"/>
  <c r="Y120" i="40"/>
  <c r="AA124" i="40" s="1"/>
  <c r="Y119" i="40"/>
  <c r="Y118" i="40"/>
  <c r="AA118" i="40" s="1"/>
  <c r="AC118" i="40" s="1"/>
  <c r="Y117" i="40"/>
  <c r="J120" i="40"/>
  <c r="L124" i="40" s="1"/>
  <c r="J119" i="40"/>
  <c r="J118" i="40"/>
  <c r="L118" i="40" s="1"/>
  <c r="J117" i="40"/>
  <c r="L117" i="40" s="1"/>
  <c r="A120" i="40"/>
  <c r="A119" i="40"/>
  <c r="A118" i="40"/>
  <c r="A117" i="40"/>
  <c r="AW120" i="40"/>
  <c r="AV120" i="40"/>
  <c r="AU120" i="40" s="1"/>
  <c r="AW119" i="40"/>
  <c r="AV119" i="40"/>
  <c r="AU119" i="40" s="1"/>
  <c r="AW118" i="40"/>
  <c r="AV118" i="40"/>
  <c r="AU118" i="40"/>
  <c r="AW117" i="40"/>
  <c r="AU117" i="40" s="1"/>
  <c r="AV117" i="40"/>
  <c r="AV121" i="40" s="1"/>
  <c r="AR121" i="40"/>
  <c r="AQ121" i="40"/>
  <c r="AR120" i="40"/>
  <c r="AQ120" i="40"/>
  <c r="AR119" i="40"/>
  <c r="AQ119" i="40"/>
  <c r="R119" i="40" s="1"/>
  <c r="AR118" i="40"/>
  <c r="AQ118" i="40"/>
  <c r="AR117" i="40"/>
  <c r="AQ117" i="40"/>
  <c r="R117" i="40" s="1"/>
  <c r="AO121" i="40"/>
  <c r="AN121" i="40"/>
  <c r="AO120" i="40"/>
  <c r="AN120" i="40"/>
  <c r="R120" i="40" s="1"/>
  <c r="AO119" i="40"/>
  <c r="AN119" i="40"/>
  <c r="AO118" i="40"/>
  <c r="AN118" i="40"/>
  <c r="R118" i="40" s="1"/>
  <c r="D118" i="40" s="1"/>
  <c r="H118" i="40" s="1"/>
  <c r="AO117" i="40"/>
  <c r="AN117" i="40"/>
  <c r="R112" i="40"/>
  <c r="AG112" i="40" s="1"/>
  <c r="AI112" i="40" s="1"/>
  <c r="R110" i="40"/>
  <c r="R114" i="40" s="1"/>
  <c r="F114" i="40"/>
  <c r="F113" i="40"/>
  <c r="F112" i="40"/>
  <c r="F111" i="40"/>
  <c r="F110" i="40"/>
  <c r="B114" i="40"/>
  <c r="B113" i="40"/>
  <c r="B112" i="40"/>
  <c r="B111" i="40"/>
  <c r="B110" i="40"/>
  <c r="Y113" i="40"/>
  <c r="Y112" i="40"/>
  <c r="AA112" i="40" s="1"/>
  <c r="Y111" i="40"/>
  <c r="AA111" i="40" s="1"/>
  <c r="Y110" i="40"/>
  <c r="J113" i="40"/>
  <c r="L113" i="40" s="1"/>
  <c r="J112" i="40"/>
  <c r="L112" i="40" s="1"/>
  <c r="N112" i="40" s="1"/>
  <c r="J111" i="40"/>
  <c r="L111" i="40" s="1"/>
  <c r="J110" i="40"/>
  <c r="A113" i="40"/>
  <c r="A112" i="40"/>
  <c r="A111" i="40"/>
  <c r="A110" i="40"/>
  <c r="AW113" i="40"/>
  <c r="AV113" i="40"/>
  <c r="AU113" i="40"/>
  <c r="AW112" i="40"/>
  <c r="AU112" i="40" s="1"/>
  <c r="AV112" i="40"/>
  <c r="AW111" i="40"/>
  <c r="AV111" i="40"/>
  <c r="AU111" i="40" s="1"/>
  <c r="AW110" i="40"/>
  <c r="AW114" i="40" s="1"/>
  <c r="AV110" i="40"/>
  <c r="AV114" i="40" s="1"/>
  <c r="AR114" i="40"/>
  <c r="AQ114" i="40"/>
  <c r="AR113" i="40"/>
  <c r="AQ113" i="40"/>
  <c r="AR112" i="40"/>
  <c r="AQ112" i="40"/>
  <c r="AR111" i="40"/>
  <c r="AQ111" i="40"/>
  <c r="AR110" i="40"/>
  <c r="AQ110" i="40"/>
  <c r="AO114" i="40"/>
  <c r="AN114" i="40"/>
  <c r="AO113" i="40"/>
  <c r="AN113" i="40"/>
  <c r="R113" i="40" s="1"/>
  <c r="AO112" i="40"/>
  <c r="AN112" i="40"/>
  <c r="AO111" i="40"/>
  <c r="AN111" i="40"/>
  <c r="R111" i="40" s="1"/>
  <c r="AG111" i="40" s="1"/>
  <c r="AI111" i="40" s="1"/>
  <c r="AO110" i="40"/>
  <c r="AN110" i="40"/>
  <c r="AA103" i="40"/>
  <c r="L105" i="40"/>
  <c r="F107" i="40"/>
  <c r="F106" i="40"/>
  <c r="F105" i="40"/>
  <c r="F104" i="40"/>
  <c r="F103" i="40"/>
  <c r="B107" i="40"/>
  <c r="B106" i="40"/>
  <c r="B105" i="40"/>
  <c r="B104" i="40"/>
  <c r="B103" i="40"/>
  <c r="Y106" i="40"/>
  <c r="AA110" i="40" s="1"/>
  <c r="Y105" i="40"/>
  <c r="Y104" i="40"/>
  <c r="AA104" i="40" s="1"/>
  <c r="Y103" i="40"/>
  <c r="J106" i="40"/>
  <c r="L106" i="40" s="1"/>
  <c r="N106" i="40" s="1"/>
  <c r="J105" i="40"/>
  <c r="J104" i="40"/>
  <c r="L104" i="40" s="1"/>
  <c r="N104" i="40" s="1"/>
  <c r="J103" i="40"/>
  <c r="L103" i="40" s="1"/>
  <c r="A106" i="40"/>
  <c r="A105" i="40"/>
  <c r="A104" i="40"/>
  <c r="A103" i="40"/>
  <c r="AW106" i="40"/>
  <c r="AV106" i="40"/>
  <c r="AU106" i="40" s="1"/>
  <c r="AW105" i="40"/>
  <c r="AV105" i="40"/>
  <c r="AU105" i="40" s="1"/>
  <c r="AW104" i="40"/>
  <c r="AV104" i="40"/>
  <c r="AU104" i="40"/>
  <c r="AW103" i="40"/>
  <c r="AU103" i="40" s="1"/>
  <c r="AU107" i="40" s="1"/>
  <c r="AV103" i="40"/>
  <c r="AV107" i="40" s="1"/>
  <c r="AR107" i="40"/>
  <c r="AQ107" i="40"/>
  <c r="AR106" i="40"/>
  <c r="AQ106" i="40"/>
  <c r="AR105" i="40"/>
  <c r="AQ105" i="40"/>
  <c r="R105" i="40" s="1"/>
  <c r="AR104" i="40"/>
  <c r="AQ104" i="40"/>
  <c r="AR103" i="40"/>
  <c r="AQ103" i="40"/>
  <c r="R103" i="40" s="1"/>
  <c r="AN107" i="40"/>
  <c r="AO106" i="40"/>
  <c r="AN106" i="40"/>
  <c r="R106" i="40" s="1"/>
  <c r="AO105" i="40"/>
  <c r="AN105" i="40"/>
  <c r="AO104" i="40"/>
  <c r="AN104" i="40"/>
  <c r="R104" i="40" s="1"/>
  <c r="AT104" i="40" s="1"/>
  <c r="AO103" i="40"/>
  <c r="AN103" i="40"/>
  <c r="AQ100" i="40"/>
  <c r="AQ99" i="40"/>
  <c r="AQ98" i="40"/>
  <c r="R98" i="40"/>
  <c r="AG98" i="40" s="1"/>
  <c r="F100" i="40"/>
  <c r="F99" i="40"/>
  <c r="F98" i="40"/>
  <c r="F97" i="40"/>
  <c r="F96" i="40"/>
  <c r="B100" i="40"/>
  <c r="B99" i="40"/>
  <c r="B98" i="40"/>
  <c r="B97" i="40"/>
  <c r="B96" i="40"/>
  <c r="Y99" i="40"/>
  <c r="AA99" i="40" s="1"/>
  <c r="Y98" i="40"/>
  <c r="AA98" i="40" s="1"/>
  <c r="Y97" i="40"/>
  <c r="Y96" i="40"/>
  <c r="J99" i="40"/>
  <c r="L99" i="40" s="1"/>
  <c r="J98" i="40"/>
  <c r="L98" i="40" s="1"/>
  <c r="N98" i="40" s="1"/>
  <c r="J97" i="40"/>
  <c r="L97" i="40" s="1"/>
  <c r="J96" i="40"/>
  <c r="A99" i="40"/>
  <c r="A98" i="40"/>
  <c r="A97" i="40"/>
  <c r="A96" i="40"/>
  <c r="AW99" i="40"/>
  <c r="AV99" i="40"/>
  <c r="AU99" i="40"/>
  <c r="AW98" i="40"/>
  <c r="AV98" i="40"/>
  <c r="AU98" i="40"/>
  <c r="AT98" i="40"/>
  <c r="AW97" i="40"/>
  <c r="AV97" i="40"/>
  <c r="AU97" i="40"/>
  <c r="AW96" i="40"/>
  <c r="AW100" i="40" s="1"/>
  <c r="AV96" i="40"/>
  <c r="AV100" i="40" s="1"/>
  <c r="AU96" i="40"/>
  <c r="AU100" i="40" s="1"/>
  <c r="AO100" i="40"/>
  <c r="AN100" i="40"/>
  <c r="AO99" i="40"/>
  <c r="AN99" i="40"/>
  <c r="R99" i="40" s="1"/>
  <c r="AO98" i="40"/>
  <c r="AN98" i="40"/>
  <c r="AO97" i="40"/>
  <c r="AN97" i="40"/>
  <c r="R97" i="40" s="1"/>
  <c r="AO96" i="40"/>
  <c r="AN96" i="40"/>
  <c r="R96" i="40" s="1"/>
  <c r="T91" i="40"/>
  <c r="R89" i="40"/>
  <c r="AT89" i="40" s="1"/>
  <c r="L91" i="40"/>
  <c r="F93" i="40"/>
  <c r="F92" i="40"/>
  <c r="F91" i="40"/>
  <c r="F90" i="40"/>
  <c r="F89" i="40"/>
  <c r="B93" i="40"/>
  <c r="B92" i="40"/>
  <c r="B91" i="40"/>
  <c r="B90" i="40"/>
  <c r="B89" i="40"/>
  <c r="Y92" i="40"/>
  <c r="AA92" i="40" s="1"/>
  <c r="Y91" i="40"/>
  <c r="Y90" i="40"/>
  <c r="AA91" i="40" s="1"/>
  <c r="Y89" i="40"/>
  <c r="J92" i="40"/>
  <c r="L92" i="40" s="1"/>
  <c r="J91" i="40"/>
  <c r="J90" i="40"/>
  <c r="L90" i="40" s="1"/>
  <c r="J89" i="40"/>
  <c r="A92" i="40"/>
  <c r="A91" i="40"/>
  <c r="A90" i="40"/>
  <c r="A89" i="40"/>
  <c r="AW92" i="40"/>
  <c r="AU92" i="40" s="1"/>
  <c r="AV92" i="40"/>
  <c r="AW91" i="40"/>
  <c r="AU91" i="40" s="1"/>
  <c r="AV91" i="40"/>
  <c r="AW90" i="40"/>
  <c r="AU90" i="40" s="1"/>
  <c r="AT90" i="40" s="1"/>
  <c r="AV90" i="40"/>
  <c r="AW89" i="40"/>
  <c r="AU89" i="40" s="1"/>
  <c r="AV89" i="40"/>
  <c r="AV93" i="40" s="1"/>
  <c r="AN93" i="40"/>
  <c r="AO92" i="40"/>
  <c r="AN92" i="40"/>
  <c r="R92" i="40" s="1"/>
  <c r="AO91" i="40"/>
  <c r="AN91" i="40"/>
  <c r="R91" i="40" s="1"/>
  <c r="AG91" i="40" s="1"/>
  <c r="AO90" i="40"/>
  <c r="AN90" i="40"/>
  <c r="R90" i="40" s="1"/>
  <c r="AO89" i="40"/>
  <c r="AN89" i="40"/>
  <c r="AG83" i="40"/>
  <c r="R85" i="40"/>
  <c r="F86" i="40"/>
  <c r="F85" i="40" s="1"/>
  <c r="F84" i="40"/>
  <c r="F83" i="40"/>
  <c r="F82" i="40"/>
  <c r="B86" i="40"/>
  <c r="B85" i="40"/>
  <c r="B84" i="40"/>
  <c r="B83" i="40"/>
  <c r="B82" i="40"/>
  <c r="Y85" i="40"/>
  <c r="AA85" i="40" s="1"/>
  <c r="AC85" i="40" s="1"/>
  <c r="Y84" i="40"/>
  <c r="AA84" i="40" s="1"/>
  <c r="Y83" i="40"/>
  <c r="Y82" i="40"/>
  <c r="AA83" i="40" s="1"/>
  <c r="J85" i="40"/>
  <c r="J84" i="40"/>
  <c r="L84" i="40" s="1"/>
  <c r="J83" i="40"/>
  <c r="J82" i="40"/>
  <c r="L82" i="40" s="1"/>
  <c r="A85" i="40"/>
  <c r="A84" i="40"/>
  <c r="A83" i="40"/>
  <c r="A82" i="40"/>
  <c r="AW85" i="40"/>
  <c r="AV85" i="40"/>
  <c r="AW84" i="40"/>
  <c r="AV84" i="40"/>
  <c r="AU84" i="40" s="1"/>
  <c r="AW83" i="40"/>
  <c r="AV83" i="40"/>
  <c r="AW82" i="40"/>
  <c r="AW86" i="40" s="1"/>
  <c r="AV82" i="40"/>
  <c r="AU82" i="40" s="1"/>
  <c r="AO86" i="40"/>
  <c r="AN86" i="40"/>
  <c r="AO85" i="40"/>
  <c r="AN85" i="40"/>
  <c r="AO84" i="40"/>
  <c r="AN84" i="40"/>
  <c r="R84" i="40" s="1"/>
  <c r="AO83" i="40"/>
  <c r="AN83" i="40"/>
  <c r="R83" i="40" s="1"/>
  <c r="AO82" i="40"/>
  <c r="AN82" i="40"/>
  <c r="R82" i="40" s="1"/>
  <c r="AG82" i="40" s="1"/>
  <c r="AG75" i="40"/>
  <c r="AI75" i="40" s="1"/>
  <c r="R76" i="40"/>
  <c r="AG76" i="40" s="1"/>
  <c r="AI76" i="40" s="1"/>
  <c r="B79" i="40"/>
  <c r="B78" i="40"/>
  <c r="B77" i="40"/>
  <c r="B76" i="40"/>
  <c r="B75" i="40"/>
  <c r="Y78" i="40"/>
  <c r="Y77" i="40"/>
  <c r="AA78" i="40" s="1"/>
  <c r="Y76" i="40"/>
  <c r="AA76" i="40" s="1"/>
  <c r="Y75" i="40"/>
  <c r="AA75" i="40" s="1"/>
  <c r="J78" i="40"/>
  <c r="L78" i="40" s="1"/>
  <c r="J77" i="40"/>
  <c r="J76" i="40"/>
  <c r="L77" i="40" s="1"/>
  <c r="J75" i="40"/>
  <c r="F78" i="40"/>
  <c r="A78" i="40"/>
  <c r="A77" i="40"/>
  <c r="A76" i="40"/>
  <c r="A75" i="40"/>
  <c r="AW77" i="40"/>
  <c r="AV77" i="40"/>
  <c r="AU77" i="40" s="1"/>
  <c r="AW76" i="40"/>
  <c r="AU76" i="40" s="1"/>
  <c r="AV76" i="40"/>
  <c r="AW75" i="40"/>
  <c r="AV75" i="40"/>
  <c r="AO79" i="40"/>
  <c r="AN79" i="40"/>
  <c r="AN78" i="40"/>
  <c r="R78" i="40" s="1"/>
  <c r="AG78" i="40" s="1"/>
  <c r="AO77" i="40"/>
  <c r="AN77" i="40"/>
  <c r="R77" i="40" s="1"/>
  <c r="AO76" i="40"/>
  <c r="AN76" i="40"/>
  <c r="AO75" i="40"/>
  <c r="AN75" i="40"/>
  <c r="R75" i="40" s="1"/>
  <c r="R69" i="40"/>
  <c r="AG69" i="40" s="1"/>
  <c r="L68" i="40"/>
  <c r="N68" i="40" s="1"/>
  <c r="B72" i="40"/>
  <c r="B71" i="40"/>
  <c r="B70" i="40"/>
  <c r="B69" i="40"/>
  <c r="B68" i="40"/>
  <c r="Y71" i="40"/>
  <c r="AA71" i="40" s="1"/>
  <c r="AC71" i="40" s="1"/>
  <c r="Y70" i="40"/>
  <c r="Y69" i="40"/>
  <c r="AA70" i="40" s="1"/>
  <c r="AC70" i="40" s="1"/>
  <c r="Y68" i="40"/>
  <c r="J71" i="40"/>
  <c r="L71" i="40" s="1"/>
  <c r="J70" i="40"/>
  <c r="J69" i="40"/>
  <c r="L69" i="40" s="1"/>
  <c r="N69" i="40" s="1"/>
  <c r="J68" i="40"/>
  <c r="F71" i="40"/>
  <c r="A71" i="40"/>
  <c r="A70" i="40"/>
  <c r="A69" i="40"/>
  <c r="A68" i="40"/>
  <c r="AW70" i="40"/>
  <c r="AV70" i="40"/>
  <c r="AU70" i="40"/>
  <c r="AW69" i="40"/>
  <c r="AV69" i="40"/>
  <c r="AU69" i="40"/>
  <c r="AW68" i="40"/>
  <c r="AV68" i="40"/>
  <c r="AU68" i="40"/>
  <c r="AN72" i="40"/>
  <c r="AO71" i="40"/>
  <c r="AN71" i="40"/>
  <c r="R71" i="40" s="1"/>
  <c r="D71" i="40" s="1"/>
  <c r="H71" i="40" s="1"/>
  <c r="AO70" i="40"/>
  <c r="AN70" i="40"/>
  <c r="R70" i="40" s="1"/>
  <c r="AO69" i="40"/>
  <c r="AN69" i="40"/>
  <c r="AO68" i="40"/>
  <c r="AN68" i="40"/>
  <c r="R68" i="40" s="1"/>
  <c r="AA63" i="40"/>
  <c r="AA61" i="40"/>
  <c r="Y65" i="40"/>
  <c r="Y64" i="40"/>
  <c r="AA64" i="40" s="1"/>
  <c r="AC64" i="40" s="1"/>
  <c r="Y63" i="40"/>
  <c r="Y62" i="40"/>
  <c r="AA62" i="40" s="1"/>
  <c r="AC62" i="40" s="1"/>
  <c r="Y61" i="40"/>
  <c r="R63" i="40"/>
  <c r="R61" i="40"/>
  <c r="AG61" i="40" s="1"/>
  <c r="AI61" i="40" s="1"/>
  <c r="L62" i="40"/>
  <c r="N62" i="40" s="1"/>
  <c r="J65" i="40"/>
  <c r="J64" i="40"/>
  <c r="J63" i="40"/>
  <c r="L64" i="40" s="1"/>
  <c r="J62" i="40"/>
  <c r="J61" i="40"/>
  <c r="L61" i="40" s="1"/>
  <c r="F65" i="40"/>
  <c r="F64" i="40"/>
  <c r="F63" i="40"/>
  <c r="F62" i="40"/>
  <c r="F61" i="40"/>
  <c r="B65" i="40"/>
  <c r="B64" i="40"/>
  <c r="B63" i="40"/>
  <c r="B62" i="40"/>
  <c r="B61" i="40"/>
  <c r="A64" i="40"/>
  <c r="A63" i="40"/>
  <c r="A62" i="40"/>
  <c r="A61" i="40"/>
  <c r="AN65" i="40"/>
  <c r="AO64" i="40"/>
  <c r="AN64" i="40"/>
  <c r="R64" i="40" s="1"/>
  <c r="AO63" i="40"/>
  <c r="AN63" i="40"/>
  <c r="AO62" i="40"/>
  <c r="AN62" i="40"/>
  <c r="R62" i="40" s="1"/>
  <c r="AO61" i="40"/>
  <c r="AN61" i="40"/>
  <c r="AA57" i="40"/>
  <c r="Y58" i="40"/>
  <c r="Y57" i="40"/>
  <c r="Y56" i="40"/>
  <c r="AA56" i="40" s="1"/>
  <c r="Y55" i="40"/>
  <c r="Y54" i="40"/>
  <c r="AA55" i="40" s="1"/>
  <c r="L56" i="40"/>
  <c r="L54" i="40"/>
  <c r="J58" i="40"/>
  <c r="J57" i="40"/>
  <c r="L57" i="40" s="1"/>
  <c r="N57" i="40" s="1"/>
  <c r="J56" i="40"/>
  <c r="J55" i="40"/>
  <c r="L55" i="40" s="1"/>
  <c r="J54" i="40"/>
  <c r="F58" i="40"/>
  <c r="F57" i="40"/>
  <c r="F56" i="40"/>
  <c r="F55" i="40"/>
  <c r="F54" i="40"/>
  <c r="B58" i="40"/>
  <c r="B57" i="40"/>
  <c r="B56" i="40"/>
  <c r="B55" i="40"/>
  <c r="B54" i="40"/>
  <c r="A57" i="40"/>
  <c r="A56" i="40"/>
  <c r="A55" i="40"/>
  <c r="A54" i="40"/>
  <c r="AN58" i="40"/>
  <c r="AO57" i="40"/>
  <c r="AN57" i="40"/>
  <c r="R57" i="40" s="1"/>
  <c r="AO56" i="40"/>
  <c r="AN56" i="40"/>
  <c r="R56" i="40" s="1"/>
  <c r="AO55" i="40"/>
  <c r="AN55" i="40"/>
  <c r="R55" i="40" s="1"/>
  <c r="AO54" i="40"/>
  <c r="AN54" i="40"/>
  <c r="R54" i="40" s="1"/>
  <c r="AG48" i="40"/>
  <c r="AA47" i="40"/>
  <c r="Y51" i="40"/>
  <c r="Y50" i="40"/>
  <c r="AA50" i="40" s="1"/>
  <c r="Y49" i="40"/>
  <c r="Y48" i="40"/>
  <c r="AA49" i="40" s="1"/>
  <c r="Y47" i="40"/>
  <c r="R49" i="40"/>
  <c r="AG49" i="40" s="1"/>
  <c r="R48" i="40"/>
  <c r="R47" i="40"/>
  <c r="L50" i="40"/>
  <c r="N50" i="40" s="1"/>
  <c r="J51" i="40"/>
  <c r="J50" i="40"/>
  <c r="J49" i="40"/>
  <c r="L49" i="40" s="1"/>
  <c r="N49" i="40" s="1"/>
  <c r="J48" i="40"/>
  <c r="J47" i="40"/>
  <c r="L48" i="40" s="1"/>
  <c r="F51" i="40"/>
  <c r="F50" i="40"/>
  <c r="F49" i="40"/>
  <c r="F48" i="40"/>
  <c r="F47" i="40"/>
  <c r="B51" i="40"/>
  <c r="B50" i="40"/>
  <c r="B49" i="40"/>
  <c r="B48" i="40"/>
  <c r="B47" i="40"/>
  <c r="A50" i="40"/>
  <c r="A49" i="40"/>
  <c r="A48" i="40"/>
  <c r="A47" i="40"/>
  <c r="AN51" i="40"/>
  <c r="AO50" i="40"/>
  <c r="AN50" i="40"/>
  <c r="R50" i="40" s="1"/>
  <c r="AO49" i="40"/>
  <c r="AN49" i="40"/>
  <c r="AO48" i="40"/>
  <c r="AN48" i="40"/>
  <c r="AO47" i="40"/>
  <c r="AN47" i="40"/>
  <c r="AA41" i="40"/>
  <c r="AC41" i="40" s="1"/>
  <c r="Y44" i="40"/>
  <c r="Y43" i="40"/>
  <c r="Y42" i="40"/>
  <c r="AA43" i="40" s="1"/>
  <c r="AC43" i="40" s="1"/>
  <c r="Y41" i="40"/>
  <c r="Y40" i="40"/>
  <c r="AA40" i="40" s="1"/>
  <c r="L40" i="40"/>
  <c r="J44" i="40"/>
  <c r="J43" i="40"/>
  <c r="L43" i="40" s="1"/>
  <c r="N43" i="40" s="1"/>
  <c r="J42" i="40"/>
  <c r="J41" i="40"/>
  <c r="L42" i="40" s="1"/>
  <c r="J40" i="40"/>
  <c r="F44" i="40"/>
  <c r="F43" i="40"/>
  <c r="F42" i="40"/>
  <c r="F41" i="40"/>
  <c r="F40" i="40"/>
  <c r="AO44" i="40"/>
  <c r="AN44" i="40"/>
  <c r="AO43" i="40"/>
  <c r="AN43" i="40"/>
  <c r="R43" i="40" s="1"/>
  <c r="AO42" i="40"/>
  <c r="AN42" i="40"/>
  <c r="R42" i="40" s="1"/>
  <c r="AO41" i="40"/>
  <c r="AN41" i="40"/>
  <c r="R41" i="40" s="1"/>
  <c r="AO40" i="40"/>
  <c r="AN40" i="40"/>
  <c r="R40" i="40" s="1"/>
  <c r="AA37" i="40"/>
  <c r="AA36" i="40"/>
  <c r="Y37" i="40"/>
  <c r="Y36" i="40"/>
  <c r="R35" i="40"/>
  <c r="AG35" i="40" s="1"/>
  <c r="AI35" i="40" s="1"/>
  <c r="R34" i="40"/>
  <c r="AG34" i="40" s="1"/>
  <c r="AI34" i="40" s="1"/>
  <c r="R33" i="40"/>
  <c r="L36" i="40"/>
  <c r="J37" i="40"/>
  <c r="J36" i="40"/>
  <c r="J35" i="40"/>
  <c r="L35" i="40" s="1"/>
  <c r="N35" i="40" s="1"/>
  <c r="J34" i="40"/>
  <c r="J33" i="40"/>
  <c r="L34" i="40" s="1"/>
  <c r="F37" i="40"/>
  <c r="F36" i="40"/>
  <c r="F35" i="40"/>
  <c r="F34" i="40"/>
  <c r="F33" i="40"/>
  <c r="B37" i="40"/>
  <c r="B36" i="40"/>
  <c r="B35" i="40"/>
  <c r="B34" i="40"/>
  <c r="B33" i="40"/>
  <c r="A36" i="40"/>
  <c r="A35" i="40"/>
  <c r="A34" i="40"/>
  <c r="A33" i="40"/>
  <c r="AO37" i="40"/>
  <c r="AN37" i="40"/>
  <c r="AO36" i="40"/>
  <c r="AN36" i="40"/>
  <c r="R36" i="40" s="1"/>
  <c r="AO35" i="40"/>
  <c r="AN35" i="40"/>
  <c r="AO34" i="40"/>
  <c r="AN34" i="40"/>
  <c r="AO33" i="40"/>
  <c r="AN33" i="40"/>
  <c r="R29" i="40"/>
  <c r="R27" i="40"/>
  <c r="D34" i="40" s="1"/>
  <c r="H34" i="40" s="1"/>
  <c r="L28" i="40"/>
  <c r="J30" i="40"/>
  <c r="J29" i="40"/>
  <c r="L29" i="40" s="1"/>
  <c r="N29" i="40" s="1"/>
  <c r="J28" i="40"/>
  <c r="J27" i="40"/>
  <c r="L27" i="40" s="1"/>
  <c r="N27" i="40" s="1"/>
  <c r="J26" i="40"/>
  <c r="F30" i="40"/>
  <c r="F29" i="40"/>
  <c r="F28" i="40"/>
  <c r="F27" i="40"/>
  <c r="F26" i="40"/>
  <c r="B30" i="40"/>
  <c r="B29" i="40"/>
  <c r="B28" i="40"/>
  <c r="B27" i="40"/>
  <c r="B26" i="40"/>
  <c r="B25" i="40"/>
  <c r="B32" i="40" s="1"/>
  <c r="B39" i="40" s="1"/>
  <c r="B46" i="40" s="1"/>
  <c r="B53" i="40" s="1"/>
  <c r="B60" i="40" s="1"/>
  <c r="B67" i="40" s="1"/>
  <c r="B74" i="40" s="1"/>
  <c r="B81" i="40" s="1"/>
  <c r="B88" i="40" s="1"/>
  <c r="Y29" i="40"/>
  <c r="A29" i="40"/>
  <c r="A28" i="40"/>
  <c r="A27" i="40"/>
  <c r="A26" i="40"/>
  <c r="AO30" i="40"/>
  <c r="AN30" i="40"/>
  <c r="AO29" i="40"/>
  <c r="AN29" i="40"/>
  <c r="AO28" i="40"/>
  <c r="AN28" i="40"/>
  <c r="R28" i="40" s="1"/>
  <c r="AO27" i="40"/>
  <c r="AN27" i="40"/>
  <c r="AN26" i="40"/>
  <c r="R26" i="40" s="1"/>
  <c r="R21" i="40"/>
  <c r="L20" i="40"/>
  <c r="J23" i="40"/>
  <c r="J22" i="40"/>
  <c r="L26" i="40" s="1"/>
  <c r="J21" i="40"/>
  <c r="L22" i="40" s="1"/>
  <c r="J20" i="40"/>
  <c r="J19" i="40"/>
  <c r="L19" i="40" s="1"/>
  <c r="F23" i="40"/>
  <c r="F22" i="40"/>
  <c r="F21" i="40"/>
  <c r="F20" i="40"/>
  <c r="F19" i="40"/>
  <c r="B23" i="40"/>
  <c r="B22" i="40"/>
  <c r="B21" i="40"/>
  <c r="B20" i="40"/>
  <c r="B19" i="40"/>
  <c r="B18" i="40"/>
  <c r="Y22" i="40"/>
  <c r="A22" i="40"/>
  <c r="A21" i="40"/>
  <c r="A20" i="40"/>
  <c r="A19" i="40"/>
  <c r="AO23" i="40"/>
  <c r="AN23" i="40"/>
  <c r="AO22" i="40"/>
  <c r="AN22" i="40"/>
  <c r="R22" i="40" s="1"/>
  <c r="AO21" i="40"/>
  <c r="AN21" i="40"/>
  <c r="AO20" i="40"/>
  <c r="AN20" i="40"/>
  <c r="R20" i="40" s="1"/>
  <c r="AO19" i="40"/>
  <c r="AN19" i="40"/>
  <c r="R19" i="40" s="1"/>
  <c r="AG15" i="40"/>
  <c r="AG12" i="40"/>
  <c r="T12" i="40"/>
  <c r="R15" i="40"/>
  <c r="R14" i="40"/>
  <c r="AG14" i="40" s="1"/>
  <c r="R13" i="40"/>
  <c r="AG13" i="40" s="1"/>
  <c r="R12" i="40"/>
  <c r="R16" i="40" s="1"/>
  <c r="L14" i="40"/>
  <c r="T14" i="40" s="1"/>
  <c r="L12" i="40"/>
  <c r="J16" i="40"/>
  <c r="J15" i="40"/>
  <c r="L15" i="40" s="1"/>
  <c r="J14" i="40"/>
  <c r="J13" i="40"/>
  <c r="L13" i="40" s="1"/>
  <c r="J12" i="40"/>
  <c r="H16" i="40"/>
  <c r="H12" i="40"/>
  <c r="F16" i="40"/>
  <c r="F15" i="40"/>
  <c r="F14" i="40"/>
  <c r="F13" i="40"/>
  <c r="H13" i="40" s="1"/>
  <c r="F12" i="40"/>
  <c r="D16" i="40"/>
  <c r="D15" i="40"/>
  <c r="H15" i="40" s="1"/>
  <c r="D14" i="40"/>
  <c r="H14" i="40" s="1"/>
  <c r="D13" i="40"/>
  <c r="D12" i="40"/>
  <c r="B16" i="40"/>
  <c r="B15" i="40"/>
  <c r="B14" i="40"/>
  <c r="B13" i="40"/>
  <c r="B12" i="40"/>
  <c r="Y15" i="40"/>
  <c r="A15" i="40"/>
  <c r="A14" i="40"/>
  <c r="A13" i="40"/>
  <c r="A12" i="40"/>
  <c r="BK590" i="47"/>
  <c r="BK589" i="47"/>
  <c r="BK588" i="47"/>
  <c r="BK587" i="47"/>
  <c r="BI591" i="47"/>
  <c r="BA590" i="47"/>
  <c r="BI590" i="47" s="1"/>
  <c r="L587" i="47"/>
  <c r="N587" i="47" s="1"/>
  <c r="H590" i="47"/>
  <c r="D590" i="47" s="1"/>
  <c r="H589" i="47"/>
  <c r="D589" i="47" s="1"/>
  <c r="H588" i="47"/>
  <c r="D588" i="47" s="1"/>
  <c r="V588" i="47" s="1"/>
  <c r="W237" i="45" s="1"/>
  <c r="H587" i="47"/>
  <c r="D587" i="47"/>
  <c r="B591" i="47"/>
  <c r="B590" i="47"/>
  <c r="B589" i="47"/>
  <c r="B588" i="47"/>
  <c r="B587" i="47"/>
  <c r="A590" i="47"/>
  <c r="A589" i="47"/>
  <c r="A588" i="47"/>
  <c r="A587" i="47"/>
  <c r="BK583" i="47"/>
  <c r="BK582" i="47"/>
  <c r="BK581" i="47"/>
  <c r="BK580" i="47"/>
  <c r="AL582" i="47"/>
  <c r="V582" i="47"/>
  <c r="V581" i="47"/>
  <c r="AL581" i="47" s="1"/>
  <c r="V580" i="47"/>
  <c r="V587" i="47" s="1"/>
  <c r="W236" i="45" s="1"/>
  <c r="L584" i="47"/>
  <c r="L583" i="47"/>
  <c r="N583" i="47" s="1"/>
  <c r="P583" i="47" s="1"/>
  <c r="L582" i="47"/>
  <c r="L581" i="47"/>
  <c r="L580" i="47"/>
  <c r="H583" i="47"/>
  <c r="H582" i="47"/>
  <c r="H581" i="47"/>
  <c r="H580" i="47"/>
  <c r="D581" i="47"/>
  <c r="J581" i="47" s="1"/>
  <c r="B584" i="47"/>
  <c r="B583" i="47"/>
  <c r="B582" i="47"/>
  <c r="B581" i="47"/>
  <c r="B580" i="47"/>
  <c r="A583" i="47"/>
  <c r="A582" i="47"/>
  <c r="A581" i="47"/>
  <c r="A580" i="47"/>
  <c r="BA584" i="47"/>
  <c r="BI584" i="47" s="1"/>
  <c r="BA583" i="47"/>
  <c r="BI583" i="47" s="1"/>
  <c r="BA582" i="47"/>
  <c r="BI582" i="47" s="1"/>
  <c r="BA588" i="47"/>
  <c r="BI588" i="47" s="1"/>
  <c r="BK577" i="47"/>
  <c r="BK576" i="47"/>
  <c r="BK575" i="47"/>
  <c r="BK574" i="47"/>
  <c r="BK573" i="47"/>
  <c r="V576" i="47"/>
  <c r="AL576" i="47" s="1"/>
  <c r="V575" i="47"/>
  <c r="V574" i="47"/>
  <c r="AL574" i="47" s="1"/>
  <c r="V573" i="47"/>
  <c r="N575" i="47"/>
  <c r="L577" i="47"/>
  <c r="L576" i="47"/>
  <c r="N576" i="47" s="1"/>
  <c r="L575" i="47"/>
  <c r="L574" i="47"/>
  <c r="N574" i="47" s="1"/>
  <c r="P574" i="47" s="1"/>
  <c r="L573" i="47"/>
  <c r="H576" i="47"/>
  <c r="H575" i="47"/>
  <c r="H574" i="47"/>
  <c r="H573" i="47"/>
  <c r="D575" i="47"/>
  <c r="J575" i="47" s="1"/>
  <c r="B577" i="47"/>
  <c r="B576" i="47"/>
  <c r="B575" i="47"/>
  <c r="B574" i="47"/>
  <c r="B573" i="47"/>
  <c r="A576" i="47"/>
  <c r="A575" i="47"/>
  <c r="A574" i="47"/>
  <c r="A573" i="47"/>
  <c r="BA577" i="47"/>
  <c r="BI577" i="47" s="1"/>
  <c r="BA576" i="47"/>
  <c r="BI576" i="47" s="1"/>
  <c r="BA575" i="47"/>
  <c r="BI575" i="47" s="1"/>
  <c r="BA574" i="47"/>
  <c r="BI574" i="47" s="1"/>
  <c r="BA573" i="47"/>
  <c r="BI573" i="47" s="1"/>
  <c r="BK570" i="47"/>
  <c r="BK569" i="47"/>
  <c r="BK568" i="47"/>
  <c r="BK567" i="47"/>
  <c r="BK566" i="47"/>
  <c r="BI570" i="47"/>
  <c r="V569" i="47"/>
  <c r="V568" i="47"/>
  <c r="V567" i="47"/>
  <c r="D574" i="47" s="1"/>
  <c r="V566" i="47"/>
  <c r="N566" i="47"/>
  <c r="L570" i="47"/>
  <c r="L569" i="47"/>
  <c r="N569" i="47" s="1"/>
  <c r="L568" i="47"/>
  <c r="L567" i="47"/>
  <c r="N567" i="47" s="1"/>
  <c r="X567" i="47" s="1"/>
  <c r="Z567" i="47" s="1"/>
  <c r="L566" i="47"/>
  <c r="H569" i="47"/>
  <c r="H568" i="47"/>
  <c r="H567" i="47"/>
  <c r="H566" i="47"/>
  <c r="D566" i="47"/>
  <c r="J566" i="47" s="1"/>
  <c r="B570" i="47"/>
  <c r="B569" i="47"/>
  <c r="B568" i="47"/>
  <c r="B567" i="47"/>
  <c r="B566" i="47"/>
  <c r="A569" i="47"/>
  <c r="A568" i="47"/>
  <c r="A567" i="47"/>
  <c r="A566" i="47"/>
  <c r="BA570" i="47"/>
  <c r="BA569" i="47"/>
  <c r="BI569" i="47" s="1"/>
  <c r="BA568" i="47"/>
  <c r="BI568" i="47" s="1"/>
  <c r="BA567" i="47"/>
  <c r="BI567" i="47" s="1"/>
  <c r="BA566" i="47"/>
  <c r="BI566" i="47" s="1"/>
  <c r="BK562" i="47"/>
  <c r="BK561" i="47"/>
  <c r="BK560" i="47"/>
  <c r="BK559" i="47"/>
  <c r="X562" i="47"/>
  <c r="V562" i="47"/>
  <c r="D569" i="47" s="1"/>
  <c r="J569" i="47" s="1"/>
  <c r="V561" i="47"/>
  <c r="V560" i="47"/>
  <c r="D567" i="47" s="1"/>
  <c r="J567" i="47" s="1"/>
  <c r="V559" i="47"/>
  <c r="N561" i="47"/>
  <c r="L563" i="47"/>
  <c r="L562" i="47"/>
  <c r="N562" i="47" s="1"/>
  <c r="L561" i="47"/>
  <c r="L560" i="47"/>
  <c r="N560" i="47" s="1"/>
  <c r="X560" i="47" s="1"/>
  <c r="L559" i="47"/>
  <c r="H562" i="47"/>
  <c r="H561" i="47"/>
  <c r="H560" i="47"/>
  <c r="H559" i="47"/>
  <c r="B563" i="47"/>
  <c r="B562" i="47"/>
  <c r="B561" i="47"/>
  <c r="B560" i="47"/>
  <c r="B559" i="47"/>
  <c r="A562" i="47"/>
  <c r="A561" i="47"/>
  <c r="A560" i="47"/>
  <c r="A559" i="47"/>
  <c r="BK556" i="47"/>
  <c r="BK555" i="47"/>
  <c r="BK554" i="47"/>
  <c r="BK553" i="47"/>
  <c r="BK552" i="47"/>
  <c r="AL553" i="47"/>
  <c r="V555" i="47"/>
  <c r="D562" i="47" s="1"/>
  <c r="J562" i="47" s="1"/>
  <c r="V554" i="47"/>
  <c r="AL554" i="47" s="1"/>
  <c r="V553" i="47"/>
  <c r="D560" i="47" s="1"/>
  <c r="J560" i="47" s="1"/>
  <c r="V552" i="47"/>
  <c r="V556" i="47" s="1"/>
  <c r="L556" i="47"/>
  <c r="L555" i="47"/>
  <c r="N559" i="47" s="1"/>
  <c r="L554" i="47"/>
  <c r="L553" i="47"/>
  <c r="N554" i="47" s="1"/>
  <c r="L552" i="47"/>
  <c r="H556" i="47"/>
  <c r="H555" i="47"/>
  <c r="H554" i="47"/>
  <c r="H553" i="47"/>
  <c r="H552" i="47"/>
  <c r="B556" i="47"/>
  <c r="B555" i="47"/>
  <c r="B554" i="47"/>
  <c r="B553" i="47"/>
  <c r="B552" i="47"/>
  <c r="A555" i="47"/>
  <c r="A554" i="47"/>
  <c r="A553" i="47"/>
  <c r="A552" i="47"/>
  <c r="BA563" i="47"/>
  <c r="BI563" i="47" s="1"/>
  <c r="BA562" i="47"/>
  <c r="BI562" i="47" s="1"/>
  <c r="BA561" i="47"/>
  <c r="BI561" i="47" s="1"/>
  <c r="BA560" i="47"/>
  <c r="BI560" i="47" s="1"/>
  <c r="BA559" i="47"/>
  <c r="BI559" i="47" s="1"/>
  <c r="BK548" i="47"/>
  <c r="BK547" i="47"/>
  <c r="BK546" i="47"/>
  <c r="BK545" i="47"/>
  <c r="V548" i="47"/>
  <c r="D555" i="47" s="1"/>
  <c r="J555" i="47" s="1"/>
  <c r="V547" i="47"/>
  <c r="AL547" i="47" s="1"/>
  <c r="V546" i="47"/>
  <c r="AL546" i="47" s="1"/>
  <c r="V545" i="47"/>
  <c r="N547" i="47"/>
  <c r="L549" i="47"/>
  <c r="L548" i="47"/>
  <c r="L547" i="47"/>
  <c r="L546" i="47"/>
  <c r="N546" i="47" s="1"/>
  <c r="L545" i="47"/>
  <c r="H549" i="47"/>
  <c r="H548" i="47"/>
  <c r="H547" i="47"/>
  <c r="H546" i="47"/>
  <c r="H545" i="47"/>
  <c r="B549" i="47"/>
  <c r="B548" i="47"/>
  <c r="B547" i="47"/>
  <c r="B546" i="47"/>
  <c r="B545" i="47"/>
  <c r="A548" i="47"/>
  <c r="A547" i="47"/>
  <c r="A546" i="47"/>
  <c r="A545" i="47"/>
  <c r="BK541" i="47"/>
  <c r="BK540" i="47"/>
  <c r="BK539" i="47"/>
  <c r="BK538" i="47"/>
  <c r="V541" i="47"/>
  <c r="AL541" i="47" s="1"/>
  <c r="V540" i="47"/>
  <c r="D547" i="47" s="1"/>
  <c r="J547" i="47" s="1"/>
  <c r="V539" i="47"/>
  <c r="D546" i="47" s="1"/>
  <c r="V538" i="47"/>
  <c r="AL538" i="47" s="1"/>
  <c r="N539" i="47"/>
  <c r="L542" i="47"/>
  <c r="L541" i="47"/>
  <c r="N545" i="47" s="1"/>
  <c r="L540" i="47"/>
  <c r="L539" i="47"/>
  <c r="L538" i="47"/>
  <c r="N538" i="47" s="1"/>
  <c r="H541" i="47"/>
  <c r="H540" i="47"/>
  <c r="H539" i="47"/>
  <c r="H538" i="47"/>
  <c r="B542" i="47"/>
  <c r="B541" i="47"/>
  <c r="B540" i="47"/>
  <c r="B539" i="47"/>
  <c r="B538" i="47"/>
  <c r="AC541" i="47"/>
  <c r="A541" i="47"/>
  <c r="A540" i="47"/>
  <c r="A539" i="47"/>
  <c r="A538" i="47"/>
  <c r="BA549" i="47"/>
  <c r="BI549" i="47" s="1"/>
  <c r="BA541" i="47"/>
  <c r="BI541" i="47" s="1"/>
  <c r="BA547" i="47"/>
  <c r="BI547" i="47" s="1"/>
  <c r="BA539" i="47"/>
  <c r="BI539" i="47" s="1"/>
  <c r="BA545" i="47"/>
  <c r="BI545" i="47" s="1"/>
  <c r="BK534" i="47"/>
  <c r="BK533" i="47"/>
  <c r="BK532" i="47"/>
  <c r="BK531" i="47"/>
  <c r="AL533" i="47"/>
  <c r="V534" i="47"/>
  <c r="AL534" i="47" s="1"/>
  <c r="V533" i="47"/>
  <c r="D540" i="47" s="1"/>
  <c r="J540" i="47" s="1"/>
  <c r="V532" i="47"/>
  <c r="V531" i="47"/>
  <c r="D538" i="47" s="1"/>
  <c r="J538" i="47" s="1"/>
  <c r="L535" i="47"/>
  <c r="L534" i="47"/>
  <c r="N534" i="47" s="1"/>
  <c r="L533" i="47"/>
  <c r="L532" i="47"/>
  <c r="L531" i="47"/>
  <c r="H535" i="47"/>
  <c r="H534" i="47"/>
  <c r="H533" i="47"/>
  <c r="H532" i="47"/>
  <c r="H531" i="47"/>
  <c r="D534" i="47"/>
  <c r="J534" i="47" s="1"/>
  <c r="B535" i="47"/>
  <c r="B534" i="47"/>
  <c r="B533" i="47"/>
  <c r="B532" i="47"/>
  <c r="B531" i="47"/>
  <c r="AC534" i="47"/>
  <c r="A534" i="47"/>
  <c r="A533" i="47"/>
  <c r="A532" i="47"/>
  <c r="A531" i="47"/>
  <c r="BA535" i="47"/>
  <c r="BI535" i="47" s="1"/>
  <c r="BA533" i="47"/>
  <c r="BI533" i="47" s="1"/>
  <c r="BA531" i="47"/>
  <c r="BI531" i="47" s="1"/>
  <c r="BK528" i="47"/>
  <c r="BK527" i="47"/>
  <c r="BK526" i="47"/>
  <c r="BK525" i="47"/>
  <c r="BK524" i="47"/>
  <c r="AL524" i="47"/>
  <c r="V527" i="47"/>
  <c r="AL527" i="47" s="1"/>
  <c r="AN527" i="47" s="1"/>
  <c r="V526" i="47"/>
  <c r="AL526" i="47" s="1"/>
  <c r="V525" i="47"/>
  <c r="AL525" i="47" s="1"/>
  <c r="V524" i="47"/>
  <c r="D531" i="47" s="1"/>
  <c r="J531" i="47" s="1"/>
  <c r="N524" i="47"/>
  <c r="L528" i="47"/>
  <c r="L527" i="47"/>
  <c r="L526" i="47"/>
  <c r="N526" i="47" s="1"/>
  <c r="L525" i="47"/>
  <c r="N525" i="47" s="1"/>
  <c r="L524" i="47"/>
  <c r="AC524" i="47" s="1"/>
  <c r="H528" i="47"/>
  <c r="H527" i="47"/>
  <c r="H526" i="47"/>
  <c r="H525" i="47"/>
  <c r="H524" i="47"/>
  <c r="D524" i="47"/>
  <c r="J524" i="47" s="1"/>
  <c r="B528" i="47"/>
  <c r="B527" i="47"/>
  <c r="B526" i="47"/>
  <c r="B525" i="47"/>
  <c r="B524" i="47"/>
  <c r="B523" i="47"/>
  <c r="B530" i="47" s="1"/>
  <c r="B537" i="47" s="1"/>
  <c r="B544" i="47" s="1"/>
  <c r="B551" i="47" s="1"/>
  <c r="B558" i="47" s="1"/>
  <c r="B565" i="47" s="1"/>
  <c r="B572" i="47" s="1"/>
  <c r="B579" i="47" s="1"/>
  <c r="B586" i="47" s="1"/>
  <c r="AC527" i="47"/>
  <c r="AC526" i="47"/>
  <c r="AE527" i="47" s="1"/>
  <c r="A527" i="47"/>
  <c r="A526" i="47"/>
  <c r="A525" i="47"/>
  <c r="A524" i="47"/>
  <c r="BA528" i="47"/>
  <c r="BI528" i="47" s="1"/>
  <c r="BA534" i="47"/>
  <c r="BI534" i="47" s="1"/>
  <c r="BA532" i="47"/>
  <c r="BI532" i="47" s="1"/>
  <c r="BA524" i="47"/>
  <c r="BI524" i="47" s="1"/>
  <c r="BK521" i="47"/>
  <c r="BK520" i="47"/>
  <c r="BK519" i="47"/>
  <c r="BK518" i="47"/>
  <c r="BK517" i="47"/>
  <c r="BA527" i="47"/>
  <c r="BI527" i="47" s="1"/>
  <c r="BA525" i="47"/>
  <c r="BI525" i="47" s="1"/>
  <c r="AL520" i="47"/>
  <c r="X517" i="47"/>
  <c r="V520" i="47"/>
  <c r="D527" i="47" s="1"/>
  <c r="J527" i="47" s="1"/>
  <c r="V519" i="47"/>
  <c r="V518" i="47"/>
  <c r="V517" i="47"/>
  <c r="AL517" i="47" s="1"/>
  <c r="P520" i="47"/>
  <c r="N520" i="47"/>
  <c r="X520" i="47" s="1"/>
  <c r="N517" i="47"/>
  <c r="P517" i="47" s="1"/>
  <c r="L521" i="47"/>
  <c r="L520" i="47"/>
  <c r="L519" i="47"/>
  <c r="N519" i="47" s="1"/>
  <c r="P519" i="47" s="1"/>
  <c r="L518" i="47"/>
  <c r="N518" i="47" s="1"/>
  <c r="P518" i="47" s="1"/>
  <c r="L517" i="47"/>
  <c r="H521" i="47"/>
  <c r="H520" i="47"/>
  <c r="H519" i="47"/>
  <c r="H518" i="47"/>
  <c r="H517" i="47"/>
  <c r="D520" i="47"/>
  <c r="J520" i="47" s="1"/>
  <c r="R520" i="47" s="1"/>
  <c r="D517" i="47"/>
  <c r="J517" i="47" s="1"/>
  <c r="R517" i="47" s="1"/>
  <c r="B521" i="47"/>
  <c r="B520" i="47"/>
  <c r="B519" i="47"/>
  <c r="B518" i="47"/>
  <c r="B517" i="47"/>
  <c r="AC520" i="47"/>
  <c r="AC519" i="47"/>
  <c r="AC518" i="47"/>
  <c r="AC517" i="47"/>
  <c r="A520" i="47"/>
  <c r="A519" i="47"/>
  <c r="A518" i="47"/>
  <c r="A517" i="47"/>
  <c r="BK510" i="47"/>
  <c r="BK509" i="47"/>
  <c r="BK508" i="47"/>
  <c r="BK507" i="47"/>
  <c r="BC506" i="47"/>
  <c r="L507" i="47"/>
  <c r="H510" i="47"/>
  <c r="H509" i="47"/>
  <c r="H508" i="47"/>
  <c r="H507" i="47"/>
  <c r="B511" i="47"/>
  <c r="B510" i="47"/>
  <c r="B509" i="47"/>
  <c r="B508" i="47"/>
  <c r="B507" i="47"/>
  <c r="BQ510" i="47"/>
  <c r="BA510" i="47"/>
  <c r="A510" i="47"/>
  <c r="A509" i="47"/>
  <c r="A508" i="47"/>
  <c r="A507" i="47"/>
  <c r="BK503" i="47"/>
  <c r="BK502" i="47"/>
  <c r="BK501" i="47"/>
  <c r="BK500" i="47"/>
  <c r="V502" i="47"/>
  <c r="V501" i="47"/>
  <c r="AL501" i="47" s="1"/>
  <c r="V500" i="47"/>
  <c r="N502" i="47"/>
  <c r="X502" i="47" s="1"/>
  <c r="N501" i="47"/>
  <c r="X501" i="47" s="1"/>
  <c r="L504" i="47"/>
  <c r="L503" i="47"/>
  <c r="N503" i="47" s="1"/>
  <c r="L502" i="47"/>
  <c r="L501" i="47"/>
  <c r="L500" i="47"/>
  <c r="N500" i="47" s="1"/>
  <c r="H503" i="47"/>
  <c r="H502" i="47"/>
  <c r="H501" i="47"/>
  <c r="H500" i="47"/>
  <c r="B504" i="47"/>
  <c r="B503" i="47"/>
  <c r="B502" i="47"/>
  <c r="B501" i="47"/>
  <c r="B500" i="47"/>
  <c r="BG501" i="47"/>
  <c r="A503" i="47"/>
  <c r="A502" i="47"/>
  <c r="A501" i="47"/>
  <c r="A500" i="47"/>
  <c r="BD503" i="47"/>
  <c r="BG509" i="47"/>
  <c r="BG507" i="47"/>
  <c r="BA504" i="47"/>
  <c r="BI504" i="47" s="1"/>
  <c r="BQ508" i="47"/>
  <c r="BC499" i="47"/>
  <c r="BK497" i="47"/>
  <c r="BK496" i="47"/>
  <c r="BK495" i="47"/>
  <c r="BK494" i="47"/>
  <c r="BK493" i="47"/>
  <c r="AL494" i="47"/>
  <c r="V496" i="47"/>
  <c r="AL496" i="47" s="1"/>
  <c r="V495" i="47"/>
  <c r="V494" i="47"/>
  <c r="V493" i="47"/>
  <c r="N496" i="47"/>
  <c r="X496" i="47" s="1"/>
  <c r="N493" i="47"/>
  <c r="L497" i="47"/>
  <c r="L496" i="47"/>
  <c r="L495" i="47"/>
  <c r="L494" i="47"/>
  <c r="N494" i="47" s="1"/>
  <c r="L493" i="47"/>
  <c r="H497" i="47"/>
  <c r="H496" i="47"/>
  <c r="H495" i="47"/>
  <c r="H494" i="47"/>
  <c r="H493" i="47"/>
  <c r="D494" i="47"/>
  <c r="J494" i="47" s="1"/>
  <c r="B497" i="47"/>
  <c r="B496" i="47"/>
  <c r="B495" i="47"/>
  <c r="B494" i="47"/>
  <c r="B493" i="47"/>
  <c r="BQ495" i="47"/>
  <c r="BG496" i="47"/>
  <c r="BG494" i="47"/>
  <c r="A496" i="47"/>
  <c r="A495" i="47"/>
  <c r="A494" i="47"/>
  <c r="A493" i="47"/>
  <c r="BD497" i="47"/>
  <c r="BD504" i="47"/>
  <c r="BD496" i="47"/>
  <c r="BG503" i="47"/>
  <c r="BD495" i="47"/>
  <c r="BD494" i="47"/>
  <c r="BD493" i="47"/>
  <c r="BA497" i="47"/>
  <c r="BI497" i="47" s="1"/>
  <c r="BA496" i="47"/>
  <c r="BI496" i="47" s="1"/>
  <c r="BA495" i="47"/>
  <c r="BQ502" i="47"/>
  <c r="BA494" i="47"/>
  <c r="BI494" i="47" s="1"/>
  <c r="BA501" i="47"/>
  <c r="BA493" i="47"/>
  <c r="BI493" i="47" s="1"/>
  <c r="BQ500" i="47"/>
  <c r="BC492" i="47"/>
  <c r="BK490" i="47"/>
  <c r="BK489" i="47"/>
  <c r="BK488" i="47"/>
  <c r="BK487" i="47"/>
  <c r="BK486" i="47"/>
  <c r="V489" i="47"/>
  <c r="D496" i="47" s="1"/>
  <c r="J496" i="47" s="1"/>
  <c r="V488" i="47"/>
  <c r="AL488" i="47" s="1"/>
  <c r="V487" i="47"/>
  <c r="AL487" i="47" s="1"/>
  <c r="V486" i="47"/>
  <c r="N489" i="47"/>
  <c r="L490" i="47"/>
  <c r="L489" i="47"/>
  <c r="L488" i="47"/>
  <c r="N488" i="47" s="1"/>
  <c r="L487" i="47"/>
  <c r="L486" i="47"/>
  <c r="N487" i="47" s="1"/>
  <c r="J487" i="47"/>
  <c r="H489" i="47"/>
  <c r="H488" i="47"/>
  <c r="H487" i="47"/>
  <c r="H486" i="47"/>
  <c r="D489" i="47"/>
  <c r="J489" i="47" s="1"/>
  <c r="D487" i="47"/>
  <c r="B490" i="47"/>
  <c r="B489" i="47"/>
  <c r="B488" i="47"/>
  <c r="B487" i="47"/>
  <c r="B486" i="47"/>
  <c r="A489" i="47"/>
  <c r="A488" i="47"/>
  <c r="A487" i="47"/>
  <c r="A486" i="47"/>
  <c r="BG495" i="47"/>
  <c r="BG493" i="47"/>
  <c r="BQ496" i="47"/>
  <c r="BQ494" i="47"/>
  <c r="BQ493" i="47"/>
  <c r="BC485" i="47"/>
  <c r="BK482" i="47"/>
  <c r="BK481" i="47"/>
  <c r="BK480" i="47"/>
  <c r="BK479" i="47"/>
  <c r="V482" i="47"/>
  <c r="AL482" i="47" s="1"/>
  <c r="V481" i="47"/>
  <c r="V480" i="47"/>
  <c r="AL480" i="47" s="1"/>
  <c r="V479" i="47"/>
  <c r="AL479" i="47" s="1"/>
  <c r="N480" i="47"/>
  <c r="L483" i="47"/>
  <c r="L482" i="47"/>
  <c r="L481" i="47"/>
  <c r="N482" i="47" s="1"/>
  <c r="L480" i="47"/>
  <c r="L479" i="47"/>
  <c r="N479" i="47" s="1"/>
  <c r="H482" i="47"/>
  <c r="H481" i="47"/>
  <c r="H480" i="47"/>
  <c r="H479" i="47"/>
  <c r="D481" i="47"/>
  <c r="J481" i="47" s="1"/>
  <c r="D479" i="47"/>
  <c r="J479" i="47" s="1"/>
  <c r="B483" i="47"/>
  <c r="B482" i="47"/>
  <c r="B481" i="47"/>
  <c r="B480" i="47"/>
  <c r="B479" i="47"/>
  <c r="A482" i="47"/>
  <c r="A481" i="47"/>
  <c r="A480" i="47"/>
  <c r="A479" i="47"/>
  <c r="BD490" i="47"/>
  <c r="BG489" i="47"/>
  <c r="BD488" i="47"/>
  <c r="BD486" i="47"/>
  <c r="BQ489" i="47"/>
  <c r="BC513" i="47" s="1"/>
  <c r="BA487" i="47"/>
  <c r="BC478" i="47"/>
  <c r="BI511" i="47" s="1"/>
  <c r="BK476" i="47"/>
  <c r="BK475" i="47"/>
  <c r="BK474" i="47"/>
  <c r="BK473" i="47"/>
  <c r="BK472" i="47"/>
  <c r="V475" i="47"/>
  <c r="AL475" i="47" s="1"/>
  <c r="V474" i="47"/>
  <c r="AL474" i="47" s="1"/>
  <c r="V473" i="47"/>
  <c r="AL473" i="47" s="1"/>
  <c r="V472" i="47"/>
  <c r="N474" i="47"/>
  <c r="N472" i="47"/>
  <c r="L476" i="47"/>
  <c r="L475" i="47"/>
  <c r="N475" i="47" s="1"/>
  <c r="L474" i="47"/>
  <c r="L473" i="47"/>
  <c r="N473" i="47" s="1"/>
  <c r="L472" i="47"/>
  <c r="H475" i="47"/>
  <c r="H474" i="47"/>
  <c r="H473" i="47"/>
  <c r="H472" i="47"/>
  <c r="D472" i="47"/>
  <c r="J472" i="47" s="1"/>
  <c r="B476" i="47"/>
  <c r="B475" i="47"/>
  <c r="B474" i="47"/>
  <c r="B473" i="47"/>
  <c r="B472" i="47"/>
  <c r="A475" i="47"/>
  <c r="A474" i="47"/>
  <c r="A473" i="47"/>
  <c r="A472" i="47"/>
  <c r="BC471" i="47"/>
  <c r="BK468" i="47"/>
  <c r="BK467" i="47"/>
  <c r="BK466" i="47"/>
  <c r="BK465" i="47"/>
  <c r="AL467" i="47"/>
  <c r="V468" i="47"/>
  <c r="AL468" i="47" s="1"/>
  <c r="V467" i="47"/>
  <c r="V466" i="47"/>
  <c r="AL466" i="47" s="1"/>
  <c r="V465" i="47"/>
  <c r="P465" i="47"/>
  <c r="N466" i="47"/>
  <c r="L469" i="47"/>
  <c r="L468" i="47"/>
  <c r="L467" i="47"/>
  <c r="N467" i="47" s="1"/>
  <c r="P467" i="47" s="1"/>
  <c r="L466" i="47"/>
  <c r="L465" i="47"/>
  <c r="N465" i="47" s="1"/>
  <c r="H468" i="47"/>
  <c r="H467" i="47"/>
  <c r="H466" i="47"/>
  <c r="H465" i="47"/>
  <c r="D467" i="47"/>
  <c r="J467" i="47" s="1"/>
  <c r="B469" i="47"/>
  <c r="B468" i="47"/>
  <c r="B467" i="47"/>
  <c r="B466" i="47"/>
  <c r="B465" i="47"/>
  <c r="A468" i="47"/>
  <c r="A467" i="47"/>
  <c r="A466" i="47"/>
  <c r="A465" i="47"/>
  <c r="BC464" i="47"/>
  <c r="BK461" i="47"/>
  <c r="BK460" i="47"/>
  <c r="BK459" i="47"/>
  <c r="BK458" i="47"/>
  <c r="AL460" i="47"/>
  <c r="V461" i="47"/>
  <c r="D468" i="47" s="1"/>
  <c r="J468" i="47" s="1"/>
  <c r="V460" i="47"/>
  <c r="V459" i="47"/>
  <c r="D466" i="47" s="1"/>
  <c r="J466" i="47" s="1"/>
  <c r="V458" i="47"/>
  <c r="P458" i="47"/>
  <c r="N459" i="47"/>
  <c r="L462" i="47"/>
  <c r="L461" i="47"/>
  <c r="L460" i="47"/>
  <c r="N460" i="47" s="1"/>
  <c r="P460" i="47" s="1"/>
  <c r="L459" i="47"/>
  <c r="L458" i="47"/>
  <c r="N458" i="47" s="1"/>
  <c r="H461" i="47"/>
  <c r="H460" i="47"/>
  <c r="H459" i="47"/>
  <c r="H458" i="47"/>
  <c r="D460" i="47"/>
  <c r="J460" i="47" s="1"/>
  <c r="B462" i="47"/>
  <c r="B461" i="47"/>
  <c r="B460" i="47"/>
  <c r="B459" i="47"/>
  <c r="B458" i="47"/>
  <c r="A461" i="47"/>
  <c r="A460" i="47"/>
  <c r="A459" i="47"/>
  <c r="A458" i="47"/>
  <c r="BD461" i="47"/>
  <c r="BD459" i="47"/>
  <c r="BA462" i="47"/>
  <c r="BA460" i="47"/>
  <c r="BA458" i="47"/>
  <c r="BC457" i="47"/>
  <c r="BK454" i="47"/>
  <c r="BK453" i="47"/>
  <c r="BK452" i="47"/>
  <c r="BK451" i="47"/>
  <c r="AL453" i="47"/>
  <c r="V453" i="47"/>
  <c r="V452" i="47"/>
  <c r="D459" i="47" s="1"/>
  <c r="J459" i="47" s="1"/>
  <c r="V451" i="47"/>
  <c r="D458" i="47" s="1"/>
  <c r="N452" i="47"/>
  <c r="L455" i="47"/>
  <c r="L454" i="47"/>
  <c r="L453" i="47"/>
  <c r="N453" i="47" s="1"/>
  <c r="P453" i="47" s="1"/>
  <c r="L452" i="47"/>
  <c r="L451" i="47"/>
  <c r="N451" i="47" s="1"/>
  <c r="J452" i="47"/>
  <c r="H455" i="47"/>
  <c r="H454" i="47"/>
  <c r="H453" i="47"/>
  <c r="H452" i="47"/>
  <c r="H451" i="47"/>
  <c r="B455" i="47"/>
  <c r="B454" i="47"/>
  <c r="B453" i="47"/>
  <c r="B452" i="47"/>
  <c r="B451" i="47"/>
  <c r="AC454" i="47"/>
  <c r="A454" i="47"/>
  <c r="A453" i="47"/>
  <c r="A452" i="47"/>
  <c r="A451" i="47"/>
  <c r="BH452" i="47"/>
  <c r="BD455" i="47"/>
  <c r="BD454" i="47"/>
  <c r="BD453" i="47"/>
  <c r="BH453" i="47" s="1"/>
  <c r="BD452" i="47"/>
  <c r="BD451" i="47"/>
  <c r="BA455" i="47"/>
  <c r="BH455" i="47" s="1"/>
  <c r="BA454" i="47"/>
  <c r="BI454" i="47" s="1"/>
  <c r="BA453" i="47"/>
  <c r="BA452" i="47"/>
  <c r="BI452" i="47" s="1"/>
  <c r="BA451" i="47"/>
  <c r="BH451" i="47" s="1"/>
  <c r="BC450" i="47"/>
  <c r="BK448" i="47"/>
  <c r="BK447" i="47"/>
  <c r="BK446" i="47"/>
  <c r="BK445" i="47"/>
  <c r="BK444" i="47"/>
  <c r="V447" i="47"/>
  <c r="V446" i="47"/>
  <c r="AL446" i="47" s="1"/>
  <c r="V445" i="47"/>
  <c r="D452" i="47" s="1"/>
  <c r="V444" i="47"/>
  <c r="D451" i="47" s="1"/>
  <c r="J451" i="47" s="1"/>
  <c r="L448" i="47"/>
  <c r="L447" i="47"/>
  <c r="L446" i="47"/>
  <c r="N446" i="47" s="1"/>
  <c r="L445" i="47"/>
  <c r="L444" i="47"/>
  <c r="N444" i="47" s="1"/>
  <c r="J445" i="47"/>
  <c r="H447" i="47"/>
  <c r="H446" i="47"/>
  <c r="H445" i="47"/>
  <c r="H444" i="47"/>
  <c r="D447" i="47"/>
  <c r="J447" i="47" s="1"/>
  <c r="D445" i="47"/>
  <c r="B448" i="47"/>
  <c r="B447" i="47"/>
  <c r="B446" i="47"/>
  <c r="B445" i="47"/>
  <c r="B444" i="47"/>
  <c r="AC447" i="47"/>
  <c r="A447" i="47"/>
  <c r="A446" i="47"/>
  <c r="A445" i="47"/>
  <c r="A444" i="47"/>
  <c r="BC443" i="47"/>
  <c r="BK441" i="47"/>
  <c r="BK440" i="47"/>
  <c r="BK439" i="47"/>
  <c r="BK438" i="47"/>
  <c r="BK437" i="47"/>
  <c r="AL438" i="47"/>
  <c r="V440" i="47"/>
  <c r="AL440" i="47" s="1"/>
  <c r="V439" i="47"/>
  <c r="AL439" i="47" s="1"/>
  <c r="V438" i="47"/>
  <c r="V437" i="47"/>
  <c r="V441" i="47" s="1"/>
  <c r="N438" i="47"/>
  <c r="L441" i="47"/>
  <c r="L440" i="47"/>
  <c r="L439" i="47"/>
  <c r="N440" i="47" s="1"/>
  <c r="L438" i="47"/>
  <c r="L437" i="47"/>
  <c r="N437" i="47" s="1"/>
  <c r="H441" i="47"/>
  <c r="H440" i="47"/>
  <c r="H439" i="47"/>
  <c r="H438" i="47"/>
  <c r="H437" i="47"/>
  <c r="B441" i="47"/>
  <c r="B440" i="47"/>
  <c r="B439" i="47"/>
  <c r="B438" i="47"/>
  <c r="B437" i="47"/>
  <c r="AC440" i="47"/>
  <c r="A440" i="47"/>
  <c r="A439" i="47"/>
  <c r="A438" i="47"/>
  <c r="A437" i="47"/>
  <c r="BD441" i="47"/>
  <c r="BD447" i="47"/>
  <c r="BD439" i="47"/>
  <c r="BD445" i="47"/>
  <c r="BD437" i="47"/>
  <c r="BA448" i="47"/>
  <c r="BA440" i="47"/>
  <c r="BA446" i="47"/>
  <c r="BA438" i="47"/>
  <c r="BA444" i="47"/>
  <c r="BC436" i="47"/>
  <c r="V433" i="47"/>
  <c r="D440" i="47" s="1"/>
  <c r="J440" i="47" s="1"/>
  <c r="V432" i="47"/>
  <c r="V431" i="47"/>
  <c r="D438" i="47" s="1"/>
  <c r="J438" i="47" s="1"/>
  <c r="V430" i="47"/>
  <c r="V434" i="47" s="1"/>
  <c r="N432" i="47"/>
  <c r="P432" i="47" s="1"/>
  <c r="L434" i="47"/>
  <c r="L433" i="47"/>
  <c r="N433" i="47" s="1"/>
  <c r="L432" i="47"/>
  <c r="L431" i="47"/>
  <c r="N431" i="47" s="1"/>
  <c r="P431" i="47" s="1"/>
  <c r="L430" i="47"/>
  <c r="J430" i="47"/>
  <c r="H434" i="47"/>
  <c r="H433" i="47"/>
  <c r="H432" i="47"/>
  <c r="H431" i="47"/>
  <c r="H430" i="47"/>
  <c r="D432" i="47"/>
  <c r="J432" i="47" s="1"/>
  <c r="D430" i="47"/>
  <c r="B434" i="47"/>
  <c r="B433" i="47"/>
  <c r="B432" i="47"/>
  <c r="B431" i="47"/>
  <c r="B430" i="47"/>
  <c r="B429" i="47"/>
  <c r="B436" i="47" s="1"/>
  <c r="B443" i="47" s="1"/>
  <c r="B450" i="47" s="1"/>
  <c r="B457" i="47" s="1"/>
  <c r="B464" i="47" s="1"/>
  <c r="B471" i="47" s="1"/>
  <c r="B478" i="47" s="1"/>
  <c r="B485" i="47" s="1"/>
  <c r="B492" i="47" s="1"/>
  <c r="B499" i="47" s="1"/>
  <c r="B506" i="47" s="1"/>
  <c r="A433" i="47"/>
  <c r="A432" i="47"/>
  <c r="A431" i="47"/>
  <c r="A430" i="47"/>
  <c r="V426" i="47"/>
  <c r="V425" i="47"/>
  <c r="V424" i="47"/>
  <c r="V423" i="47"/>
  <c r="V427" i="47" s="1"/>
  <c r="N425" i="47"/>
  <c r="N423" i="47"/>
  <c r="L427" i="47"/>
  <c r="L426" i="47"/>
  <c r="L425" i="47"/>
  <c r="L424" i="47"/>
  <c r="N424" i="47" s="1"/>
  <c r="L423" i="47"/>
  <c r="B427" i="47"/>
  <c r="B426" i="47"/>
  <c r="B425" i="47"/>
  <c r="B424" i="47"/>
  <c r="B423" i="47"/>
  <c r="A426" i="47"/>
  <c r="A425" i="47"/>
  <c r="A424" i="47"/>
  <c r="A423" i="47"/>
  <c r="L413" i="47"/>
  <c r="N413" i="47" s="1"/>
  <c r="H416" i="47"/>
  <c r="H415" i="47"/>
  <c r="H414" i="47"/>
  <c r="H413" i="47"/>
  <c r="B417" i="47"/>
  <c r="B416" i="47"/>
  <c r="B415" i="47"/>
  <c r="B414" i="47"/>
  <c r="B413" i="47"/>
  <c r="BU415" i="47"/>
  <c r="BU413" i="47"/>
  <c r="BQ415" i="47"/>
  <c r="BM415" i="47" s="1"/>
  <c r="BQ413" i="47"/>
  <c r="BM413" i="47" s="1"/>
  <c r="BK416" i="47"/>
  <c r="BK415" i="47"/>
  <c r="BK414" i="47"/>
  <c r="BK413" i="47"/>
  <c r="A416" i="47"/>
  <c r="A415" i="47"/>
  <c r="A414" i="47"/>
  <c r="A413" i="47"/>
  <c r="BD416" i="47"/>
  <c r="BD415" i="47"/>
  <c r="BD414" i="47"/>
  <c r="BD413" i="47"/>
  <c r="BA416" i="47"/>
  <c r="BA415" i="47"/>
  <c r="BI415" i="47" s="1"/>
  <c r="BA414" i="47"/>
  <c r="BA413" i="47"/>
  <c r="BI413" i="47" s="1"/>
  <c r="AL408" i="47"/>
  <c r="V408" i="47"/>
  <c r="V407" i="47"/>
  <c r="V406" i="47"/>
  <c r="AL406" i="47" s="1"/>
  <c r="L410" i="47"/>
  <c r="L409" i="47"/>
  <c r="L408" i="47"/>
  <c r="N408" i="47" s="1"/>
  <c r="L407" i="47"/>
  <c r="L406" i="47"/>
  <c r="N407" i="47" s="1"/>
  <c r="H409" i="47"/>
  <c r="H408" i="47"/>
  <c r="H407" i="47"/>
  <c r="H406" i="47"/>
  <c r="D406" i="47"/>
  <c r="J406" i="47" s="1"/>
  <c r="B410" i="47"/>
  <c r="B409" i="47"/>
  <c r="B408" i="47"/>
  <c r="B407" i="47"/>
  <c r="B406" i="47"/>
  <c r="BU406" i="47"/>
  <c r="BK409" i="47"/>
  <c r="BK408" i="47"/>
  <c r="BK407" i="47"/>
  <c r="BK406" i="47"/>
  <c r="A409" i="47"/>
  <c r="A408" i="47"/>
  <c r="A407" i="47"/>
  <c r="A406" i="47"/>
  <c r="BU416" i="47"/>
  <c r="BU414" i="47"/>
  <c r="BC410" i="47"/>
  <c r="BA409" i="47"/>
  <c r="BQ416" i="47"/>
  <c r="BA407" i="47"/>
  <c r="BQ414" i="47"/>
  <c r="AZ410" i="47"/>
  <c r="AL402" i="47"/>
  <c r="AL400" i="47"/>
  <c r="V402" i="47"/>
  <c r="V401" i="47"/>
  <c r="AL401" i="47" s="1"/>
  <c r="V400" i="47"/>
  <c r="V399" i="47"/>
  <c r="N399" i="47"/>
  <c r="L403" i="47"/>
  <c r="L402" i="47"/>
  <c r="N402" i="47" s="1"/>
  <c r="L401" i="47"/>
  <c r="L400" i="47"/>
  <c r="N400" i="47" s="1"/>
  <c r="P400" i="47" s="1"/>
  <c r="L399" i="47"/>
  <c r="H402" i="47"/>
  <c r="H401" i="47"/>
  <c r="H400" i="47"/>
  <c r="H399" i="47"/>
  <c r="D401" i="47"/>
  <c r="J401" i="47" s="1"/>
  <c r="D399" i="47"/>
  <c r="J399" i="47" s="1"/>
  <c r="B403" i="47"/>
  <c r="B402" i="47"/>
  <c r="B401" i="47"/>
  <c r="B400" i="47"/>
  <c r="B399" i="47"/>
  <c r="BU401" i="47"/>
  <c r="BU399" i="47"/>
  <c r="BQ401" i="47"/>
  <c r="BQ399" i="47"/>
  <c r="BM401" i="47"/>
  <c r="BM399" i="47"/>
  <c r="BK402" i="47"/>
  <c r="BK401" i="47"/>
  <c r="BK400" i="47"/>
  <c r="BK399" i="47"/>
  <c r="A402" i="47"/>
  <c r="A401" i="47"/>
  <c r="A400" i="47"/>
  <c r="A399" i="47"/>
  <c r="BD409" i="47"/>
  <c r="BD401" i="47"/>
  <c r="BA401" i="47"/>
  <c r="BI401" i="47" s="1"/>
  <c r="BA399" i="47"/>
  <c r="AL394" i="47"/>
  <c r="V395" i="47"/>
  <c r="AL395" i="47" s="1"/>
  <c r="V394" i="47"/>
  <c r="V393" i="47"/>
  <c r="AL393" i="47" s="1"/>
  <c r="V392" i="47"/>
  <c r="N393" i="47"/>
  <c r="L396" i="47"/>
  <c r="L395" i="47"/>
  <c r="L394" i="47"/>
  <c r="N394" i="47" s="1"/>
  <c r="L393" i="47"/>
  <c r="L392" i="47"/>
  <c r="H395" i="47"/>
  <c r="H394" i="47"/>
  <c r="H393" i="47"/>
  <c r="H392" i="47"/>
  <c r="D393" i="47"/>
  <c r="J393" i="47" s="1"/>
  <c r="B396" i="47"/>
  <c r="B395" i="47"/>
  <c r="B394" i="47"/>
  <c r="B393" i="47"/>
  <c r="B392" i="47"/>
  <c r="BQ395" i="47"/>
  <c r="BK395" i="47"/>
  <c r="BK394" i="47"/>
  <c r="BK393" i="47"/>
  <c r="BK392" i="47"/>
  <c r="A395" i="47"/>
  <c r="A394" i="47"/>
  <c r="A393" i="47"/>
  <c r="A392" i="47"/>
  <c r="BD396" i="47"/>
  <c r="BU402" i="47"/>
  <c r="BD394" i="47"/>
  <c r="BU400" i="47"/>
  <c r="BD392" i="47"/>
  <c r="BA395" i="47"/>
  <c r="BQ402" i="47"/>
  <c r="BA393" i="47"/>
  <c r="BQ400" i="47"/>
  <c r="V388" i="47"/>
  <c r="V387" i="47"/>
  <c r="AL387" i="47" s="1"/>
  <c r="V386" i="47"/>
  <c r="D386" i="47" s="1"/>
  <c r="J386" i="47" s="1"/>
  <c r="V385" i="47"/>
  <c r="AL385" i="47" s="1"/>
  <c r="N385" i="47"/>
  <c r="L389" i="47"/>
  <c r="L388" i="47"/>
  <c r="N388" i="47" s="1"/>
  <c r="L387" i="47"/>
  <c r="L386" i="47"/>
  <c r="N386" i="47" s="1"/>
  <c r="P386" i="47" s="1"/>
  <c r="L385" i="47"/>
  <c r="H388" i="47"/>
  <c r="H387" i="47"/>
  <c r="H386" i="47"/>
  <c r="H385" i="47"/>
  <c r="D385" i="47"/>
  <c r="J385" i="47" s="1"/>
  <c r="B389" i="47"/>
  <c r="B388" i="47"/>
  <c r="B387" i="47"/>
  <c r="B386" i="47"/>
  <c r="B385" i="47"/>
  <c r="BK388" i="47"/>
  <c r="BK387" i="47"/>
  <c r="BK386" i="47"/>
  <c r="BK385" i="47"/>
  <c r="A388" i="47"/>
  <c r="A387" i="47"/>
  <c r="A386" i="47"/>
  <c r="A385" i="47"/>
  <c r="BD389" i="47"/>
  <c r="BU395" i="47"/>
  <c r="BU394" i="47"/>
  <c r="BD393" i="47"/>
  <c r="BU392" i="47"/>
  <c r="BA396" i="47"/>
  <c r="BA388" i="47"/>
  <c r="BQ394" i="47"/>
  <c r="BM394" i="47" s="1"/>
  <c r="BQ393" i="47"/>
  <c r="BQ392" i="47"/>
  <c r="BM392" i="47" s="1"/>
  <c r="V381" i="47"/>
  <c r="AL381" i="47" s="1"/>
  <c r="V380" i="47"/>
  <c r="D387" i="47" s="1"/>
  <c r="J387" i="47" s="1"/>
  <c r="V379" i="47"/>
  <c r="AL379" i="47" s="1"/>
  <c r="V378" i="47"/>
  <c r="AL378" i="47" s="1"/>
  <c r="N379" i="47"/>
  <c r="L382" i="47"/>
  <c r="L381" i="47"/>
  <c r="L380" i="47"/>
  <c r="N381" i="47" s="1"/>
  <c r="L379" i="47"/>
  <c r="L378" i="47"/>
  <c r="N378" i="47" s="1"/>
  <c r="H382" i="47"/>
  <c r="H381" i="47"/>
  <c r="H380" i="47"/>
  <c r="H379" i="47"/>
  <c r="H378" i="47"/>
  <c r="D379" i="47"/>
  <c r="J379" i="47" s="1"/>
  <c r="B382" i="47"/>
  <c r="B381" i="47"/>
  <c r="B380" i="47"/>
  <c r="B379" i="47"/>
  <c r="B378" i="47"/>
  <c r="BK381" i="47"/>
  <c r="BK380" i="47"/>
  <c r="BK379" i="47"/>
  <c r="BK378" i="47"/>
  <c r="A381" i="47"/>
  <c r="A380" i="47"/>
  <c r="A379" i="47"/>
  <c r="A378" i="47"/>
  <c r="BD382" i="47"/>
  <c r="BD381" i="47"/>
  <c r="BD380" i="47"/>
  <c r="BD379" i="47"/>
  <c r="BD378" i="47"/>
  <c r="BA382" i="47"/>
  <c r="BA381" i="47"/>
  <c r="BI381" i="47" s="1"/>
  <c r="BA380" i="47"/>
  <c r="BI380" i="47" s="1"/>
  <c r="BA379" i="47"/>
  <c r="BI379" i="47" s="1"/>
  <c r="BA378" i="47"/>
  <c r="BI378" i="47" s="1"/>
  <c r="BK374" i="47"/>
  <c r="BK373" i="47"/>
  <c r="BK372" i="47"/>
  <c r="BK371" i="47"/>
  <c r="V374" i="47"/>
  <c r="D381" i="47" s="1"/>
  <c r="J381" i="47" s="1"/>
  <c r="V373" i="47"/>
  <c r="AL373" i="47" s="1"/>
  <c r="V372" i="47"/>
  <c r="AL372" i="47" s="1"/>
  <c r="V371" i="47"/>
  <c r="AL371" i="47" s="1"/>
  <c r="N373" i="47"/>
  <c r="L375" i="47"/>
  <c r="L374" i="47"/>
  <c r="N374" i="47" s="1"/>
  <c r="L373" i="47"/>
  <c r="L372" i="47"/>
  <c r="N372" i="47" s="1"/>
  <c r="L371" i="47"/>
  <c r="J371" i="47"/>
  <c r="H374" i="47"/>
  <c r="H373" i="47"/>
  <c r="H372" i="47"/>
  <c r="H371" i="47"/>
  <c r="D371" i="47"/>
  <c r="B375" i="47"/>
  <c r="B374" i="47"/>
  <c r="B373" i="47"/>
  <c r="B372" i="47"/>
  <c r="B371" i="47"/>
  <c r="A374" i="47"/>
  <c r="A373" i="47"/>
  <c r="A372" i="47"/>
  <c r="A371" i="47"/>
  <c r="BD375" i="47"/>
  <c r="BD374" i="47"/>
  <c r="BD373" i="47"/>
  <c r="BD372" i="47"/>
  <c r="BI372" i="47" s="1"/>
  <c r="BD371" i="47"/>
  <c r="BA375" i="47"/>
  <c r="BI375" i="47" s="1"/>
  <c r="BA374" i="47"/>
  <c r="BI374" i="47" s="1"/>
  <c r="BA373" i="47"/>
  <c r="BI373" i="47" s="1"/>
  <c r="BA372" i="47"/>
  <c r="BA371" i="47"/>
  <c r="BI371" i="47" s="1"/>
  <c r="BK367" i="47"/>
  <c r="BK366" i="47"/>
  <c r="BK365" i="47"/>
  <c r="BK364" i="47"/>
  <c r="V367" i="47"/>
  <c r="AL367" i="47" s="1"/>
  <c r="V366" i="47"/>
  <c r="AL366" i="47" s="1"/>
  <c r="V365" i="47"/>
  <c r="D365" i="47" s="1"/>
  <c r="J365" i="47" s="1"/>
  <c r="V364" i="47"/>
  <c r="AL364" i="47" s="1"/>
  <c r="N364" i="47"/>
  <c r="L368" i="47"/>
  <c r="L367" i="47"/>
  <c r="N371" i="47" s="1"/>
  <c r="L366" i="47"/>
  <c r="L365" i="47"/>
  <c r="L364" i="47"/>
  <c r="J366" i="47"/>
  <c r="H367" i="47"/>
  <c r="H366" i="47"/>
  <c r="H365" i="47"/>
  <c r="H364" i="47"/>
  <c r="D366" i="47"/>
  <c r="B368" i="47"/>
  <c r="B367" i="47"/>
  <c r="B366" i="47"/>
  <c r="B365" i="47"/>
  <c r="B364" i="47"/>
  <c r="AC367" i="47"/>
  <c r="AC371" i="47" s="1"/>
  <c r="A367" i="47"/>
  <c r="A366" i="47"/>
  <c r="A365" i="47"/>
  <c r="A364" i="47"/>
  <c r="BD368" i="47"/>
  <c r="BD367" i="47"/>
  <c r="BD366" i="47"/>
  <c r="BD365" i="47"/>
  <c r="BD364" i="47"/>
  <c r="BA368" i="47"/>
  <c r="BA367" i="47"/>
  <c r="BI367" i="47" s="1"/>
  <c r="BA366" i="47"/>
  <c r="BA365" i="47"/>
  <c r="BI365" i="47" s="1"/>
  <c r="BA364" i="47"/>
  <c r="BK360" i="47"/>
  <c r="BK359" i="47"/>
  <c r="BK358" i="47"/>
  <c r="BK357" i="47"/>
  <c r="V360" i="47"/>
  <c r="V359" i="47"/>
  <c r="AL359" i="47" s="1"/>
  <c r="V358" i="47"/>
  <c r="AL358" i="47" s="1"/>
  <c r="V357" i="47"/>
  <c r="AL357" i="47" s="1"/>
  <c r="N359" i="47"/>
  <c r="L361" i="47"/>
  <c r="AC364" i="47" s="1"/>
  <c r="L360" i="47"/>
  <c r="N360" i="47" s="1"/>
  <c r="L359" i="47"/>
  <c r="L358" i="47"/>
  <c r="N358" i="47" s="1"/>
  <c r="L357" i="47"/>
  <c r="H361" i="47"/>
  <c r="H360" i="47"/>
  <c r="H359" i="47"/>
  <c r="H358" i="47"/>
  <c r="H357" i="47"/>
  <c r="D360" i="47"/>
  <c r="J360" i="47" s="1"/>
  <c r="D357" i="47"/>
  <c r="J357" i="47" s="1"/>
  <c r="B361" i="47"/>
  <c r="B360" i="47"/>
  <c r="B359" i="47"/>
  <c r="B358" i="47"/>
  <c r="B357" i="47"/>
  <c r="AC360" i="47"/>
  <c r="AC358" i="47"/>
  <c r="A360" i="47"/>
  <c r="A359" i="47"/>
  <c r="A358" i="47"/>
  <c r="A357" i="47"/>
  <c r="BD360" i="47"/>
  <c r="BD358" i="47"/>
  <c r="BA361" i="47"/>
  <c r="BA359" i="47"/>
  <c r="BA357" i="47"/>
  <c r="BK354" i="47"/>
  <c r="BK353" i="47"/>
  <c r="BK352" i="47"/>
  <c r="BK351" i="47"/>
  <c r="BK350" i="47"/>
  <c r="AL351" i="47"/>
  <c r="V353" i="47"/>
  <c r="AL353" i="47" s="1"/>
  <c r="V352" i="47"/>
  <c r="AL352" i="47" s="1"/>
  <c r="V351" i="47"/>
  <c r="V350" i="47"/>
  <c r="AL350" i="47" s="1"/>
  <c r="AL354" i="47" s="1"/>
  <c r="N350" i="47"/>
  <c r="L354" i="47"/>
  <c r="L353" i="47"/>
  <c r="N357" i="47" s="1"/>
  <c r="L352" i="47"/>
  <c r="L351" i="47"/>
  <c r="L350" i="47"/>
  <c r="H354" i="47"/>
  <c r="H353" i="47"/>
  <c r="H352" i="47"/>
  <c r="H351" i="47"/>
  <c r="H350" i="47"/>
  <c r="B354" i="47"/>
  <c r="B353" i="47"/>
  <c r="B352" i="47"/>
  <c r="B351" i="47"/>
  <c r="B350" i="47"/>
  <c r="AC353" i="47"/>
  <c r="AC357" i="47" s="1"/>
  <c r="AE357" i="47" s="1"/>
  <c r="A353" i="47"/>
  <c r="A352" i="47"/>
  <c r="A351" i="47"/>
  <c r="A350" i="47"/>
  <c r="BD353" i="47"/>
  <c r="BD351" i="47"/>
  <c r="BA354" i="47"/>
  <c r="BA352" i="47"/>
  <c r="BA350" i="47"/>
  <c r="BK347" i="47"/>
  <c r="BK346" i="47"/>
  <c r="BK345" i="47"/>
  <c r="BK344" i="47"/>
  <c r="BK343" i="47"/>
  <c r="AL346" i="47"/>
  <c r="AL344" i="47"/>
  <c r="V346" i="47"/>
  <c r="V345" i="47"/>
  <c r="D352" i="47" s="1"/>
  <c r="J352" i="47" s="1"/>
  <c r="V344" i="47"/>
  <c r="V343" i="47"/>
  <c r="D350" i="47" s="1"/>
  <c r="J350" i="47" s="1"/>
  <c r="N346" i="47"/>
  <c r="L347" i="47"/>
  <c r="L346" i="47"/>
  <c r="L345" i="47"/>
  <c r="N345" i="47" s="1"/>
  <c r="L344" i="47"/>
  <c r="L343" i="47"/>
  <c r="H347" i="47"/>
  <c r="H346" i="47"/>
  <c r="H345" i="47"/>
  <c r="H344" i="47"/>
  <c r="H343" i="47"/>
  <c r="B347" i="47"/>
  <c r="B346" i="47"/>
  <c r="B345" i="47"/>
  <c r="B344" i="47"/>
  <c r="B343" i="47"/>
  <c r="AC346" i="47"/>
  <c r="AC350" i="47" s="1"/>
  <c r="A346" i="47"/>
  <c r="A345" i="47"/>
  <c r="A344" i="47"/>
  <c r="A343" i="47"/>
  <c r="BD347" i="47"/>
  <c r="BD345" i="47"/>
  <c r="BD344" i="47"/>
  <c r="BD343" i="47"/>
  <c r="BA346" i="47"/>
  <c r="BA345" i="47"/>
  <c r="BI345" i="47" s="1"/>
  <c r="BA344" i="47"/>
  <c r="V339" i="47"/>
  <c r="D346" i="47" s="1"/>
  <c r="J346" i="47" s="1"/>
  <c r="V338" i="47"/>
  <c r="V337" i="47"/>
  <c r="D344" i="47" s="1"/>
  <c r="J344" i="47" s="1"/>
  <c r="V336" i="47"/>
  <c r="AW155" i="40" s="1"/>
  <c r="N336" i="47"/>
  <c r="P336" i="47" s="1"/>
  <c r="L340" i="47"/>
  <c r="L339" i="47"/>
  <c r="N339" i="47" s="1"/>
  <c r="X339" i="47" s="1"/>
  <c r="L338" i="47"/>
  <c r="L337" i="47"/>
  <c r="L336" i="47"/>
  <c r="H340" i="47"/>
  <c r="H339" i="47"/>
  <c r="H338" i="47"/>
  <c r="H337" i="47"/>
  <c r="H336" i="47"/>
  <c r="B340" i="47"/>
  <c r="B339" i="47"/>
  <c r="B338" i="47"/>
  <c r="B337" i="47"/>
  <c r="B336" i="47"/>
  <c r="B335" i="47"/>
  <c r="B342" i="47" s="1"/>
  <c r="B349" i="47" s="1"/>
  <c r="B356" i="47" s="1"/>
  <c r="B363" i="47" s="1"/>
  <c r="B370" i="47" s="1"/>
  <c r="B377" i="47" s="1"/>
  <c r="B384" i="47" s="1"/>
  <c r="B391" i="47" s="1"/>
  <c r="B398" i="47" s="1"/>
  <c r="B405" i="47" s="1"/>
  <c r="B412" i="47" s="1"/>
  <c r="A339" i="47"/>
  <c r="A338" i="47"/>
  <c r="A337" i="47"/>
  <c r="A336" i="47"/>
  <c r="L333" i="47"/>
  <c r="L332" i="47"/>
  <c r="L331" i="47"/>
  <c r="L330" i="47"/>
  <c r="L329" i="47"/>
  <c r="N329" i="47" s="1"/>
  <c r="B333" i="47"/>
  <c r="B332" i="47"/>
  <c r="B331" i="47"/>
  <c r="B330" i="47"/>
  <c r="B329" i="47"/>
  <c r="A332" i="47"/>
  <c r="A331" i="47"/>
  <c r="A330" i="47"/>
  <c r="A329" i="47"/>
  <c r="AE319" i="47"/>
  <c r="AG319" i="47" s="1"/>
  <c r="N321" i="47"/>
  <c r="P321" i="47" s="1"/>
  <c r="N319" i="47"/>
  <c r="L323" i="47"/>
  <c r="L322" i="47"/>
  <c r="N322" i="47" s="1"/>
  <c r="L321" i="47"/>
  <c r="L320" i="47"/>
  <c r="N320" i="47" s="1"/>
  <c r="L319" i="47"/>
  <c r="J321" i="47"/>
  <c r="D321" i="47" s="1"/>
  <c r="H322" i="47"/>
  <c r="H321" i="47"/>
  <c r="H320" i="47"/>
  <c r="H319" i="47"/>
  <c r="B323" i="47"/>
  <c r="B322" i="47"/>
  <c r="B321" i="47"/>
  <c r="B320" i="47"/>
  <c r="B319" i="47"/>
  <c r="AC322" i="47"/>
  <c r="AC321" i="47"/>
  <c r="AE322" i="47" s="1"/>
  <c r="AG322" i="47" s="1"/>
  <c r="AC320" i="47"/>
  <c r="AC319" i="47"/>
  <c r="AE320" i="47" s="1"/>
  <c r="AG320" i="47" s="1"/>
  <c r="A322" i="47"/>
  <c r="A321" i="47"/>
  <c r="A320" i="47"/>
  <c r="A319" i="47"/>
  <c r="AL315" i="47"/>
  <c r="AL313" i="47"/>
  <c r="AE313" i="47"/>
  <c r="V315" i="47"/>
  <c r="V314" i="47"/>
  <c r="V313" i="47"/>
  <c r="V312" i="47"/>
  <c r="L316" i="47"/>
  <c r="L315" i="47"/>
  <c r="L314" i="47"/>
  <c r="N314" i="47" s="1"/>
  <c r="L313" i="47"/>
  <c r="L312" i="47"/>
  <c r="N312" i="47" s="1"/>
  <c r="P312" i="47" s="1"/>
  <c r="H315" i="47"/>
  <c r="H314" i="47"/>
  <c r="H313" i="47"/>
  <c r="H312" i="47"/>
  <c r="D315" i="47"/>
  <c r="J315" i="47" s="1"/>
  <c r="B316" i="47"/>
  <c r="B315" i="47"/>
  <c r="B314" i="47"/>
  <c r="B313" i="47"/>
  <c r="B312" i="47"/>
  <c r="AC315" i="47"/>
  <c r="AE315" i="47" s="1"/>
  <c r="AC314" i="47"/>
  <c r="AC313" i="47"/>
  <c r="AE314" i="47" s="1"/>
  <c r="AC312" i="47"/>
  <c r="AE312" i="47" s="1"/>
  <c r="A315" i="47"/>
  <c r="A314" i="47"/>
  <c r="A313" i="47"/>
  <c r="A312" i="47"/>
  <c r="AJ313" i="47"/>
  <c r="AJ312" i="47"/>
  <c r="AJ311" i="47"/>
  <c r="AJ310" i="47"/>
  <c r="AL306" i="47"/>
  <c r="AL305" i="47"/>
  <c r="V308" i="47"/>
  <c r="V307" i="47"/>
  <c r="X307" i="47" s="1"/>
  <c r="V306" i="47"/>
  <c r="V305" i="47"/>
  <c r="V309" i="47" s="1"/>
  <c r="N305" i="47"/>
  <c r="L309" i="47"/>
  <c r="L308" i="47"/>
  <c r="N308" i="47" s="1"/>
  <c r="L307" i="47"/>
  <c r="L306" i="47"/>
  <c r="N307" i="47" s="1"/>
  <c r="L305" i="47"/>
  <c r="H309" i="47"/>
  <c r="H308" i="47"/>
  <c r="H307" i="47"/>
  <c r="H306" i="47"/>
  <c r="H305" i="47"/>
  <c r="D306" i="47"/>
  <c r="J306" i="47" s="1"/>
  <c r="D305" i="47"/>
  <c r="J305" i="47" s="1"/>
  <c r="B309" i="47"/>
  <c r="B308" i="47"/>
  <c r="B307" i="47"/>
  <c r="B306" i="47"/>
  <c r="B305" i="47"/>
  <c r="AC308" i="47"/>
  <c r="AC307" i="47"/>
  <c r="AE308" i="47" s="1"/>
  <c r="AC306" i="47"/>
  <c r="AC305" i="47"/>
  <c r="AE306" i="47" s="1"/>
  <c r="A308" i="47"/>
  <c r="A307" i="47"/>
  <c r="A306" i="47"/>
  <c r="A305" i="47"/>
  <c r="AL301" i="47"/>
  <c r="AL299" i="47"/>
  <c r="V301" i="47"/>
  <c r="D308" i="47" s="1"/>
  <c r="J308" i="47" s="1"/>
  <c r="V300" i="47"/>
  <c r="D307" i="47" s="1"/>
  <c r="J307" i="47" s="1"/>
  <c r="V299" i="47"/>
  <c r="V298" i="47"/>
  <c r="V302" i="47" s="1"/>
  <c r="N299" i="47"/>
  <c r="L302" i="47"/>
  <c r="L301" i="47"/>
  <c r="L300" i="47"/>
  <c r="N301" i="47" s="1"/>
  <c r="L299" i="47"/>
  <c r="L298" i="47"/>
  <c r="N298" i="47" s="1"/>
  <c r="H302" i="47"/>
  <c r="H301" i="47"/>
  <c r="H300" i="47"/>
  <c r="H299" i="47"/>
  <c r="H298" i="47"/>
  <c r="D299" i="47"/>
  <c r="J299" i="47" s="1"/>
  <c r="B302" i="47"/>
  <c r="B301" i="47"/>
  <c r="B300" i="47"/>
  <c r="B299" i="47"/>
  <c r="B298" i="47"/>
  <c r="AC301" i="47"/>
  <c r="AE305" i="47" s="1"/>
  <c r="AC300" i="47"/>
  <c r="AC299" i="47"/>
  <c r="AE299" i="47" s="1"/>
  <c r="AC298" i="47"/>
  <c r="AE298" i="47" s="1"/>
  <c r="A301" i="47"/>
  <c r="A300" i="47"/>
  <c r="A299" i="47"/>
  <c r="A298" i="47"/>
  <c r="AL293" i="47"/>
  <c r="AN293" i="47" s="1"/>
  <c r="AL291" i="47"/>
  <c r="V294" i="47"/>
  <c r="D301" i="47" s="1"/>
  <c r="J301" i="47" s="1"/>
  <c r="V293" i="47"/>
  <c r="V292" i="47"/>
  <c r="AL292" i="47" s="1"/>
  <c r="AN292" i="47" s="1"/>
  <c r="V291" i="47"/>
  <c r="V295" i="47" s="1"/>
  <c r="N293" i="47"/>
  <c r="L295" i="47"/>
  <c r="L294" i="47"/>
  <c r="N294" i="47" s="1"/>
  <c r="L293" i="47"/>
  <c r="L292" i="47"/>
  <c r="N292" i="47" s="1"/>
  <c r="L291" i="47"/>
  <c r="H295" i="47"/>
  <c r="H294" i="47"/>
  <c r="H293" i="47"/>
  <c r="H292" i="47"/>
  <c r="H291" i="47"/>
  <c r="J291" i="47" s="1"/>
  <c r="D293" i="47"/>
  <c r="J293" i="47" s="1"/>
  <c r="D291" i="47"/>
  <c r="B295" i="47"/>
  <c r="B294" i="47"/>
  <c r="B293" i="47"/>
  <c r="B292" i="47"/>
  <c r="B291" i="47"/>
  <c r="B290" i="47"/>
  <c r="B297" i="47" s="1"/>
  <c r="B304" i="47" s="1"/>
  <c r="B311" i="47" s="1"/>
  <c r="B318" i="47" s="1"/>
  <c r="AC294" i="47"/>
  <c r="AC293" i="47"/>
  <c r="AE293" i="47" s="1"/>
  <c r="AC292" i="47"/>
  <c r="AC291" i="47"/>
  <c r="AE292" i="47" s="1"/>
  <c r="AG292" i="47" s="1"/>
  <c r="A294" i="47"/>
  <c r="A293" i="47"/>
  <c r="A292" i="47"/>
  <c r="A291" i="47"/>
  <c r="AL287" i="47"/>
  <c r="AN287" i="47" s="1"/>
  <c r="AL284" i="47"/>
  <c r="AE285" i="47"/>
  <c r="AG285" i="47" s="1"/>
  <c r="AC288" i="47"/>
  <c r="AC287" i="47"/>
  <c r="AC286" i="47"/>
  <c r="AE287" i="47" s="1"/>
  <c r="AC285" i="47"/>
  <c r="AC284" i="47"/>
  <c r="AE284" i="47" s="1"/>
  <c r="V287" i="47"/>
  <c r="V286" i="47"/>
  <c r="AL286" i="47" s="1"/>
  <c r="V285" i="47"/>
  <c r="AL285" i="47" s="1"/>
  <c r="AN285" i="47" s="1"/>
  <c r="V284" i="47"/>
  <c r="V288" i="47" s="1"/>
  <c r="D288" i="47" s="1"/>
  <c r="J288" i="47" s="1"/>
  <c r="N284" i="47"/>
  <c r="P284" i="47" s="1"/>
  <c r="L288" i="47"/>
  <c r="L287" i="47"/>
  <c r="N291" i="47" s="1"/>
  <c r="L286" i="47"/>
  <c r="L285" i="47"/>
  <c r="N286" i="47" s="1"/>
  <c r="L284" i="47"/>
  <c r="H288" i="47"/>
  <c r="H287" i="47"/>
  <c r="H286" i="47"/>
  <c r="H285" i="47"/>
  <c r="H284" i="47"/>
  <c r="D284" i="47"/>
  <c r="J284" i="47" s="1"/>
  <c r="B288" i="47"/>
  <c r="B287" i="47"/>
  <c r="B286" i="47"/>
  <c r="B285" i="47"/>
  <c r="B284" i="47"/>
  <c r="A287" i="47"/>
  <c r="A286" i="47"/>
  <c r="A285" i="47"/>
  <c r="A284" i="47"/>
  <c r="AL278" i="47"/>
  <c r="AL277" i="47"/>
  <c r="AN277" i="47" s="1"/>
  <c r="AE279" i="47"/>
  <c r="AG279" i="47" s="1"/>
  <c r="AE277" i="47"/>
  <c r="AC281" i="47"/>
  <c r="AC280" i="47"/>
  <c r="AE280" i="47" s="1"/>
  <c r="AG280" i="47" s="1"/>
  <c r="AC279" i="47"/>
  <c r="AC278" i="47"/>
  <c r="AC277" i="47"/>
  <c r="AE278" i="47" s="1"/>
  <c r="V280" i="47"/>
  <c r="AL280" i="47" s="1"/>
  <c r="AN280" i="47" s="1"/>
  <c r="V279" i="47"/>
  <c r="D286" i="47" s="1"/>
  <c r="J286" i="47" s="1"/>
  <c r="V278" i="47"/>
  <c r="V277" i="47"/>
  <c r="V281" i="47" s="1"/>
  <c r="N278" i="47"/>
  <c r="P278" i="47" s="1"/>
  <c r="L281" i="47"/>
  <c r="L280" i="47"/>
  <c r="L279" i="47"/>
  <c r="N280" i="47" s="1"/>
  <c r="L278" i="47"/>
  <c r="L277" i="47"/>
  <c r="N277" i="47" s="1"/>
  <c r="H281" i="47"/>
  <c r="H280" i="47"/>
  <c r="H279" i="47"/>
  <c r="H278" i="47"/>
  <c r="H277" i="47"/>
  <c r="D278" i="47"/>
  <c r="J278" i="47" s="1"/>
  <c r="B281" i="47"/>
  <c r="B280" i="47"/>
  <c r="B279" i="47"/>
  <c r="B278" i="47"/>
  <c r="B277" i="47"/>
  <c r="A280" i="47"/>
  <c r="A279" i="47"/>
  <c r="A278" i="47"/>
  <c r="A277" i="47"/>
  <c r="AL272" i="47"/>
  <c r="AL271" i="47"/>
  <c r="AE273" i="47"/>
  <c r="AC274" i="47"/>
  <c r="AC273" i="47"/>
  <c r="AC272" i="47"/>
  <c r="AC271" i="47"/>
  <c r="AE272" i="47" s="1"/>
  <c r="AC270" i="47"/>
  <c r="AE271" i="47" s="1"/>
  <c r="AG271" i="47" s="1"/>
  <c r="V273" i="47"/>
  <c r="D280" i="47" s="1"/>
  <c r="J280" i="47" s="1"/>
  <c r="V272" i="47"/>
  <c r="V271" i="47"/>
  <c r="V270" i="47"/>
  <c r="V274" i="47" s="1"/>
  <c r="N272" i="47"/>
  <c r="L274" i="47"/>
  <c r="L273" i="47"/>
  <c r="N273" i="47" s="1"/>
  <c r="L272" i="47"/>
  <c r="L271" i="47"/>
  <c r="N271" i="47" s="1"/>
  <c r="L270" i="47"/>
  <c r="J270" i="47"/>
  <c r="H274" i="47"/>
  <c r="H273" i="47"/>
  <c r="H272" i="47"/>
  <c r="H271" i="47"/>
  <c r="H270" i="47"/>
  <c r="D272" i="47"/>
  <c r="J272" i="47" s="1"/>
  <c r="D270" i="47"/>
  <c r="B274" i="47"/>
  <c r="B273" i="47"/>
  <c r="B272" i="47"/>
  <c r="B271" i="47"/>
  <c r="B270" i="47"/>
  <c r="A273" i="47"/>
  <c r="A272" i="47"/>
  <c r="A271" i="47"/>
  <c r="A270" i="47"/>
  <c r="AL266" i="47"/>
  <c r="AL263" i="47"/>
  <c r="AE264" i="47"/>
  <c r="AC267" i="47"/>
  <c r="AC266" i="47"/>
  <c r="AC265" i="47"/>
  <c r="AC264" i="47"/>
  <c r="AC263" i="47"/>
  <c r="AE263" i="47" s="1"/>
  <c r="V266" i="47"/>
  <c r="V265" i="47"/>
  <c r="AL265" i="47" s="1"/>
  <c r="V264" i="47"/>
  <c r="V263" i="47"/>
  <c r="L267" i="47"/>
  <c r="L266" i="47"/>
  <c r="N270" i="47" s="1"/>
  <c r="L265" i="47"/>
  <c r="L264" i="47"/>
  <c r="L263" i="47"/>
  <c r="J265" i="47"/>
  <c r="H267" i="47"/>
  <c r="H266" i="47"/>
  <c r="H265" i="47"/>
  <c r="H264" i="47"/>
  <c r="H263" i="47"/>
  <c r="D265" i="47"/>
  <c r="D263" i="47"/>
  <c r="J263" i="47" s="1"/>
  <c r="B267" i="47"/>
  <c r="B266" i="47"/>
  <c r="B265" i="47"/>
  <c r="B264" i="47"/>
  <c r="B263" i="47"/>
  <c r="A266" i="47"/>
  <c r="A265" i="47"/>
  <c r="A264" i="47"/>
  <c r="A263" i="47"/>
  <c r="AL258" i="47"/>
  <c r="AL257" i="47"/>
  <c r="AE259" i="47"/>
  <c r="AC260" i="47"/>
  <c r="AC259" i="47"/>
  <c r="AC258" i="47"/>
  <c r="AC257" i="47"/>
  <c r="AE258" i="47" s="1"/>
  <c r="AN258" i="47" s="1"/>
  <c r="AC256" i="47"/>
  <c r="V259" i="47"/>
  <c r="AW78" i="40" s="1"/>
  <c r="V258" i="47"/>
  <c r="V257" i="47"/>
  <c r="V256" i="47"/>
  <c r="V260" i="47" s="1"/>
  <c r="N258" i="47"/>
  <c r="L260" i="47"/>
  <c r="L259" i="47"/>
  <c r="N259" i="47" s="1"/>
  <c r="L258" i="47"/>
  <c r="L257" i="47"/>
  <c r="N257" i="47" s="1"/>
  <c r="P257" i="47" s="1"/>
  <c r="L256" i="47"/>
  <c r="J256" i="47"/>
  <c r="H260" i="47"/>
  <c r="H259" i="47"/>
  <c r="H258" i="47"/>
  <c r="H257" i="47"/>
  <c r="H256" i="47"/>
  <c r="D258" i="47"/>
  <c r="J258" i="47" s="1"/>
  <c r="D256" i="47"/>
  <c r="B260" i="47"/>
  <c r="B259" i="47"/>
  <c r="B258" i="47"/>
  <c r="B257" i="47"/>
  <c r="B256" i="47"/>
  <c r="B255" i="47"/>
  <c r="B262" i="47" s="1"/>
  <c r="B269" i="47" s="1"/>
  <c r="A259" i="47"/>
  <c r="A258" i="47"/>
  <c r="A257" i="47"/>
  <c r="A256" i="47"/>
  <c r="AL249" i="47"/>
  <c r="AE250" i="47"/>
  <c r="AC253" i="47"/>
  <c r="AC252" i="47"/>
  <c r="AC251" i="47"/>
  <c r="AC250" i="47"/>
  <c r="AC249" i="47"/>
  <c r="AE249" i="47" s="1"/>
  <c r="V252" i="47"/>
  <c r="AW71" i="40" s="1"/>
  <c r="V251" i="47"/>
  <c r="AL251" i="47" s="1"/>
  <c r="V250" i="47"/>
  <c r="V249" i="47"/>
  <c r="V253" i="47" s="1"/>
  <c r="N249" i="47"/>
  <c r="L253" i="47"/>
  <c r="L252" i="47"/>
  <c r="L251" i="47"/>
  <c r="L250" i="47"/>
  <c r="N250" i="47" s="1"/>
  <c r="P250" i="47" s="1"/>
  <c r="L249" i="47"/>
  <c r="H253" i="47"/>
  <c r="H252" i="47"/>
  <c r="H251" i="47"/>
  <c r="H250" i="47"/>
  <c r="H249" i="47"/>
  <c r="D251" i="47"/>
  <c r="J251" i="47" s="1"/>
  <c r="D249" i="47"/>
  <c r="J249" i="47" s="1"/>
  <c r="B253" i="47"/>
  <c r="B252" i="47"/>
  <c r="B251" i="47"/>
  <c r="B250" i="47"/>
  <c r="B249" i="47"/>
  <c r="A252" i="47"/>
  <c r="A251" i="47"/>
  <c r="A250" i="47"/>
  <c r="A249" i="47"/>
  <c r="AN242" i="47"/>
  <c r="AE246" i="47"/>
  <c r="AE244" i="47"/>
  <c r="AE242" i="47"/>
  <c r="AC246" i="47"/>
  <c r="AC245" i="47"/>
  <c r="AE245" i="47" s="1"/>
  <c r="AC244" i="47"/>
  <c r="AC243" i="47"/>
  <c r="AE243" i="47" s="1"/>
  <c r="AC242" i="47"/>
  <c r="X244" i="47"/>
  <c r="V245" i="47"/>
  <c r="AL245" i="47" s="1"/>
  <c r="AN245" i="47" s="1"/>
  <c r="V244" i="47"/>
  <c r="AL244" i="47" s="1"/>
  <c r="AN244" i="47" s="1"/>
  <c r="V243" i="47"/>
  <c r="V242" i="47"/>
  <c r="AL242" i="47" s="1"/>
  <c r="N246" i="47"/>
  <c r="N244" i="47"/>
  <c r="N242" i="47"/>
  <c r="X242" i="47" s="1"/>
  <c r="L246" i="47"/>
  <c r="L245" i="47"/>
  <c r="N245" i="47" s="1"/>
  <c r="L244" i="47"/>
  <c r="L243" i="47"/>
  <c r="N243" i="47" s="1"/>
  <c r="L242" i="47"/>
  <c r="B246" i="47"/>
  <c r="B245" i="47"/>
  <c r="B244" i="47"/>
  <c r="B243" i="47"/>
  <c r="B242" i="47"/>
  <c r="A245" i="47"/>
  <c r="A244" i="47"/>
  <c r="A243" i="47"/>
  <c r="A242" i="47"/>
  <c r="A233" i="47"/>
  <c r="BK231" i="47"/>
  <c r="BK229" i="47"/>
  <c r="BK228" i="47"/>
  <c r="BK227" i="47"/>
  <c r="BK226" i="47"/>
  <c r="H229" i="47"/>
  <c r="H228" i="47"/>
  <c r="D228" i="47" s="1"/>
  <c r="H227" i="47"/>
  <c r="D227" i="47" s="1"/>
  <c r="V227" i="47" s="1"/>
  <c r="E237" i="45" s="1"/>
  <c r="H226" i="47"/>
  <c r="D229" i="47"/>
  <c r="D226" i="47"/>
  <c r="B230" i="47"/>
  <c r="B229" i="47"/>
  <c r="B228" i="47"/>
  <c r="B227" i="47"/>
  <c r="B226" i="47"/>
  <c r="BQ229" i="47"/>
  <c r="BO229" i="47"/>
  <c r="A229" i="47"/>
  <c r="A228" i="47"/>
  <c r="A227" i="47"/>
  <c r="A226" i="47"/>
  <c r="BT229" i="47"/>
  <c r="BG229" i="47"/>
  <c r="BG227" i="47"/>
  <c r="BF230" i="47"/>
  <c r="BD229" i="47"/>
  <c r="BD228" i="47"/>
  <c r="BD227" i="47"/>
  <c r="BD226" i="47"/>
  <c r="BC230" i="47"/>
  <c r="BA229" i="47"/>
  <c r="AZ230" i="47"/>
  <c r="BK222" i="47"/>
  <c r="BK221" i="47"/>
  <c r="BK220" i="47"/>
  <c r="BK219" i="47"/>
  <c r="V221" i="47"/>
  <c r="V220" i="47"/>
  <c r="AL220" i="47" s="1"/>
  <c r="V219" i="47"/>
  <c r="N221" i="47"/>
  <c r="L221" i="47"/>
  <c r="L220" i="47"/>
  <c r="N220" i="47" s="1"/>
  <c r="L219" i="47"/>
  <c r="H222" i="47"/>
  <c r="H221" i="47"/>
  <c r="H220" i="47"/>
  <c r="H219" i="47"/>
  <c r="B223" i="47"/>
  <c r="B222" i="47"/>
  <c r="B221" i="47"/>
  <c r="B220" i="47"/>
  <c r="B219" i="47"/>
  <c r="BQ222" i="47"/>
  <c r="BQ219" i="47"/>
  <c r="BO220" i="47"/>
  <c r="A222" i="47"/>
  <c r="A221" i="47"/>
  <c r="A220" i="47"/>
  <c r="A219" i="47"/>
  <c r="BS222" i="47"/>
  <c r="BS229" i="47"/>
  <c r="BS228" i="47"/>
  <c r="BS227" i="47"/>
  <c r="BS226" i="47"/>
  <c r="BD222" i="47"/>
  <c r="BD221" i="47"/>
  <c r="BQ228" i="47"/>
  <c r="BD220" i="47"/>
  <c r="BQ227" i="47"/>
  <c r="BD219" i="47"/>
  <c r="BQ226" i="47"/>
  <c r="BA222" i="47"/>
  <c r="BA221" i="47"/>
  <c r="BO228" i="47"/>
  <c r="BT228" i="47" s="1"/>
  <c r="BA220" i="47"/>
  <c r="BA227" i="47"/>
  <c r="BI227" i="47" s="1"/>
  <c r="BA219" i="47"/>
  <c r="BO226" i="47"/>
  <c r="BT226" i="47" s="1"/>
  <c r="BK216" i="47"/>
  <c r="BK215" i="47"/>
  <c r="BK214" i="47"/>
  <c r="BK213" i="47"/>
  <c r="BK212" i="47"/>
  <c r="V215" i="47"/>
  <c r="V214" i="47"/>
  <c r="V213" i="47"/>
  <c r="D220" i="47" s="1"/>
  <c r="J220" i="47" s="1"/>
  <c r="V212" i="47"/>
  <c r="N213" i="47"/>
  <c r="P213" i="47" s="1"/>
  <c r="L216" i="47"/>
  <c r="N219" i="47" s="1"/>
  <c r="L215" i="47"/>
  <c r="L214" i="47"/>
  <c r="N215" i="47" s="1"/>
  <c r="L213" i="47"/>
  <c r="L212" i="47"/>
  <c r="N212" i="47" s="1"/>
  <c r="J215" i="47"/>
  <c r="H216" i="47"/>
  <c r="H215" i="47"/>
  <c r="H214" i="47"/>
  <c r="H213" i="47"/>
  <c r="H212" i="47"/>
  <c r="D215" i="47"/>
  <c r="D213" i="47"/>
  <c r="J213" i="47" s="1"/>
  <c r="B216" i="47"/>
  <c r="B215" i="47"/>
  <c r="B214" i="47"/>
  <c r="B213" i="47"/>
  <c r="B212" i="47"/>
  <c r="BO215" i="47"/>
  <c r="A215" i="47"/>
  <c r="A214" i="47"/>
  <c r="A213" i="47"/>
  <c r="A212" i="47"/>
  <c r="BG222" i="47"/>
  <c r="BS221" i="47"/>
  <c r="BS220" i="47"/>
  <c r="BS219" i="47"/>
  <c r="BQ221" i="47"/>
  <c r="BQ220" i="47"/>
  <c r="BT220" i="47" s="1"/>
  <c r="BC216" i="47"/>
  <c r="BD216" i="47" s="1"/>
  <c r="BO222" i="47"/>
  <c r="BT222" i="47" s="1"/>
  <c r="BO221" i="47"/>
  <c r="BT221" i="47" s="1"/>
  <c r="BO219" i="47"/>
  <c r="BT219" i="47" s="1"/>
  <c r="BK208" i="47"/>
  <c r="BK207" i="47"/>
  <c r="BK206" i="47"/>
  <c r="BK205" i="47"/>
  <c r="V208" i="47"/>
  <c r="V207" i="47"/>
  <c r="AL207" i="47" s="1"/>
  <c r="V206" i="47"/>
  <c r="AL206" i="47" s="1"/>
  <c r="V205" i="47"/>
  <c r="N208" i="47"/>
  <c r="L209" i="47"/>
  <c r="L208" i="47"/>
  <c r="L207" i="47"/>
  <c r="N207" i="47" s="1"/>
  <c r="P207" i="47" s="1"/>
  <c r="L206" i="47"/>
  <c r="L205" i="47"/>
  <c r="N206" i="47" s="1"/>
  <c r="H208" i="47"/>
  <c r="H207" i="47"/>
  <c r="H206" i="47"/>
  <c r="H205" i="47"/>
  <c r="D207" i="47"/>
  <c r="J207" i="47" s="1"/>
  <c r="D205" i="47"/>
  <c r="J205" i="47" s="1"/>
  <c r="B209" i="47"/>
  <c r="B208" i="47"/>
  <c r="B207" i="47"/>
  <c r="B206" i="47"/>
  <c r="B205" i="47"/>
  <c r="BQ207" i="47"/>
  <c r="BQ205" i="47"/>
  <c r="BO207" i="47"/>
  <c r="BT207" i="47" s="1"/>
  <c r="BO205" i="47"/>
  <c r="BT205" i="47" s="1"/>
  <c r="A208" i="47"/>
  <c r="A207" i="47"/>
  <c r="A206" i="47"/>
  <c r="A205" i="47"/>
  <c r="BS208" i="47"/>
  <c r="BS207" i="47"/>
  <c r="BS206" i="47"/>
  <c r="BS205" i="47"/>
  <c r="BG209" i="47"/>
  <c r="BG215" i="47"/>
  <c r="BS214" i="47"/>
  <c r="BG213" i="47"/>
  <c r="BS212" i="47"/>
  <c r="BD209" i="47"/>
  <c r="BD208" i="47"/>
  <c r="BD214" i="47"/>
  <c r="BQ213" i="47"/>
  <c r="BD212" i="47"/>
  <c r="BA209" i="47"/>
  <c r="BI209" i="47" s="1"/>
  <c r="BA215" i="47"/>
  <c r="BA207" i="47"/>
  <c r="BO213" i="47"/>
  <c r="BO212" i="47"/>
  <c r="BK201" i="47"/>
  <c r="BK200" i="47"/>
  <c r="BK199" i="47"/>
  <c r="BK198" i="47"/>
  <c r="V201" i="47"/>
  <c r="X201" i="47" s="1"/>
  <c r="V200" i="47"/>
  <c r="V199" i="47"/>
  <c r="AL199" i="47" s="1"/>
  <c r="V198" i="47"/>
  <c r="N200" i="47"/>
  <c r="L201" i="47"/>
  <c r="N201" i="47" s="1"/>
  <c r="L200" i="47"/>
  <c r="L199" i="47"/>
  <c r="N199" i="47" s="1"/>
  <c r="P199" i="47" s="1"/>
  <c r="L198" i="47"/>
  <c r="H201" i="47"/>
  <c r="H200" i="47"/>
  <c r="H199" i="47"/>
  <c r="H198" i="47"/>
  <c r="D199" i="47"/>
  <c r="J199" i="47" s="1"/>
  <c r="R199" i="47" s="1"/>
  <c r="B202" i="47"/>
  <c r="B201" i="47"/>
  <c r="B200" i="47"/>
  <c r="B199" i="47"/>
  <c r="B198" i="47"/>
  <c r="A201" i="47"/>
  <c r="A200" i="47"/>
  <c r="A199" i="47"/>
  <c r="A198" i="47"/>
  <c r="BQ208" i="47"/>
  <c r="BQ206" i="47"/>
  <c r="BO208" i="47"/>
  <c r="BO206" i="47"/>
  <c r="BK194" i="47"/>
  <c r="BK193" i="47"/>
  <c r="BK192" i="47"/>
  <c r="BK191" i="47"/>
  <c r="AS193" i="47"/>
  <c r="V194" i="47"/>
  <c r="AL194" i="47" s="1"/>
  <c r="V193" i="47"/>
  <c r="V192" i="47"/>
  <c r="V191" i="47"/>
  <c r="N192" i="47"/>
  <c r="L195" i="47"/>
  <c r="N198" i="47" s="1"/>
  <c r="L194" i="47"/>
  <c r="L193" i="47"/>
  <c r="N194" i="47" s="1"/>
  <c r="L192" i="47"/>
  <c r="L191" i="47"/>
  <c r="H194" i="47"/>
  <c r="H193" i="47"/>
  <c r="H192" i="47"/>
  <c r="H191" i="47"/>
  <c r="D193" i="47"/>
  <c r="J193" i="47" s="1"/>
  <c r="D191" i="47"/>
  <c r="J191" i="47" s="1"/>
  <c r="B195" i="47"/>
  <c r="B194" i="47"/>
  <c r="B193" i="47"/>
  <c r="B192" i="47"/>
  <c r="B191" i="47"/>
  <c r="A194" i="47"/>
  <c r="A193" i="47"/>
  <c r="A192" i="47"/>
  <c r="A191" i="47"/>
  <c r="BG202" i="47"/>
  <c r="BG194" i="47"/>
  <c r="BG200" i="47"/>
  <c r="BG192" i="47"/>
  <c r="BG198" i="47"/>
  <c r="BD195" i="47"/>
  <c r="BD201" i="47"/>
  <c r="BD193" i="47"/>
  <c r="BD199" i="47"/>
  <c r="BD191" i="47"/>
  <c r="BA202" i="47"/>
  <c r="BA194" i="47"/>
  <c r="BA200" i="47"/>
  <c r="BA192" i="47"/>
  <c r="BA198" i="47"/>
  <c r="BK187" i="47"/>
  <c r="BK186" i="47"/>
  <c r="BK185" i="47"/>
  <c r="BK184" i="47"/>
  <c r="AS186" i="47"/>
  <c r="V187" i="47"/>
  <c r="D194" i="47" s="1"/>
  <c r="J194" i="47" s="1"/>
  <c r="V186" i="47"/>
  <c r="AW186" i="47" s="1"/>
  <c r="V185" i="47"/>
  <c r="AL185" i="47" s="1"/>
  <c r="V184" i="47"/>
  <c r="AL184" i="47" s="1"/>
  <c r="N186" i="47"/>
  <c r="L187" i="47"/>
  <c r="N187" i="47" s="1"/>
  <c r="L186" i="47"/>
  <c r="L185" i="47"/>
  <c r="N185" i="47" s="1"/>
  <c r="P185" i="47" s="1"/>
  <c r="L184" i="47"/>
  <c r="H187" i="47"/>
  <c r="H186" i="47"/>
  <c r="H185" i="47"/>
  <c r="H184" i="47"/>
  <c r="D185" i="47"/>
  <c r="J185" i="47" s="1"/>
  <c r="R185" i="47" s="1"/>
  <c r="B188" i="47"/>
  <c r="B187" i="47"/>
  <c r="B186" i="47"/>
  <c r="B185" i="47"/>
  <c r="B184" i="47"/>
  <c r="A187" i="47"/>
  <c r="A186" i="47"/>
  <c r="A185" i="47"/>
  <c r="A184" i="47"/>
  <c r="BK180" i="47"/>
  <c r="BK179" i="47"/>
  <c r="BK178" i="47"/>
  <c r="BK177" i="47"/>
  <c r="AS180" i="47"/>
  <c r="AW180" i="47" s="1"/>
  <c r="AS179" i="47"/>
  <c r="AU186" i="47" s="1"/>
  <c r="V180" i="47"/>
  <c r="AL180" i="47" s="1"/>
  <c r="V179" i="47"/>
  <c r="V178" i="47"/>
  <c r="V177" i="47"/>
  <c r="N178" i="47"/>
  <c r="L181" i="47"/>
  <c r="N184" i="47" s="1"/>
  <c r="L180" i="47"/>
  <c r="L179" i="47"/>
  <c r="N180" i="47" s="1"/>
  <c r="L178" i="47"/>
  <c r="L177" i="47"/>
  <c r="H180" i="47"/>
  <c r="H179" i="47"/>
  <c r="H178" i="47"/>
  <c r="H177" i="47"/>
  <c r="D179" i="47"/>
  <c r="J179" i="47" s="1"/>
  <c r="D177" i="47"/>
  <c r="J177" i="47" s="1"/>
  <c r="B181" i="47"/>
  <c r="B180" i="47"/>
  <c r="B179" i="47"/>
  <c r="B178" i="47"/>
  <c r="B177" i="47"/>
  <c r="A180" i="47"/>
  <c r="A179" i="47"/>
  <c r="A178" i="47"/>
  <c r="A177" i="47"/>
  <c r="BA188" i="47"/>
  <c r="BI188" i="47" s="1"/>
  <c r="BA180" i="47"/>
  <c r="BI180" i="47" s="1"/>
  <c r="BA186" i="47"/>
  <c r="BI186" i="47" s="1"/>
  <c r="BA178" i="47"/>
  <c r="BI178" i="47" s="1"/>
  <c r="BA184" i="47"/>
  <c r="BI184" i="47" s="1"/>
  <c r="BK173" i="47"/>
  <c r="BK172" i="47"/>
  <c r="BK171" i="47"/>
  <c r="BK170" i="47"/>
  <c r="AS173" i="47"/>
  <c r="AS172" i="47"/>
  <c r="AW172" i="47" s="1"/>
  <c r="AL171" i="47"/>
  <c r="V173" i="47"/>
  <c r="AL173" i="47" s="1"/>
  <c r="V172" i="47"/>
  <c r="AL172" i="47" s="1"/>
  <c r="V171" i="47"/>
  <c r="V170" i="47"/>
  <c r="L173" i="47"/>
  <c r="N173" i="47" s="1"/>
  <c r="L172" i="47"/>
  <c r="L171" i="47"/>
  <c r="L170" i="47"/>
  <c r="H174" i="47"/>
  <c r="H173" i="47"/>
  <c r="H172" i="47"/>
  <c r="H171" i="47"/>
  <c r="H170" i="47"/>
  <c r="D171" i="47"/>
  <c r="J171" i="47" s="1"/>
  <c r="B174" i="47"/>
  <c r="B173" i="47"/>
  <c r="B172" i="47"/>
  <c r="B171" i="47"/>
  <c r="B170" i="47"/>
  <c r="A173" i="47"/>
  <c r="A172" i="47"/>
  <c r="A171" i="47"/>
  <c r="A170" i="47"/>
  <c r="BA174" i="47"/>
  <c r="BI174" i="47" s="1"/>
  <c r="BA172" i="47"/>
  <c r="BI172" i="47" s="1"/>
  <c r="BA170" i="47"/>
  <c r="BI170" i="47" s="1"/>
  <c r="BK167" i="47"/>
  <c r="BK166" i="47"/>
  <c r="BK165" i="47"/>
  <c r="BK164" i="47"/>
  <c r="BK163" i="47"/>
  <c r="AU163" i="47"/>
  <c r="AS166" i="47"/>
  <c r="AS165" i="47"/>
  <c r="AS164" i="47"/>
  <c r="AS163" i="47"/>
  <c r="V166" i="47"/>
  <c r="V165" i="47"/>
  <c r="D172" i="47" s="1"/>
  <c r="J172" i="47" s="1"/>
  <c r="V164" i="47"/>
  <c r="AL164" i="47" s="1"/>
  <c r="V163" i="47"/>
  <c r="AL163" i="47" s="1"/>
  <c r="N165" i="47"/>
  <c r="L166" i="47"/>
  <c r="L165" i="47"/>
  <c r="L164" i="47"/>
  <c r="N164" i="47" s="1"/>
  <c r="P164" i="47" s="1"/>
  <c r="L163" i="47"/>
  <c r="J163" i="47"/>
  <c r="H167" i="47"/>
  <c r="H166" i="47"/>
  <c r="H165" i="47"/>
  <c r="H164" i="47"/>
  <c r="H163" i="47"/>
  <c r="B167" i="47"/>
  <c r="B166" i="47"/>
  <c r="B165" i="47"/>
  <c r="B164" i="47"/>
  <c r="B163" i="47"/>
  <c r="AC166" i="47"/>
  <c r="A166" i="47"/>
  <c r="A165" i="47"/>
  <c r="A164" i="47"/>
  <c r="A163" i="47"/>
  <c r="BA167" i="47"/>
  <c r="BI167" i="47" s="1"/>
  <c r="BA165" i="47"/>
  <c r="BI165" i="47" s="1"/>
  <c r="BA163" i="47"/>
  <c r="BI163" i="47" s="1"/>
  <c r="BK160" i="47"/>
  <c r="BK159" i="47"/>
  <c r="BK158" i="47"/>
  <c r="BK157" i="47"/>
  <c r="BK156" i="47"/>
  <c r="AS160" i="47"/>
  <c r="AS159" i="47"/>
  <c r="AU159" i="47" s="1"/>
  <c r="AS158" i="47"/>
  <c r="AS157" i="47"/>
  <c r="AU157" i="47" s="1"/>
  <c r="AS156" i="47"/>
  <c r="AL159" i="47"/>
  <c r="AL157" i="47"/>
  <c r="V159" i="47"/>
  <c r="V158" i="47"/>
  <c r="V157" i="47"/>
  <c r="V156" i="47"/>
  <c r="D163" i="47" s="1"/>
  <c r="N157" i="47"/>
  <c r="L160" i="47"/>
  <c r="N163" i="47" s="1"/>
  <c r="L159" i="47"/>
  <c r="L158" i="47"/>
  <c r="L157" i="47"/>
  <c r="L156" i="47"/>
  <c r="N156" i="47" s="1"/>
  <c r="J159" i="47"/>
  <c r="H160" i="47"/>
  <c r="H159" i="47"/>
  <c r="H158" i="47"/>
  <c r="H157" i="47"/>
  <c r="H156" i="47"/>
  <c r="D159" i="47"/>
  <c r="D157" i="47"/>
  <c r="J157" i="47" s="1"/>
  <c r="B160" i="47"/>
  <c r="B159" i="47"/>
  <c r="B158" i="47"/>
  <c r="B157" i="47"/>
  <c r="B156" i="47"/>
  <c r="BA160" i="47"/>
  <c r="BI160" i="47" s="1"/>
  <c r="AC159" i="47"/>
  <c r="A159" i="47"/>
  <c r="A158" i="47"/>
  <c r="A157" i="47"/>
  <c r="A156" i="47"/>
  <c r="BB158" i="47"/>
  <c r="BA158" i="47"/>
  <c r="BI158" i="47" s="1"/>
  <c r="BB157" i="47"/>
  <c r="BA157" i="47"/>
  <c r="BI157" i="47" s="1"/>
  <c r="BA156" i="47"/>
  <c r="BI156" i="47" s="1"/>
  <c r="BA159" i="47"/>
  <c r="BI159" i="47" s="1"/>
  <c r="AS153" i="47"/>
  <c r="AS152" i="47"/>
  <c r="AS151" i="47"/>
  <c r="AS150" i="47"/>
  <c r="AS149" i="47"/>
  <c r="V152" i="47"/>
  <c r="V151" i="47"/>
  <c r="V150" i="47"/>
  <c r="V149" i="47"/>
  <c r="N152" i="47"/>
  <c r="P152" i="47" s="1"/>
  <c r="L153" i="47"/>
  <c r="L152" i="47"/>
  <c r="L151" i="47"/>
  <c r="N151" i="47" s="1"/>
  <c r="P151" i="47" s="1"/>
  <c r="L150" i="47"/>
  <c r="L149" i="47"/>
  <c r="J150" i="47"/>
  <c r="H153" i="47"/>
  <c r="H152" i="47"/>
  <c r="H151" i="47"/>
  <c r="H150" i="47"/>
  <c r="H149" i="47"/>
  <c r="D152" i="47"/>
  <c r="J152" i="47" s="1"/>
  <c r="R152" i="47" s="1"/>
  <c r="B153" i="47"/>
  <c r="B152" i="47"/>
  <c r="B151" i="47"/>
  <c r="B150" i="47"/>
  <c r="B149" i="47"/>
  <c r="A152" i="47"/>
  <c r="A151" i="47"/>
  <c r="A150" i="47"/>
  <c r="A149" i="47"/>
  <c r="V145" i="47"/>
  <c r="V144" i="47"/>
  <c r="V143" i="47"/>
  <c r="D150" i="47" s="1"/>
  <c r="V142" i="47"/>
  <c r="N144" i="47"/>
  <c r="N142" i="47"/>
  <c r="L146" i="47"/>
  <c r="L145" i="47"/>
  <c r="N145" i="47" s="1"/>
  <c r="L144" i="47"/>
  <c r="L143" i="47"/>
  <c r="N143" i="47" s="1"/>
  <c r="L142" i="47"/>
  <c r="B146" i="47"/>
  <c r="B145" i="47"/>
  <c r="B144" i="47"/>
  <c r="B143" i="47"/>
  <c r="B142" i="47"/>
  <c r="A145" i="47"/>
  <c r="A144" i="47"/>
  <c r="A143" i="47"/>
  <c r="A142" i="47"/>
  <c r="AL134" i="47"/>
  <c r="AE133" i="47"/>
  <c r="V134" i="47"/>
  <c r="V133" i="47"/>
  <c r="AL133" i="47" s="1"/>
  <c r="AN133" i="47" s="1"/>
  <c r="V132" i="47"/>
  <c r="V131" i="47"/>
  <c r="AL131" i="47" s="1"/>
  <c r="N131" i="47"/>
  <c r="L134" i="47"/>
  <c r="L133" i="47"/>
  <c r="L132" i="47"/>
  <c r="N132" i="47" s="1"/>
  <c r="L131" i="47"/>
  <c r="H135" i="47"/>
  <c r="H134" i="47"/>
  <c r="H133" i="47"/>
  <c r="H132" i="47"/>
  <c r="H131" i="47"/>
  <c r="D133" i="47"/>
  <c r="J133" i="47" s="1"/>
  <c r="D131" i="47"/>
  <c r="J131" i="47" s="1"/>
  <c r="B135" i="47"/>
  <c r="B134" i="47"/>
  <c r="B133" i="47"/>
  <c r="B132" i="47"/>
  <c r="B131" i="47"/>
  <c r="AC134" i="47"/>
  <c r="AE134" i="47" s="1"/>
  <c r="AC133" i="47"/>
  <c r="AC132" i="47"/>
  <c r="AE132" i="47" s="1"/>
  <c r="AC131" i="47"/>
  <c r="AE131" i="47" s="1"/>
  <c r="A134" i="47"/>
  <c r="A133" i="47"/>
  <c r="A132" i="47"/>
  <c r="A131" i="47"/>
  <c r="AE124" i="47"/>
  <c r="V127" i="47"/>
  <c r="AL127" i="47" s="1"/>
  <c r="V126" i="47"/>
  <c r="AL126" i="47" s="1"/>
  <c r="AN126" i="47" s="1"/>
  <c r="V125" i="47"/>
  <c r="V124" i="47"/>
  <c r="L127" i="47"/>
  <c r="L126" i="47"/>
  <c r="N126" i="47" s="1"/>
  <c r="L125" i="47"/>
  <c r="N125" i="47" s="1"/>
  <c r="L124" i="47"/>
  <c r="H128" i="47"/>
  <c r="H127" i="47"/>
  <c r="H126" i="47"/>
  <c r="H125" i="47"/>
  <c r="H124" i="47"/>
  <c r="D124" i="47"/>
  <c r="J124" i="47" s="1"/>
  <c r="B128" i="47"/>
  <c r="B127" i="47"/>
  <c r="B126" i="47"/>
  <c r="B125" i="47"/>
  <c r="B124" i="47"/>
  <c r="AC127" i="47"/>
  <c r="AC126" i="47"/>
  <c r="AE126" i="47" s="1"/>
  <c r="AC125" i="47"/>
  <c r="AC124" i="47"/>
  <c r="A127" i="47"/>
  <c r="A126" i="47"/>
  <c r="A125" i="47"/>
  <c r="A124" i="47"/>
  <c r="AL118" i="47"/>
  <c r="AN118" i="47" s="1"/>
  <c r="AL117" i="47"/>
  <c r="V120" i="47"/>
  <c r="AL120" i="47" s="1"/>
  <c r="AN120" i="47" s="1"/>
  <c r="V119" i="47"/>
  <c r="D126" i="47" s="1"/>
  <c r="J126" i="47" s="1"/>
  <c r="V118" i="47"/>
  <c r="X118" i="47" s="1"/>
  <c r="V117" i="47"/>
  <c r="V121" i="47" s="1"/>
  <c r="N119" i="47"/>
  <c r="P119" i="47" s="1"/>
  <c r="L120" i="47"/>
  <c r="N120" i="47" s="1"/>
  <c r="L119" i="47"/>
  <c r="L118" i="47"/>
  <c r="N118" i="47" s="1"/>
  <c r="L117" i="47"/>
  <c r="J117" i="47"/>
  <c r="H121" i="47"/>
  <c r="H120" i="47"/>
  <c r="H119" i="47"/>
  <c r="H118" i="47"/>
  <c r="H117" i="47"/>
  <c r="D119" i="47"/>
  <c r="J119" i="47" s="1"/>
  <c r="D117" i="47"/>
  <c r="B121" i="47"/>
  <c r="B120" i="47"/>
  <c r="B119" i="47"/>
  <c r="B118" i="47"/>
  <c r="B117" i="47"/>
  <c r="B116" i="47"/>
  <c r="B123" i="47" s="1"/>
  <c r="B130" i="47" s="1"/>
  <c r="B155" i="47" s="1"/>
  <c r="B162" i="47" s="1"/>
  <c r="B169" i="47" s="1"/>
  <c r="B176" i="47" s="1"/>
  <c r="B183" i="47" s="1"/>
  <c r="B190" i="47" s="1"/>
  <c r="B197" i="47" s="1"/>
  <c r="B204" i="47" s="1"/>
  <c r="B211" i="47" s="1"/>
  <c r="B218" i="47" s="1"/>
  <c r="B225" i="47" s="1"/>
  <c r="AC120" i="47"/>
  <c r="AE120" i="47" s="1"/>
  <c r="AC119" i="47"/>
  <c r="AE119" i="47" s="1"/>
  <c r="AG119" i="47" s="1"/>
  <c r="AC118" i="47"/>
  <c r="AE118" i="47" s="1"/>
  <c r="AC117" i="47"/>
  <c r="AE117" i="47" s="1"/>
  <c r="A120" i="47"/>
  <c r="A119" i="47"/>
  <c r="A118" i="47"/>
  <c r="A117" i="47"/>
  <c r="AL113" i="47"/>
  <c r="V114" i="47"/>
  <c r="V113" i="47"/>
  <c r="V112" i="47"/>
  <c r="AL112" i="47" s="1"/>
  <c r="AN112" i="47" s="1"/>
  <c r="V111" i="47"/>
  <c r="AL111" i="47" s="1"/>
  <c r="V110" i="47"/>
  <c r="AL110" i="47" s="1"/>
  <c r="L113" i="47"/>
  <c r="N117" i="47" s="1"/>
  <c r="L112" i="47"/>
  <c r="L111" i="47"/>
  <c r="N112" i="47" s="1"/>
  <c r="L110" i="47"/>
  <c r="H114" i="47"/>
  <c r="H113" i="47"/>
  <c r="H112" i="47"/>
  <c r="H111" i="47"/>
  <c r="H110" i="47"/>
  <c r="D114" i="47"/>
  <c r="J114" i="47" s="1"/>
  <c r="D110" i="47"/>
  <c r="J110" i="47" s="1"/>
  <c r="B114" i="47"/>
  <c r="B113" i="47"/>
  <c r="B112" i="47"/>
  <c r="B111" i="47"/>
  <c r="B110" i="47"/>
  <c r="B109" i="47"/>
  <c r="AC113" i="47"/>
  <c r="AE113" i="47" s="1"/>
  <c r="AG113" i="47" s="1"/>
  <c r="AC112" i="47"/>
  <c r="AE112" i="47" s="1"/>
  <c r="AC111" i="47"/>
  <c r="AE111" i="47" s="1"/>
  <c r="AG111" i="47" s="1"/>
  <c r="AC110" i="47"/>
  <c r="AE110" i="47" s="1"/>
  <c r="A113" i="47"/>
  <c r="A112" i="47"/>
  <c r="A111" i="47"/>
  <c r="A110" i="47"/>
  <c r="AL104" i="47"/>
  <c r="AN104" i="47" s="1"/>
  <c r="AE103" i="47"/>
  <c r="V107" i="47"/>
  <c r="V106" i="47"/>
  <c r="AL106" i="47" s="1"/>
  <c r="V105" i="47"/>
  <c r="D112" i="47" s="1"/>
  <c r="J112" i="47" s="1"/>
  <c r="V104" i="47"/>
  <c r="V103" i="47"/>
  <c r="AL103" i="47" s="1"/>
  <c r="N105" i="47"/>
  <c r="L106" i="47"/>
  <c r="N106" i="47" s="1"/>
  <c r="P106" i="47" s="1"/>
  <c r="L105" i="47"/>
  <c r="L104" i="47"/>
  <c r="N104" i="47" s="1"/>
  <c r="P104" i="47" s="1"/>
  <c r="L103" i="47"/>
  <c r="H107" i="47"/>
  <c r="H106" i="47"/>
  <c r="H105" i="47"/>
  <c r="H104" i="47"/>
  <c r="H103" i="47"/>
  <c r="D105" i="47"/>
  <c r="J105" i="47" s="1"/>
  <c r="B107" i="47"/>
  <c r="B106" i="47"/>
  <c r="B105" i="47"/>
  <c r="B104" i="47"/>
  <c r="B103" i="47"/>
  <c r="AC106" i="47"/>
  <c r="AE106" i="47" s="1"/>
  <c r="AC105" i="47"/>
  <c r="AE105" i="47" s="1"/>
  <c r="AC104" i="47"/>
  <c r="AE104" i="47" s="1"/>
  <c r="AC103" i="47"/>
  <c r="A106" i="47"/>
  <c r="A105" i="47"/>
  <c r="A104" i="47"/>
  <c r="A103" i="47"/>
  <c r="AL98" i="47"/>
  <c r="V99" i="47"/>
  <c r="AL99" i="47" s="1"/>
  <c r="AN99" i="47" s="1"/>
  <c r="V98" i="47"/>
  <c r="X98" i="47" s="1"/>
  <c r="V97" i="47"/>
  <c r="AL97" i="47" s="1"/>
  <c r="AN97" i="47" s="1"/>
  <c r="V96" i="47"/>
  <c r="D103" i="47" s="1"/>
  <c r="J103" i="47" s="1"/>
  <c r="N99" i="47"/>
  <c r="L100" i="47"/>
  <c r="L99" i="47"/>
  <c r="N103" i="47" s="1"/>
  <c r="L98" i="47"/>
  <c r="N98" i="47" s="1"/>
  <c r="L97" i="47"/>
  <c r="L96" i="47"/>
  <c r="N97" i="47" s="1"/>
  <c r="H100" i="47"/>
  <c r="H99" i="47"/>
  <c r="H98" i="47"/>
  <c r="H97" i="47"/>
  <c r="H96" i="47"/>
  <c r="D99" i="47"/>
  <c r="J99" i="47" s="1"/>
  <c r="B100" i="47"/>
  <c r="B99" i="47"/>
  <c r="B98" i="47"/>
  <c r="B97" i="47"/>
  <c r="B96" i="47"/>
  <c r="AC99" i="47"/>
  <c r="AE99" i="47" s="1"/>
  <c r="AC98" i="47"/>
  <c r="AE98" i="47" s="1"/>
  <c r="AC97" i="47"/>
  <c r="AC96" i="47"/>
  <c r="AE97" i="47" s="1"/>
  <c r="AG97" i="47" s="1"/>
  <c r="A99" i="47"/>
  <c r="A98" i="47"/>
  <c r="A97" i="47"/>
  <c r="A96" i="47"/>
  <c r="AL92" i="47"/>
  <c r="V92" i="47"/>
  <c r="V91" i="47"/>
  <c r="D98" i="47" s="1"/>
  <c r="J98" i="47" s="1"/>
  <c r="V90" i="47"/>
  <c r="D97" i="47" s="1"/>
  <c r="J97" i="47" s="1"/>
  <c r="V89" i="47"/>
  <c r="AL89" i="47" s="1"/>
  <c r="L92" i="47"/>
  <c r="N92" i="47" s="1"/>
  <c r="P92" i="47" s="1"/>
  <c r="L91" i="47"/>
  <c r="L90" i="47"/>
  <c r="N91" i="47" s="1"/>
  <c r="L89" i="47"/>
  <c r="H93" i="47"/>
  <c r="H92" i="47"/>
  <c r="H91" i="47"/>
  <c r="H90" i="47"/>
  <c r="H89" i="47"/>
  <c r="D89" i="47"/>
  <c r="J89" i="47" s="1"/>
  <c r="B93" i="47"/>
  <c r="B92" i="47"/>
  <c r="B91" i="47"/>
  <c r="B90" i="47"/>
  <c r="B89" i="47"/>
  <c r="AC92" i="47"/>
  <c r="AE92" i="47" s="1"/>
  <c r="AC91" i="47"/>
  <c r="AE91" i="47" s="1"/>
  <c r="AG91" i="47" s="1"/>
  <c r="AC90" i="47"/>
  <c r="AE90" i="47" s="1"/>
  <c r="AC89" i="47"/>
  <c r="AE89" i="47" s="1"/>
  <c r="A92" i="47"/>
  <c r="A91" i="47"/>
  <c r="A90" i="47"/>
  <c r="A89" i="47"/>
  <c r="AL83" i="47"/>
  <c r="V85" i="47"/>
  <c r="AL85" i="47" s="1"/>
  <c r="V84" i="47"/>
  <c r="D91" i="47" s="1"/>
  <c r="J91" i="47" s="1"/>
  <c r="V83" i="47"/>
  <c r="X83" i="47" s="1"/>
  <c r="V82" i="47"/>
  <c r="V86" i="47" s="1"/>
  <c r="N84" i="47"/>
  <c r="L85" i="47"/>
  <c r="N85" i="47" s="1"/>
  <c r="L84" i="47"/>
  <c r="L83" i="47"/>
  <c r="N83" i="47" s="1"/>
  <c r="P83" i="47" s="1"/>
  <c r="L82" i="47"/>
  <c r="H86" i="47"/>
  <c r="H85" i="47"/>
  <c r="H84" i="47"/>
  <c r="H83" i="47"/>
  <c r="H82" i="47"/>
  <c r="D84" i="47"/>
  <c r="J84" i="47" s="1"/>
  <c r="B86" i="47"/>
  <c r="B85" i="47"/>
  <c r="B84" i="47"/>
  <c r="B83" i="47"/>
  <c r="B82" i="47"/>
  <c r="AC85" i="47"/>
  <c r="AE85" i="47" s="1"/>
  <c r="AG85" i="47" s="1"/>
  <c r="AC84" i="47"/>
  <c r="AE84" i="47" s="1"/>
  <c r="AG84" i="47" s="1"/>
  <c r="AC83" i="47"/>
  <c r="AE83" i="47" s="1"/>
  <c r="AG83" i="47" s="1"/>
  <c r="AC82" i="47"/>
  <c r="AE82" i="47" s="1"/>
  <c r="A85" i="47"/>
  <c r="A84" i="47"/>
  <c r="A83" i="47"/>
  <c r="A82" i="47"/>
  <c r="AL77" i="47"/>
  <c r="AE77" i="47"/>
  <c r="V78" i="47"/>
  <c r="AL78" i="47" s="1"/>
  <c r="AN78" i="47" s="1"/>
  <c r="V77" i="47"/>
  <c r="V76" i="47"/>
  <c r="AL76" i="47" s="1"/>
  <c r="V75" i="47"/>
  <c r="D82" i="47" s="1"/>
  <c r="J82" i="47" s="1"/>
  <c r="M79" i="47"/>
  <c r="H79" i="47"/>
  <c r="H78" i="47"/>
  <c r="H77" i="47"/>
  <c r="H76" i="47"/>
  <c r="H75" i="47"/>
  <c r="D76" i="47"/>
  <c r="J76" i="47" s="1"/>
  <c r="B79" i="47"/>
  <c r="B78" i="47"/>
  <c r="B77" i="47"/>
  <c r="B76" i="47"/>
  <c r="B75" i="47"/>
  <c r="AC78" i="47"/>
  <c r="AE78" i="47" s="1"/>
  <c r="AC77" i="47"/>
  <c r="AC76" i="47"/>
  <c r="AE76" i="47" s="1"/>
  <c r="AC75" i="47"/>
  <c r="AE75" i="47" s="1"/>
  <c r="L78" i="47"/>
  <c r="N82" i="47" s="1"/>
  <c r="L77" i="47"/>
  <c r="N77" i="47" s="1"/>
  <c r="L76" i="47"/>
  <c r="N76" i="47" s="1"/>
  <c r="L75" i="47"/>
  <c r="N75" i="47" s="1"/>
  <c r="A78" i="47"/>
  <c r="A77" i="47"/>
  <c r="A76" i="47"/>
  <c r="A75" i="47"/>
  <c r="AL70" i="47"/>
  <c r="AL69" i="47"/>
  <c r="V71" i="47"/>
  <c r="D78" i="47" s="1"/>
  <c r="J78" i="47" s="1"/>
  <c r="V70" i="47"/>
  <c r="D77" i="47" s="1"/>
  <c r="J77" i="47" s="1"/>
  <c r="V69" i="47"/>
  <c r="V68" i="47"/>
  <c r="AL68" i="47" s="1"/>
  <c r="N71" i="47"/>
  <c r="L72" i="47"/>
  <c r="L71" i="47"/>
  <c r="L70" i="47"/>
  <c r="AC70" i="47" s="1"/>
  <c r="AE70" i="47" s="1"/>
  <c r="L69" i="47"/>
  <c r="L68" i="47"/>
  <c r="N69" i="47" s="1"/>
  <c r="J69" i="47"/>
  <c r="H72" i="47"/>
  <c r="H71" i="47"/>
  <c r="H70" i="47"/>
  <c r="H69" i="47"/>
  <c r="H68" i="47"/>
  <c r="D71" i="47"/>
  <c r="J71" i="47" s="1"/>
  <c r="D69" i="47"/>
  <c r="B72" i="47"/>
  <c r="B71" i="47"/>
  <c r="B70" i="47"/>
  <c r="B69" i="47"/>
  <c r="B68" i="47"/>
  <c r="AC71" i="47"/>
  <c r="AE71" i="47" s="1"/>
  <c r="AC69" i="47"/>
  <c r="A71" i="47"/>
  <c r="A70" i="47"/>
  <c r="A69" i="47"/>
  <c r="A68" i="47"/>
  <c r="AL64" i="47"/>
  <c r="AL61" i="47"/>
  <c r="AN61" i="47" s="1"/>
  <c r="V64" i="47"/>
  <c r="V63" i="47"/>
  <c r="AL63" i="47" s="1"/>
  <c r="V62" i="47"/>
  <c r="AL62" i="47" s="1"/>
  <c r="V61" i="47"/>
  <c r="V65" i="47" s="1"/>
  <c r="N62" i="47"/>
  <c r="P62" i="47" s="1"/>
  <c r="L65" i="47"/>
  <c r="L64" i="47"/>
  <c r="L63" i="47"/>
  <c r="N64" i="47" s="1"/>
  <c r="L62" i="47"/>
  <c r="L61" i="47"/>
  <c r="AC61" i="47" s="1"/>
  <c r="AE61" i="47" s="1"/>
  <c r="J64" i="47"/>
  <c r="H65" i="47"/>
  <c r="H64" i="47"/>
  <c r="H63" i="47"/>
  <c r="H62" i="47"/>
  <c r="H61" i="47"/>
  <c r="D64" i="47"/>
  <c r="D62" i="47"/>
  <c r="J62" i="47" s="1"/>
  <c r="B65" i="47"/>
  <c r="B64" i="47"/>
  <c r="B63" i="47"/>
  <c r="B62" i="47"/>
  <c r="B61" i="47"/>
  <c r="AC64" i="47"/>
  <c r="AC62" i="47"/>
  <c r="AE62" i="47" s="1"/>
  <c r="A64" i="47"/>
  <c r="A63" i="47"/>
  <c r="A62" i="47"/>
  <c r="A61" i="47"/>
  <c r="AL56" i="47"/>
  <c r="AL55" i="47"/>
  <c r="V57" i="47"/>
  <c r="AL57" i="47" s="1"/>
  <c r="V56" i="47"/>
  <c r="X56" i="47" s="1"/>
  <c r="V55" i="47"/>
  <c r="V54" i="47"/>
  <c r="AL54" i="47" s="1"/>
  <c r="P56" i="47"/>
  <c r="N57" i="47"/>
  <c r="P57" i="47" s="1"/>
  <c r="N56" i="47"/>
  <c r="N55" i="47"/>
  <c r="X55" i="47" s="1"/>
  <c r="H58" i="47"/>
  <c r="H57" i="47"/>
  <c r="H56" i="47"/>
  <c r="H55" i="47"/>
  <c r="H54" i="47"/>
  <c r="B58" i="47"/>
  <c r="B57" i="47"/>
  <c r="B56" i="47"/>
  <c r="B55" i="47"/>
  <c r="B54" i="47"/>
  <c r="AC57" i="47"/>
  <c r="AC56" i="47"/>
  <c r="AE57" i="47" s="1"/>
  <c r="AC55" i="47"/>
  <c r="AC54" i="47"/>
  <c r="AE55" i="47" s="1"/>
  <c r="L57" i="47"/>
  <c r="A57" i="47"/>
  <c r="A56" i="47"/>
  <c r="A55" i="47"/>
  <c r="A54" i="47"/>
  <c r="AL47" i="47"/>
  <c r="V50" i="47"/>
  <c r="D57" i="47" s="1"/>
  <c r="J57" i="47" s="1"/>
  <c r="V49" i="47"/>
  <c r="AL49" i="47" s="1"/>
  <c r="V48" i="47"/>
  <c r="AL48" i="47" s="1"/>
  <c r="V47" i="47"/>
  <c r="V51" i="47" s="1"/>
  <c r="P49" i="47"/>
  <c r="N50" i="47"/>
  <c r="X50" i="47" s="1"/>
  <c r="N49" i="47"/>
  <c r="N48" i="47"/>
  <c r="P48" i="47" s="1"/>
  <c r="H51" i="47"/>
  <c r="H50" i="47"/>
  <c r="H49" i="47"/>
  <c r="H48" i="47"/>
  <c r="H47" i="47"/>
  <c r="B51" i="47"/>
  <c r="B50" i="47"/>
  <c r="B49" i="47"/>
  <c r="B48" i="47"/>
  <c r="B47" i="47"/>
  <c r="AC50" i="47"/>
  <c r="AC49" i="47"/>
  <c r="AE50" i="47" s="1"/>
  <c r="AC48" i="47"/>
  <c r="AC47" i="47"/>
  <c r="AE48" i="47" s="1"/>
  <c r="AG48" i="47" s="1"/>
  <c r="L50" i="47"/>
  <c r="N54" i="47" s="1"/>
  <c r="A50" i="47"/>
  <c r="A49" i="47"/>
  <c r="A48" i="47"/>
  <c r="A47" i="47"/>
  <c r="AL42" i="47"/>
  <c r="AE41" i="47"/>
  <c r="V43" i="47"/>
  <c r="AL43" i="47" s="1"/>
  <c r="V42" i="47"/>
  <c r="X42" i="47" s="1"/>
  <c r="V41" i="47"/>
  <c r="D48" i="47" s="1"/>
  <c r="J48" i="47" s="1"/>
  <c r="V40" i="47"/>
  <c r="AL40" i="47" s="1"/>
  <c r="P42" i="47"/>
  <c r="N43" i="47"/>
  <c r="P43" i="47" s="1"/>
  <c r="N42" i="47"/>
  <c r="N41" i="47"/>
  <c r="X41" i="47" s="1"/>
  <c r="H44" i="47"/>
  <c r="H43" i="47"/>
  <c r="H42" i="47"/>
  <c r="H41" i="47"/>
  <c r="H40" i="47"/>
  <c r="AC43" i="47"/>
  <c r="AC42" i="47"/>
  <c r="AE43" i="47" s="1"/>
  <c r="AC41" i="47"/>
  <c r="AC40" i="47"/>
  <c r="L43" i="47"/>
  <c r="N47" i="47" s="1"/>
  <c r="V36" i="47"/>
  <c r="D43" i="47" s="1"/>
  <c r="J43" i="47" s="1"/>
  <c r="V35" i="47"/>
  <c r="D35" i="47" s="1"/>
  <c r="J35" i="47" s="1"/>
  <c r="V34" i="47"/>
  <c r="D41" i="47" s="1"/>
  <c r="J41" i="47" s="1"/>
  <c r="V33" i="47"/>
  <c r="AL33" i="47" s="1"/>
  <c r="N36" i="47"/>
  <c r="X36" i="47" s="1"/>
  <c r="N35" i="47"/>
  <c r="N34" i="47"/>
  <c r="P34" i="47" s="1"/>
  <c r="H37" i="47"/>
  <c r="H36" i="47"/>
  <c r="H35" i="47"/>
  <c r="H34" i="47"/>
  <c r="H33" i="47"/>
  <c r="B37" i="47"/>
  <c r="B36" i="47"/>
  <c r="B35" i="47"/>
  <c r="B34" i="47"/>
  <c r="B33" i="47"/>
  <c r="AC36" i="47"/>
  <c r="AC35" i="47"/>
  <c r="AE36" i="47" s="1"/>
  <c r="AC34" i="47"/>
  <c r="AC33" i="47"/>
  <c r="AE34" i="47" s="1"/>
  <c r="L36" i="47"/>
  <c r="N40" i="47" s="1"/>
  <c r="A36" i="47"/>
  <c r="A35" i="47"/>
  <c r="A34" i="47"/>
  <c r="A33" i="47"/>
  <c r="AL28" i="47"/>
  <c r="V29" i="47"/>
  <c r="D29" i="47" s="1"/>
  <c r="J29" i="47" s="1"/>
  <c r="V28" i="47"/>
  <c r="V27" i="47"/>
  <c r="D34" i="47" s="1"/>
  <c r="J34" i="47" s="1"/>
  <c r="V26" i="47"/>
  <c r="V30" i="47" s="1"/>
  <c r="P27" i="47"/>
  <c r="N28" i="47"/>
  <c r="P35" i="47" s="1"/>
  <c r="N27" i="47"/>
  <c r="H30" i="47"/>
  <c r="H29" i="47"/>
  <c r="H28" i="47"/>
  <c r="H27" i="47"/>
  <c r="H26" i="47"/>
  <c r="B30" i="47"/>
  <c r="B29" i="47"/>
  <c r="B28" i="47"/>
  <c r="B27" i="47"/>
  <c r="B26" i="47"/>
  <c r="AC29" i="47"/>
  <c r="L29" i="47"/>
  <c r="N29" i="47" s="1"/>
  <c r="A29" i="47"/>
  <c r="A28" i="47"/>
  <c r="A27" i="47"/>
  <c r="A26" i="47"/>
  <c r="AL21" i="47"/>
  <c r="V22" i="47"/>
  <c r="AL22" i="47" s="1"/>
  <c r="V21" i="47"/>
  <c r="D28" i="47" s="1"/>
  <c r="J28" i="47" s="1"/>
  <c r="V20" i="47"/>
  <c r="D20" i="47" s="1"/>
  <c r="J20" i="47" s="1"/>
  <c r="R20" i="47" s="1"/>
  <c r="V19" i="47"/>
  <c r="D26" i="47" s="1"/>
  <c r="J26" i="47" s="1"/>
  <c r="N21" i="47"/>
  <c r="X21" i="47" s="1"/>
  <c r="N20" i="47"/>
  <c r="N19" i="47"/>
  <c r="P19" i="47" s="1"/>
  <c r="H23" i="47"/>
  <c r="H22" i="47"/>
  <c r="H21" i="47"/>
  <c r="H20" i="47"/>
  <c r="H19" i="47"/>
  <c r="D22" i="47"/>
  <c r="J22" i="47" s="1"/>
  <c r="B23" i="47"/>
  <c r="B22" i="47"/>
  <c r="B21" i="47"/>
  <c r="B20" i="47"/>
  <c r="B19" i="47"/>
  <c r="B18" i="47"/>
  <c r="B25" i="47" s="1"/>
  <c r="B32" i="47" s="1"/>
  <c r="B39" i="47" s="1"/>
  <c r="B46" i="47" s="1"/>
  <c r="B53" i="47" s="1"/>
  <c r="B60" i="47" s="1"/>
  <c r="B67" i="47" s="1"/>
  <c r="B74" i="47" s="1"/>
  <c r="B81" i="47" s="1"/>
  <c r="B88" i="47" s="1"/>
  <c r="AC22" i="47"/>
  <c r="L22" i="47"/>
  <c r="N26" i="47" s="1"/>
  <c r="A22" i="47"/>
  <c r="A21" i="47"/>
  <c r="A20" i="47"/>
  <c r="A19" i="47"/>
  <c r="AL12" i="47"/>
  <c r="X13" i="47"/>
  <c r="V15" i="47"/>
  <c r="AL15" i="47" s="1"/>
  <c r="V14" i="47"/>
  <c r="AL14" i="47" s="1"/>
  <c r="V13" i="47"/>
  <c r="AL13" i="47" s="1"/>
  <c r="V12" i="47"/>
  <c r="V16" i="47" s="1"/>
  <c r="N15" i="47"/>
  <c r="X15" i="47" s="1"/>
  <c r="N14" i="47"/>
  <c r="N13" i="47"/>
  <c r="P20" i="47" s="1"/>
  <c r="N12" i="47"/>
  <c r="N16" i="47" s="1"/>
  <c r="J16" i="47"/>
  <c r="J12" i="47"/>
  <c r="H16" i="47"/>
  <c r="H15" i="47"/>
  <c r="H14" i="47"/>
  <c r="H13" i="47"/>
  <c r="H12" i="47"/>
  <c r="D16" i="47"/>
  <c r="D15" i="47"/>
  <c r="J15" i="47" s="1"/>
  <c r="D14" i="47"/>
  <c r="J14" i="47" s="1"/>
  <c r="D13" i="47"/>
  <c r="J13" i="47" s="1"/>
  <c r="D12" i="47"/>
  <c r="B16" i="47"/>
  <c r="B15" i="47"/>
  <c r="B14" i="47"/>
  <c r="B13" i="47"/>
  <c r="B12" i="47"/>
  <c r="AC15" i="47"/>
  <c r="L15" i="47"/>
  <c r="A15" i="47"/>
  <c r="A14" i="47"/>
  <c r="A13" i="47"/>
  <c r="A12" i="47"/>
  <c r="AJ313" i="44"/>
  <c r="AJ314" i="44" s="1"/>
  <c r="AJ312" i="44"/>
  <c r="AJ311" i="44"/>
  <c r="AJ310" i="44"/>
  <c r="B314" i="44"/>
  <c r="B313" i="44"/>
  <c r="B312" i="44"/>
  <c r="B311" i="44"/>
  <c r="B310" i="44"/>
  <c r="AH313" i="44"/>
  <c r="V313" i="44"/>
  <c r="E313" i="44"/>
  <c r="A313" i="44"/>
  <c r="A312" i="44"/>
  <c r="A311" i="44"/>
  <c r="A310" i="44"/>
  <c r="AJ306" i="44"/>
  <c r="AJ307" i="44" s="1"/>
  <c r="AJ305" i="44"/>
  <c r="AJ304" i="44"/>
  <c r="AJ303" i="44"/>
  <c r="B307" i="44"/>
  <c r="B306" i="44"/>
  <c r="B305" i="44"/>
  <c r="B304" i="44"/>
  <c r="B303" i="44"/>
  <c r="AH306" i="44"/>
  <c r="AB306" i="44"/>
  <c r="V306" i="44"/>
  <c r="L306" i="44"/>
  <c r="E306" i="44"/>
  <c r="A306" i="44"/>
  <c r="A305" i="44"/>
  <c r="A304" i="44"/>
  <c r="A303" i="44"/>
  <c r="AJ299" i="44"/>
  <c r="AJ300" i="44" s="1"/>
  <c r="AJ298" i="44"/>
  <c r="AJ297" i="44"/>
  <c r="AJ296" i="44"/>
  <c r="B300" i="44"/>
  <c r="B299" i="44"/>
  <c r="B298" i="44"/>
  <c r="B297" i="44"/>
  <c r="B296" i="44"/>
  <c r="AH299" i="44"/>
  <c r="AB299" i="44"/>
  <c r="V299" i="44"/>
  <c r="L299" i="44"/>
  <c r="E299" i="44"/>
  <c r="A299" i="44"/>
  <c r="A298" i="44"/>
  <c r="A297" i="44"/>
  <c r="A296" i="44"/>
  <c r="AJ292" i="44"/>
  <c r="AJ293" i="44" s="1"/>
  <c r="AJ291" i="44"/>
  <c r="AJ290" i="44"/>
  <c r="AJ289" i="44"/>
  <c r="B293" i="44"/>
  <c r="B292" i="44"/>
  <c r="B291" i="44"/>
  <c r="B290" i="44"/>
  <c r="B289" i="44"/>
  <c r="V292" i="44"/>
  <c r="A292" i="44"/>
  <c r="A291" i="44"/>
  <c r="A290" i="44"/>
  <c r="A289" i="44"/>
  <c r="AJ285" i="44"/>
  <c r="AJ286" i="44" s="1"/>
  <c r="AJ284" i="44"/>
  <c r="AJ283" i="44"/>
  <c r="AJ282" i="44"/>
  <c r="L286" i="44"/>
  <c r="B286" i="44"/>
  <c r="B285" i="44"/>
  <c r="B284" i="44"/>
  <c r="B283" i="44"/>
  <c r="B282" i="44"/>
  <c r="AH285" i="44"/>
  <c r="AB285" i="44"/>
  <c r="V285" i="44"/>
  <c r="E285" i="44"/>
  <c r="A285" i="44"/>
  <c r="A284" i="44"/>
  <c r="A283" i="44"/>
  <c r="A282" i="44"/>
  <c r="AJ279" i="44"/>
  <c r="AJ278" i="44"/>
  <c r="AJ277" i="44"/>
  <c r="AJ276" i="44"/>
  <c r="AJ275" i="44"/>
  <c r="B279" i="44"/>
  <c r="B278" i="44"/>
  <c r="B277" i="44"/>
  <c r="B276" i="44"/>
  <c r="B275" i="44"/>
  <c r="AH278" i="44"/>
  <c r="AB278" i="44"/>
  <c r="V278" i="44"/>
  <c r="E278" i="44"/>
  <c r="A278" i="44"/>
  <c r="A277" i="44"/>
  <c r="A276" i="44"/>
  <c r="A275" i="44"/>
  <c r="AJ272" i="44"/>
  <c r="AJ271" i="44"/>
  <c r="AJ270" i="44"/>
  <c r="AJ269" i="44"/>
  <c r="AJ268" i="44"/>
  <c r="AG268" i="44"/>
  <c r="AG269" i="44" s="1"/>
  <c r="AG270" i="44" s="1"/>
  <c r="AG271" i="44" s="1"/>
  <c r="AG272" i="44" s="1"/>
  <c r="AG275" i="44" s="1"/>
  <c r="AG276" i="44" s="1"/>
  <c r="AG277" i="44" s="1"/>
  <c r="AG278" i="44" s="1"/>
  <c r="AG279" i="44" s="1"/>
  <c r="AG282" i="44" s="1"/>
  <c r="AG283" i="44" s="1"/>
  <c r="AG284" i="44" s="1"/>
  <c r="AG285" i="44" s="1"/>
  <c r="AG286" i="44" s="1"/>
  <c r="AG289" i="44" s="1"/>
  <c r="AG290" i="44" s="1"/>
  <c r="AG291" i="44" s="1"/>
  <c r="AG292" i="44" s="1"/>
  <c r="AG293" i="44" s="1"/>
  <c r="AG296" i="44" s="1"/>
  <c r="AG297" i="44" s="1"/>
  <c r="AG298" i="44" s="1"/>
  <c r="AG299" i="44" s="1"/>
  <c r="AG300" i="44" s="1"/>
  <c r="AG303" i="44" s="1"/>
  <c r="AG304" i="44" s="1"/>
  <c r="AG305" i="44" s="1"/>
  <c r="AG306" i="44" s="1"/>
  <c r="AG307" i="44" s="1"/>
  <c r="AG310" i="44" s="1"/>
  <c r="AG311" i="44" s="1"/>
  <c r="AG312" i="44" s="1"/>
  <c r="E272" i="44"/>
  <c r="B272" i="44"/>
  <c r="B271" i="44"/>
  <c r="B270" i="44"/>
  <c r="B269" i="44"/>
  <c r="B268" i="44"/>
  <c r="AH271" i="44"/>
  <c r="V271" i="44"/>
  <c r="A271" i="44"/>
  <c r="A270" i="44"/>
  <c r="A269" i="44"/>
  <c r="A268" i="44"/>
  <c r="K261" i="44"/>
  <c r="K262" i="44" s="1"/>
  <c r="B265" i="44"/>
  <c r="B264" i="44"/>
  <c r="B263" i="44"/>
  <c r="B262" i="44"/>
  <c r="B261" i="44"/>
  <c r="AB263" i="44"/>
  <c r="AB262" i="44"/>
  <c r="V263" i="44"/>
  <c r="V262" i="44"/>
  <c r="L264" i="44"/>
  <c r="E263" i="44"/>
  <c r="E262" i="44"/>
  <c r="A264" i="44"/>
  <c r="A263" i="44"/>
  <c r="A262" i="44"/>
  <c r="A261" i="44"/>
  <c r="BE261" i="44"/>
  <c r="AZ264" i="44"/>
  <c r="AZ265" i="44" s="1"/>
  <c r="AS261" i="44"/>
  <c r="AD264" i="44"/>
  <c r="AD265" i="44" s="1"/>
  <c r="AC263" i="44"/>
  <c r="AC262" i="44"/>
  <c r="AC261" i="44"/>
  <c r="X265" i="44"/>
  <c r="X264" i="44"/>
  <c r="W263" i="44"/>
  <c r="W262" i="44"/>
  <c r="W261" i="44"/>
  <c r="R264" i="44"/>
  <c r="R265" i="44" s="1"/>
  <c r="G265" i="44"/>
  <c r="G264" i="44"/>
  <c r="F263" i="44"/>
  <c r="F262" i="44"/>
  <c r="F261" i="44"/>
  <c r="K258" i="44"/>
  <c r="K257" i="44"/>
  <c r="K256" i="44"/>
  <c r="K255" i="44"/>
  <c r="K254" i="44"/>
  <c r="L255" i="44" s="1"/>
  <c r="B258" i="44"/>
  <c r="B257" i="44"/>
  <c r="B256" i="44"/>
  <c r="B255" i="44"/>
  <c r="B254" i="44"/>
  <c r="AB256" i="44"/>
  <c r="AB255" i="44"/>
  <c r="U257" i="44"/>
  <c r="U258" i="44" s="1"/>
  <c r="E256" i="44"/>
  <c r="E255" i="44"/>
  <c r="A257" i="44"/>
  <c r="A256" i="44"/>
  <c r="A255" i="44"/>
  <c r="A254" i="44"/>
  <c r="V256" i="44"/>
  <c r="V255" i="44"/>
  <c r="AS255" i="44"/>
  <c r="BC255" i="44" s="1"/>
  <c r="AS254" i="44"/>
  <c r="BD254" i="44" s="1"/>
  <c r="AD257" i="44"/>
  <c r="AD258" i="44" s="1"/>
  <c r="AC256" i="44"/>
  <c r="AC255" i="44"/>
  <c r="AC254" i="44"/>
  <c r="X257" i="44"/>
  <c r="X258" i="44" s="1"/>
  <c r="W257" i="44"/>
  <c r="W254" i="44"/>
  <c r="R258" i="44"/>
  <c r="R257" i="44"/>
  <c r="Q254" i="44"/>
  <c r="G257" i="44"/>
  <c r="G258" i="44" s="1"/>
  <c r="F256" i="44"/>
  <c r="F255" i="44"/>
  <c r="F254" i="44"/>
  <c r="K247" i="44"/>
  <c r="AD251" i="44"/>
  <c r="X251" i="44"/>
  <c r="U251" i="44"/>
  <c r="V254" i="44" s="1"/>
  <c r="B251" i="44"/>
  <c r="B250" i="44"/>
  <c r="B249" i="44"/>
  <c r="B248" i="44"/>
  <c r="B247" i="44"/>
  <c r="E249" i="44"/>
  <c r="E248" i="44"/>
  <c r="A250" i="44"/>
  <c r="A249" i="44"/>
  <c r="A248" i="44"/>
  <c r="A247" i="44"/>
  <c r="X247" i="44"/>
  <c r="U249" i="44"/>
  <c r="W256" i="44" s="1"/>
  <c r="U248" i="44"/>
  <c r="W255" i="44" s="1"/>
  <c r="AS247" i="44"/>
  <c r="BD247" i="44" s="1"/>
  <c r="AC249" i="44"/>
  <c r="AB249" i="44"/>
  <c r="AC248" i="44"/>
  <c r="AB248" i="44"/>
  <c r="AC247" i="44"/>
  <c r="R250" i="44"/>
  <c r="R251" i="44" s="1"/>
  <c r="G250" i="44"/>
  <c r="G251" i="44" s="1"/>
  <c r="F249" i="44"/>
  <c r="F248" i="44"/>
  <c r="F247" i="44"/>
  <c r="U244" i="44"/>
  <c r="K243" i="44"/>
  <c r="B244" i="44"/>
  <c r="B243" i="44"/>
  <c r="B242" i="44"/>
  <c r="B241" i="44"/>
  <c r="B240" i="44"/>
  <c r="AD243" i="44"/>
  <c r="AD244" i="44" s="1"/>
  <c r="AB243" i="44"/>
  <c r="R243" i="44"/>
  <c r="R244" i="44" s="1"/>
  <c r="Q243" i="44"/>
  <c r="G243" i="44"/>
  <c r="G244" i="44" s="1"/>
  <c r="F243" i="44"/>
  <c r="E242" i="44"/>
  <c r="E241" i="44"/>
  <c r="A243" i="44"/>
  <c r="A242" i="44"/>
  <c r="A241" i="44"/>
  <c r="A240" i="44"/>
  <c r="AC241" i="44"/>
  <c r="U241" i="44"/>
  <c r="U242" i="44" s="1"/>
  <c r="K242" i="44" s="1"/>
  <c r="U240" i="44"/>
  <c r="K240" i="44" s="1"/>
  <c r="AZ243" i="44"/>
  <c r="AZ244" i="44" s="1"/>
  <c r="BA244" i="44" s="1"/>
  <c r="AS243" i="44"/>
  <c r="AU243" i="44" s="1"/>
  <c r="A239" i="44"/>
  <c r="A246" i="44" s="1"/>
  <c r="A253" i="44" s="1"/>
  <c r="A260" i="44" s="1"/>
  <c r="A267" i="44" s="1"/>
  <c r="A274" i="44" s="1"/>
  <c r="A281" i="44" s="1"/>
  <c r="A288" i="44" s="1"/>
  <c r="A295" i="44" s="1"/>
  <c r="A302" i="44" s="1"/>
  <c r="A309" i="44" s="1"/>
  <c r="AZ237" i="44"/>
  <c r="AA236" i="44"/>
  <c r="AC243" i="44" s="1"/>
  <c r="AA235" i="44"/>
  <c r="AC242" i="44" s="1"/>
  <c r="U237" i="44"/>
  <c r="K237" i="44"/>
  <c r="K244" i="44" s="1"/>
  <c r="E237" i="44"/>
  <c r="D237" i="44"/>
  <c r="D244" i="44" s="1"/>
  <c r="B237" i="44"/>
  <c r="B236" i="44"/>
  <c r="B235" i="44"/>
  <c r="B234" i="44"/>
  <c r="B233" i="44"/>
  <c r="AB236" i="44"/>
  <c r="L235" i="44"/>
  <c r="L234" i="44"/>
  <c r="A236" i="44"/>
  <c r="A235" i="44"/>
  <c r="A234" i="44"/>
  <c r="A233" i="44"/>
  <c r="U233" i="44"/>
  <c r="U234" i="44" s="1"/>
  <c r="U235" i="44" s="1"/>
  <c r="AS236" i="44"/>
  <c r="AA233" i="44"/>
  <c r="E235" i="44"/>
  <c r="E234" i="44"/>
  <c r="E233" i="44"/>
  <c r="U230" i="44"/>
  <c r="B230" i="44"/>
  <c r="B229" i="44"/>
  <c r="B228" i="44"/>
  <c r="B227" i="44"/>
  <c r="B226" i="44"/>
  <c r="AB228" i="44"/>
  <c r="AB227" i="44"/>
  <c r="AB226" i="44"/>
  <c r="A229" i="44"/>
  <c r="A228" i="44"/>
  <c r="A227" i="44"/>
  <c r="A226" i="44"/>
  <c r="U228" i="44"/>
  <c r="U226" i="44"/>
  <c r="U227" i="44" s="1"/>
  <c r="L230" i="44"/>
  <c r="L228" i="44"/>
  <c r="L227" i="44"/>
  <c r="L226" i="44"/>
  <c r="E229" i="44"/>
  <c r="E228" i="44"/>
  <c r="E227" i="44"/>
  <c r="E226" i="44"/>
  <c r="B223" i="44"/>
  <c r="B222" i="44"/>
  <c r="B221" i="44"/>
  <c r="B220" i="44"/>
  <c r="B219" i="44"/>
  <c r="AB221" i="44"/>
  <c r="AB220" i="44"/>
  <c r="AB219" i="44"/>
  <c r="A222" i="44"/>
  <c r="A221" i="44"/>
  <c r="A220" i="44"/>
  <c r="A219" i="44"/>
  <c r="L223" i="44"/>
  <c r="L221" i="44"/>
  <c r="L220" i="44"/>
  <c r="L219" i="44"/>
  <c r="E223" i="44"/>
  <c r="E221" i="44"/>
  <c r="E220" i="44"/>
  <c r="E219" i="44"/>
  <c r="AA215" i="44"/>
  <c r="AA216" i="44" s="1"/>
  <c r="B216" i="44"/>
  <c r="B215" i="44"/>
  <c r="B214" i="44"/>
  <c r="B213" i="44"/>
  <c r="B212" i="44"/>
  <c r="AB214" i="44"/>
  <c r="AB213" i="44"/>
  <c r="AB212" i="44"/>
  <c r="A215" i="44"/>
  <c r="A214" i="44"/>
  <c r="A213" i="44"/>
  <c r="A212" i="44"/>
  <c r="K216" i="44"/>
  <c r="K215" i="44"/>
  <c r="L214" i="44"/>
  <c r="L213" i="44"/>
  <c r="D215" i="44"/>
  <c r="D216" i="44" s="1"/>
  <c r="E214" i="44"/>
  <c r="E213" i="44"/>
  <c r="E212" i="44"/>
  <c r="AA209" i="44"/>
  <c r="AA208" i="44"/>
  <c r="AC208" i="44" s="1"/>
  <c r="B209" i="44"/>
  <c r="B208" i="44"/>
  <c r="B207" i="44"/>
  <c r="B206" i="44"/>
  <c r="B205" i="44"/>
  <c r="AB207" i="44"/>
  <c r="AB206" i="44"/>
  <c r="AB205" i="44"/>
  <c r="A208" i="44"/>
  <c r="A207" i="44"/>
  <c r="A206" i="44"/>
  <c r="A205" i="44"/>
  <c r="K208" i="44"/>
  <c r="L207" i="44"/>
  <c r="L206" i="44"/>
  <c r="L205" i="44"/>
  <c r="D208" i="44"/>
  <c r="D209" i="44" s="1"/>
  <c r="E207" i="44"/>
  <c r="E206" i="44"/>
  <c r="E205" i="44"/>
  <c r="AA201" i="44"/>
  <c r="AC201" i="44" s="1"/>
  <c r="B202" i="44"/>
  <c r="B201" i="44"/>
  <c r="B200" i="44"/>
  <c r="B199" i="44"/>
  <c r="B198" i="44"/>
  <c r="AB200" i="44"/>
  <c r="AB199" i="44"/>
  <c r="AB198" i="44"/>
  <c r="A201" i="44"/>
  <c r="A200" i="44"/>
  <c r="A199" i="44"/>
  <c r="A198" i="44"/>
  <c r="AS201" i="44"/>
  <c r="AX201" i="44" s="1"/>
  <c r="K201" i="44"/>
  <c r="K202" i="44" s="1"/>
  <c r="L200" i="44"/>
  <c r="L199" i="44"/>
  <c r="L198" i="44"/>
  <c r="D201" i="44"/>
  <c r="E200" i="44"/>
  <c r="E199" i="44"/>
  <c r="E198" i="44"/>
  <c r="AC194" i="44"/>
  <c r="AA195" i="44"/>
  <c r="AA194" i="44"/>
  <c r="B195" i="44"/>
  <c r="B194" i="44"/>
  <c r="B193" i="44"/>
  <c r="B192" i="44"/>
  <c r="B191" i="44"/>
  <c r="AB193" i="44"/>
  <c r="AB192" i="44"/>
  <c r="AB191" i="44"/>
  <c r="A194" i="44"/>
  <c r="A193" i="44"/>
  <c r="A192" i="44"/>
  <c r="A191" i="44"/>
  <c r="BC194" i="44"/>
  <c r="AS194" i="44"/>
  <c r="AX194" i="44" s="1"/>
  <c r="K195" i="44"/>
  <c r="K194" i="44"/>
  <c r="Q194" i="44" s="1"/>
  <c r="L193" i="44"/>
  <c r="L192" i="44"/>
  <c r="L191" i="44"/>
  <c r="D195" i="44"/>
  <c r="D194" i="44"/>
  <c r="E193" i="44"/>
  <c r="E192" i="44"/>
  <c r="E191" i="44"/>
  <c r="AA188" i="44"/>
  <c r="AS188" i="44" s="1"/>
  <c r="AA187" i="44"/>
  <c r="B188" i="44"/>
  <c r="B187" i="44"/>
  <c r="B186" i="44"/>
  <c r="B185" i="44"/>
  <c r="B184" i="44"/>
  <c r="AB186" i="44"/>
  <c r="AB185" i="44"/>
  <c r="AB184" i="44"/>
  <c r="A187" i="44"/>
  <c r="A186" i="44"/>
  <c r="A185" i="44"/>
  <c r="A184" i="44"/>
  <c r="K188" i="44"/>
  <c r="K187" i="44"/>
  <c r="L186" i="44"/>
  <c r="L185" i="44"/>
  <c r="L184" i="44"/>
  <c r="D187" i="44"/>
  <c r="D188" i="44" s="1"/>
  <c r="E186" i="44"/>
  <c r="E185" i="44"/>
  <c r="E184" i="44"/>
  <c r="B181" i="44"/>
  <c r="B180" i="44"/>
  <c r="B179" i="44"/>
  <c r="B178" i="44"/>
  <c r="B177" i="44"/>
  <c r="AM180" i="44"/>
  <c r="AE180" i="44"/>
  <c r="AB180" i="44"/>
  <c r="N180" i="44"/>
  <c r="L180" i="44"/>
  <c r="E180" i="44"/>
  <c r="A180" i="44"/>
  <c r="A179" i="44"/>
  <c r="A178" i="44"/>
  <c r="A177" i="44"/>
  <c r="B174" i="44"/>
  <c r="B173" i="44"/>
  <c r="B172" i="44"/>
  <c r="B171" i="44"/>
  <c r="B170" i="44"/>
  <c r="AM173" i="44"/>
  <c r="AE173" i="44"/>
  <c r="AB173" i="44"/>
  <c r="N173" i="44"/>
  <c r="L173" i="44"/>
  <c r="E173" i="44"/>
  <c r="A173" i="44"/>
  <c r="A172" i="44"/>
  <c r="A171" i="44"/>
  <c r="A170" i="44"/>
  <c r="B167" i="44"/>
  <c r="B166" i="44"/>
  <c r="B165" i="44"/>
  <c r="B164" i="44"/>
  <c r="B163" i="44"/>
  <c r="AM166" i="44"/>
  <c r="AE166" i="44"/>
  <c r="AB166" i="44"/>
  <c r="N166" i="44"/>
  <c r="L166" i="44"/>
  <c r="E166" i="44"/>
  <c r="A166" i="44"/>
  <c r="A165" i="44"/>
  <c r="A164" i="44"/>
  <c r="A163" i="44"/>
  <c r="B160" i="44"/>
  <c r="B159" i="44"/>
  <c r="B158" i="44"/>
  <c r="B157" i="44"/>
  <c r="B156" i="44"/>
  <c r="AM159" i="44"/>
  <c r="AE159" i="44"/>
  <c r="AB159" i="44"/>
  <c r="N159" i="44"/>
  <c r="L159" i="44"/>
  <c r="E159" i="44"/>
  <c r="A159" i="44"/>
  <c r="A158" i="44"/>
  <c r="A157" i="44"/>
  <c r="A156" i="44"/>
  <c r="O149" i="44"/>
  <c r="M150" i="44"/>
  <c r="M151" i="44" s="1"/>
  <c r="K150" i="44"/>
  <c r="O150" i="44" s="1"/>
  <c r="G153" i="44"/>
  <c r="B153" i="44"/>
  <c r="B152" i="44"/>
  <c r="B151" i="44"/>
  <c r="B150" i="44"/>
  <c r="B149" i="44"/>
  <c r="AM152" i="44"/>
  <c r="AH152" i="44"/>
  <c r="AE152" i="44"/>
  <c r="AB152" i="44"/>
  <c r="N152" i="44"/>
  <c r="L152" i="44"/>
  <c r="I152" i="44"/>
  <c r="E152" i="44"/>
  <c r="A152" i="44"/>
  <c r="A151" i="44"/>
  <c r="A150" i="44"/>
  <c r="A149" i="44"/>
  <c r="G149" i="44"/>
  <c r="AJ146" i="44"/>
  <c r="AA146" i="44"/>
  <c r="AA142" i="44"/>
  <c r="L146" i="44"/>
  <c r="G146" i="44"/>
  <c r="B146" i="44"/>
  <c r="B145" i="44"/>
  <c r="B144" i="44"/>
  <c r="B143" i="44"/>
  <c r="B142" i="44"/>
  <c r="AO145" i="44"/>
  <c r="AO146" i="44" s="1"/>
  <c r="AQ146" i="44" s="1"/>
  <c r="AM145" i="44"/>
  <c r="AJ145" i="44"/>
  <c r="AH145" i="44"/>
  <c r="AJ153" i="44" s="1"/>
  <c r="AE145" i="44"/>
  <c r="AB145" i="44"/>
  <c r="L229" i="44" s="1"/>
  <c r="N145" i="44"/>
  <c r="AB229" i="44" s="1"/>
  <c r="A145" i="44"/>
  <c r="A144" i="44"/>
  <c r="A143" i="44"/>
  <c r="A142" i="44"/>
  <c r="G145" i="44"/>
  <c r="AO139" i="44"/>
  <c r="AL139" i="44"/>
  <c r="AJ139" i="44"/>
  <c r="M136" i="44"/>
  <c r="AA220" i="44" s="1"/>
  <c r="M135" i="44"/>
  <c r="AA219" i="44" s="1"/>
  <c r="K135" i="44"/>
  <c r="D135" i="44"/>
  <c r="D136" i="44" s="1"/>
  <c r="B139" i="44"/>
  <c r="B138" i="44"/>
  <c r="B137" i="44"/>
  <c r="B136" i="44"/>
  <c r="B135" i="44"/>
  <c r="AO138" i="44"/>
  <c r="AH138" i="44"/>
  <c r="AJ138" i="44" s="1"/>
  <c r="AE138" i="44"/>
  <c r="AC138" i="44"/>
  <c r="AB138" i="44"/>
  <c r="L222" i="44" s="1"/>
  <c r="AA138" i="44"/>
  <c r="N138" i="44"/>
  <c r="L138" i="44"/>
  <c r="G138" i="44"/>
  <c r="G139" i="44" s="1"/>
  <c r="G142" i="44" s="1"/>
  <c r="E138" i="44"/>
  <c r="A138" i="44"/>
  <c r="A137" i="44"/>
  <c r="A136" i="44"/>
  <c r="A135" i="44"/>
  <c r="P139" i="44"/>
  <c r="P137" i="44"/>
  <c r="P136" i="44"/>
  <c r="P135" i="44"/>
  <c r="O135" i="44"/>
  <c r="G135" i="44"/>
  <c r="G136" i="44" s="1"/>
  <c r="AP132" i="44"/>
  <c r="AP139" i="44" s="1"/>
  <c r="AP146" i="44" s="1"/>
  <c r="AP153" i="44" s="1"/>
  <c r="AP160" i="44" s="1"/>
  <c r="AP167" i="44" s="1"/>
  <c r="AP174" i="44" s="1"/>
  <c r="AP181" i="44" s="1"/>
  <c r="AO132" i="44"/>
  <c r="AQ139" i="44" s="1"/>
  <c r="AL132" i="44"/>
  <c r="AB132" i="44"/>
  <c r="AA132" i="44"/>
  <c r="AC132" i="44" s="1"/>
  <c r="B132" i="44"/>
  <c r="B131" i="44"/>
  <c r="B130" i="44"/>
  <c r="B129" i="44"/>
  <c r="B128" i="44"/>
  <c r="AL130" i="44"/>
  <c r="AL129" i="44"/>
  <c r="AL128" i="44"/>
  <c r="AJ131" i="44"/>
  <c r="AF131" i="44"/>
  <c r="AC131" i="44"/>
  <c r="Q131" i="44"/>
  <c r="O131" i="44"/>
  <c r="G131" i="44"/>
  <c r="G132" i="44" s="1"/>
  <c r="F131" i="44"/>
  <c r="A131" i="44"/>
  <c r="A130" i="44"/>
  <c r="A129" i="44"/>
  <c r="A128" i="44"/>
  <c r="M128" i="44"/>
  <c r="AA212" i="44" s="1"/>
  <c r="K128" i="44"/>
  <c r="K129" i="44" s="1"/>
  <c r="D128" i="44"/>
  <c r="D129" i="44" s="1"/>
  <c r="AO129" i="44"/>
  <c r="AD128" i="44"/>
  <c r="AF128" i="44" s="1"/>
  <c r="AB128" i="44"/>
  <c r="L212" i="44" s="1"/>
  <c r="P130" i="44"/>
  <c r="P129" i="44"/>
  <c r="P128" i="44"/>
  <c r="AL125" i="44"/>
  <c r="AN125" i="44" s="1"/>
  <c r="AH125" i="44"/>
  <c r="AJ132" i="44" s="1"/>
  <c r="AF125" i="44"/>
  <c r="AE125" i="44"/>
  <c r="AD125" i="44"/>
  <c r="AE132" i="44" s="1"/>
  <c r="AD132" i="44" s="1"/>
  <c r="AC125" i="44"/>
  <c r="AB125" i="44"/>
  <c r="L209" i="44" s="1"/>
  <c r="AA125" i="44"/>
  <c r="M125" i="44"/>
  <c r="N132" i="44" s="1"/>
  <c r="K125" i="44"/>
  <c r="L132" i="44" s="1"/>
  <c r="K132" i="44" s="1"/>
  <c r="G125" i="44"/>
  <c r="H125" i="44" s="1"/>
  <c r="F125" i="44"/>
  <c r="D125" i="44"/>
  <c r="E132" i="44" s="1"/>
  <c r="B125" i="44"/>
  <c r="B124" i="44"/>
  <c r="B123" i="44"/>
  <c r="B122" i="44"/>
  <c r="B121" i="44"/>
  <c r="AN124" i="44"/>
  <c r="AJ124" i="44"/>
  <c r="AF124" i="44"/>
  <c r="AC124" i="44"/>
  <c r="Q124" i="44"/>
  <c r="O124" i="44"/>
  <c r="AS124" i="44" s="1"/>
  <c r="F124" i="44"/>
  <c r="A124" i="44"/>
  <c r="A123" i="44"/>
  <c r="A122" i="44"/>
  <c r="A121" i="44"/>
  <c r="AA121" i="44"/>
  <c r="AA122" i="44" s="1"/>
  <c r="M122" i="44"/>
  <c r="AA206" i="44" s="1"/>
  <c r="M121" i="44"/>
  <c r="AA205" i="44" s="1"/>
  <c r="K121" i="44"/>
  <c r="O121" i="44" s="1"/>
  <c r="D121" i="44"/>
  <c r="F128" i="44" s="1"/>
  <c r="AD121" i="44"/>
  <c r="AD122" i="44" s="1"/>
  <c r="P123" i="44"/>
  <c r="P122" i="44"/>
  <c r="P121" i="44"/>
  <c r="F121" i="44"/>
  <c r="AH118" i="44"/>
  <c r="AJ118" i="44" s="1"/>
  <c r="AF117" i="44"/>
  <c r="AD118" i="44"/>
  <c r="AF118" i="44" s="1"/>
  <c r="AB118" i="44"/>
  <c r="L202" i="44" s="1"/>
  <c r="AA118" i="44"/>
  <c r="M118" i="44"/>
  <c r="N118" i="44" s="1"/>
  <c r="K118" i="44"/>
  <c r="Q118" i="44" s="1"/>
  <c r="F118" i="44"/>
  <c r="D118" i="44"/>
  <c r="E118" i="44" s="1"/>
  <c r="B118" i="44"/>
  <c r="B117" i="44"/>
  <c r="B116" i="44"/>
  <c r="B115" i="44"/>
  <c r="B114" i="44"/>
  <c r="AJ117" i="44"/>
  <c r="AC117" i="44"/>
  <c r="Q117" i="44"/>
  <c r="O117" i="44"/>
  <c r="G117" i="44"/>
  <c r="I124" i="44" s="1"/>
  <c r="F117" i="44"/>
  <c r="A117" i="44"/>
  <c r="A116" i="44"/>
  <c r="A115" i="44"/>
  <c r="A114" i="44"/>
  <c r="AM118" i="44"/>
  <c r="AL118" i="44"/>
  <c r="AL117" i="44"/>
  <c r="AM125" i="44" s="1"/>
  <c r="AL116" i="44"/>
  <c r="AM116" i="44" s="1"/>
  <c r="AA114" i="44"/>
  <c r="AA115" i="44" s="1"/>
  <c r="M115" i="44"/>
  <c r="AA199" i="44" s="1"/>
  <c r="M114" i="44"/>
  <c r="AA198" i="44" s="1"/>
  <c r="K114" i="44"/>
  <c r="Q114" i="44" s="1"/>
  <c r="D114" i="44"/>
  <c r="AS114" i="44" s="1"/>
  <c r="AM115" i="44"/>
  <c r="AM114" i="44"/>
  <c r="AS117" i="44"/>
  <c r="BD117" i="44" s="1"/>
  <c r="AD115" i="44"/>
  <c r="AD116" i="44" s="1"/>
  <c r="AD114" i="44"/>
  <c r="AF114" i="44" s="1"/>
  <c r="P116" i="44"/>
  <c r="P115" i="44"/>
  <c r="P114" i="44"/>
  <c r="O114" i="44"/>
  <c r="AJ111" i="44"/>
  <c r="AH111" i="44"/>
  <c r="AD111" i="44"/>
  <c r="AA111" i="44"/>
  <c r="AC111" i="44" s="1"/>
  <c r="M111" i="44"/>
  <c r="K111" i="44"/>
  <c r="L111" i="44" s="1"/>
  <c r="D111" i="44"/>
  <c r="B111" i="44"/>
  <c r="B110" i="44"/>
  <c r="B109" i="44"/>
  <c r="B108" i="44"/>
  <c r="B107" i="44"/>
  <c r="AF110" i="44"/>
  <c r="AC110" i="44"/>
  <c r="Q110" i="44"/>
  <c r="O110" i="44"/>
  <c r="G110" i="44"/>
  <c r="G111" i="44" s="1"/>
  <c r="F110" i="44"/>
  <c r="A110" i="44"/>
  <c r="A109" i="44"/>
  <c r="A108" i="44"/>
  <c r="A107" i="44"/>
  <c r="AA107" i="44"/>
  <c r="K191" i="44" s="1"/>
  <c r="M107" i="44"/>
  <c r="AA191" i="44" s="1"/>
  <c r="K108" i="44"/>
  <c r="K107" i="44"/>
  <c r="D107" i="44"/>
  <c r="AS107" i="44" s="1"/>
  <c r="BE110" i="44"/>
  <c r="AS110" i="44"/>
  <c r="BC110" i="44" s="1"/>
  <c r="AD108" i="44"/>
  <c r="AD107" i="44"/>
  <c r="P109" i="44"/>
  <c r="P108" i="44"/>
  <c r="P107" i="44"/>
  <c r="O107" i="44"/>
  <c r="AH104" i="44"/>
  <c r="AD104" i="44"/>
  <c r="AA104" i="44"/>
  <c r="AB104" i="44" s="1"/>
  <c r="M104" i="44"/>
  <c r="N111" i="44" s="1"/>
  <c r="P111" i="44" s="1"/>
  <c r="K104" i="44"/>
  <c r="D104" i="44"/>
  <c r="B104" i="44"/>
  <c r="B103" i="44"/>
  <c r="B102" i="44"/>
  <c r="B101" i="44"/>
  <c r="B100" i="44"/>
  <c r="AF103" i="44"/>
  <c r="AC103" i="44"/>
  <c r="A103" i="44"/>
  <c r="A102" i="44"/>
  <c r="A101" i="44"/>
  <c r="A100" i="44"/>
  <c r="AA100" i="44"/>
  <c r="AC100" i="44" s="1"/>
  <c r="M100" i="44"/>
  <c r="AA184" i="44" s="1"/>
  <c r="K100" i="44"/>
  <c r="Q107" i="44" s="1"/>
  <c r="D101" i="44"/>
  <c r="D100" i="44"/>
  <c r="AD100" i="44"/>
  <c r="Q103" i="44"/>
  <c r="O103" i="44"/>
  <c r="AS103" i="44" s="1"/>
  <c r="BC103" i="44" s="1"/>
  <c r="P102" i="44"/>
  <c r="P101" i="44"/>
  <c r="P100" i="44"/>
  <c r="O100" i="44"/>
  <c r="G103" i="44"/>
  <c r="G104" i="44" s="1"/>
  <c r="F103" i="44"/>
  <c r="F100" i="44"/>
  <c r="AH97" i="44"/>
  <c r="AF97" i="44"/>
  <c r="AD97" i="44"/>
  <c r="AE97" i="44" s="1"/>
  <c r="AA97" i="44"/>
  <c r="M97" i="44"/>
  <c r="N97" i="44" s="1"/>
  <c r="K97" i="44"/>
  <c r="O97" i="44" s="1"/>
  <c r="G97" i="44"/>
  <c r="F97" i="44"/>
  <c r="D97" i="44"/>
  <c r="E97" i="44" s="1"/>
  <c r="B97" i="44"/>
  <c r="B96" i="44"/>
  <c r="B95" i="44"/>
  <c r="B94" i="44"/>
  <c r="B93" i="44"/>
  <c r="AF96" i="44"/>
  <c r="AC96" i="44"/>
  <c r="Q96" i="44"/>
  <c r="O96" i="44"/>
  <c r="G96" i="44"/>
  <c r="F96" i="44"/>
  <c r="E96" i="44"/>
  <c r="A96" i="44"/>
  <c r="A95" i="44"/>
  <c r="A94" i="44"/>
  <c r="A93" i="44"/>
  <c r="AA94" i="44"/>
  <c r="AA93" i="44"/>
  <c r="AC93" i="44" s="1"/>
  <c r="M93" i="44"/>
  <c r="M94" i="44" s="1"/>
  <c r="M95" i="44" s="1"/>
  <c r="N96" i="44" s="1"/>
  <c r="K93" i="44"/>
  <c r="K94" i="44" s="1"/>
  <c r="O94" i="44" s="1"/>
  <c r="D95" i="44"/>
  <c r="D94" i="44"/>
  <c r="D93" i="44"/>
  <c r="AX96" i="44"/>
  <c r="AS96" i="44"/>
  <c r="BC96" i="44" s="1"/>
  <c r="AD94" i="44"/>
  <c r="AD95" i="44" s="1"/>
  <c r="AE96" i="44" s="1"/>
  <c r="AD93" i="44"/>
  <c r="AF93" i="44" s="1"/>
  <c r="P95" i="44"/>
  <c r="P94" i="44"/>
  <c r="Q93" i="44"/>
  <c r="P93" i="44"/>
  <c r="O93" i="44"/>
  <c r="F94" i="44"/>
  <c r="F93" i="44"/>
  <c r="AJ90" i="44"/>
  <c r="AH90" i="44"/>
  <c r="AD90" i="44"/>
  <c r="AA90" i="44"/>
  <c r="AB97" i="44" s="1"/>
  <c r="M90" i="44"/>
  <c r="K90" i="44"/>
  <c r="O90" i="44" s="1"/>
  <c r="D90" i="44"/>
  <c r="B90" i="44"/>
  <c r="B89" i="44"/>
  <c r="B88" i="44"/>
  <c r="B87" i="44"/>
  <c r="B86" i="44"/>
  <c r="L89" i="44"/>
  <c r="P89" i="44" s="1"/>
  <c r="L88" i="44"/>
  <c r="P88" i="44" s="1"/>
  <c r="L87" i="44"/>
  <c r="L86" i="44"/>
  <c r="A89" i="44"/>
  <c r="A88" i="44"/>
  <c r="A87" i="44"/>
  <c r="A86" i="44"/>
  <c r="AY88" i="44"/>
  <c r="AY87" i="44"/>
  <c r="AF89" i="44"/>
  <c r="AE89" i="44"/>
  <c r="AF88" i="44"/>
  <c r="AE88" i="44"/>
  <c r="AF87" i="44"/>
  <c r="AE87" i="44"/>
  <c r="AS89" i="44"/>
  <c r="BC89" i="44" s="1"/>
  <c r="AF86" i="44"/>
  <c r="AC89" i="44"/>
  <c r="AB89" i="44"/>
  <c r="AC88" i="44"/>
  <c r="AB88" i="44"/>
  <c r="AC87" i="44"/>
  <c r="AB87" i="44"/>
  <c r="AC86" i="44"/>
  <c r="AB86" i="44"/>
  <c r="Q89" i="44"/>
  <c r="O89" i="44"/>
  <c r="N89" i="44"/>
  <c r="Q88" i="44"/>
  <c r="O88" i="44"/>
  <c r="N88" i="44"/>
  <c r="Q87" i="44"/>
  <c r="P87" i="44"/>
  <c r="O87" i="44"/>
  <c r="N87" i="44"/>
  <c r="Q86" i="44"/>
  <c r="P86" i="44"/>
  <c r="O86" i="44"/>
  <c r="N86" i="44"/>
  <c r="G89" i="44"/>
  <c r="G90" i="44" s="1"/>
  <c r="F89" i="44"/>
  <c r="E89" i="44"/>
  <c r="F88" i="44"/>
  <c r="E88" i="44"/>
  <c r="F87" i="44"/>
  <c r="E87" i="44"/>
  <c r="F86" i="44"/>
  <c r="E86" i="44"/>
  <c r="AP83" i="44"/>
  <c r="AO83" i="44"/>
  <c r="AL83" i="44"/>
  <c r="BE83" i="44" s="1"/>
  <c r="AH83" i="44"/>
  <c r="AD83" i="44"/>
  <c r="AF83" i="44" s="1"/>
  <c r="AA83" i="44"/>
  <c r="AB90" i="44" s="1"/>
  <c r="O83" i="44"/>
  <c r="M83" i="44"/>
  <c r="N90" i="44" s="1"/>
  <c r="K83" i="44"/>
  <c r="D83" i="44"/>
  <c r="AS83" i="44" s="1"/>
  <c r="AX83" i="44" s="1"/>
  <c r="B83" i="44"/>
  <c r="B82" i="44"/>
  <c r="B81" i="44"/>
  <c r="B80" i="44"/>
  <c r="B79" i="44"/>
  <c r="L82" i="44"/>
  <c r="L81" i="44"/>
  <c r="L80" i="44"/>
  <c r="L79" i="44"/>
  <c r="A82" i="44"/>
  <c r="A81" i="44"/>
  <c r="A80" i="44"/>
  <c r="A79" i="44"/>
  <c r="AY81" i="44"/>
  <c r="AY80" i="44"/>
  <c r="BC81" i="44"/>
  <c r="AS82" i="44"/>
  <c r="AS81" i="44"/>
  <c r="BE81" i="44" s="1"/>
  <c r="AS80" i="44"/>
  <c r="BC80" i="44" s="1"/>
  <c r="AN82" i="44"/>
  <c r="AM82" i="44"/>
  <c r="AN81" i="44"/>
  <c r="AM81" i="44"/>
  <c r="AN80" i="44"/>
  <c r="AM80" i="44"/>
  <c r="AN79" i="44"/>
  <c r="AM79" i="44"/>
  <c r="AF82" i="44"/>
  <c r="AE82" i="44"/>
  <c r="AF81" i="44"/>
  <c r="AE81" i="44"/>
  <c r="AF80" i="44"/>
  <c r="AE80" i="44"/>
  <c r="AF79" i="44"/>
  <c r="AE79" i="44"/>
  <c r="AC82" i="44"/>
  <c r="AB82" i="44"/>
  <c r="AC81" i="44"/>
  <c r="AB81" i="44"/>
  <c r="AC80" i="44"/>
  <c r="AB80" i="44"/>
  <c r="AC79" i="44"/>
  <c r="AB79" i="44"/>
  <c r="Q82" i="44"/>
  <c r="P82" i="44"/>
  <c r="O82" i="44"/>
  <c r="N82" i="44"/>
  <c r="Q81" i="44"/>
  <c r="P81" i="44"/>
  <c r="O81" i="44"/>
  <c r="N81" i="44"/>
  <c r="Q80" i="44"/>
  <c r="P80" i="44"/>
  <c r="O80" i="44"/>
  <c r="N80" i="44"/>
  <c r="Q79" i="44"/>
  <c r="P79" i="44"/>
  <c r="O79" i="44"/>
  <c r="N79" i="44"/>
  <c r="G82" i="44"/>
  <c r="G83" i="44" s="1"/>
  <c r="F82" i="44"/>
  <c r="F81" i="44"/>
  <c r="F80" i="44"/>
  <c r="F79" i="44"/>
  <c r="AP76" i="44"/>
  <c r="AO74" i="44" s="1"/>
  <c r="AL76" i="44"/>
  <c r="AM76" i="44" s="1"/>
  <c r="AH76" i="44"/>
  <c r="AD76" i="44"/>
  <c r="AF76" i="44" s="1"/>
  <c r="AA76" i="44"/>
  <c r="AB76" i="44" s="1"/>
  <c r="M76" i="44"/>
  <c r="N76" i="44" s="1"/>
  <c r="K76" i="44"/>
  <c r="O76" i="44" s="1"/>
  <c r="D76" i="44"/>
  <c r="F76" i="44" s="1"/>
  <c r="B76" i="44"/>
  <c r="B75" i="44"/>
  <c r="B74" i="44"/>
  <c r="B73" i="44"/>
  <c r="B72" i="44"/>
  <c r="L75" i="44"/>
  <c r="L74" i="44"/>
  <c r="L73" i="44"/>
  <c r="L72" i="44"/>
  <c r="A75" i="44"/>
  <c r="A74" i="44"/>
  <c r="A73" i="44"/>
  <c r="A72" i="44"/>
  <c r="AY74" i="44"/>
  <c r="AY73" i="44"/>
  <c r="G75" i="44"/>
  <c r="I75" i="44" s="1"/>
  <c r="F75" i="44"/>
  <c r="E75" i="44"/>
  <c r="F74" i="44"/>
  <c r="E74" i="44"/>
  <c r="F73" i="44"/>
  <c r="E73" i="44"/>
  <c r="BC73" i="44"/>
  <c r="BC72" i="44"/>
  <c r="AS74" i="44"/>
  <c r="AS73" i="44"/>
  <c r="BE73" i="44" s="1"/>
  <c r="AS72" i="44"/>
  <c r="BD72" i="44" s="1"/>
  <c r="AO75" i="44"/>
  <c r="AN75" i="44"/>
  <c r="AM75" i="44"/>
  <c r="AN74" i="44"/>
  <c r="AM74" i="44"/>
  <c r="AN73" i="44"/>
  <c r="AM73" i="44"/>
  <c r="AO72" i="44"/>
  <c r="AN72" i="44"/>
  <c r="AM72" i="44"/>
  <c r="AF75" i="44"/>
  <c r="AE75" i="44"/>
  <c r="AF74" i="44"/>
  <c r="AE74" i="44"/>
  <c r="AF73" i="44"/>
  <c r="AE73" i="44"/>
  <c r="AF72" i="44"/>
  <c r="AE72" i="44"/>
  <c r="AC75" i="44"/>
  <c r="AB75" i="44"/>
  <c r="AC74" i="44"/>
  <c r="AB74" i="44"/>
  <c r="AC73" i="44"/>
  <c r="AB73" i="44"/>
  <c r="AC72" i="44"/>
  <c r="AB72" i="44"/>
  <c r="Q75" i="44"/>
  <c r="P75" i="44"/>
  <c r="O75" i="44"/>
  <c r="N75" i="44"/>
  <c r="Q74" i="44"/>
  <c r="P74" i="44"/>
  <c r="O74" i="44"/>
  <c r="N74" i="44"/>
  <c r="Q73" i="44"/>
  <c r="P73" i="44"/>
  <c r="O73" i="44"/>
  <c r="N73" i="44"/>
  <c r="Q72" i="44"/>
  <c r="P72" i="44"/>
  <c r="O72" i="44"/>
  <c r="N72" i="44"/>
  <c r="F72" i="44"/>
  <c r="AP69" i="44"/>
  <c r="AO65" i="44" s="1"/>
  <c r="AL69" i="44"/>
  <c r="AH69" i="44"/>
  <c r="AD69" i="44"/>
  <c r="AE69" i="44" s="1"/>
  <c r="AA69" i="44"/>
  <c r="M69" i="44"/>
  <c r="N69" i="44" s="1"/>
  <c r="K69" i="44"/>
  <c r="Q69" i="44" s="1"/>
  <c r="D69" i="44"/>
  <c r="E69" i="44" s="1"/>
  <c r="B69" i="44"/>
  <c r="B68" i="44"/>
  <c r="B67" i="44"/>
  <c r="B66" i="44"/>
  <c r="B65" i="44"/>
  <c r="L68" i="44"/>
  <c r="L67" i="44"/>
  <c r="L66" i="44"/>
  <c r="L65" i="44"/>
  <c r="A68" i="44"/>
  <c r="A67" i="44"/>
  <c r="A66" i="44"/>
  <c r="A65" i="44"/>
  <c r="AY67" i="44"/>
  <c r="AY66" i="44"/>
  <c r="BC65" i="44"/>
  <c r="AS66" i="44"/>
  <c r="AS65" i="44"/>
  <c r="BE65" i="44" s="1"/>
  <c r="AO68" i="44"/>
  <c r="AN68" i="44"/>
  <c r="AM68" i="44"/>
  <c r="AO67" i="44"/>
  <c r="AN67" i="44"/>
  <c r="AM67" i="44"/>
  <c r="AO66" i="44"/>
  <c r="AN66" i="44"/>
  <c r="AM66" i="44"/>
  <c r="AN65" i="44"/>
  <c r="AM65" i="44"/>
  <c r="AF68" i="44"/>
  <c r="AE68" i="44"/>
  <c r="AF67" i="44"/>
  <c r="AE67" i="44"/>
  <c r="AF66" i="44"/>
  <c r="AE66" i="44"/>
  <c r="AF65" i="44"/>
  <c r="AE65" i="44"/>
  <c r="AC68" i="44"/>
  <c r="AB68" i="44"/>
  <c r="AC67" i="44"/>
  <c r="AB67" i="44"/>
  <c r="AC66" i="44"/>
  <c r="AB66" i="44"/>
  <c r="AC65" i="44"/>
  <c r="AB65" i="44"/>
  <c r="Q68" i="44"/>
  <c r="P68" i="44"/>
  <c r="O68" i="44"/>
  <c r="N68" i="44"/>
  <c r="Q67" i="44"/>
  <c r="P67" i="44"/>
  <c r="O67" i="44"/>
  <c r="N67" i="44"/>
  <c r="Q66" i="44"/>
  <c r="P66" i="44"/>
  <c r="O66" i="44"/>
  <c r="N66" i="44"/>
  <c r="Q65" i="44"/>
  <c r="P65" i="44"/>
  <c r="O65" i="44"/>
  <c r="N65" i="44"/>
  <c r="G68" i="44"/>
  <c r="G69" i="44" s="1"/>
  <c r="F68" i="44"/>
  <c r="E68" i="44"/>
  <c r="F67" i="44"/>
  <c r="E67" i="44"/>
  <c r="F66" i="44"/>
  <c r="E66" i="44"/>
  <c r="F65" i="44"/>
  <c r="E65" i="44"/>
  <c r="AL62" i="44"/>
  <c r="AM62" i="44" s="1"/>
  <c r="AH62" i="44"/>
  <c r="AD62" i="44"/>
  <c r="AF62" i="44" s="1"/>
  <c r="AA62" i="44"/>
  <c r="AB62" i="44" s="1"/>
  <c r="Q62" i="44"/>
  <c r="M62" i="44"/>
  <c r="N62" i="44" s="1"/>
  <c r="K62" i="44"/>
  <c r="O62" i="44" s="1"/>
  <c r="D62" i="44"/>
  <c r="F62" i="44" s="1"/>
  <c r="B62" i="44"/>
  <c r="B61" i="44"/>
  <c r="B60" i="44"/>
  <c r="B59" i="44"/>
  <c r="B58" i="44"/>
  <c r="AM61" i="44"/>
  <c r="AM60" i="44"/>
  <c r="AM59" i="44"/>
  <c r="AM58" i="44"/>
  <c r="L61" i="44"/>
  <c r="L60" i="44"/>
  <c r="L59" i="44"/>
  <c r="L58" i="44"/>
  <c r="A61" i="44"/>
  <c r="A60" i="44"/>
  <c r="A59" i="44"/>
  <c r="A58" i="44"/>
  <c r="AY60" i="44"/>
  <c r="AY59" i="44"/>
  <c r="AF61" i="44"/>
  <c r="AE61" i="44"/>
  <c r="AF60" i="44"/>
  <c r="AE60" i="44"/>
  <c r="AF59" i="44"/>
  <c r="AE59" i="44"/>
  <c r="AF58" i="44"/>
  <c r="AE58" i="44"/>
  <c r="AC61" i="44"/>
  <c r="AB61" i="44"/>
  <c r="AC60" i="44"/>
  <c r="AB60" i="44"/>
  <c r="AC59" i="44"/>
  <c r="AB59" i="44"/>
  <c r="AC58" i="44"/>
  <c r="AB58" i="44"/>
  <c r="Q61" i="44"/>
  <c r="P61" i="44"/>
  <c r="O61" i="44"/>
  <c r="N61" i="44"/>
  <c r="Q60" i="44"/>
  <c r="P60" i="44"/>
  <c r="O60" i="44"/>
  <c r="N60" i="44"/>
  <c r="Q59" i="44"/>
  <c r="P59" i="44"/>
  <c r="O59" i="44"/>
  <c r="N59" i="44"/>
  <c r="Q58" i="44"/>
  <c r="P58" i="44"/>
  <c r="O58" i="44"/>
  <c r="N58" i="44"/>
  <c r="G61" i="44"/>
  <c r="I61" i="44" s="1"/>
  <c r="F61" i="44"/>
  <c r="E61" i="44"/>
  <c r="F60" i="44"/>
  <c r="E60" i="44"/>
  <c r="F59" i="44"/>
  <c r="E59" i="44"/>
  <c r="F58" i="44"/>
  <c r="E58" i="44"/>
  <c r="AH55" i="44"/>
  <c r="AD55" i="44"/>
  <c r="AE55" i="44" s="1"/>
  <c r="AC55" i="44"/>
  <c r="AA55" i="44"/>
  <c r="AB55" i="44" s="1"/>
  <c r="M55" i="44"/>
  <c r="N55" i="44" s="1"/>
  <c r="K55" i="44"/>
  <c r="O55" i="44" s="1"/>
  <c r="G55" i="44"/>
  <c r="I55" i="44" s="1"/>
  <c r="D55" i="44"/>
  <c r="E55" i="44" s="1"/>
  <c r="B55" i="44"/>
  <c r="B54" i="44"/>
  <c r="B53" i="44"/>
  <c r="B52" i="44"/>
  <c r="B51" i="44"/>
  <c r="L54" i="44"/>
  <c r="L53" i="44"/>
  <c r="L52" i="44"/>
  <c r="L51" i="44"/>
  <c r="I53" i="44"/>
  <c r="I52" i="44"/>
  <c r="I51" i="44"/>
  <c r="G54" i="44"/>
  <c r="I54" i="44" s="1"/>
  <c r="F54" i="44"/>
  <c r="E54" i="44"/>
  <c r="A54" i="44"/>
  <c r="A53" i="44"/>
  <c r="A52" i="44"/>
  <c r="A51" i="44"/>
  <c r="AY53" i="44"/>
  <c r="AY52" i="44"/>
  <c r="AS51" i="44"/>
  <c r="AU51" i="44" s="1"/>
  <c r="AF54" i="44"/>
  <c r="AE54" i="44"/>
  <c r="AF53" i="44"/>
  <c r="AE53" i="44"/>
  <c r="AF52" i="44"/>
  <c r="AE52" i="44"/>
  <c r="AF51" i="44"/>
  <c r="AE51" i="44"/>
  <c r="AC54" i="44"/>
  <c r="AB54" i="44"/>
  <c r="AC53" i="44"/>
  <c r="AB53" i="44"/>
  <c r="AC52" i="44"/>
  <c r="AB52" i="44"/>
  <c r="AC51" i="44"/>
  <c r="AB51" i="44"/>
  <c r="Q54" i="44"/>
  <c r="P54" i="44"/>
  <c r="O54" i="44"/>
  <c r="N54" i="44"/>
  <c r="Q53" i="44"/>
  <c r="P53" i="44"/>
  <c r="O53" i="44"/>
  <c r="N53" i="44"/>
  <c r="Q52" i="44"/>
  <c r="P52" i="44"/>
  <c r="O52" i="44"/>
  <c r="N52" i="44"/>
  <c r="Q51" i="44"/>
  <c r="P51" i="44"/>
  <c r="O51" i="44"/>
  <c r="N51" i="44"/>
  <c r="F53" i="44"/>
  <c r="E53" i="44"/>
  <c r="F52" i="44"/>
  <c r="E52" i="44"/>
  <c r="F51" i="44"/>
  <c r="E51" i="44"/>
  <c r="AF48" i="44"/>
  <c r="AD48" i="44"/>
  <c r="AE48" i="44" s="1"/>
  <c r="AA48" i="44"/>
  <c r="M48" i="44"/>
  <c r="N48" i="44" s="1"/>
  <c r="K48" i="44"/>
  <c r="Q48" i="44" s="1"/>
  <c r="I48" i="44"/>
  <c r="H48" i="44"/>
  <c r="D48" i="44"/>
  <c r="B48" i="44"/>
  <c r="B47" i="44"/>
  <c r="B46" i="44"/>
  <c r="B45" i="44"/>
  <c r="B44" i="44"/>
  <c r="L47" i="44"/>
  <c r="L46" i="44"/>
  <c r="L45" i="44"/>
  <c r="L44" i="44"/>
  <c r="I47" i="44"/>
  <c r="I46" i="44"/>
  <c r="I45" i="44"/>
  <c r="I44" i="44"/>
  <c r="A47" i="44"/>
  <c r="A46" i="44"/>
  <c r="A45" i="44"/>
  <c r="A44" i="44"/>
  <c r="AY46" i="44"/>
  <c r="AY45" i="44"/>
  <c r="BC44" i="44"/>
  <c r="AS45" i="44"/>
  <c r="AU45" i="44" s="1"/>
  <c r="AS44" i="44"/>
  <c r="BE44" i="44" s="1"/>
  <c r="AF47" i="44"/>
  <c r="AE47" i="44"/>
  <c r="AF46" i="44"/>
  <c r="AE46" i="44"/>
  <c r="AF45" i="44"/>
  <c r="AE45" i="44"/>
  <c r="AF44" i="44"/>
  <c r="AE44" i="44"/>
  <c r="AC47" i="44"/>
  <c r="AB47" i="44"/>
  <c r="AC46" i="44"/>
  <c r="AB46" i="44"/>
  <c r="AC45" i="44"/>
  <c r="AB45" i="44"/>
  <c r="AC44" i="44"/>
  <c r="AB44" i="44"/>
  <c r="Q47" i="44"/>
  <c r="P47" i="44"/>
  <c r="O47" i="44"/>
  <c r="N47" i="44"/>
  <c r="Q46" i="44"/>
  <c r="P46" i="44"/>
  <c r="O46" i="44"/>
  <c r="N46" i="44"/>
  <c r="Q45" i="44"/>
  <c r="P45" i="44"/>
  <c r="O45" i="44"/>
  <c r="N45" i="44"/>
  <c r="Q44" i="44"/>
  <c r="P44" i="44"/>
  <c r="O44" i="44"/>
  <c r="N44" i="44"/>
  <c r="F47" i="44"/>
  <c r="E47" i="44"/>
  <c r="F46" i="44"/>
  <c r="E46" i="44"/>
  <c r="F45" i="44"/>
  <c r="E45" i="44"/>
  <c r="F44" i="44"/>
  <c r="E44" i="44"/>
  <c r="A43" i="44"/>
  <c r="A50" i="44" s="1"/>
  <c r="A57" i="44" s="1"/>
  <c r="A64" i="44" s="1"/>
  <c r="A71" i="44" s="1"/>
  <c r="A78" i="44" s="1"/>
  <c r="A85" i="44" s="1"/>
  <c r="A92" i="44" s="1"/>
  <c r="A99" i="44" s="1"/>
  <c r="A106" i="44" s="1"/>
  <c r="A113" i="44" s="1"/>
  <c r="A120" i="44" s="1"/>
  <c r="A127" i="44" s="1"/>
  <c r="A134" i="44" s="1"/>
  <c r="A141" i="44" s="1"/>
  <c r="A148" i="44" s="1"/>
  <c r="A155" i="44" s="1"/>
  <c r="A162" i="44" s="1"/>
  <c r="A169" i="44" s="1"/>
  <c r="A176" i="44" s="1"/>
  <c r="AD41" i="44"/>
  <c r="AE41" i="44" s="1"/>
  <c r="AA41" i="44"/>
  <c r="AC48" i="44" s="1"/>
  <c r="M41" i="44"/>
  <c r="N41" i="44" s="1"/>
  <c r="K41" i="44"/>
  <c r="O41" i="44" s="1"/>
  <c r="I41" i="44"/>
  <c r="H41" i="44"/>
  <c r="D41" i="44"/>
  <c r="E41" i="44" s="1"/>
  <c r="B41" i="44"/>
  <c r="B40" i="44"/>
  <c r="B39" i="44"/>
  <c r="B38" i="44"/>
  <c r="B37" i="44"/>
  <c r="AE40" i="44"/>
  <c r="AE39" i="44"/>
  <c r="AE38" i="44"/>
  <c r="AE37" i="44"/>
  <c r="AB40" i="44"/>
  <c r="AB39" i="44"/>
  <c r="AB38" i="44"/>
  <c r="AB37" i="44"/>
  <c r="L40" i="44"/>
  <c r="L39" i="44"/>
  <c r="L38" i="44"/>
  <c r="L37" i="44"/>
  <c r="I40" i="44"/>
  <c r="I39" i="44"/>
  <c r="I38" i="44"/>
  <c r="I37" i="44"/>
  <c r="A40" i="44"/>
  <c r="A39" i="44"/>
  <c r="A38" i="44"/>
  <c r="A37" i="44"/>
  <c r="AY39" i="44"/>
  <c r="AY38" i="44"/>
  <c r="BC39" i="44"/>
  <c r="BC38" i="44"/>
  <c r="AS40" i="44"/>
  <c r="AS39" i="44"/>
  <c r="BE39" i="44" s="1"/>
  <c r="AU38" i="44"/>
  <c r="AS38" i="44"/>
  <c r="BD38" i="44" s="1"/>
  <c r="P40" i="44"/>
  <c r="O40" i="44"/>
  <c r="N40" i="44"/>
  <c r="P39" i="44"/>
  <c r="O39" i="44"/>
  <c r="N39" i="44"/>
  <c r="P38" i="44"/>
  <c r="O38" i="44"/>
  <c r="N38" i="44"/>
  <c r="P37" i="44"/>
  <c r="O37" i="44"/>
  <c r="N37" i="44"/>
  <c r="F40" i="44"/>
  <c r="E40" i="44"/>
  <c r="F39" i="44"/>
  <c r="E39" i="44"/>
  <c r="F38" i="44"/>
  <c r="E38" i="44"/>
  <c r="F37" i="44"/>
  <c r="E37" i="44"/>
  <c r="A36" i="44"/>
  <c r="AD34" i="44"/>
  <c r="AE34" i="44" s="1"/>
  <c r="AB34" i="44"/>
  <c r="AA34" i="44"/>
  <c r="M34" i="44"/>
  <c r="N34" i="44" s="1"/>
  <c r="L34" i="44"/>
  <c r="K34" i="44"/>
  <c r="D34" i="44"/>
  <c r="H34" i="44" s="1"/>
  <c r="AS32" i="44"/>
  <c r="BC32" i="44" s="1"/>
  <c r="AS31" i="44"/>
  <c r="BE31" i="44" s="1"/>
  <c r="AS30" i="44"/>
  <c r="BD30" i="44" s="1"/>
  <c r="AE33" i="44"/>
  <c r="AE32" i="44"/>
  <c r="AE31" i="44"/>
  <c r="AE30" i="44"/>
  <c r="O33" i="44"/>
  <c r="AS33" i="44" s="1"/>
  <c r="N33" i="44"/>
  <c r="L33" i="44"/>
  <c r="L32" i="44"/>
  <c r="L31" i="44"/>
  <c r="L30" i="44"/>
  <c r="E33" i="44"/>
  <c r="E32" i="44"/>
  <c r="E31" i="44"/>
  <c r="E30" i="44"/>
  <c r="AY32" i="44"/>
  <c r="AY31" i="44"/>
  <c r="N32" i="44"/>
  <c r="N31" i="44"/>
  <c r="N30" i="44"/>
  <c r="BE32" i="44"/>
  <c r="BD32" i="44"/>
  <c r="BD31" i="44"/>
  <c r="BC31" i="44"/>
  <c r="AD27" i="44"/>
  <c r="BD27" i="44" s="1"/>
  <c r="AB27" i="44"/>
  <c r="AA27" i="44"/>
  <c r="M27" i="44"/>
  <c r="N27" i="44" s="1"/>
  <c r="L27" i="44"/>
  <c r="K27" i="44"/>
  <c r="D27" i="44"/>
  <c r="AS27" i="44" s="1"/>
  <c r="AS25" i="44"/>
  <c r="BC25" i="44" s="1"/>
  <c r="AS24" i="44"/>
  <c r="BE24" i="44" s="1"/>
  <c r="AS23" i="44"/>
  <c r="BD23" i="44" s="1"/>
  <c r="O26" i="44"/>
  <c r="AS26" i="44" s="1"/>
  <c r="E26" i="44"/>
  <c r="E25" i="44"/>
  <c r="E24" i="44"/>
  <c r="E23" i="44"/>
  <c r="AY25" i="44"/>
  <c r="AY24" i="44"/>
  <c r="BE25" i="44"/>
  <c r="BD25" i="44"/>
  <c r="BD24" i="44"/>
  <c r="BC24" i="44"/>
  <c r="AD20" i="44"/>
  <c r="AE20" i="44" s="1"/>
  <c r="AA20" i="44"/>
  <c r="AS20" i="44" s="1"/>
  <c r="M20" i="44"/>
  <c r="N20" i="44" s="1"/>
  <c r="K20" i="44"/>
  <c r="L20" i="44" s="1"/>
  <c r="H20" i="44"/>
  <c r="E20" i="44"/>
  <c r="D20" i="44"/>
  <c r="AS18" i="44"/>
  <c r="BC18" i="44" s="1"/>
  <c r="AS17" i="44"/>
  <c r="BE17" i="44" s="1"/>
  <c r="AS16" i="44"/>
  <c r="AE19" i="44"/>
  <c r="AE18" i="44"/>
  <c r="AE17" i="44"/>
  <c r="AE16" i="44"/>
  <c r="O19" i="44"/>
  <c r="AS19" i="44" s="1"/>
  <c r="E19" i="44"/>
  <c r="E18" i="44"/>
  <c r="E17" i="44"/>
  <c r="E16" i="44"/>
  <c r="AY18" i="44"/>
  <c r="AY17" i="44"/>
  <c r="BE18" i="44"/>
  <c r="BD17" i="44"/>
  <c r="BE16" i="44"/>
  <c r="BD16" i="44"/>
  <c r="BC16" i="44"/>
  <c r="AD13" i="44"/>
  <c r="AA13" i="44"/>
  <c r="M13" i="44"/>
  <c r="K13" i="44"/>
  <c r="D13" i="44"/>
  <c r="H13" i="44" s="1"/>
  <c r="AS11" i="44"/>
  <c r="AS10" i="44"/>
  <c r="AS9" i="44"/>
  <c r="BD9" i="44" s="1"/>
  <c r="O12" i="44"/>
  <c r="AS12" i="44" s="1"/>
  <c r="BE11" i="44"/>
  <c r="BD11" i="44"/>
  <c r="BC11" i="44"/>
  <c r="BE10" i="44"/>
  <c r="BD10" i="44"/>
  <c r="BC10" i="44"/>
  <c r="BC9" i="44"/>
  <c r="DX66" i="30"/>
  <c r="DW66" i="30"/>
  <c r="DM66" i="30"/>
  <c r="BC66" i="30" s="1"/>
  <c r="DL66" i="30"/>
  <c r="DK66" i="30"/>
  <c r="DJ66" i="30"/>
  <c r="DI66" i="30"/>
  <c r="AI66" i="30" s="1"/>
  <c r="DH66" i="30"/>
  <c r="DG66" i="30"/>
  <c r="DF66" i="30"/>
  <c r="DE66" i="30"/>
  <c r="DD66" i="30"/>
  <c r="DC66" i="30"/>
  <c r="DB66" i="30"/>
  <c r="DA66" i="30"/>
  <c r="CZ66" i="30"/>
  <c r="CR69" i="30"/>
  <c r="CQ69" i="30"/>
  <c r="CP69" i="30"/>
  <c r="CO69" i="30"/>
  <c r="CR68" i="30"/>
  <c r="CQ68" i="30"/>
  <c r="CP68" i="30"/>
  <c r="CO68" i="30"/>
  <c r="CR67" i="30"/>
  <c r="CQ67" i="30"/>
  <c r="CP67" i="30"/>
  <c r="CO67" i="30"/>
  <c r="CM69" i="30"/>
  <c r="CL69" i="30"/>
  <c r="CK69" i="30"/>
  <c r="CJ69" i="30"/>
  <c r="CM68" i="30"/>
  <c r="CL68" i="30"/>
  <c r="CK68" i="30"/>
  <c r="CJ68" i="30"/>
  <c r="CM67" i="30"/>
  <c r="CL67" i="30"/>
  <c r="CK67" i="30"/>
  <c r="CJ67" i="30"/>
  <c r="CH69" i="30"/>
  <c r="CG69" i="30"/>
  <c r="CF69" i="30"/>
  <c r="CE69" i="30"/>
  <c r="CH68" i="30"/>
  <c r="CG68" i="30"/>
  <c r="CF68" i="30"/>
  <c r="CE68" i="30"/>
  <c r="CH67" i="30"/>
  <c r="CG67" i="30"/>
  <c r="CF67" i="30"/>
  <c r="CE67" i="30"/>
  <c r="CC69" i="30"/>
  <c r="CB69" i="30"/>
  <c r="CA69" i="30"/>
  <c r="BZ69" i="30"/>
  <c r="CC68" i="30"/>
  <c r="CB68" i="30"/>
  <c r="CA68" i="30"/>
  <c r="BZ68" i="30"/>
  <c r="CC67" i="30"/>
  <c r="CB67" i="30"/>
  <c r="CA67" i="30"/>
  <c r="BZ67" i="30"/>
  <c r="BX69" i="30"/>
  <c r="BW69" i="30"/>
  <c r="BV69" i="30"/>
  <c r="BU69" i="30"/>
  <c r="BX68" i="30"/>
  <c r="BW68" i="30"/>
  <c r="BV68" i="30"/>
  <c r="BU68" i="30"/>
  <c r="BX67" i="30"/>
  <c r="BW67" i="30"/>
  <c r="BV67" i="30"/>
  <c r="BU67" i="30"/>
  <c r="BS69" i="30"/>
  <c r="BR69" i="30"/>
  <c r="BQ69" i="30"/>
  <c r="BP69" i="30"/>
  <c r="BS68" i="30"/>
  <c r="BR68" i="30"/>
  <c r="BQ68" i="30"/>
  <c r="BP68" i="30"/>
  <c r="BS67" i="30"/>
  <c r="BR67" i="30"/>
  <c r="BQ67" i="30"/>
  <c r="BP67" i="30"/>
  <c r="BN69" i="30"/>
  <c r="BM69" i="30"/>
  <c r="BL69" i="30"/>
  <c r="BK69" i="30"/>
  <c r="BN68" i="30"/>
  <c r="BM68" i="30"/>
  <c r="BL68" i="30"/>
  <c r="BK68" i="30"/>
  <c r="BN67" i="30"/>
  <c r="BM67" i="30"/>
  <c r="BL67" i="30"/>
  <c r="BK67" i="30"/>
  <c r="BI69" i="30"/>
  <c r="BH69" i="30"/>
  <c r="BG69" i="30"/>
  <c r="BF69" i="30"/>
  <c r="BI68" i="30"/>
  <c r="BH68" i="30"/>
  <c r="BG68" i="30"/>
  <c r="BF68" i="30"/>
  <c r="BI67" i="30"/>
  <c r="BH67" i="30"/>
  <c r="BG67" i="30"/>
  <c r="BF67" i="30"/>
  <c r="BD69" i="30"/>
  <c r="BC69" i="30"/>
  <c r="BB69" i="30"/>
  <c r="BA69" i="30"/>
  <c r="BD68" i="30"/>
  <c r="BC68" i="30"/>
  <c r="BB68" i="30"/>
  <c r="BA68" i="30"/>
  <c r="BD67" i="30"/>
  <c r="BC67" i="30"/>
  <c r="BB67" i="30"/>
  <c r="BA67" i="30"/>
  <c r="BD66" i="30"/>
  <c r="BB66" i="30"/>
  <c r="BA66" i="30"/>
  <c r="AY69" i="30"/>
  <c r="AX69" i="30"/>
  <c r="AW69" i="30"/>
  <c r="AV69" i="30"/>
  <c r="AY68" i="30"/>
  <c r="AX68" i="30"/>
  <c r="AW68" i="30"/>
  <c r="AV68" i="30"/>
  <c r="AY67" i="30"/>
  <c r="AX67" i="30"/>
  <c r="AW67" i="30"/>
  <c r="AV67" i="30"/>
  <c r="AY66" i="30"/>
  <c r="AX66" i="30"/>
  <c r="AW66" i="30"/>
  <c r="AV66" i="30"/>
  <c r="AT69" i="30"/>
  <c r="AS69" i="30"/>
  <c r="AR69" i="30"/>
  <c r="AQ69" i="30"/>
  <c r="AT68" i="30"/>
  <c r="AS68" i="30"/>
  <c r="AR68" i="30"/>
  <c r="AQ68" i="30"/>
  <c r="AT67" i="30"/>
  <c r="AS67" i="30"/>
  <c r="AR67" i="30"/>
  <c r="AQ67" i="30"/>
  <c r="AT66" i="30"/>
  <c r="AS66" i="30"/>
  <c r="AR66" i="30"/>
  <c r="AQ66" i="30"/>
  <c r="AO69" i="30"/>
  <c r="AN69" i="30"/>
  <c r="AM69" i="30"/>
  <c r="AL69" i="30"/>
  <c r="AO68" i="30"/>
  <c r="AN68" i="30"/>
  <c r="AM68" i="30"/>
  <c r="AL68" i="30"/>
  <c r="AO67" i="30"/>
  <c r="AN67" i="30"/>
  <c r="AM67" i="30"/>
  <c r="AL67" i="30"/>
  <c r="AO66" i="30"/>
  <c r="AN66" i="30"/>
  <c r="AM66" i="30"/>
  <c r="AL66" i="30"/>
  <c r="AJ69" i="30"/>
  <c r="AI69" i="30"/>
  <c r="AH69" i="30"/>
  <c r="AG69" i="30"/>
  <c r="AJ68" i="30"/>
  <c r="AI68" i="30"/>
  <c r="AH68" i="30"/>
  <c r="AG68" i="30"/>
  <c r="AJ67" i="30"/>
  <c r="AI67" i="30"/>
  <c r="AH67" i="30"/>
  <c r="AG67" i="30"/>
  <c r="AJ66" i="30"/>
  <c r="AH66" i="30"/>
  <c r="AG66" i="30"/>
  <c r="AE69" i="30"/>
  <c r="AD69" i="30"/>
  <c r="AC69" i="30"/>
  <c r="AB69" i="30"/>
  <c r="AE68" i="30"/>
  <c r="AD68" i="30"/>
  <c r="AC68" i="30"/>
  <c r="AB68" i="30"/>
  <c r="AE67" i="30"/>
  <c r="AD67" i="30"/>
  <c r="AC67" i="30"/>
  <c r="AB67" i="30"/>
  <c r="AE66" i="30"/>
  <c r="AD66" i="30"/>
  <c r="AC66" i="30"/>
  <c r="AB66" i="30"/>
  <c r="Z69" i="30"/>
  <c r="Y69" i="30"/>
  <c r="X69" i="30"/>
  <c r="W69" i="30"/>
  <c r="Z68" i="30"/>
  <c r="Y68" i="30"/>
  <c r="X68" i="30"/>
  <c r="W68" i="30"/>
  <c r="Z67" i="30"/>
  <c r="Y67" i="30"/>
  <c r="X67" i="30"/>
  <c r="W67" i="30"/>
  <c r="Z66" i="30"/>
  <c r="Y66" i="30"/>
  <c r="X66" i="30"/>
  <c r="W66" i="30"/>
  <c r="U69" i="30"/>
  <c r="T69" i="30"/>
  <c r="S69" i="30"/>
  <c r="R69" i="30"/>
  <c r="U68" i="30"/>
  <c r="T68" i="30"/>
  <c r="S68" i="30"/>
  <c r="R68" i="30"/>
  <c r="U67" i="30"/>
  <c r="T67" i="30"/>
  <c r="S67" i="30"/>
  <c r="R67" i="30"/>
  <c r="U66" i="30"/>
  <c r="T66" i="30"/>
  <c r="S66" i="30"/>
  <c r="R66" i="30"/>
  <c r="P69" i="30"/>
  <c r="O69" i="30"/>
  <c r="N69" i="30"/>
  <c r="M69" i="30"/>
  <c r="P68" i="30"/>
  <c r="O68" i="30"/>
  <c r="N68" i="30"/>
  <c r="M68" i="30"/>
  <c r="P67" i="30"/>
  <c r="O67" i="30"/>
  <c r="N67" i="30"/>
  <c r="M67" i="30"/>
  <c r="P66" i="30"/>
  <c r="O66" i="30"/>
  <c r="N66" i="30"/>
  <c r="M66" i="30"/>
  <c r="K69" i="30"/>
  <c r="J69" i="30"/>
  <c r="I69" i="30"/>
  <c r="H69" i="30"/>
  <c r="K68" i="30"/>
  <c r="J68" i="30"/>
  <c r="I68" i="30"/>
  <c r="H68" i="30"/>
  <c r="K67" i="30"/>
  <c r="J67" i="30"/>
  <c r="I67" i="30"/>
  <c r="H67" i="30"/>
  <c r="K66" i="30"/>
  <c r="J66" i="30"/>
  <c r="I66" i="30"/>
  <c r="H66" i="30"/>
  <c r="F69" i="30"/>
  <c r="E69" i="30"/>
  <c r="D69" i="30"/>
  <c r="C69" i="30"/>
  <c r="F68" i="30"/>
  <c r="E68" i="30"/>
  <c r="D68" i="30"/>
  <c r="C68" i="30"/>
  <c r="F67" i="30"/>
  <c r="E67" i="30"/>
  <c r="D67" i="30"/>
  <c r="C67" i="30"/>
  <c r="F66" i="30"/>
  <c r="E66" i="30"/>
  <c r="D66" i="30"/>
  <c r="C66" i="30"/>
  <c r="DG55" i="30"/>
  <c r="DC55" i="30"/>
  <c r="DB55" i="30"/>
  <c r="CE55" i="30"/>
  <c r="CE54" i="30"/>
  <c r="CE53" i="30"/>
  <c r="CE52" i="30"/>
  <c r="CE50" i="30"/>
  <c r="CC55" i="30"/>
  <c r="CC53" i="30"/>
  <c r="CC52" i="30"/>
  <c r="CC50" i="30"/>
  <c r="BF53" i="30"/>
  <c r="BF52" i="30"/>
  <c r="BF50" i="30"/>
  <c r="BD53" i="30"/>
  <c r="BD52" i="30"/>
  <c r="BD50" i="30"/>
  <c r="BA53" i="30"/>
  <c r="BA52" i="30"/>
  <c r="BA50" i="30"/>
  <c r="AQ54" i="30"/>
  <c r="AQ53" i="30"/>
  <c r="AQ52" i="30"/>
  <c r="AQ50" i="30"/>
  <c r="AL54" i="30"/>
  <c r="AL53" i="30"/>
  <c r="AL52" i="30"/>
  <c r="AL50" i="30"/>
  <c r="R54" i="30"/>
  <c r="R53" i="30"/>
  <c r="R52" i="30"/>
  <c r="R50" i="30"/>
  <c r="J54" i="30"/>
  <c r="J53" i="30"/>
  <c r="J52" i="30"/>
  <c r="J50" i="30"/>
  <c r="DQ56" i="30"/>
  <c r="DP56" i="30"/>
  <c r="CM55" i="30"/>
  <c r="CL55" i="30"/>
  <c r="CK55" i="30"/>
  <c r="CJ55" i="30"/>
  <c r="CL53" i="30"/>
  <c r="CK53" i="30"/>
  <c r="CJ53" i="30"/>
  <c r="CL52" i="30"/>
  <c r="CK52" i="30"/>
  <c r="CJ52" i="30"/>
  <c r="DN54" i="30"/>
  <c r="DM54" i="30"/>
  <c r="DL54" i="30"/>
  <c r="DK54" i="30"/>
  <c r="DJ54" i="30"/>
  <c r="DN53" i="30"/>
  <c r="DL53" i="30"/>
  <c r="DK53" i="30"/>
  <c r="DL52" i="30"/>
  <c r="DK52" i="30"/>
  <c r="DO50" i="30"/>
  <c r="DN50" i="30"/>
  <c r="DM50" i="30"/>
  <c r="DL50" i="30"/>
  <c r="DK50" i="30"/>
  <c r="DJ50" i="30"/>
  <c r="DH53" i="30"/>
  <c r="DF53" i="30"/>
  <c r="DE53" i="30"/>
  <c r="DD53" i="30"/>
  <c r="DC53" i="30"/>
  <c r="DB53" i="30"/>
  <c r="DG52" i="30"/>
  <c r="DC52" i="30"/>
  <c r="DB52" i="30"/>
  <c r="DI50" i="30"/>
  <c r="DH50" i="30"/>
  <c r="DG50" i="30"/>
  <c r="DF50" i="30"/>
  <c r="DE50" i="30"/>
  <c r="DD50" i="30"/>
  <c r="DC50" i="30"/>
  <c r="DB50" i="30"/>
  <c r="DA50" i="30"/>
  <c r="CZ50" i="30"/>
  <c r="CJ50" i="30"/>
  <c r="AJ53" i="30"/>
  <c r="AI53" i="30"/>
  <c r="AH53" i="30"/>
  <c r="AG53" i="30"/>
  <c r="AJ52" i="30"/>
  <c r="AI52" i="30"/>
  <c r="AH52" i="30"/>
  <c r="AG52" i="30"/>
  <c r="AJ50" i="30"/>
  <c r="AI50" i="30"/>
  <c r="AH50" i="30"/>
  <c r="AG50" i="30"/>
  <c r="AE44" i="30"/>
  <c r="Z44" i="30"/>
  <c r="U44" i="30"/>
  <c r="DT44" i="30"/>
  <c r="DS44" i="30"/>
  <c r="DR44" i="30"/>
  <c r="DQ44" i="30"/>
  <c r="DP44" i="30"/>
  <c r="DN44" i="30"/>
  <c r="DM44" i="30"/>
  <c r="DL44" i="30"/>
  <c r="DK44" i="30"/>
  <c r="DJ44" i="30"/>
  <c r="DI44" i="30"/>
  <c r="DH44" i="30"/>
  <c r="DG44" i="30"/>
  <c r="DF44" i="30"/>
  <c r="DE44" i="30"/>
  <c r="DD44" i="30"/>
  <c r="DC44" i="30"/>
  <c r="DB44" i="30"/>
  <c r="DA44" i="30"/>
  <c r="CZ44" i="30"/>
  <c r="CQ44" i="30"/>
  <c r="CP44" i="30"/>
  <c r="CO44" i="30"/>
  <c r="CM44" i="30"/>
  <c r="CL44" i="30"/>
  <c r="CK44" i="30"/>
  <c r="CJ44" i="30"/>
  <c r="CH44" i="30"/>
  <c r="CG44" i="30"/>
  <c r="CF44" i="30"/>
  <c r="CE44" i="30"/>
  <c r="CC44" i="30"/>
  <c r="CB44" i="30"/>
  <c r="CA44" i="30"/>
  <c r="BZ44" i="30"/>
  <c r="BX44" i="30"/>
  <c r="BW44" i="30"/>
  <c r="BV44" i="30"/>
  <c r="BU44" i="30"/>
  <c r="BS44" i="30"/>
  <c r="BR44" i="30"/>
  <c r="BQ44" i="30"/>
  <c r="BP44" i="30"/>
  <c r="BN44" i="30"/>
  <c r="BM44" i="30"/>
  <c r="BL44" i="30"/>
  <c r="BK44" i="30"/>
  <c r="BI44" i="30"/>
  <c r="BH44" i="30"/>
  <c r="BG44" i="30"/>
  <c r="BF44" i="30"/>
  <c r="BD44" i="30"/>
  <c r="BC44" i="30"/>
  <c r="BB44" i="30"/>
  <c r="BA44" i="30"/>
  <c r="AY44" i="30"/>
  <c r="AX44" i="30"/>
  <c r="AW44" i="30"/>
  <c r="AV44" i="30"/>
  <c r="AT44" i="30"/>
  <c r="AS44" i="30"/>
  <c r="AR44" i="30"/>
  <c r="AQ44" i="30"/>
  <c r="AO44" i="30"/>
  <c r="AN44" i="30"/>
  <c r="AM44" i="30"/>
  <c r="AL44" i="30"/>
  <c r="AJ44" i="30"/>
  <c r="AI44" i="30"/>
  <c r="AH44" i="30"/>
  <c r="AG44" i="30"/>
  <c r="AD44" i="30"/>
  <c r="AC44" i="30"/>
  <c r="AB44" i="30"/>
  <c r="Y44" i="30"/>
  <c r="X44" i="30"/>
  <c r="W44" i="30"/>
  <c r="T44" i="30"/>
  <c r="S44" i="30"/>
  <c r="R44" i="30"/>
  <c r="P44" i="30"/>
  <c r="O44" i="30"/>
  <c r="N44" i="30"/>
  <c r="M44" i="30"/>
  <c r="K44" i="30"/>
  <c r="J44" i="30"/>
  <c r="I44" i="30"/>
  <c r="H44" i="30"/>
  <c r="C46" i="30"/>
  <c r="E45" i="30"/>
  <c r="D45" i="30"/>
  <c r="C45" i="30"/>
  <c r="F44" i="30"/>
  <c r="E44" i="30"/>
  <c r="D44" i="30"/>
  <c r="C44" i="30"/>
  <c r="E43" i="30"/>
  <c r="D43" i="30"/>
  <c r="C43" i="30"/>
  <c r="DN28" i="30"/>
  <c r="DM28" i="30"/>
  <c r="DL28" i="30"/>
  <c r="DK28" i="30"/>
  <c r="DJ28" i="30"/>
  <c r="DI28" i="30"/>
  <c r="DH28" i="30"/>
  <c r="DG28" i="30"/>
  <c r="DF28" i="30"/>
  <c r="DE28" i="30"/>
  <c r="DD28" i="30"/>
  <c r="DC28" i="30"/>
  <c r="DB28" i="30"/>
  <c r="DA28" i="30"/>
  <c r="CZ28" i="30"/>
  <c r="DN27" i="30"/>
  <c r="DM27" i="30"/>
  <c r="DL27" i="30"/>
  <c r="DK27" i="30"/>
  <c r="DJ27" i="30"/>
  <c r="DI27" i="30"/>
  <c r="DH27" i="30"/>
  <c r="DG27" i="30"/>
  <c r="DF27" i="30"/>
  <c r="DE27" i="30"/>
  <c r="DD27" i="30"/>
  <c r="DC27" i="30"/>
  <c r="DB27" i="30"/>
  <c r="DA27" i="30"/>
  <c r="CZ27" i="30"/>
  <c r="DT26" i="30"/>
  <c r="DS26" i="30"/>
  <c r="DR26" i="30"/>
  <c r="DN26" i="30"/>
  <c r="DM26" i="30"/>
  <c r="DL26" i="30"/>
  <c r="DK26" i="30"/>
  <c r="DJ26" i="30"/>
  <c r="DI26" i="30"/>
  <c r="DH26" i="30"/>
  <c r="DG26" i="30"/>
  <c r="DF26" i="30"/>
  <c r="DE26" i="30"/>
  <c r="DD26" i="30"/>
  <c r="DB26" i="30"/>
  <c r="DA26" i="30"/>
  <c r="CZ26" i="30"/>
  <c r="CQ27" i="30"/>
  <c r="CP27" i="30"/>
  <c r="CO27" i="30"/>
  <c r="CR26" i="30"/>
  <c r="CQ26" i="30"/>
  <c r="CP26" i="30"/>
  <c r="CO26" i="30"/>
  <c r="CM27" i="30"/>
  <c r="CL27" i="30"/>
  <c r="CK27" i="30"/>
  <c r="CJ27" i="30"/>
  <c r="CM26" i="30"/>
  <c r="CL26" i="30"/>
  <c r="CK26" i="30"/>
  <c r="CJ26" i="30"/>
  <c r="CH27" i="30"/>
  <c r="CG27" i="30"/>
  <c r="CF27" i="30"/>
  <c r="CE27" i="30"/>
  <c r="CH26" i="30"/>
  <c r="CG26" i="30"/>
  <c r="CF26" i="30"/>
  <c r="CE26" i="30"/>
  <c r="CC27" i="30"/>
  <c r="CB27" i="30"/>
  <c r="CA27" i="30"/>
  <c r="BZ27" i="30"/>
  <c r="CC26" i="30"/>
  <c r="CB26" i="30"/>
  <c r="CA26" i="30"/>
  <c r="BZ26" i="30"/>
  <c r="BW28" i="30"/>
  <c r="BX27" i="30"/>
  <c r="BW27" i="30"/>
  <c r="BV27" i="30"/>
  <c r="BU27" i="30"/>
  <c r="BX26" i="30"/>
  <c r="BW26" i="30"/>
  <c r="BV26" i="30"/>
  <c r="BU26" i="30"/>
  <c r="BS28" i="30"/>
  <c r="BR28" i="30"/>
  <c r="BP28" i="30"/>
  <c r="BS27" i="30"/>
  <c r="BR27" i="30"/>
  <c r="BQ27" i="30"/>
  <c r="BP27" i="30"/>
  <c r="BS26" i="30"/>
  <c r="BR26" i="30"/>
  <c r="BQ26" i="30"/>
  <c r="BP26" i="30"/>
  <c r="BN28" i="30"/>
  <c r="BM28" i="30"/>
  <c r="BL28" i="30"/>
  <c r="BK28" i="30"/>
  <c r="BN27" i="30"/>
  <c r="BM27" i="30"/>
  <c r="BL27" i="30"/>
  <c r="BK27" i="30"/>
  <c r="BN26" i="30"/>
  <c r="BM26" i="30"/>
  <c r="BL26" i="30"/>
  <c r="BK26" i="30"/>
  <c r="BI28" i="30"/>
  <c r="BH28" i="30"/>
  <c r="BG28" i="30"/>
  <c r="BF28" i="30"/>
  <c r="BI27" i="30"/>
  <c r="BH27" i="30"/>
  <c r="BG27" i="30"/>
  <c r="BF27" i="30"/>
  <c r="BI26" i="30"/>
  <c r="BH26" i="30"/>
  <c r="BG26" i="30"/>
  <c r="BF26" i="30"/>
  <c r="BD28" i="30"/>
  <c r="BC28" i="30"/>
  <c r="BB28" i="30"/>
  <c r="BA28" i="30"/>
  <c r="BD27" i="30"/>
  <c r="BC27" i="30"/>
  <c r="BB27" i="30"/>
  <c r="BA27" i="30"/>
  <c r="BD26" i="30"/>
  <c r="BC26" i="30"/>
  <c r="BB26" i="30"/>
  <c r="BA26" i="30"/>
  <c r="AY28" i="30"/>
  <c r="AX28" i="30"/>
  <c r="AW28" i="30"/>
  <c r="AV28" i="30"/>
  <c r="AY27" i="30"/>
  <c r="AX27" i="30"/>
  <c r="AW27" i="30"/>
  <c r="AV27" i="30"/>
  <c r="AY26" i="30"/>
  <c r="AX26" i="30"/>
  <c r="AW26" i="30"/>
  <c r="AV26" i="30"/>
  <c r="AT28" i="30"/>
  <c r="AS28" i="30"/>
  <c r="AR28" i="30"/>
  <c r="AQ28" i="30"/>
  <c r="AT27" i="30"/>
  <c r="AS27" i="30"/>
  <c r="AR27" i="30"/>
  <c r="AQ27" i="30"/>
  <c r="AT26" i="30"/>
  <c r="AS26" i="30"/>
  <c r="AR26" i="30"/>
  <c r="AQ26" i="30"/>
  <c r="AO28" i="30"/>
  <c r="AN28" i="30"/>
  <c r="AM28" i="30"/>
  <c r="AL28" i="30"/>
  <c r="AO27" i="30"/>
  <c r="AN27" i="30"/>
  <c r="AM27" i="30"/>
  <c r="AL27" i="30"/>
  <c r="AO26" i="30"/>
  <c r="AN26" i="30"/>
  <c r="AM26" i="30"/>
  <c r="AL26" i="30"/>
  <c r="AJ28" i="30"/>
  <c r="AI28" i="30"/>
  <c r="AH28" i="30"/>
  <c r="AG28" i="30"/>
  <c r="AJ27" i="30"/>
  <c r="AI27" i="30"/>
  <c r="AH27" i="30"/>
  <c r="AG27" i="30"/>
  <c r="AJ26" i="30"/>
  <c r="AI26" i="30"/>
  <c r="AH26" i="30"/>
  <c r="AG26" i="30"/>
  <c r="AE28" i="30"/>
  <c r="AD28" i="30"/>
  <c r="AC28" i="30"/>
  <c r="AB28" i="30"/>
  <c r="AE27" i="30"/>
  <c r="AD27" i="30"/>
  <c r="AC27" i="30"/>
  <c r="AB27" i="30"/>
  <c r="AE26" i="30"/>
  <c r="AD26" i="30"/>
  <c r="AC26" i="30"/>
  <c r="AB26" i="30"/>
  <c r="Z28" i="30"/>
  <c r="Y28" i="30"/>
  <c r="X28" i="30"/>
  <c r="W28" i="30"/>
  <c r="Z27" i="30"/>
  <c r="Y27" i="30"/>
  <c r="X27" i="30"/>
  <c r="W27" i="30"/>
  <c r="Z26" i="30"/>
  <c r="Y26" i="30"/>
  <c r="X26" i="30"/>
  <c r="W26" i="30"/>
  <c r="U28" i="30"/>
  <c r="T28" i="30"/>
  <c r="S28" i="30"/>
  <c r="R28" i="30"/>
  <c r="U27" i="30"/>
  <c r="T27" i="30"/>
  <c r="S27" i="30"/>
  <c r="R27" i="30"/>
  <c r="U26" i="30"/>
  <c r="T26" i="30"/>
  <c r="S26" i="30"/>
  <c r="R26" i="30"/>
  <c r="P28" i="30"/>
  <c r="O28" i="30"/>
  <c r="N28" i="30"/>
  <c r="M28" i="30"/>
  <c r="P27" i="30"/>
  <c r="O27" i="30"/>
  <c r="N27" i="30"/>
  <c r="M27" i="30"/>
  <c r="P26" i="30"/>
  <c r="O26" i="30"/>
  <c r="N26" i="30"/>
  <c r="M26" i="30"/>
  <c r="K28" i="30"/>
  <c r="J28" i="30"/>
  <c r="I28" i="30"/>
  <c r="H28" i="30"/>
  <c r="K27" i="30"/>
  <c r="J27" i="30"/>
  <c r="I27" i="30"/>
  <c r="H27" i="30"/>
  <c r="K26" i="30"/>
  <c r="J26" i="30"/>
  <c r="I26" i="30"/>
  <c r="H26" i="30"/>
  <c r="F28" i="30"/>
  <c r="E28" i="30"/>
  <c r="D28" i="30"/>
  <c r="C28" i="30"/>
  <c r="F27" i="30"/>
  <c r="E27" i="30"/>
  <c r="D27" i="30"/>
  <c r="C27" i="30"/>
  <c r="F26" i="30"/>
  <c r="E26" i="30"/>
  <c r="D26" i="30"/>
  <c r="C26" i="30"/>
  <c r="DJ21" i="30"/>
  <c r="DF21" i="30"/>
  <c r="CQ21" i="30"/>
  <c r="CP21" i="30"/>
  <c r="CO21" i="30"/>
  <c r="CM21" i="30"/>
  <c r="CL21" i="30"/>
  <c r="CK21" i="30"/>
  <c r="CJ21" i="30"/>
  <c r="CH21" i="30"/>
  <c r="CG21" i="30"/>
  <c r="CF21" i="30"/>
  <c r="CE21" i="30"/>
  <c r="CC21" i="30"/>
  <c r="CB21" i="30"/>
  <c r="CA21" i="30"/>
  <c r="BZ21" i="30"/>
  <c r="BX21" i="30"/>
  <c r="BW21" i="30"/>
  <c r="BV21" i="30"/>
  <c r="BU21" i="30"/>
  <c r="BS21" i="30"/>
  <c r="BR21" i="30"/>
  <c r="BQ21" i="30"/>
  <c r="BP21" i="30"/>
  <c r="BN21" i="30"/>
  <c r="BM21" i="30"/>
  <c r="BL21" i="30"/>
  <c r="BK21" i="30"/>
  <c r="BI21" i="30"/>
  <c r="BH21" i="30"/>
  <c r="BG21" i="30"/>
  <c r="BF21" i="30"/>
  <c r="BD21" i="30"/>
  <c r="BC21" i="30"/>
  <c r="BB21" i="30"/>
  <c r="BA21" i="30"/>
  <c r="AY21" i="30"/>
  <c r="AX21" i="30"/>
  <c r="AW21" i="30"/>
  <c r="AV21" i="30"/>
  <c r="AT21" i="30"/>
  <c r="AS21" i="30"/>
  <c r="AR21" i="30"/>
  <c r="AQ21" i="30"/>
  <c r="AO21" i="30"/>
  <c r="AN21" i="30"/>
  <c r="AM21" i="30"/>
  <c r="AL21" i="30"/>
  <c r="AJ21" i="30"/>
  <c r="AI21" i="30"/>
  <c r="AH21" i="30"/>
  <c r="AG21" i="30"/>
  <c r="AE21" i="30"/>
  <c r="AD21" i="30"/>
  <c r="AC21" i="30"/>
  <c r="AB21" i="30"/>
  <c r="Z21" i="30"/>
  <c r="Y21" i="30"/>
  <c r="X21" i="30"/>
  <c r="W21" i="30"/>
  <c r="U21" i="30"/>
  <c r="T21" i="30"/>
  <c r="S21" i="30"/>
  <c r="R21" i="30"/>
  <c r="P21" i="30"/>
  <c r="O21" i="30"/>
  <c r="N21" i="30"/>
  <c r="M21" i="30"/>
  <c r="K21" i="30"/>
  <c r="J21" i="30"/>
  <c r="I21" i="30"/>
  <c r="H21" i="30"/>
  <c r="F21" i="30"/>
  <c r="E21" i="30"/>
  <c r="D21" i="30"/>
  <c r="C21" i="30"/>
  <c r="CT18" i="30" a="1"/>
  <c r="CW18" i="30" s="1"/>
  <c r="CR18" i="30"/>
  <c r="CQ18" i="30"/>
  <c r="CP18" i="30"/>
  <c r="CO18" i="30"/>
  <c r="CM18" i="30"/>
  <c r="CL18" i="30"/>
  <c r="CK18" i="30"/>
  <c r="CJ18" i="30"/>
  <c r="CH18" i="30"/>
  <c r="CG18" i="30"/>
  <c r="CF18" i="30"/>
  <c r="CE18" i="30"/>
  <c r="CC18" i="30"/>
  <c r="CB18" i="30"/>
  <c r="CA18" i="30"/>
  <c r="BZ18" i="30"/>
  <c r="BX18" i="30"/>
  <c r="BW18" i="30"/>
  <c r="BV18" i="30"/>
  <c r="BU18" i="30"/>
  <c r="BS18" i="30"/>
  <c r="BR18" i="30"/>
  <c r="BQ18" i="30"/>
  <c r="BP18" i="30"/>
  <c r="BN18" i="30"/>
  <c r="BM18" i="30"/>
  <c r="BL18" i="30"/>
  <c r="BK18" i="30"/>
  <c r="BI18" i="30"/>
  <c r="BH18" i="30"/>
  <c r="BG18" i="30"/>
  <c r="BF18" i="30"/>
  <c r="BD18" i="30"/>
  <c r="BC18" i="30"/>
  <c r="BB18" i="30"/>
  <c r="BA18" i="30"/>
  <c r="AY18" i="30"/>
  <c r="AX18" i="30"/>
  <c r="AW18" i="30"/>
  <c r="AV18" i="30"/>
  <c r="AT18" i="30"/>
  <c r="AS18" i="30"/>
  <c r="AR18" i="30"/>
  <c r="AQ18" i="30"/>
  <c r="AO18" i="30"/>
  <c r="AN18" i="30"/>
  <c r="AM18" i="30"/>
  <c r="AL18" i="30"/>
  <c r="AJ18" i="30"/>
  <c r="AI18" i="30"/>
  <c r="AH18" i="30"/>
  <c r="AG18" i="30"/>
  <c r="AE18" i="30"/>
  <c r="AD18" i="30"/>
  <c r="AC18" i="30"/>
  <c r="AB18" i="30"/>
  <c r="Z18" i="30"/>
  <c r="Y18" i="30"/>
  <c r="X18" i="30"/>
  <c r="W18" i="30"/>
  <c r="U18" i="30"/>
  <c r="T18" i="30"/>
  <c r="S18" i="30"/>
  <c r="R18" i="30"/>
  <c r="P18" i="30"/>
  <c r="O18" i="30"/>
  <c r="N18" i="30"/>
  <c r="M18" i="30"/>
  <c r="K18" i="30"/>
  <c r="J18" i="30"/>
  <c r="I18" i="30"/>
  <c r="H18" i="30"/>
  <c r="F18" i="30"/>
  <c r="E18" i="30"/>
  <c r="D18" i="30"/>
  <c r="C18" i="30"/>
  <c r="DR17" i="30"/>
  <c r="DR15" i="30"/>
  <c r="DH17" i="30"/>
  <c r="DH15" i="30"/>
  <c r="DH14" i="30"/>
  <c r="CB17" i="30"/>
  <c r="CB14" i="30"/>
  <c r="CC15" i="30"/>
  <c r="CC14" i="30"/>
  <c r="DT15" i="30"/>
  <c r="DS15" i="30"/>
  <c r="DQ15" i="30"/>
  <c r="DP15" i="30"/>
  <c r="DO15" i="30"/>
  <c r="DN15" i="30"/>
  <c r="DM15" i="30"/>
  <c r="DL15" i="30"/>
  <c r="DK15" i="30"/>
  <c r="DJ15" i="30"/>
  <c r="DI15" i="30"/>
  <c r="DG15" i="30"/>
  <c r="DF15" i="30"/>
  <c r="DE15" i="30"/>
  <c r="DD15" i="30"/>
  <c r="DC14" i="30"/>
  <c r="DB14" i="30"/>
  <c r="CP15" i="30"/>
  <c r="CO15" i="30"/>
  <c r="CQ14" i="30"/>
  <c r="CP14" i="30"/>
  <c r="CO14" i="30"/>
  <c r="CQ13" i="30"/>
  <c r="CQ33" i="30" s="1"/>
  <c r="CK15" i="30"/>
  <c r="CJ15" i="30"/>
  <c r="CM14" i="30"/>
  <c r="CL14" i="30"/>
  <c r="CK14" i="30"/>
  <c r="CJ14" i="30"/>
  <c r="CF15" i="30"/>
  <c r="CE15" i="30"/>
  <c r="CH14" i="30"/>
  <c r="CG14" i="30"/>
  <c r="CF14" i="30"/>
  <c r="CE14" i="30"/>
  <c r="CG13" i="30"/>
  <c r="CG33" i="30" s="1"/>
  <c r="CA15" i="30"/>
  <c r="BZ15" i="30"/>
  <c r="CA14" i="30"/>
  <c r="BZ14" i="30"/>
  <c r="CA13" i="30"/>
  <c r="CA33" i="30" s="1"/>
  <c r="BV15" i="30"/>
  <c r="BU15" i="30"/>
  <c r="BX14" i="30"/>
  <c r="BW14" i="30"/>
  <c r="BV14" i="30"/>
  <c r="BU14" i="30"/>
  <c r="BW13" i="30"/>
  <c r="BW33" i="30" s="1"/>
  <c r="BS15" i="30"/>
  <c r="BR15" i="30"/>
  <c r="BQ15" i="30"/>
  <c r="BP15" i="30"/>
  <c r="BS14" i="30"/>
  <c r="BR14" i="30"/>
  <c r="BQ14" i="30"/>
  <c r="BP14" i="30"/>
  <c r="BQ13" i="30"/>
  <c r="BQ33" i="30" s="1"/>
  <c r="BN15" i="30"/>
  <c r="BM15" i="30"/>
  <c r="BL15" i="30"/>
  <c r="BK15" i="30"/>
  <c r="BN14" i="30"/>
  <c r="BM14" i="30"/>
  <c r="BL14" i="30"/>
  <c r="BK14" i="30"/>
  <c r="BM13" i="30"/>
  <c r="BM33" i="30" s="1"/>
  <c r="BG15" i="30"/>
  <c r="BF15" i="30"/>
  <c r="BI14" i="30"/>
  <c r="BH14" i="30"/>
  <c r="BG14" i="30"/>
  <c r="BF14" i="30"/>
  <c r="BG13" i="30"/>
  <c r="BG33" i="30" s="1"/>
  <c r="BB15" i="30"/>
  <c r="BA15" i="30"/>
  <c r="BD14" i="30"/>
  <c r="BC14" i="30"/>
  <c r="BB14" i="30"/>
  <c r="BA14" i="30"/>
  <c r="AW15" i="30"/>
  <c r="AV15" i="30"/>
  <c r="AY14" i="30"/>
  <c r="AX14" i="30"/>
  <c r="AW14" i="30"/>
  <c r="AV14" i="30"/>
  <c r="AW13" i="30"/>
  <c r="AW33" i="30" s="1"/>
  <c r="AR15" i="30"/>
  <c r="AQ15" i="30"/>
  <c r="AT14" i="30"/>
  <c r="AS14" i="30"/>
  <c r="AR14" i="30"/>
  <c r="AQ14" i="30"/>
  <c r="AS13" i="30"/>
  <c r="AS33" i="30" s="1"/>
  <c r="AM15" i="30"/>
  <c r="AL15" i="30"/>
  <c r="AO14" i="30"/>
  <c r="AN14" i="30"/>
  <c r="AM14" i="30"/>
  <c r="AL14" i="30"/>
  <c r="AM13" i="30"/>
  <c r="AM33" i="30" s="1"/>
  <c r="AH15" i="30"/>
  <c r="AG15" i="30"/>
  <c r="AJ14" i="30"/>
  <c r="AI14" i="30"/>
  <c r="AH14" i="30"/>
  <c r="AG14" i="30"/>
  <c r="AI13" i="30"/>
  <c r="AI33" i="30" s="1"/>
  <c r="AC15" i="30"/>
  <c r="AB15" i="30"/>
  <c r="AE14" i="30"/>
  <c r="AD14" i="30"/>
  <c r="AC14" i="30"/>
  <c r="AB14" i="30"/>
  <c r="AC13" i="30"/>
  <c r="AC33" i="30" s="1"/>
  <c r="Z15" i="30"/>
  <c r="Y15" i="30"/>
  <c r="X15" i="30"/>
  <c r="W15" i="30"/>
  <c r="Z14" i="30"/>
  <c r="Y14" i="30"/>
  <c r="X14" i="30"/>
  <c r="W14" i="30"/>
  <c r="Y13" i="30"/>
  <c r="Y33" i="30" s="1"/>
  <c r="U15" i="30"/>
  <c r="T15" i="30"/>
  <c r="S15" i="30"/>
  <c r="R15" i="30"/>
  <c r="U14" i="30"/>
  <c r="T14" i="30"/>
  <c r="S14" i="30"/>
  <c r="R14" i="30"/>
  <c r="S13" i="30"/>
  <c r="S33" i="30" s="1"/>
  <c r="P15" i="30"/>
  <c r="O15" i="30"/>
  <c r="N15" i="30"/>
  <c r="M15" i="30"/>
  <c r="P14" i="30"/>
  <c r="O14" i="30"/>
  <c r="N14" i="30"/>
  <c r="M14" i="30"/>
  <c r="O13" i="30"/>
  <c r="O33" i="30" s="1"/>
  <c r="K14" i="30"/>
  <c r="J14" i="30"/>
  <c r="I14" i="30"/>
  <c r="H14" i="30"/>
  <c r="J13" i="30"/>
  <c r="I13" i="30"/>
  <c r="F14" i="30"/>
  <c r="E14" i="30"/>
  <c r="D14" i="30"/>
  <c r="D34" i="30" s="1"/>
  <c r="C14" i="30"/>
  <c r="D13" i="30"/>
  <c r="DJ11" i="30"/>
  <c r="DH11" i="30"/>
  <c r="DC11" i="30"/>
  <c r="DB11" i="30"/>
  <c r="CQ11" i="30"/>
  <c r="CP11" i="30"/>
  <c r="CO11" i="30"/>
  <c r="CM11" i="30"/>
  <c r="CL11" i="30"/>
  <c r="CK11" i="30"/>
  <c r="CJ11" i="30"/>
  <c r="CH11" i="30"/>
  <c r="CG11" i="30"/>
  <c r="CF11" i="30"/>
  <c r="CE11" i="30"/>
  <c r="CC11" i="30"/>
  <c r="CB11" i="30"/>
  <c r="CA11" i="30"/>
  <c r="BZ11" i="30"/>
  <c r="BX11" i="30"/>
  <c r="BW11" i="30"/>
  <c r="BV11" i="30"/>
  <c r="BU11" i="30"/>
  <c r="BS11" i="30"/>
  <c r="BR11" i="30"/>
  <c r="BQ11" i="30"/>
  <c r="BP11" i="30"/>
  <c r="BN11" i="30"/>
  <c r="BM11" i="30"/>
  <c r="BL11" i="30"/>
  <c r="BK11" i="30"/>
  <c r="BI11" i="30"/>
  <c r="BH11" i="30"/>
  <c r="BG11" i="30"/>
  <c r="BF11" i="30"/>
  <c r="BD11" i="30"/>
  <c r="BC11" i="30"/>
  <c r="BB11" i="30"/>
  <c r="BA11" i="30"/>
  <c r="AY11" i="30"/>
  <c r="AX11" i="30"/>
  <c r="AW11" i="30"/>
  <c r="AV11" i="30"/>
  <c r="AT11" i="30"/>
  <c r="AS11" i="30"/>
  <c r="AR11" i="30"/>
  <c r="AQ11" i="30"/>
  <c r="AO11" i="30"/>
  <c r="AN11" i="30"/>
  <c r="AM11" i="30"/>
  <c r="AL11" i="30"/>
  <c r="AJ11" i="30"/>
  <c r="AI11" i="30"/>
  <c r="AH11" i="30"/>
  <c r="AG11" i="30"/>
  <c r="AE11" i="30"/>
  <c r="AD11" i="30"/>
  <c r="AC11" i="30"/>
  <c r="AB11" i="30"/>
  <c r="Z11" i="30"/>
  <c r="Y11" i="30"/>
  <c r="X11" i="30"/>
  <c r="W11" i="30"/>
  <c r="U11" i="30"/>
  <c r="T11" i="30"/>
  <c r="S11" i="30"/>
  <c r="R11" i="30"/>
  <c r="P11" i="30"/>
  <c r="O11" i="30"/>
  <c r="N11" i="30"/>
  <c r="M11" i="30"/>
  <c r="K11" i="30"/>
  <c r="J11" i="30"/>
  <c r="I11" i="30"/>
  <c r="H11" i="30"/>
  <c r="F11" i="30"/>
  <c r="E11" i="30"/>
  <c r="D11" i="30"/>
  <c r="C11" i="30"/>
  <c r="DC9" i="30"/>
  <c r="DC43" i="30" s="1"/>
  <c r="DB9" i="30"/>
  <c r="DB13" i="30" s="1"/>
  <c r="CQ9" i="30"/>
  <c r="CP9" i="30"/>
  <c r="CP13" i="30" s="1"/>
  <c r="CO9" i="30"/>
  <c r="CM9" i="30"/>
  <c r="CL9" i="30"/>
  <c r="CK9" i="30"/>
  <c r="CJ9" i="30"/>
  <c r="CH9" i="30"/>
  <c r="CG9" i="30"/>
  <c r="CF9" i="30"/>
  <c r="CF13" i="30" s="1"/>
  <c r="CE9" i="30"/>
  <c r="CC9" i="30"/>
  <c r="CB9" i="30"/>
  <c r="CA9" i="30"/>
  <c r="BZ9" i="30"/>
  <c r="BX9" i="30"/>
  <c r="BW9" i="30"/>
  <c r="BV9" i="30"/>
  <c r="BV13" i="30" s="1"/>
  <c r="BU9" i="30"/>
  <c r="BS9" i="30"/>
  <c r="BS13" i="30" s="1"/>
  <c r="BR9" i="30"/>
  <c r="BQ9" i="30"/>
  <c r="BP9" i="30"/>
  <c r="BN9" i="30"/>
  <c r="BM9" i="30"/>
  <c r="BL9" i="30"/>
  <c r="BL13" i="30" s="1"/>
  <c r="BK9" i="30"/>
  <c r="BI9" i="30"/>
  <c r="BI13" i="30" s="1"/>
  <c r="BH9" i="30"/>
  <c r="BG9" i="30"/>
  <c r="BF9" i="30"/>
  <c r="BD9" i="30"/>
  <c r="BC9" i="30"/>
  <c r="BC13" i="30" s="1"/>
  <c r="BC33" i="30" s="1"/>
  <c r="BB9" i="30"/>
  <c r="BB13" i="30" s="1"/>
  <c r="BA9" i="30"/>
  <c r="AY9" i="30"/>
  <c r="AY13" i="30" s="1"/>
  <c r="AX9" i="30"/>
  <c r="AW9" i="30"/>
  <c r="AV9" i="30"/>
  <c r="AT9" i="30"/>
  <c r="AS9" i="30"/>
  <c r="AR9" i="30"/>
  <c r="AR13" i="30" s="1"/>
  <c r="AQ9" i="30"/>
  <c r="AO9" i="30"/>
  <c r="AO13" i="30" s="1"/>
  <c r="AN9" i="30"/>
  <c r="AM9" i="30"/>
  <c r="AL9" i="30"/>
  <c r="AJ9" i="30"/>
  <c r="AI9" i="30"/>
  <c r="AH9" i="30"/>
  <c r="AH13" i="30" s="1"/>
  <c r="AG9" i="30"/>
  <c r="AE9" i="30"/>
  <c r="AE13" i="30" s="1"/>
  <c r="AD9" i="30"/>
  <c r="AC9" i="30"/>
  <c r="AB9" i="30"/>
  <c r="Z9" i="30"/>
  <c r="Y9" i="30"/>
  <c r="X9" i="30"/>
  <c r="X13" i="30" s="1"/>
  <c r="W9" i="30"/>
  <c r="U9" i="30"/>
  <c r="U13" i="30" s="1"/>
  <c r="T9" i="30"/>
  <c r="S9" i="30"/>
  <c r="R9" i="30"/>
  <c r="P9" i="30"/>
  <c r="O9" i="30"/>
  <c r="N9" i="30"/>
  <c r="N13" i="30" s="1"/>
  <c r="M9" i="30"/>
  <c r="K9" i="30"/>
  <c r="J9" i="30"/>
  <c r="I9" i="30"/>
  <c r="H9" i="30"/>
  <c r="F9" i="30"/>
  <c r="F13" i="30" s="1"/>
  <c r="E9" i="30"/>
  <c r="E13" i="30" s="1"/>
  <c r="D9" i="30"/>
  <c r="C9" i="30"/>
  <c r="C13" i="30" s="1"/>
  <c r="C33" i="30" s="1"/>
  <c r="DC7" i="30"/>
  <c r="DD7" i="30" s="1"/>
  <c r="DE7" i="30" s="1"/>
  <c r="DF7" i="30" s="1"/>
  <c r="DG7" i="30" s="1"/>
  <c r="DH7" i="30" s="1"/>
  <c r="DI7" i="30" s="1"/>
  <c r="DJ7" i="30" s="1"/>
  <c r="DK7" i="30" s="1"/>
  <c r="DL7" i="30" s="1"/>
  <c r="DM7" i="30" s="1"/>
  <c r="DN7" i="30" s="1"/>
  <c r="DO7" i="30" s="1"/>
  <c r="DP7" i="30" s="1"/>
  <c r="DQ7" i="30" s="1"/>
  <c r="DR7" i="30" s="1"/>
  <c r="DS7" i="30" s="1"/>
  <c r="DT7" i="30" s="1"/>
  <c r="DU7" i="30" s="1"/>
  <c r="DV7" i="30" s="1"/>
  <c r="DW7" i="30" s="1"/>
  <c r="DX7" i="30" s="1"/>
  <c r="DY7" i="30" s="1"/>
  <c r="DZ7" i="30" s="1"/>
  <c r="M7" i="30"/>
  <c r="R7" i="30" s="1"/>
  <c r="W7" i="30" s="1"/>
  <c r="AB7" i="30" s="1"/>
  <c r="K7" i="30"/>
  <c r="P7" i="30" s="1"/>
  <c r="U7" i="30" s="1"/>
  <c r="Z7" i="30" s="1"/>
  <c r="AE7" i="30" s="1"/>
  <c r="AJ7" i="30" s="1"/>
  <c r="AO7" i="30" s="1"/>
  <c r="AT7" i="30" s="1"/>
  <c r="AY7" i="30" s="1"/>
  <c r="BD7" i="30" s="1"/>
  <c r="BI7" i="30" s="1"/>
  <c r="BN7" i="30" s="1"/>
  <c r="BS7" i="30" s="1"/>
  <c r="BX7" i="30" s="1"/>
  <c r="CC7" i="30" s="1"/>
  <c r="CH7" i="30" s="1"/>
  <c r="CM7" i="30" s="1"/>
  <c r="CR7" i="30" s="1"/>
  <c r="CW7" i="30" s="1"/>
  <c r="J7" i="30"/>
  <c r="O7" i="30" s="1"/>
  <c r="T7" i="30" s="1"/>
  <c r="Y7" i="30" s="1"/>
  <c r="AD7" i="30" s="1"/>
  <c r="AI7" i="30" s="1"/>
  <c r="AN7" i="30" s="1"/>
  <c r="AS7" i="30" s="1"/>
  <c r="AX7" i="30" s="1"/>
  <c r="BC7" i="30" s="1"/>
  <c r="BH7" i="30" s="1"/>
  <c r="BM7" i="30" s="1"/>
  <c r="BR7" i="30" s="1"/>
  <c r="BW7" i="30" s="1"/>
  <c r="CB7" i="30" s="1"/>
  <c r="CG7" i="30" s="1"/>
  <c r="CL7" i="30" s="1"/>
  <c r="CQ7" i="30" s="1"/>
  <c r="CV7" i="30" s="1"/>
  <c r="I7" i="30"/>
  <c r="N7" i="30" s="1"/>
  <c r="S7" i="30" s="1"/>
  <c r="X7" i="30" s="1"/>
  <c r="AC7" i="30" s="1"/>
  <c r="AH7" i="30" s="1"/>
  <c r="AM7" i="30" s="1"/>
  <c r="AR7" i="30" s="1"/>
  <c r="AW7" i="30" s="1"/>
  <c r="BB7" i="30" s="1"/>
  <c r="BG7" i="30" s="1"/>
  <c r="BL7" i="30" s="1"/>
  <c r="BQ7" i="30" s="1"/>
  <c r="BV7" i="30" s="1"/>
  <c r="CA7" i="30" s="1"/>
  <c r="CF7" i="30" s="1"/>
  <c r="CK7" i="30" s="1"/>
  <c r="CP7" i="30" s="1"/>
  <c r="CU7" i="30" s="1"/>
  <c r="R6" i="30"/>
  <c r="M6" i="30"/>
  <c r="T178" i="83"/>
  <c r="T172" i="83"/>
  <c r="S172" i="83"/>
  <c r="R172" i="83"/>
  <c r="Q172" i="83"/>
  <c r="T170" i="83"/>
  <c r="S170" i="83"/>
  <c r="R170" i="83"/>
  <c r="Q170" i="83"/>
  <c r="AA150" i="83"/>
  <c r="T125" i="83"/>
  <c r="S125" i="83"/>
  <c r="R125" i="83"/>
  <c r="Q125" i="83"/>
  <c r="P125" i="83"/>
  <c r="O125" i="83"/>
  <c r="N125" i="83"/>
  <c r="M125" i="83"/>
  <c r="L125" i="83"/>
  <c r="K125" i="83"/>
  <c r="J125" i="83"/>
  <c r="I125" i="83"/>
  <c r="H125" i="83"/>
  <c r="G125" i="83"/>
  <c r="F125" i="83"/>
  <c r="E125" i="83"/>
  <c r="D125" i="83"/>
  <c r="C125" i="83"/>
  <c r="T124" i="83"/>
  <c r="S124" i="83"/>
  <c r="R124" i="83"/>
  <c r="Q124" i="83"/>
  <c r="P124" i="83"/>
  <c r="O124" i="83"/>
  <c r="N124" i="83"/>
  <c r="M124" i="83"/>
  <c r="L124" i="83"/>
  <c r="K124" i="83"/>
  <c r="J124" i="83"/>
  <c r="I124" i="83"/>
  <c r="H124" i="83"/>
  <c r="G124" i="83"/>
  <c r="F124" i="83"/>
  <c r="E124" i="83"/>
  <c r="D124" i="83"/>
  <c r="C124" i="83"/>
  <c r="D100" i="83"/>
  <c r="C100" i="83"/>
  <c r="O59" i="83"/>
  <c r="G59" i="83"/>
  <c r="D59" i="83"/>
  <c r="C59" i="83"/>
  <c r="C36" i="83"/>
  <c r="O36" i="83"/>
  <c r="N36" i="83"/>
  <c r="M36" i="83"/>
  <c r="L36" i="83"/>
  <c r="K36" i="83"/>
  <c r="I36" i="83"/>
  <c r="H36" i="83"/>
  <c r="H116" i="83" s="1"/>
  <c r="G36" i="83"/>
  <c r="F36" i="83"/>
  <c r="E36" i="83"/>
  <c r="D36" i="83"/>
  <c r="O24" i="83"/>
  <c r="O147" i="83" s="1"/>
  <c r="O145" i="83" s="1"/>
  <c r="N24" i="83"/>
  <c r="M24" i="83"/>
  <c r="I24" i="83"/>
  <c r="I145" i="83" s="1"/>
  <c r="H24" i="83"/>
  <c r="H145" i="83" s="1"/>
  <c r="G24" i="83"/>
  <c r="F24" i="83"/>
  <c r="E24" i="83"/>
  <c r="D24" i="83"/>
  <c r="D145" i="83" s="1"/>
  <c r="C24" i="83"/>
  <c r="C145" i="83" s="1"/>
  <c r="T19" i="83"/>
  <c r="S19" i="83"/>
  <c r="S100" i="83" s="1"/>
  <c r="R19" i="83"/>
  <c r="R100" i="83" s="1"/>
  <c r="Q19" i="83"/>
  <c r="P19" i="83"/>
  <c r="O19" i="83"/>
  <c r="O100" i="83" s="1"/>
  <c r="N19" i="83"/>
  <c r="N100" i="83" s="1"/>
  <c r="L19" i="83"/>
  <c r="K19" i="83"/>
  <c r="K100" i="83" s="1"/>
  <c r="J19" i="83"/>
  <c r="J100" i="83" s="1"/>
  <c r="I19" i="83"/>
  <c r="H19" i="83"/>
  <c r="G19" i="83"/>
  <c r="G100" i="83" s="1"/>
  <c r="F19" i="83"/>
  <c r="F100" i="83" s="1"/>
  <c r="E19" i="83"/>
  <c r="E18" i="83"/>
  <c r="O12" i="83"/>
  <c r="N12" i="83"/>
  <c r="M12" i="83"/>
  <c r="L12" i="83"/>
  <c r="L133" i="83" s="1"/>
  <c r="K12" i="83"/>
  <c r="J12" i="83"/>
  <c r="I12" i="83"/>
  <c r="H12" i="83"/>
  <c r="H51" i="83" s="1"/>
  <c r="G12" i="83"/>
  <c r="F12" i="83"/>
  <c r="F133" i="83" s="1"/>
  <c r="E12" i="83"/>
  <c r="E51" i="83" s="1"/>
  <c r="D12" i="83"/>
  <c r="D133" i="83" s="1"/>
  <c r="C12" i="83"/>
  <c r="E8" i="83"/>
  <c r="C55" i="76"/>
  <c r="C54" i="76"/>
  <c r="C53" i="76"/>
  <c r="C52" i="76"/>
  <c r="D50" i="76"/>
  <c r="C50" i="76"/>
  <c r="D49" i="76"/>
  <c r="C49" i="76"/>
  <c r="D48" i="76"/>
  <c r="C48" i="76"/>
  <c r="D47" i="76"/>
  <c r="C47" i="76"/>
  <c r="D46" i="76"/>
  <c r="C46" i="76"/>
  <c r="C45" i="76"/>
  <c r="C39" i="76"/>
  <c r="T33" i="76"/>
  <c r="AB33" i="76" s="1"/>
  <c r="S33" i="76"/>
  <c r="AA33" i="76" s="1"/>
  <c r="R33" i="76"/>
  <c r="Z33" i="76" s="1"/>
  <c r="D33" i="76"/>
  <c r="C33" i="76"/>
  <c r="I33" i="76" s="1"/>
  <c r="L190" i="89"/>
  <c r="F20" i="76"/>
  <c r="V228" i="47" l="1"/>
  <c r="AL228" i="47" s="1"/>
  <c r="Z237" i="45"/>
  <c r="X237" i="45"/>
  <c r="E238" i="45"/>
  <c r="F238" i="45" s="1"/>
  <c r="H237" i="45"/>
  <c r="F237" i="45"/>
  <c r="AD18" i="14"/>
  <c r="AG313" i="44"/>
  <c r="AG314" i="44" s="1"/>
  <c r="BI89" i="3"/>
  <c r="BK89" i="3"/>
  <c r="BI44" i="3"/>
  <c r="BK44" i="3" s="1"/>
  <c r="BM44" i="3" s="1"/>
  <c r="BO44" i="3" s="1"/>
  <c r="BQ44" i="3" s="1"/>
  <c r="BM89" i="3"/>
  <c r="BK19" i="3"/>
  <c r="BM19" i="3" s="1"/>
  <c r="BO19" i="3" s="1"/>
  <c r="BQ19" i="3" s="1"/>
  <c r="BJ14" i="32"/>
  <c r="BL14" i="32" s="1"/>
  <c r="BN14" i="32" s="1"/>
  <c r="BP14" i="32" s="1"/>
  <c r="BL15" i="32"/>
  <c r="BN15" i="32"/>
  <c r="BH15" i="32"/>
  <c r="BH39" i="32"/>
  <c r="BJ39" i="32"/>
  <c r="BL39" i="32"/>
  <c r="BN39" i="32"/>
  <c r="BH59" i="32"/>
  <c r="BJ34" i="32"/>
  <c r="BN34" i="32"/>
  <c r="AQ205" i="40"/>
  <c r="AC12" i="14"/>
  <c r="AC13" i="14" s="1"/>
  <c r="AU233" i="45"/>
  <c r="AC210" i="14"/>
  <c r="AE61" i="8"/>
  <c r="L90" i="89"/>
  <c r="L126" i="89" s="1"/>
  <c r="L91" i="89"/>
  <c r="L124" i="89"/>
  <c r="M123" i="89"/>
  <c r="K92" i="89"/>
  <c r="T119" i="89"/>
  <c r="U83" i="89"/>
  <c r="I92" i="89"/>
  <c r="I93" i="89" s="1"/>
  <c r="J125" i="89"/>
  <c r="K124" i="89"/>
  <c r="J90" i="89"/>
  <c r="P91" i="89"/>
  <c r="P92" i="89" s="1"/>
  <c r="H119" i="89"/>
  <c r="I118" i="89"/>
  <c r="K5" i="89"/>
  <c r="J7" i="89"/>
  <c r="K9" i="89"/>
  <c r="M125" i="89"/>
  <c r="N124" i="89"/>
  <c r="W79" i="89"/>
  <c r="W80" i="89"/>
  <c r="V81" i="89"/>
  <c r="W77" i="89"/>
  <c r="B138" i="89"/>
  <c r="C138" i="89"/>
  <c r="V76" i="89"/>
  <c r="U45" i="89"/>
  <c r="U112" i="89" s="1"/>
  <c r="T116" i="89"/>
  <c r="T115" i="89"/>
  <c r="T113" i="89"/>
  <c r="T114" i="89"/>
  <c r="V82" i="89"/>
  <c r="W78" i="89"/>
  <c r="L123" i="89"/>
  <c r="M122" i="89"/>
  <c r="H120" i="89"/>
  <c r="I119" i="89"/>
  <c r="S121" i="89"/>
  <c r="T85" i="89"/>
  <c r="R122" i="89"/>
  <c r="S86" i="89"/>
  <c r="H85" i="89"/>
  <c r="Q90" i="89"/>
  <c r="N93" i="89"/>
  <c r="N94" i="89" s="1"/>
  <c r="Q89" i="89"/>
  <c r="R88" i="89"/>
  <c r="Q124" i="89"/>
  <c r="S120" i="89"/>
  <c r="T84" i="89"/>
  <c r="O124" i="89"/>
  <c r="O89" i="89"/>
  <c r="R87" i="89"/>
  <c r="Q123" i="89"/>
  <c r="M90" i="89"/>
  <c r="M124" i="89"/>
  <c r="X14" i="2"/>
  <c r="P18" i="2"/>
  <c r="X18" i="2"/>
  <c r="Z18" i="2" s="1"/>
  <c r="AD18" i="2"/>
  <c r="L26" i="2"/>
  <c r="L19" i="2"/>
  <c r="R19" i="2"/>
  <c r="J18" i="2"/>
  <c r="J26" i="2"/>
  <c r="R26" i="2" s="1"/>
  <c r="N26" i="2"/>
  <c r="AF35" i="2"/>
  <c r="R34" i="2"/>
  <c r="L43" i="2"/>
  <c r="L50" i="2"/>
  <c r="Z83" i="2"/>
  <c r="J14" i="2"/>
  <c r="AD11" i="2"/>
  <c r="J11" i="2"/>
  <c r="P21" i="2"/>
  <c r="X21" i="2"/>
  <c r="AD21" i="2"/>
  <c r="AF21" i="2" s="1"/>
  <c r="J21" i="2"/>
  <c r="R21" i="2" s="1"/>
  <c r="P26" i="2"/>
  <c r="AD26" i="2"/>
  <c r="AF26" i="2" s="1"/>
  <c r="R27" i="2"/>
  <c r="R32" i="2"/>
  <c r="R35" i="2"/>
  <c r="Z67" i="2"/>
  <c r="Z76" i="2"/>
  <c r="L78" i="2"/>
  <c r="A70" i="2"/>
  <c r="A42" i="2"/>
  <c r="A77" i="2"/>
  <c r="A56" i="2"/>
  <c r="A35" i="2"/>
  <c r="A49" i="2"/>
  <c r="A63" i="2"/>
  <c r="A28" i="2"/>
  <c r="B203" i="2"/>
  <c r="B175" i="2"/>
  <c r="B196" i="2"/>
  <c r="B210" i="2"/>
  <c r="B189" i="2"/>
  <c r="B182" i="2"/>
  <c r="B168" i="2"/>
  <c r="B161" i="2"/>
  <c r="B133" i="2"/>
  <c r="B154" i="2"/>
  <c r="B147" i="2"/>
  <c r="B140" i="2"/>
  <c r="B126" i="2"/>
  <c r="B105" i="2"/>
  <c r="B119" i="2"/>
  <c r="B84" i="2"/>
  <c r="B112" i="2"/>
  <c r="B91" i="2"/>
  <c r="B77" i="2"/>
  <c r="B49" i="2"/>
  <c r="B70" i="2"/>
  <c r="B98" i="2"/>
  <c r="B63" i="2"/>
  <c r="B42" i="2"/>
  <c r="B28" i="2"/>
  <c r="B56" i="2"/>
  <c r="B35" i="2"/>
  <c r="J12" i="2"/>
  <c r="N18" i="2"/>
  <c r="T18" i="2"/>
  <c r="B21" i="2"/>
  <c r="T26" i="2"/>
  <c r="L36" i="2"/>
  <c r="Z60" i="2"/>
  <c r="A74" i="2"/>
  <c r="A46" i="2"/>
  <c r="A67" i="2"/>
  <c r="A60" i="2"/>
  <c r="A39" i="2"/>
  <c r="A53" i="2"/>
  <c r="A25" i="2"/>
  <c r="A81" i="2"/>
  <c r="A32" i="2"/>
  <c r="B193" i="2"/>
  <c r="B207" i="2"/>
  <c r="B186" i="2"/>
  <c r="B179" i="2"/>
  <c r="B200" i="2"/>
  <c r="B172" i="2"/>
  <c r="B151" i="2"/>
  <c r="B144" i="2"/>
  <c r="B137" i="2"/>
  <c r="B165" i="2"/>
  <c r="B158" i="2"/>
  <c r="B123" i="2"/>
  <c r="B109" i="2"/>
  <c r="B81" i="2"/>
  <c r="B116" i="2"/>
  <c r="B102" i="2"/>
  <c r="B95" i="2"/>
  <c r="B130" i="2"/>
  <c r="B53" i="2"/>
  <c r="B60" i="2"/>
  <c r="B39" i="2"/>
  <c r="B18" i="2"/>
  <c r="B25" i="2"/>
  <c r="B74" i="2"/>
  <c r="B32" i="2"/>
  <c r="B88" i="2"/>
  <c r="B67" i="2"/>
  <c r="B46" i="2"/>
  <c r="B57" i="2"/>
  <c r="B71" i="2"/>
  <c r="B50" i="2"/>
  <c r="B22" i="2"/>
  <c r="B64" i="2"/>
  <c r="B43" i="2"/>
  <c r="B29" i="2"/>
  <c r="B36" i="2"/>
  <c r="B78" i="2"/>
  <c r="N21" i="2"/>
  <c r="D22" i="2"/>
  <c r="R18" i="2"/>
  <c r="F22" i="2"/>
  <c r="X26" i="2"/>
  <c r="L29" i="2"/>
  <c r="X13" i="2"/>
  <c r="AD13" i="2"/>
  <c r="AF20" i="2" s="1"/>
  <c r="B181" i="2"/>
  <c r="B202" i="2"/>
  <c r="B174" i="2"/>
  <c r="B195" i="2"/>
  <c r="B209" i="2"/>
  <c r="B188" i="2"/>
  <c r="B160" i="2"/>
  <c r="B167" i="2"/>
  <c r="B139" i="2"/>
  <c r="B132" i="2"/>
  <c r="B118" i="2"/>
  <c r="B153" i="2"/>
  <c r="B146" i="2"/>
  <c r="B97" i="2"/>
  <c r="B111" i="2"/>
  <c r="B104" i="2"/>
  <c r="B125" i="2"/>
  <c r="B83" i="2"/>
  <c r="B69" i="2"/>
  <c r="B41" i="2"/>
  <c r="A20" i="2"/>
  <c r="N20" i="2"/>
  <c r="P20" i="2"/>
  <c r="T20" i="2"/>
  <c r="X20" i="2"/>
  <c r="Z20" i="2" s="1"/>
  <c r="B19" i="2"/>
  <c r="J20" i="2"/>
  <c r="R20" i="2" s="1"/>
  <c r="N28" i="2"/>
  <c r="P28" i="2"/>
  <c r="T28" i="2"/>
  <c r="X28" i="2"/>
  <c r="Z28" i="2" s="1"/>
  <c r="B27" i="2"/>
  <c r="J28" i="2"/>
  <c r="R28" i="2" s="1"/>
  <c r="L27" i="2"/>
  <c r="N32" i="2"/>
  <c r="P32" i="2"/>
  <c r="T32" i="2"/>
  <c r="X32" i="2"/>
  <c r="Z32" i="2" s="1"/>
  <c r="AD32" i="2"/>
  <c r="A41" i="2"/>
  <c r="AF42" i="2"/>
  <c r="P39" i="2"/>
  <c r="T40" i="2"/>
  <c r="X41" i="2"/>
  <c r="AD39" i="2"/>
  <c r="B40" i="2"/>
  <c r="F43" i="2"/>
  <c r="J39" i="2"/>
  <c r="L39" i="2"/>
  <c r="A47" i="2"/>
  <c r="N48" i="2"/>
  <c r="P49" i="2"/>
  <c r="AD49" i="2"/>
  <c r="AF49" i="2" s="1"/>
  <c r="J49" i="2"/>
  <c r="R49" i="2" s="1"/>
  <c r="N53" i="2"/>
  <c r="P55" i="2"/>
  <c r="AD55" i="2"/>
  <c r="AF62" i="2" s="1"/>
  <c r="J55" i="2"/>
  <c r="P60" i="2"/>
  <c r="T61" i="2"/>
  <c r="AD60" i="2"/>
  <c r="AF60" i="2" s="1"/>
  <c r="B62" i="2"/>
  <c r="L61" i="2"/>
  <c r="J60" i="2"/>
  <c r="L60" i="2"/>
  <c r="A68" i="2"/>
  <c r="N69" i="2"/>
  <c r="X68" i="2"/>
  <c r="N75" i="2"/>
  <c r="P76" i="2"/>
  <c r="T77" i="2"/>
  <c r="AD76" i="2"/>
  <c r="AF76" i="2" s="1"/>
  <c r="L77" i="2"/>
  <c r="J76" i="2"/>
  <c r="R76" i="2" s="1"/>
  <c r="P81" i="2"/>
  <c r="B82" i="2"/>
  <c r="R90" i="2"/>
  <c r="J98" i="2"/>
  <c r="AH98" i="2" s="1"/>
  <c r="T97" i="2"/>
  <c r="X97" i="2"/>
  <c r="P97" i="2"/>
  <c r="AH95" i="2"/>
  <c r="B96" i="2"/>
  <c r="L97" i="2"/>
  <c r="L104" i="2"/>
  <c r="AH116" i="2"/>
  <c r="N25" i="2"/>
  <c r="P25" i="2"/>
  <c r="T25" i="2"/>
  <c r="X25" i="2"/>
  <c r="Z25" i="2" s="1"/>
  <c r="AD25" i="2"/>
  <c r="AF25" i="2" s="1"/>
  <c r="J25" i="2"/>
  <c r="A33" i="2"/>
  <c r="N33" i="2"/>
  <c r="P33" i="2"/>
  <c r="T33" i="2"/>
  <c r="X33" i="2"/>
  <c r="Z33" i="2" s="1"/>
  <c r="AD33" i="2"/>
  <c r="AF33" i="2" s="1"/>
  <c r="J33" i="2"/>
  <c r="R33" i="2" s="1"/>
  <c r="L32" i="2"/>
  <c r="N39" i="2"/>
  <c r="P40" i="2"/>
  <c r="AD40" i="2"/>
  <c r="AF40" i="2" s="1"/>
  <c r="J40" i="2"/>
  <c r="R40" i="2" s="1"/>
  <c r="A209" i="2"/>
  <c r="A181" i="2"/>
  <c r="A202" i="2"/>
  <c r="A195" i="2"/>
  <c r="A188" i="2"/>
  <c r="A160" i="2"/>
  <c r="A174" i="2"/>
  <c r="A167" i="2"/>
  <c r="A153" i="2"/>
  <c r="A139" i="2"/>
  <c r="A146" i="2"/>
  <c r="A132" i="2"/>
  <c r="A118" i="2"/>
  <c r="A90" i="2"/>
  <c r="A111" i="2"/>
  <c r="A104" i="2"/>
  <c r="A125" i="2"/>
  <c r="A97" i="2"/>
  <c r="N49" i="2"/>
  <c r="X48" i="2"/>
  <c r="Z48" i="2" s="1"/>
  <c r="B47" i="2"/>
  <c r="F50" i="2"/>
  <c r="R46" i="2"/>
  <c r="AF54" i="2"/>
  <c r="N55" i="2"/>
  <c r="P56" i="2"/>
  <c r="D57" i="2"/>
  <c r="L57" i="2" s="1"/>
  <c r="R56" i="2"/>
  <c r="J56" i="2"/>
  <c r="N60" i="2"/>
  <c r="P61" i="2"/>
  <c r="AD61" i="2"/>
  <c r="AF61" i="2" s="1"/>
  <c r="J61" i="2"/>
  <c r="R61" i="2" s="1"/>
  <c r="AF70" i="2"/>
  <c r="P67" i="2"/>
  <c r="AD67" i="2"/>
  <c r="AF67" i="2" s="1"/>
  <c r="B68" i="2"/>
  <c r="F71" i="2"/>
  <c r="J67" i="2"/>
  <c r="A75" i="2"/>
  <c r="N76" i="2"/>
  <c r="P77" i="2"/>
  <c r="X75" i="2"/>
  <c r="Z75" i="2" s="1"/>
  <c r="R77" i="2"/>
  <c r="J77" i="2"/>
  <c r="AD83" i="2"/>
  <c r="AF83" i="2" s="1"/>
  <c r="P83" i="2"/>
  <c r="AJ83" i="2"/>
  <c r="L81" i="2"/>
  <c r="D85" i="2"/>
  <c r="L85" i="2" s="1"/>
  <c r="T83" i="2"/>
  <c r="R91" i="2"/>
  <c r="AH91" i="2"/>
  <c r="B90" i="2"/>
  <c r="L88" i="2"/>
  <c r="Z103" i="2"/>
  <c r="B103" i="2"/>
  <c r="Z116" i="2"/>
  <c r="N34" i="2"/>
  <c r="P34" i="2"/>
  <c r="T34" i="2"/>
  <c r="X34" i="2"/>
  <c r="AD34" i="2"/>
  <c r="AF34" i="2" s="1"/>
  <c r="B33" i="2"/>
  <c r="N40" i="2"/>
  <c r="P41" i="2"/>
  <c r="J41" i="2"/>
  <c r="R41" i="2" s="1"/>
  <c r="X49" i="2"/>
  <c r="N56" i="2"/>
  <c r="B54" i="2"/>
  <c r="F57" i="2"/>
  <c r="R53" i="2"/>
  <c r="N61" i="2"/>
  <c r="N67" i="2"/>
  <c r="P68" i="2"/>
  <c r="L69" i="2"/>
  <c r="R68" i="2"/>
  <c r="J68" i="2"/>
  <c r="R74" i="2"/>
  <c r="T70" i="2"/>
  <c r="F78" i="2"/>
  <c r="A83" i="2"/>
  <c r="AF84" i="2"/>
  <c r="L82" i="2"/>
  <c r="F85" i="2"/>
  <c r="AD88" i="2"/>
  <c r="AF88" i="2" s="1"/>
  <c r="P88" i="2"/>
  <c r="J89" i="2"/>
  <c r="AH89" i="2" s="1"/>
  <c r="N88" i="2"/>
  <c r="AJ88" i="2"/>
  <c r="T84" i="2"/>
  <c r="AJ84" i="2"/>
  <c r="F92" i="2"/>
  <c r="L99" i="2"/>
  <c r="L106" i="2"/>
  <c r="T98" i="2"/>
  <c r="R102" i="2"/>
  <c r="F106" i="2"/>
  <c r="X12" i="2"/>
  <c r="AD12" i="2"/>
  <c r="AF19" i="2" s="1"/>
  <c r="B208" i="2"/>
  <c r="B187" i="2"/>
  <c r="B180" i="2"/>
  <c r="B201" i="2"/>
  <c r="B173" i="2"/>
  <c r="B194" i="2"/>
  <c r="B166" i="2"/>
  <c r="B152" i="2"/>
  <c r="B145" i="2"/>
  <c r="B159" i="2"/>
  <c r="B138" i="2"/>
  <c r="B131" i="2"/>
  <c r="B117" i="2"/>
  <c r="B89" i="2"/>
  <c r="B124" i="2"/>
  <c r="B110" i="2"/>
  <c r="B61" i="2"/>
  <c r="D15" i="2"/>
  <c r="A19" i="2"/>
  <c r="N19" i="2"/>
  <c r="P19" i="2"/>
  <c r="T19" i="2"/>
  <c r="X19" i="2"/>
  <c r="Z19" i="2" s="1"/>
  <c r="N27" i="2"/>
  <c r="P27" i="2"/>
  <c r="T27" i="2"/>
  <c r="X27" i="2"/>
  <c r="Z27" i="2" s="1"/>
  <c r="B26" i="2"/>
  <c r="N35" i="2"/>
  <c r="P35" i="2"/>
  <c r="T35" i="2"/>
  <c r="X35" i="2"/>
  <c r="Z35" i="2" s="1"/>
  <c r="A40" i="2"/>
  <c r="N41" i="2"/>
  <c r="T39" i="2"/>
  <c r="X40" i="2"/>
  <c r="Z40" i="2" s="1"/>
  <c r="J50" i="2"/>
  <c r="P48" i="2"/>
  <c r="AD48" i="2"/>
  <c r="AF48" i="2" s="1"/>
  <c r="L49" i="2"/>
  <c r="R48" i="2"/>
  <c r="L48" i="2"/>
  <c r="T55" i="2"/>
  <c r="X56" i="2"/>
  <c r="Z56" i="2" s="1"/>
  <c r="A61" i="2"/>
  <c r="X61" i="2"/>
  <c r="D64" i="2"/>
  <c r="L64" i="2" s="1"/>
  <c r="R60" i="2"/>
  <c r="F64" i="2"/>
  <c r="N68" i="2"/>
  <c r="P69" i="2"/>
  <c r="P75" i="2"/>
  <c r="T76" i="2"/>
  <c r="AD75" i="2"/>
  <c r="AF75" i="2" s="1"/>
  <c r="B76" i="2"/>
  <c r="N83" i="2"/>
  <c r="Z82" i="2"/>
  <c r="J84" i="2"/>
  <c r="AH84" i="2" s="1"/>
  <c r="J90" i="2"/>
  <c r="AH90" i="2" s="1"/>
  <c r="T89" i="2"/>
  <c r="X89" i="2"/>
  <c r="Z89" i="2" s="1"/>
  <c r="N89" i="2"/>
  <c r="X88" i="2"/>
  <c r="Z88" i="2" s="1"/>
  <c r="AJ89" i="2"/>
  <c r="L89" i="2"/>
  <c r="L96" i="2"/>
  <c r="T88" i="2"/>
  <c r="J88" i="2"/>
  <c r="R88" i="2" s="1"/>
  <c r="R89" i="2"/>
  <c r="J96" i="2"/>
  <c r="AH96" i="2" s="1"/>
  <c r="AD96" i="2"/>
  <c r="AF96" i="2" s="1"/>
  <c r="P96" i="2"/>
  <c r="J97" i="2"/>
  <c r="T96" i="2"/>
  <c r="X96" i="2"/>
  <c r="J103" i="2"/>
  <c r="T103" i="2"/>
  <c r="N103" i="2"/>
  <c r="J104" i="2"/>
  <c r="AH104" i="2" s="1"/>
  <c r="AD103" i="2"/>
  <c r="AF103" i="2" s="1"/>
  <c r="P103" i="2"/>
  <c r="Z112" i="2"/>
  <c r="N42" i="2"/>
  <c r="P42" i="2"/>
  <c r="X42" i="2"/>
  <c r="Z42" i="2" s="1"/>
  <c r="N46" i="2"/>
  <c r="P46" i="2"/>
  <c r="T46" i="2"/>
  <c r="X46" i="2"/>
  <c r="Z46" i="2" s="1"/>
  <c r="AD46" i="2"/>
  <c r="AF46" i="2" s="1"/>
  <c r="N54" i="2"/>
  <c r="P54" i="2"/>
  <c r="T54" i="2"/>
  <c r="X54" i="2"/>
  <c r="Z54" i="2" s="1"/>
  <c r="N62" i="2"/>
  <c r="P62" i="2"/>
  <c r="T62" i="2"/>
  <c r="X62" i="2"/>
  <c r="Z62" i="2" s="1"/>
  <c r="N70" i="2"/>
  <c r="P70" i="2"/>
  <c r="X70" i="2"/>
  <c r="Z70" i="2" s="1"/>
  <c r="N74" i="2"/>
  <c r="P74" i="2"/>
  <c r="T74" i="2"/>
  <c r="X74" i="2"/>
  <c r="Z74" i="2" s="1"/>
  <c r="AD74" i="2"/>
  <c r="AF74" i="2" s="1"/>
  <c r="J82" i="2"/>
  <c r="AH82" i="2" s="1"/>
  <c r="N81" i="2"/>
  <c r="P82" i="2"/>
  <c r="AD82" i="2"/>
  <c r="AF82" i="2" s="1"/>
  <c r="J81" i="2"/>
  <c r="N91" i="2"/>
  <c r="AJ91" i="2"/>
  <c r="AJ98" i="2"/>
  <c r="P95" i="2"/>
  <c r="AD95" i="2"/>
  <c r="AF95" i="2" s="1"/>
  <c r="T104" i="2"/>
  <c r="L105" i="2"/>
  <c r="R104" i="2"/>
  <c r="P109" i="2"/>
  <c r="AD109" i="2"/>
  <c r="AF116" i="2" s="1"/>
  <c r="J111" i="2"/>
  <c r="L112" i="2"/>
  <c r="P117" i="2"/>
  <c r="X117" i="2"/>
  <c r="Z124" i="2" s="1"/>
  <c r="AD117" i="2"/>
  <c r="AF117" i="2" s="1"/>
  <c r="R119" i="2"/>
  <c r="N125" i="2"/>
  <c r="L126" i="2"/>
  <c r="R125" i="2"/>
  <c r="R124" i="2"/>
  <c r="J131" i="2"/>
  <c r="AH131" i="2" s="1"/>
  <c r="J130" i="2"/>
  <c r="N130" i="2"/>
  <c r="T130" i="2"/>
  <c r="AF138" i="2"/>
  <c r="AF145" i="2"/>
  <c r="Z154" i="2"/>
  <c r="Z165" i="2"/>
  <c r="N82" i="2"/>
  <c r="J83" i="2"/>
  <c r="X91" i="2"/>
  <c r="Z91" i="2" s="1"/>
  <c r="N95" i="2"/>
  <c r="AH102" i="2"/>
  <c r="P104" i="2"/>
  <c r="T105" i="2"/>
  <c r="AD104" i="2"/>
  <c r="AF104" i="2" s="1"/>
  <c r="J105" i="2"/>
  <c r="AH105" i="2" s="1"/>
  <c r="AH110" i="2"/>
  <c r="N109" i="2"/>
  <c r="P111" i="2"/>
  <c r="AD111" i="2"/>
  <c r="AF111" i="2" s="1"/>
  <c r="L109" i="2"/>
  <c r="D113" i="2"/>
  <c r="L113" i="2" s="1"/>
  <c r="J112" i="2"/>
  <c r="AH112" i="2" s="1"/>
  <c r="N116" i="2"/>
  <c r="D120" i="2"/>
  <c r="L120" i="2" s="1"/>
  <c r="F120" i="2"/>
  <c r="D127" i="2"/>
  <c r="L127" i="2" s="1"/>
  <c r="R126" i="2"/>
  <c r="L124" i="2"/>
  <c r="AF131" i="2"/>
  <c r="N133" i="2"/>
  <c r="T133" i="2"/>
  <c r="L130" i="2"/>
  <c r="D134" i="2"/>
  <c r="L141" i="2" s="1"/>
  <c r="R133" i="2"/>
  <c r="T132" i="2"/>
  <c r="AF110" i="2"/>
  <c r="L110" i="2"/>
  <c r="F113" i="2"/>
  <c r="N117" i="2"/>
  <c r="T117" i="2"/>
  <c r="L117" i="2"/>
  <c r="J117" i="2"/>
  <c r="AH117" i="2" s="1"/>
  <c r="F127" i="2"/>
  <c r="AF132" i="2"/>
  <c r="R130" i="2"/>
  <c r="AF154" i="2"/>
  <c r="L118" i="2"/>
  <c r="N124" i="2"/>
  <c r="R123" i="2"/>
  <c r="AF133" i="2"/>
  <c r="P133" i="2"/>
  <c r="X133" i="2"/>
  <c r="Z133" i="2" s="1"/>
  <c r="R131" i="2"/>
  <c r="J133" i="2"/>
  <c r="AH133" i="2" s="1"/>
  <c r="AD137" i="2"/>
  <c r="AF137" i="2" s="1"/>
  <c r="P137" i="2"/>
  <c r="J138" i="2"/>
  <c r="AH138" i="2" s="1"/>
  <c r="T137" i="2"/>
  <c r="J137" i="2"/>
  <c r="X137" i="2"/>
  <c r="Z137" i="2" s="1"/>
  <c r="N137" i="2"/>
  <c r="R146" i="2"/>
  <c r="AH146" i="2"/>
  <c r="AF146" i="2"/>
  <c r="AF158" i="2"/>
  <c r="N84" i="2"/>
  <c r="P84" i="2"/>
  <c r="X84" i="2"/>
  <c r="Z84" i="2" s="1"/>
  <c r="N90" i="2"/>
  <c r="P90" i="2"/>
  <c r="T90" i="2"/>
  <c r="X90" i="2"/>
  <c r="Z90" i="2" s="1"/>
  <c r="AD90" i="2"/>
  <c r="AF90" i="2" s="1"/>
  <c r="N98" i="2"/>
  <c r="P98" i="2"/>
  <c r="X98" i="2"/>
  <c r="AD98" i="2"/>
  <c r="AF98" i="2" s="1"/>
  <c r="N102" i="2"/>
  <c r="P102" i="2"/>
  <c r="T102" i="2"/>
  <c r="X102" i="2"/>
  <c r="Z102" i="2" s="1"/>
  <c r="AD102" i="2"/>
  <c r="AF102" i="2" s="1"/>
  <c r="N110" i="2"/>
  <c r="P110" i="2"/>
  <c r="T110" i="2"/>
  <c r="X110" i="2"/>
  <c r="Z110" i="2" s="1"/>
  <c r="N118" i="2"/>
  <c r="P118" i="2"/>
  <c r="T118" i="2"/>
  <c r="X118" i="2"/>
  <c r="Z118" i="2" s="1"/>
  <c r="R116" i="2"/>
  <c r="N126" i="2"/>
  <c r="P126" i="2"/>
  <c r="T126" i="2"/>
  <c r="X126" i="2"/>
  <c r="J123" i="2"/>
  <c r="N131" i="2"/>
  <c r="P131" i="2"/>
  <c r="T131" i="2"/>
  <c r="X131" i="2"/>
  <c r="Z131" i="2" s="1"/>
  <c r="F134" i="2"/>
  <c r="P140" i="2"/>
  <c r="AD140" i="2"/>
  <c r="AF140" i="2" s="1"/>
  <c r="F141" i="2"/>
  <c r="L137" i="2"/>
  <c r="N146" i="2"/>
  <c r="P147" i="2"/>
  <c r="AD147" i="2"/>
  <c r="AF147" i="2" s="1"/>
  <c r="AH145" i="2"/>
  <c r="J144" i="2"/>
  <c r="R144" i="2" s="1"/>
  <c r="N154" i="2"/>
  <c r="T154" i="2"/>
  <c r="J151" i="2"/>
  <c r="AF161" i="2"/>
  <c r="P159" i="2"/>
  <c r="X159" i="2"/>
  <c r="AD159" i="2"/>
  <c r="AF159" i="2" s="1"/>
  <c r="L165" i="2"/>
  <c r="L158" i="2"/>
  <c r="D162" i="2"/>
  <c r="L162" i="2" s="1"/>
  <c r="T160" i="2"/>
  <c r="R161" i="2"/>
  <c r="P165" i="2"/>
  <c r="D169" i="2"/>
  <c r="L169" i="2" s="1"/>
  <c r="N119" i="2"/>
  <c r="P119" i="2"/>
  <c r="X119" i="2"/>
  <c r="Z119" i="2" s="1"/>
  <c r="AD119" i="2"/>
  <c r="AF119" i="2" s="1"/>
  <c r="N123" i="2"/>
  <c r="P123" i="2"/>
  <c r="T123" i="2"/>
  <c r="X123" i="2"/>
  <c r="Z123" i="2" s="1"/>
  <c r="AD123" i="2"/>
  <c r="AF123" i="2" s="1"/>
  <c r="N132" i="2"/>
  <c r="P132" i="2"/>
  <c r="X132" i="2"/>
  <c r="Z132" i="2" s="1"/>
  <c r="AH132" i="2"/>
  <c r="J140" i="2"/>
  <c r="AH140" i="2" s="1"/>
  <c r="N140" i="2"/>
  <c r="L139" i="2"/>
  <c r="R138" i="2"/>
  <c r="N147" i="2"/>
  <c r="X146" i="2"/>
  <c r="Z153" i="2" s="1"/>
  <c r="L146" i="2"/>
  <c r="J154" i="2"/>
  <c r="J159" i="2"/>
  <c r="J158" i="2"/>
  <c r="N158" i="2"/>
  <c r="T158" i="2"/>
  <c r="F162" i="2"/>
  <c r="J160" i="2"/>
  <c r="AH160" i="2" s="1"/>
  <c r="R168" i="2"/>
  <c r="AH168" i="2"/>
  <c r="T165" i="2"/>
  <c r="AH139" i="2"/>
  <c r="L140" i="2"/>
  <c r="R140" i="2"/>
  <c r="X147" i="2"/>
  <c r="Z147" i="2" s="1"/>
  <c r="L151" i="2"/>
  <c r="L144" i="2"/>
  <c r="L155" i="2"/>
  <c r="L148" i="2"/>
  <c r="R147" i="2"/>
  <c r="P154" i="2"/>
  <c r="J152" i="2"/>
  <c r="AD151" i="2"/>
  <c r="X151" i="2"/>
  <c r="N151" i="2"/>
  <c r="T151" i="2"/>
  <c r="L152" i="2"/>
  <c r="R160" i="2"/>
  <c r="J166" i="2"/>
  <c r="AH166" i="2" s="1"/>
  <c r="J165" i="2"/>
  <c r="N165" i="2"/>
  <c r="AD165" i="2"/>
  <c r="AF165" i="2" s="1"/>
  <c r="L168" i="2"/>
  <c r="N139" i="2"/>
  <c r="P139" i="2"/>
  <c r="X139" i="2"/>
  <c r="Z139" i="2" s="1"/>
  <c r="AD139" i="2"/>
  <c r="AF139" i="2" s="1"/>
  <c r="N144" i="2"/>
  <c r="P144" i="2"/>
  <c r="X144" i="2"/>
  <c r="Z144" i="2" s="1"/>
  <c r="AD144" i="2"/>
  <c r="N153" i="2"/>
  <c r="P153" i="2"/>
  <c r="X152" i="2"/>
  <c r="Z152" i="2" s="1"/>
  <c r="AD152" i="2"/>
  <c r="AF152" i="2" s="1"/>
  <c r="J153" i="2"/>
  <c r="N161" i="2"/>
  <c r="P161" i="2"/>
  <c r="T161" i="2"/>
  <c r="X161" i="2"/>
  <c r="Z161" i="2" s="1"/>
  <c r="T166" i="2"/>
  <c r="N167" i="2"/>
  <c r="P167" i="2"/>
  <c r="X167" i="2"/>
  <c r="AD167" i="2"/>
  <c r="L167" i="2"/>
  <c r="R166" i="2"/>
  <c r="T172" i="2"/>
  <c r="J175" i="2"/>
  <c r="AH175" i="2" s="1"/>
  <c r="AD174" i="2"/>
  <c r="N174" i="2"/>
  <c r="X174" i="2"/>
  <c r="Z174" i="2" s="1"/>
  <c r="AF182" i="2"/>
  <c r="R182" i="2"/>
  <c r="N168" i="2"/>
  <c r="P168" i="2"/>
  <c r="X168" i="2"/>
  <c r="Z168" i="2" s="1"/>
  <c r="AF175" i="2"/>
  <c r="R189" i="2"/>
  <c r="AH189" i="2"/>
  <c r="AF196" i="2"/>
  <c r="J172" i="2"/>
  <c r="J173" i="2"/>
  <c r="AD172" i="2"/>
  <c r="X172" i="2"/>
  <c r="Z172" i="2" s="1"/>
  <c r="P172" i="2"/>
  <c r="N172" i="2"/>
  <c r="L175" i="2"/>
  <c r="N152" i="2"/>
  <c r="P152" i="2"/>
  <c r="N160" i="2"/>
  <c r="P160" i="2"/>
  <c r="X160" i="2"/>
  <c r="Z160" i="2" s="1"/>
  <c r="AD160" i="2"/>
  <c r="AF160" i="2" s="1"/>
  <c r="N166" i="2"/>
  <c r="P166" i="2"/>
  <c r="X166" i="2"/>
  <c r="Z166" i="2" s="1"/>
  <c r="AD166" i="2"/>
  <c r="AF166" i="2" s="1"/>
  <c r="J174" i="2"/>
  <c r="AH174" i="2" s="1"/>
  <c r="AD173" i="2"/>
  <c r="N173" i="2"/>
  <c r="X173" i="2"/>
  <c r="Z173" i="2" s="1"/>
  <c r="L176" i="2"/>
  <c r="L190" i="2"/>
  <c r="R195" i="2"/>
  <c r="AH195" i="2"/>
  <c r="R194" i="2"/>
  <c r="AH200" i="2"/>
  <c r="L172" i="2"/>
  <c r="N182" i="2"/>
  <c r="P182" i="2"/>
  <c r="X182" i="2"/>
  <c r="J179" i="2"/>
  <c r="N188" i="2"/>
  <c r="P188" i="2"/>
  <c r="X188" i="2"/>
  <c r="AD188" i="2"/>
  <c r="F190" i="2"/>
  <c r="N194" i="2"/>
  <c r="P194" i="2"/>
  <c r="X194" i="2"/>
  <c r="Z194" i="2" s="1"/>
  <c r="AD194" i="2"/>
  <c r="D197" i="2"/>
  <c r="L197" i="2" s="1"/>
  <c r="N200" i="2"/>
  <c r="P200" i="2"/>
  <c r="X200" i="2"/>
  <c r="AD200" i="2"/>
  <c r="J201" i="2"/>
  <c r="L200" i="2"/>
  <c r="L173" i="2"/>
  <c r="R172" i="2"/>
  <c r="N179" i="2"/>
  <c r="P179" i="2"/>
  <c r="X179" i="2"/>
  <c r="Z179" i="2" s="1"/>
  <c r="AD179" i="2"/>
  <c r="AF179" i="2" s="1"/>
  <c r="L179" i="2"/>
  <c r="N189" i="2"/>
  <c r="P189" i="2"/>
  <c r="X189" i="2"/>
  <c r="Z189" i="2" s="1"/>
  <c r="J186" i="2"/>
  <c r="L189" i="2"/>
  <c r="N195" i="2"/>
  <c r="P195" i="2"/>
  <c r="X195" i="2"/>
  <c r="Z195" i="2" s="1"/>
  <c r="AD195" i="2"/>
  <c r="L195" i="2"/>
  <c r="N201" i="2"/>
  <c r="P201" i="2"/>
  <c r="X201" i="2"/>
  <c r="AD201" i="2"/>
  <c r="D204" i="2"/>
  <c r="L204" i="2" s="1"/>
  <c r="J202" i="2"/>
  <c r="AH202" i="2" s="1"/>
  <c r="R200" i="2"/>
  <c r="N180" i="2"/>
  <c r="P180" i="2"/>
  <c r="X180" i="2"/>
  <c r="Z180" i="2" s="1"/>
  <c r="AD180" i="2"/>
  <c r="AF180" i="2" s="1"/>
  <c r="D183" i="2"/>
  <c r="L183" i="2" s="1"/>
  <c r="J181" i="2"/>
  <c r="AH181" i="2" s="1"/>
  <c r="N186" i="2"/>
  <c r="P186" i="2"/>
  <c r="X186" i="2"/>
  <c r="Z186" i="2" s="1"/>
  <c r="AD186" i="2"/>
  <c r="AF186" i="2" s="1"/>
  <c r="J187" i="2"/>
  <c r="AH187" i="2" s="1"/>
  <c r="N196" i="2"/>
  <c r="P196" i="2"/>
  <c r="X196" i="2"/>
  <c r="Z196" i="2" s="1"/>
  <c r="J193" i="2"/>
  <c r="N202" i="2"/>
  <c r="P202" i="2"/>
  <c r="X202" i="2"/>
  <c r="AD202" i="2"/>
  <c r="N175" i="2"/>
  <c r="P175" i="2"/>
  <c r="X175" i="2"/>
  <c r="Z175" i="2" s="1"/>
  <c r="N181" i="2"/>
  <c r="P181" i="2"/>
  <c r="X181" i="2"/>
  <c r="Z181" i="2" s="1"/>
  <c r="AD181" i="2"/>
  <c r="AF181" i="2" s="1"/>
  <c r="N187" i="2"/>
  <c r="P187" i="2"/>
  <c r="X187" i="2"/>
  <c r="AD187" i="2"/>
  <c r="AF187" i="2" s="1"/>
  <c r="N193" i="2"/>
  <c r="P193" i="2"/>
  <c r="X193" i="2"/>
  <c r="Z193" i="2" s="1"/>
  <c r="AD193" i="2"/>
  <c r="AF193" i="2" s="1"/>
  <c r="N6" i="31"/>
  <c r="Z7" i="35"/>
  <c r="DD30" i="35"/>
  <c r="CZ30" i="35"/>
  <c r="B11" i="31"/>
  <c r="B17" i="31" s="1"/>
  <c r="B23" i="31" s="1"/>
  <c r="B29" i="31" s="1"/>
  <c r="B35" i="31" s="1"/>
  <c r="B41" i="31" s="1"/>
  <c r="B47" i="31" s="1"/>
  <c r="B53" i="31" s="1"/>
  <c r="B59" i="31" s="1"/>
  <c r="A47" i="35"/>
  <c r="A35" i="35"/>
  <c r="A41" i="35"/>
  <c r="A29" i="35"/>
  <c r="A49" i="35"/>
  <c r="A37" i="35"/>
  <c r="A43" i="35"/>
  <c r="A31" i="35"/>
  <c r="A16" i="35"/>
  <c r="A18" i="35"/>
  <c r="K19" i="35"/>
  <c r="AE18" i="35"/>
  <c r="AM18" i="35"/>
  <c r="AU18" i="35"/>
  <c r="BC18" i="35"/>
  <c r="BK19" i="35"/>
  <c r="BS19" i="35"/>
  <c r="CA16" i="35"/>
  <c r="CB18" i="35"/>
  <c r="CF19" i="35"/>
  <c r="CJ19" i="35"/>
  <c r="CN17" i="35"/>
  <c r="CN19" i="35"/>
  <c r="CR17" i="35"/>
  <c r="CR19" i="35"/>
  <c r="CZ17" i="35"/>
  <c r="CZ19" i="35"/>
  <c r="H22" i="35"/>
  <c r="P23" i="35"/>
  <c r="T24" i="35"/>
  <c r="X24" i="35"/>
  <c r="AF24" i="35"/>
  <c r="AN24" i="35"/>
  <c r="AV24" i="35"/>
  <c r="BF40" i="35"/>
  <c r="BG22" i="35"/>
  <c r="BN40" i="35"/>
  <c r="BO22" i="35"/>
  <c r="BP24" i="35"/>
  <c r="BV40" i="35"/>
  <c r="BW22" i="35"/>
  <c r="BX24" i="35"/>
  <c r="CD40" i="35"/>
  <c r="CE22" i="35"/>
  <c r="CF24" i="35"/>
  <c r="CL40" i="35"/>
  <c r="CM22" i="35"/>
  <c r="CN24" i="35"/>
  <c r="L31" i="35"/>
  <c r="CN31" i="35"/>
  <c r="H34" i="35"/>
  <c r="L37" i="35"/>
  <c r="B47" i="35"/>
  <c r="B41" i="35"/>
  <c r="B35" i="35"/>
  <c r="B23" i="35"/>
  <c r="B49" i="35"/>
  <c r="B43" i="35"/>
  <c r="B37" i="35"/>
  <c r="B25" i="35"/>
  <c r="H41" i="35"/>
  <c r="H35" i="35"/>
  <c r="H23" i="35"/>
  <c r="H43" i="35"/>
  <c r="H37" i="35"/>
  <c r="H25" i="35"/>
  <c r="P43" i="35"/>
  <c r="P37" i="35"/>
  <c r="P25" i="35"/>
  <c r="P19" i="35"/>
  <c r="T41" i="35"/>
  <c r="T35" i="35"/>
  <c r="T43" i="35"/>
  <c r="T37" i="35"/>
  <c r="T25" i="35"/>
  <c r="T19" i="35"/>
  <c r="X41" i="35"/>
  <c r="X35" i="35"/>
  <c r="X43" i="35"/>
  <c r="X37" i="35"/>
  <c r="X25" i="35"/>
  <c r="X19" i="35"/>
  <c r="AB41" i="35"/>
  <c r="AB35" i="35"/>
  <c r="AB43" i="35"/>
  <c r="AB37" i="35"/>
  <c r="AB25" i="35"/>
  <c r="AB19" i="35"/>
  <c r="AF41" i="35"/>
  <c r="AF35" i="35"/>
  <c r="AF43" i="35"/>
  <c r="AF37" i="35"/>
  <c r="AF25" i="35"/>
  <c r="AF19" i="35"/>
  <c r="AJ41" i="35"/>
  <c r="AJ35" i="35"/>
  <c r="AJ43" i="35"/>
  <c r="AJ37" i="35"/>
  <c r="AJ25" i="35"/>
  <c r="AJ19" i="35"/>
  <c r="AN41" i="35"/>
  <c r="AN35" i="35"/>
  <c r="AN43" i="35"/>
  <c r="AN37" i="35"/>
  <c r="AN25" i="35"/>
  <c r="AN19" i="35"/>
  <c r="AR41" i="35"/>
  <c r="AR35" i="35"/>
  <c r="AR43" i="35"/>
  <c r="AR37" i="35"/>
  <c r="AR25" i="35"/>
  <c r="AR19" i="35"/>
  <c r="AV41" i="35"/>
  <c r="AV35" i="35"/>
  <c r="AV43" i="35"/>
  <c r="AV37" i="35"/>
  <c r="AV25" i="35"/>
  <c r="AV19" i="35"/>
  <c r="AZ41" i="35"/>
  <c r="AZ35" i="35"/>
  <c r="AZ43" i="35"/>
  <c r="AZ37" i="35"/>
  <c r="AZ25" i="35"/>
  <c r="AZ19" i="35"/>
  <c r="BD41" i="35"/>
  <c r="BD35" i="35"/>
  <c r="BD23" i="35"/>
  <c r="BD43" i="35"/>
  <c r="BD37" i="35"/>
  <c r="BD25" i="35"/>
  <c r="BD19" i="35"/>
  <c r="BH41" i="35"/>
  <c r="BH23" i="35"/>
  <c r="BH35" i="35"/>
  <c r="BH43" i="35"/>
  <c r="BH37" i="35"/>
  <c r="BH25" i="35"/>
  <c r="BL41" i="35"/>
  <c r="BL23" i="35"/>
  <c r="BL35" i="35"/>
  <c r="BL43" i="35"/>
  <c r="BL37" i="35"/>
  <c r="BL25" i="35"/>
  <c r="BP41" i="35"/>
  <c r="BP35" i="35"/>
  <c r="BP23" i="35"/>
  <c r="BP43" i="35"/>
  <c r="BP37" i="35"/>
  <c r="BP25" i="35"/>
  <c r="BT41" i="35"/>
  <c r="BT23" i="35"/>
  <c r="BT35" i="35"/>
  <c r="BT43" i="35"/>
  <c r="BT37" i="35"/>
  <c r="BT25" i="35"/>
  <c r="BX41" i="35"/>
  <c r="BX35" i="35"/>
  <c r="BX23" i="35"/>
  <c r="BX43" i="35"/>
  <c r="BX37" i="35"/>
  <c r="BX25" i="35"/>
  <c r="CB41" i="35"/>
  <c r="CB23" i="35"/>
  <c r="CB35" i="35"/>
  <c r="CB43" i="35"/>
  <c r="CB37" i="35"/>
  <c r="CB25" i="35"/>
  <c r="CF41" i="35"/>
  <c r="CF35" i="35"/>
  <c r="CF23" i="35"/>
  <c r="CF43" i="35"/>
  <c r="CF37" i="35"/>
  <c r="CF25" i="35"/>
  <c r="CJ41" i="35"/>
  <c r="CJ23" i="35"/>
  <c r="CJ35" i="35"/>
  <c r="DH35" i="35"/>
  <c r="DH23" i="35"/>
  <c r="B16" i="35"/>
  <c r="B18" i="35"/>
  <c r="L17" i="35"/>
  <c r="L19" i="35"/>
  <c r="P17" i="35"/>
  <c r="T17" i="35"/>
  <c r="AA16" i="35"/>
  <c r="AB17" i="35"/>
  <c r="AA19" i="35"/>
  <c r="AI16" i="35"/>
  <c r="AJ17" i="35"/>
  <c r="AI19" i="35"/>
  <c r="AQ16" i="35"/>
  <c r="AR17" i="35"/>
  <c r="AQ19" i="35"/>
  <c r="AY16" i="35"/>
  <c r="AZ17" i="35"/>
  <c r="AY19" i="35"/>
  <c r="BD18" i="35"/>
  <c r="BG16" i="35"/>
  <c r="BL19" i="35"/>
  <c r="BO17" i="35"/>
  <c r="BS16" i="35"/>
  <c r="BT19" i="35"/>
  <c r="BW17" i="35"/>
  <c r="CB19" i="35"/>
  <c r="BH19" i="35"/>
  <c r="B24" i="35"/>
  <c r="L25" i="35"/>
  <c r="R43" i="35"/>
  <c r="S25" i="35"/>
  <c r="V43" i="35"/>
  <c r="W25" i="35"/>
  <c r="Z43" i="35"/>
  <c r="AA25" i="35"/>
  <c r="AD43" i="35"/>
  <c r="AE25" i="35"/>
  <c r="AH43" i="35"/>
  <c r="AI25" i="35"/>
  <c r="AL43" i="35"/>
  <c r="AM25" i="35"/>
  <c r="AP43" i="35"/>
  <c r="AQ25" i="35"/>
  <c r="AT43" i="35"/>
  <c r="AX49" i="35" s="1"/>
  <c r="AU25" i="35"/>
  <c r="L29" i="35"/>
  <c r="T29" i="35"/>
  <c r="AB29" i="35"/>
  <c r="AJ29" i="35"/>
  <c r="AR29" i="35"/>
  <c r="AZ29" i="35"/>
  <c r="BH29" i="35"/>
  <c r="BP29" i="35"/>
  <c r="BX29" i="35"/>
  <c r="CF29" i="35"/>
  <c r="CN29" i="35"/>
  <c r="B34" i="35"/>
  <c r="L35" i="35"/>
  <c r="A46" i="35"/>
  <c r="A40" i="35"/>
  <c r="A28" i="35"/>
  <c r="A34" i="35"/>
  <c r="A48" i="35"/>
  <c r="A42" i="35"/>
  <c r="A30" i="35"/>
  <c r="A36" i="35"/>
  <c r="T16" i="35"/>
  <c r="BP17" i="35"/>
  <c r="BX17" i="35"/>
  <c r="CA19" i="35"/>
  <c r="BW19" i="35"/>
  <c r="CB17" i="35"/>
  <c r="CF18" i="35"/>
  <c r="CJ18" i="35"/>
  <c r="CN16" i="35"/>
  <c r="CR16" i="35"/>
  <c r="CR18" i="35"/>
  <c r="CV16" i="35"/>
  <c r="CZ16" i="35"/>
  <c r="CZ18" i="35"/>
  <c r="DD16" i="35"/>
  <c r="H19" i="35"/>
  <c r="A25" i="35"/>
  <c r="L23" i="35"/>
  <c r="R46" i="35"/>
  <c r="S40" i="35"/>
  <c r="T23" i="35"/>
  <c r="V46" i="35"/>
  <c r="W40" i="35"/>
  <c r="X23" i="35"/>
  <c r="Z46" i="35"/>
  <c r="AA40" i="35"/>
  <c r="AB23" i="35"/>
  <c r="AD46" i="35"/>
  <c r="AE40" i="35"/>
  <c r="AF23" i="35"/>
  <c r="AH46" i="35"/>
  <c r="AI40" i="35"/>
  <c r="AJ23" i="35"/>
  <c r="AL46" i="35"/>
  <c r="AM40" i="35"/>
  <c r="AN23" i="35"/>
  <c r="AP46" i="35"/>
  <c r="AQ40" i="35"/>
  <c r="AR23" i="35"/>
  <c r="AT46" i="35"/>
  <c r="AU40" i="35"/>
  <c r="AV23" i="35"/>
  <c r="AX46" i="35"/>
  <c r="AY40" i="35"/>
  <c r="AZ23" i="35"/>
  <c r="BB40" i="35"/>
  <c r="BC22" i="35"/>
  <c r="BJ40" i="35"/>
  <c r="BK22" i="35"/>
  <c r="BR40" i="35"/>
  <c r="BS22" i="35"/>
  <c r="BZ40" i="35"/>
  <c r="CA22" i="35"/>
  <c r="CH40" i="35"/>
  <c r="CI22" i="35"/>
  <c r="CJ24" i="35"/>
  <c r="CP40" i="35"/>
  <c r="CQ22" i="35"/>
  <c r="F43" i="35"/>
  <c r="G25" i="35"/>
  <c r="H31" i="35"/>
  <c r="P31" i="35"/>
  <c r="X31" i="35"/>
  <c r="AF31" i="35"/>
  <c r="AN31" i="35"/>
  <c r="AV31" i="35"/>
  <c r="BD31" i="35"/>
  <c r="BL31" i="35"/>
  <c r="BT31" i="35"/>
  <c r="CB31" i="35"/>
  <c r="B40" i="35"/>
  <c r="B46" i="35"/>
  <c r="B28" i="35"/>
  <c r="B48" i="35"/>
  <c r="B42" i="35"/>
  <c r="B30" i="35"/>
  <c r="H40" i="35"/>
  <c r="H28" i="35"/>
  <c r="H42" i="35"/>
  <c r="H30" i="35"/>
  <c r="L34" i="35"/>
  <c r="L28" i="35"/>
  <c r="L40" i="35"/>
  <c r="L22" i="35"/>
  <c r="L42" i="35"/>
  <c r="L36" i="35"/>
  <c r="L30" i="35"/>
  <c r="L24" i="35"/>
  <c r="P34" i="35"/>
  <c r="P28" i="35"/>
  <c r="P40" i="35"/>
  <c r="P22" i="35"/>
  <c r="P42" i="35"/>
  <c r="P36" i="35"/>
  <c r="P30" i="35"/>
  <c r="P24" i="35"/>
  <c r="T28" i="35"/>
  <c r="T22" i="35"/>
  <c r="T40" i="35"/>
  <c r="T42" i="35"/>
  <c r="T30" i="35"/>
  <c r="X28" i="35"/>
  <c r="X22" i="35"/>
  <c r="X40" i="35"/>
  <c r="X34" i="35"/>
  <c r="X42" i="35"/>
  <c r="X30" i="35"/>
  <c r="X36" i="35"/>
  <c r="AB28" i="35"/>
  <c r="AB22" i="35"/>
  <c r="AB40" i="35"/>
  <c r="AB34" i="35"/>
  <c r="AB42" i="35"/>
  <c r="AB36" i="35"/>
  <c r="AB30" i="35"/>
  <c r="AF40" i="35"/>
  <c r="AF28" i="35"/>
  <c r="AF22" i="35"/>
  <c r="AF34" i="35"/>
  <c r="AF42" i="35"/>
  <c r="AF36" i="35"/>
  <c r="AF30" i="35"/>
  <c r="AJ28" i="35"/>
  <c r="AJ22" i="35"/>
  <c r="AJ40" i="35"/>
  <c r="AJ34" i="35"/>
  <c r="AJ42" i="35"/>
  <c r="AJ36" i="35"/>
  <c r="AJ30" i="35"/>
  <c r="AN40" i="35"/>
  <c r="AN28" i="35"/>
  <c r="AN22" i="35"/>
  <c r="AN34" i="35"/>
  <c r="AN42" i="35"/>
  <c r="AN36" i="35"/>
  <c r="AN30" i="35"/>
  <c r="AR40" i="35"/>
  <c r="AR28" i="35"/>
  <c r="AR22" i="35"/>
  <c r="AR34" i="35"/>
  <c r="AR42" i="35"/>
  <c r="AR36" i="35"/>
  <c r="AR30" i="35"/>
  <c r="AV40" i="35"/>
  <c r="AV28" i="35"/>
  <c r="AV22" i="35"/>
  <c r="AV34" i="35"/>
  <c r="AV42" i="35"/>
  <c r="AV36" i="35"/>
  <c r="AV30" i="35"/>
  <c r="AZ40" i="35"/>
  <c r="AZ28" i="35"/>
  <c r="AZ22" i="35"/>
  <c r="AZ34" i="35"/>
  <c r="AZ42" i="35"/>
  <c r="AZ36" i="35"/>
  <c r="AZ30" i="35"/>
  <c r="BD40" i="35"/>
  <c r="BD28" i="35"/>
  <c r="BD22" i="35"/>
  <c r="BD34" i="35"/>
  <c r="BD42" i="35"/>
  <c r="BD36" i="35"/>
  <c r="BD30" i="35"/>
  <c r="BH40" i="35"/>
  <c r="BH28" i="35"/>
  <c r="BH22" i="35"/>
  <c r="BH34" i="35"/>
  <c r="BH42" i="35"/>
  <c r="BH36" i="35"/>
  <c r="BH30" i="35"/>
  <c r="BH18" i="35"/>
  <c r="BL40" i="35"/>
  <c r="BL34" i="35"/>
  <c r="BL28" i="35"/>
  <c r="BL22" i="35"/>
  <c r="BL16" i="35"/>
  <c r="BL42" i="35"/>
  <c r="BL30" i="35"/>
  <c r="BL36" i="35"/>
  <c r="BP40" i="35"/>
  <c r="BP34" i="35"/>
  <c r="BP28" i="35"/>
  <c r="BP22" i="35"/>
  <c r="BP16" i="35"/>
  <c r="BP42" i="35"/>
  <c r="BP30" i="35"/>
  <c r="BP36" i="35"/>
  <c r="BT40" i="35"/>
  <c r="BT34" i="35"/>
  <c r="BT28" i="35"/>
  <c r="BT22" i="35"/>
  <c r="BT16" i="35"/>
  <c r="BT42" i="35"/>
  <c r="BT30" i="35"/>
  <c r="BT36" i="35"/>
  <c r="BX40" i="35"/>
  <c r="BX34" i="35"/>
  <c r="BX28" i="35"/>
  <c r="BX22" i="35"/>
  <c r="BX16" i="35"/>
  <c r="BX42" i="35"/>
  <c r="BX30" i="35"/>
  <c r="BX36" i="35"/>
  <c r="CB40" i="35"/>
  <c r="CB34" i="35"/>
  <c r="CB28" i="35"/>
  <c r="CB22" i="35"/>
  <c r="CB42" i="35"/>
  <c r="CB30" i="35"/>
  <c r="CB36" i="35"/>
  <c r="CF40" i="35"/>
  <c r="CF34" i="35"/>
  <c r="CF28" i="35"/>
  <c r="CF22" i="35"/>
  <c r="CJ42" i="35"/>
  <c r="CF42" i="35"/>
  <c r="CJ43" i="35"/>
  <c r="CJ30" i="35"/>
  <c r="CF30" i="35"/>
  <c r="CJ37" i="35"/>
  <c r="CF36" i="35"/>
  <c r="CJ36" i="35"/>
  <c r="CJ25" i="35"/>
  <c r="CJ40" i="35"/>
  <c r="CJ34" i="35"/>
  <c r="CJ28" i="35"/>
  <c r="CJ22" i="35"/>
  <c r="CN42" i="35"/>
  <c r="CN41" i="35"/>
  <c r="CN35" i="35"/>
  <c r="CN40" i="35"/>
  <c r="CN43" i="35"/>
  <c r="CN34" i="35"/>
  <c r="CN37" i="35"/>
  <c r="CN30" i="35"/>
  <c r="CN28" i="35"/>
  <c r="CN22" i="35"/>
  <c r="CN23" i="35"/>
  <c r="CN36" i="35"/>
  <c r="CN25" i="35"/>
  <c r="CR42" i="35"/>
  <c r="CR30" i="35"/>
  <c r="CR36" i="35"/>
  <c r="DH28" i="35"/>
  <c r="DH34" i="35"/>
  <c r="DH22" i="35"/>
  <c r="DH30" i="35"/>
  <c r="DH36" i="35"/>
  <c r="DH24" i="35"/>
  <c r="B17" i="35"/>
  <c r="B19" i="35"/>
  <c r="H17" i="35"/>
  <c r="L16" i="35"/>
  <c r="L18" i="35"/>
  <c r="P16" i="35"/>
  <c r="P18" i="35"/>
  <c r="T18" i="35"/>
  <c r="X17" i="35"/>
  <c r="AB18" i="35"/>
  <c r="AF17" i="35"/>
  <c r="AJ18" i="35"/>
  <c r="AN17" i="35"/>
  <c r="AR18" i="35"/>
  <c r="AV17" i="35"/>
  <c r="AZ18" i="35"/>
  <c r="BD17" i="35"/>
  <c r="BH17" i="35"/>
  <c r="BL18" i="35"/>
  <c r="BP19" i="35"/>
  <c r="BT18" i="35"/>
  <c r="BX19" i="35"/>
  <c r="CF16" i="35"/>
  <c r="CE17" i="35"/>
  <c r="CA17" i="35"/>
  <c r="A23" i="35"/>
  <c r="H24" i="35"/>
  <c r="S22" i="35"/>
  <c r="S42" i="35"/>
  <c r="R48" i="35"/>
  <c r="W22" i="35"/>
  <c r="W42" i="35"/>
  <c r="V48" i="35"/>
  <c r="AA22" i="35"/>
  <c r="Z48" i="35"/>
  <c r="AA42" i="35"/>
  <c r="AE22" i="35"/>
  <c r="AE42" i="35"/>
  <c r="AD48" i="35"/>
  <c r="AI22" i="35"/>
  <c r="AM22" i="35"/>
  <c r="AQ22" i="35"/>
  <c r="AU22" i="35"/>
  <c r="AY22" i="35"/>
  <c r="B29" i="35"/>
  <c r="H29" i="35"/>
  <c r="P29" i="35"/>
  <c r="X29" i="35"/>
  <c r="AF29" i="35"/>
  <c r="AN29" i="35"/>
  <c r="AV29" i="35"/>
  <c r="BD29" i="35"/>
  <c r="BL29" i="35"/>
  <c r="BT29" i="35"/>
  <c r="CB29" i="35"/>
  <c r="CJ29" i="35"/>
  <c r="DH29" i="35"/>
  <c r="H36" i="35"/>
  <c r="P35" i="35"/>
  <c r="R41" i="35"/>
  <c r="S24" i="35"/>
  <c r="V41" i="35"/>
  <c r="W24" i="35"/>
  <c r="Z41" i="35"/>
  <c r="AA24" i="35"/>
  <c r="AE24" i="35"/>
  <c r="AH41" i="35"/>
  <c r="AI24" i="35"/>
  <c r="AL47" i="35"/>
  <c r="AM41" i="35"/>
  <c r="AP41" i="35"/>
  <c r="AQ24" i="35"/>
  <c r="AT47" i="35"/>
  <c r="AU41" i="35"/>
  <c r="AX41" i="35"/>
  <c r="AY24" i="35"/>
  <c r="BB47" i="35"/>
  <c r="BC41" i="35"/>
  <c r="BC24" i="35"/>
  <c r="BF47" i="35"/>
  <c r="BG41" i="35"/>
  <c r="BG24" i="35"/>
  <c r="BJ47" i="35"/>
  <c r="BK41" i="35"/>
  <c r="BK24" i="35"/>
  <c r="BN41" i="35"/>
  <c r="BS41" i="35" s="1"/>
  <c r="BO24" i="35"/>
  <c r="BS24" i="35"/>
  <c r="BV41" i="35"/>
  <c r="BW24" i="35"/>
  <c r="BZ47" i="35"/>
  <c r="CA41" i="35"/>
  <c r="CA24" i="35"/>
  <c r="CD41" i="35"/>
  <c r="CI41" i="35" s="1"/>
  <c r="CE24" i="35"/>
  <c r="CH47" i="35"/>
  <c r="CI24" i="35"/>
  <c r="CL41" i="35"/>
  <c r="CM24" i="35"/>
  <c r="CP41" i="35"/>
  <c r="CQ24" i="35"/>
  <c r="CT47" i="35"/>
  <c r="CU41" i="35"/>
  <c r="N43" i="35"/>
  <c r="CU25" i="35"/>
  <c r="CQ34" i="35"/>
  <c r="CU34" i="35"/>
  <c r="CU36" i="35"/>
  <c r="DB43" i="35"/>
  <c r="DC37" i="35"/>
  <c r="O42" i="35"/>
  <c r="N48" i="35"/>
  <c r="AA35" i="35"/>
  <c r="CX42" i="35"/>
  <c r="CY36" i="35"/>
  <c r="J48" i="35"/>
  <c r="K42" i="35"/>
  <c r="AY43" i="35"/>
  <c r="BB49" i="35"/>
  <c r="BC43" i="35"/>
  <c r="BF49" i="35"/>
  <c r="BG43" i="35"/>
  <c r="BJ49" i="35"/>
  <c r="BK43" i="35"/>
  <c r="BN49" i="35"/>
  <c r="BO43" i="35"/>
  <c r="BR49" i="35"/>
  <c r="BS43" i="35"/>
  <c r="BV49" i="35"/>
  <c r="BW43" i="35"/>
  <c r="BZ49" i="35"/>
  <c r="CA43" i="35"/>
  <c r="CD49" i="35"/>
  <c r="CE43" i="35"/>
  <c r="CH49" i="35"/>
  <c r="CI43" i="35"/>
  <c r="CL49" i="35"/>
  <c r="CM43" i="35"/>
  <c r="CP49" i="35"/>
  <c r="CQ43" i="35"/>
  <c r="J47" i="35"/>
  <c r="K41" i="35"/>
  <c r="CM37" i="35"/>
  <c r="CU35" i="35"/>
  <c r="CX49" i="35"/>
  <c r="CY43" i="35"/>
  <c r="BC36" i="35"/>
  <c r="AI42" i="35"/>
  <c r="AH48" i="35"/>
  <c r="AL42" i="35"/>
  <c r="AP48" i="35" s="1"/>
  <c r="AT42" i="35"/>
  <c r="AX48" i="35" s="1"/>
  <c r="AY42" i="35"/>
  <c r="AY25" i="35"/>
  <c r="BB48" i="35"/>
  <c r="BC42" i="35"/>
  <c r="BC25" i="35"/>
  <c r="BF48" i="35"/>
  <c r="BG42" i="35"/>
  <c r="BG25" i="35"/>
  <c r="BK42" i="35"/>
  <c r="BJ48" i="35"/>
  <c r="BK25" i="35"/>
  <c r="BO42" i="35"/>
  <c r="BN48" i="35"/>
  <c r="BO25" i="35"/>
  <c r="BR48" i="35"/>
  <c r="BS42" i="35"/>
  <c r="BS25" i="35"/>
  <c r="BV48" i="35"/>
  <c r="BW42" i="35"/>
  <c r="BW25" i="35"/>
  <c r="CA42" i="35"/>
  <c r="BZ48" i="35"/>
  <c r="CA25" i="35"/>
  <c r="CE42" i="35"/>
  <c r="CD48" i="35"/>
  <c r="CE25" i="35"/>
  <c r="CH48" i="35"/>
  <c r="CI42" i="35"/>
  <c r="CI25" i="35"/>
  <c r="CL48" i="35"/>
  <c r="CM42" i="35"/>
  <c r="CM25" i="35"/>
  <c r="CQ42" i="35"/>
  <c r="CP48" i="35"/>
  <c r="CQ25" i="35"/>
  <c r="CT46" i="35"/>
  <c r="CU40" i="35"/>
  <c r="CY40" i="35"/>
  <c r="CT49" i="35"/>
  <c r="CU43" i="35"/>
  <c r="AE35" i="35"/>
  <c r="AM35" i="35"/>
  <c r="AU35" i="35"/>
  <c r="BC35" i="35"/>
  <c r="BO37" i="35"/>
  <c r="BW37" i="35"/>
  <c r="CE37" i="35"/>
  <c r="CU42" i="35"/>
  <c r="CT48" i="35"/>
  <c r="DC42" i="35"/>
  <c r="DB48" i="35"/>
  <c r="DF48" i="35"/>
  <c r="DG42" i="35"/>
  <c r="BC37" i="35"/>
  <c r="BG37" i="35"/>
  <c r="S37" i="35"/>
  <c r="O41" i="35"/>
  <c r="CY35" i="35"/>
  <c r="DB47" i="35"/>
  <c r="DC41" i="35"/>
  <c r="DC36" i="35"/>
  <c r="J46" i="35"/>
  <c r="N46" i="35"/>
  <c r="DF47" i="35"/>
  <c r="J49" i="35"/>
  <c r="F46" i="35"/>
  <c r="CX47" i="35"/>
  <c r="CY41" i="35"/>
  <c r="N47" i="35"/>
  <c r="CX46" i="35"/>
  <c r="AB44" i="31"/>
  <c r="AB50" i="31" s="1"/>
  <c r="AB32" i="31"/>
  <c r="AB56" i="31" s="1"/>
  <c r="AJ47" i="31"/>
  <c r="AJ53" i="31"/>
  <c r="AJ35" i="31"/>
  <c r="AJ59" i="31" s="1"/>
  <c r="AB45" i="31"/>
  <c r="AB51" i="31" s="1"/>
  <c r="AB33" i="31"/>
  <c r="AD47" i="31"/>
  <c r="AD53" i="31"/>
  <c r="AD35" i="31"/>
  <c r="AJ45" i="31"/>
  <c r="AJ33" i="31"/>
  <c r="AJ57" i="31" s="1"/>
  <c r="AJ51" i="31"/>
  <c r="AD34" i="31"/>
  <c r="AD46" i="31"/>
  <c r="AD52" i="31" s="1"/>
  <c r="AR47" i="31"/>
  <c r="AR53" i="31" s="1"/>
  <c r="AR35" i="31"/>
  <c r="AZ45" i="31"/>
  <c r="AZ51" i="31" s="1"/>
  <c r="AZ33" i="31"/>
  <c r="AZ57" i="31" s="1"/>
  <c r="AZ46" i="31"/>
  <c r="AZ52" i="31" s="1"/>
  <c r="AZ34" i="31"/>
  <c r="AZ58" i="31" s="1"/>
  <c r="F32" i="31"/>
  <c r="F44" i="31"/>
  <c r="F50" i="31" s="1"/>
  <c r="H44" i="31"/>
  <c r="H50" i="31" s="1"/>
  <c r="H32" i="31"/>
  <c r="J44" i="31"/>
  <c r="J50" i="31" s="1"/>
  <c r="J32" i="31"/>
  <c r="J56" i="31" s="1"/>
  <c r="L44" i="31"/>
  <c r="L50" i="31" s="1"/>
  <c r="L32" i="31"/>
  <c r="L56" i="31" s="1"/>
  <c r="N32" i="31"/>
  <c r="N44" i="31"/>
  <c r="N50" i="31" s="1"/>
  <c r="P44" i="31"/>
  <c r="P50" i="31" s="1"/>
  <c r="P32" i="31"/>
  <c r="R44" i="31"/>
  <c r="R50" i="31" s="1"/>
  <c r="R32" i="31"/>
  <c r="R56" i="31" s="1"/>
  <c r="T44" i="31"/>
  <c r="T50" i="31" s="1"/>
  <c r="T32" i="31"/>
  <c r="T56" i="31" s="1"/>
  <c r="V32" i="31"/>
  <c r="V44" i="31"/>
  <c r="V50" i="31" s="1"/>
  <c r="X44" i="31"/>
  <c r="X50" i="31" s="1"/>
  <c r="X32" i="31"/>
  <c r="Z44" i="31"/>
  <c r="Z50" i="31" s="1"/>
  <c r="Z32" i="31"/>
  <c r="Z56" i="31" s="1"/>
  <c r="AD45" i="31"/>
  <c r="AD51" i="31"/>
  <c r="AD33" i="31"/>
  <c r="AD57" i="31" s="1"/>
  <c r="AP44" i="31"/>
  <c r="AP50" i="31" s="1"/>
  <c r="AP32" i="31"/>
  <c r="AP56" i="31" s="1"/>
  <c r="AL32" i="31"/>
  <c r="AL44" i="31"/>
  <c r="AL50" i="31" s="1"/>
  <c r="AN44" i="31"/>
  <c r="AN50" i="31"/>
  <c r="AN32" i="31"/>
  <c r="AN56" i="31" s="1"/>
  <c r="AP52" i="31"/>
  <c r="AP46" i="31"/>
  <c r="AP34" i="31"/>
  <c r="AP58" i="31" s="1"/>
  <c r="AT52" i="31"/>
  <c r="AT34" i="31"/>
  <c r="AT58" i="31" s="1"/>
  <c r="AT46" i="31"/>
  <c r="AZ44" i="31"/>
  <c r="AZ50" i="31"/>
  <c r="AZ32" i="31"/>
  <c r="AZ56" i="31" s="1"/>
  <c r="BA45" i="31"/>
  <c r="BA33" i="31"/>
  <c r="BA57" i="31" s="1"/>
  <c r="BA51" i="31"/>
  <c r="BA46" i="31"/>
  <c r="BA52" i="31" s="1"/>
  <c r="BA34" i="31"/>
  <c r="F45" i="31"/>
  <c r="F51" i="31"/>
  <c r="F33" i="31"/>
  <c r="H45" i="31"/>
  <c r="H51" i="31"/>
  <c r="H33" i="31"/>
  <c r="H57" i="31" s="1"/>
  <c r="J45" i="31"/>
  <c r="J33" i="31"/>
  <c r="J57" i="31" s="1"/>
  <c r="J51" i="31"/>
  <c r="L45" i="31"/>
  <c r="L51" i="31" s="1"/>
  <c r="L33" i="31"/>
  <c r="N45" i="31"/>
  <c r="N51" i="31"/>
  <c r="N33" i="31"/>
  <c r="P45" i="31"/>
  <c r="P51" i="31"/>
  <c r="P33" i="31"/>
  <c r="P57" i="31" s="1"/>
  <c r="R45" i="31"/>
  <c r="R33" i="31"/>
  <c r="R57" i="31" s="1"/>
  <c r="R51" i="31"/>
  <c r="T45" i="31"/>
  <c r="T51" i="31" s="1"/>
  <c r="T33" i="31"/>
  <c r="V45" i="31"/>
  <c r="V51" i="31"/>
  <c r="V33" i="31"/>
  <c r="X45" i="31"/>
  <c r="X51" i="31"/>
  <c r="X33" i="31"/>
  <c r="X57" i="31" s="1"/>
  <c r="Z45" i="31"/>
  <c r="Z33" i="31"/>
  <c r="Z57" i="31" s="1"/>
  <c r="Z51" i="31"/>
  <c r="AF53" i="31"/>
  <c r="AF47" i="31"/>
  <c r="AF35" i="31"/>
  <c r="AF59" i="31" s="1"/>
  <c r="AH47" i="31"/>
  <c r="AH53" i="31" s="1"/>
  <c r="AH35" i="31"/>
  <c r="AL47" i="31"/>
  <c r="AL53" i="31"/>
  <c r="AL35" i="31"/>
  <c r="AL59" i="31" s="1"/>
  <c r="AR44" i="31"/>
  <c r="AR50" i="31" s="1"/>
  <c r="AR32" i="31"/>
  <c r="AB34" i="31"/>
  <c r="AB46" i="31"/>
  <c r="AB52" i="31" s="1"/>
  <c r="AL45" i="31"/>
  <c r="AL51" i="31"/>
  <c r="AL33" i="31"/>
  <c r="AL57" i="31" s="1"/>
  <c r="AN45" i="31"/>
  <c r="AN51" i="31" s="1"/>
  <c r="AN33" i="31"/>
  <c r="AP47" i="31"/>
  <c r="AP53" i="31" s="1"/>
  <c r="AP35" i="31"/>
  <c r="AT47" i="31"/>
  <c r="AT53" i="31" s="1"/>
  <c r="AT35" i="31"/>
  <c r="AT59" i="31" s="1"/>
  <c r="AV44" i="31"/>
  <c r="AV50" i="31" s="1"/>
  <c r="AV32" i="31"/>
  <c r="AV56" i="31" s="1"/>
  <c r="BA44" i="31"/>
  <c r="BA50" i="31" s="1"/>
  <c r="BA32" i="31"/>
  <c r="AB47" i="31"/>
  <c r="AB53" i="31"/>
  <c r="AB35" i="31"/>
  <c r="AF44" i="31"/>
  <c r="AF50" i="31"/>
  <c r="AF32" i="31"/>
  <c r="AF56" i="31" s="1"/>
  <c r="AH44" i="31"/>
  <c r="AH32" i="31"/>
  <c r="AH56" i="31" s="1"/>
  <c r="AH50" i="31"/>
  <c r="AJ50" i="31"/>
  <c r="AJ44" i="31"/>
  <c r="AJ32" i="31"/>
  <c r="AJ56" i="31" s="1"/>
  <c r="AN47" i="31"/>
  <c r="AN53" i="31" s="1"/>
  <c r="AN35" i="31"/>
  <c r="BB50" i="31"/>
  <c r="BB32" i="31"/>
  <c r="BB44" i="31"/>
  <c r="AJ52" i="31"/>
  <c r="AJ34" i="31"/>
  <c r="AJ58" i="31" s="1"/>
  <c r="AJ46" i="31"/>
  <c r="AL34" i="31"/>
  <c r="AL46" i="31"/>
  <c r="AL52" i="31" s="1"/>
  <c r="AN34" i="31"/>
  <c r="AN46" i="31"/>
  <c r="AN52" i="31" s="1"/>
  <c r="AR52" i="31"/>
  <c r="AR34" i="31"/>
  <c r="AR46" i="31"/>
  <c r="BC44" i="31"/>
  <c r="BC50" i="31" s="1"/>
  <c r="BC32" i="31"/>
  <c r="BC45" i="31"/>
  <c r="BC51" i="31" s="1"/>
  <c r="BC33" i="31"/>
  <c r="BC57" i="31" s="1"/>
  <c r="BC46" i="31"/>
  <c r="BC52" i="31"/>
  <c r="BC34" i="31"/>
  <c r="BC58" i="31" s="1"/>
  <c r="F47" i="31"/>
  <c r="F53" i="31" s="1"/>
  <c r="F35" i="31"/>
  <c r="H47" i="31"/>
  <c r="H53" i="31" s="1"/>
  <c r="H35" i="31"/>
  <c r="J47" i="31"/>
  <c r="J53" i="31" s="1"/>
  <c r="J35" i="31"/>
  <c r="J59" i="31" s="1"/>
  <c r="L47" i="31"/>
  <c r="L53" i="31"/>
  <c r="L35" i="31"/>
  <c r="L59" i="31" s="1"/>
  <c r="N47" i="31"/>
  <c r="N53" i="31" s="1"/>
  <c r="N35" i="31"/>
  <c r="P47" i="31"/>
  <c r="P53" i="31" s="1"/>
  <c r="P35" i="31"/>
  <c r="R47" i="31"/>
  <c r="R53" i="31" s="1"/>
  <c r="R35" i="31"/>
  <c r="R59" i="31" s="1"/>
  <c r="T47" i="31"/>
  <c r="T53" i="31"/>
  <c r="T35" i="31"/>
  <c r="T59" i="31" s="1"/>
  <c r="V47" i="31"/>
  <c r="V53" i="31" s="1"/>
  <c r="V35" i="31"/>
  <c r="X47" i="31"/>
  <c r="X53" i="31" s="1"/>
  <c r="X35" i="31"/>
  <c r="Z47" i="31"/>
  <c r="Z53" i="31" s="1"/>
  <c r="Z35" i="31"/>
  <c r="Z59" i="31" s="1"/>
  <c r="AD32" i="31"/>
  <c r="AD44" i="31"/>
  <c r="AD50" i="31" s="1"/>
  <c r="AF45" i="31"/>
  <c r="AF51" i="31" s="1"/>
  <c r="AF33" i="31"/>
  <c r="AH45" i="31"/>
  <c r="AH51" i="31" s="1"/>
  <c r="AH33" i="31"/>
  <c r="AH57" i="31" s="1"/>
  <c r="BA59" i="31"/>
  <c r="BB52" i="31"/>
  <c r="F52" i="31"/>
  <c r="H52" i="31"/>
  <c r="L52" i="31"/>
  <c r="N52" i="31"/>
  <c r="P52" i="31"/>
  <c r="T52" i="31"/>
  <c r="V52" i="31"/>
  <c r="X52" i="31"/>
  <c r="Z52" i="31"/>
  <c r="AH52" i="31"/>
  <c r="AV52" i="31"/>
  <c r="AX52" i="31"/>
  <c r="BB53" i="31"/>
  <c r="AV35" i="31"/>
  <c r="AV59" i="31" s="1"/>
  <c r="AX35" i="31"/>
  <c r="AX59" i="31" s="1"/>
  <c r="H46" i="31"/>
  <c r="P46" i="31"/>
  <c r="X46" i="31"/>
  <c r="X58" i="31" s="1"/>
  <c r="AF46" i="31"/>
  <c r="AF52" i="31" s="1"/>
  <c r="AT44" i="31"/>
  <c r="AT50" i="31" s="1"/>
  <c r="AV46" i="31"/>
  <c r="AX47" i="31"/>
  <c r="AX53" i="31" s="1"/>
  <c r="AV53" i="31"/>
  <c r="AT32" i="31"/>
  <c r="AT56" i="31" s="1"/>
  <c r="AX32" i="31"/>
  <c r="AX56" i="31" s="1"/>
  <c r="AZ35" i="31"/>
  <c r="AZ47" i="31"/>
  <c r="AZ53" i="31" s="1"/>
  <c r="AP51" i="31"/>
  <c r="AX50" i="31"/>
  <c r="AP33" i="31"/>
  <c r="AP57" i="31" s="1"/>
  <c r="AR51" i="31"/>
  <c r="AR45" i="31"/>
  <c r="AR57" i="31" s="1"/>
  <c r="AT45" i="31"/>
  <c r="AT57" i="31" s="1"/>
  <c r="AV51" i="31"/>
  <c r="AV45" i="31"/>
  <c r="AV57" i="31" s="1"/>
  <c r="AX45" i="31"/>
  <c r="AX51" i="31" s="1"/>
  <c r="BA53" i="31"/>
  <c r="BA47" i="31"/>
  <c r="H58" i="31"/>
  <c r="J58" i="31"/>
  <c r="P58" i="31"/>
  <c r="AV58" i="31"/>
  <c r="BB45" i="31"/>
  <c r="BB57" i="31" s="1"/>
  <c r="J46" i="31"/>
  <c r="J52" i="31" s="1"/>
  <c r="R46" i="31"/>
  <c r="R58" i="31" s="1"/>
  <c r="N44" i="32"/>
  <c r="V44" i="32"/>
  <c r="K59" i="8" s="1"/>
  <c r="K60" i="8" s="1"/>
  <c r="AD44" i="32"/>
  <c r="O59" i="8" s="1"/>
  <c r="O60" i="8" s="1"/>
  <c r="AN44" i="32"/>
  <c r="T59" i="8" s="1"/>
  <c r="AV22" i="32"/>
  <c r="AV44" i="32" s="1"/>
  <c r="F65" i="32"/>
  <c r="F66" i="32" s="1"/>
  <c r="H64" i="32" s="1"/>
  <c r="F68" i="32"/>
  <c r="AR68" i="32"/>
  <c r="AR65" i="32"/>
  <c r="AF65" i="32"/>
  <c r="AF68" i="32"/>
  <c r="AL68" i="32"/>
  <c r="AL65" i="32"/>
  <c r="J65" i="32"/>
  <c r="J68" i="32" s="1"/>
  <c r="N65" i="32"/>
  <c r="N68" i="32"/>
  <c r="X65" i="32"/>
  <c r="X68" i="32" s="1"/>
  <c r="H44" i="32"/>
  <c r="H65" i="32" s="1"/>
  <c r="H68" i="32" s="1"/>
  <c r="H41" i="32"/>
  <c r="P65" i="32"/>
  <c r="P68" i="32" s="1"/>
  <c r="AN65" i="32"/>
  <c r="AN68" i="32"/>
  <c r="AH65" i="32"/>
  <c r="AH68" i="32" s="1"/>
  <c r="AP65" i="32"/>
  <c r="AP68" i="32" s="1"/>
  <c r="BB65" i="32"/>
  <c r="BB68" i="32" s="1"/>
  <c r="Z68" i="32"/>
  <c r="Z65" i="32"/>
  <c r="AJ65" i="32"/>
  <c r="AJ68" i="32" s="1"/>
  <c r="AZ68" i="32"/>
  <c r="AZ65" i="32"/>
  <c r="L65" i="32"/>
  <c r="L68" i="32" s="1"/>
  <c r="R68" i="32"/>
  <c r="T60" i="8"/>
  <c r="T44" i="32"/>
  <c r="J59" i="8" s="1"/>
  <c r="J60" i="8" s="1"/>
  <c r="AB44" i="32"/>
  <c r="N59" i="8" s="1"/>
  <c r="N60" i="8" s="1"/>
  <c r="AT22" i="32"/>
  <c r="AT44" i="32" s="1"/>
  <c r="W59" i="8" s="1"/>
  <c r="W60" i="8" s="1"/>
  <c r="BD44" i="32"/>
  <c r="AD65" i="32"/>
  <c r="AD68" i="32"/>
  <c r="AX68" i="32"/>
  <c r="AX65" i="32"/>
  <c r="AV65" i="32"/>
  <c r="AV68" i="32"/>
  <c r="BD65" i="32"/>
  <c r="BD68" i="32" s="1"/>
  <c r="D65" i="32"/>
  <c r="D66" i="32" s="1"/>
  <c r="F41" i="32"/>
  <c r="BM28" i="3"/>
  <c r="BL50" i="32" s="1"/>
  <c r="K40" i="3"/>
  <c r="K50" i="3" s="1"/>
  <c r="S40" i="3"/>
  <c r="S50" i="3" s="1"/>
  <c r="BI38" i="3"/>
  <c r="BK33" i="3"/>
  <c r="BJ49" i="32" s="1"/>
  <c r="BJ59" i="32" s="1"/>
  <c r="G55" i="3"/>
  <c r="G56" i="3" s="1"/>
  <c r="AA50" i="3"/>
  <c r="AI75" i="3"/>
  <c r="AI50" i="3"/>
  <c r="E50" i="3"/>
  <c r="E55" i="3" s="1"/>
  <c r="M50" i="3"/>
  <c r="M40" i="3"/>
  <c r="U40" i="3"/>
  <c r="U50" i="3" s="1"/>
  <c r="I50" i="3"/>
  <c r="Y50" i="3"/>
  <c r="AK75" i="3"/>
  <c r="AK50" i="3"/>
  <c r="AK68" i="3"/>
  <c r="AC50" i="3"/>
  <c r="BK43" i="3"/>
  <c r="AS50" i="3"/>
  <c r="BA50" i="3"/>
  <c r="BG38" i="3"/>
  <c r="AG50" i="3"/>
  <c r="AO50" i="3"/>
  <c r="AW50" i="3"/>
  <c r="BE50" i="3"/>
  <c r="AM73" i="3"/>
  <c r="AU73" i="3"/>
  <c r="BC73" i="3"/>
  <c r="G67" i="3"/>
  <c r="I68" i="3"/>
  <c r="K67" i="3"/>
  <c r="S67" i="3"/>
  <c r="U66" i="3"/>
  <c r="W68" i="3"/>
  <c r="Y66" i="3"/>
  <c r="AA68" i="3"/>
  <c r="AC67" i="3"/>
  <c r="AE68" i="3"/>
  <c r="BC66" i="3"/>
  <c r="BE68" i="3"/>
  <c r="BG68" i="3" s="1"/>
  <c r="BE72" i="3"/>
  <c r="AI68" i="3"/>
  <c r="AI72" i="3"/>
  <c r="AK73" i="3"/>
  <c r="AM66" i="3"/>
  <c r="AO67" i="3"/>
  <c r="AQ68" i="3"/>
  <c r="AQ72" i="3"/>
  <c r="AS73" i="3"/>
  <c r="AU66" i="3"/>
  <c r="AW67" i="3"/>
  <c r="AY68" i="3"/>
  <c r="AY72" i="3"/>
  <c r="BA73" i="3"/>
  <c r="S68" i="3"/>
  <c r="U67" i="3"/>
  <c r="Y67" i="3"/>
  <c r="AC68" i="3"/>
  <c r="AG66" i="3"/>
  <c r="BC67" i="3"/>
  <c r="BE73" i="3"/>
  <c r="AI73" i="3"/>
  <c r="AK66" i="3"/>
  <c r="AM67" i="3"/>
  <c r="AO68" i="3"/>
  <c r="AO72" i="3"/>
  <c r="AQ73" i="3"/>
  <c r="AS66" i="3"/>
  <c r="AU67" i="3"/>
  <c r="AW68" i="3"/>
  <c r="AW72" i="3"/>
  <c r="AY73" i="3"/>
  <c r="BA66" i="3"/>
  <c r="AS83" i="3"/>
  <c r="I66" i="3"/>
  <c r="O67" i="3"/>
  <c r="Q66" i="3"/>
  <c r="W66" i="3"/>
  <c r="AA66" i="3"/>
  <c r="AE66" i="3"/>
  <c r="AG67" i="3"/>
  <c r="BC72" i="3"/>
  <c r="BE66" i="3"/>
  <c r="AI66" i="3"/>
  <c r="AM72" i="3"/>
  <c r="AO73" i="3"/>
  <c r="AQ66" i="3"/>
  <c r="AS67" i="3"/>
  <c r="AU72" i="3"/>
  <c r="AW73" i="3"/>
  <c r="AY66" i="3"/>
  <c r="BA67" i="3"/>
  <c r="L92" i="83"/>
  <c r="X31" i="8"/>
  <c r="X20" i="8"/>
  <c r="X12" i="8"/>
  <c r="X35" i="8"/>
  <c r="AB31" i="8"/>
  <c r="AB12" i="8"/>
  <c r="AB16" i="8"/>
  <c r="AB35" i="8"/>
  <c r="AB8" i="8"/>
  <c r="AJ11" i="8"/>
  <c r="D51" i="83"/>
  <c r="L51" i="83"/>
  <c r="C29" i="8"/>
  <c r="C20" i="8"/>
  <c r="C12" i="8"/>
  <c r="C31" i="8"/>
  <c r="G29" i="8"/>
  <c r="G20" i="8"/>
  <c r="G12" i="8"/>
  <c r="G31" i="8"/>
  <c r="G8" i="8"/>
  <c r="K29" i="8"/>
  <c r="K20" i="8"/>
  <c r="K31" i="8"/>
  <c r="K12" i="8"/>
  <c r="K8" i="8"/>
  <c r="O29" i="8"/>
  <c r="O31" i="8"/>
  <c r="O20" i="8"/>
  <c r="O12" i="8"/>
  <c r="O8" i="8"/>
  <c r="S29" i="8"/>
  <c r="S20" i="8"/>
  <c r="S12" i="8"/>
  <c r="S31" i="8"/>
  <c r="S8" i="8"/>
  <c r="D8" i="8"/>
  <c r="T8" i="8"/>
  <c r="C16" i="8"/>
  <c r="S16" i="8"/>
  <c r="C21" i="8"/>
  <c r="X22" i="8"/>
  <c r="D63" i="83"/>
  <c r="D104" i="83" s="1"/>
  <c r="G23" i="8"/>
  <c r="G21" i="8"/>
  <c r="K21" i="8"/>
  <c r="K23" i="8"/>
  <c r="O24" i="8"/>
  <c r="O23" i="8"/>
  <c r="O21" i="8"/>
  <c r="O22" i="8" s="1"/>
  <c r="S24" i="8"/>
  <c r="S23" i="8"/>
  <c r="W24" i="8"/>
  <c r="AJ14" i="8"/>
  <c r="W23" i="8"/>
  <c r="W31" i="8"/>
  <c r="W21" i="8"/>
  <c r="AA27" i="8"/>
  <c r="AA24" i="8"/>
  <c r="AA21" i="8"/>
  <c r="AB22" i="8" s="1"/>
  <c r="AB13" i="8"/>
  <c r="AA23" i="8"/>
  <c r="F40" i="8"/>
  <c r="F32" i="8"/>
  <c r="J58" i="8"/>
  <c r="J40" i="8"/>
  <c r="J32" i="8"/>
  <c r="N58" i="8"/>
  <c r="N32" i="8"/>
  <c r="R58" i="8"/>
  <c r="R40" i="8"/>
  <c r="R32" i="8"/>
  <c r="V58" i="8"/>
  <c r="V40" i="8"/>
  <c r="V32" i="8"/>
  <c r="W8" i="8"/>
  <c r="AA8" i="8"/>
  <c r="AA13" i="8" s="1"/>
  <c r="AJ7" i="8"/>
  <c r="E12" i="8"/>
  <c r="I12" i="8"/>
  <c r="M12" i="8"/>
  <c r="Q12" i="8"/>
  <c r="U12" i="8"/>
  <c r="Y12" i="8"/>
  <c r="F23" i="8"/>
  <c r="F21" i="8"/>
  <c r="J23" i="8"/>
  <c r="J21" i="8"/>
  <c r="N24" i="8"/>
  <c r="N23" i="8"/>
  <c r="N21" i="8"/>
  <c r="N22" i="8" s="1"/>
  <c r="R24" i="8"/>
  <c r="R23" i="8"/>
  <c r="R21" i="8"/>
  <c r="R22" i="8" s="1"/>
  <c r="V24" i="8"/>
  <c r="V23" i="8"/>
  <c r="V21" i="8"/>
  <c r="Z24" i="8"/>
  <c r="Z23" i="8"/>
  <c r="Z21" i="8"/>
  <c r="Z22" i="8" s="1"/>
  <c r="F16" i="8"/>
  <c r="J16" i="8"/>
  <c r="N16" i="8"/>
  <c r="R16" i="8"/>
  <c r="Z16" i="8"/>
  <c r="U17" i="8"/>
  <c r="Y17" i="8"/>
  <c r="D20" i="8"/>
  <c r="H20" i="8"/>
  <c r="L20" i="8"/>
  <c r="Q20" i="8"/>
  <c r="V20" i="8"/>
  <c r="AA20" i="8"/>
  <c r="Q21" i="8"/>
  <c r="D23" i="8"/>
  <c r="Y24" i="8"/>
  <c r="E29" i="8"/>
  <c r="I29" i="8"/>
  <c r="M29" i="8"/>
  <c r="Q29" i="8"/>
  <c r="U29" i="8"/>
  <c r="Y29" i="8"/>
  <c r="N29" i="8"/>
  <c r="E35" i="8"/>
  <c r="I35" i="8"/>
  <c r="M35" i="8"/>
  <c r="Q35" i="8"/>
  <c r="U35" i="8"/>
  <c r="Y35" i="8"/>
  <c r="H35" i="8"/>
  <c r="F35" i="8"/>
  <c r="J35" i="8"/>
  <c r="N35" i="8"/>
  <c r="L35" i="8"/>
  <c r="V66" i="8"/>
  <c r="W63" i="8"/>
  <c r="D40" i="8"/>
  <c r="D44" i="8" s="1"/>
  <c r="D32" i="8"/>
  <c r="H40" i="8"/>
  <c r="H32" i="8"/>
  <c r="L58" i="8"/>
  <c r="L40" i="8"/>
  <c r="L32" i="8"/>
  <c r="P41" i="8"/>
  <c r="P31" i="8"/>
  <c r="P20" i="8"/>
  <c r="T31" i="8"/>
  <c r="T20" i="8"/>
  <c r="E8" i="8"/>
  <c r="I8" i="8"/>
  <c r="M8" i="8"/>
  <c r="Q8" i="8"/>
  <c r="U8" i="8"/>
  <c r="Y40" i="8"/>
  <c r="Y58" i="8"/>
  <c r="Y32" i="8"/>
  <c r="Y47" i="14" s="1"/>
  <c r="Y8" i="8"/>
  <c r="W12" i="8"/>
  <c r="AA12" i="8"/>
  <c r="P24" i="8"/>
  <c r="T24" i="8"/>
  <c r="X24" i="8"/>
  <c r="AB23" i="8"/>
  <c r="AB27" i="8"/>
  <c r="AB24" i="8"/>
  <c r="D16" i="8"/>
  <c r="H16" i="8"/>
  <c r="L16" i="8"/>
  <c r="P16" i="8"/>
  <c r="T16" i="8"/>
  <c r="X16" i="8"/>
  <c r="F20" i="8"/>
  <c r="J20" i="8"/>
  <c r="N20" i="8"/>
  <c r="Y20" i="8"/>
  <c r="T21" i="8"/>
  <c r="T22" i="8" s="1"/>
  <c r="F29" i="8"/>
  <c r="V29" i="8"/>
  <c r="AA31" i="8"/>
  <c r="C35" i="8"/>
  <c r="G35" i="8"/>
  <c r="K35" i="8"/>
  <c r="O35" i="8"/>
  <c r="S35" i="8"/>
  <c r="AA35" i="8"/>
  <c r="I40" i="8"/>
  <c r="I44" i="8" s="1"/>
  <c r="E32" i="8"/>
  <c r="E40" i="8"/>
  <c r="M58" i="8"/>
  <c r="M32" i="8"/>
  <c r="M40" i="8"/>
  <c r="Q40" i="8"/>
  <c r="Q44" i="8" s="1"/>
  <c r="Q58" i="8"/>
  <c r="Q32" i="8"/>
  <c r="U40" i="8"/>
  <c r="U58" i="8"/>
  <c r="U32" i="8"/>
  <c r="F8" i="8"/>
  <c r="J8" i="8"/>
  <c r="N8" i="8"/>
  <c r="R8" i="8"/>
  <c r="V8" i="8"/>
  <c r="Z38" i="8"/>
  <c r="Z31" i="8"/>
  <c r="Z8" i="8"/>
  <c r="B8" i="8"/>
  <c r="D12" i="8"/>
  <c r="H12" i="8"/>
  <c r="L12" i="8"/>
  <c r="P12" i="8"/>
  <c r="T12" i="8"/>
  <c r="I23" i="8"/>
  <c r="M23" i="8"/>
  <c r="Q23" i="8"/>
  <c r="U23" i="8"/>
  <c r="Y23" i="8"/>
  <c r="E16" i="8"/>
  <c r="I16" i="8"/>
  <c r="M16" i="8"/>
  <c r="Q16" i="8"/>
  <c r="U20" i="8"/>
  <c r="Z20" i="8"/>
  <c r="P21" i="8"/>
  <c r="P22" i="8" s="1"/>
  <c r="U21" i="8"/>
  <c r="U22" i="8" s="1"/>
  <c r="P23" i="8"/>
  <c r="X23" i="8"/>
  <c r="U24" i="8"/>
  <c r="D29" i="8"/>
  <c r="H29" i="8"/>
  <c r="L29" i="8"/>
  <c r="P29" i="8"/>
  <c r="T29" i="8"/>
  <c r="X29" i="8"/>
  <c r="AB29" i="8"/>
  <c r="J29" i="8"/>
  <c r="Z29" i="8"/>
  <c r="N40" i="8"/>
  <c r="AE34" i="8"/>
  <c r="W35" i="8"/>
  <c r="F44" i="8"/>
  <c r="J44" i="8"/>
  <c r="N44" i="8"/>
  <c r="H44" i="8"/>
  <c r="L44" i="8"/>
  <c r="P46" i="8"/>
  <c r="P44" i="8"/>
  <c r="U44" i="8"/>
  <c r="Y44" i="8"/>
  <c r="E44" i="8"/>
  <c r="M44" i="8"/>
  <c r="V44" i="8"/>
  <c r="AB15" i="14"/>
  <c r="U47" i="14"/>
  <c r="U15" i="14"/>
  <c r="AY8" i="14"/>
  <c r="AY7" i="14"/>
  <c r="AY12" i="14"/>
  <c r="AY6" i="14"/>
  <c r="Z15" i="14"/>
  <c r="AZ7" i="14"/>
  <c r="AZ6" i="14"/>
  <c r="AA15" i="14"/>
  <c r="U20" i="14"/>
  <c r="V17" i="14"/>
  <c r="V19" i="14" s="1"/>
  <c r="U22" i="14"/>
  <c r="C351" i="14"/>
  <c r="C283" i="14"/>
  <c r="C245" i="14"/>
  <c r="C207" i="14"/>
  <c r="C94" i="14"/>
  <c r="C132" i="14"/>
  <c r="C170" i="14"/>
  <c r="C55" i="14"/>
  <c r="C37" i="14"/>
  <c r="AJ7" i="14"/>
  <c r="F9" i="14"/>
  <c r="F11" i="14"/>
  <c r="J11" i="14"/>
  <c r="O9" i="14"/>
  <c r="O44" i="14" s="1"/>
  <c r="S9" i="14"/>
  <c r="S44" i="14" s="1"/>
  <c r="W9" i="14"/>
  <c r="AA9" i="14"/>
  <c r="V13" i="14"/>
  <c r="Z13" i="14"/>
  <c r="E15" i="14"/>
  <c r="I15" i="14"/>
  <c r="M15" i="14"/>
  <c r="Q15" i="14"/>
  <c r="W28" i="14"/>
  <c r="V33" i="14"/>
  <c r="S36" i="14"/>
  <c r="S37" i="14" s="1"/>
  <c r="B47" i="14"/>
  <c r="F47" i="14"/>
  <c r="J47" i="14"/>
  <c r="N47" i="14"/>
  <c r="R47" i="14"/>
  <c r="X110" i="14"/>
  <c r="AE40" i="47"/>
  <c r="AN43" i="47"/>
  <c r="D351" i="14"/>
  <c r="D283" i="14"/>
  <c r="D207" i="14"/>
  <c r="D245" i="14"/>
  <c r="D170" i="14"/>
  <c r="D132" i="14"/>
  <c r="D94" i="14"/>
  <c r="D55" i="14"/>
  <c r="M351" i="14"/>
  <c r="M283" i="14"/>
  <c r="M245" i="14"/>
  <c r="M207" i="14"/>
  <c r="M170" i="14"/>
  <c r="M132" i="14"/>
  <c r="M94" i="14"/>
  <c r="M55" i="14"/>
  <c r="D36" i="14"/>
  <c r="H36" i="14"/>
  <c r="L36" i="14"/>
  <c r="L37" i="14" s="1"/>
  <c r="P36" i="14"/>
  <c r="P37" i="14" s="1"/>
  <c r="T36" i="14"/>
  <c r="G9" i="14"/>
  <c r="G44" i="14" s="1"/>
  <c r="K9" i="14"/>
  <c r="P9" i="14"/>
  <c r="P44" i="14" s="1"/>
  <c r="T9" i="14"/>
  <c r="T44" i="14" s="1"/>
  <c r="X9" i="14"/>
  <c r="AB9" i="14"/>
  <c r="AS18" i="14"/>
  <c r="AW18" i="14"/>
  <c r="S13" i="14"/>
  <c r="W13" i="14"/>
  <c r="AA13" i="14"/>
  <c r="V14" i="14"/>
  <c r="AV18" i="14" s="1"/>
  <c r="AU18" i="14"/>
  <c r="G41" i="14"/>
  <c r="K31" i="14"/>
  <c r="K41" i="14"/>
  <c r="O31" i="14"/>
  <c r="O41" i="14"/>
  <c r="S31" i="14"/>
  <c r="S41" i="14"/>
  <c r="W31" i="14"/>
  <c r="W41" i="14"/>
  <c r="T31" i="14"/>
  <c r="G36" i="14"/>
  <c r="W36" i="14"/>
  <c r="C47" i="14"/>
  <c r="G47" i="14"/>
  <c r="K47" i="14"/>
  <c r="O47" i="14"/>
  <c r="S47" i="14"/>
  <c r="Y83" i="14"/>
  <c r="D102" i="14"/>
  <c r="D103" i="14" s="1"/>
  <c r="C104" i="14"/>
  <c r="C102" i="14"/>
  <c r="E5" i="14"/>
  <c r="N5" i="14"/>
  <c r="U24" i="14"/>
  <c r="D9" i="14"/>
  <c r="D44" i="14" s="1"/>
  <c r="H9" i="14"/>
  <c r="H44" i="14" s="1"/>
  <c r="L9" i="14"/>
  <c r="Q9" i="14"/>
  <c r="Q44" i="14" s="1"/>
  <c r="U9" i="14"/>
  <c r="Y9" i="14"/>
  <c r="AT18" i="14"/>
  <c r="T13" i="14"/>
  <c r="X13" i="14"/>
  <c r="AB13" i="14"/>
  <c r="W14" i="14"/>
  <c r="K28" i="14"/>
  <c r="S28" i="14"/>
  <c r="H41" i="14"/>
  <c r="H27" i="14"/>
  <c r="H28" i="14" s="1"/>
  <c r="L41" i="14"/>
  <c r="L27" i="14"/>
  <c r="L28" i="14" s="1"/>
  <c r="P41" i="14"/>
  <c r="P27" i="14"/>
  <c r="P28" i="14" s="1"/>
  <c r="T41" i="14"/>
  <c r="T27" i="14"/>
  <c r="T28" i="14" s="1"/>
  <c r="M31" i="14"/>
  <c r="U31" i="14"/>
  <c r="AB122" i="14"/>
  <c r="D104" i="14"/>
  <c r="E102" i="14"/>
  <c r="I102" i="14"/>
  <c r="I103" i="14" s="1"/>
  <c r="H104" i="14"/>
  <c r="AG43" i="47"/>
  <c r="E9" i="14"/>
  <c r="I9" i="14"/>
  <c r="M9" i="14"/>
  <c r="R9" i="14"/>
  <c r="V9" i="14"/>
  <c r="Z9" i="14"/>
  <c r="Y13" i="14"/>
  <c r="X14" i="14"/>
  <c r="Y15" i="14" s="1"/>
  <c r="D15" i="14"/>
  <c r="H15" i="14"/>
  <c r="L15" i="14"/>
  <c r="P15" i="14"/>
  <c r="T15" i="14"/>
  <c r="B21" i="14"/>
  <c r="B20" i="14"/>
  <c r="B24" i="14" s="1"/>
  <c r="E41" i="14"/>
  <c r="I41" i="14"/>
  <c r="M41" i="14"/>
  <c r="Q41" i="14"/>
  <c r="U41" i="14"/>
  <c r="H31" i="14"/>
  <c r="P31" i="14"/>
  <c r="C65" i="14"/>
  <c r="F104" i="14"/>
  <c r="G102" i="14"/>
  <c r="G103" i="14" s="1"/>
  <c r="F102" i="14"/>
  <c r="F103" i="14" s="1"/>
  <c r="H140" i="14"/>
  <c r="H141" i="14" s="1"/>
  <c r="G142" i="14"/>
  <c r="G140" i="14"/>
  <c r="G141" i="14" s="1"/>
  <c r="F41" i="14"/>
  <c r="J41" i="14"/>
  <c r="N41" i="14"/>
  <c r="R41" i="14"/>
  <c r="V41" i="14"/>
  <c r="V58" i="14"/>
  <c r="Z58" i="14"/>
  <c r="B63" i="14"/>
  <c r="C64" i="14" s="1"/>
  <c r="W70" i="14"/>
  <c r="W71" i="14" s="1"/>
  <c r="W79" i="14"/>
  <c r="V118" i="14"/>
  <c r="V97" i="14"/>
  <c r="Z97" i="14"/>
  <c r="X126" i="14"/>
  <c r="W113" i="14"/>
  <c r="X122" i="14"/>
  <c r="D140" i="14"/>
  <c r="C142" i="14"/>
  <c r="F141" i="14"/>
  <c r="E142" i="14"/>
  <c r="U189" i="14"/>
  <c r="U185" i="14"/>
  <c r="V189" i="14"/>
  <c r="V185" i="14"/>
  <c r="S58" i="14"/>
  <c r="S83" i="14" s="1"/>
  <c r="W58" i="14"/>
  <c r="AA58" i="14"/>
  <c r="Y122" i="14"/>
  <c r="H102" i="14"/>
  <c r="D142" i="14"/>
  <c r="H142" i="14"/>
  <c r="V160" i="14"/>
  <c r="V194" i="14"/>
  <c r="Z173" i="14"/>
  <c r="B178" i="14"/>
  <c r="G178" i="14"/>
  <c r="G194" i="14"/>
  <c r="J31" i="14"/>
  <c r="N31" i="14"/>
  <c r="R31" i="14"/>
  <c r="V31" i="14"/>
  <c r="U33" i="14"/>
  <c r="U34" i="14" s="1"/>
  <c r="T58" i="14"/>
  <c r="T83" i="14" s="1"/>
  <c r="X58" i="14"/>
  <c r="AB58" i="14"/>
  <c r="V74" i="14"/>
  <c r="U79" i="14"/>
  <c r="AA97" i="14"/>
  <c r="X113" i="14"/>
  <c r="U156" i="14"/>
  <c r="AB160" i="14"/>
  <c r="C140" i="14"/>
  <c r="X160" i="14"/>
  <c r="V173" i="14"/>
  <c r="I194" i="14"/>
  <c r="E27" i="14"/>
  <c r="E28" i="14" s="1"/>
  <c r="I27" i="14"/>
  <c r="I28" i="14" s="1"/>
  <c r="M27" i="14"/>
  <c r="M28" i="14" s="1"/>
  <c r="Q27" i="14"/>
  <c r="Q28" i="14" s="1"/>
  <c r="U27" i="14"/>
  <c r="U28" i="14" s="1"/>
  <c r="W47" i="14"/>
  <c r="W97" i="14"/>
  <c r="G104" i="14"/>
  <c r="B102" i="14"/>
  <c r="W109" i="14"/>
  <c r="Y112" i="14"/>
  <c r="V113" i="14"/>
  <c r="Z135" i="14"/>
  <c r="W151" i="14"/>
  <c r="X150" i="14"/>
  <c r="W147" i="14"/>
  <c r="W148" i="14" s="1"/>
  <c r="AB198" i="14"/>
  <c r="Y198" i="14"/>
  <c r="I178" i="14"/>
  <c r="B177" i="14"/>
  <c r="S135" i="14"/>
  <c r="S160" i="14" s="1"/>
  <c r="W156" i="14"/>
  <c r="U147" i="14"/>
  <c r="V148" i="14" s="1"/>
  <c r="V164" i="14" s="1"/>
  <c r="V151" i="14"/>
  <c r="G177" i="14"/>
  <c r="H180" i="14" s="1"/>
  <c r="E200" i="14"/>
  <c r="D191" i="14"/>
  <c r="D200" i="14"/>
  <c r="H200" i="14"/>
  <c r="I189" i="14"/>
  <c r="H185" i="14"/>
  <c r="I200" i="14"/>
  <c r="H191" i="14"/>
  <c r="H189" i="14"/>
  <c r="E189" i="14"/>
  <c r="Y222" i="14"/>
  <c r="F142" i="14"/>
  <c r="B140" i="14"/>
  <c r="X173" i="14"/>
  <c r="T173" i="14"/>
  <c r="T198" i="14" s="1"/>
  <c r="E178" i="14"/>
  <c r="W135" i="14"/>
  <c r="AA135" i="14"/>
  <c r="S173" i="14"/>
  <c r="S198" i="14" s="1"/>
  <c r="U173" i="14"/>
  <c r="U198" i="14" s="1"/>
  <c r="C177" i="14"/>
  <c r="Z215" i="14"/>
  <c r="Y217" i="14"/>
  <c r="Z212" i="14"/>
  <c r="Z214" i="14" s="1"/>
  <c r="S277" i="14"/>
  <c r="S273" i="14"/>
  <c r="F189" i="14"/>
  <c r="F191" i="14"/>
  <c r="F200" i="14"/>
  <c r="G189" i="14"/>
  <c r="F185" i="14"/>
  <c r="J189" i="14"/>
  <c r="J200" i="14"/>
  <c r="J185" i="14"/>
  <c r="K189" i="14"/>
  <c r="W189" i="14"/>
  <c r="W185" i="14"/>
  <c r="W186" i="14" s="1"/>
  <c r="J198" i="14"/>
  <c r="G277" i="14"/>
  <c r="G273" i="14"/>
  <c r="W273" i="14"/>
  <c r="U135" i="14"/>
  <c r="U160" i="14" s="1"/>
  <c r="Y135" i="14"/>
  <c r="U194" i="14"/>
  <c r="E177" i="14"/>
  <c r="F180" i="14" s="1"/>
  <c r="I177" i="14"/>
  <c r="K185" i="14"/>
  <c r="M269" i="14"/>
  <c r="O273" i="14"/>
  <c r="H273" i="14"/>
  <c r="AA210" i="14"/>
  <c r="AA235" i="14" s="1"/>
  <c r="F273" i="14"/>
  <c r="J269" i="14"/>
  <c r="S261" i="14"/>
  <c r="AC269" i="14"/>
  <c r="AC261" i="14"/>
  <c r="N273" i="14"/>
  <c r="O345" i="14"/>
  <c r="T339" i="14"/>
  <c r="J290" i="14"/>
  <c r="L292" i="14"/>
  <c r="L305" i="14" s="1"/>
  <c r="AB210" i="14"/>
  <c r="AB235" i="14" s="1"/>
  <c r="X231" i="14"/>
  <c r="O269" i="14"/>
  <c r="S269" i="14"/>
  <c r="T248" i="14"/>
  <c r="K248" i="14"/>
  <c r="H261" i="14"/>
  <c r="H277" i="14" s="1"/>
  <c r="W194" i="14"/>
  <c r="W173" i="14"/>
  <c r="AA173" i="14"/>
  <c r="AI173" i="14"/>
  <c r="G200" i="14"/>
  <c r="K200" i="14"/>
  <c r="Y219" i="14"/>
  <c r="Y220" i="14" s="1"/>
  <c r="D269" i="14"/>
  <c r="H269" i="14"/>
  <c r="P248" i="14"/>
  <c r="P269" i="14"/>
  <c r="D248" i="14"/>
  <c r="L248" i="14"/>
  <c r="C252" i="14"/>
  <c r="I261" i="14"/>
  <c r="X269" i="14"/>
  <c r="X261" i="14"/>
  <c r="X277" i="14" s="1"/>
  <c r="G264" i="14"/>
  <c r="G275" i="14"/>
  <c r="H264" i="14"/>
  <c r="H275" i="14"/>
  <c r="G260" i="14"/>
  <c r="G261" i="14" s="1"/>
  <c r="K264" i="14"/>
  <c r="L275" i="14"/>
  <c r="K260" i="14"/>
  <c r="K261" i="14" s="1"/>
  <c r="K275" i="14"/>
  <c r="L260" i="14"/>
  <c r="L261" i="14" s="1"/>
  <c r="O264" i="14"/>
  <c r="P260" i="14"/>
  <c r="P261" i="14" s="1"/>
  <c r="P275" i="14"/>
  <c r="O260" i="14"/>
  <c r="P264" i="14"/>
  <c r="S264" i="14"/>
  <c r="T264" i="14"/>
  <c r="T260" i="14"/>
  <c r="U261" i="14" s="1"/>
  <c r="U277" i="14" s="1"/>
  <c r="S275" i="14"/>
  <c r="W264" i="14"/>
  <c r="W275" i="14"/>
  <c r="X264" i="14"/>
  <c r="X275" i="14"/>
  <c r="W260" i="14"/>
  <c r="AA264" i="14"/>
  <c r="AB275" i="14"/>
  <c r="AA260" i="14"/>
  <c r="AA275" i="14"/>
  <c r="AB260" i="14"/>
  <c r="AE264" i="14"/>
  <c r="AF260" i="14"/>
  <c r="AF275" i="14"/>
  <c r="AE260" i="14"/>
  <c r="AF264" i="14"/>
  <c r="L264" i="14"/>
  <c r="D198" i="14"/>
  <c r="H198" i="14"/>
  <c r="J248" i="14"/>
  <c r="R248" i="14"/>
  <c r="B253" i="14"/>
  <c r="Q260" i="14"/>
  <c r="AG260" i="14"/>
  <c r="F275" i="14"/>
  <c r="F260" i="14"/>
  <c r="J275" i="14"/>
  <c r="J260" i="14"/>
  <c r="J261" i="14" s="1"/>
  <c r="N275" i="14"/>
  <c r="N260" i="14"/>
  <c r="R275" i="14"/>
  <c r="R260" i="14"/>
  <c r="V275" i="14"/>
  <c r="V260" i="14"/>
  <c r="Z275" i="14"/>
  <c r="Z260" i="14"/>
  <c r="AD275" i="14"/>
  <c r="AD260" i="14"/>
  <c r="E264" i="14"/>
  <c r="J264" i="14"/>
  <c r="U264" i="14"/>
  <c r="Z264" i="14"/>
  <c r="E269" i="14"/>
  <c r="M275" i="14"/>
  <c r="AC275" i="14"/>
  <c r="V292" i="14"/>
  <c r="V305" i="14" s="1"/>
  <c r="C253" i="14"/>
  <c r="C254" i="14" s="1"/>
  <c r="B266" i="14"/>
  <c r="Q339" i="14"/>
  <c r="J291" i="14"/>
  <c r="E248" i="14"/>
  <c r="I248" i="14"/>
  <c r="M248" i="14"/>
  <c r="Q248" i="14"/>
  <c r="Y261" i="14"/>
  <c r="I264" i="14"/>
  <c r="Y264" i="14"/>
  <c r="I269" i="14"/>
  <c r="I330" i="14"/>
  <c r="I331" i="14" s="1"/>
  <c r="M331" i="14"/>
  <c r="Q330" i="14"/>
  <c r="G286" i="14"/>
  <c r="S286" i="14"/>
  <c r="W339" i="14"/>
  <c r="E293" i="14"/>
  <c r="F322" i="14"/>
  <c r="V322" i="14"/>
  <c r="W322" i="14"/>
  <c r="W345" i="14" s="1"/>
  <c r="AD322" i="14"/>
  <c r="H330" i="14"/>
  <c r="H331" i="14" s="1"/>
  <c r="J330" i="14"/>
  <c r="N330" i="14"/>
  <c r="N331" i="14" s="1"/>
  <c r="R330" i="14"/>
  <c r="R331" i="14" s="1"/>
  <c r="H286" i="14"/>
  <c r="L286" i="14"/>
  <c r="P286" i="14"/>
  <c r="X339" i="14"/>
  <c r="K330" i="14"/>
  <c r="O330" i="14"/>
  <c r="S330" i="14"/>
  <c r="U339" i="14"/>
  <c r="R322" i="14"/>
  <c r="L330" i="14"/>
  <c r="L331" i="14" s="1"/>
  <c r="P330" i="14"/>
  <c r="P331" i="14" s="1"/>
  <c r="R345" i="14"/>
  <c r="R339" i="14"/>
  <c r="V345" i="14"/>
  <c r="V339" i="14"/>
  <c r="H302" i="14"/>
  <c r="C327" i="14"/>
  <c r="C313" i="14"/>
  <c r="C307" i="14"/>
  <c r="C311" i="14"/>
  <c r="G313" i="14"/>
  <c r="G311" i="14"/>
  <c r="G310" i="14"/>
  <c r="G307" i="14"/>
  <c r="G312" i="14"/>
  <c r="D310" i="14"/>
  <c r="E327" i="14"/>
  <c r="I321" i="14"/>
  <c r="Q321" i="14"/>
  <c r="B327" i="14"/>
  <c r="B312" i="14"/>
  <c r="B311" i="14"/>
  <c r="F312" i="14"/>
  <c r="F313" i="14"/>
  <c r="E310" i="14"/>
  <c r="E311" i="14"/>
  <c r="S322" i="14"/>
  <c r="E307" i="14"/>
  <c r="D312" i="14"/>
  <c r="G322" i="14"/>
  <c r="O322" i="14"/>
  <c r="AE322" i="14"/>
  <c r="D327" i="14"/>
  <c r="H325" i="14"/>
  <c r="H321" i="14"/>
  <c r="H322" i="14" s="1"/>
  <c r="L325" i="14"/>
  <c r="L321" i="14"/>
  <c r="L322" i="14" s="1"/>
  <c r="P325" i="14"/>
  <c r="P321" i="14"/>
  <c r="P322" i="14" s="1"/>
  <c r="T325" i="14"/>
  <c r="T330" i="14"/>
  <c r="T331" i="14" s="1"/>
  <c r="T321" i="14"/>
  <c r="T322" i="14" s="1"/>
  <c r="T345" i="14" s="1"/>
  <c r="X325" i="14"/>
  <c r="X321" i="14"/>
  <c r="X322" i="14" s="1"/>
  <c r="X345" i="14" s="1"/>
  <c r="AB325" i="14"/>
  <c r="AB330" i="14"/>
  <c r="AB331" i="14" s="1"/>
  <c r="AB321" i="14"/>
  <c r="AB322" i="14" s="1"/>
  <c r="X330" i="14"/>
  <c r="X331" i="14" s="1"/>
  <c r="AF322" i="14"/>
  <c r="F327" i="14"/>
  <c r="I325" i="14"/>
  <c r="Y325" i="14"/>
  <c r="S374" i="14"/>
  <c r="S375" i="14" s="1"/>
  <c r="E321" i="14"/>
  <c r="M321" i="14"/>
  <c r="M322" i="14" s="1"/>
  <c r="M345" i="14" s="1"/>
  <c r="U321" i="14"/>
  <c r="Y321" i="14"/>
  <c r="Y322" i="14" s="1"/>
  <c r="AC321" i="14"/>
  <c r="AC322" i="14" s="1"/>
  <c r="AG321" i="14"/>
  <c r="AG322" i="14" s="1"/>
  <c r="G327" i="14"/>
  <c r="G325" i="14"/>
  <c r="W331" i="14"/>
  <c r="AE331" i="14"/>
  <c r="M325" i="14"/>
  <c r="AC325" i="14"/>
  <c r="P371" i="14"/>
  <c r="Q356" i="14"/>
  <c r="Q358" i="14" s="1"/>
  <c r="Y331" i="14"/>
  <c r="U325" i="14"/>
  <c r="R375" i="14"/>
  <c r="V375" i="14"/>
  <c r="K325" i="14"/>
  <c r="O325" i="14"/>
  <c r="S325" i="14"/>
  <c r="W325" i="14"/>
  <c r="AA325" i="14"/>
  <c r="AE325" i="14"/>
  <c r="V330" i="14"/>
  <c r="V331" i="14" s="1"/>
  <c r="Z330" i="14"/>
  <c r="Z331" i="14" s="1"/>
  <c r="AD330" i="14"/>
  <c r="AD331" i="14" s="1"/>
  <c r="P365" i="14"/>
  <c r="Q366" i="14" s="1"/>
  <c r="T365" i="14"/>
  <c r="X365" i="14"/>
  <c r="T369" i="14"/>
  <c r="X369" i="14"/>
  <c r="AF325" i="14"/>
  <c r="F325" i="14"/>
  <c r="J325" i="14"/>
  <c r="N325" i="14"/>
  <c r="R325" i="14"/>
  <c r="V325" i="14"/>
  <c r="Z325" i="14"/>
  <c r="AD325" i="14"/>
  <c r="S365" i="14"/>
  <c r="S366" i="14" s="1"/>
  <c r="W365" i="14"/>
  <c r="W366" i="14" s="1"/>
  <c r="AA54" i="36"/>
  <c r="BF129" i="36"/>
  <c r="BF139" i="36"/>
  <c r="S64" i="36"/>
  <c r="S36" i="36"/>
  <c r="V80" i="36"/>
  <c r="AB50" i="36"/>
  <c r="W50" i="36"/>
  <c r="BC44" i="45"/>
  <c r="S25" i="36"/>
  <c r="AL26" i="47"/>
  <c r="D33" i="47"/>
  <c r="J33" i="47" s="1"/>
  <c r="AX74" i="45"/>
  <c r="BY109" i="45"/>
  <c r="AX109" i="45"/>
  <c r="N78" i="36"/>
  <c r="N53" i="36"/>
  <c r="O48" i="36"/>
  <c r="CA59" i="36"/>
  <c r="BZ49" i="36"/>
  <c r="CE11" i="36"/>
  <c r="CA11" i="36"/>
  <c r="CA21" i="36"/>
  <c r="CB21" i="36" s="1"/>
  <c r="AT51" i="36"/>
  <c r="AU33" i="36"/>
  <c r="AT14" i="36"/>
  <c r="AU13" i="36"/>
  <c r="AU23" i="36"/>
  <c r="AZ23" i="36" s="1"/>
  <c r="AY13" i="36"/>
  <c r="K16" i="36"/>
  <c r="H16" i="36"/>
  <c r="BX21" i="36"/>
  <c r="CI22" i="36"/>
  <c r="CH50" i="36"/>
  <c r="CR21" i="36"/>
  <c r="DV23" i="36"/>
  <c r="CB34" i="36"/>
  <c r="CH36" i="36"/>
  <c r="AD109" i="36"/>
  <c r="AE99" i="36"/>
  <c r="AE79" i="36"/>
  <c r="AV33" i="36"/>
  <c r="CN34" i="36"/>
  <c r="CR34" i="36"/>
  <c r="CM34" i="36"/>
  <c r="BL35" i="36"/>
  <c r="CB35" i="36"/>
  <c r="CA35" i="36"/>
  <c r="CR36" i="36"/>
  <c r="CZ34" i="36"/>
  <c r="BZ42" i="36"/>
  <c r="CA41" i="36"/>
  <c r="CP42" i="36"/>
  <c r="CQ41" i="36"/>
  <c r="DJ42" i="36"/>
  <c r="DK41" i="36"/>
  <c r="DO41" i="36"/>
  <c r="N50" i="36"/>
  <c r="AQ99" i="36"/>
  <c r="AP109" i="36"/>
  <c r="AQ79" i="36"/>
  <c r="BZ48" i="36"/>
  <c r="DJ79" i="36"/>
  <c r="DK49" i="36"/>
  <c r="DJ53" i="36"/>
  <c r="DK53" i="36" s="1"/>
  <c r="BC230" i="45"/>
  <c r="D78" i="36"/>
  <c r="D54" i="36"/>
  <c r="D53" i="36"/>
  <c r="D52" i="36"/>
  <c r="N64" i="36"/>
  <c r="N62" i="36"/>
  <c r="O62" i="36" s="1"/>
  <c r="N63" i="36"/>
  <c r="O63" i="36" s="1"/>
  <c r="N60" i="36"/>
  <c r="O60" i="36" s="1"/>
  <c r="O58" i="36"/>
  <c r="CE64" i="36"/>
  <c r="AV79" i="36"/>
  <c r="BC100" i="36"/>
  <c r="BH80" i="36"/>
  <c r="BB110" i="36"/>
  <c r="BC80" i="36"/>
  <c r="CP111" i="36"/>
  <c r="CV81" i="36"/>
  <c r="CQ81" i="36"/>
  <c r="CQ101" i="36"/>
  <c r="BG113" i="45"/>
  <c r="BD113" i="45"/>
  <c r="AU15" i="36"/>
  <c r="AY15" i="36"/>
  <c r="CY34" i="36"/>
  <c r="CY24" i="36"/>
  <c r="CZ24" i="36" s="1"/>
  <c r="CY14" i="36"/>
  <c r="DC14" i="36"/>
  <c r="AJ15" i="36"/>
  <c r="AJ16" i="36"/>
  <c r="AI15" i="36"/>
  <c r="AM15" i="36"/>
  <c r="BD15" i="36"/>
  <c r="BD16" i="36"/>
  <c r="BC15" i="36"/>
  <c r="BG15" i="36"/>
  <c r="BS15" i="36"/>
  <c r="BW15" i="36"/>
  <c r="CJ15" i="36"/>
  <c r="CJ16" i="36" s="1"/>
  <c r="CM15" i="36"/>
  <c r="DD15" i="36"/>
  <c r="DD16" i="36" s="1"/>
  <c r="T22" i="36"/>
  <c r="CV22" i="36"/>
  <c r="CZ22" i="36"/>
  <c r="DD22" i="36"/>
  <c r="DU22" i="36" s="1"/>
  <c r="DH22" i="36"/>
  <c r="X21" i="36"/>
  <c r="T21" i="36"/>
  <c r="R26" i="36"/>
  <c r="R25" i="36"/>
  <c r="R24" i="36"/>
  <c r="CM51" i="36"/>
  <c r="CR51" i="36"/>
  <c r="BC190" i="45"/>
  <c r="N24" i="36"/>
  <c r="AU25" i="36"/>
  <c r="CA31" i="36"/>
  <c r="DB49" i="36"/>
  <c r="DB36" i="36"/>
  <c r="DD31" i="36"/>
  <c r="DB35" i="36"/>
  <c r="DH31" i="36"/>
  <c r="BX34" i="36"/>
  <c r="BW34" i="36"/>
  <c r="AV34" i="36"/>
  <c r="AZ34" i="36"/>
  <c r="AU34" i="36"/>
  <c r="DB34" i="36"/>
  <c r="AA34" i="36"/>
  <c r="BD34" i="36"/>
  <c r="BC34" i="36"/>
  <c r="BL36" i="36"/>
  <c r="BK36" i="36"/>
  <c r="BS35" i="36"/>
  <c r="CV34" i="36"/>
  <c r="CU34" i="36"/>
  <c r="CY35" i="36"/>
  <c r="BV42" i="36"/>
  <c r="BW41" i="36"/>
  <c r="CL42" i="36"/>
  <c r="CM42" i="36" s="1"/>
  <c r="CM41" i="36"/>
  <c r="DF42" i="36"/>
  <c r="DG41" i="36"/>
  <c r="AH78" i="36"/>
  <c r="AI48" i="36"/>
  <c r="AN48" i="36"/>
  <c r="AL79" i="36"/>
  <c r="AM49" i="36"/>
  <c r="AR49" i="36"/>
  <c r="D46" i="30" s="1"/>
  <c r="AL53" i="36"/>
  <c r="AL54" i="36"/>
  <c r="DC63" i="36"/>
  <c r="CT111" i="36"/>
  <c r="CU81" i="36"/>
  <c r="CZ81" i="36"/>
  <c r="CU101" i="36"/>
  <c r="BG102" i="45"/>
  <c r="BD102" i="45"/>
  <c r="EC34" i="36"/>
  <c r="EC37" i="36" s="1"/>
  <c r="DK61" i="36"/>
  <c r="DK13" i="36"/>
  <c r="M4" i="102" s="1"/>
  <c r="M5" i="102" s="1"/>
  <c r="DJ14" i="36"/>
  <c r="AC7" i="8" s="1"/>
  <c r="AC35" i="8" s="1"/>
  <c r="T15" i="36"/>
  <c r="W15" i="36"/>
  <c r="CI26" i="36"/>
  <c r="BZ26" i="36"/>
  <c r="BZ25" i="36"/>
  <c r="CA25" i="36" s="1"/>
  <c r="CD26" i="36"/>
  <c r="CN22" i="36"/>
  <c r="K58" i="36"/>
  <c r="J35" i="36"/>
  <c r="J32" i="36"/>
  <c r="J36" i="36" s="1"/>
  <c r="K30" i="36"/>
  <c r="P30" i="36"/>
  <c r="R34" i="36"/>
  <c r="Z80" i="36"/>
  <c r="AA50" i="36"/>
  <c r="AF50" i="36"/>
  <c r="AH34" i="36"/>
  <c r="CN36" i="36"/>
  <c r="DH34" i="36"/>
  <c r="DG34" i="36"/>
  <c r="BH34" i="36"/>
  <c r="BP36" i="36"/>
  <c r="BS36" i="36"/>
  <c r="CF34" i="36"/>
  <c r="DL36" i="36"/>
  <c r="DK36" i="36"/>
  <c r="BR42" i="36"/>
  <c r="BS41" i="36"/>
  <c r="CH42" i="36"/>
  <c r="CI41" i="36"/>
  <c r="CL43" i="36"/>
  <c r="DB42" i="36"/>
  <c r="DC41" i="36"/>
  <c r="DF43" i="36"/>
  <c r="CY41" i="36"/>
  <c r="CX42" i="36"/>
  <c r="J79" i="36"/>
  <c r="K49" i="36"/>
  <c r="P49" i="36"/>
  <c r="AZ78" i="36"/>
  <c r="AT83" i="36"/>
  <c r="AT84" i="36"/>
  <c r="AT108" i="36"/>
  <c r="AU78" i="36"/>
  <c r="AU98" i="36"/>
  <c r="BC54" i="36"/>
  <c r="BG99" i="36"/>
  <c r="BG79" i="36"/>
  <c r="BL79" i="36"/>
  <c r="BF81" i="36"/>
  <c r="BG51" i="36"/>
  <c r="BL51" i="36"/>
  <c r="BC108" i="45"/>
  <c r="CX80" i="36"/>
  <c r="CY50" i="36"/>
  <c r="DD50" i="36"/>
  <c r="BC210" i="45"/>
  <c r="CX54" i="36"/>
  <c r="CY54" i="36" s="1"/>
  <c r="DG52" i="36"/>
  <c r="BC226" i="45"/>
  <c r="N111" i="36"/>
  <c r="O101" i="36"/>
  <c r="O81" i="36"/>
  <c r="BF110" i="36"/>
  <c r="BG100" i="36"/>
  <c r="BL80" i="36"/>
  <c r="BG80" i="36"/>
  <c r="CL81" i="36"/>
  <c r="AL19" i="47"/>
  <c r="J78" i="36"/>
  <c r="J53" i="36"/>
  <c r="K48" i="36"/>
  <c r="R79" i="36"/>
  <c r="S49" i="36"/>
  <c r="T49" i="36"/>
  <c r="AB24" i="36"/>
  <c r="CQ14" i="36"/>
  <c r="CQ62" i="36"/>
  <c r="CQ24" i="36"/>
  <c r="CU14" i="36"/>
  <c r="DG14" i="36"/>
  <c r="DG62" i="36"/>
  <c r="DG24" i="36"/>
  <c r="DH24" i="36" s="1"/>
  <c r="AB15" i="36"/>
  <c r="AB16" i="36" s="1"/>
  <c r="AA15" i="36"/>
  <c r="AE15" i="36"/>
  <c r="AR15" i="36"/>
  <c r="AR16" i="36" s="1"/>
  <c r="AQ15" i="36"/>
  <c r="BK35" i="36"/>
  <c r="BL15" i="36"/>
  <c r="BL16" i="36" s="1"/>
  <c r="BK15" i="36"/>
  <c r="BO15" i="36"/>
  <c r="CV15" i="36"/>
  <c r="CV16" i="36" s="1"/>
  <c r="CU63" i="36"/>
  <c r="CU15" i="36"/>
  <c r="CY15" i="36"/>
  <c r="DC15" i="36" s="1"/>
  <c r="DG15" i="36" s="1"/>
  <c r="DK15" i="36" s="1"/>
  <c r="CF21" i="36"/>
  <c r="CR20" i="36"/>
  <c r="CV20" i="36"/>
  <c r="CZ20" i="36"/>
  <c r="DD20" i="36"/>
  <c r="DH20" i="36"/>
  <c r="BV51" i="36"/>
  <c r="BW23" i="36"/>
  <c r="BV24" i="36"/>
  <c r="BW24" i="36" s="1"/>
  <c r="BC25" i="36"/>
  <c r="O32" i="36"/>
  <c r="T32" i="36"/>
  <c r="CJ32" i="36"/>
  <c r="CI32" i="36"/>
  <c r="CJ34" i="36"/>
  <c r="S59" i="36"/>
  <c r="X31" i="36"/>
  <c r="T31" i="36"/>
  <c r="W60" i="36"/>
  <c r="W32" i="36"/>
  <c r="AB32" i="36"/>
  <c r="X32" i="36"/>
  <c r="AE30" i="36"/>
  <c r="AD48" i="36"/>
  <c r="AD34" i="36"/>
  <c r="AE34" i="36" s="1"/>
  <c r="AD36" i="36"/>
  <c r="AE36" i="36" s="1"/>
  <c r="AJ30" i="36"/>
  <c r="AF30" i="36"/>
  <c r="AH49" i="36"/>
  <c r="AN31" i="36"/>
  <c r="AJ31" i="36"/>
  <c r="CE49" i="36"/>
  <c r="CJ49" i="36"/>
  <c r="BC174" i="45"/>
  <c r="CD79" i="36"/>
  <c r="AQ33" i="36"/>
  <c r="AR33" i="36"/>
  <c r="F45" i="30" s="1"/>
  <c r="AU35" i="36"/>
  <c r="DC51" i="36"/>
  <c r="DB81" i="36"/>
  <c r="DH51" i="36"/>
  <c r="BC218" i="45"/>
  <c r="T35" i="36"/>
  <c r="AH36" i="36"/>
  <c r="BC35" i="36"/>
  <c r="BH35" i="36"/>
  <c r="BG35" i="36"/>
  <c r="BT34" i="36"/>
  <c r="CE36" i="36"/>
  <c r="AR35" i="36"/>
  <c r="AQ35" i="36"/>
  <c r="AV35" i="36"/>
  <c r="BN42" i="36"/>
  <c r="BO41" i="36"/>
  <c r="CD42" i="36"/>
  <c r="CE41" i="36"/>
  <c r="CT42" i="36"/>
  <c r="CU41" i="36"/>
  <c r="J81" i="36"/>
  <c r="P51" i="36"/>
  <c r="K51" i="36"/>
  <c r="AH131" i="36"/>
  <c r="AH141" i="36"/>
  <c r="AP51" i="36"/>
  <c r="AY53" i="36"/>
  <c r="CD53" i="36"/>
  <c r="CP110" i="36"/>
  <c r="CQ100" i="36"/>
  <c r="CQ80" i="36"/>
  <c r="CV80" i="36"/>
  <c r="CQ52" i="36"/>
  <c r="BC198" i="45"/>
  <c r="CX52" i="36"/>
  <c r="S63" i="36"/>
  <c r="BC63" i="36"/>
  <c r="BK100" i="36"/>
  <c r="BK80" i="36"/>
  <c r="BP80" i="36"/>
  <c r="BJ110" i="36"/>
  <c r="BD91" i="45"/>
  <c r="BD99" i="45"/>
  <c r="S11" i="36"/>
  <c r="W11" i="36"/>
  <c r="DL16" i="36"/>
  <c r="R14" i="36"/>
  <c r="CD14" i="36"/>
  <c r="CN16" i="36"/>
  <c r="R16" i="36"/>
  <c r="X16" i="36"/>
  <c r="AF16" i="36"/>
  <c r="AN16" i="36"/>
  <c r="AZ16" i="36"/>
  <c r="BH16" i="36"/>
  <c r="BP16" i="36"/>
  <c r="BR16" i="36"/>
  <c r="BX16" i="36"/>
  <c r="BZ16" i="36"/>
  <c r="CR16" i="36"/>
  <c r="CZ16" i="36"/>
  <c r="DH16" i="36"/>
  <c r="O20" i="36"/>
  <c r="AQ23" i="36"/>
  <c r="CI20" i="36"/>
  <c r="CH81" i="36"/>
  <c r="CN51" i="36"/>
  <c r="CJ51" i="36"/>
  <c r="CM23" i="36"/>
  <c r="CN23" i="36" s="1"/>
  <c r="DL22" i="36"/>
  <c r="W24" i="36"/>
  <c r="CD24" i="36"/>
  <c r="N25" i="36"/>
  <c r="BR25" i="36"/>
  <c r="BS25" i="36" s="1"/>
  <c r="CD25" i="36"/>
  <c r="CH25" i="36"/>
  <c r="CI25" i="36" s="1"/>
  <c r="CL25" i="36"/>
  <c r="CM25" i="36" s="1"/>
  <c r="T30" i="36"/>
  <c r="CB30" i="36"/>
  <c r="CF30" i="36"/>
  <c r="CI30" i="36"/>
  <c r="CJ31" i="36"/>
  <c r="CV30" i="36"/>
  <c r="CZ30" i="36"/>
  <c r="CR49" i="36"/>
  <c r="CM49" i="36"/>
  <c r="BW32" i="36"/>
  <c r="CL35" i="36"/>
  <c r="DD33" i="36"/>
  <c r="DH33" i="36"/>
  <c r="N36" i="36"/>
  <c r="V34" i="36"/>
  <c r="Z35" i="36"/>
  <c r="AY35" i="36"/>
  <c r="BC36" i="36"/>
  <c r="BK34" i="36"/>
  <c r="BO35" i="36"/>
  <c r="BZ36" i="36"/>
  <c r="CT35" i="36"/>
  <c r="DS33" i="36"/>
  <c r="AN36" i="36"/>
  <c r="BJ42" i="36"/>
  <c r="O51" i="36"/>
  <c r="R48" i="36"/>
  <c r="W51" i="36"/>
  <c r="V53" i="36"/>
  <c r="Z81" i="36"/>
  <c r="AF51" i="36"/>
  <c r="AE49" i="36"/>
  <c r="AI50" i="36"/>
  <c r="AP80" i="36"/>
  <c r="AQ50" i="36"/>
  <c r="AU48" i="36"/>
  <c r="AU100" i="36"/>
  <c r="AU80" i="36"/>
  <c r="AT110" i="36"/>
  <c r="AZ80" i="36"/>
  <c r="BH52" i="36"/>
  <c r="BC52" i="36"/>
  <c r="BC50" i="36"/>
  <c r="BH50" i="36"/>
  <c r="BJ54" i="36"/>
  <c r="BK48" i="36"/>
  <c r="BJ78" i="36"/>
  <c r="BP48" i="36"/>
  <c r="BJ53" i="36"/>
  <c r="BJ52" i="36"/>
  <c r="BN79" i="36"/>
  <c r="BO49" i="36"/>
  <c r="BT49" i="36"/>
  <c r="BO81" i="36"/>
  <c r="BO101" i="36"/>
  <c r="BT81" i="36"/>
  <c r="CU49" i="36"/>
  <c r="CT79" i="36"/>
  <c r="CZ49" i="36"/>
  <c r="CE58" i="36"/>
  <c r="AU63" i="36"/>
  <c r="K63" i="36"/>
  <c r="W62" i="36"/>
  <c r="AA64" i="36"/>
  <c r="AE64" i="36"/>
  <c r="AQ63" i="36"/>
  <c r="BC62" i="36"/>
  <c r="BG62" i="36"/>
  <c r="BK64" i="36"/>
  <c r="BO64" i="36"/>
  <c r="CA63" i="36"/>
  <c r="CI63" i="36"/>
  <c r="CU62" i="36"/>
  <c r="DK62" i="36"/>
  <c r="N109" i="36"/>
  <c r="O99" i="36"/>
  <c r="O79" i="36"/>
  <c r="V81" i="36"/>
  <c r="AX108" i="36"/>
  <c r="AY98" i="36"/>
  <c r="AX84" i="36"/>
  <c r="BD78" i="36"/>
  <c r="AY78" i="36"/>
  <c r="AX83" i="36"/>
  <c r="BC98" i="36"/>
  <c r="BC78" i="36"/>
  <c r="BH78" i="36"/>
  <c r="BB84" i="36"/>
  <c r="BC104" i="36" s="1"/>
  <c r="BB82" i="36"/>
  <c r="BB83" i="36"/>
  <c r="CH79" i="36"/>
  <c r="CL79" i="36"/>
  <c r="BB108" i="36"/>
  <c r="BR52" i="36"/>
  <c r="BX48" i="36"/>
  <c r="BR53" i="36"/>
  <c r="BR78" i="36"/>
  <c r="BS48" i="36"/>
  <c r="BZ80" i="36"/>
  <c r="CA50" i="36"/>
  <c r="N14" i="36"/>
  <c r="AQ13" i="36"/>
  <c r="F43" i="30" s="1"/>
  <c r="BR14" i="36"/>
  <c r="BZ14" i="36"/>
  <c r="CA34" i="36" s="1"/>
  <c r="N16" i="36"/>
  <c r="CB16" i="36"/>
  <c r="CD16" i="36"/>
  <c r="S21" i="36"/>
  <c r="CA20" i="36"/>
  <c r="CB20" i="36" s="1"/>
  <c r="CA22" i="36"/>
  <c r="CB22" i="36" s="1"/>
  <c r="CL78" i="36"/>
  <c r="CR48" i="36"/>
  <c r="CL53" i="36"/>
  <c r="CL54" i="36"/>
  <c r="CL52" i="36"/>
  <c r="J22" i="36"/>
  <c r="J26" i="36" s="1"/>
  <c r="K26" i="36" s="1"/>
  <c r="CL24" i="36"/>
  <c r="CM24" i="36" s="1"/>
  <c r="CN24" i="36" s="1"/>
  <c r="DL20" i="36"/>
  <c r="AE24" i="36"/>
  <c r="AF24" i="36" s="1"/>
  <c r="BG24" i="36"/>
  <c r="BH24" i="36" s="1"/>
  <c r="BR24" i="36"/>
  <c r="N26" i="36"/>
  <c r="CH26" i="36"/>
  <c r="CL26" i="36"/>
  <c r="CM26" i="36" s="1"/>
  <c r="CH35" i="36"/>
  <c r="CU48" i="36"/>
  <c r="CT78" i="36"/>
  <c r="CT52" i="36"/>
  <c r="CT54" i="36"/>
  <c r="S60" i="36"/>
  <c r="R50" i="36"/>
  <c r="AF48" i="36"/>
  <c r="Z53" i="36"/>
  <c r="Z52" i="36"/>
  <c r="DG51" i="36"/>
  <c r="DF81" i="36"/>
  <c r="N34" i="36"/>
  <c r="R35" i="36"/>
  <c r="V36" i="36"/>
  <c r="X36" i="36" s="1"/>
  <c r="AH35" i="36"/>
  <c r="CD35" i="36"/>
  <c r="AI101" i="36"/>
  <c r="AL80" i="36"/>
  <c r="AR50" i="36"/>
  <c r="E46" i="30" s="1"/>
  <c r="AQ54" i="36"/>
  <c r="CD111" i="36"/>
  <c r="CE81" i="36"/>
  <c r="CJ81" i="36"/>
  <c r="CE101" i="36"/>
  <c r="CL110" i="36"/>
  <c r="CM100" i="36"/>
  <c r="CR80" i="36"/>
  <c r="CM80" i="36"/>
  <c r="CP54" i="36"/>
  <c r="CP78" i="36"/>
  <c r="CQ48" i="36"/>
  <c r="CV48" i="36"/>
  <c r="CP53" i="36"/>
  <c r="DF110" i="36"/>
  <c r="DL80" i="36"/>
  <c r="DG100" i="36"/>
  <c r="DG80" i="36"/>
  <c r="R111" i="36"/>
  <c r="S101" i="36"/>
  <c r="S81" i="36"/>
  <c r="BS63" i="36"/>
  <c r="BS58" i="36"/>
  <c r="CA58" i="36"/>
  <c r="AA63" i="36"/>
  <c r="AQ64" i="36"/>
  <c r="AY64" i="36"/>
  <c r="BK63" i="36"/>
  <c r="BW64" i="36"/>
  <c r="CI64" i="36"/>
  <c r="CM64" i="36"/>
  <c r="DC64" i="36"/>
  <c r="DK63" i="36"/>
  <c r="Z78" i="36"/>
  <c r="AH80" i="36"/>
  <c r="BD143" i="45"/>
  <c r="CD78" i="36"/>
  <c r="CE48" i="36"/>
  <c r="CE60" i="36"/>
  <c r="CD50" i="36"/>
  <c r="CF50" i="36" s="1"/>
  <c r="O10" i="36"/>
  <c r="S10" i="36"/>
  <c r="AM61" i="36"/>
  <c r="AL51" i="36"/>
  <c r="AL52" i="36" s="1"/>
  <c r="CA12" i="36"/>
  <c r="CE12" i="36"/>
  <c r="CI12" i="36"/>
  <c r="BC14" i="36"/>
  <c r="CM16" i="36"/>
  <c r="J15" i="36"/>
  <c r="N15" i="36"/>
  <c r="W16" i="36"/>
  <c r="AE16" i="36"/>
  <c r="AM16" i="36"/>
  <c r="AY16" i="36"/>
  <c r="BG16" i="36"/>
  <c r="BO16" i="36"/>
  <c r="BT15" i="36"/>
  <c r="BW16" i="36"/>
  <c r="CB15" i="36"/>
  <c r="CD15" i="36"/>
  <c r="CQ16" i="36"/>
  <c r="CY16" i="36"/>
  <c r="DC16" i="36" s="1"/>
  <c r="DG16" i="36" s="1"/>
  <c r="DK16" i="36" s="1"/>
  <c r="BS20" i="36"/>
  <c r="BT20" i="36" s="1"/>
  <c r="CE20" i="36"/>
  <c r="CF20" i="36" s="1"/>
  <c r="CE22" i="36"/>
  <c r="CF22" i="36" s="1"/>
  <c r="CH78" i="36"/>
  <c r="CN48" i="36"/>
  <c r="CH53" i="36"/>
  <c r="CI48" i="36"/>
  <c r="CI21" i="36"/>
  <c r="CJ21" i="36" s="1"/>
  <c r="CH24" i="36"/>
  <c r="CI24" i="36" s="1"/>
  <c r="CM20" i="36"/>
  <c r="CN20" i="36" s="1"/>
  <c r="DL21" i="36"/>
  <c r="DV21" i="36" s="1"/>
  <c r="J24" i="36"/>
  <c r="K24" i="36" s="1"/>
  <c r="AM26" i="36"/>
  <c r="AY26" i="36"/>
  <c r="BC26" i="36"/>
  <c r="BO26" i="36"/>
  <c r="CQ26" i="36"/>
  <c r="DG26" i="36"/>
  <c r="O30" i="36"/>
  <c r="CA32" i="36"/>
  <c r="CE30" i="36"/>
  <c r="CE32" i="36"/>
  <c r="V78" i="36"/>
  <c r="V52" i="36"/>
  <c r="Z79" i="36"/>
  <c r="AA49" i="36"/>
  <c r="AD80" i="36"/>
  <c r="AE50" i="36"/>
  <c r="BW50" i="36"/>
  <c r="BV54" i="36"/>
  <c r="BX54" i="36" s="1"/>
  <c r="BV80" i="36"/>
  <c r="BV36" i="36"/>
  <c r="V35" i="36"/>
  <c r="Z36" i="36"/>
  <c r="CQ36" i="36"/>
  <c r="CT36" i="36"/>
  <c r="V49" i="36"/>
  <c r="V54" i="36" s="1"/>
  <c r="AD81" i="36"/>
  <c r="AE51" i="36"/>
  <c r="AM50" i="36"/>
  <c r="AT54" i="36"/>
  <c r="AZ48" i="36"/>
  <c r="AT53" i="36"/>
  <c r="AT52" i="36"/>
  <c r="AX79" i="36"/>
  <c r="AY49" i="36"/>
  <c r="BD49" i="36"/>
  <c r="AY81" i="36"/>
  <c r="AX111" i="36"/>
  <c r="AY101" i="36"/>
  <c r="BB109" i="36"/>
  <c r="BC99" i="36"/>
  <c r="BH79" i="36"/>
  <c r="BC79" i="36"/>
  <c r="BJ111" i="36"/>
  <c r="BK101" i="36"/>
  <c r="BP81" i="36"/>
  <c r="BK81" i="36"/>
  <c r="BO53" i="36"/>
  <c r="BT53" i="36"/>
  <c r="BS50" i="36"/>
  <c r="BR80" i="36"/>
  <c r="BX50" i="36"/>
  <c r="BW99" i="36"/>
  <c r="BW79" i="36"/>
  <c r="BV109" i="36"/>
  <c r="CB50" i="36"/>
  <c r="CJ48" i="36"/>
  <c r="CT53" i="36"/>
  <c r="CZ48" i="36"/>
  <c r="DF54" i="36"/>
  <c r="DG54" i="36" s="1"/>
  <c r="DG48" i="36"/>
  <c r="DL48" i="36"/>
  <c r="DF53" i="36"/>
  <c r="DG53" i="36" s="1"/>
  <c r="DL53" i="36" s="1"/>
  <c r="F79" i="36"/>
  <c r="F109" i="36" s="1"/>
  <c r="F129" i="36" s="1"/>
  <c r="F54" i="36"/>
  <c r="K60" i="36"/>
  <c r="CA60" i="36"/>
  <c r="W58" i="36"/>
  <c r="AT62" i="36"/>
  <c r="AU62" i="36" s="1"/>
  <c r="AU61" i="36"/>
  <c r="AI63" i="36"/>
  <c r="AY62" i="36"/>
  <c r="BG64" i="36"/>
  <c r="BW62" i="36"/>
  <c r="CM62" i="36"/>
  <c r="CU64" i="36"/>
  <c r="DC62" i="36"/>
  <c r="DK64" i="36"/>
  <c r="AI81" i="36"/>
  <c r="AP108" i="36"/>
  <c r="AQ98" i="36"/>
  <c r="AV78" i="36"/>
  <c r="AP84" i="36"/>
  <c r="AQ78" i="36"/>
  <c r="AP83" i="36"/>
  <c r="BV84" i="36"/>
  <c r="DF78" i="36"/>
  <c r="DJ108" i="36"/>
  <c r="DK98" i="36"/>
  <c r="DJ84" i="36"/>
  <c r="DK84" i="36" s="1"/>
  <c r="DJ83" i="36"/>
  <c r="DK83" i="36" s="1"/>
  <c r="DK78" i="36"/>
  <c r="CL103" i="36"/>
  <c r="CE99" i="36"/>
  <c r="BN111" i="36"/>
  <c r="AT109" i="36"/>
  <c r="AU99" i="36"/>
  <c r="AX110" i="36"/>
  <c r="AY100" i="36"/>
  <c r="AX54" i="36"/>
  <c r="BB111" i="36"/>
  <c r="BC101" i="36"/>
  <c r="BF108" i="36"/>
  <c r="BG98" i="36"/>
  <c r="BF82" i="36"/>
  <c r="BF52" i="36"/>
  <c r="BJ109" i="36"/>
  <c r="BK109" i="36" s="1"/>
  <c r="BK99" i="36"/>
  <c r="BN110" i="36"/>
  <c r="BO100" i="36"/>
  <c r="BN54" i="36"/>
  <c r="BR151" i="36"/>
  <c r="BR131" i="36"/>
  <c r="BR141" i="36"/>
  <c r="BV108" i="36"/>
  <c r="BW98" i="36"/>
  <c r="BV52" i="36"/>
  <c r="CP109" i="36"/>
  <c r="CQ99" i="36"/>
  <c r="CT110" i="36"/>
  <c r="CU100" i="36"/>
  <c r="CX151" i="36"/>
  <c r="CX131" i="36"/>
  <c r="CX141" i="36"/>
  <c r="DB108" i="36"/>
  <c r="DC98" i="36"/>
  <c r="DB52" i="36"/>
  <c r="DF109" i="36"/>
  <c r="DG99" i="36"/>
  <c r="DJ150" i="36"/>
  <c r="DJ140" i="36"/>
  <c r="DJ130" i="36"/>
  <c r="DJ54" i="36"/>
  <c r="DK54" i="36" s="1"/>
  <c r="F108" i="36"/>
  <c r="F83" i="36"/>
  <c r="F82" i="36"/>
  <c r="F84" i="36"/>
  <c r="F52" i="36"/>
  <c r="J62" i="36"/>
  <c r="BR62" i="36"/>
  <c r="BS62" i="36" s="1"/>
  <c r="BR64" i="36"/>
  <c r="BS64" i="36" s="1"/>
  <c r="BZ62" i="36"/>
  <c r="CA62" i="36" s="1"/>
  <c r="BZ64" i="36"/>
  <c r="CA64" i="36" s="1"/>
  <c r="CX62" i="36"/>
  <c r="CY62" i="36" s="1"/>
  <c r="AL78" i="36"/>
  <c r="AU79" i="36"/>
  <c r="BC81" i="36"/>
  <c r="BF83" i="36"/>
  <c r="BN78" i="36"/>
  <c r="BP79" i="36"/>
  <c r="BW78" i="36"/>
  <c r="CX79" i="36"/>
  <c r="CZ80" i="36"/>
  <c r="DG79" i="36"/>
  <c r="CL104" i="36"/>
  <c r="BS101" i="36"/>
  <c r="BG102" i="36"/>
  <c r="AX52" i="36"/>
  <c r="BB53" i="36"/>
  <c r="BF54" i="36"/>
  <c r="BN52" i="36"/>
  <c r="CX53" i="36"/>
  <c r="CY53" i="36" s="1"/>
  <c r="DD53" i="36" s="1"/>
  <c r="AY80" i="36"/>
  <c r="BF84" i="36"/>
  <c r="BL78" i="36"/>
  <c r="BR79" i="36"/>
  <c r="BT80" i="36"/>
  <c r="BZ81" i="36"/>
  <c r="CV79" i="36"/>
  <c r="CX78" i="36"/>
  <c r="DC78" i="36"/>
  <c r="DB80" i="36"/>
  <c r="DD81" i="36"/>
  <c r="DK80" i="36"/>
  <c r="BZ103" i="36"/>
  <c r="BZ104" i="36"/>
  <c r="BZ102" i="36"/>
  <c r="BW100" i="36"/>
  <c r="BV104" i="36"/>
  <c r="BW104" i="36" s="1"/>
  <c r="CY101" i="36"/>
  <c r="BG104" i="36"/>
  <c r="BC103" i="36"/>
  <c r="AP53" i="36"/>
  <c r="AZ49" i="36"/>
  <c r="BC49" i="36"/>
  <c r="BD50" i="36"/>
  <c r="BH51" i="36"/>
  <c r="BF53" i="36"/>
  <c r="BL48" i="36"/>
  <c r="BK51" i="36"/>
  <c r="BP49" i="36"/>
  <c r="BT50" i="36"/>
  <c r="BX51" i="36"/>
  <c r="BV53" i="36"/>
  <c r="CB48" i="36"/>
  <c r="CM50" i="36"/>
  <c r="CV49" i="36"/>
  <c r="CT161" i="36"/>
  <c r="CY161" i="36" s="1"/>
  <c r="CY151" i="36"/>
  <c r="CZ50" i="36"/>
  <c r="DD51" i="36"/>
  <c r="DB53" i="36"/>
  <c r="DC53" i="36" s="1"/>
  <c r="DH53" i="36" s="1"/>
  <c r="DH48" i="36"/>
  <c r="DL49" i="36"/>
  <c r="S51" i="36"/>
  <c r="BD80" i="36"/>
  <c r="BK79" i="36"/>
  <c r="BS81" i="36"/>
  <c r="BV83" i="36"/>
  <c r="BW103" i="36" s="1"/>
  <c r="CU80" i="36"/>
  <c r="DH78" i="36"/>
  <c r="K103" i="36"/>
  <c r="S99" i="36"/>
  <c r="R103" i="36"/>
  <c r="S103" i="36" s="1"/>
  <c r="R104" i="36"/>
  <c r="S104" i="36" s="1"/>
  <c r="R102" i="36"/>
  <c r="S102" i="36" s="1"/>
  <c r="DK104" i="36"/>
  <c r="CD93" i="36"/>
  <c r="CH103" i="36"/>
  <c r="N100" i="36"/>
  <c r="CL102" i="36"/>
  <c r="DB102" i="36"/>
  <c r="DB104" i="36"/>
  <c r="J102" i="36"/>
  <c r="K102" i="36" s="1"/>
  <c r="J104" i="36"/>
  <c r="K104" i="36" s="1"/>
  <c r="N103" i="36"/>
  <c r="O103" i="36" s="1"/>
  <c r="CH102" i="36"/>
  <c r="K98" i="36"/>
  <c r="O98" i="36"/>
  <c r="CE98" i="36"/>
  <c r="N102" i="36"/>
  <c r="O102" i="36" s="1"/>
  <c r="CD190" i="36"/>
  <c r="CD191" i="36" s="1"/>
  <c r="CD192" i="36"/>
  <c r="CP218" i="36"/>
  <c r="CT208" i="36"/>
  <c r="J174" i="36"/>
  <c r="J173" i="36"/>
  <c r="AP174" i="36"/>
  <c r="AP173" i="36"/>
  <c r="AP219" i="36"/>
  <c r="AU172" i="36"/>
  <c r="AD173" i="36"/>
  <c r="AH183" i="36"/>
  <c r="CT219" i="36"/>
  <c r="CX219" i="36" s="1"/>
  <c r="DB219" i="36" s="1"/>
  <c r="DF219" i="36" s="1"/>
  <c r="DN178" i="36"/>
  <c r="DO168" i="36" s="1"/>
  <c r="CP206" i="36"/>
  <c r="CP184" i="36"/>
  <c r="CT206" i="36"/>
  <c r="CP183" i="36"/>
  <c r="CH192" i="36"/>
  <c r="CH191" i="36"/>
  <c r="CL188" i="36" s="1"/>
  <c r="CL192" i="36" s="1"/>
  <c r="CT217" i="36"/>
  <c r="CX207" i="36"/>
  <c r="AH174" i="36"/>
  <c r="CP219" i="36"/>
  <c r="AC52" i="8"/>
  <c r="BG90" i="3" s="1"/>
  <c r="DK171" i="36"/>
  <c r="CP182" i="36"/>
  <c r="AP218" i="36"/>
  <c r="AP217" i="36"/>
  <c r="CT205" i="36"/>
  <c r="BH45" i="45"/>
  <c r="BK53" i="45"/>
  <c r="BL53" i="45"/>
  <c r="BM53" i="45"/>
  <c r="BA53" i="45"/>
  <c r="AZ53" i="45"/>
  <c r="D388" i="47"/>
  <c r="J388" i="47" s="1"/>
  <c r="AG71" i="40"/>
  <c r="AW79" i="40"/>
  <c r="BK152" i="40"/>
  <c r="AW156" i="40"/>
  <c r="AR191" i="40"/>
  <c r="BK194" i="40"/>
  <c r="BL194" i="40" s="1"/>
  <c r="BK195" i="40"/>
  <c r="BL195" i="40" s="1"/>
  <c r="BN195" i="40" s="1"/>
  <c r="BK196" i="40"/>
  <c r="BL196" i="40" s="1"/>
  <c r="BK197" i="40"/>
  <c r="BL197" i="40" s="1"/>
  <c r="AR205" i="40"/>
  <c r="BK18" i="45"/>
  <c r="I25" i="45"/>
  <c r="BK32" i="45"/>
  <c r="BL39" i="45"/>
  <c r="R53" i="45"/>
  <c r="AN53" i="45"/>
  <c r="AO51" i="40" s="1"/>
  <c r="BF53" i="45"/>
  <c r="BH53" i="45" s="1"/>
  <c r="BA57" i="45"/>
  <c r="U60" i="45"/>
  <c r="BH59" i="45"/>
  <c r="BA64" i="45"/>
  <c r="BA65" i="45"/>
  <c r="AY67" i="45"/>
  <c r="AP67" i="45"/>
  <c r="BG70" i="45"/>
  <c r="BD70" i="45"/>
  <c r="AX77" i="45"/>
  <c r="AX78" i="45"/>
  <c r="BA86" i="45"/>
  <c r="BR122" i="45"/>
  <c r="BH122" i="45"/>
  <c r="BQ122" i="45"/>
  <c r="BP122" i="45"/>
  <c r="BL32" i="45"/>
  <c r="R67" i="45"/>
  <c r="AZ63" i="45"/>
  <c r="AZ67" i="45"/>
  <c r="BA72" i="45"/>
  <c r="F74" i="45"/>
  <c r="I73" i="45"/>
  <c r="BA85" i="45"/>
  <c r="BA78" i="45"/>
  <c r="AZ79" i="45"/>
  <c r="BA79" i="45"/>
  <c r="AY80" i="45"/>
  <c r="F87" i="45"/>
  <c r="F80" i="45"/>
  <c r="AX85" i="45"/>
  <c r="AX92" i="45"/>
  <c r="BD85" i="45"/>
  <c r="AZ85" i="45"/>
  <c r="AX87" i="45"/>
  <c r="AX94" i="45"/>
  <c r="AZ87" i="45"/>
  <c r="BG86" i="45"/>
  <c r="BD86" i="45"/>
  <c r="BO94" i="45"/>
  <c r="BR94" i="45"/>
  <c r="BH94" i="45"/>
  <c r="BQ94" i="45"/>
  <c r="BP115" i="45"/>
  <c r="BH115" i="45"/>
  <c r="BO115" i="45"/>
  <c r="BR115" i="45"/>
  <c r="D201" i="47"/>
  <c r="J201" i="47" s="1"/>
  <c r="D374" i="47"/>
  <c r="J374" i="47" s="1"/>
  <c r="AW72" i="40"/>
  <c r="AV71" i="40"/>
  <c r="AU71" i="40" s="1"/>
  <c r="AU72" i="40" s="1"/>
  <c r="AV78" i="40"/>
  <c r="AU78" i="40" s="1"/>
  <c r="AV131" i="40"/>
  <c r="AV135" i="40" s="1"/>
  <c r="BK138" i="40"/>
  <c r="BK139" i="40"/>
  <c r="BK140" i="40"/>
  <c r="BK141" i="40"/>
  <c r="BK142" i="40"/>
  <c r="BK166" i="40"/>
  <c r="BK167" i="40"/>
  <c r="BK168" i="40"/>
  <c r="BM18" i="45"/>
  <c r="BL25" i="45"/>
  <c r="BM32" i="45"/>
  <c r="AZ51" i="45"/>
  <c r="I53" i="45"/>
  <c r="BJ53" i="45"/>
  <c r="AZ58" i="45"/>
  <c r="AN60" i="45"/>
  <c r="AO58" i="40" s="1"/>
  <c r="F67" i="45"/>
  <c r="BH63" i="45"/>
  <c r="BH67" i="45"/>
  <c r="BJ67" i="45"/>
  <c r="BA70" i="45"/>
  <c r="AZ72" i="45"/>
  <c r="BD71" i="45"/>
  <c r="U73" i="45"/>
  <c r="AZ78" i="45"/>
  <c r="AZ80" i="45"/>
  <c r="I80" i="45"/>
  <c r="AP80" i="45"/>
  <c r="BF80" i="45"/>
  <c r="BH80" i="45" s="1"/>
  <c r="AX84" i="45"/>
  <c r="AX91" i="45"/>
  <c r="BP94" i="45"/>
  <c r="AW173" i="47"/>
  <c r="D187" i="47"/>
  <c r="J187" i="47" s="1"/>
  <c r="AV79" i="40"/>
  <c r="BK161" i="40"/>
  <c r="AV155" i="40"/>
  <c r="AU155" i="40" s="1"/>
  <c r="BK175" i="40"/>
  <c r="BK176" i="40"/>
  <c r="BK202" i="40"/>
  <c r="BL202" i="40" s="1"/>
  <c r="AY60" i="45"/>
  <c r="BH60" i="45" s="1"/>
  <c r="R60" i="45"/>
  <c r="AN67" i="45"/>
  <c r="AO65" i="40" s="1"/>
  <c r="AX71" i="45"/>
  <c r="AZ73" i="45"/>
  <c r="BG72" i="45"/>
  <c r="BD72" i="45"/>
  <c r="AX80" i="45"/>
  <c r="AZ81" i="45"/>
  <c r="BD78" i="45"/>
  <c r="AN80" i="45"/>
  <c r="AO78" i="40" s="1"/>
  <c r="AX86" i="45"/>
  <c r="AX93" i="45"/>
  <c r="AZ86" i="45"/>
  <c r="BG84" i="45"/>
  <c r="BD84" i="45"/>
  <c r="BQ115" i="45"/>
  <c r="BR126" i="45"/>
  <c r="BQ126" i="45"/>
  <c r="BP126" i="45"/>
  <c r="BD77" i="45"/>
  <c r="R80" i="45"/>
  <c r="BG85" i="45"/>
  <c r="BJ86" i="45"/>
  <c r="BO84" i="45"/>
  <c r="BO85" i="45"/>
  <c r="BO86" i="45"/>
  <c r="BO88" i="45"/>
  <c r="BF87" i="45"/>
  <c r="BG93" i="45"/>
  <c r="BL91" i="45"/>
  <c r="BL92" i="45"/>
  <c r="BL93" i="45"/>
  <c r="BL94" i="45"/>
  <c r="BQ92" i="45"/>
  <c r="BQ93" i="45"/>
  <c r="AN95" i="45"/>
  <c r="AO93" i="40" s="1"/>
  <c r="AY95" i="45"/>
  <c r="BA102" i="45" s="1"/>
  <c r="BA94" i="45"/>
  <c r="AX98" i="45"/>
  <c r="AX99" i="45"/>
  <c r="AX100" i="45"/>
  <c r="BD98" i="45"/>
  <c r="BD100" i="45"/>
  <c r="BM98" i="45"/>
  <c r="BM99" i="45"/>
  <c r="BM100" i="45"/>
  <c r="BM101" i="45"/>
  <c r="BM102" i="45"/>
  <c r="BR98" i="45"/>
  <c r="BR102" i="45"/>
  <c r="F102" i="45"/>
  <c r="U102" i="45"/>
  <c r="BA98" i="45"/>
  <c r="BG105" i="45"/>
  <c r="BL105" i="45"/>
  <c r="BL106" i="45"/>
  <c r="BL107" i="45"/>
  <c r="BL108" i="45"/>
  <c r="BL109" i="45"/>
  <c r="BQ105" i="45"/>
  <c r="BQ106" i="45"/>
  <c r="BQ109" i="45"/>
  <c r="R109" i="45"/>
  <c r="BA106" i="45"/>
  <c r="BD112" i="45"/>
  <c r="BD114" i="45"/>
  <c r="BM112" i="45"/>
  <c r="BM113" i="45"/>
  <c r="BM114" i="45"/>
  <c r="BM115" i="45"/>
  <c r="BR113" i="45"/>
  <c r="BR114" i="45"/>
  <c r="AX116" i="45"/>
  <c r="BA114" i="45"/>
  <c r="BY116" i="45"/>
  <c r="BG120" i="45"/>
  <c r="BJ120" i="45"/>
  <c r="BO119" i="45"/>
  <c r="BO120" i="45"/>
  <c r="BO122" i="45"/>
  <c r="BO123" i="45"/>
  <c r="BG122" i="45"/>
  <c r="R123" i="45"/>
  <c r="AP123" i="45"/>
  <c r="AZ127" i="45"/>
  <c r="AZ128" i="45"/>
  <c r="AZ129" i="45"/>
  <c r="BJ127" i="45"/>
  <c r="BJ128" i="45"/>
  <c r="BJ129" i="45"/>
  <c r="BO126" i="45"/>
  <c r="AR126" i="45"/>
  <c r="H129" i="45"/>
  <c r="I126" i="45"/>
  <c r="I130" i="45"/>
  <c r="K170" i="45"/>
  <c r="AY137" i="45"/>
  <c r="BJ137" i="45" s="1"/>
  <c r="F137" i="45"/>
  <c r="AZ133" i="45"/>
  <c r="AZ135" i="45"/>
  <c r="BR135" i="45"/>
  <c r="BQ135" i="45"/>
  <c r="BP135" i="45"/>
  <c r="BH135" i="45"/>
  <c r="BF142" i="45"/>
  <c r="U144" i="45"/>
  <c r="AN144" i="45"/>
  <c r="AS144" i="45"/>
  <c r="AY88" i="45"/>
  <c r="BM91" i="45"/>
  <c r="BM92" i="45"/>
  <c r="BM93" i="45"/>
  <c r="BM94" i="45"/>
  <c r="BG94" i="45"/>
  <c r="R95" i="45"/>
  <c r="U94" i="45"/>
  <c r="BA91" i="45"/>
  <c r="BH91" i="45"/>
  <c r="BJ98" i="45"/>
  <c r="BJ99" i="45"/>
  <c r="BJ100" i="45"/>
  <c r="AX102" i="45"/>
  <c r="BA99" i="45"/>
  <c r="BH99" i="45"/>
  <c r="BM105" i="45"/>
  <c r="BM106" i="45"/>
  <c r="BM107" i="45"/>
  <c r="BM108" i="45"/>
  <c r="BA107" i="45"/>
  <c r="BF108" i="45"/>
  <c r="BH107" i="45"/>
  <c r="BJ112" i="45"/>
  <c r="BJ113" i="45"/>
  <c r="BJ114" i="45"/>
  <c r="BJ115" i="45"/>
  <c r="BG115" i="45"/>
  <c r="BA115" i="45"/>
  <c r="AZ119" i="45"/>
  <c r="AZ120" i="45"/>
  <c r="AZ121" i="45"/>
  <c r="AZ122" i="45"/>
  <c r="BD120" i="45"/>
  <c r="BD122" i="45"/>
  <c r="I122" i="45"/>
  <c r="AX123" i="45"/>
  <c r="BA121" i="45"/>
  <c r="BG126" i="45"/>
  <c r="BK127" i="45"/>
  <c r="BK128" i="45"/>
  <c r="BK129" i="45"/>
  <c r="BD128" i="45"/>
  <c r="AN130" i="45"/>
  <c r="AO128" i="40" s="1"/>
  <c r="BF133" i="45"/>
  <c r="BQ133" i="45" s="1"/>
  <c r="BM133" i="45"/>
  <c r="BK133" i="45"/>
  <c r="BM135" i="45"/>
  <c r="BK135" i="45"/>
  <c r="BA135" i="45"/>
  <c r="BJ135" i="45"/>
  <c r="BG134" i="45"/>
  <c r="BD134" i="45"/>
  <c r="R137" i="45"/>
  <c r="BL141" i="45"/>
  <c r="BK141" i="45"/>
  <c r="BA141" i="45"/>
  <c r="BM141" i="45"/>
  <c r="R144" i="45"/>
  <c r="BR141" i="45"/>
  <c r="AA183" i="45"/>
  <c r="BJ91" i="45"/>
  <c r="BJ92" i="45"/>
  <c r="BJ93" i="45"/>
  <c r="BJ94" i="45"/>
  <c r="BA92" i="45"/>
  <c r="BH92" i="45"/>
  <c r="BA100" i="45"/>
  <c r="BF101" i="45"/>
  <c r="BH100" i="45"/>
  <c r="BY102" i="45"/>
  <c r="BJ105" i="45"/>
  <c r="BJ106" i="45"/>
  <c r="BJ107" i="45"/>
  <c r="BJ108" i="45"/>
  <c r="BG108" i="45"/>
  <c r="AN109" i="45"/>
  <c r="AO107" i="40" s="1"/>
  <c r="BA108" i="45"/>
  <c r="BK112" i="45"/>
  <c r="BK113" i="45"/>
  <c r="AP115" i="45"/>
  <c r="BA112" i="45"/>
  <c r="BA116" i="45"/>
  <c r="BH112" i="45"/>
  <c r="AY123" i="45"/>
  <c r="BH123" i="45" s="1"/>
  <c r="BA122" i="45"/>
  <c r="AX126" i="45"/>
  <c r="AX127" i="45"/>
  <c r="AX128" i="45"/>
  <c r="AX129" i="45"/>
  <c r="AU127" i="45"/>
  <c r="BA129" i="45"/>
  <c r="BH127" i="45"/>
  <c r="AP133" i="45"/>
  <c r="AO137" i="45"/>
  <c r="U137" i="45"/>
  <c r="BH134" i="45"/>
  <c r="BG142" i="45"/>
  <c r="BQ142" i="45"/>
  <c r="BR142" i="45"/>
  <c r="X183" i="45"/>
  <c r="BG79" i="45"/>
  <c r="BR85" i="45"/>
  <c r="AZ91" i="45"/>
  <c r="AZ92" i="45"/>
  <c r="AZ93" i="45"/>
  <c r="AZ94" i="45"/>
  <c r="BD92" i="45"/>
  <c r="BK93" i="45"/>
  <c r="BP93" i="45"/>
  <c r="BL102" i="45"/>
  <c r="BG101" i="45"/>
  <c r="AZ105" i="45"/>
  <c r="AZ106" i="45"/>
  <c r="AZ107" i="45"/>
  <c r="AZ108" i="45"/>
  <c r="BD106" i="45"/>
  <c r="BK105" i="45"/>
  <c r="BK109" i="45"/>
  <c r="BP105" i="45"/>
  <c r="BP109" i="45"/>
  <c r="BD108" i="45"/>
  <c r="BL112" i="45"/>
  <c r="BL113" i="45"/>
  <c r="BQ113" i="45"/>
  <c r="BD119" i="45"/>
  <c r="BD121" i="45"/>
  <c r="BM127" i="45"/>
  <c r="BM128" i="45"/>
  <c r="BD127" i="45"/>
  <c r="BD129" i="45"/>
  <c r="BH128" i="45"/>
  <c r="BR133" i="45"/>
  <c r="BA134" i="45"/>
  <c r="BM134" i="45"/>
  <c r="BK134" i="45"/>
  <c r="BJ134" i="45"/>
  <c r="BM136" i="45"/>
  <c r="BA136" i="45"/>
  <c r="BK136" i="45"/>
  <c r="BJ136" i="45"/>
  <c r="BL134" i="45"/>
  <c r="AZ141" i="45"/>
  <c r="BY170" i="45"/>
  <c r="BT170" i="45"/>
  <c r="BO170" i="45"/>
  <c r="BR170" i="45"/>
  <c r="BQ170" i="45"/>
  <c r="BU170" i="45" s="1"/>
  <c r="BJ133" i="45"/>
  <c r="BO135" i="45"/>
  <c r="I133" i="45"/>
  <c r="BA140" i="45"/>
  <c r="AY142" i="45"/>
  <c r="BJ142" i="45" s="1"/>
  <c r="AX143" i="45"/>
  <c r="BM140" i="45"/>
  <c r="E144" i="45"/>
  <c r="X144" i="45"/>
  <c r="BF143" i="45"/>
  <c r="BO154" i="45"/>
  <c r="AW156" i="45"/>
  <c r="BW156" i="45" s="1"/>
  <c r="BP159" i="45"/>
  <c r="BP163" i="45"/>
  <c r="BW159" i="45"/>
  <c r="AS163" i="45"/>
  <c r="F170" i="45"/>
  <c r="I169" i="45"/>
  <c r="R170" i="45"/>
  <c r="AH170" i="45"/>
  <c r="AK170" i="45"/>
  <c r="BR175" i="45"/>
  <c r="BF176" i="45"/>
  <c r="X177" i="45"/>
  <c r="AN180" i="45"/>
  <c r="BO182" i="45"/>
  <c r="BT182" i="45"/>
  <c r="AM191" i="45"/>
  <c r="AN191" i="45" s="1"/>
  <c r="BF190" i="45"/>
  <c r="E272" i="45"/>
  <c r="E271" i="45"/>
  <c r="E270" i="45"/>
  <c r="F205" i="45"/>
  <c r="I205" i="45"/>
  <c r="BD133" i="45"/>
  <c r="BD135" i="45"/>
  <c r="BE136" i="45"/>
  <c r="BF136" i="45" s="1"/>
  <c r="H137" i="45"/>
  <c r="AT137" i="45"/>
  <c r="F140" i="45"/>
  <c r="AX140" i="45"/>
  <c r="AZ142" i="45"/>
  <c r="AY143" i="45"/>
  <c r="BJ140" i="45"/>
  <c r="BJ141" i="45"/>
  <c r="BO141" i="45"/>
  <c r="BO142" i="45"/>
  <c r="N144" i="45"/>
  <c r="AD144" i="45"/>
  <c r="BP154" i="45"/>
  <c r="BT154" i="45"/>
  <c r="I156" i="45"/>
  <c r="AK156" i="45"/>
  <c r="AM163" i="45"/>
  <c r="BQ163" i="45"/>
  <c r="BU163" i="45" s="1"/>
  <c r="R163" i="45"/>
  <c r="AU163" i="45"/>
  <c r="BW163" i="45"/>
  <c r="AM170" i="45"/>
  <c r="AN170" i="45" s="1"/>
  <c r="I170" i="45"/>
  <c r="U170" i="45"/>
  <c r="BH166" i="45"/>
  <c r="BH170" i="45"/>
  <c r="BW170" i="45"/>
  <c r="AN176" i="45"/>
  <c r="AV182" i="45"/>
  <c r="BW182" i="45"/>
  <c r="AU184" i="45"/>
  <c r="AN188" i="45"/>
  <c r="BT187" i="45"/>
  <c r="BO187" i="45"/>
  <c r="BW187" i="45"/>
  <c r="BQ187" i="45"/>
  <c r="BU187" i="45" s="1"/>
  <c r="AN196" i="45"/>
  <c r="F198" i="45"/>
  <c r="I198" i="45"/>
  <c r="AU205" i="45"/>
  <c r="AU133" i="45"/>
  <c r="F133" i="45"/>
  <c r="AX141" i="45"/>
  <c r="BK140" i="45"/>
  <c r="BD142" i="45"/>
  <c r="O144" i="45"/>
  <c r="AE144" i="45"/>
  <c r="BF141" i="45"/>
  <c r="BH141" i="45" s="1"/>
  <c r="AM156" i="45"/>
  <c r="K166" i="45"/>
  <c r="AN174" i="45"/>
  <c r="AM177" i="45"/>
  <c r="R177" i="45"/>
  <c r="X187" i="45"/>
  <c r="W184" i="45"/>
  <c r="AA180" i="45"/>
  <c r="X180" i="45"/>
  <c r="AN181" i="45"/>
  <c r="W191" i="45"/>
  <c r="AA190" i="45"/>
  <c r="X190" i="45"/>
  <c r="BR190" i="45"/>
  <c r="AG272" i="45"/>
  <c r="AG271" i="45"/>
  <c r="AG270" i="45"/>
  <c r="AK198" i="45"/>
  <c r="BP204" i="45"/>
  <c r="BW204" i="45"/>
  <c r="BO204" i="45"/>
  <c r="AZ140" i="45"/>
  <c r="AO140" i="45"/>
  <c r="AT140" i="45"/>
  <c r="AS177" i="45"/>
  <c r="AW177" i="45"/>
  <c r="AG178" i="45" s="1"/>
  <c r="AK177" i="45"/>
  <c r="AW180" i="45"/>
  <c r="AK180" i="45"/>
  <c r="AG183" i="45"/>
  <c r="AN182" i="45"/>
  <c r="BR180" i="45"/>
  <c r="AH180" i="45"/>
  <c r="F184" i="45"/>
  <c r="BP181" i="45"/>
  <c r="AV181" i="45"/>
  <c r="BR181" i="45"/>
  <c r="BT181" i="45"/>
  <c r="BQ181" i="45"/>
  <c r="BU181" i="45" s="1"/>
  <c r="AN190" i="45"/>
  <c r="X197" i="45"/>
  <c r="AG266" i="45"/>
  <c r="W266" i="45"/>
  <c r="Q266" i="45"/>
  <c r="BT196" i="45"/>
  <c r="BR196" i="45"/>
  <c r="BQ196" i="45"/>
  <c r="BU196" i="45" s="1"/>
  <c r="BW196" i="45"/>
  <c r="BO196" i="45"/>
  <c r="AN201" i="45"/>
  <c r="AM205" i="45"/>
  <c r="AN205" i="45" s="1"/>
  <c r="AM184" i="45"/>
  <c r="AN184" i="45" s="1"/>
  <c r="R187" i="45"/>
  <c r="R190" i="45"/>
  <c r="BW190" i="45"/>
  <c r="AR191" i="45"/>
  <c r="F191" i="45"/>
  <c r="BO197" i="45"/>
  <c r="BF197" i="45"/>
  <c r="AW199" i="45"/>
  <c r="BP199" i="45" s="1"/>
  <c r="AN202" i="45"/>
  <c r="AH205" i="45"/>
  <c r="AN209" i="45"/>
  <c r="AN219" i="45"/>
  <c r="AN226" i="45"/>
  <c r="F190" i="45"/>
  <c r="AS190" i="45"/>
  <c r="BP197" i="45"/>
  <c r="F197" i="45"/>
  <c r="Q267" i="45"/>
  <c r="W273" i="45"/>
  <c r="W267" i="45"/>
  <c r="W198" i="45"/>
  <c r="BR197" i="45"/>
  <c r="AG273" i="45"/>
  <c r="AG267" i="45"/>
  <c r="AH197" i="45"/>
  <c r="AG265" i="45"/>
  <c r="W265" i="45"/>
  <c r="Q265" i="45"/>
  <c r="BW195" i="45"/>
  <c r="BR195" i="45"/>
  <c r="BQ204" i="45"/>
  <c r="BU204" i="45" s="1"/>
  <c r="R204" i="45"/>
  <c r="E266" i="45"/>
  <c r="BW203" i="45"/>
  <c r="BP203" i="45"/>
  <c r="AN210" i="45"/>
  <c r="AN194" i="45"/>
  <c r="AN204" i="45"/>
  <c r="BF204" i="45"/>
  <c r="X211" i="45"/>
  <c r="X204" i="45"/>
  <c r="W205" i="45"/>
  <c r="AN208" i="45"/>
  <c r="BP212" i="45"/>
  <c r="BT212" i="45"/>
  <c r="BR212" i="45"/>
  <c r="I197" i="45"/>
  <c r="AG264" i="45"/>
  <c r="W264" i="45"/>
  <c r="Q264" i="45"/>
  <c r="BP201" i="45"/>
  <c r="E273" i="45"/>
  <c r="E267" i="45"/>
  <c r="AH204" i="45"/>
  <c r="BR208" i="45"/>
  <c r="AH211" i="45"/>
  <c r="W294" i="45"/>
  <c r="W293" i="45"/>
  <c r="W292" i="45"/>
  <c r="W291" i="45"/>
  <c r="AU212" i="45"/>
  <c r="BW212" i="45"/>
  <c r="AG286" i="45"/>
  <c r="W286" i="45"/>
  <c r="Q286" i="45"/>
  <c r="E286" i="45"/>
  <c r="AS243" i="45"/>
  <c r="AN215" i="45"/>
  <c r="BR217" i="45"/>
  <c r="BR218" i="45"/>
  <c r="I219" i="45"/>
  <c r="BW219" i="45"/>
  <c r="AW219" i="45"/>
  <c r="AS226" i="45"/>
  <c r="BF218" i="45"/>
  <c r="AN245" i="45"/>
  <c r="H245" i="45"/>
  <c r="Z245" i="45"/>
  <c r="AJ245" i="45"/>
  <c r="AJ247" i="45"/>
  <c r="AM212" i="45"/>
  <c r="Q294" i="45"/>
  <c r="Q293" i="45"/>
  <c r="Q292" i="45"/>
  <c r="Q291" i="45"/>
  <c r="BF211" i="45"/>
  <c r="AG261" i="45"/>
  <c r="AG287" i="45"/>
  <c r="W287" i="45"/>
  <c r="Q287" i="45"/>
  <c r="E287" i="45"/>
  <c r="E261" i="45"/>
  <c r="AS219" i="45"/>
  <c r="AN222" i="45"/>
  <c r="H246" i="45"/>
  <c r="AT242" i="45"/>
  <c r="Z246" i="45"/>
  <c r="AJ246" i="45"/>
  <c r="E294" i="45"/>
  <c r="E293" i="45"/>
  <c r="E292" i="45"/>
  <c r="E291" i="45"/>
  <c r="BW210" i="45"/>
  <c r="AG288" i="45"/>
  <c r="W288" i="45"/>
  <c r="Q288" i="45"/>
  <c r="E288" i="45"/>
  <c r="AS245" i="45"/>
  <c r="AN216" i="45"/>
  <c r="AN218" i="45"/>
  <c r="R219" i="45"/>
  <c r="BW226" i="45"/>
  <c r="AN242" i="45"/>
  <c r="BQ212" i="45"/>
  <c r="BU212" i="45" s="1"/>
  <c r="U267" i="45"/>
  <c r="AT245" i="45"/>
  <c r="F212" i="45"/>
  <c r="U212" i="45"/>
  <c r="AG294" i="45"/>
  <c r="AG293" i="45"/>
  <c r="AG292" i="45"/>
  <c r="AG291" i="45"/>
  <c r="AS212" i="45"/>
  <c r="AU211" i="45"/>
  <c r="BO212" i="45"/>
  <c r="BW211" i="45"/>
  <c r="AS242" i="45"/>
  <c r="AG285" i="45"/>
  <c r="W285" i="45"/>
  <c r="Q285" i="45"/>
  <c r="E285" i="45"/>
  <c r="BP210" i="45"/>
  <c r="F219" i="45"/>
  <c r="U219" i="45"/>
  <c r="AH219" i="45"/>
  <c r="AN231" i="45"/>
  <c r="AN243" i="45"/>
  <c r="AN244" i="45"/>
  <c r="AS244" i="45"/>
  <c r="Z247" i="45"/>
  <c r="AA226" i="45"/>
  <c r="H238" i="45"/>
  <c r="BW224" i="45"/>
  <c r="AM233" i="45"/>
  <c r="AN233" i="45" s="1"/>
  <c r="AS233" i="45"/>
  <c r="AC234" i="14" s="1"/>
  <c r="AC235" i="14" s="1"/>
  <c r="AR239" i="45"/>
  <c r="H247" i="45"/>
  <c r="AH226" i="45"/>
  <c r="F232" i="45"/>
  <c r="AM240" i="45"/>
  <c r="Z236" i="45"/>
  <c r="H244" i="45"/>
  <c r="BO224" i="45"/>
  <c r="BT226" i="45"/>
  <c r="AW226" i="45"/>
  <c r="AU232" i="45"/>
  <c r="X236" i="45"/>
  <c r="AU156" i="47"/>
  <c r="AU160" i="47"/>
  <c r="AU172" i="47"/>
  <c r="AG16" i="40"/>
  <c r="AG20" i="40"/>
  <c r="T20" i="40"/>
  <c r="D20" i="40"/>
  <c r="H20" i="40" s="1"/>
  <c r="T22" i="40"/>
  <c r="D22" i="40"/>
  <c r="H22" i="40" s="1"/>
  <c r="AG22" i="40"/>
  <c r="N19" i="40"/>
  <c r="T34" i="40"/>
  <c r="N34" i="40"/>
  <c r="P34" i="40" s="1"/>
  <c r="D48" i="40"/>
  <c r="H48" i="40" s="1"/>
  <c r="D41" i="40"/>
  <c r="H41" i="40" s="1"/>
  <c r="AG41" i="40"/>
  <c r="AI41" i="40" s="1"/>
  <c r="AK41" i="40" s="1"/>
  <c r="AG43" i="40"/>
  <c r="AI43" i="40" s="1"/>
  <c r="T43" i="40"/>
  <c r="D43" i="40"/>
  <c r="H43" i="40" s="1"/>
  <c r="AG62" i="40"/>
  <c r="AI62" i="40" s="1"/>
  <c r="T62" i="40"/>
  <c r="V62" i="40" s="1"/>
  <c r="D62" i="40"/>
  <c r="H62" i="40" s="1"/>
  <c r="T64" i="40"/>
  <c r="D64" i="40"/>
  <c r="H64" i="40" s="1"/>
  <c r="AG64" i="40"/>
  <c r="AI64" i="40" s="1"/>
  <c r="AK64" i="40" s="1"/>
  <c r="N64" i="40"/>
  <c r="AG77" i="40"/>
  <c r="AT77" i="40"/>
  <c r="D77" i="40"/>
  <c r="H77" i="40" s="1"/>
  <c r="T77" i="40"/>
  <c r="AG84" i="40"/>
  <c r="AI84" i="40" s="1"/>
  <c r="D84" i="40"/>
  <c r="H84" i="40" s="1"/>
  <c r="D91" i="40"/>
  <c r="H91" i="40" s="1"/>
  <c r="AT84" i="40"/>
  <c r="T84" i="40"/>
  <c r="V84" i="40" s="1"/>
  <c r="N84" i="40"/>
  <c r="N91" i="40"/>
  <c r="AU166" i="47"/>
  <c r="L16" i="40"/>
  <c r="N20" i="40"/>
  <c r="N36" i="40"/>
  <c r="T48" i="40"/>
  <c r="AI49" i="40"/>
  <c r="AC50" i="40"/>
  <c r="T54" i="40"/>
  <c r="D54" i="40"/>
  <c r="H54" i="40" s="1"/>
  <c r="R58" i="40"/>
  <c r="AG54" i="40"/>
  <c r="AG56" i="40"/>
  <c r="AI56" i="40" s="1"/>
  <c r="T56" i="40"/>
  <c r="V56" i="40" s="1"/>
  <c r="D56" i="40"/>
  <c r="H56" i="40" s="1"/>
  <c r="AC57" i="40"/>
  <c r="D68" i="40"/>
  <c r="H68" i="40" s="1"/>
  <c r="AG68" i="40"/>
  <c r="R72" i="40"/>
  <c r="T68" i="40"/>
  <c r="AT68" i="40"/>
  <c r="D70" i="40"/>
  <c r="H70" i="40" s="1"/>
  <c r="AG70" i="40"/>
  <c r="AI70" i="40" s="1"/>
  <c r="AT70" i="40"/>
  <c r="T15" i="40"/>
  <c r="R23" i="40"/>
  <c r="D23" i="40" s="1"/>
  <c r="H23" i="40" s="1"/>
  <c r="AG19" i="40"/>
  <c r="T19" i="40"/>
  <c r="D19" i="40"/>
  <c r="H19" i="40" s="1"/>
  <c r="P19" i="40" s="1"/>
  <c r="N22" i="40"/>
  <c r="AG28" i="40"/>
  <c r="T28" i="40"/>
  <c r="D28" i="40"/>
  <c r="H28" i="40" s="1"/>
  <c r="AG36" i="40"/>
  <c r="AI36" i="40" s="1"/>
  <c r="T36" i="40"/>
  <c r="D36" i="40"/>
  <c r="H36" i="40" s="1"/>
  <c r="P36" i="40" s="1"/>
  <c r="AG40" i="40"/>
  <c r="T40" i="40"/>
  <c r="D40" i="40"/>
  <c r="H40" i="40" s="1"/>
  <c r="R44" i="40"/>
  <c r="T42" i="40"/>
  <c r="D42" i="40"/>
  <c r="H42" i="40" s="1"/>
  <c r="AG42" i="40"/>
  <c r="N42" i="40"/>
  <c r="N55" i="40"/>
  <c r="L58" i="40"/>
  <c r="AC56" i="40"/>
  <c r="N61" i="40"/>
  <c r="AC78" i="40"/>
  <c r="AI78" i="40"/>
  <c r="AU164" i="47"/>
  <c r="L30" i="40"/>
  <c r="N26" i="40"/>
  <c r="T26" i="40"/>
  <c r="D26" i="40"/>
  <c r="H26" i="40" s="1"/>
  <c r="R30" i="40"/>
  <c r="AG26" i="40"/>
  <c r="T29" i="40"/>
  <c r="V29" i="40" s="1"/>
  <c r="AC40" i="40"/>
  <c r="AG50" i="40"/>
  <c r="AI50" i="40" s="1"/>
  <c r="AK50" i="40" s="1"/>
  <c r="T50" i="40"/>
  <c r="V50" i="40" s="1"/>
  <c r="D50" i="40"/>
  <c r="H50" i="40" s="1"/>
  <c r="AC47" i="40"/>
  <c r="AG55" i="40"/>
  <c r="AI55" i="40" s="1"/>
  <c r="T55" i="40"/>
  <c r="V55" i="40" s="1"/>
  <c r="D55" i="40"/>
  <c r="H55" i="40" s="1"/>
  <c r="T57" i="40"/>
  <c r="V57" i="40" s="1"/>
  <c r="D57" i="40"/>
  <c r="H57" i="40" s="1"/>
  <c r="AG57" i="40"/>
  <c r="AI57" i="40" s="1"/>
  <c r="N56" i="40"/>
  <c r="AE71" i="40"/>
  <c r="N71" i="40"/>
  <c r="P71" i="40" s="1"/>
  <c r="T71" i="40"/>
  <c r="V71" i="40" s="1"/>
  <c r="AI71" i="40"/>
  <c r="AK71" i="40" s="1"/>
  <c r="N78" i="40"/>
  <c r="AG92" i="40"/>
  <c r="AI92" i="40" s="1"/>
  <c r="D92" i="40"/>
  <c r="H92" i="40" s="1"/>
  <c r="T92" i="40"/>
  <c r="AT92" i="40"/>
  <c r="R93" i="40"/>
  <c r="AG21" i="40"/>
  <c r="D27" i="40"/>
  <c r="H27" i="40" s="1"/>
  <c r="P27" i="40" s="1"/>
  <c r="T27" i="40"/>
  <c r="AG29" i="40"/>
  <c r="D35" i="40"/>
  <c r="H35" i="40" s="1"/>
  <c r="P35" i="40" s="1"/>
  <c r="T35" i="40"/>
  <c r="V35" i="40" s="1"/>
  <c r="AG33" i="40"/>
  <c r="D49" i="40"/>
  <c r="H49" i="40" s="1"/>
  <c r="T49" i="40"/>
  <c r="AG47" i="40"/>
  <c r="D61" i="40"/>
  <c r="H61" i="40" s="1"/>
  <c r="T61" i="40"/>
  <c r="AG63" i="40"/>
  <c r="AI63" i="40" s="1"/>
  <c r="AK63" i="40" s="1"/>
  <c r="AT69" i="40"/>
  <c r="AT71" i="40"/>
  <c r="AA68" i="40"/>
  <c r="AC75" i="40" s="1"/>
  <c r="AA69" i="40"/>
  <c r="AC69" i="40" s="1"/>
  <c r="AU75" i="40"/>
  <c r="AU79" i="40" s="1"/>
  <c r="D78" i="40"/>
  <c r="H78" i="40" s="1"/>
  <c r="AT82" i="40"/>
  <c r="AU83" i="40"/>
  <c r="AT83" i="40" s="1"/>
  <c r="D82" i="40"/>
  <c r="H82" i="40" s="1"/>
  <c r="AI91" i="40"/>
  <c r="AK91" i="40" s="1"/>
  <c r="AU93" i="40"/>
  <c r="AT91" i="40"/>
  <c r="L89" i="40"/>
  <c r="AA90" i="40"/>
  <c r="AC90" i="40" s="1"/>
  <c r="AA89" i="40"/>
  <c r="D96" i="40"/>
  <c r="H96" i="40" s="1"/>
  <c r="AG96" i="40"/>
  <c r="AT96" i="40"/>
  <c r="R100" i="40"/>
  <c r="N97" i="40"/>
  <c r="N105" i="40"/>
  <c r="AG113" i="40"/>
  <c r="D113" i="40"/>
  <c r="H113" i="40" s="1"/>
  <c r="AT113" i="40"/>
  <c r="T113" i="40"/>
  <c r="V113" i="40" s="1"/>
  <c r="N111" i="40"/>
  <c r="T111" i="40"/>
  <c r="AC111" i="40"/>
  <c r="AU121" i="40"/>
  <c r="AC117" i="40"/>
  <c r="R37" i="40"/>
  <c r="D37" i="40" s="1"/>
  <c r="H37" i="40" s="1"/>
  <c r="R51" i="40"/>
  <c r="D51" i="40" s="1"/>
  <c r="H51" i="40" s="1"/>
  <c r="AC63" i="40"/>
  <c r="T69" i="40"/>
  <c r="V69" i="40" s="1"/>
  <c r="L75" i="40"/>
  <c r="N82" i="40" s="1"/>
  <c r="D76" i="40"/>
  <c r="H76" i="40" s="1"/>
  <c r="AT76" i="40"/>
  <c r="AA77" i="40"/>
  <c r="AC77" i="40" s="1"/>
  <c r="AU86" i="40"/>
  <c r="AV86" i="40"/>
  <c r="D83" i="40"/>
  <c r="H83" i="40" s="1"/>
  <c r="AA82" i="40"/>
  <c r="AI82" i="40" s="1"/>
  <c r="AK82" i="40" s="1"/>
  <c r="AI83" i="40"/>
  <c r="AK83" i="40" s="1"/>
  <c r="AC91" i="40"/>
  <c r="AC98" i="40"/>
  <c r="AI98" i="40"/>
  <c r="AK98" i="40" s="1"/>
  <c r="AC110" i="40"/>
  <c r="AC112" i="40"/>
  <c r="D114" i="40"/>
  <c r="H114" i="40" s="1"/>
  <c r="AE118" i="40"/>
  <c r="P118" i="40"/>
  <c r="AG120" i="40"/>
  <c r="D120" i="40"/>
  <c r="H120" i="40" s="1"/>
  <c r="AT120" i="40"/>
  <c r="T120" i="40"/>
  <c r="V120" i="40" s="1"/>
  <c r="T117" i="40"/>
  <c r="AT117" i="40"/>
  <c r="D117" i="40"/>
  <c r="H117" i="40" s="1"/>
  <c r="R121" i="40"/>
  <c r="AG117" i="40"/>
  <c r="AT119" i="40"/>
  <c r="AG119" i="40"/>
  <c r="D119" i="40"/>
  <c r="H119" i="40" s="1"/>
  <c r="T119" i="40"/>
  <c r="V119" i="40" s="1"/>
  <c r="N125" i="40"/>
  <c r="N118" i="40"/>
  <c r="T13" i="40"/>
  <c r="T16" i="40" s="1"/>
  <c r="D21" i="40"/>
  <c r="H21" i="40" s="1"/>
  <c r="L21" i="40"/>
  <c r="N21" i="40" s="1"/>
  <c r="D29" i="40"/>
  <c r="H29" i="40" s="1"/>
  <c r="P29" i="40" s="1"/>
  <c r="AG27" i="40"/>
  <c r="D33" i="40"/>
  <c r="H33" i="40" s="1"/>
  <c r="L33" i="40"/>
  <c r="L41" i="40"/>
  <c r="N41" i="40" s="1"/>
  <c r="AA42" i="40"/>
  <c r="AC42" i="40" s="1"/>
  <c r="D47" i="40"/>
  <c r="H47" i="40" s="1"/>
  <c r="L47" i="40"/>
  <c r="N54" i="40" s="1"/>
  <c r="AA48" i="40"/>
  <c r="AC48" i="40" s="1"/>
  <c r="AA54" i="40"/>
  <c r="D63" i="40"/>
  <c r="H63" i="40" s="1"/>
  <c r="L63" i="40"/>
  <c r="N63" i="40" s="1"/>
  <c r="AA65" i="40"/>
  <c r="L70" i="40"/>
  <c r="D69" i="40"/>
  <c r="H69" i="40" s="1"/>
  <c r="R79" i="40"/>
  <c r="AT75" i="40"/>
  <c r="D75" i="40"/>
  <c r="H75" i="40" s="1"/>
  <c r="L76" i="40"/>
  <c r="N76" i="40" s="1"/>
  <c r="AG79" i="40"/>
  <c r="R86" i="40"/>
  <c r="T82" i="40"/>
  <c r="AU85" i="40"/>
  <c r="AT85" i="40" s="1"/>
  <c r="L85" i="40"/>
  <c r="N85" i="40" s="1"/>
  <c r="L83" i="40"/>
  <c r="N83" i="40" s="1"/>
  <c r="AG90" i="40"/>
  <c r="AI90" i="40" s="1"/>
  <c r="AK90" i="40" s="1"/>
  <c r="T90" i="40"/>
  <c r="D90" i="40"/>
  <c r="H90" i="40" s="1"/>
  <c r="V91" i="40"/>
  <c r="D97" i="40"/>
  <c r="H97" i="40" s="1"/>
  <c r="AG97" i="40"/>
  <c r="T97" i="40"/>
  <c r="V97" i="40" s="1"/>
  <c r="AT97" i="40"/>
  <c r="AG99" i="40"/>
  <c r="AI99" i="40" s="1"/>
  <c r="AK99" i="40" s="1"/>
  <c r="D99" i="40"/>
  <c r="H99" i="40" s="1"/>
  <c r="AT99" i="40"/>
  <c r="T99" i="40"/>
  <c r="V99" i="40" s="1"/>
  <c r="N99" i="40"/>
  <c r="AC99" i="40"/>
  <c r="N113" i="40"/>
  <c r="N119" i="40"/>
  <c r="AG65" i="40"/>
  <c r="AI65" i="40" s="1"/>
  <c r="R65" i="40"/>
  <c r="D65" i="40" s="1"/>
  <c r="H65" i="40" s="1"/>
  <c r="T78" i="40"/>
  <c r="AT78" i="40"/>
  <c r="L86" i="40"/>
  <c r="AC83" i="40"/>
  <c r="AG85" i="40"/>
  <c r="AI85" i="40" s="1"/>
  <c r="D85" i="40"/>
  <c r="H85" i="40" s="1"/>
  <c r="AW93" i="40"/>
  <c r="AC92" i="40"/>
  <c r="T89" i="40"/>
  <c r="AG89" i="40"/>
  <c r="D89" i="40"/>
  <c r="H89" i="40" s="1"/>
  <c r="L96" i="40"/>
  <c r="AA96" i="40"/>
  <c r="AG106" i="40"/>
  <c r="AI106" i="40" s="1"/>
  <c r="AK106" i="40" s="1"/>
  <c r="D106" i="40"/>
  <c r="H106" i="40" s="1"/>
  <c r="AT106" i="40"/>
  <c r="T106" i="40"/>
  <c r="T103" i="40"/>
  <c r="AT103" i="40"/>
  <c r="D103" i="40"/>
  <c r="H103" i="40" s="1"/>
  <c r="R107" i="40"/>
  <c r="D110" i="40"/>
  <c r="H110" i="40" s="1"/>
  <c r="AG103" i="40"/>
  <c r="AT105" i="40"/>
  <c r="AG105" i="40"/>
  <c r="D105" i="40"/>
  <c r="H105" i="40" s="1"/>
  <c r="T105" i="40"/>
  <c r="V105" i="40" s="1"/>
  <c r="N124" i="40"/>
  <c r="L128" i="40"/>
  <c r="N128" i="40" s="1"/>
  <c r="AC124" i="40"/>
  <c r="AA128" i="40"/>
  <c r="T127" i="40"/>
  <c r="AT127" i="40"/>
  <c r="AG127" i="40"/>
  <c r="AI127" i="40" s="1"/>
  <c r="D127" i="40"/>
  <c r="H127" i="40" s="1"/>
  <c r="AC125" i="40"/>
  <c r="D98" i="40"/>
  <c r="H98" i="40" s="1"/>
  <c r="AA105" i="40"/>
  <c r="AC105" i="40" s="1"/>
  <c r="D104" i="40"/>
  <c r="H104" i="40" s="1"/>
  <c r="AA106" i="40"/>
  <c r="AC106" i="40" s="1"/>
  <c r="L110" i="40"/>
  <c r="N117" i="40" s="1"/>
  <c r="AA119" i="40"/>
  <c r="AC119" i="40" s="1"/>
  <c r="AA120" i="40"/>
  <c r="AC138" i="40"/>
  <c r="AW107" i="40"/>
  <c r="AA107" i="40"/>
  <c r="AU110" i="40"/>
  <c r="AU114" i="40" s="1"/>
  <c r="AT114" i="40" s="1"/>
  <c r="AT110" i="40"/>
  <c r="AT118" i="40"/>
  <c r="AW121" i="40"/>
  <c r="AU124" i="40"/>
  <c r="AU128" i="40" s="1"/>
  <c r="D125" i="40"/>
  <c r="H125" i="40" s="1"/>
  <c r="V126" i="40"/>
  <c r="AN152" i="40"/>
  <c r="AN149" i="40"/>
  <c r="AN182" i="40"/>
  <c r="R175" i="40"/>
  <c r="T132" i="40"/>
  <c r="AT132" i="40"/>
  <c r="AG132" i="40"/>
  <c r="AI132" i="40" s="1"/>
  <c r="AK132" i="40" s="1"/>
  <c r="D132" i="40"/>
  <c r="H132" i="40" s="1"/>
  <c r="AG134" i="40"/>
  <c r="AI134" i="40" s="1"/>
  <c r="D134" i="40"/>
  <c r="H134" i="40" s="1"/>
  <c r="T134" i="40"/>
  <c r="V134" i="40" s="1"/>
  <c r="AT134" i="40"/>
  <c r="R140" i="40"/>
  <c r="N146" i="40"/>
  <c r="AA97" i="40"/>
  <c r="AC97" i="40" s="1"/>
  <c r="L107" i="40"/>
  <c r="AG104" i="40"/>
  <c r="AI104" i="40" s="1"/>
  <c r="D111" i="40"/>
  <c r="H111" i="40" s="1"/>
  <c r="AT112" i="40"/>
  <c r="T112" i="40"/>
  <c r="AA113" i="40"/>
  <c r="AC113" i="40" s="1"/>
  <c r="L121" i="40"/>
  <c r="N120" i="40"/>
  <c r="AG118" i="40"/>
  <c r="AI118" i="40" s="1"/>
  <c r="AK118" i="40" s="1"/>
  <c r="T125" i="40"/>
  <c r="V125" i="40" s="1"/>
  <c r="AT125" i="40"/>
  <c r="N147" i="40"/>
  <c r="N154" i="40"/>
  <c r="AG155" i="40"/>
  <c r="D155" i="40"/>
  <c r="H155" i="40" s="1"/>
  <c r="T155" i="40"/>
  <c r="AT155" i="40"/>
  <c r="T98" i="40"/>
  <c r="V98" i="40" s="1"/>
  <c r="N103" i="40"/>
  <c r="T104" i="40"/>
  <c r="AT111" i="40"/>
  <c r="D112" i="40"/>
  <c r="H112" i="40" s="1"/>
  <c r="AG110" i="40"/>
  <c r="T118" i="40"/>
  <c r="V118" i="40" s="1"/>
  <c r="AG126" i="40"/>
  <c r="AI126" i="40" s="1"/>
  <c r="D126" i="40"/>
  <c r="H126" i="40" s="1"/>
  <c r="AT126" i="40"/>
  <c r="N126" i="40"/>
  <c r="R146" i="40"/>
  <c r="AN153" i="40"/>
  <c r="R162" i="40"/>
  <c r="AN169" i="40"/>
  <c r="AG133" i="40"/>
  <c r="D133" i="40"/>
  <c r="H133" i="40" s="1"/>
  <c r="AT133" i="40"/>
  <c r="N134" i="40"/>
  <c r="AC134" i="40"/>
  <c r="R138" i="40"/>
  <c r="N145" i="40"/>
  <c r="L133" i="40"/>
  <c r="N133" i="40" s="1"/>
  <c r="AA131" i="40"/>
  <c r="AR140" i="40"/>
  <c r="AU139" i="40"/>
  <c r="AA139" i="40"/>
  <c r="AC139" i="40" s="1"/>
  <c r="AR148" i="40"/>
  <c r="L148" i="40"/>
  <c r="N148" i="40" s="1"/>
  <c r="AR153" i="40"/>
  <c r="AR156" i="40"/>
  <c r="BK160" i="40"/>
  <c r="AU153" i="40"/>
  <c r="L153" i="40"/>
  <c r="N153" i="40" s="1"/>
  <c r="AR162" i="40"/>
  <c r="N160" i="40"/>
  <c r="N181" i="40"/>
  <c r="N174" i="40"/>
  <c r="R131" i="40"/>
  <c r="AR141" i="40"/>
  <c r="AV142" i="40"/>
  <c r="L139" i="40"/>
  <c r="N139" i="40" s="1"/>
  <c r="AA141" i="40"/>
  <c r="AC141" i="40" s="1"/>
  <c r="AR149" i="40"/>
  <c r="R154" i="40"/>
  <c r="AR154" i="40"/>
  <c r="AU131" i="40"/>
  <c r="AU135" i="40" s="1"/>
  <c r="L131" i="40"/>
  <c r="AA133" i="40"/>
  <c r="AC133" i="40" s="1"/>
  <c r="R139" i="40"/>
  <c r="AR139" i="40"/>
  <c r="AU141" i="40"/>
  <c r="AU142" i="40" s="1"/>
  <c r="L140" i="40"/>
  <c r="N140" i="40" s="1"/>
  <c r="R141" i="40"/>
  <c r="AR147" i="40"/>
  <c r="BK153" i="40"/>
  <c r="BK154" i="40"/>
  <c r="BK155" i="40"/>
  <c r="AU145" i="40"/>
  <c r="AU149" i="40" s="1"/>
  <c r="R147" i="40"/>
  <c r="AR152" i="40"/>
  <c r="AU152" i="40"/>
  <c r="N159" i="40"/>
  <c r="L163" i="40"/>
  <c r="N163" i="40" s="1"/>
  <c r="AR161" i="40"/>
  <c r="N162" i="40"/>
  <c r="L170" i="40"/>
  <c r="N166" i="40"/>
  <c r="BK147" i="40"/>
  <c r="L142" i="40"/>
  <c r="R145" i="40"/>
  <c r="AR145" i="40"/>
  <c r="R148" i="40"/>
  <c r="R153" i="40"/>
  <c r="L156" i="40"/>
  <c r="N152" i="40"/>
  <c r="AR159" i="40"/>
  <c r="R168" i="40"/>
  <c r="N168" i="40"/>
  <c r="N182" i="40"/>
  <c r="BK180" i="40"/>
  <c r="BK181" i="40"/>
  <c r="BK182" i="40"/>
  <c r="L173" i="40"/>
  <c r="AR166" i="40"/>
  <c r="AR168" i="40"/>
  <c r="AR174" i="40"/>
  <c r="AR176" i="40"/>
  <c r="AR189" i="40"/>
  <c r="R182" i="40"/>
  <c r="L183" i="40"/>
  <c r="L187" i="40"/>
  <c r="R161" i="40"/>
  <c r="BK173" i="40"/>
  <c r="BK174" i="40"/>
  <c r="AR187" i="40"/>
  <c r="AR182" i="40"/>
  <c r="BK187" i="40"/>
  <c r="BL187" i="40" s="1"/>
  <c r="BN187" i="40" s="1"/>
  <c r="BK189" i="40"/>
  <c r="BL189" i="40" s="1"/>
  <c r="BN189" i="40" s="1"/>
  <c r="BK191" i="40"/>
  <c r="BL191" i="40" s="1"/>
  <c r="BN191" i="40" s="1"/>
  <c r="N194" i="40"/>
  <c r="L198" i="40"/>
  <c r="AR167" i="40"/>
  <c r="L176" i="40"/>
  <c r="N176" i="40" s="1"/>
  <c r="L180" i="40"/>
  <c r="AR180" i="40"/>
  <c r="BK188" i="40"/>
  <c r="BL188" i="40" s="1"/>
  <c r="BK190" i="40"/>
  <c r="BL190" i="40" s="1"/>
  <c r="BN190" i="40" s="1"/>
  <c r="L189" i="40"/>
  <c r="N189" i="40" s="1"/>
  <c r="BN197" i="40"/>
  <c r="N201" i="40"/>
  <c r="BN203" i="40"/>
  <c r="BN194" i="40"/>
  <c r="AR210" i="40"/>
  <c r="BN188" i="40"/>
  <c r="AR195" i="40"/>
  <c r="N195" i="40"/>
  <c r="BN196" i="40"/>
  <c r="BN202" i="40"/>
  <c r="AR208" i="40"/>
  <c r="AR202" i="40"/>
  <c r="AR204" i="40"/>
  <c r="AL16" i="47"/>
  <c r="R34" i="47"/>
  <c r="P47" i="47"/>
  <c r="N51" i="47"/>
  <c r="P54" i="47"/>
  <c r="N58" i="47"/>
  <c r="P58" i="47" s="1"/>
  <c r="AN48" i="47"/>
  <c r="R62" i="47"/>
  <c r="AE69" i="47"/>
  <c r="R71" i="47"/>
  <c r="P71" i="47"/>
  <c r="P76" i="47"/>
  <c r="R76" i="47" s="1"/>
  <c r="AN76" i="47"/>
  <c r="AI91" i="47"/>
  <c r="AG90" i="47"/>
  <c r="AI89" i="47"/>
  <c r="AI98" i="47"/>
  <c r="AI99" i="47"/>
  <c r="P98" i="47"/>
  <c r="R98" i="47" s="1"/>
  <c r="AN98" i="47"/>
  <c r="AG106" i="47"/>
  <c r="P105" i="47"/>
  <c r="AN106" i="47"/>
  <c r="AP106" i="47" s="1"/>
  <c r="AE114" i="47"/>
  <c r="AG114" i="47" s="1"/>
  <c r="AI114" i="47" s="1"/>
  <c r="AG110" i="47"/>
  <c r="X117" i="47"/>
  <c r="N121" i="47"/>
  <c r="AG118" i="47"/>
  <c r="P120" i="47"/>
  <c r="R126" i="47"/>
  <c r="P125" i="47"/>
  <c r="P132" i="47"/>
  <c r="AG131" i="47"/>
  <c r="AE135" i="47"/>
  <c r="X26" i="47"/>
  <c r="N30" i="47"/>
  <c r="P30" i="47" s="1"/>
  <c r="P26" i="47"/>
  <c r="N44" i="47"/>
  <c r="AG55" i="47"/>
  <c r="AN55" i="47"/>
  <c r="AP55" i="47" s="1"/>
  <c r="AG62" i="47"/>
  <c r="AI62" i="47" s="1"/>
  <c r="AG70" i="47"/>
  <c r="AN68" i="47"/>
  <c r="AP68" i="47" s="1"/>
  <c r="X77" i="47"/>
  <c r="P77" i="47"/>
  <c r="P84" i="47"/>
  <c r="R84" i="47" s="1"/>
  <c r="AN85" i="47"/>
  <c r="AP85" i="47" s="1"/>
  <c r="X92" i="47"/>
  <c r="AG98" i="47"/>
  <c r="X103" i="47"/>
  <c r="N107" i="47"/>
  <c r="AN103" i="47"/>
  <c r="AN110" i="47"/>
  <c r="AL114" i="47"/>
  <c r="AP120" i="47"/>
  <c r="P126" i="47"/>
  <c r="X126" i="47"/>
  <c r="AG132" i="47"/>
  <c r="AI131" i="47"/>
  <c r="R26" i="47"/>
  <c r="AL23" i="47"/>
  <c r="R35" i="47"/>
  <c r="AN40" i="47"/>
  <c r="AG41" i="47"/>
  <c r="AI41" i="47" s="1"/>
  <c r="R57" i="47"/>
  <c r="AI57" i="47"/>
  <c r="AN57" i="47"/>
  <c r="AE64" i="47"/>
  <c r="AG71" i="47" s="1"/>
  <c r="AI71" i="47" s="1"/>
  <c r="X64" i="47"/>
  <c r="P64" i="47"/>
  <c r="AN70" i="47"/>
  <c r="X82" i="47"/>
  <c r="N86" i="47"/>
  <c r="P82" i="47"/>
  <c r="R82" i="47" s="1"/>
  <c r="AG78" i="47"/>
  <c r="AI78" i="47" s="1"/>
  <c r="AG82" i="47"/>
  <c r="AE86" i="47"/>
  <c r="X86" i="47"/>
  <c r="AN83" i="47"/>
  <c r="AP83" i="47" s="1"/>
  <c r="AG92" i="47"/>
  <c r="AN89" i="47"/>
  <c r="AN92" i="47"/>
  <c r="AP92" i="47" s="1"/>
  <c r="AG99" i="47"/>
  <c r="X97" i="47"/>
  <c r="AG104" i="47"/>
  <c r="R105" i="47"/>
  <c r="X104" i="47"/>
  <c r="AG112" i="47"/>
  <c r="AI112" i="47" s="1"/>
  <c r="AI110" i="47"/>
  <c r="X112" i="47"/>
  <c r="P112" i="47"/>
  <c r="AN111" i="47"/>
  <c r="AP111" i="47" s="1"/>
  <c r="AN113" i="47"/>
  <c r="AP113" i="47" s="1"/>
  <c r="AG120" i="47"/>
  <c r="R119" i="47"/>
  <c r="AI119" i="47"/>
  <c r="X121" i="47"/>
  <c r="D121" i="47"/>
  <c r="J121" i="47" s="1"/>
  <c r="AG126" i="47"/>
  <c r="AI126" i="47" s="1"/>
  <c r="R43" i="47"/>
  <c r="AI43" i="47"/>
  <c r="R48" i="47"/>
  <c r="AI48" i="47"/>
  <c r="AG50" i="47"/>
  <c r="AG57" i="47"/>
  <c r="Z55" i="47"/>
  <c r="AL58" i="47"/>
  <c r="AN62" i="47"/>
  <c r="AP62" i="47" s="1"/>
  <c r="X69" i="47"/>
  <c r="P69" i="47"/>
  <c r="R69" i="47" s="1"/>
  <c r="R77" i="47"/>
  <c r="X75" i="47"/>
  <c r="AE79" i="47"/>
  <c r="AG75" i="47"/>
  <c r="AI82" i="47"/>
  <c r="AG77" i="47"/>
  <c r="AI77" i="47" s="1"/>
  <c r="AI84" i="47"/>
  <c r="AE93" i="47"/>
  <c r="AG93" i="47" s="1"/>
  <c r="AG89" i="47"/>
  <c r="X91" i="47"/>
  <c r="P91" i="47"/>
  <c r="R91" i="47" s="1"/>
  <c r="AI97" i="47"/>
  <c r="P99" i="47"/>
  <c r="R99" i="47" s="1"/>
  <c r="AG105" i="47"/>
  <c r="AI105" i="47" s="1"/>
  <c r="R112" i="47"/>
  <c r="AP104" i="47"/>
  <c r="AP112" i="47"/>
  <c r="AG117" i="47"/>
  <c r="AI117" i="47" s="1"/>
  <c r="AN117" i="47"/>
  <c r="AP117" i="47" s="1"/>
  <c r="AE121" i="47"/>
  <c r="AP118" i="47"/>
  <c r="AG134" i="47"/>
  <c r="AP133" i="47"/>
  <c r="X12" i="47"/>
  <c r="X16" i="47" s="1"/>
  <c r="D21" i="47"/>
  <c r="J21" i="47" s="1"/>
  <c r="N22" i="47"/>
  <c r="P22" i="47" s="1"/>
  <c r="R22" i="47" s="1"/>
  <c r="P21" i="47"/>
  <c r="V23" i="47"/>
  <c r="D23" i="47" s="1"/>
  <c r="J23" i="47" s="1"/>
  <c r="R23" i="47" s="1"/>
  <c r="AL20" i="47"/>
  <c r="X27" i="47"/>
  <c r="AL29" i="47"/>
  <c r="D36" i="47"/>
  <c r="J36" i="47" s="1"/>
  <c r="N33" i="47"/>
  <c r="P40" i="47" s="1"/>
  <c r="P36" i="47"/>
  <c r="X33" i="47"/>
  <c r="AE35" i="47"/>
  <c r="AL34" i="47"/>
  <c r="AN34" i="47" s="1"/>
  <c r="P41" i="47"/>
  <c r="R41" i="47" s="1"/>
  <c r="AL41" i="47"/>
  <c r="AN41" i="47" s="1"/>
  <c r="AP41" i="47" s="1"/>
  <c r="D50" i="47"/>
  <c r="J50" i="47" s="1"/>
  <c r="P50" i="47"/>
  <c r="X47" i="47"/>
  <c r="AE49" i="47"/>
  <c r="AL50" i="47"/>
  <c r="AN50" i="47" s="1"/>
  <c r="AP50" i="47" s="1"/>
  <c r="D55" i="47"/>
  <c r="J55" i="47" s="1"/>
  <c r="P55" i="47"/>
  <c r="AE54" i="47"/>
  <c r="AG61" i="47" s="1"/>
  <c r="AC63" i="47"/>
  <c r="AE63" i="47" s="1"/>
  <c r="D61" i="47"/>
  <c r="J61" i="47" s="1"/>
  <c r="N61" i="47"/>
  <c r="X61" i="47"/>
  <c r="AC68" i="47"/>
  <c r="AE68" i="47" s="1"/>
  <c r="D70" i="47"/>
  <c r="J70" i="47" s="1"/>
  <c r="N70" i="47"/>
  <c r="X70" i="47"/>
  <c r="D75" i="47"/>
  <c r="J75" i="47" s="1"/>
  <c r="V79" i="47"/>
  <c r="D86" i="47" s="1"/>
  <c r="J86" i="47" s="1"/>
  <c r="D83" i="47"/>
  <c r="J83" i="47" s="1"/>
  <c r="AL82" i="47"/>
  <c r="D92" i="47"/>
  <c r="J92" i="47" s="1"/>
  <c r="L93" i="47"/>
  <c r="V93" i="47"/>
  <c r="AL91" i="47"/>
  <c r="AN91" i="47" s="1"/>
  <c r="AP91" i="47" s="1"/>
  <c r="AE96" i="47"/>
  <c r="D104" i="47"/>
  <c r="J104" i="47" s="1"/>
  <c r="D113" i="47"/>
  <c r="J113" i="47" s="1"/>
  <c r="L114" i="47"/>
  <c r="N113" i="47"/>
  <c r="P113" i="47" s="1"/>
  <c r="D118" i="47"/>
  <c r="J118" i="47" s="1"/>
  <c r="AE125" i="47"/>
  <c r="AG125" i="47" s="1"/>
  <c r="D127" i="47"/>
  <c r="J127" i="47" s="1"/>
  <c r="N124" i="47"/>
  <c r="V128" i="47"/>
  <c r="N134" i="47"/>
  <c r="X134" i="47" s="1"/>
  <c r="L135" i="47"/>
  <c r="D134" i="47"/>
  <c r="J134" i="47" s="1"/>
  <c r="N146" i="47"/>
  <c r="X151" i="47"/>
  <c r="D158" i="47"/>
  <c r="J158" i="47" s="1"/>
  <c r="R158" i="47" s="1"/>
  <c r="AL158" i="47"/>
  <c r="BA173" i="47"/>
  <c r="BI173" i="47" s="1"/>
  <c r="BA166" i="47"/>
  <c r="BI166" i="47" s="1"/>
  <c r="N172" i="47"/>
  <c r="N171" i="47"/>
  <c r="P171" i="47" s="1"/>
  <c r="X171" i="47"/>
  <c r="Z171" i="47" s="1"/>
  <c r="D178" i="47"/>
  <c r="J178" i="47" s="1"/>
  <c r="R178" i="47" s="1"/>
  <c r="N177" i="47"/>
  <c r="X184" i="47"/>
  <c r="N188" i="47"/>
  <c r="X179" i="47"/>
  <c r="BI192" i="47"/>
  <c r="BT208" i="47"/>
  <c r="P208" i="47"/>
  <c r="R213" i="47"/>
  <c r="P219" i="47"/>
  <c r="X220" i="47"/>
  <c r="P220" i="47"/>
  <c r="R249" i="47"/>
  <c r="N23" i="47"/>
  <c r="P23" i="47" s="1"/>
  <c r="X19" i="47"/>
  <c r="D27" i="47"/>
  <c r="J27" i="47" s="1"/>
  <c r="R27" i="47" s="1"/>
  <c r="X28" i="47"/>
  <c r="Z28" i="47" s="1"/>
  <c r="X34" i="47"/>
  <c r="Z34" i="47" s="1"/>
  <c r="AL35" i="47"/>
  <c r="AN35" i="47" s="1"/>
  <c r="D42" i="47"/>
  <c r="J42" i="47" s="1"/>
  <c r="V44" i="47"/>
  <c r="X43" i="47"/>
  <c r="Z43" i="47" s="1"/>
  <c r="D47" i="47"/>
  <c r="J47" i="47" s="1"/>
  <c r="X48" i="47"/>
  <c r="Z48" i="47" s="1"/>
  <c r="AL51" i="47"/>
  <c r="D56" i="47"/>
  <c r="J56" i="47" s="1"/>
  <c r="V58" i="47"/>
  <c r="D58" i="47" s="1"/>
  <c r="J58" i="47" s="1"/>
  <c r="X57" i="47"/>
  <c r="Z57" i="47" s="1"/>
  <c r="R64" i="47"/>
  <c r="X62" i="47"/>
  <c r="Z62" i="47" s="1"/>
  <c r="AL65" i="47"/>
  <c r="V72" i="47"/>
  <c r="X71" i="47"/>
  <c r="Z71" i="47" s="1"/>
  <c r="N78" i="47"/>
  <c r="P85" i="47" s="1"/>
  <c r="AN77" i="47"/>
  <c r="AP77" i="47" s="1"/>
  <c r="X84" i="47"/>
  <c r="Z84" i="47" s="1"/>
  <c r="N89" i="47"/>
  <c r="V100" i="47"/>
  <c r="X99" i="47"/>
  <c r="Z99" i="47" s="1"/>
  <c r="X105" i="47"/>
  <c r="Z105" i="47" s="1"/>
  <c r="AE107" i="47"/>
  <c r="N110" i="47"/>
  <c r="P117" i="47" s="1"/>
  <c r="R117" i="47" s="1"/>
  <c r="X119" i="47"/>
  <c r="Z119" i="47" s="1"/>
  <c r="X125" i="47"/>
  <c r="Z125" i="47" s="1"/>
  <c r="AG124" i="47"/>
  <c r="AI124" i="47" s="1"/>
  <c r="AL125" i="47"/>
  <c r="AN125" i="47" s="1"/>
  <c r="AP125" i="47" s="1"/>
  <c r="P131" i="47"/>
  <c r="R131" i="47" s="1"/>
  <c r="AN131" i="47"/>
  <c r="X131" i="47"/>
  <c r="X163" i="47"/>
  <c r="Z163" i="47" s="1"/>
  <c r="P163" i="47"/>
  <c r="R163" i="47" s="1"/>
  <c r="AU165" i="47"/>
  <c r="AU158" i="47"/>
  <c r="N166" i="47"/>
  <c r="L167" i="47"/>
  <c r="N170" i="47" s="1"/>
  <c r="D173" i="47"/>
  <c r="J173" i="47" s="1"/>
  <c r="X166" i="47"/>
  <c r="D166" i="47"/>
  <c r="J166" i="47" s="1"/>
  <c r="P178" i="47"/>
  <c r="BI200" i="47"/>
  <c r="X198" i="47"/>
  <c r="N202" i="47"/>
  <c r="BI222" i="47"/>
  <c r="X14" i="47"/>
  <c r="Z21" i="47" s="1"/>
  <c r="D19" i="47"/>
  <c r="J19" i="47" s="1"/>
  <c r="R19" i="47" s="1"/>
  <c r="X20" i="47"/>
  <c r="Z20" i="47" s="1"/>
  <c r="P28" i="47"/>
  <c r="R28" i="47" s="1"/>
  <c r="X29" i="47"/>
  <c r="AL27" i="47"/>
  <c r="X35" i="47"/>
  <c r="AE33" i="47"/>
  <c r="AE37" i="47" s="1"/>
  <c r="AL36" i="47"/>
  <c r="AN36" i="47" s="1"/>
  <c r="AP43" i="47" s="1"/>
  <c r="X40" i="47"/>
  <c r="AE42" i="47"/>
  <c r="AG42" i="47" s="1"/>
  <c r="X49" i="47"/>
  <c r="Z49" i="47" s="1"/>
  <c r="AE47" i="47"/>
  <c r="X54" i="47"/>
  <c r="AE56" i="47"/>
  <c r="AG56" i="47" s="1"/>
  <c r="D63" i="47"/>
  <c r="J63" i="47" s="1"/>
  <c r="N63" i="47"/>
  <c r="P63" i="47" s="1"/>
  <c r="D68" i="47"/>
  <c r="J68" i="47" s="1"/>
  <c r="N68" i="47"/>
  <c r="X68" i="47"/>
  <c r="Z68" i="47" s="1"/>
  <c r="AL71" i="47"/>
  <c r="AN71" i="47" s="1"/>
  <c r="X76" i="47"/>
  <c r="Z76" i="47" s="1"/>
  <c r="AL75" i="47"/>
  <c r="D85" i="47"/>
  <c r="J85" i="47" s="1"/>
  <c r="L86" i="47"/>
  <c r="X85" i="47"/>
  <c r="AL84" i="47"/>
  <c r="AN84" i="47" s="1"/>
  <c r="AP84" i="47" s="1"/>
  <c r="D90" i="47"/>
  <c r="J90" i="47" s="1"/>
  <c r="N90" i="47"/>
  <c r="P90" i="47" s="1"/>
  <c r="X90" i="47"/>
  <c r="Z90" i="47" s="1"/>
  <c r="D96" i="47"/>
  <c r="J96" i="47" s="1"/>
  <c r="N96" i="47"/>
  <c r="X96" i="47" s="1"/>
  <c r="D106" i="47"/>
  <c r="J106" i="47" s="1"/>
  <c r="L107" i="47"/>
  <c r="X106" i="47"/>
  <c r="Z106" i="47" s="1"/>
  <c r="AL105" i="47"/>
  <c r="AN105" i="47" s="1"/>
  <c r="D111" i="47"/>
  <c r="J111" i="47" s="1"/>
  <c r="N111" i="47"/>
  <c r="P111" i="47" s="1"/>
  <c r="X111" i="47"/>
  <c r="Z111" i="47" s="1"/>
  <c r="D120" i="47"/>
  <c r="J120" i="47" s="1"/>
  <c r="L121" i="47"/>
  <c r="X120" i="47"/>
  <c r="AL119" i="47"/>
  <c r="AN119" i="47" s="1"/>
  <c r="AP119" i="47" s="1"/>
  <c r="AE127" i="47"/>
  <c r="AG127" i="47" s="1"/>
  <c r="D125" i="47"/>
  <c r="J125" i="47" s="1"/>
  <c r="N133" i="47"/>
  <c r="X132" i="47"/>
  <c r="Z132" i="47" s="1"/>
  <c r="D132" i="47"/>
  <c r="J132" i="47" s="1"/>
  <c r="AL132" i="47"/>
  <c r="AN132" i="47" s="1"/>
  <c r="AP132" i="47" s="1"/>
  <c r="V146" i="47"/>
  <c r="N150" i="47"/>
  <c r="P157" i="47" s="1"/>
  <c r="R157" i="47" s="1"/>
  <c r="N149" i="47"/>
  <c r="X149" i="47"/>
  <c r="D149" i="47"/>
  <c r="J149" i="47" s="1"/>
  <c r="V153" i="47"/>
  <c r="X157" i="47"/>
  <c r="BA171" i="47"/>
  <c r="BI171" i="47" s="1"/>
  <c r="BA164" i="47"/>
  <c r="BI164" i="47" s="1"/>
  <c r="D165" i="47"/>
  <c r="J165" i="47" s="1"/>
  <c r="P165" i="47"/>
  <c r="AL167" i="47"/>
  <c r="X165" i="47"/>
  <c r="AL166" i="47"/>
  <c r="X180" i="47"/>
  <c r="P180" i="47"/>
  <c r="P187" i="47"/>
  <c r="R187" i="47" s="1"/>
  <c r="P192" i="47"/>
  <c r="BT206" i="47"/>
  <c r="P201" i="47"/>
  <c r="R201" i="47" s="1"/>
  <c r="R207" i="47"/>
  <c r="X215" i="47"/>
  <c r="Z215" i="47" s="1"/>
  <c r="P215" i="47"/>
  <c r="AN246" i="47"/>
  <c r="V37" i="47"/>
  <c r="D37" i="47" s="1"/>
  <c r="J37" i="47" s="1"/>
  <c r="D40" i="47"/>
  <c r="J40" i="47" s="1"/>
  <c r="D49" i="47"/>
  <c r="J49" i="47" s="1"/>
  <c r="D54" i="47"/>
  <c r="J54" i="47" s="1"/>
  <c r="L79" i="47"/>
  <c r="AL90" i="47"/>
  <c r="AN90" i="47" s="1"/>
  <c r="AP90" i="47" s="1"/>
  <c r="AL96" i="47"/>
  <c r="N127" i="47"/>
  <c r="P127" i="47" s="1"/>
  <c r="L128" i="47"/>
  <c r="AE128" i="47"/>
  <c r="AG128" i="47" s="1"/>
  <c r="N135" i="47"/>
  <c r="AG133" i="47"/>
  <c r="AI133" i="47" s="1"/>
  <c r="AN134" i="47"/>
  <c r="X152" i="47"/>
  <c r="N159" i="47"/>
  <c r="N158" i="47"/>
  <c r="P158" i="47" s="1"/>
  <c r="P156" i="47"/>
  <c r="R171" i="47"/>
  <c r="R179" i="47"/>
  <c r="P186" i="47"/>
  <c r="BI198" i="47"/>
  <c r="X194" i="47"/>
  <c r="Z201" i="47" s="1"/>
  <c r="P194" i="47"/>
  <c r="R194" i="47" s="1"/>
  <c r="P200" i="47"/>
  <c r="X206" i="47"/>
  <c r="Z206" i="47" s="1"/>
  <c r="P206" i="47"/>
  <c r="R215" i="47"/>
  <c r="R220" i="47"/>
  <c r="BD230" i="47"/>
  <c r="AL124" i="47"/>
  <c r="V135" i="47"/>
  <c r="D151" i="47"/>
  <c r="J151" i="47" s="1"/>
  <c r="R151" i="47" s="1"/>
  <c r="D156" i="47"/>
  <c r="J156" i="47" s="1"/>
  <c r="R156" i="47" s="1"/>
  <c r="X156" i="47"/>
  <c r="D164" i="47"/>
  <c r="J164" i="47" s="1"/>
  <c r="R164" i="47" s="1"/>
  <c r="X164" i="47"/>
  <c r="AL165" i="47"/>
  <c r="D170" i="47"/>
  <c r="J170" i="47" s="1"/>
  <c r="L174" i="47"/>
  <c r="V174" i="47"/>
  <c r="H181" i="47" s="1"/>
  <c r="G191" i="45" s="1"/>
  <c r="X173" i="47"/>
  <c r="AL170" i="47"/>
  <c r="BA177" i="47"/>
  <c r="BI177" i="47" s="1"/>
  <c r="BA179" i="47"/>
  <c r="BI179" i="47" s="1"/>
  <c r="BA181" i="47"/>
  <c r="BI181" i="47" s="1"/>
  <c r="X177" i="47"/>
  <c r="AL178" i="47"/>
  <c r="AU179" i="47"/>
  <c r="D186" i="47"/>
  <c r="J186" i="47" s="1"/>
  <c r="X185" i="47"/>
  <c r="AL186" i="47"/>
  <c r="BA191" i="47"/>
  <c r="BI191" i="47" s="1"/>
  <c r="BA193" i="47"/>
  <c r="BA195" i="47"/>
  <c r="BI195" i="47" s="1"/>
  <c r="BD192" i="47"/>
  <c r="BD194" i="47"/>
  <c r="BI194" i="47" s="1"/>
  <c r="BG191" i="47"/>
  <c r="BG193" i="47"/>
  <c r="BG195" i="47"/>
  <c r="D192" i="47"/>
  <c r="J192" i="47" s="1"/>
  <c r="R192" i="47" s="1"/>
  <c r="AL192" i="47"/>
  <c r="AU193" i="47"/>
  <c r="D200" i="47"/>
  <c r="J200" i="47" s="1"/>
  <c r="X199" i="47"/>
  <c r="Z199" i="47" s="1"/>
  <c r="AL200" i="47"/>
  <c r="BA206" i="47"/>
  <c r="BA208" i="47"/>
  <c r="BD205" i="47"/>
  <c r="BD207" i="47"/>
  <c r="BI207" i="47" s="1"/>
  <c r="BG206" i="47"/>
  <c r="BG208" i="47"/>
  <c r="D208" i="47"/>
  <c r="J208" i="47" s="1"/>
  <c r="R208" i="47" s="1"/>
  <c r="X207" i="47"/>
  <c r="Z207" i="47" s="1"/>
  <c r="AL208" i="47"/>
  <c r="AZ216" i="47"/>
  <c r="BA216" i="47" s="1"/>
  <c r="BI216" i="47" s="1"/>
  <c r="BF216" i="47"/>
  <c r="BG216" i="47" s="1"/>
  <c r="BS213" i="47"/>
  <c r="BT213" i="47" s="1"/>
  <c r="BS215" i="47"/>
  <c r="BO214" i="47"/>
  <c r="BT214" i="47" s="1"/>
  <c r="BQ214" i="47"/>
  <c r="D212" i="47"/>
  <c r="J212" i="47" s="1"/>
  <c r="X212" i="47"/>
  <c r="AL213" i="47"/>
  <c r="BG220" i="47"/>
  <c r="BI220" i="47" s="1"/>
  <c r="AL221" i="47"/>
  <c r="BA226" i="47"/>
  <c r="BA228" i="47"/>
  <c r="BO227" i="47"/>
  <c r="BT227" i="47" s="1"/>
  <c r="X252" i="47"/>
  <c r="Z252" i="47" s="1"/>
  <c r="D252" i="47"/>
  <c r="J252" i="47" s="1"/>
  <c r="AL259" i="47"/>
  <c r="AN259" i="47" s="1"/>
  <c r="X259" i="47"/>
  <c r="Z259" i="47" s="1"/>
  <c r="D259" i="47"/>
  <c r="J259" i="47" s="1"/>
  <c r="X270" i="47"/>
  <c r="N274" i="47"/>
  <c r="R272" i="47"/>
  <c r="P272" i="47"/>
  <c r="P277" i="47"/>
  <c r="R284" i="47"/>
  <c r="AN284" i="47"/>
  <c r="AP284" i="47" s="1"/>
  <c r="AG284" i="47"/>
  <c r="D295" i="47"/>
  <c r="J295" i="47" s="1"/>
  <c r="P308" i="47"/>
  <c r="X306" i="47"/>
  <c r="Z306" i="47" s="1"/>
  <c r="AG315" i="47"/>
  <c r="P345" i="47"/>
  <c r="X178" i="47"/>
  <c r="Z178" i="47" s="1"/>
  <c r="AL179" i="47"/>
  <c r="AU180" i="47"/>
  <c r="AW179" i="47"/>
  <c r="BA185" i="47"/>
  <c r="BI185" i="47" s="1"/>
  <c r="BA187" i="47"/>
  <c r="BI187" i="47" s="1"/>
  <c r="X186" i="47"/>
  <c r="Z186" i="47" s="1"/>
  <c r="AL187" i="47"/>
  <c r="X192" i="47"/>
  <c r="AL193" i="47"/>
  <c r="AW193" i="47"/>
  <c r="BA199" i="47"/>
  <c r="BI199" i="47" s="1"/>
  <c r="BA201" i="47"/>
  <c r="BD198" i="47"/>
  <c r="BD200" i="47"/>
  <c r="BD202" i="47"/>
  <c r="BI202" i="47" s="1"/>
  <c r="BG199" i="47"/>
  <c r="BG201" i="47"/>
  <c r="X200" i="47"/>
  <c r="AL201" i="47"/>
  <c r="V209" i="47"/>
  <c r="X208" i="47"/>
  <c r="Z208" i="47" s="1"/>
  <c r="AL205" i="47"/>
  <c r="BA212" i="47"/>
  <c r="BA214" i="47"/>
  <c r="BD213" i="47"/>
  <c r="BD215" i="47"/>
  <c r="BI215" i="47" s="1"/>
  <c r="BG212" i="47"/>
  <c r="BG214" i="47"/>
  <c r="BQ215" i="47"/>
  <c r="BT215" i="47" s="1"/>
  <c r="X213" i="47"/>
  <c r="Z213" i="47" s="1"/>
  <c r="AL214" i="47"/>
  <c r="BF223" i="47"/>
  <c r="BG223" i="47" s="1"/>
  <c r="D221" i="47"/>
  <c r="J221" i="47" s="1"/>
  <c r="X221" i="47"/>
  <c r="X243" i="47"/>
  <c r="X246" i="47" s="1"/>
  <c r="P249" i="47"/>
  <c r="X249" i="47"/>
  <c r="AN249" i="47"/>
  <c r="AP249" i="47" s="1"/>
  <c r="P258" i="47"/>
  <c r="R258" i="47" s="1"/>
  <c r="D260" i="47"/>
  <c r="J260" i="47" s="1"/>
  <c r="X258" i="47"/>
  <c r="AN263" i="47"/>
  <c r="AL267" i="47"/>
  <c r="X291" i="47"/>
  <c r="N295" i="47"/>
  <c r="P291" i="47"/>
  <c r="R291" i="47"/>
  <c r="AP292" i="47"/>
  <c r="AG305" i="47"/>
  <c r="AG312" i="47"/>
  <c r="P298" i="47"/>
  <c r="R357" i="47"/>
  <c r="AL156" i="47"/>
  <c r="AL160" i="47" s="1"/>
  <c r="V167" i="47"/>
  <c r="AU173" i="47"/>
  <c r="D180" i="47"/>
  <c r="J180" i="47" s="1"/>
  <c r="R180" i="47" s="1"/>
  <c r="N179" i="47"/>
  <c r="P179" i="47" s="1"/>
  <c r="D184" i="47"/>
  <c r="J184" i="47" s="1"/>
  <c r="L188" i="47"/>
  <c r="N191" i="47" s="1"/>
  <c r="V188" i="47"/>
  <c r="X187" i="47"/>
  <c r="Z187" i="47" s="1"/>
  <c r="N193" i="47"/>
  <c r="P193" i="47" s="1"/>
  <c r="R193" i="47" s="1"/>
  <c r="D198" i="47"/>
  <c r="J198" i="47" s="1"/>
  <c r="L202" i="47"/>
  <c r="V202" i="47"/>
  <c r="F209" i="47" s="1"/>
  <c r="BK209" i="47" s="1"/>
  <c r="AL198" i="47"/>
  <c r="BA205" i="47"/>
  <c r="BD206" i="47"/>
  <c r="BG205" i="47"/>
  <c r="BG207" i="47"/>
  <c r="D206" i="47"/>
  <c r="J206" i="47" s="1"/>
  <c r="R206" i="47" s="1"/>
  <c r="N205" i="47"/>
  <c r="P212" i="47" s="1"/>
  <c r="BQ212" i="47"/>
  <c r="BT212" i="47" s="1"/>
  <c r="D214" i="47"/>
  <c r="J214" i="47" s="1"/>
  <c r="N214" i="47"/>
  <c r="P214" i="47" s="1"/>
  <c r="AL215" i="47"/>
  <c r="AZ223" i="47"/>
  <c r="BA223" i="47" s="1"/>
  <c r="BI223" i="47" s="1"/>
  <c r="BG219" i="47"/>
  <c r="BI219" i="47" s="1"/>
  <c r="BG221" i="47"/>
  <c r="BI221" i="47" s="1"/>
  <c r="BI229" i="47"/>
  <c r="BG226" i="47"/>
  <c r="BG228" i="47"/>
  <c r="N251" i="47"/>
  <c r="AL250" i="47"/>
  <c r="AN250" i="47" s="1"/>
  <c r="AP250" i="47" s="1"/>
  <c r="X250" i="47"/>
  <c r="D250" i="47"/>
  <c r="J250" i="47" s="1"/>
  <c r="R250" i="47" s="1"/>
  <c r="AG250" i="47"/>
  <c r="AL252" i="47"/>
  <c r="AN252" i="47" s="1"/>
  <c r="AP252" i="47" s="1"/>
  <c r="X257" i="47"/>
  <c r="Z257" i="47" s="1"/>
  <c r="AN257" i="47"/>
  <c r="N265" i="47"/>
  <c r="N264" i="47"/>
  <c r="P264" i="47" s="1"/>
  <c r="N263" i="47"/>
  <c r="V267" i="47"/>
  <c r="D267" i="47" s="1"/>
  <c r="J267" i="47" s="1"/>
  <c r="P273" i="47"/>
  <c r="X271" i="47"/>
  <c r="AN272" i="47"/>
  <c r="R278" i="47"/>
  <c r="X280" i="47"/>
  <c r="Z280" i="47" s="1"/>
  <c r="P280" i="47"/>
  <c r="R280" i="47" s="1"/>
  <c r="D281" i="47"/>
  <c r="J281" i="47" s="1"/>
  <c r="AN278" i="47"/>
  <c r="AG278" i="47"/>
  <c r="AG287" i="47"/>
  <c r="AL288" i="47"/>
  <c r="AG293" i="47"/>
  <c r="P299" i="47"/>
  <c r="R308" i="47"/>
  <c r="P314" i="47"/>
  <c r="P305" i="47"/>
  <c r="V160" i="47"/>
  <c r="V181" i="47"/>
  <c r="H188" i="47" s="1"/>
  <c r="AL177" i="47"/>
  <c r="V195" i="47"/>
  <c r="F202" i="47" s="1"/>
  <c r="AL191" i="47"/>
  <c r="BA213" i="47"/>
  <c r="BI213" i="47" s="1"/>
  <c r="V216" i="47"/>
  <c r="AL212" i="47"/>
  <c r="V226" i="47"/>
  <c r="E236" i="45" s="1"/>
  <c r="F236" i="45" s="1"/>
  <c r="X219" i="47"/>
  <c r="Z219" i="47" s="1"/>
  <c r="D219" i="47"/>
  <c r="J219" i="47" s="1"/>
  <c r="R219" i="47" s="1"/>
  <c r="AL219" i="47"/>
  <c r="AL227" i="47"/>
  <c r="X245" i="47"/>
  <c r="AL243" i="47"/>
  <c r="AN243" i="47" s="1"/>
  <c r="N256" i="47"/>
  <c r="N252" i="47"/>
  <c r="P252" i="47" s="1"/>
  <c r="N253" i="47"/>
  <c r="P253" i="47" s="1"/>
  <c r="AE252" i="47"/>
  <c r="AG252" i="47" s="1"/>
  <c r="AE251" i="47"/>
  <c r="AG249" i="47"/>
  <c r="P259" i="47"/>
  <c r="AE257" i="47"/>
  <c r="AG257" i="47" s="1"/>
  <c r="AE256" i="47"/>
  <c r="AL264" i="47"/>
  <c r="AN264" i="47" s="1"/>
  <c r="D264" i="47"/>
  <c r="J264" i="47" s="1"/>
  <c r="AE266" i="47"/>
  <c r="AG266" i="47" s="1"/>
  <c r="AE265" i="47"/>
  <c r="AN271" i="47"/>
  <c r="AP271" i="47" s="1"/>
  <c r="AE281" i="47"/>
  <c r="X286" i="47"/>
  <c r="AP287" i="47"/>
  <c r="P292" i="47"/>
  <c r="P293" i="47"/>
  <c r="R293" i="47" s="1"/>
  <c r="R301" i="47"/>
  <c r="AG306" i="47"/>
  <c r="AG299" i="47"/>
  <c r="R299" i="47"/>
  <c r="X301" i="47"/>
  <c r="Z301" i="47" s="1"/>
  <c r="P301" i="47"/>
  <c r="D309" i="47"/>
  <c r="J309" i="47" s="1"/>
  <c r="D302" i="47"/>
  <c r="J302" i="47" s="1"/>
  <c r="AN299" i="47"/>
  <c r="AP299" i="47" s="1"/>
  <c r="R365" i="47"/>
  <c r="BC223" i="47"/>
  <c r="BD223" i="47" s="1"/>
  <c r="D257" i="47"/>
  <c r="J257" i="47" s="1"/>
  <c r="R257" i="47" s="1"/>
  <c r="AL256" i="47"/>
  <c r="D266" i="47"/>
  <c r="J266" i="47" s="1"/>
  <c r="R266" i="47" s="1"/>
  <c r="N266" i="47"/>
  <c r="P266" i="47" s="1"/>
  <c r="D271" i="47"/>
  <c r="J271" i="47" s="1"/>
  <c r="AL270" i="47"/>
  <c r="D277" i="47"/>
  <c r="J277" i="47" s="1"/>
  <c r="R277" i="47" s="1"/>
  <c r="X277" i="47"/>
  <c r="D287" i="47"/>
  <c r="J287" i="47" s="1"/>
  <c r="N287" i="47"/>
  <c r="P287" i="47" s="1"/>
  <c r="D292" i="47"/>
  <c r="J292" i="47" s="1"/>
  <c r="X292" i="47"/>
  <c r="AE294" i="47"/>
  <c r="AG294" i="47" s="1"/>
  <c r="AN291" i="47"/>
  <c r="AP291" i="47" s="1"/>
  <c r="D298" i="47"/>
  <c r="J298" i="47" s="1"/>
  <c r="R298" i="47" s="1"/>
  <c r="X298" i="47"/>
  <c r="AE300" i="47"/>
  <c r="AG300" i="47" s="1"/>
  <c r="AL298" i="47"/>
  <c r="AL308" i="47"/>
  <c r="AN308" i="47" s="1"/>
  <c r="X308" i="47"/>
  <c r="AN305" i="47"/>
  <c r="AN306" i="47"/>
  <c r="AP306" i="47" s="1"/>
  <c r="D313" i="47"/>
  <c r="J313" i="47" s="1"/>
  <c r="AN313" i="47"/>
  <c r="P319" i="47"/>
  <c r="J319" i="47" s="1"/>
  <c r="D319" i="47" s="1"/>
  <c r="N330" i="47"/>
  <c r="V340" i="47"/>
  <c r="AW159" i="40" s="1"/>
  <c r="BI344" i="47"/>
  <c r="R346" i="47"/>
  <c r="P346" i="47"/>
  <c r="X346" i="47"/>
  <c r="Z346" i="47" s="1"/>
  <c r="BA358" i="47"/>
  <c r="BI358" i="47" s="1"/>
  <c r="BA351" i="47"/>
  <c r="BI351" i="47" s="1"/>
  <c r="BD357" i="47"/>
  <c r="BD350" i="47"/>
  <c r="BI350" i="47" s="1"/>
  <c r="BD361" i="47"/>
  <c r="BD354" i="47"/>
  <c r="P379" i="47"/>
  <c r="P388" i="47"/>
  <c r="R386" i="47"/>
  <c r="X272" i="47"/>
  <c r="X278" i="47"/>
  <c r="Z278" i="47" s="1"/>
  <c r="X284" i="47"/>
  <c r="X293" i="47"/>
  <c r="Z293" i="47" s="1"/>
  <c r="AE291" i="47"/>
  <c r="AG298" i="47" s="1"/>
  <c r="X299" i="47"/>
  <c r="AE301" i="47"/>
  <c r="AG301" i="47" s="1"/>
  <c r="X305" i="47"/>
  <c r="V319" i="47"/>
  <c r="AL312" i="47"/>
  <c r="X312" i="47"/>
  <c r="D312" i="47"/>
  <c r="J312" i="47" s="1"/>
  <c r="R312" i="47" s="1"/>
  <c r="V316" i="47"/>
  <c r="D316" i="47" s="1"/>
  <c r="AN315" i="47"/>
  <c r="AP315" i="47" s="1"/>
  <c r="N332" i="47"/>
  <c r="N331" i="47"/>
  <c r="N338" i="47"/>
  <c r="N337" i="47"/>
  <c r="N340" i="47" s="1"/>
  <c r="P340" i="47" s="1"/>
  <c r="AE350" i="47"/>
  <c r="AN350" i="47" s="1"/>
  <c r="AC351" i="47"/>
  <c r="AE351" i="47" s="1"/>
  <c r="AN351" i="47" s="1"/>
  <c r="BI352" i="47"/>
  <c r="N352" i="47"/>
  <c r="N351" i="47"/>
  <c r="N354" i="47" s="1"/>
  <c r="X350" i="47"/>
  <c r="BI361" i="47"/>
  <c r="AC359" i="47"/>
  <c r="AE360" i="47" s="1"/>
  <c r="AE364" i="47"/>
  <c r="D367" i="47"/>
  <c r="J367" i="47" s="1"/>
  <c r="X360" i="47"/>
  <c r="N366" i="47"/>
  <c r="N365" i="47"/>
  <c r="P365" i="47" s="1"/>
  <c r="P364" i="47"/>
  <c r="AN364" i="47"/>
  <c r="X364" i="47"/>
  <c r="R371" i="47"/>
  <c r="R379" i="47"/>
  <c r="X381" i="47"/>
  <c r="P381" i="47"/>
  <c r="AL382" i="47"/>
  <c r="BI393" i="47"/>
  <c r="V246" i="47"/>
  <c r="D253" i="47" s="1"/>
  <c r="J253" i="47" s="1"/>
  <c r="R253" i="47" s="1"/>
  <c r="D273" i="47"/>
  <c r="J273" i="47" s="1"/>
  <c r="R273" i="47" s="1"/>
  <c r="X273" i="47"/>
  <c r="AE270" i="47"/>
  <c r="D279" i="47"/>
  <c r="J279" i="47" s="1"/>
  <c r="N279" i="47"/>
  <c r="P279" i="47" s="1"/>
  <c r="D285" i="47"/>
  <c r="J285" i="47" s="1"/>
  <c r="R285" i="47" s="1"/>
  <c r="N285" i="47"/>
  <c r="P285" i="47" s="1"/>
  <c r="X285" i="47"/>
  <c r="Z285" i="47" s="1"/>
  <c r="AE286" i="47"/>
  <c r="AG286" i="47" s="1"/>
  <c r="D294" i="47"/>
  <c r="J294" i="47" s="1"/>
  <c r="X294" i="47"/>
  <c r="AL294" i="47"/>
  <c r="AN294" i="47" s="1"/>
  <c r="AP294" i="47" s="1"/>
  <c r="D300" i="47"/>
  <c r="J300" i="47" s="1"/>
  <c r="N300" i="47"/>
  <c r="P300" i="47" s="1"/>
  <c r="AL300" i="47"/>
  <c r="AN300" i="47" s="1"/>
  <c r="AP300" i="47" s="1"/>
  <c r="N306" i="47"/>
  <c r="P306" i="47" s="1"/>
  <c r="AE307" i="47"/>
  <c r="AL307" i="47"/>
  <c r="N313" i="47"/>
  <c r="N316" i="47" s="1"/>
  <c r="N323" i="47"/>
  <c r="AE321" i="47"/>
  <c r="AG321" i="47" s="1"/>
  <c r="X338" i="47"/>
  <c r="BA360" i="47"/>
  <c r="BI360" i="47" s="1"/>
  <c r="BA353" i="47"/>
  <c r="BI353" i="47" s="1"/>
  <c r="BD359" i="47"/>
  <c r="BD352" i="47"/>
  <c r="AE358" i="47"/>
  <c r="AN358" i="47" s="1"/>
  <c r="D358" i="47"/>
  <c r="J358" i="47" s="1"/>
  <c r="D351" i="47"/>
  <c r="J351" i="47" s="1"/>
  <c r="BI359" i="47"/>
  <c r="P359" i="47"/>
  <c r="AN357" i="47"/>
  <c r="X359" i="47"/>
  <c r="AL360" i="47"/>
  <c r="AL361" i="47" s="1"/>
  <c r="AE372" i="47"/>
  <c r="AN372" i="47" s="1"/>
  <c r="AE371" i="47"/>
  <c r="AC372" i="47"/>
  <c r="D372" i="47"/>
  <c r="J372" i="47" s="1"/>
  <c r="AL365" i="47"/>
  <c r="N389" i="47"/>
  <c r="R388" i="47"/>
  <c r="BM395" i="47"/>
  <c r="AL273" i="47"/>
  <c r="AN273" i="47" s="1"/>
  <c r="AL279" i="47"/>
  <c r="AN279" i="47" s="1"/>
  <c r="AE316" i="47"/>
  <c r="N315" i="47"/>
  <c r="V321" i="47"/>
  <c r="AL314" i="47"/>
  <c r="AN314" i="47" s="1"/>
  <c r="X314" i="47"/>
  <c r="Z314" i="47" s="1"/>
  <c r="D314" i="47"/>
  <c r="J314" i="47" s="1"/>
  <c r="R314" i="47" s="1"/>
  <c r="AG313" i="47"/>
  <c r="N333" i="47"/>
  <c r="P339" i="47"/>
  <c r="BA343" i="47"/>
  <c r="BI343" i="47" s="1"/>
  <c r="BA347" i="47"/>
  <c r="BI347" i="47" s="1"/>
  <c r="BD346" i="47"/>
  <c r="BI346" i="47" s="1"/>
  <c r="N344" i="47"/>
  <c r="N343" i="47"/>
  <c r="X343" i="47" s="1"/>
  <c r="D343" i="47"/>
  <c r="J343" i="47" s="1"/>
  <c r="AL343" i="47"/>
  <c r="V347" i="47"/>
  <c r="BI354" i="47"/>
  <c r="X357" i="47"/>
  <c r="N361" i="47"/>
  <c r="P357" i="47"/>
  <c r="BI357" i="47"/>
  <c r="BI364" i="47"/>
  <c r="BI366" i="47"/>
  <c r="BI368" i="47"/>
  <c r="X371" i="47"/>
  <c r="N375" i="47"/>
  <c r="P371" i="47"/>
  <c r="P373" i="47"/>
  <c r="R381" i="47"/>
  <c r="P378" i="47"/>
  <c r="AC121" i="14"/>
  <c r="P407" i="47"/>
  <c r="X407" i="47"/>
  <c r="Z407" i="47" s="1"/>
  <c r="X336" i="47"/>
  <c r="D345" i="47"/>
  <c r="J345" i="47" s="1"/>
  <c r="R345" i="47" s="1"/>
  <c r="X345" i="47"/>
  <c r="D353" i="47"/>
  <c r="J353" i="47" s="1"/>
  <c r="R353" i="47" s="1"/>
  <c r="N353" i="47"/>
  <c r="P353" i="47" s="1"/>
  <c r="V354" i="47"/>
  <c r="D354" i="47" s="1"/>
  <c r="J354" i="47" s="1"/>
  <c r="D359" i="47"/>
  <c r="J359" i="47" s="1"/>
  <c r="R359" i="47" s="1"/>
  <c r="X358" i="47"/>
  <c r="D364" i="47"/>
  <c r="J364" i="47" s="1"/>
  <c r="R364" i="47" s="1"/>
  <c r="N367" i="47"/>
  <c r="P367" i="47" s="1"/>
  <c r="V368" i="47"/>
  <c r="X367" i="47"/>
  <c r="D373" i="47"/>
  <c r="J373" i="47" s="1"/>
  <c r="R373" i="47" s="1"/>
  <c r="X372" i="47"/>
  <c r="D378" i="47"/>
  <c r="J378" i="47" s="1"/>
  <c r="R378" i="47" s="1"/>
  <c r="X378" i="47"/>
  <c r="BA386" i="47"/>
  <c r="BI386" i="47" s="1"/>
  <c r="BD385" i="47"/>
  <c r="BD387" i="47"/>
  <c r="N387" i="47"/>
  <c r="AL388" i="47"/>
  <c r="BM400" i="47"/>
  <c r="BM402" i="47"/>
  <c r="N395" i="47"/>
  <c r="X394" i="47"/>
  <c r="D394" i="47"/>
  <c r="J394" i="47" s="1"/>
  <c r="BQ407" i="47"/>
  <c r="BM407" i="47" s="1"/>
  <c r="BA400" i="47"/>
  <c r="BD399" i="47"/>
  <c r="BI399" i="47" s="1"/>
  <c r="BC403" i="47"/>
  <c r="BD403" i="47" s="1"/>
  <c r="X402" i="47"/>
  <c r="D402" i="47"/>
  <c r="J402" i="47" s="1"/>
  <c r="BM414" i="47"/>
  <c r="BM416" i="47"/>
  <c r="BD406" i="47"/>
  <c r="BD408" i="47"/>
  <c r="BQ408" i="47"/>
  <c r="BI416" i="47"/>
  <c r="R432" i="47"/>
  <c r="X440" i="47"/>
  <c r="P440" i="47"/>
  <c r="R440" i="47" s="1"/>
  <c r="D441" i="47"/>
  <c r="J441" i="47" s="1"/>
  <c r="R472" i="47"/>
  <c r="X373" i="47"/>
  <c r="AL374" i="47"/>
  <c r="X379" i="47"/>
  <c r="Z379" i="47" s="1"/>
  <c r="AL380" i="47"/>
  <c r="X388" i="47"/>
  <c r="BU407" i="47"/>
  <c r="BD400" i="47"/>
  <c r="X399" i="47"/>
  <c r="BI409" i="47"/>
  <c r="N409" i="47"/>
  <c r="P409" i="47" s="1"/>
  <c r="AZ417" i="47"/>
  <c r="BA417" i="47" s="1"/>
  <c r="N430" i="47"/>
  <c r="N426" i="47"/>
  <c r="P433" i="47" s="1"/>
  <c r="AL345" i="47"/>
  <c r="V361" i="47"/>
  <c r="Q184" i="45" s="1"/>
  <c r="V375" i="47"/>
  <c r="Q198" i="45" s="1"/>
  <c r="AW198" i="45" s="1"/>
  <c r="X374" i="47"/>
  <c r="Z374" i="47" s="1"/>
  <c r="D380" i="47"/>
  <c r="J380" i="47" s="1"/>
  <c r="N380" i="47"/>
  <c r="P380" i="47" s="1"/>
  <c r="BA385" i="47"/>
  <c r="BI385" i="47" s="1"/>
  <c r="BA387" i="47"/>
  <c r="BA389" i="47"/>
  <c r="BD386" i="47"/>
  <c r="BD388" i="47"/>
  <c r="BI388" i="47" s="1"/>
  <c r="V389" i="47"/>
  <c r="D389" i="47" s="1"/>
  <c r="BU393" i="47"/>
  <c r="BM393" i="47" s="1"/>
  <c r="D395" i="47"/>
  <c r="J395" i="47" s="1"/>
  <c r="N392" i="47"/>
  <c r="P399" i="47" s="1"/>
  <c r="R399" i="47" s="1"/>
  <c r="X392" i="47"/>
  <c r="D392" i="47"/>
  <c r="J392" i="47" s="1"/>
  <c r="V396" i="47"/>
  <c r="AL392" i="47"/>
  <c r="BA402" i="47"/>
  <c r="BI402" i="47" s="1"/>
  <c r="BQ409" i="47"/>
  <c r="N401" i="47"/>
  <c r="X400" i="47"/>
  <c r="D400" i="47"/>
  <c r="J400" i="47" s="1"/>
  <c r="R400" i="47" s="1"/>
  <c r="D407" i="47"/>
  <c r="J407" i="47" s="1"/>
  <c r="R407" i="47" s="1"/>
  <c r="BD407" i="47"/>
  <c r="BI407" i="47" s="1"/>
  <c r="BU408" i="47"/>
  <c r="D408" i="47"/>
  <c r="J408" i="47" s="1"/>
  <c r="BI414" i="47"/>
  <c r="BC417" i="47"/>
  <c r="BD417" i="47" s="1"/>
  <c r="D434" i="47"/>
  <c r="J434" i="47" s="1"/>
  <c r="BI438" i="47"/>
  <c r="P437" i="47"/>
  <c r="P444" i="47"/>
  <c r="V382" i="47"/>
  <c r="P385" i="47"/>
  <c r="R385" i="47" s="1"/>
  <c r="X386" i="47"/>
  <c r="Z386" i="47" s="1"/>
  <c r="X385" i="47"/>
  <c r="AL386" i="47"/>
  <c r="BA392" i="47"/>
  <c r="BI392" i="47" s="1"/>
  <c r="BA394" i="47"/>
  <c r="BI394" i="47" s="1"/>
  <c r="BD395" i="47"/>
  <c r="BI395" i="47" s="1"/>
  <c r="P393" i="47"/>
  <c r="R393" i="47" s="1"/>
  <c r="X393" i="47"/>
  <c r="AZ403" i="47"/>
  <c r="BA403" i="47" s="1"/>
  <c r="BU409" i="47"/>
  <c r="BD402" i="47"/>
  <c r="N403" i="47"/>
  <c r="BA406" i="47"/>
  <c r="BI406" i="47" s="1"/>
  <c r="BA408" i="47"/>
  <c r="BQ406" i="47"/>
  <c r="BM406" i="47" s="1"/>
  <c r="N406" i="47"/>
  <c r="X408" i="47"/>
  <c r="BH446" i="47"/>
  <c r="P438" i="47"/>
  <c r="R438" i="47" s="1"/>
  <c r="V403" i="47"/>
  <c r="AL399" i="47"/>
  <c r="AL407" i="47"/>
  <c r="D431" i="47"/>
  <c r="J431" i="47" s="1"/>
  <c r="R431" i="47" s="1"/>
  <c r="X431" i="47"/>
  <c r="BA437" i="47"/>
  <c r="BA439" i="47"/>
  <c r="BA441" i="47"/>
  <c r="BD438" i="47"/>
  <c r="BH438" i="47" s="1"/>
  <c r="BD440" i="47"/>
  <c r="BH440" i="47" s="1"/>
  <c r="D437" i="47"/>
  <c r="J437" i="47" s="1"/>
  <c r="X437" i="47"/>
  <c r="AL437" i="47"/>
  <c r="AL441" i="47" s="1"/>
  <c r="N445" i="47"/>
  <c r="P452" i="47" s="1"/>
  <c r="R452" i="47" s="1"/>
  <c r="BI453" i="47"/>
  <c r="X451" i="47"/>
  <c r="AL451" i="47"/>
  <c r="BA459" i="47"/>
  <c r="BD458" i="47"/>
  <c r="BH458" i="47" s="1"/>
  <c r="BD462" i="47"/>
  <c r="BH462" i="47" s="1"/>
  <c r="F469" i="47"/>
  <c r="X458" i="47"/>
  <c r="V462" i="47"/>
  <c r="AL458" i="47"/>
  <c r="BA466" i="47"/>
  <c r="BD465" i="47"/>
  <c r="BD469" i="47"/>
  <c r="X465" i="47"/>
  <c r="V469" i="47"/>
  <c r="AL465" i="47"/>
  <c r="BA473" i="47"/>
  <c r="BD472" i="47"/>
  <c r="BD476" i="47"/>
  <c r="H476" i="47"/>
  <c r="P472" i="47"/>
  <c r="X472" i="47"/>
  <c r="BQ488" i="47"/>
  <c r="BA481" i="47"/>
  <c r="BA488" i="47"/>
  <c r="BI488" i="47" s="1"/>
  <c r="BD480" i="47"/>
  <c r="P480" i="47"/>
  <c r="X487" i="47"/>
  <c r="Z487" i="47" s="1"/>
  <c r="P487" i="47"/>
  <c r="X432" i="47"/>
  <c r="X438" i="47"/>
  <c r="Z438" i="47" s="1"/>
  <c r="BA445" i="47"/>
  <c r="BA447" i="47"/>
  <c r="BD444" i="47"/>
  <c r="BH444" i="47" s="1"/>
  <c r="BD446" i="47"/>
  <c r="BI446" i="47" s="1"/>
  <c r="BD448" i="47"/>
  <c r="BH448" i="47" s="1"/>
  <c r="N447" i="47"/>
  <c r="X446" i="47"/>
  <c r="D446" i="47"/>
  <c r="J446" i="47" s="1"/>
  <c r="X452" i="47"/>
  <c r="BI460" i="47"/>
  <c r="P459" i="47"/>
  <c r="R459" i="47" s="1"/>
  <c r="X459" i="47"/>
  <c r="Z459" i="47" s="1"/>
  <c r="BA467" i="47"/>
  <c r="BD466" i="47"/>
  <c r="P466" i="47"/>
  <c r="R466" i="47" s="1"/>
  <c r="X466" i="47"/>
  <c r="BA474" i="47"/>
  <c r="BD473" i="47"/>
  <c r="X474" i="47"/>
  <c r="P474" i="47"/>
  <c r="X473" i="47"/>
  <c r="D473" i="47"/>
  <c r="J473" i="47" s="1"/>
  <c r="R473" i="47" s="1"/>
  <c r="D480" i="47"/>
  <c r="J480" i="47" s="1"/>
  <c r="R479" i="47"/>
  <c r="X482" i="47"/>
  <c r="P482" i="47"/>
  <c r="P489" i="47"/>
  <c r="R496" i="47"/>
  <c r="D433" i="47"/>
  <c r="J433" i="47" s="1"/>
  <c r="X433" i="47"/>
  <c r="D439" i="47"/>
  <c r="J439" i="47" s="1"/>
  <c r="N439" i="47"/>
  <c r="P439" i="47" s="1"/>
  <c r="BI451" i="47"/>
  <c r="BI455" i="47"/>
  <c r="N454" i="47"/>
  <c r="X453" i="47"/>
  <c r="BA461" i="47"/>
  <c r="BD460" i="47"/>
  <c r="J458" i="47"/>
  <c r="R458" i="47" s="1"/>
  <c r="N461" i="47"/>
  <c r="X460" i="47"/>
  <c r="Z460" i="47" s="1"/>
  <c r="BA468" i="47"/>
  <c r="BD467" i="47"/>
  <c r="D465" i="47"/>
  <c r="J465" i="47" s="1"/>
  <c r="R465" i="47" s="1"/>
  <c r="N468" i="47"/>
  <c r="X467" i="47"/>
  <c r="BA475" i="47"/>
  <c r="BD474" i="47"/>
  <c r="D474" i="47"/>
  <c r="J474" i="47" s="1"/>
  <c r="N476" i="47"/>
  <c r="BA479" i="47"/>
  <c r="BI479" i="47" s="1"/>
  <c r="BA486" i="47"/>
  <c r="BQ486" i="47"/>
  <c r="BA483" i="47"/>
  <c r="R481" i="47"/>
  <c r="R489" i="47"/>
  <c r="N448" i="47"/>
  <c r="X444" i="47"/>
  <c r="D444" i="47"/>
  <c r="J444" i="47" s="1"/>
  <c r="V448" i="47"/>
  <c r="D448" i="47" s="1"/>
  <c r="AL444" i="47"/>
  <c r="BH454" i="47"/>
  <c r="D453" i="47"/>
  <c r="J453" i="47" s="1"/>
  <c r="R453" i="47" s="1"/>
  <c r="P451" i="47"/>
  <c r="R451" i="47" s="1"/>
  <c r="BI458" i="47"/>
  <c r="BH460" i="47"/>
  <c r="R460" i="47"/>
  <c r="BA465" i="47"/>
  <c r="BA469" i="47"/>
  <c r="BD468" i="47"/>
  <c r="R467" i="47"/>
  <c r="BA472" i="47"/>
  <c r="BI472" i="47" s="1"/>
  <c r="BA476" i="47"/>
  <c r="BI476" i="47" s="1"/>
  <c r="BD475" i="47"/>
  <c r="P473" i="47"/>
  <c r="P479" i="47"/>
  <c r="N483" i="47"/>
  <c r="P483" i="47" s="1"/>
  <c r="R487" i="47"/>
  <c r="AL445" i="47"/>
  <c r="AL452" i="47"/>
  <c r="AL459" i="47"/>
  <c r="D475" i="47"/>
  <c r="J475" i="47" s="1"/>
  <c r="V476" i="47"/>
  <c r="X475" i="47"/>
  <c r="AL472" i="47"/>
  <c r="BA480" i="47"/>
  <c r="BI480" i="47" s="1"/>
  <c r="BA482" i="47"/>
  <c r="BD479" i="47"/>
  <c r="BD481" i="47"/>
  <c r="BD483" i="47"/>
  <c r="X479" i="47"/>
  <c r="BG486" i="47"/>
  <c r="D488" i="47"/>
  <c r="J488" i="47" s="1"/>
  <c r="X488" i="47"/>
  <c r="AL489" i="47"/>
  <c r="BQ503" i="47"/>
  <c r="BA503" i="47"/>
  <c r="BI503" i="47" s="1"/>
  <c r="BG500" i="47"/>
  <c r="BD500" i="47"/>
  <c r="BG502" i="47"/>
  <c r="BD502" i="47"/>
  <c r="D493" i="47"/>
  <c r="J493" i="47" s="1"/>
  <c r="D501" i="47"/>
  <c r="J501" i="47" s="1"/>
  <c r="X494" i="47"/>
  <c r="X500" i="47"/>
  <c r="N521" i="47"/>
  <c r="P521" i="47" s="1"/>
  <c r="AL518" i="47"/>
  <c r="D525" i="47"/>
  <c r="J525" i="47" s="1"/>
  <c r="X518" i="47"/>
  <c r="X521" i="47" s="1"/>
  <c r="D518" i="47"/>
  <c r="J518" i="47" s="1"/>
  <c r="R518" i="47" s="1"/>
  <c r="P525" i="47"/>
  <c r="X525" i="47"/>
  <c r="P524" i="47"/>
  <c r="X534" i="47"/>
  <c r="P534" i="47"/>
  <c r="X480" i="47"/>
  <c r="Z480" i="47" s="1"/>
  <c r="AL481" i="47"/>
  <c r="BA490" i="47"/>
  <c r="BI490" i="47" s="1"/>
  <c r="BD487" i="47"/>
  <c r="BI487" i="47" s="1"/>
  <c r="BD489" i="47"/>
  <c r="BG487" i="47"/>
  <c r="BQ487" i="47"/>
  <c r="V490" i="47"/>
  <c r="X489" i="47"/>
  <c r="AL486" i="47"/>
  <c r="P494" i="47"/>
  <c r="R494" i="47" s="1"/>
  <c r="P496" i="47"/>
  <c r="X495" i="47"/>
  <c r="Z495" i="47" s="1"/>
  <c r="BQ507" i="47"/>
  <c r="BA507" i="47"/>
  <c r="BI507" i="47" s="1"/>
  <c r="BA500" i="47"/>
  <c r="BD508" i="47"/>
  <c r="X519" i="47"/>
  <c r="P526" i="47"/>
  <c r="AL447" i="47"/>
  <c r="AL461" i="47"/>
  <c r="BD482" i="47"/>
  <c r="D482" i="47"/>
  <c r="J482" i="47" s="1"/>
  <c r="R482" i="47" s="1"/>
  <c r="N481" i="47"/>
  <c r="P481" i="47" s="1"/>
  <c r="BG488" i="47"/>
  <c r="D486" i="47"/>
  <c r="J486" i="47" s="1"/>
  <c r="N486" i="47"/>
  <c r="N495" i="47"/>
  <c r="P495" i="47" s="1"/>
  <c r="BQ501" i="47"/>
  <c r="P503" i="47"/>
  <c r="P501" i="47"/>
  <c r="BD510" i="47"/>
  <c r="N507" i="47"/>
  <c r="BA526" i="47"/>
  <c r="BI526" i="47" s="1"/>
  <c r="V483" i="47"/>
  <c r="D483" i="47" s="1"/>
  <c r="BA489" i="47"/>
  <c r="BI495" i="47"/>
  <c r="N497" i="47"/>
  <c r="X493" i="47"/>
  <c r="BA502" i="47"/>
  <c r="BQ509" i="47"/>
  <c r="BA509" i="47"/>
  <c r="BG508" i="47"/>
  <c r="BD501" i="47"/>
  <c r="BI501" i="47" s="1"/>
  <c r="N504" i="47"/>
  <c r="P504" i="47" s="1"/>
  <c r="P500" i="47"/>
  <c r="BG510" i="47"/>
  <c r="AL521" i="47"/>
  <c r="AE524" i="47"/>
  <c r="AN524" i="47" s="1"/>
  <c r="V497" i="47"/>
  <c r="D497" i="47" s="1"/>
  <c r="J497" i="47" s="1"/>
  <c r="AL493" i="47"/>
  <c r="D502" i="47"/>
  <c r="J502" i="47" s="1"/>
  <c r="AL502" i="47"/>
  <c r="BD509" i="47"/>
  <c r="V521" i="47"/>
  <c r="D521" i="47" s="1"/>
  <c r="J521" i="47" s="1"/>
  <c r="R521" i="47" s="1"/>
  <c r="AL519" i="47"/>
  <c r="AC525" i="47"/>
  <c r="AE526" i="47" s="1"/>
  <c r="AN526" i="47" s="1"/>
  <c r="N527" i="47"/>
  <c r="P527" i="47" s="1"/>
  <c r="X524" i="47"/>
  <c r="AL528" i="47"/>
  <c r="D532" i="47"/>
  <c r="J532" i="47" s="1"/>
  <c r="P545" i="47"/>
  <c r="X541" i="47"/>
  <c r="Z541" i="47" s="1"/>
  <c r="D541" i="47"/>
  <c r="J541" i="47" s="1"/>
  <c r="X546" i="47"/>
  <c r="Z546" i="47" s="1"/>
  <c r="P546" i="47"/>
  <c r="N528" i="47"/>
  <c r="P528" i="47" s="1"/>
  <c r="X538" i="47"/>
  <c r="P554" i="47"/>
  <c r="AL495" i="47"/>
  <c r="D500" i="47"/>
  <c r="J500" i="47" s="1"/>
  <c r="R500" i="47" s="1"/>
  <c r="AL500" i="47"/>
  <c r="BD507" i="47"/>
  <c r="X526" i="47"/>
  <c r="Z526" i="47" s="1"/>
  <c r="N532" i="47"/>
  <c r="N531" i="47"/>
  <c r="X531" i="47" s="1"/>
  <c r="D539" i="47"/>
  <c r="J539" i="47" s="1"/>
  <c r="AL532" i="47"/>
  <c r="P539" i="47"/>
  <c r="J546" i="47"/>
  <c r="BA548" i="47"/>
  <c r="BI548" i="47" s="1"/>
  <c r="N548" i="47"/>
  <c r="N552" i="47"/>
  <c r="D495" i="47"/>
  <c r="J495" i="47" s="1"/>
  <c r="R495" i="47" s="1"/>
  <c r="BA508" i="47"/>
  <c r="D519" i="47"/>
  <c r="J519" i="47" s="1"/>
  <c r="R519" i="47" s="1"/>
  <c r="D526" i="47"/>
  <c r="J526" i="47" s="1"/>
  <c r="V528" i="47"/>
  <c r="X527" i="47"/>
  <c r="Z527" i="47" s="1"/>
  <c r="N533" i="47"/>
  <c r="P533" i="47" s="1"/>
  <c r="D533" i="47"/>
  <c r="J533" i="47" s="1"/>
  <c r="N541" i="47"/>
  <c r="P541" i="47" s="1"/>
  <c r="N540" i="47"/>
  <c r="P538" i="47"/>
  <c r="BA546" i="47"/>
  <c r="BI546" i="47" s="1"/>
  <c r="D548" i="47"/>
  <c r="J548" i="47" s="1"/>
  <c r="BA538" i="47"/>
  <c r="BI538" i="47" s="1"/>
  <c r="BA540" i="47"/>
  <c r="BI540" i="47" s="1"/>
  <c r="BA542" i="47"/>
  <c r="BI542" i="47" s="1"/>
  <c r="X539" i="47"/>
  <c r="AL540" i="47"/>
  <c r="X547" i="47"/>
  <c r="AL548" i="47"/>
  <c r="BA553" i="47"/>
  <c r="BI553" i="47" s="1"/>
  <c r="BA555" i="47"/>
  <c r="BI555" i="47" s="1"/>
  <c r="N555" i="47"/>
  <c r="X552" i="47"/>
  <c r="AL552" i="47"/>
  <c r="P562" i="47"/>
  <c r="X559" i="47"/>
  <c r="D559" i="47"/>
  <c r="J559" i="47" s="1"/>
  <c r="V563" i="47"/>
  <c r="D563" i="47" s="1"/>
  <c r="AL559" i="47"/>
  <c r="N568" i="47"/>
  <c r="P575" i="47" s="1"/>
  <c r="D568" i="47"/>
  <c r="J568" i="47" s="1"/>
  <c r="X568" i="47"/>
  <c r="AL587" i="47"/>
  <c r="BA589" i="47"/>
  <c r="BI589" i="47" s="1"/>
  <c r="V549" i="47"/>
  <c r="AL545" i="47"/>
  <c r="D552" i="47"/>
  <c r="J552" i="47" s="1"/>
  <c r="P569" i="47"/>
  <c r="X569" i="47"/>
  <c r="Z569" i="47" s="1"/>
  <c r="P576" i="47"/>
  <c r="D580" i="47"/>
  <c r="J580" i="47" s="1"/>
  <c r="D573" i="47"/>
  <c r="J573" i="47" s="1"/>
  <c r="X573" i="47"/>
  <c r="V577" i="47"/>
  <c r="AL573" i="47"/>
  <c r="N582" i="47"/>
  <c r="N581" i="47"/>
  <c r="N580" i="47"/>
  <c r="P587" i="47"/>
  <c r="V542" i="47"/>
  <c r="D545" i="47"/>
  <c r="J545" i="47" s="1"/>
  <c r="X545" i="47"/>
  <c r="BA552" i="47"/>
  <c r="BI552" i="47" s="1"/>
  <c r="BA554" i="47"/>
  <c r="BI554" i="47" s="1"/>
  <c r="BA556" i="47"/>
  <c r="BI556" i="47" s="1"/>
  <c r="D553" i="47"/>
  <c r="J553" i="47" s="1"/>
  <c r="N553" i="47"/>
  <c r="X554" i="47"/>
  <c r="Z554" i="47" s="1"/>
  <c r="AL555" i="47"/>
  <c r="P561" i="47"/>
  <c r="X561" i="47"/>
  <c r="Z561" i="47" s="1"/>
  <c r="X566" i="47"/>
  <c r="AL568" i="47"/>
  <c r="X576" i="47"/>
  <c r="Z576" i="47" s="1"/>
  <c r="BA587" i="47"/>
  <c r="BI587" i="47" s="1"/>
  <c r="BA580" i="47"/>
  <c r="BI580" i="47" s="1"/>
  <c r="V589" i="47"/>
  <c r="W238" i="45" s="1"/>
  <c r="X238" i="45" s="1"/>
  <c r="X582" i="47"/>
  <c r="Z582" i="47" s="1"/>
  <c r="D582" i="47"/>
  <c r="J582" i="47" s="1"/>
  <c r="X587" i="47"/>
  <c r="AL588" i="47"/>
  <c r="V535" i="47"/>
  <c r="AL531" i="47"/>
  <c r="AL539" i="47"/>
  <c r="D554" i="47"/>
  <c r="J554" i="47" s="1"/>
  <c r="P559" i="47"/>
  <c r="N563" i="47"/>
  <c r="H563" i="47"/>
  <c r="P567" i="47"/>
  <c r="P566" i="47"/>
  <c r="J574" i="47"/>
  <c r="X574" i="47"/>
  <c r="Z574" i="47" s="1"/>
  <c r="X575" i="47"/>
  <c r="AL560" i="47"/>
  <c r="AL569" i="47"/>
  <c r="D576" i="47"/>
  <c r="J576" i="47" s="1"/>
  <c r="AL561" i="47"/>
  <c r="V570" i="47"/>
  <c r="D570" i="47" s="1"/>
  <c r="AL566" i="47"/>
  <c r="N573" i="47"/>
  <c r="AL575" i="47"/>
  <c r="AL580" i="47"/>
  <c r="D561" i="47"/>
  <c r="J561" i="47" s="1"/>
  <c r="AL562" i="47"/>
  <c r="AL567" i="47"/>
  <c r="BA581" i="47"/>
  <c r="BI581" i="47" s="1"/>
  <c r="X580" i="47"/>
  <c r="BE20" i="44"/>
  <c r="AX20" i="44"/>
  <c r="AU20" i="44"/>
  <c r="BC20" i="44"/>
  <c r="AT20" i="44"/>
  <c r="BC26" i="44"/>
  <c r="AX26" i="44"/>
  <c r="AY26" i="44" s="1"/>
  <c r="BE26" i="44"/>
  <c r="BD26" i="44"/>
  <c r="AX27" i="44"/>
  <c r="AU27" i="44"/>
  <c r="AT27" i="44"/>
  <c r="BE27" i="44"/>
  <c r="AU40" i="44"/>
  <c r="H69" i="44"/>
  <c r="BD75" i="44"/>
  <c r="AY86" i="44"/>
  <c r="AI83" i="44"/>
  <c r="BC33" i="44"/>
  <c r="AX33" i="44"/>
  <c r="AY33" i="44" s="1"/>
  <c r="BE33" i="44"/>
  <c r="BD33" i="44"/>
  <c r="BD41" i="44"/>
  <c r="BD62" i="44"/>
  <c r="BD90" i="44"/>
  <c r="AS90" i="44"/>
  <c r="BD13" i="44"/>
  <c r="AS55" i="44"/>
  <c r="BD55" i="44" s="1"/>
  <c r="BD58" i="44"/>
  <c r="G93" i="44"/>
  <c r="H90" i="44"/>
  <c r="I90" i="44"/>
  <c r="AT107" i="44"/>
  <c r="BE107" i="44"/>
  <c r="AX107" i="44"/>
  <c r="AX12" i="44"/>
  <c r="BC12" i="44"/>
  <c r="BE12" i="44"/>
  <c r="BD19" i="44"/>
  <c r="BC19" i="44"/>
  <c r="AX19" i="44"/>
  <c r="AY19" i="44" s="1"/>
  <c r="BE19" i="44"/>
  <c r="BE9" i="44"/>
  <c r="BD12" i="44"/>
  <c r="AS13" i="44"/>
  <c r="BC17" i="44"/>
  <c r="BD18" i="44"/>
  <c r="AB20" i="44"/>
  <c r="BE23" i="44"/>
  <c r="BE30" i="44"/>
  <c r="AS34" i="44"/>
  <c r="AS37" i="44"/>
  <c r="BD37" i="44" s="1"/>
  <c r="AU39" i="44"/>
  <c r="AS41" i="44"/>
  <c r="BE38" i="44"/>
  <c r="BC40" i="44"/>
  <c r="F41" i="44"/>
  <c r="L41" i="44"/>
  <c r="P41" i="44"/>
  <c r="AS46" i="44"/>
  <c r="BC45" i="44"/>
  <c r="AS52" i="44"/>
  <c r="BD52" i="44" s="1"/>
  <c r="BC51" i="44"/>
  <c r="BC55" i="44"/>
  <c r="F55" i="44"/>
  <c r="AF55" i="44"/>
  <c r="AS58" i="44"/>
  <c r="AS62" i="44"/>
  <c r="G62" i="44"/>
  <c r="L62" i="44"/>
  <c r="P62" i="44"/>
  <c r="AC62" i="44"/>
  <c r="AP62" i="44"/>
  <c r="AU65" i="44"/>
  <c r="AS67" i="44"/>
  <c r="AU74" i="44" s="1"/>
  <c r="BC66" i="44"/>
  <c r="AO73" i="44"/>
  <c r="AU73" i="44"/>
  <c r="AS75" i="44"/>
  <c r="BE72" i="44"/>
  <c r="BC74" i="44"/>
  <c r="G76" i="44"/>
  <c r="L76" i="44"/>
  <c r="P76" i="44"/>
  <c r="AC76" i="44"/>
  <c r="AN76" i="44"/>
  <c r="AS79" i="44"/>
  <c r="AT80" i="44" s="1"/>
  <c r="AT81" i="44"/>
  <c r="I82" i="44"/>
  <c r="H83" i="44"/>
  <c r="N83" i="44"/>
  <c r="AB83" i="44"/>
  <c r="AS88" i="44"/>
  <c r="BD88" i="44" s="1"/>
  <c r="AX89" i="44"/>
  <c r="AY89" i="44" s="1"/>
  <c r="AE90" i="44"/>
  <c r="AS93" i="44"/>
  <c r="Q94" i="44"/>
  <c r="BD93" i="44"/>
  <c r="AS94" i="44"/>
  <c r="BC94" i="44"/>
  <c r="AF95" i="44"/>
  <c r="I96" i="44"/>
  <c r="AJ104" i="44"/>
  <c r="AJ97" i="44"/>
  <c r="L104" i="44"/>
  <c r="P104" i="44" s="1"/>
  <c r="BD107" i="44"/>
  <c r="I111" i="44"/>
  <c r="H111" i="44"/>
  <c r="K206" i="44"/>
  <c r="AC122" i="44"/>
  <c r="AA123" i="44"/>
  <c r="K139" i="44"/>
  <c r="Q132" i="44"/>
  <c r="D213" i="44"/>
  <c r="D130" i="44"/>
  <c r="H132" i="44"/>
  <c r="D137" i="44"/>
  <c r="F136" i="44"/>
  <c r="BD40" i="44"/>
  <c r="AX40" i="44"/>
  <c r="AY40" i="44" s="1"/>
  <c r="BD45" i="44"/>
  <c r="E48" i="44"/>
  <c r="O48" i="44"/>
  <c r="AB48" i="44"/>
  <c r="BD51" i="44"/>
  <c r="L55" i="44"/>
  <c r="P55" i="44"/>
  <c r="AS61" i="44"/>
  <c r="BD66" i="44"/>
  <c r="I68" i="44"/>
  <c r="F69" i="44"/>
  <c r="O69" i="44"/>
  <c r="AB69" i="44"/>
  <c r="AF69" i="44"/>
  <c r="AM69" i="44"/>
  <c r="AU72" i="44"/>
  <c r="BD74" i="44"/>
  <c r="Q76" i="44"/>
  <c r="BE80" i="44"/>
  <c r="AX82" i="44"/>
  <c r="AY82" i="44" s="1"/>
  <c r="BC82" i="44"/>
  <c r="BD80" i="44"/>
  <c r="BD82" i="44"/>
  <c r="I83" i="44"/>
  <c r="BD83" i="44"/>
  <c r="E90" i="44"/>
  <c r="G86" i="44" s="1"/>
  <c r="L90" i="44"/>
  <c r="P90" i="44" s="1"/>
  <c r="Q90" i="44"/>
  <c r="AC90" i="44"/>
  <c r="AF90" i="44"/>
  <c r="F95" i="44"/>
  <c r="G100" i="44"/>
  <c r="H97" i="44"/>
  <c r="I97" i="44"/>
  <c r="AC97" i="44"/>
  <c r="BE103" i="44"/>
  <c r="BD103" i="44"/>
  <c r="AX103" i="44"/>
  <c r="AF100" i="44"/>
  <c r="AD101" i="44"/>
  <c r="AU103" i="44"/>
  <c r="K109" i="44"/>
  <c r="AF107" i="44"/>
  <c r="BD114" i="44"/>
  <c r="AS121" i="44"/>
  <c r="BD121" i="44" s="1"/>
  <c r="E216" i="44"/>
  <c r="D132" i="44"/>
  <c r="P132" i="44"/>
  <c r="M132" i="44"/>
  <c r="M139" i="44" s="1"/>
  <c r="AD139" i="44"/>
  <c r="AF132" i="44"/>
  <c r="AD135" i="44"/>
  <c r="K130" i="44"/>
  <c r="BD20" i="44"/>
  <c r="BC23" i="44"/>
  <c r="BC27" i="44"/>
  <c r="E27" i="44"/>
  <c r="BC30" i="44"/>
  <c r="BC34" i="44"/>
  <c r="E34" i="44"/>
  <c r="AT40" i="44"/>
  <c r="BD39" i="44"/>
  <c r="BE40" i="44"/>
  <c r="AB41" i="44"/>
  <c r="AT45" i="44"/>
  <c r="BD44" i="44"/>
  <c r="BE45" i="44"/>
  <c r="F48" i="44"/>
  <c r="L48" i="44"/>
  <c r="P48" i="44"/>
  <c r="AS54" i="44"/>
  <c r="BE51" i="44"/>
  <c r="H55" i="44"/>
  <c r="Q55" i="44"/>
  <c r="G58" i="44"/>
  <c r="AS60" i="44"/>
  <c r="BD60" i="44" s="1"/>
  <c r="E62" i="44"/>
  <c r="AE62" i="44"/>
  <c r="AT66" i="44"/>
  <c r="BD65" i="44"/>
  <c r="BE66" i="44"/>
  <c r="L69" i="44"/>
  <c r="P69" i="44"/>
  <c r="AC69" i="44"/>
  <c r="AN69" i="44"/>
  <c r="AT74" i="44"/>
  <c r="BD73" i="44"/>
  <c r="BE74" i="44"/>
  <c r="E76" i="44"/>
  <c r="AE76" i="44"/>
  <c r="AU80" i="44"/>
  <c r="AT82" i="44"/>
  <c r="BE82" i="44"/>
  <c r="E83" i="44"/>
  <c r="L83" i="44"/>
  <c r="Q83" i="44"/>
  <c r="AE83" i="44"/>
  <c r="AN83" i="44"/>
  <c r="AU89" i="44"/>
  <c r="BD89" i="44"/>
  <c r="F90" i="44"/>
  <c r="AA95" i="44"/>
  <c r="AC94" i="44"/>
  <c r="Q97" i="44"/>
  <c r="I104" i="44"/>
  <c r="I103" i="44"/>
  <c r="F104" i="44"/>
  <c r="F111" i="44"/>
  <c r="E104" i="44"/>
  <c r="E188" i="44" s="1"/>
  <c r="E111" i="44"/>
  <c r="E195" i="44" s="1"/>
  <c r="L188" i="44"/>
  <c r="AE117" i="44"/>
  <c r="BE114" i="44"/>
  <c r="AX114" i="44"/>
  <c r="AU114" i="44"/>
  <c r="BC114" i="44"/>
  <c r="AT114" i="44"/>
  <c r="K199" i="44"/>
  <c r="AA116" i="44"/>
  <c r="AX124" i="44"/>
  <c r="BE124" i="44"/>
  <c r="BD124" i="44"/>
  <c r="AU124" i="44"/>
  <c r="BC124" i="44"/>
  <c r="I149" i="44"/>
  <c r="G143" i="44"/>
  <c r="I142" i="44"/>
  <c r="H27" i="44"/>
  <c r="BD34" i="44"/>
  <c r="AT39" i="44"/>
  <c r="BC41" i="44"/>
  <c r="AT44" i="44"/>
  <c r="AS47" i="44"/>
  <c r="AT51" i="44" s="1"/>
  <c r="AS53" i="44"/>
  <c r="BD53" i="44" s="1"/>
  <c r="AS59" i="44"/>
  <c r="BC62" i="44"/>
  <c r="AT65" i="44"/>
  <c r="AS68" i="44"/>
  <c r="BD68" i="44" s="1"/>
  <c r="AT73" i="44"/>
  <c r="AS76" i="44"/>
  <c r="BE76" i="44" s="1"/>
  <c r="AU81" i="44"/>
  <c r="AU82" i="44"/>
  <c r="BD81" i="44"/>
  <c r="BC83" i="44"/>
  <c r="F83" i="44"/>
  <c r="AC83" i="44"/>
  <c r="AM83" i="44"/>
  <c r="AS87" i="44"/>
  <c r="AS86" i="44"/>
  <c r="AT89" i="44"/>
  <c r="BE89" i="44"/>
  <c r="I89" i="44"/>
  <c r="BD96" i="44"/>
  <c r="AU96" i="44"/>
  <c r="BE96" i="44"/>
  <c r="K95" i="44"/>
  <c r="AF94" i="44"/>
  <c r="L97" i="44"/>
  <c r="P97" i="44" s="1"/>
  <c r="AS100" i="44"/>
  <c r="AU107" i="44" s="1"/>
  <c r="O104" i="44"/>
  <c r="D185" i="44"/>
  <c r="D102" i="44"/>
  <c r="F101" i="44"/>
  <c r="K184" i="44"/>
  <c r="AS184" i="44" s="1"/>
  <c r="AA101" i="44"/>
  <c r="H104" i="44"/>
  <c r="AF104" i="44"/>
  <c r="AF111" i="44"/>
  <c r="AE104" i="44"/>
  <c r="AE111" i="44"/>
  <c r="AF108" i="44"/>
  <c r="D191" i="44"/>
  <c r="D108" i="44"/>
  <c r="BC107" i="44"/>
  <c r="F107" i="44"/>
  <c r="AF122" i="44"/>
  <c r="AD123" i="44"/>
  <c r="I136" i="44"/>
  <c r="G137" i="44"/>
  <c r="AS97" i="44"/>
  <c r="Q100" i="44"/>
  <c r="Q104" i="44"/>
  <c r="D184" i="44"/>
  <c r="K101" i="44"/>
  <c r="Q108" i="44" s="1"/>
  <c r="AC104" i="44"/>
  <c r="AD109" i="44"/>
  <c r="AU110" i="44"/>
  <c r="BD110" i="44"/>
  <c r="M108" i="44"/>
  <c r="Q111" i="44"/>
  <c r="BE117" i="44"/>
  <c r="AC198" i="44"/>
  <c r="AM117" i="44"/>
  <c r="AC121" i="44"/>
  <c r="AC205" i="44"/>
  <c r="AL121" i="44"/>
  <c r="E125" i="44"/>
  <c r="N125" i="44"/>
  <c r="AJ125" i="44"/>
  <c r="AD129" i="44"/>
  <c r="AO128" i="44"/>
  <c r="AO130" i="44"/>
  <c r="AA128" i="44"/>
  <c r="I131" i="44"/>
  <c r="I132" i="44"/>
  <c r="AL135" i="44"/>
  <c r="AN132" i="44"/>
  <c r="E222" i="44"/>
  <c r="I138" i="44"/>
  <c r="M137" i="44"/>
  <c r="AA221" i="44" s="1"/>
  <c r="AQ145" i="44"/>
  <c r="I146" i="44"/>
  <c r="G150" i="44"/>
  <c r="I153" i="44"/>
  <c r="I110" i="44"/>
  <c r="AX117" i="44"/>
  <c r="I117" i="44"/>
  <c r="O118" i="44"/>
  <c r="AS118" i="44" s="1"/>
  <c r="AF115" i="44"/>
  <c r="Q121" i="44"/>
  <c r="AC206" i="44"/>
  <c r="O125" i="44"/>
  <c r="Q128" i="44"/>
  <c r="AC212" i="44"/>
  <c r="AM132" i="44"/>
  <c r="AS135" i="44"/>
  <c r="BC135" i="44" s="1"/>
  <c r="I139" i="44"/>
  <c r="AM146" i="44"/>
  <c r="AL146" i="44" s="1"/>
  <c r="AL142" i="44"/>
  <c r="AN139" i="44"/>
  <c r="E230" i="44"/>
  <c r="AA153" i="44"/>
  <c r="AA149" i="44"/>
  <c r="AA145" i="44"/>
  <c r="BE188" i="44"/>
  <c r="AX188" i="44"/>
  <c r="AY188" i="44" s="1"/>
  <c r="AX110" i="44"/>
  <c r="Q191" i="44"/>
  <c r="O111" i="44"/>
  <c r="AB111" i="44"/>
  <c r="L195" i="44" s="1"/>
  <c r="AC114" i="44"/>
  <c r="BC117" i="44"/>
  <c r="D198" i="44"/>
  <c r="K115" i="44"/>
  <c r="M116" i="44"/>
  <c r="G118" i="44"/>
  <c r="L118" i="44"/>
  <c r="P118" i="44" s="1"/>
  <c r="AC118" i="44"/>
  <c r="D205" i="44"/>
  <c r="K122" i="44"/>
  <c r="M123" i="44"/>
  <c r="AF121" i="44"/>
  <c r="L125" i="44"/>
  <c r="G128" i="44"/>
  <c r="G129" i="44" s="1"/>
  <c r="G130" i="44" s="1"/>
  <c r="M129" i="44"/>
  <c r="AL131" i="44"/>
  <c r="I135" i="44"/>
  <c r="AB222" i="44"/>
  <c r="P138" i="44"/>
  <c r="K136" i="44"/>
  <c r="Q135" i="44"/>
  <c r="AC139" i="44"/>
  <c r="AM139" i="44"/>
  <c r="AM138" i="44" s="1"/>
  <c r="AC146" i="44"/>
  <c r="BC188" i="44"/>
  <c r="M101" i="44"/>
  <c r="AC107" i="44"/>
  <c r="AC191" i="44"/>
  <c r="AS191" i="44"/>
  <c r="BD191" i="44" s="1"/>
  <c r="AA108" i="44"/>
  <c r="F114" i="44"/>
  <c r="AU117" i="44"/>
  <c r="D115" i="44"/>
  <c r="K198" i="44"/>
  <c r="D122" i="44"/>
  <c r="F129" i="44" s="1"/>
  <c r="K205" i="44"/>
  <c r="AS205" i="44" s="1"/>
  <c r="Q125" i="44"/>
  <c r="O128" i="44"/>
  <c r="D212" i="44"/>
  <c r="L216" i="44"/>
  <c r="AA135" i="44"/>
  <c r="AL138" i="44"/>
  <c r="D219" i="44"/>
  <c r="F135" i="44"/>
  <c r="I145" i="44"/>
  <c r="AA143" i="44"/>
  <c r="AC219" i="44"/>
  <c r="E236" i="44"/>
  <c r="BD188" i="44"/>
  <c r="BD194" i="44"/>
  <c r="BC201" i="44"/>
  <c r="F216" i="44"/>
  <c r="Q216" i="44"/>
  <c r="BC187" i="44"/>
  <c r="AS187" i="44"/>
  <c r="F195" i="44"/>
  <c r="Q195" i="44"/>
  <c r="AC195" i="44"/>
  <c r="AS195" i="44"/>
  <c r="BD195" i="44" s="1"/>
  <c r="AC216" i="44"/>
  <c r="AS216" i="44"/>
  <c r="AU194" i="44"/>
  <c r="BE194" i="44"/>
  <c r="Q202" i="44"/>
  <c r="BE201" i="44"/>
  <c r="AU201" i="44"/>
  <c r="F209" i="44"/>
  <c r="BD208" i="44"/>
  <c r="K151" i="44"/>
  <c r="F194" i="44"/>
  <c r="D202" i="44"/>
  <c r="BD201" i="44"/>
  <c r="F208" i="44"/>
  <c r="K209" i="44"/>
  <c r="BC215" i="44"/>
  <c r="V258" i="44"/>
  <c r="V261" i="44"/>
  <c r="V264" i="44" s="1"/>
  <c r="U264" i="44" s="1"/>
  <c r="W258" i="44"/>
  <c r="Q201" i="44"/>
  <c r="AS215" i="44"/>
  <c r="Q244" i="44"/>
  <c r="L247" i="44"/>
  <c r="L240" i="44"/>
  <c r="Q240" i="44"/>
  <c r="BD240" i="44"/>
  <c r="AS240" i="44"/>
  <c r="Q208" i="44"/>
  <c r="Q215" i="44"/>
  <c r="AC215" i="44"/>
  <c r="Q242" i="44"/>
  <c r="BD242" i="44"/>
  <c r="AS242" i="44"/>
  <c r="F201" i="44"/>
  <c r="AA202" i="44"/>
  <c r="AS208" i="44"/>
  <c r="F215" i="44"/>
  <c r="BD215" i="44"/>
  <c r="BD216" i="44"/>
  <c r="F244" i="44"/>
  <c r="E247" i="44"/>
  <c r="E250" i="44" s="1"/>
  <c r="D250" i="44" s="1"/>
  <c r="BC236" i="44"/>
  <c r="AX243" i="44"/>
  <c r="BC243" i="44"/>
  <c r="AX247" i="44"/>
  <c r="Q247" i="44"/>
  <c r="BD255" i="44"/>
  <c r="AX236" i="44"/>
  <c r="BD236" i="44"/>
  <c r="BD243" i="44"/>
  <c r="E240" i="44"/>
  <c r="K241" i="44"/>
  <c r="BE247" i="44"/>
  <c r="K248" i="44"/>
  <c r="AX255" i="44"/>
  <c r="AZ257" i="44"/>
  <c r="BC254" i="44"/>
  <c r="BE255" i="44"/>
  <c r="BD256" i="44"/>
  <c r="BE236" i="44"/>
  <c r="AA237" i="44"/>
  <c r="AT243" i="44"/>
  <c r="BE243" i="44"/>
  <c r="AC240" i="44"/>
  <c r="AU247" i="44"/>
  <c r="K249" i="44"/>
  <c r="AT255" i="44"/>
  <c r="AX254" i="44"/>
  <c r="AZ250" i="44"/>
  <c r="BC247" i="44"/>
  <c r="AU254" i="44"/>
  <c r="BE254" i="44"/>
  <c r="Q261" i="44"/>
  <c r="AU261" i="44"/>
  <c r="BA264" i="44"/>
  <c r="K263" i="44"/>
  <c r="Q262" i="44"/>
  <c r="AS262" i="44"/>
  <c r="AS256" i="44"/>
  <c r="AX261" i="44"/>
  <c r="BC261" i="44"/>
  <c r="BD261" i="44"/>
  <c r="F33" i="30"/>
  <c r="F16" i="30"/>
  <c r="U33" i="30"/>
  <c r="U16" i="30"/>
  <c r="AE33" i="30"/>
  <c r="AE16" i="30"/>
  <c r="AO33" i="30"/>
  <c r="AO16" i="30"/>
  <c r="AY33" i="30"/>
  <c r="AY16" i="30"/>
  <c r="BI33" i="30"/>
  <c r="BI16" i="30"/>
  <c r="BS33" i="30"/>
  <c r="BS16" i="30"/>
  <c r="N33" i="30"/>
  <c r="N16" i="30"/>
  <c r="X33" i="30"/>
  <c r="X16" i="30"/>
  <c r="AH33" i="30"/>
  <c r="AH16" i="30"/>
  <c r="AR33" i="30"/>
  <c r="AR16" i="30"/>
  <c r="BB33" i="30"/>
  <c r="BB16" i="30"/>
  <c r="BL33" i="30"/>
  <c r="BL16" i="30"/>
  <c r="BV33" i="30"/>
  <c r="R24" i="76" s="1"/>
  <c r="Z24" i="76" s="1"/>
  <c r="BV16" i="30"/>
  <c r="CF33" i="30"/>
  <c r="CF58" i="30" s="1"/>
  <c r="CF16" i="30"/>
  <c r="CP33" i="30"/>
  <c r="C24" i="76" s="1"/>
  <c r="I24" i="76" s="1"/>
  <c r="CP16" i="30"/>
  <c r="E33" i="30"/>
  <c r="E16" i="30"/>
  <c r="H43" i="30"/>
  <c r="H13" i="30"/>
  <c r="R43" i="30"/>
  <c r="R13" i="30"/>
  <c r="AL43" i="30"/>
  <c r="AL13" i="30"/>
  <c r="AV43" i="30"/>
  <c r="AV13" i="30"/>
  <c r="BK43" i="30"/>
  <c r="BK13" i="30"/>
  <c r="BU43" i="30"/>
  <c r="BU13" i="30"/>
  <c r="CJ43" i="30"/>
  <c r="CJ13" i="30"/>
  <c r="J43" i="30"/>
  <c r="O43" i="30"/>
  <c r="T43" i="30"/>
  <c r="Y43" i="30"/>
  <c r="AD43" i="30"/>
  <c r="AI43" i="30"/>
  <c r="AN43" i="30"/>
  <c r="AS43" i="30"/>
  <c r="AX43" i="30"/>
  <c r="BC43" i="30"/>
  <c r="BH43" i="30"/>
  <c r="BM43" i="30"/>
  <c r="BR43" i="30"/>
  <c r="BW43" i="30"/>
  <c r="CB43" i="30"/>
  <c r="CG43" i="30"/>
  <c r="CL43" i="30"/>
  <c r="CQ43" i="30"/>
  <c r="F34" i="30"/>
  <c r="N45" i="30"/>
  <c r="N34" i="30"/>
  <c r="O16" i="30"/>
  <c r="U45" i="30"/>
  <c r="U34" i="30"/>
  <c r="X45" i="30"/>
  <c r="X34" i="30"/>
  <c r="Y16" i="30"/>
  <c r="AE45" i="30"/>
  <c r="AE34" i="30"/>
  <c r="AH45" i="30"/>
  <c r="AH34" i="30"/>
  <c r="AI16" i="30"/>
  <c r="AO45" i="30"/>
  <c r="AO34" i="30"/>
  <c r="AR45" i="30"/>
  <c r="AR34" i="30"/>
  <c r="AS16" i="30"/>
  <c r="AY45" i="30"/>
  <c r="AY34" i="30"/>
  <c r="BB45" i="30"/>
  <c r="BB34" i="30"/>
  <c r="BC16" i="30"/>
  <c r="BI45" i="30"/>
  <c r="BI34" i="30"/>
  <c r="BL45" i="30"/>
  <c r="BL34" i="30"/>
  <c r="BM16" i="30"/>
  <c r="BS45" i="30"/>
  <c r="BS34" i="30"/>
  <c r="BV45" i="30"/>
  <c r="R34" i="76" s="1"/>
  <c r="Z34" i="76" s="1"/>
  <c r="BV34" i="30"/>
  <c r="R25" i="76" s="1"/>
  <c r="Z25" i="76" s="1"/>
  <c r="BW16" i="30"/>
  <c r="CA45" i="30"/>
  <c r="CA34" i="30"/>
  <c r="CA16" i="30"/>
  <c r="CL13" i="30"/>
  <c r="CL45" i="30"/>
  <c r="CL34" i="30"/>
  <c r="CL59" i="30" s="1"/>
  <c r="I36" i="30"/>
  <c r="S36" i="30"/>
  <c r="AL36" i="30"/>
  <c r="BF36" i="30"/>
  <c r="BZ36" i="30"/>
  <c r="CU18" i="30"/>
  <c r="CT18" i="30"/>
  <c r="CV18" i="30"/>
  <c r="K43" i="30"/>
  <c r="P43" i="30"/>
  <c r="U43" i="30"/>
  <c r="Z43" i="30"/>
  <c r="AE43" i="30"/>
  <c r="AJ43" i="30"/>
  <c r="AO43" i="30"/>
  <c r="AT43" i="30"/>
  <c r="AY43" i="30"/>
  <c r="BD43" i="30"/>
  <c r="BI43" i="30"/>
  <c r="BN43" i="30"/>
  <c r="BS43" i="30"/>
  <c r="BX43" i="30"/>
  <c r="CC43" i="30"/>
  <c r="CH43" i="30"/>
  <c r="CM43" i="30"/>
  <c r="DB33" i="30"/>
  <c r="DB16" i="30"/>
  <c r="C34" i="30"/>
  <c r="I33" i="30"/>
  <c r="I16" i="30"/>
  <c r="I45" i="30"/>
  <c r="I34" i="30"/>
  <c r="O45" i="30"/>
  <c r="O34" i="30"/>
  <c r="S16" i="30"/>
  <c r="Y45" i="30"/>
  <c r="Y34" i="30"/>
  <c r="AC16" i="30"/>
  <c r="AI45" i="30"/>
  <c r="AI34" i="30"/>
  <c r="AM16" i="30"/>
  <c r="AS45" i="30"/>
  <c r="AS34" i="30"/>
  <c r="AW16" i="30"/>
  <c r="BC45" i="30"/>
  <c r="BC34" i="30"/>
  <c r="BG16" i="30"/>
  <c r="BM45" i="30"/>
  <c r="BM34" i="30"/>
  <c r="BQ16" i="30"/>
  <c r="BW45" i="30"/>
  <c r="BW34" i="30"/>
  <c r="CF45" i="30"/>
  <c r="CF34" i="30"/>
  <c r="CG16" i="30"/>
  <c r="CM13" i="30"/>
  <c r="CM45" i="30"/>
  <c r="CM34" i="30"/>
  <c r="CP45" i="30"/>
  <c r="C34" i="76" s="1"/>
  <c r="CP34" i="30"/>
  <c r="C25" i="76" s="1"/>
  <c r="I25" i="76" s="1"/>
  <c r="CQ16" i="30"/>
  <c r="C16" i="30"/>
  <c r="CC13" i="30"/>
  <c r="CB13" i="30"/>
  <c r="C36" i="30"/>
  <c r="M36" i="30"/>
  <c r="W36" i="30"/>
  <c r="AQ36" i="30"/>
  <c r="BK36" i="30"/>
  <c r="CE36" i="30"/>
  <c r="M43" i="30"/>
  <c r="M13" i="30"/>
  <c r="AB43" i="30"/>
  <c r="AB13" i="30"/>
  <c r="AQ43" i="30"/>
  <c r="AQ13" i="30"/>
  <c r="BF43" i="30"/>
  <c r="BF13" i="30"/>
  <c r="D33" i="30"/>
  <c r="D16" i="30"/>
  <c r="J33" i="30"/>
  <c r="J16" i="30"/>
  <c r="J45" i="30"/>
  <c r="J34" i="30"/>
  <c r="P13" i="30"/>
  <c r="P45" i="30"/>
  <c r="P34" i="30"/>
  <c r="S45" i="30"/>
  <c r="S34" i="30"/>
  <c r="Z13" i="30"/>
  <c r="Z45" i="30"/>
  <c r="Z34" i="30"/>
  <c r="AC45" i="30"/>
  <c r="AC34" i="30"/>
  <c r="AJ13" i="30"/>
  <c r="AJ45" i="30"/>
  <c r="AJ34" i="30"/>
  <c r="AM45" i="30"/>
  <c r="AM34" i="30"/>
  <c r="AT13" i="30"/>
  <c r="AT45" i="30"/>
  <c r="AT34" i="30"/>
  <c r="AW45" i="30"/>
  <c r="AW34" i="30"/>
  <c r="BD13" i="30"/>
  <c r="BD45" i="30"/>
  <c r="BD34" i="30"/>
  <c r="BG45" i="30"/>
  <c r="BG34" i="30"/>
  <c r="BN13" i="30"/>
  <c r="BN45" i="30"/>
  <c r="BN34" i="30"/>
  <c r="BQ45" i="30"/>
  <c r="BQ34" i="30"/>
  <c r="BX13" i="30"/>
  <c r="BX45" i="30"/>
  <c r="BX34" i="30"/>
  <c r="CG45" i="30"/>
  <c r="CG34" i="30"/>
  <c r="CQ45" i="30"/>
  <c r="CQ34" i="30"/>
  <c r="D36" i="30"/>
  <c r="N36" i="30"/>
  <c r="X36" i="30"/>
  <c r="AB36" i="30"/>
  <c r="AV36" i="30"/>
  <c r="BP36" i="30"/>
  <c r="CJ36" i="30"/>
  <c r="W43" i="30"/>
  <c r="W13" i="30"/>
  <c r="AG43" i="30"/>
  <c r="AG13" i="30"/>
  <c r="BA43" i="30"/>
  <c r="BA13" i="30"/>
  <c r="BP43" i="30"/>
  <c r="BP13" i="30"/>
  <c r="BZ43" i="30"/>
  <c r="BZ13" i="30"/>
  <c r="CE43" i="30"/>
  <c r="CE13" i="30"/>
  <c r="CO43" i="30"/>
  <c r="CO13" i="30"/>
  <c r="J33" i="76"/>
  <c r="I43" i="30"/>
  <c r="N43" i="30"/>
  <c r="S43" i="30"/>
  <c r="X43" i="30"/>
  <c r="AC43" i="30"/>
  <c r="AH43" i="30"/>
  <c r="AM43" i="30"/>
  <c r="AR43" i="30"/>
  <c r="AW43" i="30"/>
  <c r="BB43" i="30"/>
  <c r="BG43" i="30"/>
  <c r="BL43" i="30"/>
  <c r="BQ43" i="30"/>
  <c r="BV43" i="30"/>
  <c r="R32" i="76" s="1"/>
  <c r="Z32" i="76" s="1"/>
  <c r="CA43" i="30"/>
  <c r="CF43" i="30"/>
  <c r="CK43" i="30"/>
  <c r="D32" i="76" s="1"/>
  <c r="CP43" i="30"/>
  <c r="C32" i="76" s="1"/>
  <c r="E34" i="30"/>
  <c r="K13" i="30"/>
  <c r="K45" i="30"/>
  <c r="K34" i="30"/>
  <c r="T13" i="30"/>
  <c r="T45" i="30"/>
  <c r="T34" i="30"/>
  <c r="AD13" i="30"/>
  <c r="AD45" i="30"/>
  <c r="AD34" i="30"/>
  <c r="AN13" i="30"/>
  <c r="AN45" i="30"/>
  <c r="AN34" i="30"/>
  <c r="AX13" i="30"/>
  <c r="AX45" i="30"/>
  <c r="AX34" i="30"/>
  <c r="BH13" i="30"/>
  <c r="BH45" i="30"/>
  <c r="BH34" i="30"/>
  <c r="BR13" i="30"/>
  <c r="BR45" i="30"/>
  <c r="BR34" i="30"/>
  <c r="BZ45" i="30"/>
  <c r="BZ34" i="30"/>
  <c r="CH13" i="30"/>
  <c r="CH45" i="30"/>
  <c r="CH34" i="30"/>
  <c r="CH59" i="30" s="1"/>
  <c r="CK13" i="30"/>
  <c r="CK45" i="30"/>
  <c r="D34" i="76" s="1"/>
  <c r="CK34" i="30"/>
  <c r="DC13" i="30"/>
  <c r="DC45" i="30"/>
  <c r="DC34" i="30"/>
  <c r="E36" i="30"/>
  <c r="H36" i="30"/>
  <c r="R36" i="30"/>
  <c r="AG36" i="30"/>
  <c r="BA36" i="30"/>
  <c r="BU36" i="30"/>
  <c r="CO36" i="30"/>
  <c r="H45" i="30"/>
  <c r="M45" i="30"/>
  <c r="M34" i="30"/>
  <c r="R45" i="30"/>
  <c r="R34" i="30"/>
  <c r="W45" i="30"/>
  <c r="W34" i="30"/>
  <c r="AB45" i="30"/>
  <c r="AB34" i="30"/>
  <c r="AG45" i="30"/>
  <c r="AG34" i="30"/>
  <c r="AL45" i="30"/>
  <c r="AL34" i="30"/>
  <c r="AQ45" i="30"/>
  <c r="AQ34" i="30"/>
  <c r="AV45" i="30"/>
  <c r="AV34" i="30"/>
  <c r="BA45" i="30"/>
  <c r="BA34" i="30"/>
  <c r="BF45" i="30"/>
  <c r="BF34" i="30"/>
  <c r="BK45" i="30"/>
  <c r="BK34" i="30"/>
  <c r="BP45" i="30"/>
  <c r="BP34" i="30"/>
  <c r="BU45" i="30"/>
  <c r="BU34" i="30"/>
  <c r="CE45" i="30"/>
  <c r="CE34" i="30"/>
  <c r="CE59" i="30" s="1"/>
  <c r="CJ45" i="30"/>
  <c r="CJ34" i="30"/>
  <c r="CJ59" i="30" s="1"/>
  <c r="CO45" i="30"/>
  <c r="CO34" i="30"/>
  <c r="DB34" i="30"/>
  <c r="F36" i="30"/>
  <c r="K36" i="30"/>
  <c r="P36" i="30"/>
  <c r="U36" i="30"/>
  <c r="Z36" i="30"/>
  <c r="AE36" i="30"/>
  <c r="AJ36" i="30"/>
  <c r="AO36" i="30"/>
  <c r="AT36" i="30"/>
  <c r="AY36" i="30"/>
  <c r="BD36" i="30"/>
  <c r="BI36" i="30"/>
  <c r="BN36" i="30"/>
  <c r="BS36" i="30"/>
  <c r="BX36" i="30"/>
  <c r="CC36" i="30"/>
  <c r="CH36" i="30"/>
  <c r="CM36" i="30"/>
  <c r="H34" i="30"/>
  <c r="AC36" i="30"/>
  <c r="AH36" i="30"/>
  <c r="AM36" i="30"/>
  <c r="AR36" i="30"/>
  <c r="AW36" i="30"/>
  <c r="BB36" i="30"/>
  <c r="BG36" i="30"/>
  <c r="BL36" i="30"/>
  <c r="BQ36" i="30"/>
  <c r="BV36" i="30"/>
  <c r="CA36" i="30"/>
  <c r="CF36" i="30"/>
  <c r="CK36" i="30"/>
  <c r="CP36" i="30"/>
  <c r="CC45" i="30"/>
  <c r="CC34" i="30"/>
  <c r="CB45" i="30"/>
  <c r="CB34" i="30"/>
  <c r="J36" i="30"/>
  <c r="O36" i="30"/>
  <c r="T36" i="30"/>
  <c r="Y36" i="30"/>
  <c r="AD36" i="30"/>
  <c r="AI36" i="30"/>
  <c r="AN36" i="30"/>
  <c r="AS36" i="30"/>
  <c r="AX36" i="30"/>
  <c r="BC36" i="30"/>
  <c r="BH36" i="30"/>
  <c r="BM36" i="30"/>
  <c r="BR36" i="30"/>
  <c r="BW36" i="30"/>
  <c r="CB36" i="30"/>
  <c r="CG36" i="30"/>
  <c r="CL36" i="30"/>
  <c r="CQ36" i="30"/>
  <c r="M133" i="83"/>
  <c r="M92" i="83"/>
  <c r="E139" i="83"/>
  <c r="E98" i="83"/>
  <c r="I100" i="83"/>
  <c r="I59" i="83"/>
  <c r="G145" i="83"/>
  <c r="G63" i="83"/>
  <c r="G104" i="83" s="1"/>
  <c r="D116" i="83"/>
  <c r="D75" i="83"/>
  <c r="D169" i="83" s="1"/>
  <c r="F92" i="83"/>
  <c r="F51" i="83"/>
  <c r="J133" i="83"/>
  <c r="J92" i="83"/>
  <c r="J51" i="83"/>
  <c r="N133" i="83"/>
  <c r="N92" i="83"/>
  <c r="N51" i="83"/>
  <c r="E116" i="83"/>
  <c r="E75" i="83"/>
  <c r="E169" i="83" s="1"/>
  <c r="I116" i="83"/>
  <c r="I75" i="83"/>
  <c r="I169" i="83" s="1"/>
  <c r="M171" i="83"/>
  <c r="M116" i="83"/>
  <c r="M172" i="83" s="1"/>
  <c r="M75" i="83"/>
  <c r="M170" i="83" s="1"/>
  <c r="M51" i="83"/>
  <c r="E57" i="83"/>
  <c r="J59" i="83"/>
  <c r="R59" i="83"/>
  <c r="H63" i="83"/>
  <c r="H104" i="83" s="1"/>
  <c r="E133" i="83"/>
  <c r="E92" i="83"/>
  <c r="L171" i="83"/>
  <c r="L116" i="83"/>
  <c r="L172" i="83" s="1"/>
  <c r="L75" i="83"/>
  <c r="L170" i="83" s="1"/>
  <c r="H75" i="83"/>
  <c r="H169" i="83" s="1"/>
  <c r="E88" i="83"/>
  <c r="E129" i="83"/>
  <c r="E47" i="83"/>
  <c r="C133" i="83"/>
  <c r="C92" i="83"/>
  <c r="C51" i="83"/>
  <c r="G133" i="83"/>
  <c r="G92" i="83"/>
  <c r="G51" i="83"/>
  <c r="K133" i="83"/>
  <c r="K92" i="83"/>
  <c r="K51" i="83"/>
  <c r="O133" i="83"/>
  <c r="O92" i="83"/>
  <c r="O51" i="83"/>
  <c r="E145" i="83"/>
  <c r="E63" i="83"/>
  <c r="E104" i="83" s="1"/>
  <c r="M147" i="83"/>
  <c r="M145" i="83" s="1"/>
  <c r="M63" i="83"/>
  <c r="F116" i="83"/>
  <c r="F75" i="83"/>
  <c r="F169" i="83" s="1"/>
  <c r="N171" i="83"/>
  <c r="N169" i="83" s="1"/>
  <c r="N116" i="83"/>
  <c r="N172" i="83" s="1"/>
  <c r="N75" i="83"/>
  <c r="N170" i="83" s="1"/>
  <c r="K59" i="83"/>
  <c r="S59" i="83"/>
  <c r="I63" i="83"/>
  <c r="I104" i="83" s="1"/>
  <c r="I133" i="83"/>
  <c r="I92" i="83"/>
  <c r="E100" i="83"/>
  <c r="E59" i="83"/>
  <c r="Q100" i="83"/>
  <c r="Q59" i="83"/>
  <c r="H133" i="83"/>
  <c r="H92" i="83"/>
  <c r="H100" i="83"/>
  <c r="H59" i="83"/>
  <c r="L100" i="83"/>
  <c r="L59" i="83"/>
  <c r="P100" i="83"/>
  <c r="P59" i="83"/>
  <c r="T100" i="83"/>
  <c r="T59" i="83"/>
  <c r="F145" i="83"/>
  <c r="F63" i="83"/>
  <c r="F104" i="83" s="1"/>
  <c r="N147" i="83"/>
  <c r="N145" i="83" s="1"/>
  <c r="N63" i="83"/>
  <c r="G75" i="83"/>
  <c r="G169" i="83" s="1"/>
  <c r="G116" i="83"/>
  <c r="K75" i="83"/>
  <c r="K169" i="83" s="1"/>
  <c r="K116" i="83"/>
  <c r="O171" i="83"/>
  <c r="O75" i="83"/>
  <c r="O170" i="83" s="1"/>
  <c r="O116" i="83"/>
  <c r="O172" i="83" s="1"/>
  <c r="I51" i="83"/>
  <c r="F59" i="83"/>
  <c r="N59" i="83"/>
  <c r="C63" i="83"/>
  <c r="C104" i="83" s="1"/>
  <c r="O63" i="83"/>
  <c r="D92" i="83"/>
  <c r="C75" i="83"/>
  <c r="C169" i="83" s="1"/>
  <c r="C116" i="83"/>
  <c r="O169" i="83"/>
  <c r="L169" i="83"/>
  <c r="M169" i="83"/>
  <c r="H33" i="76"/>
  <c r="I34" i="76"/>
  <c r="I32" i="76"/>
  <c r="H32" i="76"/>
  <c r="Z21" i="76"/>
  <c r="R21" i="76"/>
  <c r="D21" i="76"/>
  <c r="C21" i="76"/>
  <c r="K190" i="89"/>
  <c r="F18" i="76"/>
  <c r="H236" i="45" l="1"/>
  <c r="Z238" i="45"/>
  <c r="BI510" i="47"/>
  <c r="AW232" i="45"/>
  <c r="R232" i="45"/>
  <c r="AC64" i="8"/>
  <c r="AC8" i="8"/>
  <c r="BG61" i="3"/>
  <c r="DJ24" i="36"/>
  <c r="AC11" i="8" s="1"/>
  <c r="BG62" i="3" s="1"/>
  <c r="F203" i="2"/>
  <c r="AF61" i="8"/>
  <c r="I94" i="89"/>
  <c r="I95" i="89" s="1"/>
  <c r="I96" i="89" s="1"/>
  <c r="Q92" i="89"/>
  <c r="P93" i="89"/>
  <c r="N95" i="89"/>
  <c r="O125" i="89"/>
  <c r="P124" i="89"/>
  <c r="R124" i="89"/>
  <c r="S88" i="89"/>
  <c r="U118" i="89"/>
  <c r="I7" i="89"/>
  <c r="J5" i="89"/>
  <c r="J9" i="89"/>
  <c r="V83" i="89"/>
  <c r="U119" i="89"/>
  <c r="L127" i="89"/>
  <c r="L92" i="89"/>
  <c r="M126" i="89"/>
  <c r="N125" i="89"/>
  <c r="M91" i="89"/>
  <c r="T120" i="89"/>
  <c r="U84" i="89"/>
  <c r="S122" i="89"/>
  <c r="T86" i="89"/>
  <c r="W82" i="89"/>
  <c r="V117" i="89"/>
  <c r="W81" i="89"/>
  <c r="O90" i="89"/>
  <c r="R90" i="89"/>
  <c r="Q126" i="89"/>
  <c r="H121" i="89"/>
  <c r="I120" i="89"/>
  <c r="H86" i="89"/>
  <c r="V45" i="89"/>
  <c r="U114" i="89"/>
  <c r="U113" i="89"/>
  <c r="U116" i="89"/>
  <c r="U115" i="89"/>
  <c r="C139" i="89"/>
  <c r="B139" i="89"/>
  <c r="U117" i="89"/>
  <c r="Q91" i="89"/>
  <c r="K93" i="89"/>
  <c r="K94" i="89" s="1"/>
  <c r="R123" i="89"/>
  <c r="S87" i="89"/>
  <c r="R89" i="89"/>
  <c r="Q125" i="89"/>
  <c r="T121" i="89"/>
  <c r="U85" i="89"/>
  <c r="V112" i="89"/>
  <c r="W76" i="89"/>
  <c r="K187" i="89"/>
  <c r="K74" i="89"/>
  <c r="K110" i="89" s="1"/>
  <c r="K147" i="89" s="1"/>
  <c r="K8" i="89"/>
  <c r="J126" i="89"/>
  <c r="J91" i="89"/>
  <c r="K125" i="89"/>
  <c r="Z201" i="2"/>
  <c r="AF195" i="2"/>
  <c r="AF194" i="2"/>
  <c r="AF173" i="2"/>
  <c r="AF172" i="2"/>
  <c r="R202" i="2"/>
  <c r="R187" i="2"/>
  <c r="AF144" i="2"/>
  <c r="AF151" i="2"/>
  <c r="R159" i="2"/>
  <c r="AH159" i="2"/>
  <c r="Z126" i="2"/>
  <c r="AF118" i="2"/>
  <c r="R117" i="2"/>
  <c r="Z138" i="2"/>
  <c r="AF105" i="2"/>
  <c r="Z96" i="2"/>
  <c r="Z81" i="2"/>
  <c r="AF130" i="2"/>
  <c r="AF89" i="2"/>
  <c r="Z34" i="2"/>
  <c r="Z125" i="2"/>
  <c r="R105" i="2"/>
  <c r="R98" i="2"/>
  <c r="Z68" i="2"/>
  <c r="J64" i="2"/>
  <c r="R64" i="2" s="1"/>
  <c r="J43" i="2"/>
  <c r="R39" i="2"/>
  <c r="Z41" i="2"/>
  <c r="Z39" i="2"/>
  <c r="AF28" i="2"/>
  <c r="B197" i="2"/>
  <c r="B211" i="2"/>
  <c r="B190" i="2"/>
  <c r="B183" i="2"/>
  <c r="B204" i="2"/>
  <c r="B176" i="2"/>
  <c r="B155" i="2"/>
  <c r="B148" i="2"/>
  <c r="B134" i="2"/>
  <c r="B169" i="2"/>
  <c r="B162" i="2"/>
  <c r="B141" i="2"/>
  <c r="B127" i="2"/>
  <c r="B113" i="2"/>
  <c r="B85" i="2"/>
  <c r="B92" i="2"/>
  <c r="B120" i="2"/>
  <c r="B106" i="2"/>
  <c r="B99" i="2"/>
  <c r="L92" i="2"/>
  <c r="AF47" i="2"/>
  <c r="Z69" i="2"/>
  <c r="Z21" i="2"/>
  <c r="AF68" i="2"/>
  <c r="Z47" i="2"/>
  <c r="AD209" i="2"/>
  <c r="AF202" i="2"/>
  <c r="AH193" i="2"/>
  <c r="J197" i="2"/>
  <c r="R197" i="2" s="1"/>
  <c r="CL51" i="30" s="1"/>
  <c r="AH186" i="2"/>
  <c r="J190" i="2"/>
  <c r="R190" i="2" s="1"/>
  <c r="CK51" i="30" s="1"/>
  <c r="R201" i="2"/>
  <c r="AH201" i="2"/>
  <c r="AF188" i="2"/>
  <c r="R179" i="2"/>
  <c r="AH179" i="2"/>
  <c r="J183" i="2"/>
  <c r="R183" i="2" s="1"/>
  <c r="CJ51" i="30" s="1"/>
  <c r="R186" i="2"/>
  <c r="R173" i="2"/>
  <c r="AH173" i="2"/>
  <c r="R174" i="2"/>
  <c r="AF174" i="2"/>
  <c r="AH152" i="2"/>
  <c r="R152" i="2"/>
  <c r="R154" i="2"/>
  <c r="AH154" i="2"/>
  <c r="AH144" i="2"/>
  <c r="J148" i="2"/>
  <c r="R148" i="2" s="1"/>
  <c r="J85" i="2"/>
  <c r="R85" i="2" s="1"/>
  <c r="Z130" i="2"/>
  <c r="T81" i="2"/>
  <c r="J120" i="2"/>
  <c r="R43" i="2"/>
  <c r="AF32" i="2"/>
  <c r="R22" i="2"/>
  <c r="Z77" i="2"/>
  <c r="Z95" i="2"/>
  <c r="J36" i="2"/>
  <c r="R36" i="2" s="1"/>
  <c r="R81" i="2"/>
  <c r="Z187" i="2"/>
  <c r="Z202" i="2"/>
  <c r="AD207" i="2"/>
  <c r="AF200" i="2"/>
  <c r="R193" i="2"/>
  <c r="Z188" i="2"/>
  <c r="Z182" i="2"/>
  <c r="J176" i="2"/>
  <c r="R176" i="2" s="1"/>
  <c r="CE51" i="30" s="1"/>
  <c r="AH172" i="2"/>
  <c r="AF167" i="2"/>
  <c r="AH151" i="2"/>
  <c r="J155" i="2"/>
  <c r="R155" i="2" s="1"/>
  <c r="Z140" i="2"/>
  <c r="AF126" i="2"/>
  <c r="R83" i="2"/>
  <c r="AH83" i="2"/>
  <c r="AH111" i="2"/>
  <c r="R111" i="2"/>
  <c r="J113" i="2"/>
  <c r="R113" i="2" s="1"/>
  <c r="AI51" i="30" s="1"/>
  <c r="AF124" i="2"/>
  <c r="R103" i="2"/>
  <c r="AH103" i="2"/>
  <c r="R97" i="2"/>
  <c r="AH97" i="2"/>
  <c r="R82" i="2"/>
  <c r="AF97" i="2"/>
  <c r="Z49" i="2"/>
  <c r="R84" i="2"/>
  <c r="R67" i="2"/>
  <c r="J71" i="2"/>
  <c r="R25" i="2"/>
  <c r="J29" i="2"/>
  <c r="R29" i="2" s="1"/>
  <c r="J57" i="2"/>
  <c r="R57" i="2" s="1"/>
  <c r="R55" i="2"/>
  <c r="A187" i="2"/>
  <c r="A208" i="2"/>
  <c r="A180" i="2"/>
  <c r="A201" i="2"/>
  <c r="A194" i="2"/>
  <c r="A166" i="2"/>
  <c r="A152" i="2"/>
  <c r="A173" i="2"/>
  <c r="A138" i="2"/>
  <c r="A159" i="2"/>
  <c r="A145" i="2"/>
  <c r="A131" i="2"/>
  <c r="A110" i="2"/>
  <c r="A124" i="2"/>
  <c r="A117" i="2"/>
  <c r="A89" i="2"/>
  <c r="A103" i="2"/>
  <c r="A96" i="2"/>
  <c r="A82" i="2"/>
  <c r="L71" i="2"/>
  <c r="A193" i="2"/>
  <c r="A186" i="2"/>
  <c r="A207" i="2"/>
  <c r="A179" i="2"/>
  <c r="A200" i="2"/>
  <c r="A172" i="2"/>
  <c r="A144" i="2"/>
  <c r="A158" i="2"/>
  <c r="A165" i="2"/>
  <c r="A151" i="2"/>
  <c r="A123" i="2"/>
  <c r="A137" i="2"/>
  <c r="A102" i="2"/>
  <c r="A116" i="2"/>
  <c r="A130" i="2"/>
  <c r="A109" i="2"/>
  <c r="A88" i="2"/>
  <c r="A95" i="2"/>
  <c r="AF41" i="2"/>
  <c r="AF53" i="2"/>
  <c r="J15" i="2"/>
  <c r="AF81" i="2"/>
  <c r="AF56" i="2"/>
  <c r="AD208" i="2"/>
  <c r="AF201" i="2"/>
  <c r="Z200" i="2"/>
  <c r="R181" i="2"/>
  <c r="R175" i="2"/>
  <c r="Z167" i="2"/>
  <c r="R153" i="2"/>
  <c r="AH153" i="2"/>
  <c r="R165" i="2"/>
  <c r="J169" i="2"/>
  <c r="R169" i="2" s="1"/>
  <c r="CC51" i="30" s="1"/>
  <c r="AH165" i="2"/>
  <c r="R151" i="2"/>
  <c r="Z151" i="2"/>
  <c r="J162" i="2"/>
  <c r="R162" i="2" s="1"/>
  <c r="R158" i="2"/>
  <c r="AH158" i="2"/>
  <c r="Z146" i="2"/>
  <c r="Z159" i="2"/>
  <c r="R141" i="2"/>
  <c r="AH123" i="2"/>
  <c r="J127" i="2"/>
  <c r="R127" i="2" s="1"/>
  <c r="Z98" i="2"/>
  <c r="Z158" i="2"/>
  <c r="J141" i="2"/>
  <c r="R137" i="2"/>
  <c r="AH137" i="2"/>
  <c r="L134" i="2"/>
  <c r="R120" i="2"/>
  <c r="AJ51" i="30" s="1"/>
  <c r="R112" i="2"/>
  <c r="J106" i="2"/>
  <c r="J134" i="2"/>
  <c r="R134" i="2" s="1"/>
  <c r="AH130" i="2"/>
  <c r="Z117" i="2"/>
  <c r="AF109" i="2"/>
  <c r="R96" i="2"/>
  <c r="AH88" i="2"/>
  <c r="J92" i="2"/>
  <c r="Z61" i="2"/>
  <c r="R106" i="2"/>
  <c r="AH51" i="30" s="1"/>
  <c r="J99" i="2"/>
  <c r="R99" i="2" s="1"/>
  <c r="AG51" i="30" s="1"/>
  <c r="R92" i="2"/>
  <c r="Z109" i="2"/>
  <c r="Z105" i="2"/>
  <c r="R71" i="2"/>
  <c r="R50" i="2"/>
  <c r="Z104" i="2"/>
  <c r="Z97" i="2"/>
  <c r="J78" i="2"/>
  <c r="R78" i="2" s="1"/>
  <c r="AF55" i="2"/>
  <c r="AF39" i="2"/>
  <c r="Z63" i="2"/>
  <c r="Z26" i="2"/>
  <c r="L22" i="2"/>
  <c r="Z55" i="2"/>
  <c r="A203" i="2"/>
  <c r="A175" i="2"/>
  <c r="A196" i="2"/>
  <c r="A189" i="2"/>
  <c r="A210" i="2"/>
  <c r="A182" i="2"/>
  <c r="A168" i="2"/>
  <c r="A161" i="2"/>
  <c r="A154" i="2"/>
  <c r="A147" i="2"/>
  <c r="A140" i="2"/>
  <c r="A119" i="2"/>
  <c r="A126" i="2"/>
  <c r="A98" i="2"/>
  <c r="A84" i="2"/>
  <c r="A133" i="2"/>
  <c r="A91" i="2"/>
  <c r="A112" i="2"/>
  <c r="A105" i="2"/>
  <c r="Z53" i="2"/>
  <c r="J22" i="2"/>
  <c r="AF18" i="2"/>
  <c r="N49" i="35"/>
  <c r="O43" i="35"/>
  <c r="CP47" i="35"/>
  <c r="CQ41" i="35"/>
  <c r="BV47" i="35"/>
  <c r="BW41" i="35"/>
  <c r="AX47" i="35"/>
  <c r="AY41" i="35"/>
  <c r="AP47" i="35"/>
  <c r="AQ41" i="35"/>
  <c r="AH47" i="35"/>
  <c r="AI41" i="35"/>
  <c r="DD36" i="35"/>
  <c r="CZ36" i="35"/>
  <c r="F49" i="35"/>
  <c r="K43" i="35"/>
  <c r="DD24" i="35"/>
  <c r="CZ24" i="35"/>
  <c r="CD46" i="35"/>
  <c r="CE40" i="35"/>
  <c r="BF46" i="35"/>
  <c r="BG40" i="35"/>
  <c r="CH46" i="35"/>
  <c r="CI40" i="35"/>
  <c r="AL49" i="35"/>
  <c r="AM43" i="35"/>
  <c r="CL46" i="35"/>
  <c r="CM40" i="35"/>
  <c r="AL48" i="35"/>
  <c r="AM42" i="35"/>
  <c r="Z47" i="35"/>
  <c r="AA41" i="35"/>
  <c r="BB46" i="35"/>
  <c r="BC40" i="35"/>
  <c r="CR22" i="35"/>
  <c r="CV22" i="35"/>
  <c r="DD22" i="35"/>
  <c r="CZ22" i="35"/>
  <c r="AD49" i="35"/>
  <c r="AE43" i="35"/>
  <c r="AU42" i="35"/>
  <c r="AT48" i="35"/>
  <c r="CY42" i="35"/>
  <c r="CX48" i="35"/>
  <c r="CL47" i="35"/>
  <c r="CM41" i="35"/>
  <c r="AE41" i="35"/>
  <c r="CP46" i="35"/>
  <c r="CQ40" i="35"/>
  <c r="BN46" i="35"/>
  <c r="BO40" i="35"/>
  <c r="DD25" i="35"/>
  <c r="CZ25" i="35"/>
  <c r="CR25" i="35"/>
  <c r="P6" i="31"/>
  <c r="AD7" i="35"/>
  <c r="BN47" i="35"/>
  <c r="BO41" i="35"/>
  <c r="R47" i="35"/>
  <c r="S41" i="35"/>
  <c r="BR46" i="35"/>
  <c r="BS40" i="35"/>
  <c r="AT49" i="35"/>
  <c r="AU43" i="35"/>
  <c r="V49" i="35"/>
  <c r="W43" i="35"/>
  <c r="AQ42" i="35"/>
  <c r="DB49" i="35"/>
  <c r="DC43" i="35"/>
  <c r="CD47" i="35"/>
  <c r="CE41" i="35"/>
  <c r="BR47" i="35"/>
  <c r="AD47" i="35"/>
  <c r="V47" i="35"/>
  <c r="W41" i="35"/>
  <c r="DH42" i="35"/>
  <c r="DD42" i="35"/>
  <c r="CZ42" i="35"/>
  <c r="BZ46" i="35"/>
  <c r="CA40" i="35"/>
  <c r="BJ46" i="35"/>
  <c r="BK40" i="35"/>
  <c r="AP49" i="35"/>
  <c r="AQ43" i="35"/>
  <c r="AH49" i="35"/>
  <c r="AI43" i="35"/>
  <c r="Z49" i="35"/>
  <c r="AA43" i="35"/>
  <c r="R49" i="35"/>
  <c r="S43" i="35"/>
  <c r="BV46" i="35"/>
  <c r="BW40" i="35"/>
  <c r="DD23" i="35"/>
  <c r="CZ23" i="35"/>
  <c r="CR23" i="35"/>
  <c r="R52" i="31"/>
  <c r="BB51" i="31"/>
  <c r="X59" i="31"/>
  <c r="P59" i="31"/>
  <c r="H59" i="31"/>
  <c r="BC56" i="31"/>
  <c r="AR58" i="31"/>
  <c r="BB56" i="31"/>
  <c r="AN59" i="31"/>
  <c r="AB59" i="31"/>
  <c r="AP59" i="31"/>
  <c r="AR56" i="31"/>
  <c r="AH59" i="31"/>
  <c r="V57" i="31"/>
  <c r="T57" i="31"/>
  <c r="N57" i="31"/>
  <c r="L57" i="31"/>
  <c r="F57" i="31"/>
  <c r="BA58" i="31"/>
  <c r="AD59" i="31"/>
  <c r="AB57" i="31"/>
  <c r="AF58" i="31"/>
  <c r="AZ59" i="31"/>
  <c r="AX57" i="31"/>
  <c r="AL58" i="31"/>
  <c r="AB58" i="31"/>
  <c r="AL56" i="31"/>
  <c r="AT51" i="31"/>
  <c r="AF57" i="31"/>
  <c r="AD56" i="31"/>
  <c r="V59" i="31"/>
  <c r="N59" i="31"/>
  <c r="F59" i="31"/>
  <c r="AN58" i="31"/>
  <c r="BA56" i="31"/>
  <c r="AN57" i="31"/>
  <c r="X56" i="31"/>
  <c r="V56" i="31"/>
  <c r="P56" i="31"/>
  <c r="N56" i="31"/>
  <c r="H56" i="31"/>
  <c r="F56" i="31"/>
  <c r="AR59" i="31"/>
  <c r="AD58" i="31"/>
  <c r="T65" i="32"/>
  <c r="T68" i="32" s="1"/>
  <c r="V65" i="32"/>
  <c r="V68" i="32" s="1"/>
  <c r="AB65" i="32"/>
  <c r="AB68" i="32" s="1"/>
  <c r="D68" i="32"/>
  <c r="H66" i="32"/>
  <c r="AT65" i="32"/>
  <c r="AT68" i="32" s="1"/>
  <c r="AS84" i="3"/>
  <c r="AU83" i="3"/>
  <c r="BI68" i="3"/>
  <c r="BM43" i="3"/>
  <c r="BO28" i="3"/>
  <c r="BN50" i="32" s="1"/>
  <c r="BM33" i="3"/>
  <c r="BL49" i="32" s="1"/>
  <c r="BL59" i="32" s="1"/>
  <c r="BK38" i="3"/>
  <c r="N46" i="8"/>
  <c r="N41" i="8"/>
  <c r="U46" i="8"/>
  <c r="U41" i="8"/>
  <c r="M46" i="8"/>
  <c r="M41" i="8"/>
  <c r="AA58" i="8"/>
  <c r="AJ58" i="8" s="1"/>
  <c r="AA40" i="8"/>
  <c r="AA32" i="8"/>
  <c r="AA47" i="14" s="1"/>
  <c r="AA46" i="14" s="1"/>
  <c r="W66" i="8"/>
  <c r="X63" i="8"/>
  <c r="AJ21" i="8"/>
  <c r="W22" i="8"/>
  <c r="I46" i="8"/>
  <c r="I41" i="8"/>
  <c r="AC19" i="8"/>
  <c r="T58" i="8"/>
  <c r="T32" i="8"/>
  <c r="T40" i="8"/>
  <c r="H46" i="8"/>
  <c r="H41" i="8"/>
  <c r="AA22" i="8"/>
  <c r="W58" i="8"/>
  <c r="W40" i="8"/>
  <c r="W32" i="8"/>
  <c r="AJ31" i="8"/>
  <c r="AB58" i="8"/>
  <c r="AB40" i="8"/>
  <c r="AB32" i="8"/>
  <c r="AB47" i="14" s="1"/>
  <c r="AB46" i="14" s="1"/>
  <c r="AJ46" i="14" s="1"/>
  <c r="X58" i="8"/>
  <c r="X32" i="8"/>
  <c r="X40" i="8"/>
  <c r="Y46" i="8"/>
  <c r="Y41" i="8"/>
  <c r="L46" i="8"/>
  <c r="L41" i="8"/>
  <c r="Q22" i="8"/>
  <c r="V22" i="8"/>
  <c r="R44" i="8"/>
  <c r="R46" i="8"/>
  <c r="R41" i="8"/>
  <c r="F41" i="8"/>
  <c r="F46" i="8"/>
  <c r="O58" i="8"/>
  <c r="O40" i="8"/>
  <c r="O32" i="8"/>
  <c r="K58" i="8"/>
  <c r="K40" i="8"/>
  <c r="K32" i="8"/>
  <c r="G40" i="8"/>
  <c r="G32" i="8"/>
  <c r="C40" i="8"/>
  <c r="C32" i="8"/>
  <c r="P47" i="8"/>
  <c r="P49" i="8"/>
  <c r="AF34" i="8"/>
  <c r="Z58" i="8"/>
  <c r="Z32" i="8"/>
  <c r="Z47" i="14" s="1"/>
  <c r="Z40" i="8"/>
  <c r="Q46" i="8"/>
  <c r="Q41" i="8"/>
  <c r="E46" i="8"/>
  <c r="E41" i="8"/>
  <c r="P58" i="8"/>
  <c r="P32" i="8"/>
  <c r="D46" i="8"/>
  <c r="D41" i="8"/>
  <c r="V41" i="8"/>
  <c r="V46" i="8"/>
  <c r="J41" i="8"/>
  <c r="J46" i="8"/>
  <c r="S58" i="8"/>
  <c r="S40" i="8"/>
  <c r="S32" i="8"/>
  <c r="S22" i="8"/>
  <c r="P374" i="14"/>
  <c r="Q375" i="14" s="1"/>
  <c r="AE269" i="14"/>
  <c r="AE261" i="14"/>
  <c r="J303" i="14"/>
  <c r="J99" i="14"/>
  <c r="J101" i="14" s="1"/>
  <c r="H186" i="14"/>
  <c r="H202" i="14" s="1"/>
  <c r="H194" i="14"/>
  <c r="V198" i="14"/>
  <c r="W88" i="14"/>
  <c r="W83" i="14"/>
  <c r="V126" i="14"/>
  <c r="V122" i="14"/>
  <c r="T366" i="14"/>
  <c r="U331" i="14"/>
  <c r="T374" i="14"/>
  <c r="G328" i="14"/>
  <c r="G345" i="14" s="1"/>
  <c r="U322" i="14"/>
  <c r="U345" i="14" s="1"/>
  <c r="U366" i="14"/>
  <c r="Q322" i="14"/>
  <c r="Q345" i="14" s="1"/>
  <c r="Z322" i="14"/>
  <c r="O331" i="14"/>
  <c r="N322" i="14"/>
  <c r="N345" i="14" s="1"/>
  <c r="Q273" i="14"/>
  <c r="Q277" i="14"/>
  <c r="AD261" i="14"/>
  <c r="AD269" i="14"/>
  <c r="V261" i="14"/>
  <c r="V277" i="14" s="1"/>
  <c r="V269" i="14"/>
  <c r="N261" i="14"/>
  <c r="N277" i="14" s="1"/>
  <c r="N269" i="14"/>
  <c r="F261" i="14"/>
  <c r="F277" i="14" s="1"/>
  <c r="F269" i="14"/>
  <c r="Q269" i="14"/>
  <c r="Q261" i="14"/>
  <c r="AA269" i="14"/>
  <c r="AA261" i="14"/>
  <c r="W269" i="14"/>
  <c r="W261" i="14"/>
  <c r="W277" i="14" s="1"/>
  <c r="O261" i="14"/>
  <c r="O277" i="14" s="1"/>
  <c r="C266" i="14"/>
  <c r="C255" i="14"/>
  <c r="D250" i="14"/>
  <c r="C19" i="14"/>
  <c r="P277" i="14"/>
  <c r="P273" i="14"/>
  <c r="K269" i="14"/>
  <c r="C257" i="14"/>
  <c r="J194" i="14"/>
  <c r="J186" i="14"/>
  <c r="J202" i="14" s="1"/>
  <c r="W160" i="14"/>
  <c r="W164" i="14"/>
  <c r="Y223" i="14"/>
  <c r="Y231" i="14"/>
  <c r="B191" i="14"/>
  <c r="C178" i="14"/>
  <c r="C182" i="14" s="1"/>
  <c r="Z160" i="14"/>
  <c r="C141" i="14"/>
  <c r="AA122" i="14"/>
  <c r="X83" i="14"/>
  <c r="Z198" i="14"/>
  <c r="H103" i="14"/>
  <c r="AA83" i="14"/>
  <c r="V186" i="14"/>
  <c r="V202" i="14" s="1"/>
  <c r="D141" i="14"/>
  <c r="F28" i="14"/>
  <c r="F44" i="14" s="1"/>
  <c r="I44" i="14"/>
  <c r="E103" i="14"/>
  <c r="AJ14" i="14"/>
  <c r="AW8" i="14"/>
  <c r="AW7" i="14"/>
  <c r="AW13" i="14" s="1"/>
  <c r="W15" i="14"/>
  <c r="AW12" i="14"/>
  <c r="AW6" i="14"/>
  <c r="AX18" i="14"/>
  <c r="U44" i="14"/>
  <c r="Q36" i="14"/>
  <c r="I36" i="14"/>
  <c r="E351" i="14"/>
  <c r="E283" i="14"/>
  <c r="E245" i="14"/>
  <c r="E207" i="14"/>
  <c r="E132" i="14"/>
  <c r="E55" i="14"/>
  <c r="E170" i="14"/>
  <c r="E94" i="14"/>
  <c r="F5" i="14"/>
  <c r="C103" i="14"/>
  <c r="J28" i="14"/>
  <c r="J44" i="14" s="1"/>
  <c r="E141" i="14"/>
  <c r="W44" i="14"/>
  <c r="Q371" i="14"/>
  <c r="Q372" i="14" s="1"/>
  <c r="R356" i="14"/>
  <c r="R358" i="14" s="1"/>
  <c r="M273" i="14"/>
  <c r="AA198" i="14"/>
  <c r="K194" i="14"/>
  <c r="K186" i="14"/>
  <c r="K202" i="14" s="1"/>
  <c r="M261" i="14"/>
  <c r="M277" i="14" s="1"/>
  <c r="E182" i="14"/>
  <c r="X151" i="14"/>
  <c r="X147" i="14"/>
  <c r="Y150" i="14"/>
  <c r="Z112" i="14"/>
  <c r="Y113" i="14"/>
  <c r="Y109" i="14"/>
  <c r="E44" i="14"/>
  <c r="AV8" i="14"/>
  <c r="AV7" i="14"/>
  <c r="AV13" i="14" s="1"/>
  <c r="V15" i="14"/>
  <c r="AV12" i="14"/>
  <c r="AV6" i="14"/>
  <c r="AC331" i="14"/>
  <c r="AA331" i="14"/>
  <c r="W374" i="14"/>
  <c r="W375" i="14" s="1"/>
  <c r="F328" i="14"/>
  <c r="F345" i="14" s="1"/>
  <c r="I322" i="14"/>
  <c r="J322" i="14"/>
  <c r="S331" i="14"/>
  <c r="K331" i="14"/>
  <c r="Q331" i="14"/>
  <c r="I273" i="14"/>
  <c r="I277" i="14"/>
  <c r="Z261" i="14"/>
  <c r="Z269" i="14"/>
  <c r="R261" i="14"/>
  <c r="R277" i="14" s="1"/>
  <c r="R269" i="14"/>
  <c r="R273" i="14"/>
  <c r="L269" i="14"/>
  <c r="AB269" i="14"/>
  <c r="AB261" i="14"/>
  <c r="D277" i="14"/>
  <c r="D273" i="14"/>
  <c r="G191" i="14"/>
  <c r="W198" i="14"/>
  <c r="W202" i="14"/>
  <c r="K277" i="14"/>
  <c r="K273" i="14"/>
  <c r="G269" i="14"/>
  <c r="J178" i="14"/>
  <c r="I191" i="14"/>
  <c r="I180" i="14"/>
  <c r="C191" i="14"/>
  <c r="D178" i="14"/>
  <c r="E179" i="14" s="1"/>
  <c r="D180" i="14"/>
  <c r="X198" i="14"/>
  <c r="W118" i="14"/>
  <c r="W110" i="14"/>
  <c r="Z122" i="14"/>
  <c r="V83" i="14"/>
  <c r="V88" i="14"/>
  <c r="V28" i="14"/>
  <c r="V44" i="14" s="1"/>
  <c r="L44" i="14"/>
  <c r="U36" i="14"/>
  <c r="M36" i="14"/>
  <c r="E36" i="14"/>
  <c r="V34" i="14"/>
  <c r="V22" i="14"/>
  <c r="V20" i="14"/>
  <c r="W17" i="14"/>
  <c r="W19" i="14" s="1"/>
  <c r="L277" i="14"/>
  <c r="L273" i="14"/>
  <c r="Z225" i="14"/>
  <c r="Z216" i="14"/>
  <c r="Z219" i="14"/>
  <c r="Z220" i="14" s="1"/>
  <c r="I182" i="14"/>
  <c r="G182" i="14"/>
  <c r="Z83" i="14"/>
  <c r="X47" i="14"/>
  <c r="X15" i="14"/>
  <c r="AX12" i="14"/>
  <c r="AX6" i="14"/>
  <c r="AX8" i="14"/>
  <c r="AX7" i="14"/>
  <c r="AX13" i="14" s="1"/>
  <c r="X366" i="14"/>
  <c r="X374" i="14"/>
  <c r="Y366" i="14"/>
  <c r="H306" i="14"/>
  <c r="H310" i="14" s="1"/>
  <c r="I289" i="14"/>
  <c r="P345" i="14"/>
  <c r="P339" i="14"/>
  <c r="J331" i="14"/>
  <c r="S345" i="14"/>
  <c r="S339" i="14"/>
  <c r="E273" i="14"/>
  <c r="E277" i="14"/>
  <c r="J304" i="14"/>
  <c r="J175" i="14"/>
  <c r="J177" i="14" s="1"/>
  <c r="W292" i="14"/>
  <c r="W305" i="14" s="1"/>
  <c r="AG269" i="14"/>
  <c r="AG261" i="14"/>
  <c r="J273" i="14"/>
  <c r="J277" i="14"/>
  <c r="AF269" i="14"/>
  <c r="AF261" i="14"/>
  <c r="T269" i="14"/>
  <c r="T261" i="14"/>
  <c r="T277" i="14" s="1"/>
  <c r="T273" i="14"/>
  <c r="M292" i="14"/>
  <c r="M305" i="14" s="1"/>
  <c r="F178" i="14"/>
  <c r="E191" i="14"/>
  <c r="E180" i="14"/>
  <c r="Y160" i="14"/>
  <c r="F194" i="14"/>
  <c r="F186" i="14"/>
  <c r="F202" i="14" s="1"/>
  <c r="Z217" i="14"/>
  <c r="AA212" i="14"/>
  <c r="AA214" i="14" s="1"/>
  <c r="AA215" i="14" s="1"/>
  <c r="DR56" i="30"/>
  <c r="AA160" i="14"/>
  <c r="G180" i="14"/>
  <c r="H178" i="14"/>
  <c r="W122" i="14"/>
  <c r="W126" i="14"/>
  <c r="I186" i="14"/>
  <c r="I202" i="14" s="1"/>
  <c r="AB83" i="14"/>
  <c r="G186" i="14"/>
  <c r="G202" i="14" s="1"/>
  <c r="N28" i="14"/>
  <c r="N44" i="14" s="1"/>
  <c r="M44" i="14"/>
  <c r="N351" i="14"/>
  <c r="N283" i="14"/>
  <c r="N245" i="14"/>
  <c r="N207" i="14"/>
  <c r="N170" i="14"/>
  <c r="N132" i="14"/>
  <c r="N55" i="14"/>
  <c r="N94" i="14"/>
  <c r="O5" i="14"/>
  <c r="W37" i="14"/>
  <c r="R28" i="14"/>
  <c r="R44" i="14" s="1"/>
  <c r="K44" i="14"/>
  <c r="T37" i="14"/>
  <c r="V47" i="14"/>
  <c r="AY13" i="14"/>
  <c r="CJ24" i="36"/>
  <c r="AM52" i="36"/>
  <c r="BC74" i="45"/>
  <c r="AB54" i="36"/>
  <c r="W54" i="36"/>
  <c r="P36" i="36"/>
  <c r="K36" i="36"/>
  <c r="K64" i="36"/>
  <c r="CX217" i="36"/>
  <c r="DB207" i="36"/>
  <c r="CB28" i="30"/>
  <c r="BL53" i="36"/>
  <c r="BG53" i="36"/>
  <c r="CX161" i="36"/>
  <c r="BV148" i="36"/>
  <c r="BV138" i="36"/>
  <c r="BV113" i="36"/>
  <c r="BV114" i="36"/>
  <c r="BV128" i="36"/>
  <c r="AT139" i="36"/>
  <c r="AT129" i="36"/>
  <c r="BB139" i="36"/>
  <c r="BG139" i="36" s="1"/>
  <c r="BB129" i="36"/>
  <c r="BG129" i="36" s="1"/>
  <c r="BG109" i="36"/>
  <c r="BW36" i="36"/>
  <c r="BX36" i="36"/>
  <c r="CU52" i="36"/>
  <c r="CZ52" i="36"/>
  <c r="BC205" i="45"/>
  <c r="O26" i="36"/>
  <c r="O16" i="36"/>
  <c r="P16" i="36"/>
  <c r="BD83" i="36"/>
  <c r="AY83" i="36"/>
  <c r="AY103" i="36"/>
  <c r="BP53" i="36"/>
  <c r="BK53" i="36"/>
  <c r="BJ43" i="36"/>
  <c r="AE15" i="30" s="1"/>
  <c r="AD15" i="30"/>
  <c r="CE14" i="36"/>
  <c r="CE24" i="36"/>
  <c r="AP81" i="36"/>
  <c r="AV51" i="36"/>
  <c r="AQ51" i="36"/>
  <c r="BC80" i="45"/>
  <c r="BO42" i="36"/>
  <c r="AI15" i="30"/>
  <c r="AH79" i="36"/>
  <c r="AH82" i="36" s="1"/>
  <c r="AN49" i="36"/>
  <c r="AI49" i="36"/>
  <c r="BC64" i="45"/>
  <c r="BD64" i="45" s="1"/>
  <c r="BS42" i="36"/>
  <c r="BR43" i="36"/>
  <c r="AN15" i="30"/>
  <c r="AH52" i="36"/>
  <c r="BB130" i="36"/>
  <c r="BG110" i="36"/>
  <c r="N80" i="36"/>
  <c r="O100" i="36" s="1"/>
  <c r="O50" i="36"/>
  <c r="AD139" i="36"/>
  <c r="AD129" i="36"/>
  <c r="DD24" i="36"/>
  <c r="CH80" i="36"/>
  <c r="CI50" i="36"/>
  <c r="CN50" i="36"/>
  <c r="BC182" i="45"/>
  <c r="N54" i="36"/>
  <c r="D44" i="47"/>
  <c r="J44" i="47" s="1"/>
  <c r="AL30" i="47"/>
  <c r="CT215" i="36"/>
  <c r="CX205" i="36"/>
  <c r="BU28" i="30"/>
  <c r="CR27" i="30"/>
  <c r="CP216" i="36"/>
  <c r="BQ28" i="30"/>
  <c r="DK103" i="36"/>
  <c r="CX108" i="36"/>
  <c r="CY98" i="36"/>
  <c r="CY78" i="36"/>
  <c r="DD78" i="36"/>
  <c r="CX84" i="36"/>
  <c r="CX82" i="36"/>
  <c r="CX83" i="36"/>
  <c r="BR109" i="36"/>
  <c r="BS99" i="36"/>
  <c r="BX79" i="36"/>
  <c r="BS79" i="36"/>
  <c r="BC53" i="36"/>
  <c r="BH53" i="36"/>
  <c r="N104" i="36"/>
  <c r="O104" i="36" s="1"/>
  <c r="BG83" i="36"/>
  <c r="BN130" i="36"/>
  <c r="BN140" i="36"/>
  <c r="BG82" i="36"/>
  <c r="BB141" i="36"/>
  <c r="BB131" i="36"/>
  <c r="BW84" i="36"/>
  <c r="W64" i="36"/>
  <c r="AU52" i="36"/>
  <c r="AZ52" i="36"/>
  <c r="BC88" i="45"/>
  <c r="CZ36" i="36"/>
  <c r="CU36" i="36"/>
  <c r="CV36" i="36"/>
  <c r="AA99" i="36"/>
  <c r="AF79" i="36"/>
  <c r="AA79" i="36"/>
  <c r="Z109" i="36"/>
  <c r="CI53" i="36"/>
  <c r="CN53" i="36"/>
  <c r="O15" i="36"/>
  <c r="P15" i="36"/>
  <c r="O25" i="36"/>
  <c r="CD52" i="36"/>
  <c r="CE62" i="36"/>
  <c r="CV53" i="36"/>
  <c r="CQ53" i="36"/>
  <c r="CV54" i="36"/>
  <c r="CQ54" i="36"/>
  <c r="CL150" i="36"/>
  <c r="CL140" i="36"/>
  <c r="CL130" i="36"/>
  <c r="CQ110" i="36"/>
  <c r="CD151" i="36"/>
  <c r="CD131" i="36"/>
  <c r="CD141" i="36"/>
  <c r="AI35" i="36"/>
  <c r="AJ35" i="36"/>
  <c r="AN35" i="36"/>
  <c r="DF111" i="36"/>
  <c r="DG101" i="36"/>
  <c r="DG81" i="36"/>
  <c r="AA53" i="36"/>
  <c r="AF53" i="36"/>
  <c r="CZ54" i="36"/>
  <c r="CU54" i="36"/>
  <c r="CI35" i="36"/>
  <c r="CJ35" i="36"/>
  <c r="DV20" i="36"/>
  <c r="CM54" i="36"/>
  <c r="CR54" i="36"/>
  <c r="BS53" i="36"/>
  <c r="BX53" i="36"/>
  <c r="BB128" i="36"/>
  <c r="BB138" i="36"/>
  <c r="BB113" i="36"/>
  <c r="BG113" i="36" s="1"/>
  <c r="BG108" i="36"/>
  <c r="BB112" i="36"/>
  <c r="BB114" i="36"/>
  <c r="BC102" i="36"/>
  <c r="BC82" i="36"/>
  <c r="BH82" i="36"/>
  <c r="V111" i="36"/>
  <c r="W81" i="36"/>
  <c r="AB81" i="36"/>
  <c r="W101" i="36"/>
  <c r="CT109" i="36"/>
  <c r="CU99" i="36"/>
  <c r="CZ79" i="36"/>
  <c r="CU79" i="36"/>
  <c r="BK52" i="36"/>
  <c r="BP52" i="36"/>
  <c r="BC116" i="45"/>
  <c r="AP110" i="36"/>
  <c r="AQ100" i="36"/>
  <c r="AV80" i="36"/>
  <c r="AQ80" i="36"/>
  <c r="AA81" i="36"/>
  <c r="Z111" i="36"/>
  <c r="AA101" i="36"/>
  <c r="AF81" i="36"/>
  <c r="CV35" i="36"/>
  <c r="CU35" i="36"/>
  <c r="T36" i="36"/>
  <c r="O36" i="36"/>
  <c r="CJ20" i="36"/>
  <c r="BS26" i="36"/>
  <c r="BT16" i="36"/>
  <c r="BS16" i="36"/>
  <c r="BJ130" i="36"/>
  <c r="BO130" i="36" s="1"/>
  <c r="BJ140" i="36"/>
  <c r="BO140" i="36" s="1"/>
  <c r="BO110" i="36"/>
  <c r="CV52" i="36"/>
  <c r="AJ36" i="36"/>
  <c r="AI36" i="36"/>
  <c r="BV81" i="36"/>
  <c r="BW51" i="36"/>
  <c r="CB51" i="36"/>
  <c r="BC162" i="45"/>
  <c r="BC136" i="45"/>
  <c r="BD136" i="45" s="1"/>
  <c r="P22" i="36"/>
  <c r="J108" i="36"/>
  <c r="J83" i="36"/>
  <c r="K83" i="36" s="1"/>
  <c r="K78" i="36"/>
  <c r="CL111" i="36"/>
  <c r="CM101" i="36"/>
  <c r="CR81" i="36"/>
  <c r="CM81" i="36"/>
  <c r="BF140" i="36"/>
  <c r="BF130" i="36"/>
  <c r="BK130" i="36" s="1"/>
  <c r="BK110" i="36"/>
  <c r="AT138" i="36"/>
  <c r="AT128" i="36"/>
  <c r="AT113" i="36"/>
  <c r="AY108" i="36"/>
  <c r="AT114" i="36"/>
  <c r="N52" i="36"/>
  <c r="CY42" i="36"/>
  <c r="CB15" i="30"/>
  <c r="DC42" i="36"/>
  <c r="DB43" i="36"/>
  <c r="CG15" i="30"/>
  <c r="AI34" i="36"/>
  <c r="AN34" i="36"/>
  <c r="AJ34" i="36"/>
  <c r="X34" i="36"/>
  <c r="S62" i="36"/>
  <c r="S34" i="36"/>
  <c r="AR54" i="36"/>
  <c r="AM54" i="36"/>
  <c r="AL109" i="36"/>
  <c r="AM99" i="36"/>
  <c r="AR79" i="36"/>
  <c r="AM79" i="36"/>
  <c r="AH54" i="36"/>
  <c r="DG42" i="36"/>
  <c r="CL15" i="30"/>
  <c r="BW42" i="36"/>
  <c r="BV43" i="36"/>
  <c r="AS15" i="30"/>
  <c r="DD34" i="36"/>
  <c r="DC34" i="36"/>
  <c r="DD35" i="36"/>
  <c r="DC35" i="36"/>
  <c r="DH35" i="36" s="1"/>
  <c r="CN21" i="36"/>
  <c r="BZ78" i="36"/>
  <c r="BZ54" i="36"/>
  <c r="CA48" i="36"/>
  <c r="CF48" i="36"/>
  <c r="BZ53" i="36"/>
  <c r="CB53" i="36" s="1"/>
  <c r="BC166" i="45"/>
  <c r="BZ52" i="36"/>
  <c r="CB52" i="36" s="1"/>
  <c r="BC140" i="45"/>
  <c r="BD140" i="45" s="1"/>
  <c r="DK42" i="36"/>
  <c r="DO42" i="36"/>
  <c r="CQ15" i="30"/>
  <c r="CA42" i="36"/>
  <c r="BZ43" i="36"/>
  <c r="AX15" i="30"/>
  <c r="AU24" i="36"/>
  <c r="AW88" i="45"/>
  <c r="AU14" i="36"/>
  <c r="AY14" i="36"/>
  <c r="N84" i="36"/>
  <c r="O84" i="36" s="1"/>
  <c r="N82" i="36"/>
  <c r="O82" i="36" s="1"/>
  <c r="N108" i="36"/>
  <c r="O78" i="36"/>
  <c r="N83" i="36"/>
  <c r="O83" i="36" s="1"/>
  <c r="BN43" i="36"/>
  <c r="AY52" i="36"/>
  <c r="BD52" i="36"/>
  <c r="BC95" i="45"/>
  <c r="DB148" i="36"/>
  <c r="DB138" i="36"/>
  <c r="DB128" i="36"/>
  <c r="BR161" i="36"/>
  <c r="BD54" i="36"/>
  <c r="AY54" i="36"/>
  <c r="AQ103" i="36"/>
  <c r="AV83" i="36"/>
  <c r="AQ83" i="36"/>
  <c r="AB52" i="36"/>
  <c r="W52" i="36"/>
  <c r="BC46" i="45"/>
  <c r="K25" i="36"/>
  <c r="K15" i="36"/>
  <c r="AR51" i="36"/>
  <c r="F46" i="30" s="1"/>
  <c r="AL81" i="36"/>
  <c r="AM51" i="36"/>
  <c r="AN51" i="36"/>
  <c r="BC73" i="45"/>
  <c r="CL109" i="36"/>
  <c r="CM79" i="36"/>
  <c r="CR79" i="36"/>
  <c r="AY104" i="36"/>
  <c r="AY84" i="36"/>
  <c r="BD84" i="36"/>
  <c r="BP54" i="36"/>
  <c r="BK54" i="36"/>
  <c r="CB36" i="36"/>
  <c r="CA36" i="36"/>
  <c r="CU42" i="36"/>
  <c r="BW15" i="30"/>
  <c r="R109" i="36"/>
  <c r="S79" i="36"/>
  <c r="K32" i="36"/>
  <c r="P32" i="36"/>
  <c r="DJ34" i="36"/>
  <c r="AC14" i="8" s="1"/>
  <c r="DL33" i="36"/>
  <c r="DJ219" i="36"/>
  <c r="CX206" i="36"/>
  <c r="CT216" i="36"/>
  <c r="BV28" i="30"/>
  <c r="DN179" i="36"/>
  <c r="AV53" i="36"/>
  <c r="AQ53" i="36"/>
  <c r="DB110" i="36"/>
  <c r="DC100" i="36"/>
  <c r="DH80" i="36"/>
  <c r="DC80" i="36"/>
  <c r="BZ151" i="36"/>
  <c r="CA101" i="36"/>
  <c r="BZ111" i="36"/>
  <c r="CF81" i="36"/>
  <c r="CA81" i="36"/>
  <c r="BL84" i="36"/>
  <c r="BG84" i="36"/>
  <c r="BO52" i="36"/>
  <c r="BT52" i="36"/>
  <c r="BC123" i="45"/>
  <c r="F128" i="36"/>
  <c r="F114" i="36"/>
  <c r="F112" i="36"/>
  <c r="F132" i="36" s="1"/>
  <c r="F113" i="36"/>
  <c r="DH52" i="36"/>
  <c r="DC52" i="36"/>
  <c r="BC219" i="45"/>
  <c r="BW52" i="36"/>
  <c r="BC137" i="45"/>
  <c r="BD137" i="45" s="1"/>
  <c r="BC163" i="45"/>
  <c r="BT54" i="36"/>
  <c r="BO54" i="36"/>
  <c r="BJ129" i="36"/>
  <c r="BJ139" i="36"/>
  <c r="BF128" i="36"/>
  <c r="BF138" i="36"/>
  <c r="BF114" i="36"/>
  <c r="BF113" i="36"/>
  <c r="AP52" i="36"/>
  <c r="CM99" i="36"/>
  <c r="DJ148" i="36"/>
  <c r="DJ138" i="36"/>
  <c r="DJ128" i="36"/>
  <c r="AP138" i="36"/>
  <c r="AP128" i="36"/>
  <c r="AP114" i="36"/>
  <c r="AU114" i="36" s="1"/>
  <c r="AU108" i="36"/>
  <c r="AP113" i="36"/>
  <c r="AU113" i="36" s="1"/>
  <c r="CH54" i="36"/>
  <c r="BV149" i="36"/>
  <c r="BV129" i="36"/>
  <c r="BV139" i="36"/>
  <c r="BS100" i="36"/>
  <c r="BX80" i="36"/>
  <c r="BR110" i="36"/>
  <c r="BS110" i="36" s="1"/>
  <c r="BS80" i="36"/>
  <c r="AD111" i="36"/>
  <c r="AE101" i="36"/>
  <c r="AJ81" i="36"/>
  <c r="AE81" i="36"/>
  <c r="AF36" i="36"/>
  <c r="AA36" i="36"/>
  <c r="BV150" i="36"/>
  <c r="BV110" i="36"/>
  <c r="CB80" i="36"/>
  <c r="BW80" i="36"/>
  <c r="AE100" i="36"/>
  <c r="AJ80" i="36"/>
  <c r="AD110" i="36"/>
  <c r="AE80" i="36"/>
  <c r="W98" i="36"/>
  <c r="AB78" i="36"/>
  <c r="V84" i="36"/>
  <c r="W78" i="36"/>
  <c r="V108" i="36"/>
  <c r="V83" i="36"/>
  <c r="CH52" i="36"/>
  <c r="CE63" i="36"/>
  <c r="CE15" i="36"/>
  <c r="CE25" i="36"/>
  <c r="CF15" i="36"/>
  <c r="CF16" i="36" s="1"/>
  <c r="CD108" i="36"/>
  <c r="CD84" i="36"/>
  <c r="CD83" i="36"/>
  <c r="CJ78" i="36"/>
  <c r="CD82" i="36"/>
  <c r="CE78" i="36"/>
  <c r="Z108" i="36"/>
  <c r="AA98" i="36"/>
  <c r="Z84" i="36"/>
  <c r="AA78" i="36"/>
  <c r="Z83" i="36"/>
  <c r="Z82" i="36"/>
  <c r="S35" i="36"/>
  <c r="X35" i="36"/>
  <c r="AJ49" i="36"/>
  <c r="X50" i="36"/>
  <c r="R80" i="36"/>
  <c r="S50" i="36"/>
  <c r="CT108" i="36"/>
  <c r="CU98" i="36"/>
  <c r="CT84" i="36"/>
  <c r="CZ78" i="36"/>
  <c r="CT82" i="36"/>
  <c r="CU78" i="36"/>
  <c r="CT83" i="36"/>
  <c r="J50" i="36"/>
  <c r="K22" i="36"/>
  <c r="CA14" i="36"/>
  <c r="CA24" i="36"/>
  <c r="CB24" i="36" s="1"/>
  <c r="AW144" i="45"/>
  <c r="AX144" i="45" s="1"/>
  <c r="BX52" i="36"/>
  <c r="BS52" i="36"/>
  <c r="BC130" i="45"/>
  <c r="CH109" i="36"/>
  <c r="CN79" i="36"/>
  <c r="CI79" i="36"/>
  <c r="CI99" i="36"/>
  <c r="AF35" i="36"/>
  <c r="AA35" i="36"/>
  <c r="DV22" i="36"/>
  <c r="CA26" i="36"/>
  <c r="CA16" i="36"/>
  <c r="S24" i="36"/>
  <c r="S14" i="36"/>
  <c r="AW39" i="45"/>
  <c r="DD52" i="36"/>
  <c r="CY52" i="36"/>
  <c r="BC212" i="45"/>
  <c r="CE53" i="36"/>
  <c r="CJ53" i="36"/>
  <c r="CF36" i="36"/>
  <c r="O35" i="36"/>
  <c r="DB111" i="36"/>
  <c r="DC101" i="36"/>
  <c r="DH81" i="36"/>
  <c r="DC81" i="36"/>
  <c r="AD54" i="36"/>
  <c r="AD78" i="36"/>
  <c r="AJ48" i="36"/>
  <c r="AD53" i="36"/>
  <c r="AE48" i="36"/>
  <c r="AD52" i="36"/>
  <c r="AF52" i="36" s="1"/>
  <c r="BC56" i="45"/>
  <c r="DU20" i="36"/>
  <c r="CR24" i="36"/>
  <c r="AU103" i="36"/>
  <c r="AZ83" i="36"/>
  <c r="AU83" i="36"/>
  <c r="DG43" i="36"/>
  <c r="CM15" i="30"/>
  <c r="P35" i="36"/>
  <c r="K35" i="36"/>
  <c r="BL24" i="36"/>
  <c r="W14" i="36"/>
  <c r="CY111" i="36"/>
  <c r="CT141" i="36"/>
  <c r="CY141" i="36" s="1"/>
  <c r="CT131" i="36"/>
  <c r="CY131" i="36" s="1"/>
  <c r="AH108" i="36"/>
  <c r="AI98" i="36"/>
  <c r="AN78" i="36"/>
  <c r="AI78" i="36"/>
  <c r="CZ35" i="36"/>
  <c r="AF34" i="36"/>
  <c r="DC36" i="36"/>
  <c r="DH36" i="36" s="1"/>
  <c r="DD36" i="36"/>
  <c r="CI15" i="36"/>
  <c r="O64" i="36"/>
  <c r="D82" i="36"/>
  <c r="D108" i="36"/>
  <c r="D83" i="36"/>
  <c r="D84" i="36"/>
  <c r="AP82" i="36"/>
  <c r="CQ42" i="36"/>
  <c r="CP43" i="36"/>
  <c r="CQ43" i="36" s="1"/>
  <c r="CJ36" i="36"/>
  <c r="CI36" i="36"/>
  <c r="AJ24" i="36"/>
  <c r="CJ22" i="36"/>
  <c r="AU51" i="36"/>
  <c r="AT81" i="36"/>
  <c r="BC87" i="45"/>
  <c r="BD87" i="45" s="1"/>
  <c r="AZ51" i="36"/>
  <c r="BZ79" i="36"/>
  <c r="CF49" i="36"/>
  <c r="CB49" i="36"/>
  <c r="BC141" i="45"/>
  <c r="BD141" i="45" s="1"/>
  <c r="CA49" i="36"/>
  <c r="BC167" i="45"/>
  <c r="O53" i="36"/>
  <c r="CT43" i="36"/>
  <c r="K62" i="36"/>
  <c r="DF149" i="36"/>
  <c r="DF139" i="36"/>
  <c r="DF129" i="36"/>
  <c r="CP149" i="36"/>
  <c r="CP129" i="36"/>
  <c r="CP139" i="36"/>
  <c r="CU109" i="36"/>
  <c r="CU53" i="36"/>
  <c r="CZ53" i="36"/>
  <c r="BJ141" i="36"/>
  <c r="BJ131" i="36"/>
  <c r="BO111" i="36"/>
  <c r="AZ53" i="36"/>
  <c r="AU53" i="36"/>
  <c r="CD80" i="36"/>
  <c r="CJ50" i="36"/>
  <c r="BC175" i="45"/>
  <c r="CE50" i="36"/>
  <c r="AH110" i="36"/>
  <c r="AI100" i="36"/>
  <c r="AI80" i="36"/>
  <c r="AN80" i="36"/>
  <c r="W36" i="36"/>
  <c r="AB36" i="36"/>
  <c r="CR53" i="36"/>
  <c r="CM53" i="36"/>
  <c r="O14" i="36"/>
  <c r="O24" i="36"/>
  <c r="P24" i="36" s="1"/>
  <c r="AW32" i="45"/>
  <c r="BH84" i="36"/>
  <c r="BC84" i="36"/>
  <c r="W53" i="36"/>
  <c r="AB53" i="36"/>
  <c r="CP150" i="36"/>
  <c r="CU110" i="36"/>
  <c r="CP140" i="36"/>
  <c r="CP130" i="36"/>
  <c r="AU84" i="36"/>
  <c r="AU104" i="36"/>
  <c r="AZ84" i="36"/>
  <c r="AM53" i="36"/>
  <c r="AR53" i="36"/>
  <c r="AK92" i="40"/>
  <c r="CT182" i="36"/>
  <c r="CP209" i="36"/>
  <c r="DN173" i="36"/>
  <c r="CT218" i="36"/>
  <c r="CX208" i="36"/>
  <c r="BX28" i="30"/>
  <c r="CM102" i="36"/>
  <c r="BW83" i="36"/>
  <c r="BW53" i="36"/>
  <c r="BG54" i="36"/>
  <c r="BL54" i="36"/>
  <c r="CX109" i="36"/>
  <c r="CY99" i="36"/>
  <c r="CY79" i="36"/>
  <c r="BN108" i="36"/>
  <c r="BO98" i="36"/>
  <c r="BN84" i="36"/>
  <c r="BN83" i="36"/>
  <c r="BN82" i="36"/>
  <c r="BT78" i="36"/>
  <c r="BO78" i="36"/>
  <c r="AM98" i="36"/>
  <c r="AL108" i="36"/>
  <c r="AR78" i="36"/>
  <c r="AL83" i="36"/>
  <c r="AL84" i="36"/>
  <c r="AL82" i="36"/>
  <c r="AM78" i="36"/>
  <c r="DJ160" i="36"/>
  <c r="CT150" i="36"/>
  <c r="CT140" i="36"/>
  <c r="CT130" i="36"/>
  <c r="BV82" i="36"/>
  <c r="BL52" i="36"/>
  <c r="BG52" i="36"/>
  <c r="BC109" i="45"/>
  <c r="AX140" i="36"/>
  <c r="AX130" i="36"/>
  <c r="BC130" i="36" s="1"/>
  <c r="BC110" i="36"/>
  <c r="BN131" i="36"/>
  <c r="BS131" i="36" s="1"/>
  <c r="BS111" i="36"/>
  <c r="BN141" i="36"/>
  <c r="BS141" i="36" s="1"/>
  <c r="DF108" i="36"/>
  <c r="DG98" i="36"/>
  <c r="DL78" i="36"/>
  <c r="DF83" i="36"/>
  <c r="DF84" i="36"/>
  <c r="DF82" i="36"/>
  <c r="DG78" i="36"/>
  <c r="AQ104" i="36"/>
  <c r="AV84" i="36"/>
  <c r="AQ84" i="36"/>
  <c r="DL54" i="36"/>
  <c r="AX131" i="36"/>
  <c r="AX141" i="36"/>
  <c r="BC141" i="36" s="1"/>
  <c r="BC111" i="36"/>
  <c r="AY99" i="36"/>
  <c r="BD79" i="36"/>
  <c r="AX109" i="36"/>
  <c r="AY109" i="36" s="1"/>
  <c r="AY79" i="36"/>
  <c r="AZ79" i="36"/>
  <c r="AZ54" i="36"/>
  <c r="AU54" i="36"/>
  <c r="AV54" i="36"/>
  <c r="W49" i="36"/>
  <c r="V79" i="36"/>
  <c r="V82" i="36" s="1"/>
  <c r="AB49" i="36"/>
  <c r="BC43" i="45"/>
  <c r="W63" i="36"/>
  <c r="AB35" i="36"/>
  <c r="W35" i="36"/>
  <c r="BW54" i="36"/>
  <c r="CB54" i="36"/>
  <c r="CH108" i="36"/>
  <c r="CI98" i="36"/>
  <c r="CI78" i="36"/>
  <c r="CH83" i="36"/>
  <c r="CN78" i="36"/>
  <c r="CH82" i="36"/>
  <c r="CI14" i="36"/>
  <c r="CD54" i="36"/>
  <c r="R131" i="36"/>
  <c r="W111" i="36"/>
  <c r="DF140" i="36"/>
  <c r="DK140" i="36" s="1"/>
  <c r="DF150" i="36"/>
  <c r="DK110" i="36"/>
  <c r="DF130" i="36"/>
  <c r="CP108" i="36"/>
  <c r="CQ98" i="36"/>
  <c r="CV78" i="36"/>
  <c r="CP83" i="36"/>
  <c r="CP82" i="36"/>
  <c r="CQ78" i="36"/>
  <c r="CP84" i="36"/>
  <c r="AM100" i="36"/>
  <c r="AM80" i="36"/>
  <c r="AL110" i="36"/>
  <c r="AR80" i="36"/>
  <c r="CE35" i="36"/>
  <c r="CF35" i="36"/>
  <c r="O34" i="36"/>
  <c r="T34" i="36"/>
  <c r="AA52" i="36"/>
  <c r="BC53" i="45"/>
  <c r="CR52" i="36"/>
  <c r="CM52" i="36"/>
  <c r="BC191" i="45"/>
  <c r="CL108" i="36"/>
  <c r="CL82" i="36"/>
  <c r="CM98" i="36"/>
  <c r="CM78" i="36"/>
  <c r="CL83" i="36"/>
  <c r="CM103" i="36" s="1"/>
  <c r="CR78" i="36"/>
  <c r="CL84" i="36"/>
  <c r="CE26" i="36"/>
  <c r="CE16" i="36"/>
  <c r="CI16" i="36"/>
  <c r="BS24" i="36"/>
  <c r="BT24" i="36" s="1"/>
  <c r="BS14" i="36"/>
  <c r="AW130" i="45"/>
  <c r="BW14" i="36"/>
  <c r="BZ110" i="36"/>
  <c r="CA80" i="36"/>
  <c r="CA100" i="36"/>
  <c r="CF80" i="36"/>
  <c r="BS98" i="36"/>
  <c r="BS78" i="36"/>
  <c r="BR108" i="36"/>
  <c r="BR83" i="36"/>
  <c r="BR84" i="36"/>
  <c r="BR82" i="36"/>
  <c r="BX78" i="36"/>
  <c r="BG103" i="36"/>
  <c r="BH83" i="36"/>
  <c r="BC83" i="36"/>
  <c r="AX82" i="36"/>
  <c r="AX138" i="36"/>
  <c r="AX128" i="36"/>
  <c r="AX112" i="36"/>
  <c r="BC108" i="36"/>
  <c r="AX113" i="36"/>
  <c r="BC113" i="36" s="1"/>
  <c r="N129" i="36"/>
  <c r="S109" i="36"/>
  <c r="BO99" i="36"/>
  <c r="BT79" i="36"/>
  <c r="BO79" i="36"/>
  <c r="BN109" i="36"/>
  <c r="BO109" i="36" s="1"/>
  <c r="BK98" i="36"/>
  <c r="BP78" i="36"/>
  <c r="BJ83" i="36"/>
  <c r="BJ84" i="36"/>
  <c r="BJ108" i="36"/>
  <c r="BJ82" i="36"/>
  <c r="BK78" i="36"/>
  <c r="AT130" i="36"/>
  <c r="AT140" i="36"/>
  <c r="AY140" i="36" s="1"/>
  <c r="AY110" i="36"/>
  <c r="R54" i="36"/>
  <c r="R53" i="36"/>
  <c r="T53" i="36" s="1"/>
  <c r="R78" i="36"/>
  <c r="R52" i="36"/>
  <c r="X48" i="36"/>
  <c r="S48" i="36"/>
  <c r="AB34" i="36"/>
  <c r="W34" i="36"/>
  <c r="CN35" i="36"/>
  <c r="CR35" i="36"/>
  <c r="CM35" i="36"/>
  <c r="CH111" i="36"/>
  <c r="CI111" i="36" s="1"/>
  <c r="CN81" i="36"/>
  <c r="CI81" i="36"/>
  <c r="CI101" i="36"/>
  <c r="S26" i="36"/>
  <c r="T16" i="36"/>
  <c r="S16" i="36"/>
  <c r="BD53" i="36"/>
  <c r="J111" i="36"/>
  <c r="K101" i="36"/>
  <c r="K81" i="36"/>
  <c r="CE42" i="36"/>
  <c r="BC15" i="30"/>
  <c r="BS34" i="36"/>
  <c r="CD109" i="36"/>
  <c r="CJ79" i="36"/>
  <c r="CE79" i="36"/>
  <c r="BX23" i="36"/>
  <c r="CB23" i="36"/>
  <c r="BX20" i="36"/>
  <c r="X49" i="36"/>
  <c r="P53" i="36"/>
  <c r="K53" i="36"/>
  <c r="N131" i="36"/>
  <c r="S111" i="36"/>
  <c r="CX110" i="36"/>
  <c r="CY110" i="36" s="1"/>
  <c r="CY100" i="36"/>
  <c r="DD80" i="36"/>
  <c r="CY80" i="36"/>
  <c r="BL81" i="36"/>
  <c r="BF111" i="36"/>
  <c r="BF112" i="36" s="1"/>
  <c r="BG81" i="36"/>
  <c r="BG101" i="36"/>
  <c r="BH81" i="36"/>
  <c r="BH54" i="36"/>
  <c r="J109" i="36"/>
  <c r="K99" i="36"/>
  <c r="K79" i="36"/>
  <c r="CI42" i="36"/>
  <c r="CH43" i="36"/>
  <c r="CM43" i="36" s="1"/>
  <c r="BH15" i="30"/>
  <c r="CE34" i="36"/>
  <c r="Z110" i="36"/>
  <c r="AA100" i="36"/>
  <c r="AF80" i="36"/>
  <c r="AA80" i="36"/>
  <c r="J34" i="36"/>
  <c r="CR23" i="36"/>
  <c r="S15" i="36"/>
  <c r="DK24" i="36"/>
  <c r="DL24" i="36" s="1"/>
  <c r="DK14" i="36"/>
  <c r="BS54" i="36"/>
  <c r="AH53" i="36"/>
  <c r="DH49" i="36"/>
  <c r="DB54" i="36"/>
  <c r="DC54" i="36" s="1"/>
  <c r="DH54" i="36" s="1"/>
  <c r="DB79" i="36"/>
  <c r="DC49" i="36"/>
  <c r="DD49" i="36"/>
  <c r="BC216" i="45"/>
  <c r="CP151" i="36"/>
  <c r="CP141" i="36"/>
  <c r="CU141" i="36" s="1"/>
  <c r="CP131" i="36"/>
  <c r="CU111" i="36"/>
  <c r="DJ109" i="36"/>
  <c r="DK99" i="36"/>
  <c r="DK79" i="36"/>
  <c r="DL79" i="36"/>
  <c r="AP129" i="36"/>
  <c r="AP139" i="36"/>
  <c r="AU139" i="36" s="1"/>
  <c r="AU109" i="36"/>
  <c r="CV24" i="36"/>
  <c r="T48" i="36"/>
  <c r="CD43" i="36"/>
  <c r="W100" i="36"/>
  <c r="V110" i="36"/>
  <c r="W80" i="36"/>
  <c r="AB80" i="36"/>
  <c r="BK139" i="36"/>
  <c r="BR136" i="45"/>
  <c r="BQ136" i="45"/>
  <c r="BH136" i="45"/>
  <c r="BP136" i="45"/>
  <c r="BO136" i="45"/>
  <c r="BG136" i="45"/>
  <c r="BW198" i="45"/>
  <c r="BP198" i="45"/>
  <c r="BA170" i="40"/>
  <c r="BD170" i="40"/>
  <c r="BT198" i="45"/>
  <c r="BT199" i="45" s="1"/>
  <c r="BO198" i="45"/>
  <c r="BO199" i="45" s="1"/>
  <c r="AG191" i="45"/>
  <c r="BK202" i="47"/>
  <c r="BF184" i="40"/>
  <c r="AK85" i="40"/>
  <c r="V78" i="40"/>
  <c r="V27" i="40"/>
  <c r="BO226" i="45"/>
  <c r="BR226" i="45"/>
  <c r="BP226" i="45"/>
  <c r="BQ226" i="45"/>
  <c r="BU226" i="45" s="1"/>
  <c r="BD198" i="40"/>
  <c r="BC198" i="40"/>
  <c r="BB198" i="40"/>
  <c r="BA198" i="40"/>
  <c r="AN240" i="45"/>
  <c r="W272" i="45"/>
  <c r="W271" i="45"/>
  <c r="W270" i="45"/>
  <c r="BR198" i="45"/>
  <c r="BR199" i="45" s="1"/>
  <c r="AA198" i="45"/>
  <c r="X198" i="45"/>
  <c r="BC170" i="40"/>
  <c r="Q273" i="45"/>
  <c r="AU191" i="45"/>
  <c r="AS191" i="45"/>
  <c r="AQ163" i="40"/>
  <c r="AN198" i="45"/>
  <c r="AH183" i="45"/>
  <c r="AW183" i="45"/>
  <c r="BT183" i="45"/>
  <c r="AH190" i="45"/>
  <c r="BD155" i="40"/>
  <c r="V454" i="47"/>
  <c r="BT177" i="45"/>
  <c r="AT144" i="45"/>
  <c r="AA184" i="45"/>
  <c r="X184" i="45"/>
  <c r="AK183" i="45"/>
  <c r="AY144" i="45"/>
  <c r="BJ144" i="45" s="1"/>
  <c r="F144" i="45"/>
  <c r="BO133" i="45"/>
  <c r="BY163" i="45"/>
  <c r="BP108" i="45"/>
  <c r="BH108" i="45"/>
  <c r="BO108" i="45"/>
  <c r="BR108" i="45"/>
  <c r="BQ108" i="45"/>
  <c r="BP141" i="45"/>
  <c r="BH142" i="45"/>
  <c r="AS133" i="45"/>
  <c r="AR131" i="40" s="1"/>
  <c r="AR130" i="45"/>
  <c r="AY126" i="45"/>
  <c r="AU126" i="45"/>
  <c r="AS126" i="45"/>
  <c r="AR124" i="40" s="1"/>
  <c r="AQ124" i="40"/>
  <c r="R124" i="40" s="1"/>
  <c r="D131" i="40" s="1"/>
  <c r="H131" i="40" s="1"/>
  <c r="BL60" i="45"/>
  <c r="AV72" i="40"/>
  <c r="Z381" i="47"/>
  <c r="AJ249" i="45"/>
  <c r="AO144" i="45"/>
  <c r="K173" i="45"/>
  <c r="BP173" i="45" s="1"/>
  <c r="BP166" i="45"/>
  <c r="BL143" i="45"/>
  <c r="BA143" i="45"/>
  <c r="BK143" i="45"/>
  <c r="AZ143" i="45"/>
  <c r="BR137" i="45"/>
  <c r="AU137" i="45"/>
  <c r="BH143" i="45"/>
  <c r="BM143" i="45"/>
  <c r="BL142" i="45"/>
  <c r="BK142" i="45"/>
  <c r="BA142" i="45"/>
  <c r="BM142" i="45"/>
  <c r="BR143" i="45"/>
  <c r="BH133" i="45"/>
  <c r="BP133" i="45"/>
  <c r="BM88" i="45"/>
  <c r="BH88" i="45"/>
  <c r="BA88" i="45"/>
  <c r="BK88" i="45"/>
  <c r="BJ88" i="45"/>
  <c r="BL88" i="45"/>
  <c r="I144" i="45"/>
  <c r="BG133" i="45"/>
  <c r="BR87" i="45"/>
  <c r="BH87" i="45"/>
  <c r="BP87" i="45"/>
  <c r="BJ60" i="45"/>
  <c r="BA60" i="45"/>
  <c r="BM60" i="45"/>
  <c r="BA87" i="45"/>
  <c r="BA80" i="45"/>
  <c r="BM67" i="45"/>
  <c r="BA74" i="45"/>
  <c r="BK67" i="45"/>
  <c r="BA67" i="45"/>
  <c r="BK60" i="45"/>
  <c r="D549" i="47"/>
  <c r="BK469" i="47"/>
  <c r="BI170" i="40"/>
  <c r="Q272" i="45"/>
  <c r="Q271" i="45"/>
  <c r="Q270" i="45"/>
  <c r="BQ198" i="45"/>
  <c r="U198" i="45"/>
  <c r="BB170" i="40"/>
  <c r="AW163" i="40"/>
  <c r="AU159" i="40"/>
  <c r="AU163" i="40" s="1"/>
  <c r="AR240" i="45"/>
  <c r="AQ211" i="40"/>
  <c r="AR211" i="40" s="1"/>
  <c r="Z249" i="45"/>
  <c r="AA205" i="45"/>
  <c r="X212" i="45"/>
  <c r="X205" i="45"/>
  <c r="BO180" i="45"/>
  <c r="BW180" i="45"/>
  <c r="BP180" i="45"/>
  <c r="AV180" i="45"/>
  <c r="BQ180" i="45"/>
  <c r="BU180" i="45" s="1"/>
  <c r="BB152" i="40"/>
  <c r="BK159" i="40" s="1"/>
  <c r="BA152" i="40"/>
  <c r="BD152" i="40"/>
  <c r="BC152" i="40"/>
  <c r="BW177" i="45"/>
  <c r="BR177" i="45"/>
  <c r="BQ177" i="45"/>
  <c r="BU177" i="45" s="1"/>
  <c r="BO177" i="45"/>
  <c r="BD149" i="40"/>
  <c r="BC149" i="40"/>
  <c r="BB149" i="40"/>
  <c r="BA149" i="40"/>
  <c r="AN163" i="45"/>
  <c r="I137" i="45"/>
  <c r="BF137" i="45"/>
  <c r="BO137" i="45"/>
  <c r="BY156" i="45"/>
  <c r="BP156" i="45"/>
  <c r="BO156" i="45"/>
  <c r="BT156" i="45"/>
  <c r="BQ143" i="45"/>
  <c r="BP143" i="45"/>
  <c r="BM137" i="45"/>
  <c r="BK137" i="45"/>
  <c r="BL137" i="45"/>
  <c r="BQ87" i="45"/>
  <c r="D476" i="47"/>
  <c r="F483" i="47"/>
  <c r="H389" i="47"/>
  <c r="Q205" i="45"/>
  <c r="R184" i="45"/>
  <c r="U184" i="45"/>
  <c r="H375" i="47"/>
  <c r="Q191" i="45"/>
  <c r="R198" i="45" s="1"/>
  <c r="D347" i="47"/>
  <c r="J347" i="47" s="1"/>
  <c r="H248" i="45"/>
  <c r="AT244" i="45"/>
  <c r="AN212" i="45"/>
  <c r="H249" i="45"/>
  <c r="BQ219" i="45"/>
  <c r="BU219" i="45" s="1"/>
  <c r="BP219" i="45"/>
  <c r="BT219" i="45"/>
  <c r="BO219" i="45"/>
  <c r="BR219" i="45"/>
  <c r="BD191" i="40"/>
  <c r="BC191" i="40"/>
  <c r="BB191" i="40"/>
  <c r="BA191" i="40"/>
  <c r="AS198" i="45"/>
  <c r="BT180" i="45"/>
  <c r="AA191" i="45"/>
  <c r="X191" i="45"/>
  <c r="AN177" i="45"/>
  <c r="BQ156" i="45"/>
  <c r="BU156" i="45" s="1"/>
  <c r="BG143" i="45"/>
  <c r="BF140" i="45"/>
  <c r="BR140" i="45" s="1"/>
  <c r="BG87" i="45"/>
  <c r="AP137" i="45"/>
  <c r="BQ137" i="45"/>
  <c r="BA123" i="45"/>
  <c r="BM123" i="45"/>
  <c r="BL123" i="45"/>
  <c r="BK123" i="45"/>
  <c r="BJ123" i="45"/>
  <c r="BH101" i="45"/>
  <c r="BQ101" i="45"/>
  <c r="BP101" i="45"/>
  <c r="BO101" i="45"/>
  <c r="BR101" i="45"/>
  <c r="BQ141" i="45"/>
  <c r="BJ143" i="45"/>
  <c r="BP142" i="45"/>
  <c r="BO143" i="45"/>
  <c r="K177" i="45"/>
  <c r="BX170" i="45"/>
  <c r="BP170" i="45"/>
  <c r="BF129" i="45"/>
  <c r="I129" i="45"/>
  <c r="BK95" i="45"/>
  <c r="BJ95" i="45"/>
  <c r="BH95" i="45"/>
  <c r="BA95" i="45"/>
  <c r="BM95" i="45"/>
  <c r="BL95" i="45"/>
  <c r="BO87" i="45"/>
  <c r="AV156" i="40"/>
  <c r="BL67" i="45"/>
  <c r="AZ60" i="45"/>
  <c r="N196" i="40"/>
  <c r="N187" i="40"/>
  <c r="L191" i="40"/>
  <c r="N198" i="40" s="1"/>
  <c r="AG141" i="40"/>
  <c r="AI141" i="40" s="1"/>
  <c r="AK141" i="40" s="1"/>
  <c r="D141" i="40"/>
  <c r="H141" i="40" s="1"/>
  <c r="T141" i="40"/>
  <c r="V141" i="40" s="1"/>
  <c r="AT141" i="40"/>
  <c r="AG139" i="40"/>
  <c r="AI139" i="40" s="1"/>
  <c r="AK139" i="40" s="1"/>
  <c r="AT139" i="40"/>
  <c r="D139" i="40"/>
  <c r="H139" i="40" s="1"/>
  <c r="T139" i="40"/>
  <c r="V139" i="40" s="1"/>
  <c r="AG154" i="40"/>
  <c r="T154" i="40"/>
  <c r="D154" i="40"/>
  <c r="H154" i="40" s="1"/>
  <c r="AT154" i="40"/>
  <c r="T133" i="40"/>
  <c r="V133" i="40" s="1"/>
  <c r="AN176" i="40"/>
  <c r="R169" i="40"/>
  <c r="AS187" i="47"/>
  <c r="AC126" i="40"/>
  <c r="AE132" i="40"/>
  <c r="P132" i="40"/>
  <c r="AG175" i="40"/>
  <c r="D175" i="40"/>
  <c r="H175" i="40" s="1"/>
  <c r="T175" i="40"/>
  <c r="AC120" i="40"/>
  <c r="P104" i="40"/>
  <c r="P127" i="40"/>
  <c r="AC104" i="40"/>
  <c r="AE104" i="40" s="1"/>
  <c r="P103" i="40"/>
  <c r="N96" i="40"/>
  <c r="L100" i="40"/>
  <c r="T85" i="40"/>
  <c r="V85" i="40" s="1"/>
  <c r="AE97" i="40"/>
  <c r="P97" i="40"/>
  <c r="AE75" i="40"/>
  <c r="N70" i="40"/>
  <c r="AC54" i="40"/>
  <c r="AA58" i="40"/>
  <c r="AC58" i="40" s="1"/>
  <c r="P120" i="40"/>
  <c r="AE120" i="40"/>
  <c r="V111" i="40"/>
  <c r="P113" i="40"/>
  <c r="AE113" i="40"/>
  <c r="AI96" i="40"/>
  <c r="AG100" i="40"/>
  <c r="L93" i="40"/>
  <c r="N93" i="40" s="1"/>
  <c r="N89" i="40"/>
  <c r="P82" i="40"/>
  <c r="P61" i="40"/>
  <c r="P49" i="40"/>
  <c r="AE92" i="40"/>
  <c r="AE57" i="40"/>
  <c r="P57" i="40"/>
  <c r="P50" i="40"/>
  <c r="AE50" i="40"/>
  <c r="P26" i="40"/>
  <c r="AI69" i="40"/>
  <c r="AI42" i="40"/>
  <c r="AK42" i="40" s="1"/>
  <c r="AE40" i="40"/>
  <c r="AC76" i="40"/>
  <c r="AE70" i="40"/>
  <c r="P70" i="40"/>
  <c r="D72" i="40"/>
  <c r="H72" i="40" s="1"/>
  <c r="AT72" i="40"/>
  <c r="AI54" i="40"/>
  <c r="AG58" i="40"/>
  <c r="AI58" i="40" s="1"/>
  <c r="P91" i="40"/>
  <c r="AE91" i="40"/>
  <c r="AE77" i="40"/>
  <c r="V64" i="40"/>
  <c r="AC55" i="40"/>
  <c r="AK43" i="40"/>
  <c r="AE48" i="40"/>
  <c r="P20" i="40"/>
  <c r="N180" i="40"/>
  <c r="L184" i="40"/>
  <c r="N190" i="40"/>
  <c r="N183" i="40"/>
  <c r="AG168" i="40"/>
  <c r="D168" i="40"/>
  <c r="H168" i="40" s="1"/>
  <c r="T168" i="40"/>
  <c r="R149" i="40"/>
  <c r="AG145" i="40"/>
  <c r="D145" i="40"/>
  <c r="H145" i="40" s="1"/>
  <c r="T145" i="40"/>
  <c r="T138" i="40"/>
  <c r="R142" i="40"/>
  <c r="AG138" i="40"/>
  <c r="D138" i="40"/>
  <c r="H138" i="40" s="1"/>
  <c r="AT138" i="40"/>
  <c r="AG162" i="40"/>
  <c r="D162" i="40"/>
  <c r="H162" i="40" s="1"/>
  <c r="T162" i="40"/>
  <c r="V162" i="40" s="1"/>
  <c r="AT162" i="40"/>
  <c r="V104" i="40"/>
  <c r="P111" i="40"/>
  <c r="AE111" i="40"/>
  <c r="AN189" i="40"/>
  <c r="AS200" i="47"/>
  <c r="AE125" i="40"/>
  <c r="P125" i="40"/>
  <c r="AA142" i="40"/>
  <c r="AK127" i="40"/>
  <c r="AI103" i="40"/>
  <c r="AK103" i="40" s="1"/>
  <c r="AG107" i="40"/>
  <c r="AI107" i="40" s="1"/>
  <c r="P106" i="40"/>
  <c r="AE106" i="40"/>
  <c r="P89" i="40"/>
  <c r="D86" i="40"/>
  <c r="H86" i="40" s="1"/>
  <c r="AT86" i="40"/>
  <c r="AC65" i="40"/>
  <c r="AE65" i="40" s="1"/>
  <c r="AC127" i="40"/>
  <c r="AE127" i="40" s="1"/>
  <c r="AI117" i="40"/>
  <c r="AG121" i="40"/>
  <c r="T121" i="40"/>
  <c r="AI120" i="40"/>
  <c r="AA114" i="40"/>
  <c r="AC114" i="40" s="1"/>
  <c r="AE114" i="40" s="1"/>
  <c r="P76" i="40"/>
  <c r="AE76" i="40"/>
  <c r="AA51" i="40"/>
  <c r="AI113" i="40"/>
  <c r="AK113" i="40" s="1"/>
  <c r="D100" i="40"/>
  <c r="H100" i="40" s="1"/>
  <c r="AT100" i="40"/>
  <c r="P96" i="40"/>
  <c r="AI33" i="40"/>
  <c r="AG37" i="40"/>
  <c r="AI37" i="40" s="1"/>
  <c r="D93" i="40"/>
  <c r="H93" i="40" s="1"/>
  <c r="AT93" i="40"/>
  <c r="AC61" i="40"/>
  <c r="AE61" i="40" s="1"/>
  <c r="T30" i="40"/>
  <c r="V26" i="40"/>
  <c r="T83" i="40"/>
  <c r="L65" i="40"/>
  <c r="N65" i="40" s="1"/>
  <c r="P65" i="40" s="1"/>
  <c r="P42" i="40"/>
  <c r="AE42" i="40"/>
  <c r="V36" i="40"/>
  <c r="N77" i="40"/>
  <c r="P77" i="40" s="1"/>
  <c r="T70" i="40"/>
  <c r="AI68" i="40"/>
  <c r="AG72" i="40"/>
  <c r="P56" i="40"/>
  <c r="AE56" i="40"/>
  <c r="D58" i="40"/>
  <c r="H58" i="40" s="1"/>
  <c r="AK49" i="40"/>
  <c r="N28" i="40"/>
  <c r="P28" i="40" s="1"/>
  <c r="P84" i="40"/>
  <c r="AA79" i="40"/>
  <c r="AE62" i="40"/>
  <c r="P62" i="40"/>
  <c r="AI48" i="40"/>
  <c r="AK48" i="40" s="1"/>
  <c r="V20" i="40"/>
  <c r="AG182" i="40"/>
  <c r="D182" i="40"/>
  <c r="H182" i="40" s="1"/>
  <c r="T182" i="40"/>
  <c r="V182" i="40" s="1"/>
  <c r="T153" i="40"/>
  <c r="AT153" i="40"/>
  <c r="AG153" i="40"/>
  <c r="D153" i="40"/>
  <c r="H153" i="40" s="1"/>
  <c r="AG147" i="40"/>
  <c r="D147" i="40"/>
  <c r="H147" i="40" s="1"/>
  <c r="T147" i="40"/>
  <c r="N131" i="40"/>
  <c r="L135" i="40"/>
  <c r="N135" i="40" s="1"/>
  <c r="P133" i="40"/>
  <c r="AE133" i="40"/>
  <c r="AN160" i="40"/>
  <c r="AS171" i="47"/>
  <c r="AE126" i="40"/>
  <c r="P126" i="40"/>
  <c r="AI110" i="40"/>
  <c r="AK110" i="40" s="1"/>
  <c r="AG114" i="40"/>
  <c r="AI114" i="40" s="1"/>
  <c r="AK114" i="40" s="1"/>
  <c r="P134" i="40"/>
  <c r="AE134" i="40"/>
  <c r="AO149" i="40"/>
  <c r="AS167" i="47"/>
  <c r="AU167" i="47" s="1"/>
  <c r="L114" i="40"/>
  <c r="N114" i="40" s="1"/>
  <c r="P114" i="40" s="1"/>
  <c r="N110" i="40"/>
  <c r="P110" i="40" s="1"/>
  <c r="AE98" i="40"/>
  <c r="P98" i="40"/>
  <c r="P105" i="40"/>
  <c r="AE105" i="40"/>
  <c r="AE110" i="40"/>
  <c r="T107" i="40"/>
  <c r="AI89" i="40"/>
  <c r="AK89" i="40" s="1"/>
  <c r="AG93" i="40"/>
  <c r="AE85" i="40"/>
  <c r="P85" i="40"/>
  <c r="AK65" i="40"/>
  <c r="AE90" i="40"/>
  <c r="P90" i="40"/>
  <c r="AI79" i="40"/>
  <c r="AT79" i="40"/>
  <c r="D79" i="40"/>
  <c r="H79" i="40" s="1"/>
  <c r="N47" i="40"/>
  <c r="L51" i="40"/>
  <c r="N33" i="40"/>
  <c r="L37" i="40"/>
  <c r="N37" i="40" s="1"/>
  <c r="P37" i="40" s="1"/>
  <c r="P119" i="40"/>
  <c r="AE119" i="40"/>
  <c r="AT121" i="40"/>
  <c r="D121" i="40"/>
  <c r="H121" i="40" s="1"/>
  <c r="AC82" i="40"/>
  <c r="AE82" i="40" s="1"/>
  <c r="AA86" i="40"/>
  <c r="AC86" i="40" s="1"/>
  <c r="N75" i="40"/>
  <c r="P75" i="40" s="1"/>
  <c r="L79" i="40"/>
  <c r="N79" i="40" s="1"/>
  <c r="AK111" i="40"/>
  <c r="AC89" i="40"/>
  <c r="AE89" i="40" s="1"/>
  <c r="AA93" i="40"/>
  <c r="L72" i="40"/>
  <c r="N72" i="40" s="1"/>
  <c r="AI47" i="40"/>
  <c r="AK47" i="40" s="1"/>
  <c r="AG51" i="40"/>
  <c r="AI51" i="40" s="1"/>
  <c r="P55" i="40"/>
  <c r="AE55" i="40"/>
  <c r="AC49" i="40"/>
  <c r="AE49" i="40" s="1"/>
  <c r="AG30" i="40"/>
  <c r="AK78" i="40"/>
  <c r="N40" i="40"/>
  <c r="P40" i="40" s="1"/>
  <c r="V42" i="40"/>
  <c r="AG44" i="40"/>
  <c r="AI40" i="40"/>
  <c r="V19" i="40"/>
  <c r="P68" i="40"/>
  <c r="P54" i="40"/>
  <c r="AE54" i="40"/>
  <c r="N48" i="40"/>
  <c r="P48" i="40" s="1"/>
  <c r="N90" i="40"/>
  <c r="AI77" i="40"/>
  <c r="AK77" i="40" s="1"/>
  <c r="P43" i="40"/>
  <c r="AE43" i="40"/>
  <c r="AE41" i="40"/>
  <c r="P41" i="40"/>
  <c r="V34" i="40"/>
  <c r="P22" i="40"/>
  <c r="T161" i="40"/>
  <c r="V161" i="40" s="1"/>
  <c r="AG161" i="40"/>
  <c r="D161" i="40"/>
  <c r="H161" i="40" s="1"/>
  <c r="AT161" i="40"/>
  <c r="L177" i="40"/>
  <c r="N177" i="40" s="1"/>
  <c r="N173" i="40"/>
  <c r="N155" i="40"/>
  <c r="P155" i="40" s="1"/>
  <c r="T148" i="40"/>
  <c r="V148" i="40" s="1"/>
  <c r="D148" i="40"/>
  <c r="H148" i="40" s="1"/>
  <c r="AG148" i="40"/>
  <c r="N170" i="40"/>
  <c r="AG131" i="40"/>
  <c r="T131" i="40"/>
  <c r="R135" i="40"/>
  <c r="F135" i="40" s="1"/>
  <c r="AT131" i="40"/>
  <c r="AC131" i="40"/>
  <c r="AA135" i="40"/>
  <c r="AC135" i="40" s="1"/>
  <c r="L149" i="40"/>
  <c r="N149" i="40" s="1"/>
  <c r="AI133" i="40"/>
  <c r="AK133" i="40" s="1"/>
  <c r="D146" i="40"/>
  <c r="H146" i="40" s="1"/>
  <c r="T146" i="40"/>
  <c r="V146" i="40" s="1"/>
  <c r="AG146" i="40"/>
  <c r="P112" i="40"/>
  <c r="AE112" i="40"/>
  <c r="AC140" i="40"/>
  <c r="V112" i="40"/>
  <c r="N107" i="40"/>
  <c r="D140" i="40"/>
  <c r="H140" i="40" s="1"/>
  <c r="AT140" i="40"/>
  <c r="T140" i="40"/>
  <c r="V140" i="40" s="1"/>
  <c r="AG140" i="40"/>
  <c r="AI140" i="40" s="1"/>
  <c r="AK140" i="40" s="1"/>
  <c r="AK134" i="40"/>
  <c r="V132" i="40"/>
  <c r="AN156" i="40"/>
  <c r="AN159" i="40"/>
  <c r="R152" i="40"/>
  <c r="AS170" i="47"/>
  <c r="AA121" i="40"/>
  <c r="AC121" i="40" s="1"/>
  <c r="T110" i="40"/>
  <c r="N138" i="40"/>
  <c r="V127" i="40"/>
  <c r="AI105" i="40"/>
  <c r="AT107" i="40"/>
  <c r="D107" i="40"/>
  <c r="H107" i="40" s="1"/>
  <c r="V106" i="40"/>
  <c r="AC96" i="40"/>
  <c r="AE96" i="40" s="1"/>
  <c r="AA100" i="40"/>
  <c r="AC100" i="40" s="1"/>
  <c r="T93" i="40"/>
  <c r="V89" i="40"/>
  <c r="AK125" i="40"/>
  <c r="AE99" i="40"/>
  <c r="P99" i="40"/>
  <c r="AI97" i="40"/>
  <c r="AK97" i="40" s="1"/>
  <c r="V90" i="40"/>
  <c r="P69" i="40"/>
  <c r="AE69" i="40"/>
  <c r="AE63" i="40"/>
  <c r="P63" i="40"/>
  <c r="AE47" i="40"/>
  <c r="P47" i="40"/>
  <c r="P33" i="40"/>
  <c r="P21" i="40"/>
  <c r="AI119" i="40"/>
  <c r="AK119" i="40" s="1"/>
  <c r="AE117" i="40"/>
  <c r="P117" i="40"/>
  <c r="AC103" i="40"/>
  <c r="AE103" i="40" s="1"/>
  <c r="P83" i="40"/>
  <c r="AE83" i="40"/>
  <c r="T76" i="40"/>
  <c r="V76" i="40" s="1"/>
  <c r="L44" i="40"/>
  <c r="N44" i="40" s="1"/>
  <c r="T96" i="40"/>
  <c r="AE78" i="40"/>
  <c r="P78" i="40"/>
  <c r="AA72" i="40"/>
  <c r="AC72" i="40" s="1"/>
  <c r="AC68" i="40"/>
  <c r="AE68" i="40" s="1"/>
  <c r="V61" i="40"/>
  <c r="V49" i="40"/>
  <c r="V92" i="40"/>
  <c r="AK57" i="40"/>
  <c r="T47" i="40"/>
  <c r="AA44" i="40"/>
  <c r="AC44" i="40" s="1"/>
  <c r="D30" i="40"/>
  <c r="H30" i="40" s="1"/>
  <c r="N30" i="40"/>
  <c r="N92" i="40"/>
  <c r="P92" i="40" s="1"/>
  <c r="D44" i="40"/>
  <c r="H44" i="40" s="1"/>
  <c r="T33" i="40"/>
  <c r="T21" i="40"/>
  <c r="V21" i="40" s="1"/>
  <c r="AG23" i="40"/>
  <c r="AK70" i="40"/>
  <c r="T72" i="40"/>
  <c r="V68" i="40"/>
  <c r="T63" i="40"/>
  <c r="V63" i="40" s="1"/>
  <c r="AK56" i="40"/>
  <c r="T58" i="40"/>
  <c r="AC84" i="40"/>
  <c r="AE84" i="40" s="1"/>
  <c r="AG86" i="40"/>
  <c r="AI86" i="40" s="1"/>
  <c r="V77" i="40"/>
  <c r="T75" i="40"/>
  <c r="AE64" i="40"/>
  <c r="P64" i="40"/>
  <c r="AK62" i="40"/>
  <c r="V43" i="40"/>
  <c r="T41" i="40"/>
  <c r="V41" i="40" s="1"/>
  <c r="L23" i="40"/>
  <c r="N23" i="40" s="1"/>
  <c r="P23" i="40" s="1"/>
  <c r="V22" i="40"/>
  <c r="P191" i="47"/>
  <c r="R191" i="47" s="1"/>
  <c r="N195" i="47"/>
  <c r="P195" i="47" s="1"/>
  <c r="X191" i="47"/>
  <c r="Z191" i="47" s="1"/>
  <c r="P198" i="47"/>
  <c r="Z531" i="47"/>
  <c r="Z343" i="47"/>
  <c r="P581" i="47"/>
  <c r="X581" i="47"/>
  <c r="Z581" i="47" s="1"/>
  <c r="Z568" i="47"/>
  <c r="AL570" i="47"/>
  <c r="F535" i="47"/>
  <c r="D535" i="47"/>
  <c r="X570" i="47"/>
  <c r="Z566" i="47"/>
  <c r="Z545" i="47"/>
  <c r="P580" i="47"/>
  <c r="N584" i="47"/>
  <c r="D577" i="47"/>
  <c r="H570" i="47"/>
  <c r="AL549" i="47"/>
  <c r="AL563" i="47"/>
  <c r="F563" i="47"/>
  <c r="BK563" i="47" s="1"/>
  <c r="AL556" i="47"/>
  <c r="P540" i="47"/>
  <c r="X540" i="47"/>
  <c r="X533" i="47"/>
  <c r="Z533" i="47" s="1"/>
  <c r="D528" i="47"/>
  <c r="J528" i="47" s="1"/>
  <c r="P532" i="47"/>
  <c r="X532" i="47"/>
  <c r="Z532" i="47" s="1"/>
  <c r="D556" i="47"/>
  <c r="J556" i="47" s="1"/>
  <c r="AL542" i="47"/>
  <c r="P547" i="47"/>
  <c r="AL497" i="47"/>
  <c r="AE525" i="47"/>
  <c r="AN525" i="47" s="1"/>
  <c r="BI509" i="47"/>
  <c r="X497" i="47"/>
  <c r="BI489" i="47"/>
  <c r="P507" i="47"/>
  <c r="J507" i="47" s="1"/>
  <c r="D507" i="47" s="1"/>
  <c r="V507" i="47" s="1"/>
  <c r="AG236" i="45" s="1"/>
  <c r="P502" i="47"/>
  <c r="Z534" i="47"/>
  <c r="R501" i="47"/>
  <c r="Z479" i="47"/>
  <c r="BI482" i="47"/>
  <c r="J476" i="47"/>
  <c r="X481" i="47"/>
  <c r="Z481" i="47" s="1"/>
  <c r="BI469" i="47"/>
  <c r="BH469" i="47"/>
  <c r="BI462" i="47"/>
  <c r="Z444" i="47"/>
  <c r="BI486" i="47"/>
  <c r="R474" i="47"/>
  <c r="P468" i="47"/>
  <c r="R468" i="47" s="1"/>
  <c r="X468" i="47"/>
  <c r="Z453" i="47"/>
  <c r="X439" i="47"/>
  <c r="Z439" i="47" s="1"/>
  <c r="R433" i="47"/>
  <c r="Z482" i="47"/>
  <c r="Z473" i="47"/>
  <c r="BI474" i="47"/>
  <c r="P447" i="47"/>
  <c r="R447" i="47" s="1"/>
  <c r="X447" i="47"/>
  <c r="Z447" i="47" s="1"/>
  <c r="BH447" i="47"/>
  <c r="BI447" i="47"/>
  <c r="Z472" i="47"/>
  <c r="X476" i="47"/>
  <c r="D469" i="47"/>
  <c r="Z458" i="47"/>
  <c r="R437" i="47"/>
  <c r="BH439" i="47"/>
  <c r="BI439" i="47"/>
  <c r="N427" i="47"/>
  <c r="Z385" i="47"/>
  <c r="BM409" i="47"/>
  <c r="X380" i="47"/>
  <c r="Z380" i="47" s="1"/>
  <c r="D375" i="47"/>
  <c r="BI448" i="47"/>
  <c r="P475" i="47"/>
  <c r="BI440" i="47"/>
  <c r="BM408" i="47"/>
  <c r="X353" i="47"/>
  <c r="Z353" i="47" s="1"/>
  <c r="Z345" i="47"/>
  <c r="X361" i="47"/>
  <c r="Z357" i="47"/>
  <c r="AL347" i="47"/>
  <c r="X344" i="47"/>
  <c r="P344" i="47"/>
  <c r="R344" i="47" s="1"/>
  <c r="AL321" i="47"/>
  <c r="AN321" i="47" s="1"/>
  <c r="AP321" i="47" s="1"/>
  <c r="X321" i="47"/>
  <c r="Z321" i="47" s="1"/>
  <c r="X365" i="47"/>
  <c r="Z365" i="47" s="1"/>
  <c r="AN307" i="47"/>
  <c r="AP307" i="47" s="1"/>
  <c r="X300" i="47"/>
  <c r="R279" i="47"/>
  <c r="P374" i="47"/>
  <c r="R374" i="47" s="1"/>
  <c r="AL368" i="47"/>
  <c r="X366" i="47"/>
  <c r="Z366" i="47" s="1"/>
  <c r="P366" i="47"/>
  <c r="R366" i="47" s="1"/>
  <c r="AE359" i="47"/>
  <c r="AN359" i="47" s="1"/>
  <c r="P350" i="47"/>
  <c r="R350" i="47" s="1"/>
  <c r="AC352" i="47"/>
  <c r="AE353" i="47" s="1"/>
  <c r="AN353" i="47" s="1"/>
  <c r="AE352" i="47"/>
  <c r="AN352" i="47" s="1"/>
  <c r="P338" i="47"/>
  <c r="AL316" i="47"/>
  <c r="AN316" i="47" s="1"/>
  <c r="AN312" i="47"/>
  <c r="AP312" i="47" s="1"/>
  <c r="N309" i="47"/>
  <c r="P316" i="47" s="1"/>
  <c r="BD410" i="47"/>
  <c r="AN371" i="47"/>
  <c r="R292" i="47"/>
  <c r="Z277" i="47"/>
  <c r="AG308" i="47"/>
  <c r="AG265" i="47"/>
  <c r="AN265" i="47"/>
  <c r="AP265" i="47" s="1"/>
  <c r="AP264" i="47"/>
  <c r="AL181" i="47"/>
  <c r="AN286" i="47"/>
  <c r="AG272" i="47"/>
  <c r="P263" i="47"/>
  <c r="R263" i="47" s="1"/>
  <c r="N267" i="47"/>
  <c r="X263" i="47"/>
  <c r="Z250" i="47"/>
  <c r="R214" i="47"/>
  <c r="BI205" i="47"/>
  <c r="P294" i="47"/>
  <c r="D274" i="47"/>
  <c r="J274" i="47" s="1"/>
  <c r="X266" i="47"/>
  <c r="Z266" i="47" s="1"/>
  <c r="AL253" i="47"/>
  <c r="P221" i="47"/>
  <c r="BI212" i="47"/>
  <c r="BI201" i="47"/>
  <c r="Z192" i="47"/>
  <c r="AL309" i="47"/>
  <c r="AL295" i="47"/>
  <c r="N281" i="47"/>
  <c r="P281" i="47" s="1"/>
  <c r="P271" i="47"/>
  <c r="X274" i="47"/>
  <c r="Z270" i="47"/>
  <c r="R259" i="47"/>
  <c r="R252" i="47"/>
  <c r="BI226" i="47"/>
  <c r="BI206" i="47"/>
  <c r="R200" i="47"/>
  <c r="F195" i="47"/>
  <c r="BI193" i="47"/>
  <c r="R186" i="47"/>
  <c r="Z164" i="47"/>
  <c r="BG230" i="47"/>
  <c r="BA230" i="47"/>
  <c r="Z180" i="47"/>
  <c r="R165" i="47"/>
  <c r="P149" i="47"/>
  <c r="N153" i="47"/>
  <c r="P153" i="47" s="1"/>
  <c r="AI132" i="47"/>
  <c r="R132" i="47"/>
  <c r="AI120" i="47"/>
  <c r="R120" i="47"/>
  <c r="AP105" i="47"/>
  <c r="X63" i="47"/>
  <c r="Z63" i="47" s="1"/>
  <c r="Z54" i="47"/>
  <c r="X58" i="47"/>
  <c r="Z40" i="47"/>
  <c r="X44" i="47"/>
  <c r="H195" i="47"/>
  <c r="N160" i="47"/>
  <c r="AG107" i="47"/>
  <c r="P89" i="47"/>
  <c r="R89" i="47" s="1"/>
  <c r="X89" i="47"/>
  <c r="Z89" i="47" s="1"/>
  <c r="N93" i="47"/>
  <c r="P93" i="47" s="1"/>
  <c r="R56" i="47"/>
  <c r="AI56" i="47"/>
  <c r="Z220" i="47"/>
  <c r="N216" i="47"/>
  <c r="Z184" i="47"/>
  <c r="X158" i="47"/>
  <c r="Z158" i="47" s="1"/>
  <c r="N128" i="47"/>
  <c r="P128" i="47" s="1"/>
  <c r="X124" i="47"/>
  <c r="Z124" i="47" s="1"/>
  <c r="P124" i="47"/>
  <c r="R124" i="47" s="1"/>
  <c r="AG96" i="47"/>
  <c r="AE100" i="47"/>
  <c r="AG100" i="47" s="1"/>
  <c r="R92" i="47"/>
  <c r="AI92" i="47"/>
  <c r="AI75" i="47"/>
  <c r="AG68" i="47"/>
  <c r="AE72" i="47"/>
  <c r="AG63" i="47"/>
  <c r="AI50" i="47"/>
  <c r="R50" i="47"/>
  <c r="R36" i="47"/>
  <c r="X22" i="47"/>
  <c r="Z22" i="47" s="1"/>
  <c r="R21" i="47"/>
  <c r="AP99" i="47"/>
  <c r="Z83" i="47"/>
  <c r="N79" i="47"/>
  <c r="AN42" i="47"/>
  <c r="AP42" i="47" s="1"/>
  <c r="D30" i="47"/>
  <c r="J30" i="47" s="1"/>
  <c r="R30" i="47" s="1"/>
  <c r="AL121" i="47"/>
  <c r="AN121" i="47" s="1"/>
  <c r="P97" i="47"/>
  <c r="R97" i="47" s="1"/>
  <c r="AL93" i="47"/>
  <c r="AN93" i="47" s="1"/>
  <c r="D65" i="47"/>
  <c r="J65" i="47" s="1"/>
  <c r="AP57" i="47"/>
  <c r="AN44" i="47"/>
  <c r="AP126" i="47"/>
  <c r="AL107" i="47"/>
  <c r="AN107" i="47" s="1"/>
  <c r="X107" i="47"/>
  <c r="Z77" i="47"/>
  <c r="AE44" i="47"/>
  <c r="AG44" i="47" s="1"/>
  <c r="X113" i="47"/>
  <c r="Z113" i="47" s="1"/>
  <c r="AP48" i="47"/>
  <c r="P51" i="47"/>
  <c r="Z573" i="47"/>
  <c r="X577" i="47"/>
  <c r="Z577" i="47" s="1"/>
  <c r="P486" i="47"/>
  <c r="N490" i="47"/>
  <c r="P490" i="47" s="1"/>
  <c r="AL490" i="47"/>
  <c r="Z488" i="47"/>
  <c r="R475" i="47"/>
  <c r="BI465" i="47"/>
  <c r="BH465" i="47"/>
  <c r="AL448" i="47"/>
  <c r="X486" i="47"/>
  <c r="P454" i="47"/>
  <c r="X454" i="47"/>
  <c r="Z454" i="47" s="1"/>
  <c r="BI467" i="47"/>
  <c r="BH467" i="47"/>
  <c r="BH445" i="47"/>
  <c r="BI445" i="47"/>
  <c r="X469" i="47"/>
  <c r="Z465" i="47"/>
  <c r="BI466" i="47"/>
  <c r="BH466" i="47"/>
  <c r="BI459" i="47"/>
  <c r="BH459" i="47"/>
  <c r="Z451" i="47"/>
  <c r="P445" i="47"/>
  <c r="R445" i="47" s="1"/>
  <c r="X445" i="47"/>
  <c r="Z445" i="47" s="1"/>
  <c r="BH437" i="47"/>
  <c r="BI437" i="47"/>
  <c r="AL403" i="47"/>
  <c r="N410" i="47"/>
  <c r="P410" i="47" s="1"/>
  <c r="P406" i="47"/>
  <c r="R406" i="47" s="1"/>
  <c r="Z392" i="47"/>
  <c r="F361" i="47"/>
  <c r="D361" i="47"/>
  <c r="F368" i="47"/>
  <c r="P315" i="47"/>
  <c r="R315" i="47" s="1"/>
  <c r="X315" i="47"/>
  <c r="Z315" i="47" s="1"/>
  <c r="R351" i="47"/>
  <c r="AG314" i="47"/>
  <c r="AG307" i="47"/>
  <c r="R294" i="47"/>
  <c r="AG270" i="47"/>
  <c r="AE274" i="47"/>
  <c r="P413" i="47"/>
  <c r="J413" i="47" s="1"/>
  <c r="D413" i="47" s="1"/>
  <c r="V413" i="47" s="1"/>
  <c r="Q236" i="45" s="1"/>
  <c r="Z360" i="47"/>
  <c r="P351" i="47"/>
  <c r="P358" i="47"/>
  <c r="AL319" i="47"/>
  <c r="X319" i="47"/>
  <c r="Z284" i="47"/>
  <c r="AN298" i="47"/>
  <c r="AP298" i="47" s="1"/>
  <c r="AL302" i="47"/>
  <c r="AG281" i="47"/>
  <c r="AG256" i="47"/>
  <c r="AE260" i="47"/>
  <c r="AG260" i="47" s="1"/>
  <c r="AG251" i="47"/>
  <c r="AG258" i="47"/>
  <c r="X256" i="47"/>
  <c r="N260" i="47"/>
  <c r="P260" i="47" s="1"/>
  <c r="P256" i="47"/>
  <c r="R256" i="47" s="1"/>
  <c r="AL195" i="47"/>
  <c r="D181" i="47"/>
  <c r="X181" i="47"/>
  <c r="AP272" i="47"/>
  <c r="AN266" i="47"/>
  <c r="AP266" i="47" s="1"/>
  <c r="R198" i="47"/>
  <c r="N302" i="47"/>
  <c r="P302" i="47" s="1"/>
  <c r="X295" i="47"/>
  <c r="Z291" i="47"/>
  <c r="AE253" i="47"/>
  <c r="AG253" i="47" s="1"/>
  <c r="R221" i="47"/>
  <c r="D209" i="47"/>
  <c r="R212" i="47"/>
  <c r="AL174" i="47"/>
  <c r="X135" i="47"/>
  <c r="D135" i="47"/>
  <c r="J135" i="47" s="1"/>
  <c r="X159" i="47"/>
  <c r="Z159" i="47" s="1"/>
  <c r="P159" i="47"/>
  <c r="R159" i="47" s="1"/>
  <c r="P135" i="47"/>
  <c r="R54" i="47"/>
  <c r="X153" i="47"/>
  <c r="D153" i="47"/>
  <c r="J153" i="47" s="1"/>
  <c r="R153" i="47" s="1"/>
  <c r="X150" i="47"/>
  <c r="P150" i="47"/>
  <c r="R150" i="47" s="1"/>
  <c r="P96" i="47"/>
  <c r="N100" i="47"/>
  <c r="P100" i="47" s="1"/>
  <c r="AI90" i="47"/>
  <c r="R90" i="47"/>
  <c r="AI85" i="47"/>
  <c r="R85" i="47"/>
  <c r="AG47" i="47"/>
  <c r="AE51" i="47"/>
  <c r="AG51" i="47" s="1"/>
  <c r="Z29" i="47"/>
  <c r="P202" i="47"/>
  <c r="P170" i="47"/>
  <c r="R170" i="47" s="1"/>
  <c r="X170" i="47"/>
  <c r="Z170" i="47" s="1"/>
  <c r="N174" i="47"/>
  <c r="D72" i="47"/>
  <c r="J72" i="47" s="1"/>
  <c r="AI44" i="47"/>
  <c r="X214" i="47"/>
  <c r="Z214" i="47" s="1"/>
  <c r="P177" i="47"/>
  <c r="R177" i="47" s="1"/>
  <c r="N181" i="47"/>
  <c r="AI127" i="47"/>
  <c r="R127" i="47"/>
  <c r="AN82" i="47"/>
  <c r="AP89" i="47" s="1"/>
  <c r="AL86" i="47"/>
  <c r="AN86" i="47" s="1"/>
  <c r="Z70" i="47"/>
  <c r="Z61" i="47"/>
  <c r="X65" i="47"/>
  <c r="Z65" i="47" s="1"/>
  <c r="AG54" i="47"/>
  <c r="AI54" i="47" s="1"/>
  <c r="AE58" i="47"/>
  <c r="AG58" i="47" s="1"/>
  <c r="AG49" i="47"/>
  <c r="Z33" i="47"/>
  <c r="X37" i="47"/>
  <c r="Z118" i="47"/>
  <c r="Z91" i="47"/>
  <c r="Z75" i="47"/>
  <c r="AN54" i="47"/>
  <c r="AN47" i="47"/>
  <c r="Z36" i="47"/>
  <c r="Z97" i="47"/>
  <c r="AL44" i="47"/>
  <c r="Z126" i="47"/>
  <c r="Z103" i="47"/>
  <c r="AN49" i="47"/>
  <c r="AP49" i="47" s="1"/>
  <c r="AG40" i="47"/>
  <c r="AP98" i="47"/>
  <c r="AG69" i="47"/>
  <c r="AI69" i="47" s="1"/>
  <c r="AN69" i="47"/>
  <c r="AP69" i="47" s="1"/>
  <c r="P29" i="47"/>
  <c r="R29" i="47" s="1"/>
  <c r="J570" i="47"/>
  <c r="Z552" i="47"/>
  <c r="Z587" i="47"/>
  <c r="AL589" i="47"/>
  <c r="D542" i="47"/>
  <c r="F542" i="47"/>
  <c r="P582" i="47"/>
  <c r="X555" i="47"/>
  <c r="P555" i="47"/>
  <c r="Z547" i="47"/>
  <c r="P552" i="47"/>
  <c r="N556" i="47"/>
  <c r="N542" i="47"/>
  <c r="BI502" i="47"/>
  <c r="P497" i="47"/>
  <c r="R497" i="47" s="1"/>
  <c r="R486" i="47"/>
  <c r="BI500" i="47"/>
  <c r="Z489" i="47"/>
  <c r="Z496" i="47"/>
  <c r="Z525" i="47"/>
  <c r="Z500" i="47"/>
  <c r="R488" i="47"/>
  <c r="AL476" i="47"/>
  <c r="P488" i="47"/>
  <c r="BI483" i="47"/>
  <c r="BI475" i="47"/>
  <c r="P461" i="47"/>
  <c r="X461" i="47"/>
  <c r="R439" i="47"/>
  <c r="AL483" i="47"/>
  <c r="R480" i="47"/>
  <c r="Z474" i="47"/>
  <c r="Z466" i="47"/>
  <c r="R446" i="47"/>
  <c r="BI481" i="47"/>
  <c r="BI473" i="47"/>
  <c r="N469" i="47"/>
  <c r="AL462" i="47"/>
  <c r="N462" i="47"/>
  <c r="D403" i="47"/>
  <c r="J403" i="47" s="1"/>
  <c r="Z393" i="47"/>
  <c r="N441" i="47"/>
  <c r="P441" i="47" s="1"/>
  <c r="R441" i="47" s="1"/>
  <c r="R434" i="47"/>
  <c r="Z400" i="47"/>
  <c r="AL396" i="47"/>
  <c r="N396" i="47"/>
  <c r="P396" i="47" s="1"/>
  <c r="P392" i="47"/>
  <c r="R392" i="47" s="1"/>
  <c r="BI387" i="47"/>
  <c r="R380" i="47"/>
  <c r="BI444" i="47"/>
  <c r="X430" i="47"/>
  <c r="X434" i="47" s="1"/>
  <c r="N434" i="47"/>
  <c r="P434" i="47" s="1"/>
  <c r="P430" i="47"/>
  <c r="R430" i="47" s="1"/>
  <c r="X406" i="47"/>
  <c r="Z399" i="47"/>
  <c r="P446" i="47"/>
  <c r="Z440" i="47"/>
  <c r="BI400" i="47"/>
  <c r="P395" i="47"/>
  <c r="P402" i="47"/>
  <c r="R402" i="47" s="1"/>
  <c r="X395" i="47"/>
  <c r="Z395" i="47" s="1"/>
  <c r="P394" i="47"/>
  <c r="R394" i="47" s="1"/>
  <c r="X387" i="47"/>
  <c r="Z387" i="47" s="1"/>
  <c r="P387" i="47"/>
  <c r="R387" i="47" s="1"/>
  <c r="Z378" i="47"/>
  <c r="X382" i="47"/>
  <c r="Z367" i="47"/>
  <c r="N382" i="47"/>
  <c r="P382" i="47" s="1"/>
  <c r="P372" i="47"/>
  <c r="R372" i="47" s="1"/>
  <c r="X375" i="47"/>
  <c r="Z371" i="47"/>
  <c r="AE323" i="47"/>
  <c r="AG323" i="47" s="1"/>
  <c r="BA410" i="47"/>
  <c r="N368" i="47"/>
  <c r="P368" i="47" s="1"/>
  <c r="AN360" i="47"/>
  <c r="X351" i="47"/>
  <c r="Z351" i="47" s="1"/>
  <c r="P323" i="47"/>
  <c r="R300" i="47"/>
  <c r="X279" i="47"/>
  <c r="Z279" i="47" s="1"/>
  <c r="Z273" i="47"/>
  <c r="R367" i="47"/>
  <c r="X352" i="47"/>
  <c r="Z352" i="47" s="1"/>
  <c r="P352" i="47"/>
  <c r="R352" i="47" s="1"/>
  <c r="AE354" i="47"/>
  <c r="AN354" i="47" s="1"/>
  <c r="Z299" i="47"/>
  <c r="N288" i="47"/>
  <c r="P288" i="47" s="1"/>
  <c r="R288" i="47" s="1"/>
  <c r="AP305" i="47"/>
  <c r="R287" i="47"/>
  <c r="AN270" i="47"/>
  <c r="AL274" i="47"/>
  <c r="AN274" i="47" s="1"/>
  <c r="AL260" i="47"/>
  <c r="AN260" i="47" s="1"/>
  <c r="AN256" i="47"/>
  <c r="AP256" i="47" s="1"/>
  <c r="R302" i="47"/>
  <c r="X287" i="47"/>
  <c r="Z287" i="47" s="1"/>
  <c r="R264" i="47"/>
  <c r="AL216" i="47"/>
  <c r="D195" i="47"/>
  <c r="J195" i="47" s="1"/>
  <c r="R195" i="47" s="1"/>
  <c r="X195" i="47"/>
  <c r="X160" i="47"/>
  <c r="Z160" i="47" s="1"/>
  <c r="D160" i="47"/>
  <c r="J160" i="47" s="1"/>
  <c r="AP278" i="47"/>
  <c r="AG264" i="47"/>
  <c r="X265" i="47"/>
  <c r="Z265" i="47" s="1"/>
  <c r="P265" i="47"/>
  <c r="R265" i="47" s="1"/>
  <c r="P251" i="47"/>
  <c r="R251" i="47" s="1"/>
  <c r="X251" i="47"/>
  <c r="Z251" i="47" s="1"/>
  <c r="AL202" i="47"/>
  <c r="AE361" i="47"/>
  <c r="AN361" i="47" s="1"/>
  <c r="AP285" i="47"/>
  <c r="AE267" i="47"/>
  <c r="AG267" i="47" s="1"/>
  <c r="R260" i="47"/>
  <c r="P322" i="47"/>
  <c r="J322" i="47" s="1"/>
  <c r="D322" i="47" s="1"/>
  <c r="V322" i="47" s="1"/>
  <c r="AE288" i="47"/>
  <c r="AG288" i="47" s="1"/>
  <c r="P270" i="47"/>
  <c r="R270" i="47" s="1"/>
  <c r="AG259" i="47"/>
  <c r="AP259" i="47"/>
  <c r="AL246" i="47"/>
  <c r="Z173" i="47"/>
  <c r="Z156" i="47"/>
  <c r="AL128" i="47"/>
  <c r="AN128" i="47" s="1"/>
  <c r="AP128" i="47" s="1"/>
  <c r="AN124" i="47"/>
  <c r="AP124" i="47" s="1"/>
  <c r="H202" i="47"/>
  <c r="Z194" i="47"/>
  <c r="AL100" i="47"/>
  <c r="AN100" i="47" s="1"/>
  <c r="AP100" i="47" s="1"/>
  <c r="AN96" i="47"/>
  <c r="AP96" i="47" s="1"/>
  <c r="AI49" i="47"/>
  <c r="R49" i="47"/>
  <c r="F188" i="47"/>
  <c r="R149" i="47"/>
  <c r="P133" i="47"/>
  <c r="R133" i="47" s="1"/>
  <c r="X133" i="47"/>
  <c r="Z133" i="47" s="1"/>
  <c r="Z120" i="47"/>
  <c r="AI96" i="47"/>
  <c r="R96" i="47"/>
  <c r="AN75" i="47"/>
  <c r="AP75" i="47" s="1"/>
  <c r="AL79" i="47"/>
  <c r="AN79" i="47" s="1"/>
  <c r="P68" i="47"/>
  <c r="N72" i="47"/>
  <c r="P72" i="47" s="1"/>
  <c r="AI63" i="47"/>
  <c r="R63" i="47"/>
  <c r="Z198" i="47"/>
  <c r="P166" i="47"/>
  <c r="R166" i="47" s="1"/>
  <c r="P173" i="47"/>
  <c r="R173" i="47" s="1"/>
  <c r="N167" i="47"/>
  <c r="P167" i="47" s="1"/>
  <c r="Z131" i="47"/>
  <c r="R42" i="47"/>
  <c r="AI42" i="47"/>
  <c r="P184" i="47"/>
  <c r="R184" i="47" s="1"/>
  <c r="P134" i="47"/>
  <c r="R113" i="47"/>
  <c r="AI113" i="47"/>
  <c r="X93" i="47"/>
  <c r="Z93" i="47" s="1"/>
  <c r="D93" i="47"/>
  <c r="J93" i="47" s="1"/>
  <c r="R83" i="47"/>
  <c r="AI83" i="47"/>
  <c r="P70" i="47"/>
  <c r="P61" i="47"/>
  <c r="N65" i="47"/>
  <c r="P65" i="47" s="1"/>
  <c r="Z47" i="47"/>
  <c r="X51" i="47"/>
  <c r="Z51" i="47" s="1"/>
  <c r="Z27" i="47"/>
  <c r="AG121" i="47"/>
  <c r="AI121" i="47" s="1"/>
  <c r="P75" i="47"/>
  <c r="R75" i="47" s="1"/>
  <c r="Z69" i="47"/>
  <c r="D51" i="47"/>
  <c r="J51" i="47" s="1"/>
  <c r="AN127" i="47"/>
  <c r="AP127" i="47" s="1"/>
  <c r="Z112" i="47"/>
  <c r="AG103" i="47"/>
  <c r="AI103" i="47" s="1"/>
  <c r="AG86" i="47"/>
  <c r="AI86" i="47" s="1"/>
  <c r="P86" i="47"/>
  <c r="R86" i="47" s="1"/>
  <c r="Z64" i="47"/>
  <c r="Z41" i="47"/>
  <c r="AN114" i="47"/>
  <c r="AP114" i="47" s="1"/>
  <c r="AP97" i="47"/>
  <c r="AP78" i="47"/>
  <c r="AL72" i="47"/>
  <c r="AN72" i="47" s="1"/>
  <c r="Z56" i="47"/>
  <c r="Z50" i="47"/>
  <c r="X30" i="47"/>
  <c r="Z26" i="47"/>
  <c r="AG76" i="47"/>
  <c r="AI76" i="47" s="1"/>
  <c r="AN63" i="47"/>
  <c r="AN33" i="47"/>
  <c r="AN37" i="47" s="1"/>
  <c r="J563" i="47"/>
  <c r="Z580" i="47"/>
  <c r="P573" i="47"/>
  <c r="N577" i="47"/>
  <c r="Z575" i="47"/>
  <c r="AL535" i="47"/>
  <c r="P560" i="47"/>
  <c r="P553" i="47"/>
  <c r="X553" i="47"/>
  <c r="AL577" i="47"/>
  <c r="P568" i="47"/>
  <c r="Z559" i="47"/>
  <c r="X563" i="47"/>
  <c r="BI508" i="47"/>
  <c r="P548" i="47"/>
  <c r="X548" i="47"/>
  <c r="Z548" i="47" s="1"/>
  <c r="P531" i="47"/>
  <c r="N535" i="47"/>
  <c r="P535" i="47" s="1"/>
  <c r="N570" i="47"/>
  <c r="P570" i="47" s="1"/>
  <c r="F549" i="47"/>
  <c r="X542" i="47"/>
  <c r="Z538" i="47"/>
  <c r="N549" i="47"/>
  <c r="P549" i="47" s="1"/>
  <c r="Z524" i="47"/>
  <c r="X528" i="47"/>
  <c r="Z528" i="47" s="1"/>
  <c r="R502" i="47"/>
  <c r="AE528" i="47"/>
  <c r="AN528" i="47" s="1"/>
  <c r="P493" i="47"/>
  <c r="R493" i="47" s="1"/>
  <c r="D490" i="47"/>
  <c r="J490" i="47" s="1"/>
  <c r="R490" i="47" s="1"/>
  <c r="Z494" i="47"/>
  <c r="Z501" i="47"/>
  <c r="Z475" i="47"/>
  <c r="H483" i="47"/>
  <c r="J483" i="47" s="1"/>
  <c r="R483" i="47" s="1"/>
  <c r="R444" i="47"/>
  <c r="Z502" i="47"/>
  <c r="P476" i="47"/>
  <c r="Z467" i="47"/>
  <c r="BI468" i="47"/>
  <c r="BH468" i="47"/>
  <c r="BI461" i="47"/>
  <c r="BH461" i="47"/>
  <c r="Z452" i="47"/>
  <c r="Z446" i="47"/>
  <c r="AL469" i="47"/>
  <c r="N455" i="47"/>
  <c r="P455" i="47" s="1"/>
  <c r="Z437" i="47"/>
  <c r="X441" i="47"/>
  <c r="Z441" i="47" s="1"/>
  <c r="BH441" i="47"/>
  <c r="BI441" i="47"/>
  <c r="BI408" i="47"/>
  <c r="F389" i="47"/>
  <c r="D382" i="47"/>
  <c r="J382" i="47" s="1"/>
  <c r="R382" i="47" s="1"/>
  <c r="P401" i="47"/>
  <c r="R401" i="47" s="1"/>
  <c r="X401" i="47"/>
  <c r="Z401" i="47" s="1"/>
  <c r="D396" i="47"/>
  <c r="J396" i="47" s="1"/>
  <c r="R396" i="47" s="1"/>
  <c r="R395" i="47"/>
  <c r="H448" i="47"/>
  <c r="J448" i="47" s="1"/>
  <c r="Z388" i="47"/>
  <c r="Z373" i="47"/>
  <c r="H469" i="47"/>
  <c r="F375" i="47"/>
  <c r="D368" i="47"/>
  <c r="AL389" i="47"/>
  <c r="H368" i="47"/>
  <c r="S191" i="45" s="1"/>
  <c r="P361" i="47"/>
  <c r="P343" i="47"/>
  <c r="R343" i="47" s="1"/>
  <c r="N347" i="47"/>
  <c r="P347" i="47" s="1"/>
  <c r="R347" i="47" s="1"/>
  <c r="AP314" i="47"/>
  <c r="AP279" i="47"/>
  <c r="P389" i="47"/>
  <c r="AE373" i="47"/>
  <c r="AN373" i="47" s="1"/>
  <c r="AC373" i="47"/>
  <c r="Z359" i="47"/>
  <c r="R358" i="47"/>
  <c r="P313" i="47"/>
  <c r="R313" i="47" s="1"/>
  <c r="P320" i="47"/>
  <c r="J320" i="47" s="1"/>
  <c r="D320" i="47" s="1"/>
  <c r="V320" i="47" s="1"/>
  <c r="X313" i="47"/>
  <c r="Z313" i="47" s="1"/>
  <c r="P408" i="47"/>
  <c r="R408" i="47" s="1"/>
  <c r="Z364" i="47"/>
  <c r="X368" i="47"/>
  <c r="Z368" i="47" s="1"/>
  <c r="Z350" i="47"/>
  <c r="X354" i="47"/>
  <c r="P337" i="47"/>
  <c r="X337" i="47"/>
  <c r="X340" i="47" s="1"/>
  <c r="X316" i="47"/>
  <c r="Z316" i="47" s="1"/>
  <c r="Z312" i="47"/>
  <c r="Z305" i="47"/>
  <c r="X309" i="47"/>
  <c r="AG291" i="47"/>
  <c r="AE295" i="47"/>
  <c r="AG295" i="47" s="1"/>
  <c r="AL281" i="47"/>
  <c r="AN281" i="47" s="1"/>
  <c r="AP281" i="47" s="1"/>
  <c r="AL375" i="47"/>
  <c r="P360" i="47"/>
  <c r="R360" i="47" s="1"/>
  <c r="AP313" i="47"/>
  <c r="Z308" i="47"/>
  <c r="Z298" i="47"/>
  <c r="X302" i="47"/>
  <c r="Z302" i="47" s="1"/>
  <c r="Z292" i="47"/>
  <c r="AG277" i="47"/>
  <c r="R271" i="47"/>
  <c r="H316" i="47"/>
  <c r="J316" i="47" s="1"/>
  <c r="R316" i="47" s="1"/>
  <c r="P286" i="47"/>
  <c r="R286" i="47" s="1"/>
  <c r="AG263" i="47"/>
  <c r="X264" i="47"/>
  <c r="Z264" i="47" s="1"/>
  <c r="AL226" i="47"/>
  <c r="X216" i="47"/>
  <c r="D216" i="47"/>
  <c r="J216" i="47" s="1"/>
  <c r="P307" i="47"/>
  <c r="AE302" i="47"/>
  <c r="R281" i="47"/>
  <c r="AG273" i="47"/>
  <c r="AP257" i="47"/>
  <c r="P205" i="47"/>
  <c r="R205" i="47" s="1"/>
  <c r="N209" i="47"/>
  <c r="P209" i="47" s="1"/>
  <c r="X202" i="47"/>
  <c r="Z202" i="47" s="1"/>
  <c r="D202" i="47"/>
  <c r="J202" i="47" s="1"/>
  <c r="R202" i="47" s="1"/>
  <c r="X188" i="47"/>
  <c r="Z188" i="47" s="1"/>
  <c r="D188" i="47"/>
  <c r="J188" i="47" s="1"/>
  <c r="R188" i="47" s="1"/>
  <c r="X167" i="47"/>
  <c r="Z167" i="47" s="1"/>
  <c r="D167" i="47"/>
  <c r="J167" i="47" s="1"/>
  <c r="R167" i="47" s="1"/>
  <c r="AE309" i="47"/>
  <c r="AG316" i="47" s="1"/>
  <c r="AP280" i="47"/>
  <c r="AP263" i="47"/>
  <c r="Z249" i="47"/>
  <c r="X253" i="47"/>
  <c r="Z253" i="47" s="1"/>
  <c r="Z221" i="47"/>
  <c r="BI214" i="47"/>
  <c r="AL209" i="47"/>
  <c r="AN301" i="47"/>
  <c r="AP301" i="47" s="1"/>
  <c r="P274" i="47"/>
  <c r="BI228" i="47"/>
  <c r="BI208" i="47"/>
  <c r="Z185" i="47"/>
  <c r="Z177" i="47"/>
  <c r="D174" i="47"/>
  <c r="J174" i="47" s="1"/>
  <c r="X174" i="47"/>
  <c r="F174" i="47"/>
  <c r="AN251" i="47"/>
  <c r="AC82" i="14"/>
  <c r="F181" i="47"/>
  <c r="AP134" i="47"/>
  <c r="X127" i="47"/>
  <c r="Z127" i="47" s="1"/>
  <c r="AI40" i="47"/>
  <c r="R40" i="47"/>
  <c r="BK223" i="47"/>
  <c r="Z157" i="47"/>
  <c r="R125" i="47"/>
  <c r="AI125" i="47"/>
  <c r="AI111" i="47"/>
  <c r="R111" i="47"/>
  <c r="AI106" i="47"/>
  <c r="R106" i="47"/>
  <c r="AI68" i="47"/>
  <c r="R68" i="47"/>
  <c r="Z35" i="47"/>
  <c r="X205" i="47"/>
  <c r="Z205" i="47" s="1"/>
  <c r="X193" i="47"/>
  <c r="Z193" i="47" s="1"/>
  <c r="Z166" i="47"/>
  <c r="AL135" i="47"/>
  <c r="AN135" i="47" s="1"/>
  <c r="AP135" i="47" s="1"/>
  <c r="P110" i="47"/>
  <c r="R110" i="47" s="1"/>
  <c r="X110" i="47"/>
  <c r="Z110" i="47" s="1"/>
  <c r="N114" i="47"/>
  <c r="D107" i="47"/>
  <c r="J107" i="47" s="1"/>
  <c r="X100" i="47"/>
  <c r="Z100" i="47" s="1"/>
  <c r="D100" i="47"/>
  <c r="J100" i="47" s="1"/>
  <c r="P78" i="47"/>
  <c r="R78" i="47" s="1"/>
  <c r="X78" i="47"/>
  <c r="Z78" i="47" s="1"/>
  <c r="AI58" i="47"/>
  <c r="R58" i="47"/>
  <c r="R47" i="47"/>
  <c r="AI47" i="47"/>
  <c r="Z19" i="47"/>
  <c r="X23" i="47"/>
  <c r="Z23" i="47" s="1"/>
  <c r="AL188" i="47"/>
  <c r="P188" i="47"/>
  <c r="X172" i="47"/>
  <c r="Z172" i="47" s="1"/>
  <c r="P172" i="47"/>
  <c r="R172" i="47" s="1"/>
  <c r="R134" i="47"/>
  <c r="AI134" i="47"/>
  <c r="X128" i="47"/>
  <c r="Z128" i="47" s="1"/>
  <c r="D128" i="47"/>
  <c r="J128" i="47" s="1"/>
  <c r="R118" i="47"/>
  <c r="AI118" i="47"/>
  <c r="R104" i="47"/>
  <c r="AI104" i="47"/>
  <c r="X79" i="47"/>
  <c r="D79" i="47"/>
  <c r="J79" i="47" s="1"/>
  <c r="R70" i="47"/>
  <c r="AI70" i="47"/>
  <c r="R61" i="47"/>
  <c r="AI61" i="47"/>
  <c r="AI55" i="47"/>
  <c r="R55" i="47"/>
  <c r="P33" i="47"/>
  <c r="R33" i="47" s="1"/>
  <c r="N37" i="47"/>
  <c r="P37" i="47" s="1"/>
  <c r="R37" i="47" s="1"/>
  <c r="AG79" i="47"/>
  <c r="P118" i="47"/>
  <c r="Z104" i="47"/>
  <c r="Z98" i="47"/>
  <c r="Z82" i="47"/>
  <c r="AG64" i="47"/>
  <c r="AI64" i="47" s="1"/>
  <c r="AN64" i="47"/>
  <c r="AP64" i="47" s="1"/>
  <c r="AP110" i="47"/>
  <c r="P103" i="47"/>
  <c r="R103" i="47" s="1"/>
  <c r="Z92" i="47"/>
  <c r="AG135" i="47"/>
  <c r="Z117" i="47"/>
  <c r="AP76" i="47"/>
  <c r="AE65" i="47"/>
  <c r="AG65" i="47" s="1"/>
  <c r="AN56" i="47"/>
  <c r="AP56" i="47" s="1"/>
  <c r="Z42" i="47"/>
  <c r="AL37" i="47"/>
  <c r="BE205" i="44"/>
  <c r="AX205" i="44"/>
  <c r="BE184" i="44"/>
  <c r="AX184" i="44"/>
  <c r="AY184" i="44" s="1"/>
  <c r="BD184" i="44"/>
  <c r="AX118" i="44"/>
  <c r="BC118" i="44"/>
  <c r="BE118" i="44"/>
  <c r="G87" i="44"/>
  <c r="L249" i="44"/>
  <c r="Q249" i="44"/>
  <c r="Q256" i="44"/>
  <c r="AS249" i="44"/>
  <c r="BD249" i="44"/>
  <c r="BE242" i="44"/>
  <c r="BC242" i="44"/>
  <c r="AX242" i="44"/>
  <c r="BC240" i="44"/>
  <c r="AX240" i="44"/>
  <c r="BE240" i="44"/>
  <c r="AU215" i="44"/>
  <c r="AX215" i="44"/>
  <c r="BE215" i="44"/>
  <c r="AS209" i="44"/>
  <c r="AU216" i="44" s="1"/>
  <c r="Q209" i="44"/>
  <c r="DG53" i="30"/>
  <c r="BE216" i="44"/>
  <c r="AX216" i="44"/>
  <c r="BC216" i="44"/>
  <c r="K219" i="44"/>
  <c r="AC142" i="44"/>
  <c r="AA136" i="44"/>
  <c r="AC135" i="44"/>
  <c r="BC121" i="44"/>
  <c r="AA213" i="44"/>
  <c r="M130" i="44"/>
  <c r="AA207" i="44"/>
  <c r="N124" i="44"/>
  <c r="AA200" i="44"/>
  <c r="N117" i="44"/>
  <c r="AC145" i="44"/>
  <c r="AL153" i="44"/>
  <c r="AL149" i="44"/>
  <c r="AN146" i="44"/>
  <c r="AL145" i="44"/>
  <c r="AN128" i="44"/>
  <c r="AL122" i="44"/>
  <c r="BE121" i="44"/>
  <c r="BC184" i="44"/>
  <c r="D192" i="44"/>
  <c r="D109" i="44"/>
  <c r="F108" i="44"/>
  <c r="K185" i="44"/>
  <c r="AA102" i="44"/>
  <c r="AC101" i="44"/>
  <c r="BC59" i="44"/>
  <c r="AU59" i="44"/>
  <c r="BE59" i="44"/>
  <c r="AT59" i="44"/>
  <c r="G107" i="44"/>
  <c r="AB96" i="44"/>
  <c r="AC95" i="44"/>
  <c r="BC76" i="44"/>
  <c r="L131" i="44"/>
  <c r="O130" i="44"/>
  <c r="AD146" i="44"/>
  <c r="AF139" i="44"/>
  <c r="AD142" i="44"/>
  <c r="AD138" i="44"/>
  <c r="AS69" i="44"/>
  <c r="BD69" i="44" s="1"/>
  <c r="AU61" i="44"/>
  <c r="BE61" i="44"/>
  <c r="AT61" i="44"/>
  <c r="AX61" i="44"/>
  <c r="AY61" i="44" s="1"/>
  <c r="BC61" i="44"/>
  <c r="BD135" i="44"/>
  <c r="O132" i="44"/>
  <c r="AT94" i="44"/>
  <c r="AX94" i="44"/>
  <c r="BE94" i="44"/>
  <c r="AU94" i="44"/>
  <c r="BE93" i="44"/>
  <c r="AX93" i="44"/>
  <c r="BC93" i="44"/>
  <c r="AT93" i="44"/>
  <c r="AU93" i="44"/>
  <c r="AT83" i="44"/>
  <c r="I76" i="44"/>
  <c r="H76" i="44"/>
  <c r="G79" i="44"/>
  <c r="I86" i="44" s="1"/>
  <c r="BC75" i="44"/>
  <c r="AU75" i="44"/>
  <c r="BE75" i="44"/>
  <c r="AT75" i="44"/>
  <c r="AX75" i="44"/>
  <c r="AY75" i="44" s="1"/>
  <c r="AX62" i="44"/>
  <c r="AU62" i="44"/>
  <c r="BE62" i="44"/>
  <c r="AT62" i="44"/>
  <c r="BC46" i="44"/>
  <c r="AU46" i="44"/>
  <c r="BE46" i="44"/>
  <c r="AT46" i="44"/>
  <c r="BD94" i="44"/>
  <c r="AU66" i="44"/>
  <c r="G72" i="44"/>
  <c r="BE256" i="44"/>
  <c r="BC256" i="44"/>
  <c r="AU256" i="44"/>
  <c r="AX256" i="44"/>
  <c r="AY256" i="44" s="1"/>
  <c r="AT256" i="44"/>
  <c r="AS263" i="44"/>
  <c r="BD263" i="44" s="1"/>
  <c r="Q263" i="44"/>
  <c r="K264" i="44"/>
  <c r="AZ251" i="44"/>
  <c r="BA251" i="44" s="1"/>
  <c r="BA250" i="44"/>
  <c r="BA257" i="44"/>
  <c r="AZ258" i="44"/>
  <c r="AY243" i="44"/>
  <c r="BE208" i="44"/>
  <c r="AX208" i="44"/>
  <c r="AU208" i="44"/>
  <c r="O151" i="44"/>
  <c r="AC143" i="44"/>
  <c r="AA144" i="44"/>
  <c r="Q198" i="44"/>
  <c r="K192" i="44"/>
  <c r="AA109" i="44"/>
  <c r="AC108" i="44"/>
  <c r="K137" i="44"/>
  <c r="O136" i="44"/>
  <c r="Q136" i="44"/>
  <c r="K123" i="44"/>
  <c r="Q130" i="44" s="1"/>
  <c r="O122" i="44"/>
  <c r="Q122" i="44"/>
  <c r="K116" i="44"/>
  <c r="Q115" i="44"/>
  <c r="O115" i="44"/>
  <c r="AC149" i="44"/>
  <c r="AA150" i="44"/>
  <c r="BD118" i="44"/>
  <c r="P125" i="44"/>
  <c r="AE110" i="44"/>
  <c r="I137" i="44"/>
  <c r="BC191" i="44"/>
  <c r="F191" i="44"/>
  <c r="BC86" i="44"/>
  <c r="AU86" i="44"/>
  <c r="BE86" i="44"/>
  <c r="AT86" i="44"/>
  <c r="AX68" i="44"/>
  <c r="AY68" i="44" s="1"/>
  <c r="BC68" i="44"/>
  <c r="AU68" i="44"/>
  <c r="BE68" i="44"/>
  <c r="AT68" i="44"/>
  <c r="BC53" i="44"/>
  <c r="AU53" i="44"/>
  <c r="BE53" i="44"/>
  <c r="AT53" i="44"/>
  <c r="I143" i="44"/>
  <c r="G144" i="44"/>
  <c r="I144" i="44" s="1"/>
  <c r="E202" i="44"/>
  <c r="BE60" i="44"/>
  <c r="AT60" i="44"/>
  <c r="BC60" i="44"/>
  <c r="AU60" i="44"/>
  <c r="O129" i="44"/>
  <c r="M146" i="44"/>
  <c r="M138" i="44"/>
  <c r="AS48" i="44"/>
  <c r="Q206" i="44"/>
  <c r="P83" i="44"/>
  <c r="BC67" i="44"/>
  <c r="AU67" i="44"/>
  <c r="BE67" i="44"/>
  <c r="AT67" i="44"/>
  <c r="BC58" i="44"/>
  <c r="AU58" i="44"/>
  <c r="BE58" i="44"/>
  <c r="AT58" i="44"/>
  <c r="AU44" i="44"/>
  <c r="AT38" i="44"/>
  <c r="AU13" i="44"/>
  <c r="BC13" i="44"/>
  <c r="AT13" i="44"/>
  <c r="AX13" i="44"/>
  <c r="AY16" i="44" s="1"/>
  <c r="BE13" i="44"/>
  <c r="BD67" i="44"/>
  <c r="BD59" i="44"/>
  <c r="BC90" i="44"/>
  <c r="AU90" i="44"/>
  <c r="AX90" i="44"/>
  <c r="BE90" i="44"/>
  <c r="AT90" i="44"/>
  <c r="BD86" i="44"/>
  <c r="BC262" i="44"/>
  <c r="BE262" i="44"/>
  <c r="AT262" i="44"/>
  <c r="AX262" i="44"/>
  <c r="AY262" i="44" s="1"/>
  <c r="AU262" i="44"/>
  <c r="AA244" i="44"/>
  <c r="AS237" i="44"/>
  <c r="AT240" i="44" s="1"/>
  <c r="DK55" i="30"/>
  <c r="AY255" i="44"/>
  <c r="AS241" i="44"/>
  <c r="AT242" i="44" s="1"/>
  <c r="L241" i="44"/>
  <c r="Q241" i="44"/>
  <c r="AS202" i="44"/>
  <c r="BD202" i="44" s="1"/>
  <c r="AC202" i="44"/>
  <c r="BE195" i="44"/>
  <c r="AX195" i="44"/>
  <c r="AY195" i="44" s="1"/>
  <c r="AU195" i="44"/>
  <c r="BC195" i="44"/>
  <c r="AT195" i="44"/>
  <c r="F219" i="44"/>
  <c r="F212" i="44"/>
  <c r="Q205" i="44"/>
  <c r="BD205" i="44"/>
  <c r="D199" i="44"/>
  <c r="AS115" i="44"/>
  <c r="F115" i="44"/>
  <c r="D116" i="44"/>
  <c r="BC115" i="44"/>
  <c r="BE191" i="44"/>
  <c r="AX191" i="44"/>
  <c r="AY191" i="44" s="1"/>
  <c r="AU191" i="44"/>
  <c r="AT191" i="44"/>
  <c r="AA185" i="44"/>
  <c r="M102" i="44"/>
  <c r="AO131" i="44"/>
  <c r="AQ138" i="44" s="1"/>
  <c r="AN131" i="44"/>
  <c r="F205" i="44"/>
  <c r="BC205" i="44"/>
  <c r="H118" i="44"/>
  <c r="G121" i="44"/>
  <c r="G122" i="44" s="1"/>
  <c r="G123" i="44" s="1"/>
  <c r="I118" i="44"/>
  <c r="F198" i="44"/>
  <c r="AA152" i="44"/>
  <c r="AC152" i="44" s="1"/>
  <c r="AA160" i="44"/>
  <c r="AA156" i="44"/>
  <c r="AC153" i="44"/>
  <c r="AX135" i="44"/>
  <c r="I150" i="44"/>
  <c r="G151" i="44"/>
  <c r="I151" i="44" s="1"/>
  <c r="K212" i="44"/>
  <c r="AA129" i="44"/>
  <c r="AC128" i="44"/>
  <c r="I125" i="44"/>
  <c r="AS198" i="44"/>
  <c r="BD198" i="44" s="1"/>
  <c r="AA192" i="44"/>
  <c r="M109" i="44"/>
  <c r="O108" i="44"/>
  <c r="AS108" i="44" s="1"/>
  <c r="BD104" i="44"/>
  <c r="O95" i="44"/>
  <c r="L96" i="44"/>
  <c r="P96" i="44" s="1"/>
  <c r="Q95" i="44"/>
  <c r="AU87" i="44"/>
  <c r="BE87" i="44"/>
  <c r="AT87" i="44"/>
  <c r="BC87" i="44"/>
  <c r="AX47" i="44"/>
  <c r="AY47" i="44" s="1"/>
  <c r="BC47" i="44"/>
  <c r="AU47" i="44"/>
  <c r="BE47" i="44"/>
  <c r="AT47" i="44"/>
  <c r="AC115" i="44"/>
  <c r="AS104" i="44"/>
  <c r="G59" i="44"/>
  <c r="I58" i="44"/>
  <c r="AS131" i="44"/>
  <c r="AD136" i="44"/>
  <c r="AF135" i="44"/>
  <c r="AT121" i="44"/>
  <c r="AX121" i="44"/>
  <c r="AY121" i="44" s="1"/>
  <c r="AU121" i="44"/>
  <c r="AD102" i="44"/>
  <c r="AF109" i="44" s="1"/>
  <c r="AF101" i="44"/>
  <c r="I100" i="44"/>
  <c r="G101" i="44"/>
  <c r="D221" i="44"/>
  <c r="F137" i="44"/>
  <c r="Q139" i="44"/>
  <c r="O139" i="44"/>
  <c r="K138" i="44"/>
  <c r="BE79" i="44"/>
  <c r="AT79" i="44"/>
  <c r="BC79" i="44"/>
  <c r="AU79" i="44"/>
  <c r="AT72" i="44"/>
  <c r="BC52" i="44"/>
  <c r="AU52" i="44"/>
  <c r="BE52" i="44"/>
  <c r="AT52" i="44"/>
  <c r="BC37" i="44"/>
  <c r="AU37" i="44"/>
  <c r="BE37" i="44"/>
  <c r="AT37" i="44"/>
  <c r="BD47" i="44"/>
  <c r="G94" i="44"/>
  <c r="I93" i="44"/>
  <c r="AY30" i="44"/>
  <c r="AY27" i="44"/>
  <c r="AY20" i="44"/>
  <c r="AY23" i="44"/>
  <c r="BD262" i="44"/>
  <c r="L248" i="44"/>
  <c r="L250" i="44" s="1"/>
  <c r="K250" i="44" s="1"/>
  <c r="AS248" i="44"/>
  <c r="BD248" i="44" s="1"/>
  <c r="Q248" i="44"/>
  <c r="AZ240" i="44"/>
  <c r="AZ241" i="44" s="1"/>
  <c r="E243" i="44"/>
  <c r="Q255" i="44"/>
  <c r="BD237" i="44"/>
  <c r="F250" i="44"/>
  <c r="D251" i="44"/>
  <c r="L242" i="44"/>
  <c r="L243" i="44" s="1"/>
  <c r="W264" i="44"/>
  <c r="U265" i="44"/>
  <c r="BC208" i="44"/>
  <c r="F202" i="44"/>
  <c r="BC202" i="44"/>
  <c r="BD187" i="44"/>
  <c r="AX187" i="44"/>
  <c r="BE187" i="44"/>
  <c r="AC209" i="44"/>
  <c r="AN138" i="44"/>
  <c r="AS128" i="44"/>
  <c r="BD128" i="44" s="1"/>
  <c r="D206" i="44"/>
  <c r="F122" i="44"/>
  <c r="BC122" i="44"/>
  <c r="AS122" i="44"/>
  <c r="D123" i="44"/>
  <c r="F130" i="44" s="1"/>
  <c r="BD111" i="44"/>
  <c r="AS111" i="44"/>
  <c r="AT118" i="44" s="1"/>
  <c r="K146" i="44"/>
  <c r="AO142" i="44"/>
  <c r="AQ142" i="44" s="1"/>
  <c r="AL143" i="44"/>
  <c r="AN142" i="44"/>
  <c r="AS125" i="44"/>
  <c r="BD125" i="44" s="1"/>
  <c r="BE135" i="44"/>
  <c r="AO135" i="44"/>
  <c r="AQ135" i="44" s="1"/>
  <c r="AL136" i="44"/>
  <c r="AN135" i="44"/>
  <c r="AD130" i="44"/>
  <c r="AF129" i="44"/>
  <c r="E209" i="44"/>
  <c r="Q101" i="44"/>
  <c r="K102" i="44"/>
  <c r="D186" i="44" s="1"/>
  <c r="O101" i="44"/>
  <c r="BE97" i="44"/>
  <c r="AX97" i="44"/>
  <c r="AU97" i="44"/>
  <c r="BC97" i="44"/>
  <c r="AT97" i="44"/>
  <c r="AE124" i="44"/>
  <c r="AF123" i="44"/>
  <c r="F102" i="44"/>
  <c r="BC100" i="44"/>
  <c r="AT100" i="44"/>
  <c r="AX100" i="44"/>
  <c r="AY100" i="44" s="1"/>
  <c r="BE100" i="44"/>
  <c r="AU100" i="44"/>
  <c r="BD87" i="44"/>
  <c r="AX76" i="44"/>
  <c r="AU83" i="44"/>
  <c r="AU76" i="44"/>
  <c r="AT76" i="44"/>
  <c r="K200" i="44"/>
  <c r="AB117" i="44"/>
  <c r="L201" i="44" s="1"/>
  <c r="AC116" i="44"/>
  <c r="AF116" i="44"/>
  <c r="BE54" i="44"/>
  <c r="AT54" i="44"/>
  <c r="AX54" i="44"/>
  <c r="AY54" i="44" s="1"/>
  <c r="BC54" i="44"/>
  <c r="AU54" i="44"/>
  <c r="Q129" i="44"/>
  <c r="AS132" i="44"/>
  <c r="D139" i="44"/>
  <c r="F132" i="44"/>
  <c r="BC132" i="44"/>
  <c r="L110" i="44"/>
  <c r="Q109" i="44"/>
  <c r="O109" i="44"/>
  <c r="D220" i="44"/>
  <c r="D214" i="44"/>
  <c r="E131" i="44"/>
  <c r="E215" i="44" s="1"/>
  <c r="F213" i="44"/>
  <c r="K207" i="44"/>
  <c r="AB124" i="44"/>
  <c r="AC123" i="44"/>
  <c r="G114" i="44"/>
  <c r="BE88" i="44"/>
  <c r="AT88" i="44"/>
  <c r="BC88" i="44"/>
  <c r="AU88" i="44"/>
  <c r="BD79" i="44"/>
  <c r="AO61" i="44"/>
  <c r="AO60" i="44"/>
  <c r="AO59" i="44"/>
  <c r="AO58" i="44"/>
  <c r="I62" i="44"/>
  <c r="H62" i="44"/>
  <c r="G65" i="44"/>
  <c r="AX41" i="44"/>
  <c r="AU41" i="44"/>
  <c r="BE41" i="44"/>
  <c r="AT41" i="44"/>
  <c r="AX34" i="44"/>
  <c r="AU34" i="44"/>
  <c r="AT34" i="44"/>
  <c r="BE34" i="44"/>
  <c r="BD54" i="44"/>
  <c r="BD46" i="44"/>
  <c r="BD61" i="44"/>
  <c r="AX55" i="44"/>
  <c r="AU55" i="44"/>
  <c r="BE55" i="44"/>
  <c r="AT55" i="44"/>
  <c r="BD100" i="44"/>
  <c r="BD76" i="44"/>
  <c r="BD97" i="44"/>
  <c r="I69" i="44"/>
  <c r="CK33" i="30"/>
  <c r="CK16" i="30"/>
  <c r="BR33" i="30"/>
  <c r="BR16" i="30"/>
  <c r="AD33" i="30"/>
  <c r="AD16" i="30"/>
  <c r="CO33" i="30"/>
  <c r="CO16" i="30"/>
  <c r="BZ33" i="30"/>
  <c r="BZ16" i="30"/>
  <c r="BA33" i="30"/>
  <c r="BA16" i="30"/>
  <c r="W33" i="30"/>
  <c r="W16" i="30"/>
  <c r="CG59" i="30"/>
  <c r="AT33" i="30"/>
  <c r="AT16" i="30"/>
  <c r="D30" i="30"/>
  <c r="D35" i="30"/>
  <c r="D19" i="30"/>
  <c r="BF33" i="30"/>
  <c r="BF16" i="30"/>
  <c r="AB33" i="30"/>
  <c r="AB16" i="30"/>
  <c r="C30" i="30"/>
  <c r="C35" i="30"/>
  <c r="C19" i="30"/>
  <c r="CM59" i="30"/>
  <c r="CF59" i="30"/>
  <c r="BQ46" i="30"/>
  <c r="BQ35" i="30"/>
  <c r="BQ30" i="30"/>
  <c r="BQ19" i="30"/>
  <c r="AC46" i="30"/>
  <c r="AC35" i="30"/>
  <c r="AC30" i="30"/>
  <c r="AC19" i="30"/>
  <c r="I46" i="30"/>
  <c r="I35" i="30"/>
  <c r="I30" i="30"/>
  <c r="I19" i="30"/>
  <c r="DB35" i="30"/>
  <c r="DB30" i="30"/>
  <c r="CL33" i="30"/>
  <c r="CL58" i="30" s="1"/>
  <c r="CL16" i="30"/>
  <c r="BW46" i="30"/>
  <c r="BW35" i="30"/>
  <c r="BW30" i="30"/>
  <c r="BW19" i="30"/>
  <c r="AI46" i="30"/>
  <c r="AI35" i="30"/>
  <c r="AI30" i="30"/>
  <c r="AI19" i="30"/>
  <c r="BU33" i="30"/>
  <c r="BU16" i="30"/>
  <c r="AV33" i="30"/>
  <c r="AV16" i="30"/>
  <c r="R33" i="30"/>
  <c r="R16" i="30"/>
  <c r="E30" i="30"/>
  <c r="E19" i="30"/>
  <c r="E35" i="30"/>
  <c r="CF46" i="30"/>
  <c r="CF35" i="30"/>
  <c r="CF60" i="30" s="1"/>
  <c r="CF30" i="30"/>
  <c r="CF19" i="30"/>
  <c r="BL46" i="30"/>
  <c r="BL35" i="30"/>
  <c r="BL30" i="30"/>
  <c r="BL19" i="30"/>
  <c r="AR46" i="30"/>
  <c r="AR35" i="30"/>
  <c r="AR30" i="30"/>
  <c r="AR19" i="30"/>
  <c r="X46" i="30"/>
  <c r="X35" i="30"/>
  <c r="X30" i="30"/>
  <c r="X19" i="30"/>
  <c r="BI35" i="30"/>
  <c r="BI19" i="30"/>
  <c r="AO35" i="30"/>
  <c r="AO19" i="30"/>
  <c r="U35" i="30"/>
  <c r="U30" i="30"/>
  <c r="U19" i="30"/>
  <c r="AN33" i="30"/>
  <c r="AN16" i="30"/>
  <c r="BX33" i="30"/>
  <c r="BX16" i="30"/>
  <c r="AJ33" i="30"/>
  <c r="AJ16" i="30"/>
  <c r="AO46" i="30" s="1"/>
  <c r="CQ35" i="30"/>
  <c r="CQ30" i="30"/>
  <c r="CQ19" i="30"/>
  <c r="AM46" i="30"/>
  <c r="AM35" i="30"/>
  <c r="AM19" i="30"/>
  <c r="AM30" i="30"/>
  <c r="CA46" i="30"/>
  <c r="CA35" i="30"/>
  <c r="CA19" i="30"/>
  <c r="CA30" i="30"/>
  <c r="BM35" i="30"/>
  <c r="BM30" i="30"/>
  <c r="BM19" i="30"/>
  <c r="Y35" i="30"/>
  <c r="Y30" i="30"/>
  <c r="Y19" i="30"/>
  <c r="CK59" i="30"/>
  <c r="D25" i="76"/>
  <c r="H25" i="76" s="1"/>
  <c r="AX33" i="30"/>
  <c r="AX16" i="30"/>
  <c r="K33" i="30"/>
  <c r="K16" i="30"/>
  <c r="CE33" i="30"/>
  <c r="CE58" i="30" s="1"/>
  <c r="CE16" i="30"/>
  <c r="BP33" i="30"/>
  <c r="BP16" i="30"/>
  <c r="AG33" i="30"/>
  <c r="AG16" i="30"/>
  <c r="BN33" i="30"/>
  <c r="BN16" i="30"/>
  <c r="Z33" i="30"/>
  <c r="Z16" i="30"/>
  <c r="J46" i="30"/>
  <c r="J35" i="30"/>
  <c r="J30" i="30"/>
  <c r="J19" i="30"/>
  <c r="AQ33" i="30"/>
  <c r="AQ16" i="30"/>
  <c r="M33" i="30"/>
  <c r="M16" i="30"/>
  <c r="CB33" i="30"/>
  <c r="CG58" i="30" s="1"/>
  <c r="CB16" i="30"/>
  <c r="CM33" i="30"/>
  <c r="CM16" i="30"/>
  <c r="AW46" i="30"/>
  <c r="AW35" i="30"/>
  <c r="AW30" i="30"/>
  <c r="AW19" i="30"/>
  <c r="BC35" i="30"/>
  <c r="BC30" i="30"/>
  <c r="BC19" i="30"/>
  <c r="O46" i="30"/>
  <c r="O35" i="30"/>
  <c r="O30" i="30"/>
  <c r="O19" i="30"/>
  <c r="CJ33" i="30"/>
  <c r="CJ16" i="30"/>
  <c r="BK33" i="30"/>
  <c r="BK16" i="30"/>
  <c r="AL33" i="30"/>
  <c r="AL16" i="30"/>
  <c r="H33" i="30"/>
  <c r="H16" i="30"/>
  <c r="CP46" i="30"/>
  <c r="C35" i="76" s="1"/>
  <c r="CP35" i="30"/>
  <c r="C26" i="76" s="1"/>
  <c r="CP19" i="30"/>
  <c r="CP30" i="30"/>
  <c r="BV46" i="30"/>
  <c r="R35" i="76" s="1"/>
  <c r="Z35" i="76" s="1"/>
  <c r="BV35" i="30"/>
  <c r="R26" i="76" s="1"/>
  <c r="Z26" i="76" s="1"/>
  <c r="BV19" i="30"/>
  <c r="BV30" i="30"/>
  <c r="BB46" i="30"/>
  <c r="BB35" i="30"/>
  <c r="BB19" i="30"/>
  <c r="BB30" i="30"/>
  <c r="AH46" i="30"/>
  <c r="AH35" i="30"/>
  <c r="AH19" i="30"/>
  <c r="AH30" i="30"/>
  <c r="N46" i="30"/>
  <c r="N35" i="30"/>
  <c r="N30" i="30"/>
  <c r="N19" i="30"/>
  <c r="BS35" i="30"/>
  <c r="BS30" i="30"/>
  <c r="BS19" i="30"/>
  <c r="AY46" i="30"/>
  <c r="AY35" i="30"/>
  <c r="AY19" i="30"/>
  <c r="AE35" i="30"/>
  <c r="AE30" i="30"/>
  <c r="AE19" i="30"/>
  <c r="F35" i="30"/>
  <c r="F30" i="30"/>
  <c r="F19" i="30"/>
  <c r="DC33" i="30"/>
  <c r="DC16" i="30"/>
  <c r="CH33" i="30"/>
  <c r="CH58" i="30" s="1"/>
  <c r="CH16" i="30"/>
  <c r="BH33" i="30"/>
  <c r="BH16" i="30"/>
  <c r="BM46" i="30" s="1"/>
  <c r="T33" i="30"/>
  <c r="T16" i="30"/>
  <c r="BD33" i="30"/>
  <c r="BD16" i="30"/>
  <c r="P33" i="30"/>
  <c r="P16" i="30"/>
  <c r="U46" i="30" s="1"/>
  <c r="CC33" i="30"/>
  <c r="CC16" i="30"/>
  <c r="H34" i="76"/>
  <c r="CG46" i="30"/>
  <c r="CG35" i="30"/>
  <c r="CG30" i="30"/>
  <c r="CG19" i="30"/>
  <c r="BG46" i="30"/>
  <c r="BG35" i="30"/>
  <c r="BG19" i="30"/>
  <c r="BG30" i="30"/>
  <c r="S46" i="30"/>
  <c r="S35" i="30"/>
  <c r="S30" i="30"/>
  <c r="S19" i="30"/>
  <c r="AS46" i="30"/>
  <c r="AS35" i="30"/>
  <c r="AS30" i="30"/>
  <c r="AS19" i="30"/>
  <c r="O146" i="83"/>
  <c r="O104" i="83"/>
  <c r="O148" i="83" s="1"/>
  <c r="N146" i="83"/>
  <c r="N104" i="83"/>
  <c r="N148" i="83" s="1"/>
  <c r="M146" i="83"/>
  <c r="M104" i="83"/>
  <c r="M148" i="83" s="1"/>
  <c r="F21" i="76"/>
  <c r="J21" i="76" s="1"/>
  <c r="H21" i="76"/>
  <c r="I21" i="76"/>
  <c r="R16" i="76"/>
  <c r="Z16" i="76" s="1"/>
  <c r="D16" i="76"/>
  <c r="C16" i="76"/>
  <c r="J190" i="89"/>
  <c r="F14" i="76"/>
  <c r="R236" i="45" l="1"/>
  <c r="T236" i="45"/>
  <c r="BK504" i="47"/>
  <c r="BI205" i="40"/>
  <c r="BG205" i="40"/>
  <c r="AH236" i="45"/>
  <c r="DN10" i="36"/>
  <c r="F208" i="40"/>
  <c r="DP10" i="36" s="1"/>
  <c r="AW236" i="45"/>
  <c r="AJ236" i="45"/>
  <c r="AD12" i="14"/>
  <c r="AD13" i="14" s="1"/>
  <c r="AD209" i="14"/>
  <c r="AD210" i="14" s="1"/>
  <c r="BR232" i="45"/>
  <c r="BO232" i="45"/>
  <c r="BA204" i="40"/>
  <c r="BC204" i="40"/>
  <c r="BT232" i="45"/>
  <c r="AH232" i="45"/>
  <c r="BD204" i="40"/>
  <c r="BQ232" i="45"/>
  <c r="BU232" i="45" s="1"/>
  <c r="BW232" i="45"/>
  <c r="BB204" i="40"/>
  <c r="BP232" i="45"/>
  <c r="AC31" i="8"/>
  <c r="BG54" i="3"/>
  <c r="BG63" i="3"/>
  <c r="AC24" i="8"/>
  <c r="AC23" i="8"/>
  <c r="AC27" i="8"/>
  <c r="AC21" i="8"/>
  <c r="F204" i="2"/>
  <c r="T202" i="2"/>
  <c r="AC12" i="8"/>
  <c r="AG61" i="8"/>
  <c r="I5" i="89"/>
  <c r="H7" i="89"/>
  <c r="I9" i="89"/>
  <c r="H87" i="89"/>
  <c r="H88" i="89" s="1"/>
  <c r="N96" i="89"/>
  <c r="R91" i="89"/>
  <c r="Q127" i="89"/>
  <c r="W45" i="89"/>
  <c r="V115" i="89"/>
  <c r="V116" i="89"/>
  <c r="V113" i="89"/>
  <c r="V114" i="89"/>
  <c r="W117" i="89"/>
  <c r="V118" i="89"/>
  <c r="S124" i="89"/>
  <c r="T88" i="89"/>
  <c r="Q93" i="89"/>
  <c r="P94" i="89"/>
  <c r="H122" i="89"/>
  <c r="I121" i="89"/>
  <c r="R126" i="89"/>
  <c r="S90" i="89"/>
  <c r="O126" i="89"/>
  <c r="P125" i="89"/>
  <c r="O91" i="89"/>
  <c r="J187" i="89"/>
  <c r="J74" i="89"/>
  <c r="J110" i="89" s="1"/>
  <c r="J147" i="89" s="1"/>
  <c r="J8" i="89"/>
  <c r="I97" i="89"/>
  <c r="R92" i="89"/>
  <c r="Q128" i="89"/>
  <c r="J127" i="89"/>
  <c r="K126" i="89"/>
  <c r="J92" i="89"/>
  <c r="V85" i="89"/>
  <c r="U121" i="89"/>
  <c r="R125" i="89"/>
  <c r="S89" i="89"/>
  <c r="S123" i="89"/>
  <c r="T87" i="89"/>
  <c r="K95" i="89"/>
  <c r="B140" i="89"/>
  <c r="C140" i="89"/>
  <c r="T122" i="89"/>
  <c r="U86" i="89"/>
  <c r="V84" i="89"/>
  <c r="U120" i="89"/>
  <c r="M127" i="89"/>
  <c r="N126" i="89"/>
  <c r="M92" i="89"/>
  <c r="L128" i="89"/>
  <c r="L93" i="89"/>
  <c r="V119" i="89"/>
  <c r="W83" i="89"/>
  <c r="W119" i="89" s="1"/>
  <c r="R6" i="31"/>
  <c r="AH7" i="35"/>
  <c r="CZ29" i="35"/>
  <c r="CR29" i="35"/>
  <c r="DD29" i="35"/>
  <c r="DD28" i="35"/>
  <c r="CZ28" i="35"/>
  <c r="CV28" i="35"/>
  <c r="CR28" i="35"/>
  <c r="CZ31" i="35"/>
  <c r="CR31" i="35"/>
  <c r="DD31" i="35"/>
  <c r="J64" i="32"/>
  <c r="J66" i="32" s="1"/>
  <c r="I9" i="3"/>
  <c r="I15" i="3" s="1"/>
  <c r="I21" i="3" s="1"/>
  <c r="I55" i="3" s="1"/>
  <c r="I56" i="3" s="1"/>
  <c r="BO43" i="3"/>
  <c r="AW83" i="3"/>
  <c r="AU84" i="3"/>
  <c r="BO33" i="3"/>
  <c r="BN49" i="32" s="1"/>
  <c r="BN59" i="32" s="1"/>
  <c r="BM38" i="3"/>
  <c r="BQ28" i="3"/>
  <c r="BP50" i="32" s="1"/>
  <c r="BK68" i="3"/>
  <c r="Q49" i="8"/>
  <c r="Q50" i="8" s="1"/>
  <c r="Q47" i="8"/>
  <c r="C41" i="8"/>
  <c r="C46" i="8"/>
  <c r="C44" i="8"/>
  <c r="K41" i="8"/>
  <c r="K46" i="8"/>
  <c r="K44" i="8"/>
  <c r="R49" i="8"/>
  <c r="R50" i="8" s="1"/>
  <c r="R47" i="8"/>
  <c r="L47" i="8"/>
  <c r="L49" i="8"/>
  <c r="W41" i="8"/>
  <c r="W46" i="8"/>
  <c r="W44" i="8"/>
  <c r="AJ40" i="8"/>
  <c r="H47" i="8"/>
  <c r="H49" i="8"/>
  <c r="AA41" i="8"/>
  <c r="AA46" i="8"/>
  <c r="AA44" i="8"/>
  <c r="N49" i="8"/>
  <c r="N47" i="8"/>
  <c r="J49" i="8"/>
  <c r="J47" i="8"/>
  <c r="Z41" i="8"/>
  <c r="Z46" i="8"/>
  <c r="Z44" i="8"/>
  <c r="F49" i="8"/>
  <c r="F47" i="8"/>
  <c r="T46" i="8"/>
  <c r="T41" i="8"/>
  <c r="T44" i="8"/>
  <c r="X66" i="8"/>
  <c r="Y63" i="8"/>
  <c r="U49" i="8"/>
  <c r="U47" i="8"/>
  <c r="E49" i="8"/>
  <c r="E50" i="8" s="1"/>
  <c r="E47" i="8"/>
  <c r="G41" i="8"/>
  <c r="G46" i="8"/>
  <c r="G44" i="8"/>
  <c r="Y49" i="8"/>
  <c r="Y47" i="8"/>
  <c r="X46" i="8"/>
  <c r="X41" i="8"/>
  <c r="X44" i="8"/>
  <c r="I49" i="8"/>
  <c r="I50" i="8" s="1"/>
  <c r="I47" i="8"/>
  <c r="S41" i="8"/>
  <c r="S46" i="8"/>
  <c r="S44" i="8"/>
  <c r="V49" i="8"/>
  <c r="V50" i="8" s="1"/>
  <c r="V47" i="8"/>
  <c r="D47" i="8"/>
  <c r="D49" i="8"/>
  <c r="AG34" i="8"/>
  <c r="O41" i="8"/>
  <c r="O46" i="8"/>
  <c r="O44" i="8"/>
  <c r="AB46" i="8"/>
  <c r="AB41" i="8"/>
  <c r="AB44" i="8"/>
  <c r="M49" i="8"/>
  <c r="M50" i="8" s="1"/>
  <c r="M47" i="8"/>
  <c r="AA225" i="14"/>
  <c r="AA216" i="14"/>
  <c r="AA219" i="14"/>
  <c r="AA220" i="14" s="1"/>
  <c r="J180" i="14"/>
  <c r="J191" i="14"/>
  <c r="G183" i="14"/>
  <c r="V21" i="14"/>
  <c r="V24" i="14"/>
  <c r="V25" i="14" s="1"/>
  <c r="M37" i="14"/>
  <c r="N37" i="14"/>
  <c r="X148" i="14"/>
  <c r="X164" i="14" s="1"/>
  <c r="X156" i="14"/>
  <c r="S356" i="14"/>
  <c r="S358" i="14" s="1"/>
  <c r="R371" i="14"/>
  <c r="R372" i="14" s="1"/>
  <c r="I37" i="14"/>
  <c r="J37" i="14"/>
  <c r="D252" i="14"/>
  <c r="D60" i="14"/>
  <c r="D62" i="14" s="1"/>
  <c r="T375" i="14"/>
  <c r="U375" i="14"/>
  <c r="K290" i="14"/>
  <c r="O351" i="14"/>
  <c r="O283" i="14"/>
  <c r="O207" i="14"/>
  <c r="O245" i="14"/>
  <c r="O170" i="14"/>
  <c r="O132" i="14"/>
  <c r="O94" i="14"/>
  <c r="O55" i="14"/>
  <c r="P5" i="14"/>
  <c r="AB212" i="14"/>
  <c r="AB214" i="14" s="1"/>
  <c r="AA217" i="14"/>
  <c r="AB215" i="14"/>
  <c r="DS56" i="30"/>
  <c r="F182" i="14"/>
  <c r="F183" i="14" s="1"/>
  <c r="F179" i="14"/>
  <c r="K291" i="14"/>
  <c r="I293" i="14"/>
  <c r="I302" i="14"/>
  <c r="I137" i="14"/>
  <c r="I139" i="14" s="1"/>
  <c r="X375" i="14"/>
  <c r="Y375" i="14"/>
  <c r="G179" i="14"/>
  <c r="U37" i="14"/>
  <c r="V37" i="14"/>
  <c r="D182" i="14"/>
  <c r="D183" i="14" s="1"/>
  <c r="D179" i="14"/>
  <c r="Q37" i="14"/>
  <c r="R37" i="14"/>
  <c r="N292" i="14"/>
  <c r="N305" i="14" s="1"/>
  <c r="X292" i="14"/>
  <c r="X305" i="14" s="1"/>
  <c r="Z222" i="14"/>
  <c r="Z226" i="14"/>
  <c r="Z109" i="14"/>
  <c r="Z113" i="14"/>
  <c r="AA112" i="14"/>
  <c r="H182" i="14"/>
  <c r="H183" i="14" s="1"/>
  <c r="H179" i="14"/>
  <c r="H307" i="14"/>
  <c r="H315" i="14"/>
  <c r="H318" i="14" s="1"/>
  <c r="H313" i="14"/>
  <c r="H327" i="14"/>
  <c r="H328" i="14" s="1"/>
  <c r="H345" i="14" s="1"/>
  <c r="H311" i="14"/>
  <c r="H312" i="14"/>
  <c r="I179" i="14"/>
  <c r="X17" i="14"/>
  <c r="X19" i="14" s="1"/>
  <c r="W22" i="14"/>
  <c r="W20" i="14"/>
  <c r="W33" i="14"/>
  <c r="W34" i="14" s="1"/>
  <c r="J182" i="14"/>
  <c r="J183" i="14" s="1"/>
  <c r="J179" i="14"/>
  <c r="Y110" i="14"/>
  <c r="Y126" i="14" s="1"/>
  <c r="Y118" i="14"/>
  <c r="Y151" i="14"/>
  <c r="Z150" i="14"/>
  <c r="Y147" i="14"/>
  <c r="F351" i="14"/>
  <c r="F283" i="14"/>
  <c r="F207" i="14"/>
  <c r="F245" i="14"/>
  <c r="F170" i="14"/>
  <c r="F132" i="14"/>
  <c r="F55" i="14"/>
  <c r="F94" i="14"/>
  <c r="G5" i="14"/>
  <c r="C33" i="14"/>
  <c r="C34" i="14" s="1"/>
  <c r="D17" i="14"/>
  <c r="C22" i="14"/>
  <c r="C20" i="14"/>
  <c r="J104" i="14"/>
  <c r="J102" i="14"/>
  <c r="J103" i="14" s="1"/>
  <c r="AI102" i="36"/>
  <c r="AN82" i="36"/>
  <c r="AI82" i="36"/>
  <c r="BF142" i="36"/>
  <c r="AB82" i="36"/>
  <c r="W82" i="36"/>
  <c r="BP82" i="36"/>
  <c r="BK82" i="36"/>
  <c r="BK102" i="36"/>
  <c r="BZ150" i="36"/>
  <c r="BZ130" i="36"/>
  <c r="BZ140" i="36"/>
  <c r="CI82" i="36"/>
  <c r="CN82" i="36"/>
  <c r="DG82" i="36"/>
  <c r="DG102" i="36"/>
  <c r="AL128" i="36"/>
  <c r="AL113" i="36"/>
  <c r="AQ113" i="36" s="1"/>
  <c r="AL138" i="36"/>
  <c r="AQ108" i="36"/>
  <c r="AL114" i="36"/>
  <c r="AQ114" i="36" s="1"/>
  <c r="BN138" i="36"/>
  <c r="BN128" i="36"/>
  <c r="BN114" i="36"/>
  <c r="BN112" i="36"/>
  <c r="BS108" i="36"/>
  <c r="BN113" i="36"/>
  <c r="AE98" i="36"/>
  <c r="AE78" i="36"/>
  <c r="AD82" i="36"/>
  <c r="AD108" i="36"/>
  <c r="AD84" i="36"/>
  <c r="AD83" i="36"/>
  <c r="AJ78" i="36"/>
  <c r="P50" i="36"/>
  <c r="K50" i="36"/>
  <c r="J80" i="36"/>
  <c r="J52" i="36"/>
  <c r="J54" i="36"/>
  <c r="W84" i="36"/>
  <c r="AB84" i="36"/>
  <c r="BV159" i="36"/>
  <c r="BD123" i="45"/>
  <c r="BG123" i="45"/>
  <c r="CX216" i="36"/>
  <c r="DB206" i="36"/>
  <c r="CA28" i="30"/>
  <c r="AL111" i="36"/>
  <c r="AM81" i="36"/>
  <c r="AR81" i="36"/>
  <c r="AM101" i="36"/>
  <c r="AN81" i="36"/>
  <c r="DB158" i="36"/>
  <c r="N128" i="36"/>
  <c r="N113" i="36"/>
  <c r="N112" i="36"/>
  <c r="BZ108" i="36"/>
  <c r="CF78" i="36"/>
  <c r="BZ83" i="36"/>
  <c r="BZ82" i="36"/>
  <c r="CA78" i="36"/>
  <c r="BZ84" i="36"/>
  <c r="CB78" i="36"/>
  <c r="CA98" i="36"/>
  <c r="AN54" i="36"/>
  <c r="AI54" i="36"/>
  <c r="CD161" i="36"/>
  <c r="BL82" i="36"/>
  <c r="CX148" i="36"/>
  <c r="CX138" i="36"/>
  <c r="DC108" i="36"/>
  <c r="CX128" i="36"/>
  <c r="CX113" i="36"/>
  <c r="CX114" i="36"/>
  <c r="CX112" i="36"/>
  <c r="BG130" i="36"/>
  <c r="BB140" i="36"/>
  <c r="BG140" i="36" s="1"/>
  <c r="AT124" i="40"/>
  <c r="V130" i="36"/>
  <c r="AA110" i="36"/>
  <c r="DJ149" i="36"/>
  <c r="DJ129" i="36"/>
  <c r="DJ134" i="36" s="1"/>
  <c r="DJ139" i="36"/>
  <c r="CP161" i="36"/>
  <c r="CU161" i="36" s="1"/>
  <c r="CU151" i="36"/>
  <c r="DB109" i="36"/>
  <c r="DC79" i="36"/>
  <c r="DC99" i="36"/>
  <c r="DB83" i="36"/>
  <c r="DH79" i="36"/>
  <c r="DB82" i="36"/>
  <c r="DB84" i="36"/>
  <c r="DD54" i="36"/>
  <c r="X54" i="36"/>
  <c r="S54" i="36"/>
  <c r="BK83" i="36"/>
  <c r="BP83" i="36"/>
  <c r="BK103" i="36"/>
  <c r="N139" i="36"/>
  <c r="AX114" i="36"/>
  <c r="BC114" i="36" s="1"/>
  <c r="BS82" i="36"/>
  <c r="BX82" i="36"/>
  <c r="BS102" i="36"/>
  <c r="CV83" i="36"/>
  <c r="CQ83" i="36"/>
  <c r="CQ103" i="36"/>
  <c r="CN83" i="36"/>
  <c r="CI83" i="36"/>
  <c r="CX218" i="36"/>
  <c r="DB208" i="36"/>
  <c r="CC28" i="30"/>
  <c r="CT209" i="36"/>
  <c r="CX209" i="36" s="1"/>
  <c r="DB209" i="36" s="1"/>
  <c r="DF209" i="36" s="1"/>
  <c r="DJ209" i="36" s="1"/>
  <c r="CU140" i="36"/>
  <c r="AH140" i="36"/>
  <c r="AH130" i="36"/>
  <c r="AM130" i="36" s="1"/>
  <c r="AM110" i="36"/>
  <c r="CD110" i="36"/>
  <c r="CE80" i="36"/>
  <c r="CJ80" i="36"/>
  <c r="CE100" i="36"/>
  <c r="BO131" i="36"/>
  <c r="CP159" i="36"/>
  <c r="CU149" i="36"/>
  <c r="DF159" i="36"/>
  <c r="CU43" i="36"/>
  <c r="CY43" i="36"/>
  <c r="BX15" i="30"/>
  <c r="CA99" i="36"/>
  <c r="CF79" i="36"/>
  <c r="BZ109" i="36"/>
  <c r="CA79" i="36"/>
  <c r="CB79" i="36"/>
  <c r="AH83" i="36"/>
  <c r="AH138" i="36"/>
  <c r="AH128" i="36"/>
  <c r="AM108" i="36"/>
  <c r="T24" i="36"/>
  <c r="CZ82" i="36"/>
  <c r="CU82" i="36"/>
  <c r="CU102" i="36"/>
  <c r="CT138" i="36"/>
  <c r="CT114" i="36"/>
  <c r="CT112" i="36"/>
  <c r="CT128" i="36"/>
  <c r="CT113" i="36"/>
  <c r="CY108" i="36"/>
  <c r="CT148" i="36"/>
  <c r="AA103" i="36"/>
  <c r="AF83" i="36"/>
  <c r="AA83" i="36"/>
  <c r="CN52" i="36"/>
  <c r="CI52" i="36"/>
  <c r="BC184" i="45"/>
  <c r="AU138" i="36"/>
  <c r="AP143" i="36"/>
  <c r="DJ114" i="36"/>
  <c r="F134" i="36"/>
  <c r="F133" i="36"/>
  <c r="BZ141" i="36"/>
  <c r="CE141" i="36" s="1"/>
  <c r="BZ131" i="36"/>
  <c r="CE131" i="36" s="1"/>
  <c r="CE111" i="36"/>
  <c r="DO169" i="36"/>
  <c r="CF54" i="36"/>
  <c r="CA54" i="36"/>
  <c r="AT134" i="36"/>
  <c r="AT133" i="36"/>
  <c r="AY128" i="36"/>
  <c r="BK140" i="36"/>
  <c r="CL141" i="36"/>
  <c r="CQ141" i="36" s="1"/>
  <c r="CL151" i="36"/>
  <c r="CL131" i="36"/>
  <c r="CQ131" i="36" s="1"/>
  <c r="CQ111" i="36"/>
  <c r="BD116" i="45"/>
  <c r="BG116" i="45"/>
  <c r="CQ140" i="36"/>
  <c r="Z129" i="36"/>
  <c r="AE109" i="36"/>
  <c r="BS130" i="36"/>
  <c r="CY82" i="36"/>
  <c r="DD82" i="36"/>
  <c r="CY102" i="36"/>
  <c r="O54" i="36"/>
  <c r="T54" i="36"/>
  <c r="BS43" i="36"/>
  <c r="AO15" i="30"/>
  <c r="AO30" i="30" s="1"/>
  <c r="AO40" i="30" s="1"/>
  <c r="BG80" i="45"/>
  <c r="BD80" i="45"/>
  <c r="CF24" i="36"/>
  <c r="BV143" i="36"/>
  <c r="DB217" i="36"/>
  <c r="DF207" i="36"/>
  <c r="CG28" i="30"/>
  <c r="J129" i="36"/>
  <c r="O109" i="36"/>
  <c r="J131" i="36"/>
  <c r="O111" i="36"/>
  <c r="CH151" i="36"/>
  <c r="CH141" i="36"/>
  <c r="CH131" i="36"/>
  <c r="CM131" i="36" s="1"/>
  <c r="CM111" i="36"/>
  <c r="BC128" i="36"/>
  <c r="BX84" i="36"/>
  <c r="BS84" i="36"/>
  <c r="BS104" i="36"/>
  <c r="CR84" i="36"/>
  <c r="CM84" i="36"/>
  <c r="CQ84" i="36"/>
  <c r="CV84" i="36"/>
  <c r="CQ104" i="36"/>
  <c r="R141" i="36"/>
  <c r="AM102" i="36"/>
  <c r="AR82" i="36"/>
  <c r="AM82" i="36"/>
  <c r="BT82" i="36"/>
  <c r="BO82" i="36"/>
  <c r="BO102" i="36"/>
  <c r="BO141" i="36"/>
  <c r="AJ52" i="36"/>
  <c r="AE52" i="36"/>
  <c r="BC60" i="45"/>
  <c r="CH149" i="36"/>
  <c r="CH129" i="36"/>
  <c r="CM109" i="36"/>
  <c r="CH139" i="36"/>
  <c r="CM139" i="36" s="1"/>
  <c r="AF78" i="36"/>
  <c r="CJ83" i="36"/>
  <c r="CE83" i="36"/>
  <c r="CE103" i="36"/>
  <c r="AD130" i="36"/>
  <c r="AI110" i="36"/>
  <c r="AD140" i="36"/>
  <c r="AI140" i="36" s="1"/>
  <c r="AV52" i="36"/>
  <c r="AQ52" i="36"/>
  <c r="BC81" i="45"/>
  <c r="CA43" i="36"/>
  <c r="AY15" i="30"/>
  <c r="AY30" i="30" s="1"/>
  <c r="BW43" i="36"/>
  <c r="AT15" i="30"/>
  <c r="CL160" i="36"/>
  <c r="CQ150" i="36"/>
  <c r="CY84" i="36"/>
  <c r="DD84" i="36" s="1"/>
  <c r="CY104" i="36"/>
  <c r="CH110" i="36"/>
  <c r="CI100" i="36"/>
  <c r="CN80" i="36"/>
  <c r="CI80" i="36"/>
  <c r="BG141" i="45"/>
  <c r="CE43" i="36"/>
  <c r="BD15" i="30"/>
  <c r="BD30" i="30" s="1"/>
  <c r="CU131" i="36"/>
  <c r="P34" i="36"/>
  <c r="K34" i="36"/>
  <c r="Z130" i="36"/>
  <c r="AE110" i="36"/>
  <c r="BF141" i="36"/>
  <c r="BK141" i="36" s="1"/>
  <c r="BF131" i="36"/>
  <c r="BK131" i="36" s="1"/>
  <c r="BK111" i="36"/>
  <c r="S131" i="36"/>
  <c r="N141" i="36"/>
  <c r="S141" i="36" s="1"/>
  <c r="R108" i="36"/>
  <c r="S98" i="36"/>
  <c r="R83" i="36"/>
  <c r="S83" i="36" s="1"/>
  <c r="S78" i="36"/>
  <c r="R84" i="36"/>
  <c r="S84" i="36" s="1"/>
  <c r="R82" i="36"/>
  <c r="S82" i="36" s="1"/>
  <c r="BJ138" i="36"/>
  <c r="BJ113" i="36"/>
  <c r="BO113" i="36" s="1"/>
  <c r="BO108" i="36"/>
  <c r="BJ128" i="36"/>
  <c r="BJ114" i="36"/>
  <c r="BO114" i="36" s="1"/>
  <c r="BJ112" i="36"/>
  <c r="BC138" i="36"/>
  <c r="AX143" i="36"/>
  <c r="BX83" i="36"/>
  <c r="BS83" i="36"/>
  <c r="BS103" i="36"/>
  <c r="CM82" i="36"/>
  <c r="CR82" i="36"/>
  <c r="AL140" i="36"/>
  <c r="AQ140" i="36" s="1"/>
  <c r="E47" i="30" s="1"/>
  <c r="AL130" i="36"/>
  <c r="AQ110" i="36"/>
  <c r="DK150" i="36"/>
  <c r="DF160" i="36"/>
  <c r="DK160" i="36" s="1"/>
  <c r="CH84" i="36"/>
  <c r="AX139" i="36"/>
  <c r="BC139" i="36" s="1"/>
  <c r="AX129" i="36"/>
  <c r="BC129" i="36" s="1"/>
  <c r="BC109" i="36"/>
  <c r="DG84" i="36"/>
  <c r="DL84" i="36" s="1"/>
  <c r="DG104" i="36"/>
  <c r="DF128" i="36"/>
  <c r="DK108" i="36"/>
  <c r="DF138" i="36"/>
  <c r="DF113" i="36"/>
  <c r="DF114" i="36"/>
  <c r="DF112" i="36"/>
  <c r="DF148" i="36"/>
  <c r="BC140" i="36"/>
  <c r="AM104" i="36"/>
  <c r="AR84" i="36"/>
  <c r="AM84" i="36"/>
  <c r="BT83" i="36"/>
  <c r="BO83" i="36"/>
  <c r="BO103" i="36"/>
  <c r="CM104" i="36"/>
  <c r="CP160" i="36"/>
  <c r="CU160" i="36" s="1"/>
  <c r="CU150" i="36"/>
  <c r="DK109" i="36"/>
  <c r="D114" i="36"/>
  <c r="D113" i="36"/>
  <c r="D112" i="36"/>
  <c r="AH84" i="36"/>
  <c r="AE54" i="36"/>
  <c r="AJ54" i="36"/>
  <c r="AF54" i="36"/>
  <c r="DB151" i="36"/>
  <c r="DG111" i="36"/>
  <c r="DB131" i="36"/>
  <c r="DB141" i="36"/>
  <c r="DC111" i="36"/>
  <c r="BG130" i="45"/>
  <c r="BD130" i="45"/>
  <c r="CZ83" i="36"/>
  <c r="CU83" i="36"/>
  <c r="CU103" i="36"/>
  <c r="CU84" i="36"/>
  <c r="CZ84" i="36"/>
  <c r="CU104" i="36"/>
  <c r="R110" i="36"/>
  <c r="S100" i="36"/>
  <c r="S80" i="36"/>
  <c r="CJ84" i="36"/>
  <c r="CE84" i="36"/>
  <c r="CE104" i="36"/>
  <c r="V128" i="36"/>
  <c r="AA108" i="36"/>
  <c r="BV140" i="36"/>
  <c r="BV144" i="36" s="1"/>
  <c r="BV130" i="36"/>
  <c r="CA130" i="36" s="1"/>
  <c r="CA110" i="36"/>
  <c r="CI54" i="36"/>
  <c r="CN54" i="36"/>
  <c r="DJ113" i="36"/>
  <c r="DJ144" i="36"/>
  <c r="DJ143" i="36"/>
  <c r="BK113" i="36"/>
  <c r="BK138" i="36"/>
  <c r="BF144" i="36"/>
  <c r="BF143" i="36"/>
  <c r="BZ161" i="36"/>
  <c r="CE151" i="36"/>
  <c r="DB140" i="36"/>
  <c r="DG140" i="36" s="1"/>
  <c r="DB150" i="36"/>
  <c r="DB130" i="36"/>
  <c r="DG110" i="36"/>
  <c r="DN180" i="36"/>
  <c r="DN174" i="36"/>
  <c r="DK34" i="36"/>
  <c r="DL34" i="36"/>
  <c r="BG73" i="45"/>
  <c r="BD73" i="45"/>
  <c r="BG95" i="45"/>
  <c r="BD95" i="45"/>
  <c r="BO43" i="36"/>
  <c r="AJ15" i="30"/>
  <c r="AX95" i="45"/>
  <c r="AX88" i="45"/>
  <c r="Z131" i="36"/>
  <c r="AE111" i="36"/>
  <c r="CT149" i="36"/>
  <c r="CT139" i="36"/>
  <c r="CY109" i="36"/>
  <c r="CT129" i="36"/>
  <c r="CY129" i="36" s="1"/>
  <c r="V131" i="36"/>
  <c r="W131" i="36" s="1"/>
  <c r="AA111" i="36"/>
  <c r="BG114" i="36"/>
  <c r="BG138" i="36"/>
  <c r="BB144" i="36"/>
  <c r="BB143" i="36"/>
  <c r="DF151" i="36"/>
  <c r="DF141" i="36"/>
  <c r="DF131" i="36"/>
  <c r="CI141" i="36"/>
  <c r="BG111" i="36"/>
  <c r="BL83" i="36"/>
  <c r="BR149" i="36"/>
  <c r="BR139" i="36"/>
  <c r="BW139" i="36" s="1"/>
  <c r="BR129" i="36"/>
  <c r="BW129" i="36" s="1"/>
  <c r="BW109" i="36"/>
  <c r="AI52" i="36"/>
  <c r="AN52" i="36"/>
  <c r="BC67" i="45"/>
  <c r="BD67" i="45" s="1"/>
  <c r="AY139" i="36"/>
  <c r="CI103" i="36"/>
  <c r="BG74" i="45"/>
  <c r="BD74" i="45"/>
  <c r="DJ81" i="36"/>
  <c r="DK51" i="36"/>
  <c r="DL51" i="36"/>
  <c r="DJ52" i="36"/>
  <c r="CI43" i="36"/>
  <c r="BI15" i="30"/>
  <c r="BI30" i="30" s="1"/>
  <c r="BI48" i="30" s="1"/>
  <c r="S52" i="36"/>
  <c r="X52" i="36"/>
  <c r="CX149" i="36"/>
  <c r="CX139" i="36"/>
  <c r="CX129" i="36"/>
  <c r="DC109" i="36"/>
  <c r="DC131" i="36"/>
  <c r="DG131" i="36" s="1"/>
  <c r="DK131" i="36" s="1"/>
  <c r="Z128" i="36"/>
  <c r="Z114" i="36"/>
  <c r="Z112" i="36"/>
  <c r="AE108" i="36"/>
  <c r="Z113" i="36"/>
  <c r="AB83" i="36"/>
  <c r="W83" i="36"/>
  <c r="AD141" i="36"/>
  <c r="AI141" i="36" s="1"/>
  <c r="AD131" i="36"/>
  <c r="AI131" i="36" s="1"/>
  <c r="AI111" i="36"/>
  <c r="BO139" i="36"/>
  <c r="CL149" i="36"/>
  <c r="CQ109" i="36"/>
  <c r="CL139" i="36"/>
  <c r="CQ139" i="36" s="1"/>
  <c r="CL129" i="36"/>
  <c r="CQ129" i="36" s="1"/>
  <c r="CI102" i="36"/>
  <c r="CF53" i="36"/>
  <c r="CA53" i="36"/>
  <c r="AL139" i="36"/>
  <c r="AQ139" i="36" s="1"/>
  <c r="D47" i="30" s="1"/>
  <c r="AL129" i="36"/>
  <c r="AQ129" i="36" s="1"/>
  <c r="AQ109" i="36"/>
  <c r="AY138" i="36"/>
  <c r="AT143" i="36"/>
  <c r="AY143" i="36" s="1"/>
  <c r="AT144" i="36"/>
  <c r="J128" i="36"/>
  <c r="J113" i="36"/>
  <c r="O113" i="36" s="1"/>
  <c r="O108" i="36"/>
  <c r="BG131" i="36"/>
  <c r="AI99" i="36"/>
  <c r="AI79" i="36"/>
  <c r="AH109" i="36"/>
  <c r="AH112" i="36" s="1"/>
  <c r="AN79" i="36"/>
  <c r="AJ79" i="36"/>
  <c r="AY129" i="36"/>
  <c r="BV158" i="36"/>
  <c r="BV154" i="36"/>
  <c r="BV152" i="36"/>
  <c r="BV153" i="36"/>
  <c r="AU129" i="36"/>
  <c r="AN53" i="36"/>
  <c r="AI53" i="36"/>
  <c r="CX150" i="36"/>
  <c r="CX140" i="36"/>
  <c r="DC110" i="36"/>
  <c r="CX130" i="36"/>
  <c r="CY130" i="36" s="1"/>
  <c r="DC130" i="36" s="1"/>
  <c r="DG130" i="36" s="1"/>
  <c r="DK130" i="36" s="1"/>
  <c r="DO130" i="36" s="1"/>
  <c r="CD139" i="36"/>
  <c r="CI139" i="36" s="1"/>
  <c r="CD129" i="36"/>
  <c r="CI129" i="36" s="1"/>
  <c r="CI109" i="36"/>
  <c r="CD149" i="36"/>
  <c r="S53" i="36"/>
  <c r="X53" i="36"/>
  <c r="AY130" i="36"/>
  <c r="BK84" i="36"/>
  <c r="BP84" i="36"/>
  <c r="BK104" i="36"/>
  <c r="BN139" i="36"/>
  <c r="BN129" i="36"/>
  <c r="BS129" i="36" s="1"/>
  <c r="BS109" i="36"/>
  <c r="AX142" i="36"/>
  <c r="BC112" i="36"/>
  <c r="AY102" i="36"/>
  <c r="BD82" i="36"/>
  <c r="AY82" i="36"/>
  <c r="BR148" i="36"/>
  <c r="BR128" i="36"/>
  <c r="BR113" i="36"/>
  <c r="BW113" i="36" s="1"/>
  <c r="BR138" i="36"/>
  <c r="BW108" i="36"/>
  <c r="BR114" i="36"/>
  <c r="BW114" i="36" s="1"/>
  <c r="BR112" i="36"/>
  <c r="AX130" i="45"/>
  <c r="AX137" i="45"/>
  <c r="CM83" i="36"/>
  <c r="CR83" i="36"/>
  <c r="CL148" i="36"/>
  <c r="CL138" i="36"/>
  <c r="CL128" i="36"/>
  <c r="CL114" i="36"/>
  <c r="CQ114" i="36" s="1"/>
  <c r="CL112" i="36"/>
  <c r="CL113" i="36"/>
  <c r="CQ108" i="36"/>
  <c r="CV82" i="36"/>
  <c r="CQ82" i="36"/>
  <c r="CQ102" i="36"/>
  <c r="CP148" i="36"/>
  <c r="CP138" i="36"/>
  <c r="CU108" i="36"/>
  <c r="CP113" i="36"/>
  <c r="CU113" i="36" s="1"/>
  <c r="CP114" i="36"/>
  <c r="CU114" i="36" s="1"/>
  <c r="CP112" i="36"/>
  <c r="CP128" i="36"/>
  <c r="CJ54" i="36"/>
  <c r="CE54" i="36"/>
  <c r="CH148" i="36"/>
  <c r="CM108" i="36"/>
  <c r="CH113" i="36"/>
  <c r="CM113" i="36" s="1"/>
  <c r="CH138" i="36"/>
  <c r="CH128" i="36"/>
  <c r="CH114" i="36"/>
  <c r="CH112" i="36"/>
  <c r="V109" i="36"/>
  <c r="V112" i="36" s="1"/>
  <c r="AA112" i="36" s="1"/>
  <c r="W99" i="36"/>
  <c r="AB79" i="36"/>
  <c r="W79" i="36"/>
  <c r="BC131" i="36"/>
  <c r="DG83" i="36"/>
  <c r="DL83" i="36" s="1"/>
  <c r="DG103" i="36"/>
  <c r="BD109" i="45"/>
  <c r="BG109" i="45"/>
  <c r="CB82" i="36"/>
  <c r="BW82" i="36"/>
  <c r="BW102" i="36"/>
  <c r="CT160" i="36"/>
  <c r="CY150" i="36"/>
  <c r="AR83" i="36"/>
  <c r="AM103" i="36"/>
  <c r="AM83" i="36"/>
  <c r="BT84" i="36"/>
  <c r="BO84" i="36"/>
  <c r="BO104" i="36"/>
  <c r="DD79" i="36"/>
  <c r="CU130" i="36"/>
  <c r="CU129" i="36"/>
  <c r="DK139" i="36"/>
  <c r="AT111" i="36"/>
  <c r="AU101" i="36"/>
  <c r="AZ81" i="36"/>
  <c r="AU81" i="36"/>
  <c r="AT82" i="36"/>
  <c r="AQ102" i="36"/>
  <c r="AQ82" i="36"/>
  <c r="BX24" i="36"/>
  <c r="AJ53" i="36"/>
  <c r="AE53" i="36"/>
  <c r="AA82" i="36"/>
  <c r="AA102" i="36"/>
  <c r="AF84" i="36"/>
  <c r="AA104" i="36"/>
  <c r="AA84" i="36"/>
  <c r="CJ82" i="36"/>
  <c r="CE82" i="36"/>
  <c r="CE102" i="36"/>
  <c r="CD148" i="36"/>
  <c r="CD138" i="36"/>
  <c r="CD128" i="36"/>
  <c r="CD114" i="36"/>
  <c r="CD112" i="36"/>
  <c r="CD113" i="36"/>
  <c r="CI113" i="36" s="1"/>
  <c r="CI108" i="36"/>
  <c r="BV160" i="36"/>
  <c r="CA150" i="36"/>
  <c r="BR150" i="36"/>
  <c r="BR140" i="36"/>
  <c r="BW140" i="36" s="1"/>
  <c r="BR130" i="36"/>
  <c r="BW110" i="36"/>
  <c r="AU128" i="36"/>
  <c r="AP133" i="36"/>
  <c r="AU133" i="36" s="1"/>
  <c r="DJ158" i="36"/>
  <c r="DJ154" i="36"/>
  <c r="DJ153" i="36"/>
  <c r="BK108" i="36"/>
  <c r="BK128" i="36"/>
  <c r="BF133" i="36"/>
  <c r="BF134" i="36"/>
  <c r="BF132" i="36"/>
  <c r="R129" i="36"/>
  <c r="W109" i="36"/>
  <c r="DG108" i="36"/>
  <c r="DN183" i="36"/>
  <c r="AV24" i="36"/>
  <c r="AZ24" i="36"/>
  <c r="CA52" i="36"/>
  <c r="CF52" i="36"/>
  <c r="BC170" i="45"/>
  <c r="BC144" i="45"/>
  <c r="BD144" i="45" s="1"/>
  <c r="DC43" i="36"/>
  <c r="CH15" i="30"/>
  <c r="T52" i="36"/>
  <c r="O52" i="36"/>
  <c r="AY113" i="36"/>
  <c r="BV151" i="36"/>
  <c r="CB81" i="36"/>
  <c r="BW81" i="36"/>
  <c r="BV111" i="36"/>
  <c r="BX81" i="36"/>
  <c r="BW101" i="36"/>
  <c r="X24" i="36"/>
  <c r="AP140" i="36"/>
  <c r="AU140" i="36" s="1"/>
  <c r="AP130" i="36"/>
  <c r="AU130" i="36" s="1"/>
  <c r="AU110" i="36"/>
  <c r="BB142" i="36"/>
  <c r="BG142" i="36" s="1"/>
  <c r="BG112" i="36"/>
  <c r="BG128" i="36"/>
  <c r="BB132" i="36"/>
  <c r="BG132" i="36" s="1"/>
  <c r="BB133" i="36"/>
  <c r="BG133" i="36" s="1"/>
  <c r="BB134" i="36"/>
  <c r="BG134" i="36" s="1"/>
  <c r="CI131" i="36"/>
  <c r="CQ130" i="36"/>
  <c r="CE52" i="36"/>
  <c r="CJ52" i="36"/>
  <c r="BC177" i="45"/>
  <c r="BD88" i="45"/>
  <c r="BG88" i="45"/>
  <c r="BG141" i="36"/>
  <c r="BS140" i="36"/>
  <c r="CY83" i="36"/>
  <c r="CY103" i="36"/>
  <c r="CX215" i="36"/>
  <c r="DB205" i="36"/>
  <c r="BZ28" i="30"/>
  <c r="BK129" i="36"/>
  <c r="N110" i="36"/>
  <c r="N114" i="36" s="1"/>
  <c r="O80" i="36"/>
  <c r="AV81" i="36"/>
  <c r="AQ81" i="36"/>
  <c r="AQ101" i="36"/>
  <c r="AP111" i="36"/>
  <c r="BV133" i="36"/>
  <c r="AR52" i="36"/>
  <c r="BK181" i="47"/>
  <c r="BF163" i="40"/>
  <c r="BK195" i="47"/>
  <c r="BF177" i="40"/>
  <c r="BP177" i="45"/>
  <c r="BX177" i="45"/>
  <c r="BX184" i="45"/>
  <c r="AS240" i="45"/>
  <c r="AD234" i="14" s="1"/>
  <c r="AQ212" i="40"/>
  <c r="AR212" i="40" s="1"/>
  <c r="AU240" i="45"/>
  <c r="AU130" i="45"/>
  <c r="AS130" i="45"/>
  <c r="AR128" i="40" s="1"/>
  <c r="AQ128" i="40"/>
  <c r="AY130" i="45"/>
  <c r="AS137" i="45"/>
  <c r="AR135" i="40" s="1"/>
  <c r="BK549" i="47"/>
  <c r="BH170" i="40"/>
  <c r="Z382" i="47"/>
  <c r="BK368" i="47"/>
  <c r="BG163" i="40"/>
  <c r="X455" i="47"/>
  <c r="BR129" i="45"/>
  <c r="BH129" i="45"/>
  <c r="BQ129" i="45"/>
  <c r="BP129" i="45"/>
  <c r="BG129" i="45"/>
  <c r="Z248" i="45"/>
  <c r="AJ248" i="45"/>
  <c r="Y191" i="45"/>
  <c r="R191" i="45"/>
  <c r="U191" i="45"/>
  <c r="BQ191" i="45"/>
  <c r="BK483" i="47"/>
  <c r="BI184" i="40"/>
  <c r="BQ144" i="45"/>
  <c r="AP144" i="45"/>
  <c r="BF144" i="45"/>
  <c r="AU144" i="45"/>
  <c r="BR144" i="45"/>
  <c r="BK198" i="40"/>
  <c r="BL198" i="40" s="1"/>
  <c r="BN198" i="40" s="1"/>
  <c r="BK375" i="47"/>
  <c r="BG170" i="40"/>
  <c r="J389" i="47"/>
  <c r="R389" i="47" s="1"/>
  <c r="BG184" i="40"/>
  <c r="BH140" i="45"/>
  <c r="BP140" i="45"/>
  <c r="BO140" i="45"/>
  <c r="BG140" i="45"/>
  <c r="BY177" i="45"/>
  <c r="BQ140" i="45"/>
  <c r="BL126" i="45"/>
  <c r="BA126" i="45"/>
  <c r="BK126" i="45"/>
  <c r="BJ126" i="45"/>
  <c r="BA133" i="45"/>
  <c r="AZ126" i="45"/>
  <c r="BH126" i="45"/>
  <c r="AZ144" i="45"/>
  <c r="BA144" i="45"/>
  <c r="BM144" i="45"/>
  <c r="BK144" i="45"/>
  <c r="BL144" i="45"/>
  <c r="AR163" i="40"/>
  <c r="AR170" i="40"/>
  <c r="AK191" i="45"/>
  <c r="AI191" i="45"/>
  <c r="AH198" i="45"/>
  <c r="BK174" i="47"/>
  <c r="BF156" i="40"/>
  <c r="BK188" i="47"/>
  <c r="BF170" i="40"/>
  <c r="Z461" i="47"/>
  <c r="BK542" i="47"/>
  <c r="BH163" i="40"/>
  <c r="BK361" i="47"/>
  <c r="BG156" i="40"/>
  <c r="BK535" i="47"/>
  <c r="BH156" i="40"/>
  <c r="AK86" i="40"/>
  <c r="BO129" i="45"/>
  <c r="R205" i="45"/>
  <c r="U205" i="45"/>
  <c r="AW205" i="45"/>
  <c r="R212" i="45"/>
  <c r="BH137" i="45"/>
  <c r="BG137" i="45"/>
  <c r="BP137" i="45"/>
  <c r="BU198" i="45"/>
  <c r="BQ199" i="45"/>
  <c r="T124" i="40"/>
  <c r="R128" i="40"/>
  <c r="D135" i="40" s="1"/>
  <c r="H135" i="40" s="1"/>
  <c r="AG124" i="40"/>
  <c r="D124" i="40"/>
  <c r="H124" i="40" s="1"/>
  <c r="BM126" i="45"/>
  <c r="D461" i="47"/>
  <c r="J461" i="47" s="1"/>
  <c r="R461" i="47" s="1"/>
  <c r="V455" i="47"/>
  <c r="AL454" i="47"/>
  <c r="AL455" i="47" s="1"/>
  <c r="D454" i="47"/>
  <c r="J454" i="47" s="1"/>
  <c r="R454" i="47" s="1"/>
  <c r="BW183" i="45"/>
  <c r="AV183" i="45"/>
  <c r="BP183" i="45"/>
  <c r="BB155" i="40"/>
  <c r="BK162" i="40" s="1"/>
  <c r="BA155" i="40"/>
  <c r="BC155" i="40"/>
  <c r="BO183" i="45"/>
  <c r="BQ183" i="45"/>
  <c r="BU183" i="45" s="1"/>
  <c r="BR183" i="45"/>
  <c r="AW191" i="45"/>
  <c r="BB163" i="40" s="1"/>
  <c r="BK177" i="40"/>
  <c r="V33" i="40"/>
  <c r="T37" i="40"/>
  <c r="V37" i="40" s="1"/>
  <c r="P30" i="40"/>
  <c r="V96" i="40"/>
  <c r="T100" i="40"/>
  <c r="V100" i="40" s="1"/>
  <c r="AU170" i="47"/>
  <c r="AW170" i="47"/>
  <c r="AK126" i="40"/>
  <c r="AE131" i="40"/>
  <c r="P131" i="40"/>
  <c r="P148" i="40"/>
  <c r="P161" i="40"/>
  <c r="AK40" i="40"/>
  <c r="AC93" i="40"/>
  <c r="AI93" i="40"/>
  <c r="AK93" i="40" s="1"/>
  <c r="P147" i="40"/>
  <c r="P182" i="40"/>
  <c r="AC79" i="40"/>
  <c r="AI72" i="40"/>
  <c r="AK72" i="40" s="1"/>
  <c r="V28" i="40"/>
  <c r="AE93" i="40"/>
  <c r="P93" i="40"/>
  <c r="AC51" i="40"/>
  <c r="AE51" i="40" s="1"/>
  <c r="AK120" i="40"/>
  <c r="AK117" i="40"/>
  <c r="AE86" i="40"/>
  <c r="AU200" i="47"/>
  <c r="AW200" i="47"/>
  <c r="N121" i="40"/>
  <c r="P121" i="40" s="1"/>
  <c r="AE138" i="40"/>
  <c r="P138" i="40"/>
  <c r="P145" i="40"/>
  <c r="V168" i="40"/>
  <c r="P72" i="40"/>
  <c r="AE72" i="40"/>
  <c r="AK96" i="40"/>
  <c r="AC128" i="40"/>
  <c r="V175" i="40"/>
  <c r="AG169" i="40"/>
  <c r="D169" i="40"/>
  <c r="H169" i="40" s="1"/>
  <c r="T169" i="40"/>
  <c r="V169" i="40" s="1"/>
  <c r="P44" i="40"/>
  <c r="AE44" i="40"/>
  <c r="AK105" i="40"/>
  <c r="AK112" i="40"/>
  <c r="T114" i="40"/>
  <c r="V114" i="40" s="1"/>
  <c r="V110" i="40"/>
  <c r="T152" i="40"/>
  <c r="R156" i="40"/>
  <c r="D156" i="40" s="1"/>
  <c r="AG152" i="40"/>
  <c r="D152" i="40"/>
  <c r="H152" i="40" s="1"/>
  <c r="AT152" i="40"/>
  <c r="P140" i="40"/>
  <c r="AE140" i="40"/>
  <c r="AG135" i="40"/>
  <c r="AI135" i="40" s="1"/>
  <c r="AI131" i="40"/>
  <c r="AI44" i="40"/>
  <c r="AK44" i="40" s="1"/>
  <c r="AE121" i="40"/>
  <c r="N51" i="40"/>
  <c r="P51" i="40" s="1"/>
  <c r="AK79" i="40"/>
  <c r="N86" i="40"/>
  <c r="P86" i="40" s="1"/>
  <c r="AU171" i="47"/>
  <c r="AW171" i="47"/>
  <c r="AE58" i="40"/>
  <c r="AK68" i="40"/>
  <c r="AK75" i="40"/>
  <c r="V117" i="40"/>
  <c r="AN196" i="40"/>
  <c r="R189" i="40"/>
  <c r="AS207" i="47"/>
  <c r="V155" i="40"/>
  <c r="P162" i="40"/>
  <c r="AI138" i="40"/>
  <c r="AK138" i="40" s="1"/>
  <c r="AG142" i="40"/>
  <c r="AI142" i="40" s="1"/>
  <c r="AK142" i="40" s="1"/>
  <c r="AG149" i="40"/>
  <c r="P168" i="40"/>
  <c r="N184" i="40"/>
  <c r="AK58" i="40"/>
  <c r="N58" i="40"/>
  <c r="P58" i="40" s="1"/>
  <c r="P175" i="40"/>
  <c r="AN183" i="40"/>
  <c r="R176" i="40"/>
  <c r="AS194" i="47"/>
  <c r="P154" i="40"/>
  <c r="T79" i="40"/>
  <c r="V79" i="40" s="1"/>
  <c r="V75" i="40"/>
  <c r="V48" i="40"/>
  <c r="V47" i="40"/>
  <c r="T51" i="40"/>
  <c r="T65" i="40"/>
  <c r="V65" i="40" s="1"/>
  <c r="AN166" i="40"/>
  <c r="AN163" i="40"/>
  <c r="AS177" i="47"/>
  <c r="R159" i="40"/>
  <c r="AT135" i="40"/>
  <c r="T23" i="40"/>
  <c r="V23" i="40" s="1"/>
  <c r="V103" i="40"/>
  <c r="AK104" i="40"/>
  <c r="R160" i="40"/>
  <c r="AN167" i="40"/>
  <c r="AS178" i="47"/>
  <c r="AW178" i="47" s="1"/>
  <c r="N142" i="40"/>
  <c r="V153" i="40"/>
  <c r="V70" i="40"/>
  <c r="T44" i="40"/>
  <c r="P100" i="40"/>
  <c r="AE100" i="40"/>
  <c r="AC142" i="40"/>
  <c r="D142" i="40"/>
  <c r="H142" i="40" s="1"/>
  <c r="AT142" i="40"/>
  <c r="D149" i="40"/>
  <c r="H149" i="40" s="1"/>
  <c r="AK54" i="40"/>
  <c r="AK61" i="40"/>
  <c r="AK69" i="40"/>
  <c r="AK76" i="40"/>
  <c r="AK55" i="40"/>
  <c r="V82" i="40"/>
  <c r="V154" i="40"/>
  <c r="AE139" i="40"/>
  <c r="P139" i="40"/>
  <c r="N191" i="40"/>
  <c r="V54" i="40"/>
  <c r="AE107" i="40"/>
  <c r="P107" i="40"/>
  <c r="AO156" i="40"/>
  <c r="AS174" i="47"/>
  <c r="P146" i="40"/>
  <c r="T135" i="40"/>
  <c r="AK84" i="40"/>
  <c r="AE79" i="40"/>
  <c r="P79" i="40"/>
  <c r="V107" i="40"/>
  <c r="V147" i="40"/>
  <c r="P153" i="40"/>
  <c r="V40" i="40"/>
  <c r="V83" i="40"/>
  <c r="AI121" i="40"/>
  <c r="AK121" i="40" s="1"/>
  <c r="AK107" i="40"/>
  <c r="AC107" i="40"/>
  <c r="T142" i="40"/>
  <c r="V142" i="40" s="1"/>
  <c r="V138" i="40"/>
  <c r="T149" i="40"/>
  <c r="V149" i="40" s="1"/>
  <c r="V145" i="40"/>
  <c r="N156" i="40"/>
  <c r="AI100" i="40"/>
  <c r="AK100" i="40" s="1"/>
  <c r="T86" i="40"/>
  <c r="V86" i="40" s="1"/>
  <c r="N100" i="40"/>
  <c r="AU187" i="47"/>
  <c r="AW187" i="47"/>
  <c r="P141" i="40"/>
  <c r="AE141" i="40"/>
  <c r="AI79" i="47"/>
  <c r="AI107" i="47"/>
  <c r="Z85" i="47"/>
  <c r="Z553" i="47"/>
  <c r="Z560" i="47"/>
  <c r="AP63" i="47"/>
  <c r="Z30" i="47"/>
  <c r="R51" i="47"/>
  <c r="AI51" i="47"/>
  <c r="R93" i="47"/>
  <c r="AI93" i="47"/>
  <c r="Z200" i="47"/>
  <c r="AN288" i="47"/>
  <c r="AP288" i="47" s="1"/>
  <c r="Z406" i="47"/>
  <c r="Z555" i="47"/>
  <c r="Z562" i="47"/>
  <c r="AP103" i="47"/>
  <c r="Z179" i="47"/>
  <c r="AI135" i="47"/>
  <c r="R135" i="47"/>
  <c r="X209" i="47"/>
  <c r="Z209" i="47" s="1"/>
  <c r="AN267" i="47"/>
  <c r="AP267" i="47" s="1"/>
  <c r="Z181" i="47"/>
  <c r="AN302" i="47"/>
  <c r="J361" i="47"/>
  <c r="R361" i="47" s="1"/>
  <c r="X396" i="47"/>
  <c r="Z396" i="47" s="1"/>
  <c r="P44" i="47"/>
  <c r="R44" i="47" s="1"/>
  <c r="Z107" i="47"/>
  <c r="R65" i="47"/>
  <c r="AI65" i="47"/>
  <c r="AP121" i="47"/>
  <c r="AG72" i="47"/>
  <c r="Z58" i="47"/>
  <c r="Z165" i="47"/>
  <c r="Z212" i="47"/>
  <c r="P295" i="47"/>
  <c r="R295" i="47" s="1"/>
  <c r="X281" i="47"/>
  <c r="Z281" i="47" s="1"/>
  <c r="Z300" i="47"/>
  <c r="Z307" i="47"/>
  <c r="AP273" i="47"/>
  <c r="Z344" i="47"/>
  <c r="X389" i="47"/>
  <c r="Z389" i="47" s="1"/>
  <c r="J469" i="47"/>
  <c r="R469" i="47" s="1"/>
  <c r="X448" i="47"/>
  <c r="Z448" i="47" s="1"/>
  <c r="X483" i="47"/>
  <c r="Z483" i="47" s="1"/>
  <c r="AL507" i="47"/>
  <c r="X507" i="47"/>
  <c r="Z540" i="47"/>
  <c r="J577" i="47"/>
  <c r="X549" i="47"/>
  <c r="Z549" i="47" s="1"/>
  <c r="J535" i="47"/>
  <c r="X535" i="47"/>
  <c r="Z535" i="47" s="1"/>
  <c r="P114" i="47"/>
  <c r="R114" i="47" s="1"/>
  <c r="X114" i="47"/>
  <c r="AP251" i="47"/>
  <c r="AP258" i="47"/>
  <c r="Z542" i="47"/>
  <c r="AN65" i="47"/>
  <c r="AP270" i="47"/>
  <c r="AP277" i="47"/>
  <c r="P556" i="47"/>
  <c r="X556" i="47"/>
  <c r="J549" i="47"/>
  <c r="AP47" i="47"/>
  <c r="AN51" i="47"/>
  <c r="AP51" i="47" s="1"/>
  <c r="AI72" i="47"/>
  <c r="R72" i="47"/>
  <c r="Z135" i="47"/>
  <c r="J181" i="47"/>
  <c r="Z319" i="47"/>
  <c r="X323" i="47"/>
  <c r="Z323" i="47" s="1"/>
  <c r="AL413" i="47"/>
  <c r="X413" i="47"/>
  <c r="Z394" i="47"/>
  <c r="P403" i="47"/>
  <c r="AP107" i="47"/>
  <c r="AP44" i="47"/>
  <c r="AP70" i="47"/>
  <c r="P216" i="47"/>
  <c r="R216" i="47" s="1"/>
  <c r="AP131" i="47"/>
  <c r="AN295" i="47"/>
  <c r="AP295" i="47" s="1"/>
  <c r="AN253" i="47"/>
  <c r="AP253" i="47" s="1"/>
  <c r="Z263" i="47"/>
  <c r="X267" i="47"/>
  <c r="AP286" i="47"/>
  <c r="AP293" i="47"/>
  <c r="Z476" i="47"/>
  <c r="P584" i="47"/>
  <c r="X347" i="47"/>
  <c r="Z347" i="47" s="1"/>
  <c r="P354" i="47"/>
  <c r="R354" i="47" s="1"/>
  <c r="R128" i="47"/>
  <c r="AI128" i="47"/>
  <c r="AI100" i="47"/>
  <c r="R100" i="47"/>
  <c r="AG309" i="47"/>
  <c r="Z216" i="47"/>
  <c r="Z309" i="47"/>
  <c r="J368" i="47"/>
  <c r="R368" i="47" s="1"/>
  <c r="P121" i="47"/>
  <c r="R121" i="47" s="1"/>
  <c r="AL322" i="47"/>
  <c r="AN322" i="47" s="1"/>
  <c r="AP322" i="47" s="1"/>
  <c r="X322" i="47"/>
  <c r="Z322" i="47" s="1"/>
  <c r="Z271" i="47"/>
  <c r="Z402" i="47"/>
  <c r="X403" i="47"/>
  <c r="Z403" i="47" s="1"/>
  <c r="P469" i="47"/>
  <c r="P542" i="47"/>
  <c r="AP54" i="47"/>
  <c r="AN58" i="47"/>
  <c r="AP58" i="47" s="1"/>
  <c r="AP61" i="47"/>
  <c r="Z37" i="47"/>
  <c r="AP86" i="47"/>
  <c r="P181" i="47"/>
  <c r="X72" i="47"/>
  <c r="Z72" i="47" s="1"/>
  <c r="J209" i="47"/>
  <c r="R209" i="47" s="1"/>
  <c r="X260" i="47"/>
  <c r="Z260" i="47" s="1"/>
  <c r="Z256" i="47"/>
  <c r="Z272" i="47"/>
  <c r="AN319" i="47"/>
  <c r="AP319" i="47" s="1"/>
  <c r="AG274" i="47"/>
  <c r="P375" i="47"/>
  <c r="Z486" i="47"/>
  <c r="X490" i="47"/>
  <c r="Z490" i="47" s="1"/>
  <c r="AP40" i="47"/>
  <c r="AP93" i="47"/>
  <c r="P160" i="47"/>
  <c r="R160" i="47" s="1"/>
  <c r="Z44" i="47"/>
  <c r="BI230" i="47"/>
  <c r="Z274" i="47"/>
  <c r="AN309" i="47"/>
  <c r="AP309" i="47" s="1"/>
  <c r="P267" i="47"/>
  <c r="R267" i="47" s="1"/>
  <c r="Z286" i="47"/>
  <c r="Z372" i="47"/>
  <c r="J375" i="47"/>
  <c r="R375" i="47" s="1"/>
  <c r="Z408" i="47"/>
  <c r="R476" i="47"/>
  <c r="Z539" i="47"/>
  <c r="Z134" i="47"/>
  <c r="Z174" i="47"/>
  <c r="AG302" i="47"/>
  <c r="AL320" i="47"/>
  <c r="AN320" i="47" s="1"/>
  <c r="AP320" i="47" s="1"/>
  <c r="X320" i="47"/>
  <c r="Z320" i="47" s="1"/>
  <c r="AC374" i="47"/>
  <c r="AC378" i="47" s="1"/>
  <c r="P577" i="47"/>
  <c r="AP72" i="47"/>
  <c r="AP79" i="47"/>
  <c r="Z195" i="47"/>
  <c r="AP260" i="47"/>
  <c r="Z375" i="47"/>
  <c r="Z358" i="47"/>
  <c r="R403" i="47"/>
  <c r="P462" i="47"/>
  <c r="P563" i="47"/>
  <c r="Z86" i="47"/>
  <c r="AP82" i="47"/>
  <c r="P174" i="47"/>
  <c r="R174" i="47" s="1"/>
  <c r="Z258" i="47"/>
  <c r="X288" i="47"/>
  <c r="Z288" i="47" s="1"/>
  <c r="V323" i="47"/>
  <c r="Z455" i="47"/>
  <c r="P448" i="47"/>
  <c r="R448" i="47" s="1"/>
  <c r="P107" i="47"/>
  <c r="R107" i="47" s="1"/>
  <c r="P79" i="47"/>
  <c r="R79" i="47" s="1"/>
  <c r="AP71" i="47"/>
  <c r="R274" i="47"/>
  <c r="AP308" i="47"/>
  <c r="P309" i="47"/>
  <c r="R309" i="47" s="1"/>
  <c r="Z294" i="47"/>
  <c r="Z361" i="47"/>
  <c r="X462" i="47"/>
  <c r="Z462" i="47" s="1"/>
  <c r="Z468" i="47"/>
  <c r="Z493" i="47"/>
  <c r="Z570" i="47"/>
  <c r="Z96" i="47"/>
  <c r="BE108" i="44"/>
  <c r="AX108" i="44"/>
  <c r="AY108" i="44" s="1"/>
  <c r="AT108" i="44"/>
  <c r="BC108" i="44"/>
  <c r="Q257" i="44"/>
  <c r="K251" i="44"/>
  <c r="Q250" i="44"/>
  <c r="L208" i="44"/>
  <c r="BE132" i="44"/>
  <c r="AX132" i="44"/>
  <c r="AU132" i="44"/>
  <c r="AT132" i="44"/>
  <c r="BD101" i="44"/>
  <c r="AS101" i="44"/>
  <c r="Q146" i="44"/>
  <c r="K153" i="44"/>
  <c r="O146" i="44"/>
  <c r="K145" i="44"/>
  <c r="AX122" i="44"/>
  <c r="AY122" i="44" s="1"/>
  <c r="AU122" i="44"/>
  <c r="AT122" i="44"/>
  <c r="U268" i="44"/>
  <c r="W265" i="44"/>
  <c r="DO54" i="30"/>
  <c r="E254" i="44"/>
  <c r="E257" i="44" s="1"/>
  <c r="D257" i="44" s="1"/>
  <c r="F251" i="44"/>
  <c r="DM52" i="30"/>
  <c r="I101" i="44"/>
  <c r="G102" i="44"/>
  <c r="AF136" i="44"/>
  <c r="AD137" i="44"/>
  <c r="AF137" i="44" s="1"/>
  <c r="BE104" i="44"/>
  <c r="AT104" i="44"/>
  <c r="AX104" i="44"/>
  <c r="AU104" i="44"/>
  <c r="BC104" i="44"/>
  <c r="AA193" i="44"/>
  <c r="N110" i="44"/>
  <c r="AS185" i="44"/>
  <c r="BD185" i="44"/>
  <c r="BE115" i="44"/>
  <c r="AX115" i="44"/>
  <c r="AY115" i="44" s="1"/>
  <c r="AU115" i="44"/>
  <c r="AT115" i="44"/>
  <c r="AB247" i="44"/>
  <c r="AB250" i="44" s="1"/>
  <c r="AA250" i="44" s="1"/>
  <c r="AC244" i="44"/>
  <c r="AS244" i="44"/>
  <c r="DL55" i="30"/>
  <c r="BD244" i="44"/>
  <c r="AA222" i="44"/>
  <c r="M142" i="44"/>
  <c r="BD115" i="44"/>
  <c r="BD122" i="44"/>
  <c r="O137" i="44"/>
  <c r="Q137" i="44"/>
  <c r="BD132" i="44"/>
  <c r="G108" i="44"/>
  <c r="I107" i="44"/>
  <c r="F192" i="44"/>
  <c r="AL150" i="44"/>
  <c r="AO149" i="44"/>
  <c r="AQ149" i="44" s="1"/>
  <c r="AN149" i="44"/>
  <c r="AB201" i="44"/>
  <c r="AA214" i="44"/>
  <c r="N131" i="44"/>
  <c r="K220" i="44"/>
  <c r="AC136" i="44"/>
  <c r="AA137" i="44"/>
  <c r="AU205" i="44"/>
  <c r="AY58" i="44"/>
  <c r="AI55" i="44"/>
  <c r="AY37" i="44"/>
  <c r="AY34" i="44"/>
  <c r="AY44" i="44"/>
  <c r="AY41" i="44"/>
  <c r="Q207" i="44"/>
  <c r="F220" i="44"/>
  <c r="L103" i="44"/>
  <c r="E187" i="44" s="1"/>
  <c r="O102" i="44"/>
  <c r="Q102" i="44"/>
  <c r="AE131" i="44"/>
  <c r="AF130" i="44"/>
  <c r="AN143" i="44"/>
  <c r="AL144" i="44"/>
  <c r="AO143" i="44"/>
  <c r="AU111" i="44"/>
  <c r="BC111" i="44"/>
  <c r="AT111" i="44"/>
  <c r="BE111" i="44"/>
  <c r="AX111" i="44"/>
  <c r="BE128" i="44"/>
  <c r="AX128" i="44"/>
  <c r="AU128" i="44"/>
  <c r="AT128" i="44"/>
  <c r="BC128" i="44"/>
  <c r="Q138" i="44"/>
  <c r="K142" i="44"/>
  <c r="O138" i="44"/>
  <c r="BD131" i="44"/>
  <c r="AU131" i="44"/>
  <c r="BC131" i="44"/>
  <c r="AX131" i="44"/>
  <c r="AS95" i="44"/>
  <c r="AS192" i="44"/>
  <c r="AC192" i="44"/>
  <c r="AC199" i="44"/>
  <c r="K213" i="44"/>
  <c r="AC129" i="44"/>
  <c r="AA130" i="44"/>
  <c r="AT135" i="44"/>
  <c r="AA157" i="44"/>
  <c r="AC156" i="44"/>
  <c r="F199" i="44"/>
  <c r="AS199" i="44"/>
  <c r="BC199" i="44" s="1"/>
  <c r="M145" i="44"/>
  <c r="AA229" i="44" s="1"/>
  <c r="M153" i="44"/>
  <c r="L124" i="44"/>
  <c r="Q123" i="44"/>
  <c r="O123" i="44"/>
  <c r="BA258" i="44"/>
  <c r="BA265" i="44"/>
  <c r="K265" i="44"/>
  <c r="Q264" i="44"/>
  <c r="AY65" i="44"/>
  <c r="AY62" i="44"/>
  <c r="AH58" i="44" s="1"/>
  <c r="AH59" i="44" s="1"/>
  <c r="AH60" i="44" s="1"/>
  <c r="AI62" i="44"/>
  <c r="AD153" i="44"/>
  <c r="AF146" i="44"/>
  <c r="AD145" i="44"/>
  <c r="AD149" i="44"/>
  <c r="AN145" i="44"/>
  <c r="AN153" i="44"/>
  <c r="AL152" i="44"/>
  <c r="AL160" i="44"/>
  <c r="AL156" i="44"/>
  <c r="AO153" i="44"/>
  <c r="AQ153" i="44" s="1"/>
  <c r="AC200" i="44"/>
  <c r="AS213" i="44"/>
  <c r="AC213" i="44"/>
  <c r="AC220" i="44"/>
  <c r="G88" i="44"/>
  <c r="G66" i="44"/>
  <c r="I65" i="44"/>
  <c r="I114" i="44"/>
  <c r="G115" i="44"/>
  <c r="AY79" i="44"/>
  <c r="AI76" i="44"/>
  <c r="AY83" i="44"/>
  <c r="AH79" i="44" s="1"/>
  <c r="AH80" i="44" s="1"/>
  <c r="AH81" i="44" s="1"/>
  <c r="AY97" i="44"/>
  <c r="AI97" i="44"/>
  <c r="AU248" i="44"/>
  <c r="AU255" i="44"/>
  <c r="BE248" i="44"/>
  <c r="AX248" i="44"/>
  <c r="AY248" i="44" s="1"/>
  <c r="BC248" i="44"/>
  <c r="AT248" i="44"/>
  <c r="G95" i="44"/>
  <c r="I95" i="44" s="1"/>
  <c r="I94" i="44"/>
  <c r="AU198" i="44"/>
  <c r="BE198" i="44"/>
  <c r="AX198" i="44"/>
  <c r="AY198" i="44" s="1"/>
  <c r="AT198" i="44"/>
  <c r="BD212" i="44"/>
  <c r="Q212" i="44"/>
  <c r="AS212" i="44"/>
  <c r="AU135" i="44"/>
  <c r="AA167" i="44"/>
  <c r="AA163" i="44"/>
  <c r="AC160" i="44"/>
  <c r="AA159" i="44"/>
  <c r="AC159" i="44" s="1"/>
  <c r="BC198" i="44"/>
  <c r="BE131" i="44"/>
  <c r="D200" i="44"/>
  <c r="E117" i="44"/>
  <c r="F116" i="44"/>
  <c r="AU202" i="44"/>
  <c r="BE202" i="44"/>
  <c r="AX202" i="44"/>
  <c r="AY202" i="44" s="1"/>
  <c r="AT202" i="44"/>
  <c r="BC241" i="44"/>
  <c r="AX241" i="44"/>
  <c r="AY241" i="44" s="1"/>
  <c r="BE241" i="44"/>
  <c r="AT241" i="44"/>
  <c r="BC237" i="44"/>
  <c r="BE237" i="44"/>
  <c r="AX237" i="44"/>
  <c r="BE48" i="44"/>
  <c r="AT48" i="44"/>
  <c r="AX48" i="44"/>
  <c r="AY55" i="44" s="1"/>
  <c r="BC48" i="44"/>
  <c r="AU48" i="44"/>
  <c r="AS129" i="44"/>
  <c r="BD129" i="44" s="1"/>
  <c r="AA151" i="44"/>
  <c r="AC151" i="44" s="1"/>
  <c r="AC150" i="44"/>
  <c r="O116" i="44"/>
  <c r="L117" i="44"/>
  <c r="P117" i="44" s="1"/>
  <c r="Q116" i="44"/>
  <c r="K193" i="44"/>
  <c r="AB110" i="44"/>
  <c r="L194" i="44" s="1"/>
  <c r="AC109" i="44"/>
  <c r="AC144" i="44"/>
  <c r="AY93" i="44"/>
  <c r="AY94" i="44"/>
  <c r="AF138" i="44"/>
  <c r="K222" i="44"/>
  <c r="K186" i="44"/>
  <c r="AB103" i="44"/>
  <c r="AC102" i="44"/>
  <c r="AB208" i="44"/>
  <c r="P124" i="44"/>
  <c r="BD219" i="44"/>
  <c r="Q219" i="44"/>
  <c r="AS219" i="44"/>
  <c r="AY216" i="44"/>
  <c r="AT209" i="44"/>
  <c r="BE209" i="44"/>
  <c r="AX209" i="44"/>
  <c r="AY209" i="44" s="1"/>
  <c r="AU209" i="44"/>
  <c r="BC209" i="44"/>
  <c r="AY242" i="44"/>
  <c r="AU118" i="44"/>
  <c r="AT205" i="44"/>
  <c r="F139" i="44"/>
  <c r="AS139" i="44"/>
  <c r="BC139" i="44" s="1"/>
  <c r="D146" i="44"/>
  <c r="D138" i="44"/>
  <c r="H139" i="44"/>
  <c r="AL137" i="44"/>
  <c r="AO136" i="44"/>
  <c r="AQ136" i="44" s="1"/>
  <c r="AN136" i="44"/>
  <c r="BE136" i="44"/>
  <c r="BC125" i="44"/>
  <c r="AT125" i="44"/>
  <c r="BE125" i="44"/>
  <c r="AX125" i="44"/>
  <c r="AU125" i="44"/>
  <c r="D207" i="44"/>
  <c r="F123" i="44"/>
  <c r="E124" i="44"/>
  <c r="E208" i="44" s="1"/>
  <c r="F206" i="44"/>
  <c r="AS206" i="44"/>
  <c r="BC206" i="44" s="1"/>
  <c r="AZ242" i="44"/>
  <c r="F221" i="44"/>
  <c r="AE103" i="44"/>
  <c r="AF102" i="44"/>
  <c r="I59" i="44"/>
  <c r="G60" i="44"/>
  <c r="I60" i="44" s="1"/>
  <c r="BD108" i="44"/>
  <c r="AY135" i="44"/>
  <c r="AA186" i="44"/>
  <c r="N103" i="44"/>
  <c r="BD241" i="44"/>
  <c r="AY90" i="44"/>
  <c r="AH86" i="44" s="1"/>
  <c r="AH87" i="44" s="1"/>
  <c r="AH88" i="44" s="1"/>
  <c r="AI90" i="44"/>
  <c r="BD48" i="44"/>
  <c r="BD136" i="44"/>
  <c r="AS136" i="44"/>
  <c r="Q192" i="44"/>
  <c r="BD192" i="44"/>
  <c r="AU263" i="44"/>
  <c r="BE263" i="44"/>
  <c r="AX263" i="44"/>
  <c r="AY263" i="44" s="1"/>
  <c r="AT263" i="44"/>
  <c r="BC263" i="44"/>
  <c r="G73" i="44"/>
  <c r="I72" i="44"/>
  <c r="I79" i="44"/>
  <c r="G80" i="44"/>
  <c r="BE69" i="44"/>
  <c r="AT69" i="44"/>
  <c r="BC69" i="44"/>
  <c r="AX69" i="44"/>
  <c r="AY76" i="44" s="1"/>
  <c r="AU69" i="44"/>
  <c r="AF142" i="44"/>
  <c r="AD143" i="44"/>
  <c r="K226" i="44"/>
  <c r="Q199" i="44"/>
  <c r="D193" i="44"/>
  <c r="E110" i="44"/>
  <c r="E194" i="44" s="1"/>
  <c r="AS109" i="44"/>
  <c r="BD109" i="44" s="1"/>
  <c r="F109" i="44"/>
  <c r="AL123" i="44"/>
  <c r="AS123" i="44" s="1"/>
  <c r="AN129" i="44"/>
  <c r="BE122" i="44"/>
  <c r="AC207" i="44"/>
  <c r="AS207" i="44"/>
  <c r="AT216" i="44"/>
  <c r="BD209" i="44"/>
  <c r="AY240" i="44"/>
  <c r="BC249" i="44"/>
  <c r="AU249" i="44"/>
  <c r="AX249" i="44"/>
  <c r="AY249" i="44" s="1"/>
  <c r="AT249" i="44"/>
  <c r="BE249" i="44"/>
  <c r="AY118" i="44"/>
  <c r="AI118" i="44"/>
  <c r="AE37" i="30"/>
  <c r="AE23" i="30"/>
  <c r="AE38" i="30"/>
  <c r="AY37" i="30"/>
  <c r="AY23" i="30"/>
  <c r="AY38" i="30"/>
  <c r="BS37" i="30"/>
  <c r="BS23" i="30"/>
  <c r="BS38" i="30"/>
  <c r="N37" i="30"/>
  <c r="N23" i="30"/>
  <c r="N38" i="30"/>
  <c r="AH48" i="30"/>
  <c r="AH40" i="30"/>
  <c r="BB48" i="30"/>
  <c r="BB40" i="30"/>
  <c r="BV48" i="30"/>
  <c r="BV40" i="30"/>
  <c r="CP40" i="30"/>
  <c r="H46" i="30"/>
  <c r="H35" i="30"/>
  <c r="H30" i="30"/>
  <c r="H19" i="30"/>
  <c r="BK46" i="30"/>
  <c r="BK35" i="30"/>
  <c r="BK30" i="30"/>
  <c r="BK19" i="30"/>
  <c r="O37" i="30"/>
  <c r="O23" i="30"/>
  <c r="BC37" i="30"/>
  <c r="BC23" i="30"/>
  <c r="BC38" i="30"/>
  <c r="M46" i="30"/>
  <c r="M35" i="30"/>
  <c r="M30" i="30"/>
  <c r="M19" i="30"/>
  <c r="J37" i="30"/>
  <c r="J23" i="30"/>
  <c r="J38" i="30"/>
  <c r="Z46" i="30"/>
  <c r="Z35" i="30"/>
  <c r="Z30" i="30"/>
  <c r="AE48" i="30" s="1"/>
  <c r="Z19" i="30"/>
  <c r="AG46" i="30"/>
  <c r="AG35" i="30"/>
  <c r="AG30" i="30"/>
  <c r="AG19" i="30"/>
  <c r="CE46" i="30"/>
  <c r="CE35" i="30"/>
  <c r="CE30" i="30"/>
  <c r="CE19" i="30"/>
  <c r="K46" i="30"/>
  <c r="K35" i="30"/>
  <c r="K30" i="30"/>
  <c r="K19" i="30"/>
  <c r="AM48" i="30"/>
  <c r="AM40" i="30"/>
  <c r="CQ37" i="30"/>
  <c r="CQ23" i="30"/>
  <c r="CQ38" i="30"/>
  <c r="BX46" i="30"/>
  <c r="BX35" i="30"/>
  <c r="BX30" i="30"/>
  <c r="BX19" i="30"/>
  <c r="AN46" i="30"/>
  <c r="AN35" i="30"/>
  <c r="AN30" i="30"/>
  <c r="AN19" i="30"/>
  <c r="X37" i="30"/>
  <c r="X23" i="30"/>
  <c r="X38" i="30"/>
  <c r="AR37" i="30"/>
  <c r="AR23" i="30"/>
  <c r="AR38" i="30"/>
  <c r="BL37" i="30"/>
  <c r="BL23" i="30"/>
  <c r="BL38" i="30"/>
  <c r="CF37" i="30"/>
  <c r="CF23" i="30"/>
  <c r="CF38" i="30"/>
  <c r="DB40" i="30"/>
  <c r="BF46" i="30"/>
  <c r="BF35" i="30"/>
  <c r="BF30" i="30"/>
  <c r="BF19" i="30"/>
  <c r="D48" i="30"/>
  <c r="D40" i="30"/>
  <c r="W46" i="30"/>
  <c r="W35" i="30"/>
  <c r="W30" i="30"/>
  <c r="W19" i="30"/>
  <c r="BZ46" i="30"/>
  <c r="BZ35" i="30"/>
  <c r="BZ30" i="30"/>
  <c r="BZ19" i="30"/>
  <c r="AD35" i="30"/>
  <c r="AD30" i="30"/>
  <c r="AD19" i="30"/>
  <c r="CK46" i="30"/>
  <c r="D35" i="76" s="1"/>
  <c r="H35" i="76" s="1"/>
  <c r="CK35" i="30"/>
  <c r="CK30" i="30"/>
  <c r="CP48" i="30" s="1"/>
  <c r="CK19" i="30"/>
  <c r="D14" i="76" s="1"/>
  <c r="BD46" i="30"/>
  <c r="BD35" i="30"/>
  <c r="BD19" i="30"/>
  <c r="T35" i="30"/>
  <c r="T30" i="30"/>
  <c r="Y48" i="30" s="1"/>
  <c r="T19" i="30"/>
  <c r="CH46" i="30"/>
  <c r="CH35" i="30"/>
  <c r="CH30" i="30"/>
  <c r="CH19" i="30"/>
  <c r="F37" i="30"/>
  <c r="F23" i="30"/>
  <c r="F38" i="30"/>
  <c r="AE40" i="30"/>
  <c r="AY40" i="30"/>
  <c r="BS40" i="30"/>
  <c r="N48" i="30"/>
  <c r="N40" i="30"/>
  <c r="AH37" i="30"/>
  <c r="AH23" i="30"/>
  <c r="AH38" i="30"/>
  <c r="BB37" i="30"/>
  <c r="BB23" i="30"/>
  <c r="BB38" i="30"/>
  <c r="BV37" i="30"/>
  <c r="R27" i="76" s="1"/>
  <c r="Z27" i="76" s="1"/>
  <c r="BV23" i="30"/>
  <c r="BV38" i="30"/>
  <c r="R28" i="76" s="1"/>
  <c r="Z28" i="76" s="1"/>
  <c r="CP37" i="30"/>
  <c r="C27" i="76" s="1"/>
  <c r="CP23" i="30"/>
  <c r="CP38" i="30"/>
  <c r="C28" i="76" s="1"/>
  <c r="O40" i="30"/>
  <c r="O48" i="30"/>
  <c r="BC40" i="30"/>
  <c r="J48" i="30"/>
  <c r="J40" i="30"/>
  <c r="BM37" i="30"/>
  <c r="BM23" i="30"/>
  <c r="BM38" i="30"/>
  <c r="CA48" i="30"/>
  <c r="CA40" i="30"/>
  <c r="AM37" i="30"/>
  <c r="AM23" i="30"/>
  <c r="AM38" i="30"/>
  <c r="CQ40" i="30"/>
  <c r="BI46" i="30"/>
  <c r="X48" i="30"/>
  <c r="X40" i="30"/>
  <c r="AR48" i="30"/>
  <c r="AR40" i="30"/>
  <c r="BL48" i="30"/>
  <c r="BL40" i="30"/>
  <c r="CF48" i="30"/>
  <c r="CF40" i="30"/>
  <c r="E37" i="30"/>
  <c r="E23" i="30"/>
  <c r="E38" i="30"/>
  <c r="AV46" i="30"/>
  <c r="AV35" i="30"/>
  <c r="AV30" i="30"/>
  <c r="AV19" i="30"/>
  <c r="AI37" i="30"/>
  <c r="AI23" i="30"/>
  <c r="AI38" i="30"/>
  <c r="BW37" i="30"/>
  <c r="BW23" i="30"/>
  <c r="BW38" i="30"/>
  <c r="CL46" i="30"/>
  <c r="CL35" i="30"/>
  <c r="CL60" i="30" s="1"/>
  <c r="CL30" i="30"/>
  <c r="CQ48" i="30" s="1"/>
  <c r="CL19" i="30"/>
  <c r="I37" i="30"/>
  <c r="I23" i="30"/>
  <c r="I38" i="30"/>
  <c r="AC37" i="30"/>
  <c r="AC23" i="30"/>
  <c r="AC38" i="30"/>
  <c r="BQ37" i="30"/>
  <c r="BQ23" i="30"/>
  <c r="BQ38" i="30"/>
  <c r="C48" i="30"/>
  <c r="C40" i="30"/>
  <c r="AT46" i="30"/>
  <c r="AT35" i="30"/>
  <c r="AT30" i="30"/>
  <c r="AT19" i="30"/>
  <c r="CK58" i="30"/>
  <c r="D24" i="76"/>
  <c r="H24" i="76" s="1"/>
  <c r="AS37" i="30"/>
  <c r="AS23" i="30"/>
  <c r="AS38" i="30"/>
  <c r="S37" i="30"/>
  <c r="S23" i="30"/>
  <c r="S38" i="30"/>
  <c r="BG48" i="30"/>
  <c r="BG40" i="30"/>
  <c r="CG37" i="30"/>
  <c r="CG23" i="30"/>
  <c r="CG38" i="30"/>
  <c r="CC46" i="30"/>
  <c r="CC35" i="30"/>
  <c r="CC30" i="30"/>
  <c r="CC19" i="30"/>
  <c r="F48" i="30"/>
  <c r="F40" i="30"/>
  <c r="I26" i="76"/>
  <c r="AL46" i="30"/>
  <c r="AL35" i="30"/>
  <c r="AL30" i="30"/>
  <c r="AL19" i="30"/>
  <c r="CJ46" i="30"/>
  <c r="CJ35" i="30"/>
  <c r="CJ60" i="30" s="1"/>
  <c r="CJ30" i="30"/>
  <c r="CJ19" i="30"/>
  <c r="AW37" i="30"/>
  <c r="AW23" i="30"/>
  <c r="AW38" i="30"/>
  <c r="CM46" i="30"/>
  <c r="CM35" i="30"/>
  <c r="CM30" i="30"/>
  <c r="CM19" i="30"/>
  <c r="CB46" i="30"/>
  <c r="CB35" i="30"/>
  <c r="CG60" i="30" s="1"/>
  <c r="CB30" i="30"/>
  <c r="CB19" i="30"/>
  <c r="AQ46" i="30"/>
  <c r="AQ35" i="30"/>
  <c r="AQ30" i="30"/>
  <c r="AQ19" i="30"/>
  <c r="BN46" i="30"/>
  <c r="BN35" i="30"/>
  <c r="BN30" i="30"/>
  <c r="BN19" i="30"/>
  <c r="BP46" i="30"/>
  <c r="BP35" i="30"/>
  <c r="BP30" i="30"/>
  <c r="BP19" i="30"/>
  <c r="AX46" i="30"/>
  <c r="AX35" i="30"/>
  <c r="AX30" i="30"/>
  <c r="AX19" i="30"/>
  <c r="Y37" i="30"/>
  <c r="Y23" i="30"/>
  <c r="Y38" i="30"/>
  <c r="BM40" i="30"/>
  <c r="CA37" i="30"/>
  <c r="CA23" i="30"/>
  <c r="CA38" i="30"/>
  <c r="AJ46" i="30"/>
  <c r="AJ35" i="30"/>
  <c r="AJ30" i="30"/>
  <c r="AJ19" i="30"/>
  <c r="U37" i="30"/>
  <c r="U23" i="30"/>
  <c r="U38" i="30"/>
  <c r="AO37" i="30"/>
  <c r="AO23" i="30"/>
  <c r="AO38" i="30"/>
  <c r="BI37" i="30"/>
  <c r="BI23" i="30"/>
  <c r="BI38" i="30"/>
  <c r="E48" i="30"/>
  <c r="E40" i="30"/>
  <c r="AI48" i="30"/>
  <c r="AI40" i="30"/>
  <c r="BW48" i="30"/>
  <c r="BW40" i="30"/>
  <c r="I48" i="30"/>
  <c r="I40" i="30"/>
  <c r="AC48" i="30"/>
  <c r="AC40" i="30"/>
  <c r="BQ48" i="30"/>
  <c r="BQ40" i="30"/>
  <c r="AB46" i="30"/>
  <c r="AB35" i="30"/>
  <c r="AB30" i="30"/>
  <c r="AB19" i="30"/>
  <c r="D37" i="30"/>
  <c r="D23" i="30"/>
  <c r="D38" i="30"/>
  <c r="BA46" i="30"/>
  <c r="BA35" i="30"/>
  <c r="BA30" i="30"/>
  <c r="BA19" i="30"/>
  <c r="CO46" i="30"/>
  <c r="CO35" i="30"/>
  <c r="CO30" i="30"/>
  <c r="CO19" i="30"/>
  <c r="BR46" i="30"/>
  <c r="BR35" i="30"/>
  <c r="BR30" i="30"/>
  <c r="BR19" i="30"/>
  <c r="AS40" i="30"/>
  <c r="S48" i="30"/>
  <c r="S40" i="30"/>
  <c r="BG37" i="30"/>
  <c r="BG23" i="30"/>
  <c r="BG38" i="30"/>
  <c r="CG48" i="30"/>
  <c r="CG40" i="30"/>
  <c r="P46" i="30"/>
  <c r="P35" i="30"/>
  <c r="P30" i="30"/>
  <c r="U48" i="30" s="1"/>
  <c r="P19" i="30"/>
  <c r="BH46" i="30"/>
  <c r="BH35" i="30"/>
  <c r="BH30" i="30"/>
  <c r="BH19" i="30"/>
  <c r="DC46" i="30"/>
  <c r="DC35" i="30"/>
  <c r="DC30" i="30"/>
  <c r="AE46" i="30"/>
  <c r="BS46" i="30"/>
  <c r="I35" i="76"/>
  <c r="CJ58" i="30"/>
  <c r="BC46" i="30"/>
  <c r="AW48" i="30"/>
  <c r="AW40" i="30"/>
  <c r="CM58" i="30"/>
  <c r="Y40" i="30"/>
  <c r="CQ46" i="30"/>
  <c r="U40" i="30"/>
  <c r="BI40" i="30"/>
  <c r="R46" i="30"/>
  <c r="R35" i="30"/>
  <c r="R30" i="30"/>
  <c r="R19" i="30"/>
  <c r="BU46" i="30"/>
  <c r="BU35" i="30"/>
  <c r="BU30" i="30"/>
  <c r="BU19" i="30"/>
  <c r="C37" i="30"/>
  <c r="C23" i="30"/>
  <c r="C38" i="30"/>
  <c r="F16" i="76"/>
  <c r="F28" i="76" s="1"/>
  <c r="H16" i="76"/>
  <c r="I16" i="76"/>
  <c r="R14" i="76"/>
  <c r="Z14" i="76" s="1"/>
  <c r="R13" i="76"/>
  <c r="Z13" i="76" s="1"/>
  <c r="J14" i="76"/>
  <c r="I14" i="76"/>
  <c r="C14" i="76"/>
  <c r="D13" i="76"/>
  <c r="C13" i="76"/>
  <c r="R11" i="76"/>
  <c r="Z11" i="76" s="1"/>
  <c r="I190" i="89"/>
  <c r="F11" i="76"/>
  <c r="I191" i="89"/>
  <c r="D207" i="2" l="1"/>
  <c r="L207" i="2" s="1"/>
  <c r="DO10" i="36"/>
  <c r="DO58" i="36"/>
  <c r="DN20" i="36"/>
  <c r="DN30" i="36"/>
  <c r="BW236" i="45"/>
  <c r="BR236" i="45"/>
  <c r="BP236" i="45"/>
  <c r="BA208" i="40"/>
  <c r="BC208" i="40"/>
  <c r="BB208" i="40"/>
  <c r="BT236" i="45"/>
  <c r="BQ236" i="45"/>
  <c r="BU236" i="45" s="1"/>
  <c r="BO236" i="45"/>
  <c r="DZ10" i="36"/>
  <c r="DW10" i="36"/>
  <c r="BD208" i="40"/>
  <c r="AD235" i="14"/>
  <c r="BK204" i="40"/>
  <c r="BL204" i="40" s="1"/>
  <c r="BF232" i="45"/>
  <c r="BF233" i="45"/>
  <c r="BG53" i="3"/>
  <c r="AC22" i="8"/>
  <c r="J203" i="2"/>
  <c r="N203" i="2"/>
  <c r="P203" i="2"/>
  <c r="AC32" i="8"/>
  <c r="AC47" i="14" s="1"/>
  <c r="AC40" i="8"/>
  <c r="AC58" i="8"/>
  <c r="AH61" i="8"/>
  <c r="J16" i="76"/>
  <c r="V120" i="89"/>
  <c r="W84" i="89"/>
  <c r="W120" i="89" s="1"/>
  <c r="R128" i="89"/>
  <c r="S92" i="89"/>
  <c r="O127" i="89"/>
  <c r="P126" i="89"/>
  <c r="O92" i="89"/>
  <c r="S126" i="89"/>
  <c r="T90" i="89"/>
  <c r="W113" i="89"/>
  <c r="W114" i="89"/>
  <c r="W116" i="89"/>
  <c r="W115" i="89"/>
  <c r="N97" i="89"/>
  <c r="H5" i="89"/>
  <c r="H9" i="89"/>
  <c r="W118" i="89"/>
  <c r="W112" i="89"/>
  <c r="L129" i="89"/>
  <c r="L94" i="89"/>
  <c r="V86" i="89"/>
  <c r="U122" i="89"/>
  <c r="C141" i="89"/>
  <c r="B141" i="89"/>
  <c r="T123" i="89"/>
  <c r="U87" i="89"/>
  <c r="I98" i="89"/>
  <c r="H124" i="89"/>
  <c r="I123" i="89"/>
  <c r="T124" i="89"/>
  <c r="U88" i="89"/>
  <c r="V121" i="89"/>
  <c r="W85" i="89"/>
  <c r="W121" i="89" s="1"/>
  <c r="Q94" i="89"/>
  <c r="P95" i="89"/>
  <c r="R127" i="89"/>
  <c r="S91" i="89"/>
  <c r="H123" i="89"/>
  <c r="I122" i="89"/>
  <c r="M128" i="89"/>
  <c r="M93" i="89"/>
  <c r="N127" i="89"/>
  <c r="K96" i="89"/>
  <c r="S125" i="89"/>
  <c r="T89" i="89"/>
  <c r="J128" i="89"/>
  <c r="J93" i="89"/>
  <c r="K127" i="89"/>
  <c r="R93" i="89"/>
  <c r="Q129" i="89"/>
  <c r="H89" i="89"/>
  <c r="I187" i="89"/>
  <c r="I74" i="89"/>
  <c r="I110" i="89" s="1"/>
  <c r="I147" i="89" s="1"/>
  <c r="I8" i="89"/>
  <c r="CR35" i="35"/>
  <c r="CZ35" i="35"/>
  <c r="DD35" i="35"/>
  <c r="CZ37" i="35"/>
  <c r="DD37" i="35"/>
  <c r="CR37" i="35"/>
  <c r="AL7" i="35"/>
  <c r="T6" i="31"/>
  <c r="DD34" i="35"/>
  <c r="CV34" i="35"/>
  <c r="CR34" i="35"/>
  <c r="CZ34" i="35"/>
  <c r="L64" i="32"/>
  <c r="L66" i="32" s="1"/>
  <c r="K9" i="3"/>
  <c r="K15" i="3" s="1"/>
  <c r="K21" i="3" s="1"/>
  <c r="K55" i="3" s="1"/>
  <c r="K56" i="3" s="1"/>
  <c r="AY83" i="3"/>
  <c r="AW84" i="3"/>
  <c r="BQ43" i="3"/>
  <c r="BQ33" i="3"/>
  <c r="BO38" i="3"/>
  <c r="S47" i="8"/>
  <c r="S49" i="8"/>
  <c r="S50" i="8" s="1"/>
  <c r="Z49" i="8"/>
  <c r="Z50" i="8" s="1"/>
  <c r="Z47" i="8"/>
  <c r="H50" i="8"/>
  <c r="AJ46" i="8"/>
  <c r="W47" i="8"/>
  <c r="W49" i="8"/>
  <c r="X47" i="8"/>
  <c r="X49" i="8"/>
  <c r="X50" i="8" s="1"/>
  <c r="G47" i="8"/>
  <c r="G49" i="8"/>
  <c r="G50" i="8" s="1"/>
  <c r="F50" i="8"/>
  <c r="N50" i="8"/>
  <c r="AB47" i="8"/>
  <c r="AB49" i="8"/>
  <c r="AH34" i="8"/>
  <c r="U50" i="8"/>
  <c r="C47" i="8"/>
  <c r="C49" i="8"/>
  <c r="O47" i="8"/>
  <c r="O49" i="8"/>
  <c r="D50" i="8"/>
  <c r="Y50" i="8"/>
  <c r="Y66" i="8"/>
  <c r="Z63" i="8"/>
  <c r="T47" i="8"/>
  <c r="T49" i="8"/>
  <c r="T50" i="8" s="1"/>
  <c r="J50" i="8"/>
  <c r="AA47" i="8"/>
  <c r="AA49" i="8"/>
  <c r="AA50" i="8" s="1"/>
  <c r="K47" i="8"/>
  <c r="K49" i="8"/>
  <c r="K50" i="8" s="1"/>
  <c r="Z223" i="14"/>
  <c r="Z231" i="14"/>
  <c r="I142" i="14"/>
  <c r="I140" i="14"/>
  <c r="I141" i="14" s="1"/>
  <c r="E183" i="14"/>
  <c r="AA113" i="14"/>
  <c r="AA109" i="14"/>
  <c r="AB112" i="14"/>
  <c r="K304" i="14"/>
  <c r="K175" i="14"/>
  <c r="K177" i="14" s="1"/>
  <c r="P351" i="14"/>
  <c r="P283" i="14"/>
  <c r="P207" i="14"/>
  <c r="P245" i="14"/>
  <c r="P170" i="14"/>
  <c r="P132" i="14"/>
  <c r="P94" i="14"/>
  <c r="P55" i="14"/>
  <c r="Q5" i="14"/>
  <c r="O292" i="14"/>
  <c r="O305" i="14" s="1"/>
  <c r="AB216" i="14"/>
  <c r="AB225" i="14"/>
  <c r="AB219" i="14"/>
  <c r="AB220" i="14" s="1"/>
  <c r="K303" i="14"/>
  <c r="K99" i="14"/>
  <c r="K101" i="14" s="1"/>
  <c r="D65" i="14"/>
  <c r="D63" i="14"/>
  <c r="D64" i="14" s="1"/>
  <c r="Y148" i="14"/>
  <c r="Y164" i="14" s="1"/>
  <c r="Y156" i="14"/>
  <c r="I183" i="14"/>
  <c r="I306" i="14"/>
  <c r="I315" i="14" s="1"/>
  <c r="J289" i="14"/>
  <c r="D266" i="14"/>
  <c r="D255" i="14"/>
  <c r="E250" i="14"/>
  <c r="D19" i="14"/>
  <c r="D253" i="14"/>
  <c r="T356" i="14"/>
  <c r="T358" i="14" s="1"/>
  <c r="S371" i="14"/>
  <c r="S372" i="14" s="1"/>
  <c r="X22" i="14"/>
  <c r="X20" i="14"/>
  <c r="Y17" i="14"/>
  <c r="Y19" i="14" s="1"/>
  <c r="C21" i="14"/>
  <c r="C24" i="14"/>
  <c r="C25" i="14" s="1"/>
  <c r="G351" i="14"/>
  <c r="G283" i="14"/>
  <c r="G245" i="14"/>
  <c r="G207" i="14"/>
  <c r="G170" i="14"/>
  <c r="G132" i="14"/>
  <c r="G94" i="14"/>
  <c r="G55" i="14"/>
  <c r="H5" i="14"/>
  <c r="Z147" i="14"/>
  <c r="AA150" i="14"/>
  <c r="Z151" i="14"/>
  <c r="W21" i="14"/>
  <c r="W24" i="14"/>
  <c r="W25" i="14" s="1"/>
  <c r="Z110" i="14"/>
  <c r="Z126" i="14" s="1"/>
  <c r="Z118" i="14"/>
  <c r="Y292" i="14"/>
  <c r="Y305" i="14" s="1"/>
  <c r="AC212" i="14"/>
  <c r="AC214" i="14" s="1"/>
  <c r="AC215" i="14" s="1"/>
  <c r="AB217" i="14"/>
  <c r="DT56" i="30"/>
  <c r="AA222" i="14"/>
  <c r="AA226" i="14"/>
  <c r="CM128" i="36"/>
  <c r="CH133" i="36"/>
  <c r="CU138" i="36"/>
  <c r="CP143" i="36"/>
  <c r="CP144" i="36"/>
  <c r="BV162" i="36"/>
  <c r="DF161" i="36"/>
  <c r="Z141" i="36"/>
  <c r="AE141" i="36" s="1"/>
  <c r="AE131" i="36"/>
  <c r="AE130" i="36"/>
  <c r="Z140" i="36"/>
  <c r="AE140" i="36" s="1"/>
  <c r="CT158" i="36"/>
  <c r="CY148" i="36"/>
  <c r="CT152" i="36"/>
  <c r="CT154" i="36"/>
  <c r="CT153" i="36"/>
  <c r="N142" i="36"/>
  <c r="K52" i="36"/>
  <c r="P52" i="36"/>
  <c r="AE102" i="36"/>
  <c r="AE82" i="36"/>
  <c r="AJ82" i="36"/>
  <c r="BS138" i="36"/>
  <c r="BN143" i="36"/>
  <c r="BS143" i="36" s="1"/>
  <c r="BN144" i="36"/>
  <c r="AQ138" i="36"/>
  <c r="C47" i="30" s="1"/>
  <c r="AL144" i="36"/>
  <c r="AL143" i="36"/>
  <c r="AQ143" i="36" s="1"/>
  <c r="AO48" i="30"/>
  <c r="CM60" i="30"/>
  <c r="V44" i="40"/>
  <c r="DD83" i="36"/>
  <c r="BV141" i="36"/>
  <c r="CA111" i="36"/>
  <c r="BV131" i="36"/>
  <c r="BW111" i="36"/>
  <c r="CD134" i="36"/>
  <c r="CD133" i="36"/>
  <c r="CI133" i="36" s="1"/>
  <c r="CI128" i="36"/>
  <c r="CM114" i="36"/>
  <c r="CU128" i="36"/>
  <c r="CP132" i="36"/>
  <c r="CU132" i="36" s="1"/>
  <c r="CP134" i="36"/>
  <c r="CP133" i="36"/>
  <c r="CL142" i="36"/>
  <c r="CQ112" i="36"/>
  <c r="CL158" i="36"/>
  <c r="CQ148" i="36"/>
  <c r="CL153" i="36"/>
  <c r="CL154" i="36"/>
  <c r="CL152" i="36"/>
  <c r="BW138" i="36"/>
  <c r="BR144" i="36"/>
  <c r="BW144" i="36" s="1"/>
  <c r="BR143" i="36"/>
  <c r="BW143" i="36" s="1"/>
  <c r="BC142" i="36"/>
  <c r="DC140" i="36"/>
  <c r="BV164" i="36"/>
  <c r="BV163" i="36"/>
  <c r="CL159" i="36"/>
  <c r="CQ159" i="36" s="1"/>
  <c r="CQ149" i="36"/>
  <c r="AE128" i="36"/>
  <c r="Z133" i="36"/>
  <c r="Z138" i="36"/>
  <c r="Z134" i="36"/>
  <c r="Z132" i="36"/>
  <c r="CT26" i="30" a="1"/>
  <c r="DN172" i="36"/>
  <c r="AD52" i="8" s="1"/>
  <c r="DN181" i="36"/>
  <c r="DO171" i="36" s="1"/>
  <c r="DB160" i="36"/>
  <c r="DG160" i="36" s="1"/>
  <c r="DG150" i="36"/>
  <c r="BO129" i="36"/>
  <c r="DF158" i="36"/>
  <c r="DG158" i="36" s="1"/>
  <c r="DF153" i="36"/>
  <c r="DK153" i="36" s="1"/>
  <c r="DF154" i="36"/>
  <c r="DK154" i="36" s="1"/>
  <c r="DF152" i="36"/>
  <c r="DK148" i="36"/>
  <c r="DF144" i="36"/>
  <c r="DK144" i="36" s="1"/>
  <c r="DK138" i="36"/>
  <c r="DF143" i="36"/>
  <c r="DK143" i="36" s="1"/>
  <c r="CN84" i="36"/>
  <c r="CI84" i="36"/>
  <c r="CI104" i="36"/>
  <c r="AQ130" i="36"/>
  <c r="BC143" i="36"/>
  <c r="BO128" i="36"/>
  <c r="BJ132" i="36"/>
  <c r="BO132" i="36" s="1"/>
  <c r="BJ134" i="36"/>
  <c r="BK134" i="36" s="1"/>
  <c r="BJ133" i="36"/>
  <c r="BK133" i="36" s="1"/>
  <c r="AI130" i="36"/>
  <c r="CH159" i="36"/>
  <c r="CM159" i="36" s="1"/>
  <c r="CM149" i="36"/>
  <c r="AX134" i="36"/>
  <c r="BC134" i="36" s="1"/>
  <c r="CH161" i="36"/>
  <c r="CM151" i="36"/>
  <c r="J139" i="36"/>
  <c r="O139" i="36" s="1"/>
  <c r="O129" i="36"/>
  <c r="CL161" i="36"/>
  <c r="CQ161" i="36" s="1"/>
  <c r="CQ151" i="36"/>
  <c r="AP144" i="36"/>
  <c r="AU144" i="36" s="1"/>
  <c r="CY128" i="36"/>
  <c r="DC128" i="36" s="1"/>
  <c r="DG128" i="36" s="1"/>
  <c r="DK128" i="36" s="1"/>
  <c r="CT133" i="36"/>
  <c r="CY133" i="36" s="1"/>
  <c r="CT132" i="36"/>
  <c r="CT134" i="36"/>
  <c r="AH113" i="36"/>
  <c r="AM113" i="36" s="1"/>
  <c r="AM128" i="36"/>
  <c r="DK159" i="36"/>
  <c r="DB139" i="36"/>
  <c r="DB149" i="36"/>
  <c r="DG109" i="36"/>
  <c r="DB129" i="36"/>
  <c r="DB114" i="36"/>
  <c r="DB112" i="36"/>
  <c r="DB113" i="36"/>
  <c r="V140" i="36"/>
  <c r="AA140" i="36" s="1"/>
  <c r="AA130" i="36"/>
  <c r="DC112" i="36"/>
  <c r="CX142" i="36"/>
  <c r="CI151" i="36"/>
  <c r="CF82" i="36"/>
  <c r="CA82" i="36"/>
  <c r="CA102" i="36"/>
  <c r="N138" i="36"/>
  <c r="N132" i="36"/>
  <c r="N133" i="36"/>
  <c r="S128" i="36"/>
  <c r="DG148" i="36"/>
  <c r="DB216" i="36"/>
  <c r="DF206" i="36"/>
  <c r="CF28" i="30"/>
  <c r="BK114" i="36"/>
  <c r="K54" i="36"/>
  <c r="P54" i="36"/>
  <c r="AD138" i="36"/>
  <c r="AD128" i="36"/>
  <c r="AD113" i="36"/>
  <c r="AI113" i="36" s="1"/>
  <c r="AI108" i="36"/>
  <c r="AD114" i="36"/>
  <c r="AI114" i="36" s="1"/>
  <c r="AD112" i="36"/>
  <c r="AI112" i="36" s="1"/>
  <c r="BS113" i="36"/>
  <c r="BS128" i="36"/>
  <c r="BN133" i="36"/>
  <c r="BN132" i="36"/>
  <c r="BN134" i="36"/>
  <c r="BS134" i="36" s="1"/>
  <c r="BZ160" i="36"/>
  <c r="BK142" i="36"/>
  <c r="AP141" i="36"/>
  <c r="AP131" i="36"/>
  <c r="AU111" i="36"/>
  <c r="AP112" i="36"/>
  <c r="BR160" i="36"/>
  <c r="BW160" i="36" s="1"/>
  <c r="BW150" i="36"/>
  <c r="CP142" i="36"/>
  <c r="CU112" i="36"/>
  <c r="BR142" i="36"/>
  <c r="DF142" i="36"/>
  <c r="R128" i="36"/>
  <c r="R114" i="36"/>
  <c r="R112" i="36"/>
  <c r="W108" i="36"/>
  <c r="R113" i="36"/>
  <c r="DJ207" i="36"/>
  <c r="DF217" i="36"/>
  <c r="CL28" i="30"/>
  <c r="BZ149" i="36"/>
  <c r="BZ139" i="36"/>
  <c r="BZ129" i="36"/>
  <c r="CE109" i="36"/>
  <c r="CA109" i="36"/>
  <c r="DC83" i="36"/>
  <c r="DH83" i="36" s="1"/>
  <c r="DC103" i="36"/>
  <c r="DJ133" i="36"/>
  <c r="N130" i="36"/>
  <c r="S110" i="36"/>
  <c r="R139" i="36"/>
  <c r="W139" i="36" s="1"/>
  <c r="W129" i="36"/>
  <c r="CD142" i="36"/>
  <c r="CI142" i="36" s="1"/>
  <c r="CI112" i="36"/>
  <c r="CD158" i="36"/>
  <c r="CI148" i="36"/>
  <c r="CD153" i="36"/>
  <c r="CI153" i="36" s="1"/>
  <c r="AF82" i="36"/>
  <c r="AZ82" i="36"/>
  <c r="AU82" i="36"/>
  <c r="AU102" i="36"/>
  <c r="AT141" i="36"/>
  <c r="AY141" i="36" s="1"/>
  <c r="AT131" i="36"/>
  <c r="AY111" i="36"/>
  <c r="AT112" i="36"/>
  <c r="V129" i="36"/>
  <c r="V133" i="36" s="1"/>
  <c r="AA133" i="36" s="1"/>
  <c r="AA109" i="36"/>
  <c r="CM138" i="36"/>
  <c r="CH143" i="36"/>
  <c r="CM143" i="36" s="1"/>
  <c r="CP158" i="36"/>
  <c r="CP154" i="36"/>
  <c r="CU154" i="36" s="1"/>
  <c r="CP152" i="36"/>
  <c r="CU148" i="36"/>
  <c r="CP153" i="36"/>
  <c r="CU153" i="36" s="1"/>
  <c r="CQ128" i="36"/>
  <c r="CL133" i="36"/>
  <c r="CL134" i="36"/>
  <c r="CQ134" i="36" s="1"/>
  <c r="CL132" i="36"/>
  <c r="CQ132" i="36" s="1"/>
  <c r="BW128" i="36"/>
  <c r="BR134" i="36"/>
  <c r="BR133" i="36"/>
  <c r="BW133" i="36" s="1"/>
  <c r="BR132" i="36"/>
  <c r="CD159" i="36"/>
  <c r="CI149" i="36"/>
  <c r="AE112" i="36"/>
  <c r="BV112" i="36"/>
  <c r="BR159" i="36"/>
  <c r="BW159" i="36" s="1"/>
  <c r="BW149" i="36"/>
  <c r="BG143" i="36"/>
  <c r="CY139" i="36"/>
  <c r="CA140" i="36"/>
  <c r="V113" i="36"/>
  <c r="AA113" i="36" s="1"/>
  <c r="DB161" i="36"/>
  <c r="DG151" i="36"/>
  <c r="DC151" i="36"/>
  <c r="AI84" i="36"/>
  <c r="AN84" i="36"/>
  <c r="AI104" i="36"/>
  <c r="CY140" i="36"/>
  <c r="DF133" i="36"/>
  <c r="DF134" i="36"/>
  <c r="DF132" i="36"/>
  <c r="BJ142" i="36"/>
  <c r="BO112" i="36"/>
  <c r="DN184" i="36"/>
  <c r="AX133" i="36"/>
  <c r="BC133" i="36" s="1"/>
  <c r="O131" i="36"/>
  <c r="J141" i="36"/>
  <c r="O141" i="36" s="1"/>
  <c r="Z139" i="36"/>
  <c r="AE139" i="36" s="1"/>
  <c r="AE129" i="36"/>
  <c r="AY134" i="36"/>
  <c r="DG138" i="36"/>
  <c r="CY114" i="36"/>
  <c r="DC114" i="36" s="1"/>
  <c r="DG114" i="36" s="1"/>
  <c r="DK114" i="36" s="1"/>
  <c r="AI103" i="36"/>
  <c r="AI83" i="36"/>
  <c r="AN83" i="36"/>
  <c r="CU159" i="36"/>
  <c r="AM140" i="36"/>
  <c r="S139" i="36"/>
  <c r="DC84" i="36"/>
  <c r="DH84" i="36" s="1"/>
  <c r="DC104" i="36"/>
  <c r="DJ159" i="36"/>
  <c r="CX158" i="36"/>
  <c r="DC148" i="36"/>
  <c r="CX153" i="36"/>
  <c r="CX154" i="36"/>
  <c r="CX152" i="36"/>
  <c r="CA84" i="36"/>
  <c r="CF84" i="36"/>
  <c r="CA104" i="36"/>
  <c r="CB84" i="36"/>
  <c r="S108" i="36"/>
  <c r="AL141" i="36"/>
  <c r="AL131" i="36"/>
  <c r="AQ111" i="36"/>
  <c r="AM111" i="36"/>
  <c r="J110" i="36"/>
  <c r="K80" i="36"/>
  <c r="K100" i="36"/>
  <c r="J84" i="36"/>
  <c r="K84" i="36" s="1"/>
  <c r="J82" i="36"/>
  <c r="K82" i="36" s="1"/>
  <c r="AE103" i="36"/>
  <c r="AE83" i="36"/>
  <c r="AJ83" i="36"/>
  <c r="BN142" i="36"/>
  <c r="BS112" i="36"/>
  <c r="AL112" i="36"/>
  <c r="AQ112" i="36" s="1"/>
  <c r="DB215" i="36"/>
  <c r="DF205" i="36"/>
  <c r="CE28" i="30"/>
  <c r="CD144" i="36"/>
  <c r="CI138" i="36"/>
  <c r="CD143" i="36"/>
  <c r="CI143" i="36" s="1"/>
  <c r="CH158" i="36"/>
  <c r="CM148" i="36"/>
  <c r="CH153" i="36"/>
  <c r="CM153" i="36" s="1"/>
  <c r="CX160" i="36"/>
  <c r="DC160" i="36" s="1"/>
  <c r="DC150" i="36"/>
  <c r="AH139" i="36"/>
  <c r="AH129" i="36"/>
  <c r="AH134" i="36" s="1"/>
  <c r="AM134" i="36" s="1"/>
  <c r="AM109" i="36"/>
  <c r="AI109" i="36"/>
  <c r="J133" i="36"/>
  <c r="O133" i="36" s="1"/>
  <c r="J138" i="36"/>
  <c r="O128" i="36"/>
  <c r="CX159" i="36"/>
  <c r="DC149" i="36"/>
  <c r="R130" i="36"/>
  <c r="W110" i="36"/>
  <c r="CQ160" i="36"/>
  <c r="CT142" i="36"/>
  <c r="CY142" i="36" s="1"/>
  <c r="CY112" i="36"/>
  <c r="AM138" i="36"/>
  <c r="DC138" i="36"/>
  <c r="CX144" i="36"/>
  <c r="CX143" i="36"/>
  <c r="CA83" i="36"/>
  <c r="CF83" i="36"/>
  <c r="CA103" i="36"/>
  <c r="CB83" i="36"/>
  <c r="BV134" i="36"/>
  <c r="BV161" i="36"/>
  <c r="CA151" i="36"/>
  <c r="BW151" i="36"/>
  <c r="AP134" i="36"/>
  <c r="AU134" i="36" s="1"/>
  <c r="BW130" i="36"/>
  <c r="CA160" i="36"/>
  <c r="CI114" i="36"/>
  <c r="AV82" i="36"/>
  <c r="CH142" i="36"/>
  <c r="CM142" i="36" s="1"/>
  <c r="CM112" i="36"/>
  <c r="CQ113" i="36"/>
  <c r="CL144" i="36"/>
  <c r="CQ144" i="36" s="1"/>
  <c r="CQ138" i="36"/>
  <c r="CL143" i="36"/>
  <c r="CQ143" i="36" s="1"/>
  <c r="BR152" i="36"/>
  <c r="BR153" i="36"/>
  <c r="BW153" i="36" s="1"/>
  <c r="BW148" i="36"/>
  <c r="BR154" i="36"/>
  <c r="BW154" i="36" s="1"/>
  <c r="BR158" i="36"/>
  <c r="BS139" i="36"/>
  <c r="DK52" i="36"/>
  <c r="DL52" i="36"/>
  <c r="DJ102" i="36"/>
  <c r="AC43" i="8" s="1"/>
  <c r="AC44" i="8" s="1"/>
  <c r="DK81" i="36"/>
  <c r="DJ82" i="36"/>
  <c r="DL81" i="36"/>
  <c r="BG144" i="36"/>
  <c r="AA131" i="36"/>
  <c r="V141" i="36"/>
  <c r="AA141" i="36" s="1"/>
  <c r="CT159" i="36"/>
  <c r="CY149" i="36"/>
  <c r="DO170" i="36"/>
  <c r="CE161" i="36"/>
  <c r="V114" i="36"/>
  <c r="AA114" i="36" s="1"/>
  <c r="V134" i="36"/>
  <c r="AA134" i="36" s="1"/>
  <c r="AA128" i="36"/>
  <c r="V138" i="36"/>
  <c r="DG141" i="36"/>
  <c r="DC141" i="36"/>
  <c r="CU139" i="36"/>
  <c r="AX144" i="36"/>
  <c r="BC144" i="36" s="1"/>
  <c r="BO138" i="36"/>
  <c r="BJ143" i="36"/>
  <c r="BK143" i="36" s="1"/>
  <c r="BJ144" i="36"/>
  <c r="BO144" i="36" s="1"/>
  <c r="CH150" i="36"/>
  <c r="CH152" i="36" s="1"/>
  <c r="CH140" i="36"/>
  <c r="CM140" i="36" s="1"/>
  <c r="CH130" i="36"/>
  <c r="CM130" i="36" s="1"/>
  <c r="CM110" i="36"/>
  <c r="BG81" i="45"/>
  <c r="BD81" i="45"/>
  <c r="CM129" i="36"/>
  <c r="AX132" i="36"/>
  <c r="BC132" i="36" s="1"/>
  <c r="CM141" i="36"/>
  <c r="AY114" i="36"/>
  <c r="AU143" i="36"/>
  <c r="CY113" i="36"/>
  <c r="DC113" i="36" s="1"/>
  <c r="DG113" i="36" s="1"/>
  <c r="DK113" i="36" s="1"/>
  <c r="CY138" i="36"/>
  <c r="CT143" i="36"/>
  <c r="CY143" i="36" s="1"/>
  <c r="CT144" i="36"/>
  <c r="AH114" i="36"/>
  <c r="AM114" i="36" s="1"/>
  <c r="DK149" i="36"/>
  <c r="CD150" i="36"/>
  <c r="CD152" i="36" s="1"/>
  <c r="CD140" i="36"/>
  <c r="CI140" i="36" s="1"/>
  <c r="CD130" i="36"/>
  <c r="CI130" i="36" s="1"/>
  <c r="CI110" i="36"/>
  <c r="DF208" i="36"/>
  <c r="DB218" i="36"/>
  <c r="CH28" i="30"/>
  <c r="S129" i="36"/>
  <c r="DC82" i="36"/>
  <c r="DH82" i="36"/>
  <c r="DC102" i="36"/>
  <c r="CX134" i="36"/>
  <c r="CX133" i="36"/>
  <c r="CX132" i="36"/>
  <c r="BZ148" i="36"/>
  <c r="BZ138" i="36"/>
  <c r="BZ128" i="36"/>
  <c r="CE108" i="36"/>
  <c r="BZ114" i="36"/>
  <c r="BZ112" i="36"/>
  <c r="BZ113" i="36"/>
  <c r="CA108" i="36"/>
  <c r="S113" i="36"/>
  <c r="AE104" i="36"/>
  <c r="AJ84" i="36"/>
  <c r="AE84" i="36"/>
  <c r="BS114" i="36"/>
  <c r="AL134" i="36"/>
  <c r="AQ134" i="36" s="1"/>
  <c r="AL133" i="36"/>
  <c r="AQ133" i="36" s="1"/>
  <c r="AQ128" i="36"/>
  <c r="CE110" i="36"/>
  <c r="BK112" i="36"/>
  <c r="D128" i="40"/>
  <c r="H128" i="40" s="1"/>
  <c r="AT128" i="40"/>
  <c r="BD163" i="40"/>
  <c r="BT191" i="45"/>
  <c r="BT192" i="45" s="1"/>
  <c r="BH130" i="45"/>
  <c r="BA130" i="45"/>
  <c r="BL130" i="45"/>
  <c r="BK130" i="45"/>
  <c r="BJ130" i="45"/>
  <c r="BA137" i="45"/>
  <c r="BM130" i="45"/>
  <c r="V124" i="40"/>
  <c r="T128" i="40"/>
  <c r="V128" i="40" s="1"/>
  <c r="BP205" i="45"/>
  <c r="BD177" i="40"/>
  <c r="BA177" i="40"/>
  <c r="BK184" i="40" s="1"/>
  <c r="BO205" i="45"/>
  <c r="BW205" i="45"/>
  <c r="BT205" i="45"/>
  <c r="BR205" i="45"/>
  <c r="BC177" i="40"/>
  <c r="BU191" i="45"/>
  <c r="BQ192" i="45"/>
  <c r="V131" i="40"/>
  <c r="AK131" i="40"/>
  <c r="AE124" i="40"/>
  <c r="P124" i="40"/>
  <c r="BB177" i="40"/>
  <c r="AK135" i="40"/>
  <c r="F156" i="40"/>
  <c r="H156" i="40" s="1"/>
  <c r="BP191" i="45"/>
  <c r="BA163" i="40"/>
  <c r="BO191" i="45"/>
  <c r="BO192" i="45" s="1"/>
  <c r="BR191" i="45"/>
  <c r="BR192" i="45" s="1"/>
  <c r="BC163" i="40"/>
  <c r="BK170" i="40" s="1"/>
  <c r="BW191" i="45"/>
  <c r="D455" i="47"/>
  <c r="J455" i="47" s="1"/>
  <c r="R455" i="47" s="1"/>
  <c r="AG184" i="45"/>
  <c r="D462" i="47"/>
  <c r="F455" i="47"/>
  <c r="H462" i="47"/>
  <c r="F462" i="47"/>
  <c r="AI124" i="40"/>
  <c r="AK124" i="40" s="1"/>
  <c r="AG128" i="40"/>
  <c r="AI128" i="40" s="1"/>
  <c r="BQ205" i="45"/>
  <c r="BU205" i="45" s="1"/>
  <c r="BH144" i="45"/>
  <c r="BO144" i="45"/>
  <c r="BP144" i="45"/>
  <c r="BG144" i="45"/>
  <c r="AU174" i="47"/>
  <c r="AW174" i="47"/>
  <c r="V93" i="40"/>
  <c r="V121" i="40"/>
  <c r="AN174" i="40"/>
  <c r="AS185" i="47"/>
  <c r="R167" i="40"/>
  <c r="AW177" i="47"/>
  <c r="AU177" i="47"/>
  <c r="V51" i="40"/>
  <c r="T176" i="40"/>
  <c r="V176" i="40" s="1"/>
  <c r="AG176" i="40"/>
  <c r="D176" i="40"/>
  <c r="H176" i="40" s="1"/>
  <c r="AW207" i="47"/>
  <c r="AU207" i="47"/>
  <c r="V30" i="40"/>
  <c r="AU178" i="47"/>
  <c r="AK128" i="40"/>
  <c r="AE142" i="40"/>
  <c r="P142" i="40"/>
  <c r="AG160" i="40"/>
  <c r="D160" i="40"/>
  <c r="H160" i="40" s="1"/>
  <c r="T160" i="40"/>
  <c r="V160" i="40" s="1"/>
  <c r="AT160" i="40"/>
  <c r="AO163" i="40"/>
  <c r="AS181" i="47"/>
  <c r="AN190" i="40"/>
  <c r="R183" i="40"/>
  <c r="AS201" i="47"/>
  <c r="T189" i="40"/>
  <c r="V189" i="40" s="1"/>
  <c r="AG189" i="40"/>
  <c r="D189" i="40"/>
  <c r="H189" i="40" s="1"/>
  <c r="T156" i="40"/>
  <c r="V156" i="40" s="1"/>
  <c r="V152" i="40"/>
  <c r="P149" i="40"/>
  <c r="AE135" i="40"/>
  <c r="P135" i="40"/>
  <c r="AN173" i="40"/>
  <c r="AN170" i="40"/>
  <c r="AS188" i="47" s="1"/>
  <c r="R166" i="40"/>
  <c r="AS184" i="47"/>
  <c r="AN203" i="40"/>
  <c r="R196" i="40"/>
  <c r="AS214" i="47"/>
  <c r="AK51" i="40"/>
  <c r="P152" i="40"/>
  <c r="P169" i="40"/>
  <c r="V72" i="40"/>
  <c r="AG159" i="40"/>
  <c r="D159" i="40"/>
  <c r="H159" i="40" s="1"/>
  <c r="T159" i="40"/>
  <c r="R163" i="40"/>
  <c r="AT159" i="40"/>
  <c r="AW194" i="47"/>
  <c r="AU194" i="47"/>
  <c r="AG156" i="40"/>
  <c r="V58" i="40"/>
  <c r="AP316" i="47"/>
  <c r="Z267" i="47"/>
  <c r="Z79" i="47"/>
  <c r="Z507" i="47"/>
  <c r="Z354" i="47"/>
  <c r="AL323" i="47"/>
  <c r="AN323" i="47" s="1"/>
  <c r="AP323" i="47" s="1"/>
  <c r="Z469" i="47"/>
  <c r="AP65" i="47"/>
  <c r="Z114" i="47"/>
  <c r="Z121" i="47"/>
  <c r="AE374" i="47"/>
  <c r="Z295" i="47"/>
  <c r="Z413" i="47"/>
  <c r="Z556" i="47"/>
  <c r="Z563" i="47"/>
  <c r="D323" i="47"/>
  <c r="J323" i="47" s="1"/>
  <c r="R323" i="47" s="1"/>
  <c r="H323" i="47"/>
  <c r="AE379" i="47"/>
  <c r="AN379" i="47" s="1"/>
  <c r="AC379" i="47"/>
  <c r="AE378" i="47"/>
  <c r="Z497" i="47"/>
  <c r="R181" i="47"/>
  <c r="AP302" i="47"/>
  <c r="AP274" i="47"/>
  <c r="AX123" i="44"/>
  <c r="AT123" i="44"/>
  <c r="AT124" i="44"/>
  <c r="BC123" i="44"/>
  <c r="BC109" i="44"/>
  <c r="G74" i="44"/>
  <c r="I74" i="44" s="1"/>
  <c r="I73" i="44"/>
  <c r="AX136" i="44"/>
  <c r="AY136" i="44" s="1"/>
  <c r="AU136" i="44"/>
  <c r="AT136" i="44"/>
  <c r="BC136" i="44"/>
  <c r="K223" i="44"/>
  <c r="Q222" i="44"/>
  <c r="AS116" i="44"/>
  <c r="F200" i="44"/>
  <c r="BE212" i="44"/>
  <c r="AX212" i="44"/>
  <c r="AY212" i="44" s="1"/>
  <c r="AT212" i="44"/>
  <c r="AU212" i="44"/>
  <c r="BC212" i="44"/>
  <c r="I66" i="44"/>
  <c r="G67" i="44"/>
  <c r="I67" i="44" s="1"/>
  <c r="AS200" i="44"/>
  <c r="BC200" i="44" s="1"/>
  <c r="AO152" i="44"/>
  <c r="AQ152" i="44" s="1"/>
  <c r="AN152" i="44"/>
  <c r="AD160" i="44"/>
  <c r="AD156" i="44"/>
  <c r="AF153" i="44"/>
  <c r="AD152" i="44"/>
  <c r="AF152" i="44" s="1"/>
  <c r="M160" i="44"/>
  <c r="M152" i="44"/>
  <c r="M156" i="44" s="1"/>
  <c r="M157" i="44" s="1"/>
  <c r="M158" i="44" s="1"/>
  <c r="K214" i="44"/>
  <c r="AB131" i="44"/>
  <c r="L215" i="44" s="1"/>
  <c r="AC130" i="44"/>
  <c r="AS130" i="44"/>
  <c r="AS137" i="44"/>
  <c r="BD137" i="44" s="1"/>
  <c r="AC222" i="44"/>
  <c r="AA223" i="44"/>
  <c r="AB194" i="44"/>
  <c r="P110" i="44"/>
  <c r="AY104" i="44"/>
  <c r="AH100" i="44" s="1"/>
  <c r="AH101" i="44" s="1"/>
  <c r="AI104" i="44"/>
  <c r="AY107" i="44"/>
  <c r="BE109" i="44"/>
  <c r="AX109" i="44"/>
  <c r="AT109" i="44"/>
  <c r="AU109" i="44"/>
  <c r="AT110" i="44"/>
  <c r="Q226" i="44"/>
  <c r="Q233" i="44"/>
  <c r="AY72" i="44"/>
  <c r="AH72" i="44" s="1"/>
  <c r="AH73" i="44" s="1"/>
  <c r="AH74" i="44" s="1"/>
  <c r="AY69" i="44"/>
  <c r="AH65" i="44" s="1"/>
  <c r="AH66" i="44" s="1"/>
  <c r="AH67" i="44" s="1"/>
  <c r="AI69" i="44"/>
  <c r="I80" i="44"/>
  <c r="G81" i="44"/>
  <c r="I81" i="44" s="1"/>
  <c r="BC207" i="44"/>
  <c r="F207" i="44"/>
  <c r="D222" i="44"/>
  <c r="AS222" i="44" s="1"/>
  <c r="F138" i="44"/>
  <c r="D142" i="44"/>
  <c r="AS138" i="44"/>
  <c r="BC138" i="44" s="1"/>
  <c r="L187" i="44"/>
  <c r="Q193" i="44"/>
  <c r="AA164" i="44"/>
  <c r="AC163" i="44"/>
  <c r="AH93" i="44"/>
  <c r="AH94" i="44" s="1"/>
  <c r="I115" i="44"/>
  <c r="G116" i="44"/>
  <c r="AY205" i="44"/>
  <c r="AF149" i="44"/>
  <c r="AD150" i="44"/>
  <c r="BD123" i="44"/>
  <c r="AC229" i="44"/>
  <c r="AA230" i="44"/>
  <c r="AC236" i="44"/>
  <c r="AT192" i="44"/>
  <c r="AX192" i="44"/>
  <c r="AY192" i="44" s="1"/>
  <c r="BE192" i="44"/>
  <c r="AU192" i="44"/>
  <c r="BD138" i="44"/>
  <c r="AY111" i="44"/>
  <c r="AI111" i="44"/>
  <c r="AY114" i="44"/>
  <c r="AH114" i="44" s="1"/>
  <c r="BD102" i="44"/>
  <c r="AS102" i="44"/>
  <c r="Q220" i="44"/>
  <c r="AS220" i="44"/>
  <c r="AL151" i="44"/>
  <c r="AN150" i="44"/>
  <c r="AO150" i="44"/>
  <c r="AQ150" i="44" s="1"/>
  <c r="I108" i="44"/>
  <c r="G109" i="44"/>
  <c r="I109" i="44" s="1"/>
  <c r="AS250" i="44"/>
  <c r="AC250" i="44"/>
  <c r="AA251" i="44"/>
  <c r="AC193" i="44"/>
  <c r="AS193" i="44"/>
  <c r="I102" i="44"/>
  <c r="U269" i="44"/>
  <c r="W268" i="44"/>
  <c r="Q145" i="44"/>
  <c r="O145" i="44"/>
  <c r="AT101" i="44"/>
  <c r="AX101" i="44"/>
  <c r="AY101" i="44" s="1"/>
  <c r="AU101" i="44"/>
  <c r="BE101" i="44"/>
  <c r="BC101" i="44"/>
  <c r="AI132" i="44"/>
  <c r="AY132" i="44"/>
  <c r="AU108" i="44"/>
  <c r="BE207" i="44"/>
  <c r="AU207" i="44"/>
  <c r="AX207" i="44"/>
  <c r="AT207" i="44"/>
  <c r="AT208" i="44"/>
  <c r="AN123" i="44"/>
  <c r="BE123" i="44"/>
  <c r="AM124" i="44"/>
  <c r="AN130" i="44"/>
  <c r="AF143" i="44"/>
  <c r="AD144" i="44"/>
  <c r="K227" i="44"/>
  <c r="AB187" i="44"/>
  <c r="P103" i="44"/>
  <c r="AX206" i="44"/>
  <c r="AY206" i="44" s="1"/>
  <c r="AU206" i="44"/>
  <c r="AT206" i="44"/>
  <c r="BE206" i="44"/>
  <c r="BD206" i="44"/>
  <c r="AO137" i="44"/>
  <c r="AQ137" i="44" s="1"/>
  <c r="BE137" i="44"/>
  <c r="AN137" i="44"/>
  <c r="F146" i="44"/>
  <c r="AS146" i="44"/>
  <c r="D153" i="44"/>
  <c r="BC146" i="44"/>
  <c r="D149" i="44"/>
  <c r="D145" i="44"/>
  <c r="H146" i="44"/>
  <c r="AA166" i="44"/>
  <c r="AC166" i="44" s="1"/>
  <c r="AA170" i="44"/>
  <c r="AA174" i="44"/>
  <c r="AC167" i="44"/>
  <c r="Q200" i="44"/>
  <c r="AX213" i="44"/>
  <c r="AY213" i="44" s="1"/>
  <c r="AU213" i="44"/>
  <c r="BE213" i="44"/>
  <c r="AT213" i="44"/>
  <c r="BC213" i="44"/>
  <c r="AL157" i="44"/>
  <c r="AO156" i="44"/>
  <c r="AQ156" i="44" s="1"/>
  <c r="AN156" i="44"/>
  <c r="AF145" i="44"/>
  <c r="K229" i="44"/>
  <c r="K268" i="44"/>
  <c r="Q265" i="44"/>
  <c r="DO53" i="30"/>
  <c r="BE199" i="44"/>
  <c r="AT199" i="44"/>
  <c r="AU199" i="44"/>
  <c r="AX199" i="44"/>
  <c r="AY199" i="44" s="1"/>
  <c r="BD199" i="44"/>
  <c r="AA158" i="44"/>
  <c r="AC158" i="44" s="1"/>
  <c r="AC157" i="44"/>
  <c r="Q213" i="44"/>
  <c r="BD213" i="44"/>
  <c r="AX95" i="44"/>
  <c r="AT95" i="44"/>
  <c r="AU95" i="44"/>
  <c r="BE95" i="44"/>
  <c r="AT96" i="44"/>
  <c r="BC95" i="44"/>
  <c r="Q149" i="44"/>
  <c r="Q142" i="44"/>
  <c r="K143" i="44"/>
  <c r="O142" i="44"/>
  <c r="AQ143" i="44"/>
  <c r="BD207" i="44"/>
  <c r="AB215" i="44"/>
  <c r="P131" i="44"/>
  <c r="D258" i="44"/>
  <c r="F257" i="44"/>
  <c r="BD146" i="44"/>
  <c r="BC193" i="44"/>
  <c r="F193" i="44"/>
  <c r="AS186" i="44"/>
  <c r="BD186" i="44" s="1"/>
  <c r="AY125" i="44"/>
  <c r="AH121" i="44" s="1"/>
  <c r="AI125" i="44"/>
  <c r="AX139" i="44"/>
  <c r="AT139" i="44"/>
  <c r="AU139" i="44"/>
  <c r="BE139" i="44"/>
  <c r="AU219" i="44"/>
  <c r="BE219" i="44"/>
  <c r="AX219" i="44"/>
  <c r="AY219" i="44" s="1"/>
  <c r="AT219" i="44"/>
  <c r="BC219" i="44"/>
  <c r="AT129" i="44"/>
  <c r="BE129" i="44"/>
  <c r="AX129" i="44"/>
  <c r="AY129" i="44" s="1"/>
  <c r="AU129" i="44"/>
  <c r="BC129" i="44"/>
  <c r="AY51" i="44"/>
  <c r="AY48" i="44"/>
  <c r="E201" i="44"/>
  <c r="BD139" i="44"/>
  <c r="I87" i="44"/>
  <c r="AL159" i="44"/>
  <c r="AL167" i="44"/>
  <c r="AL163" i="44"/>
  <c r="AO160" i="44"/>
  <c r="AQ160" i="44" s="1"/>
  <c r="AN160" i="44"/>
  <c r="BD95" i="44"/>
  <c r="AY128" i="44"/>
  <c r="AO144" i="44"/>
  <c r="AQ144" i="44" s="1"/>
  <c r="AN144" i="44"/>
  <c r="K221" i="44"/>
  <c r="AC137" i="44"/>
  <c r="AS214" i="44"/>
  <c r="AC214" i="44"/>
  <c r="AC221" i="44"/>
  <c r="BC192" i="44"/>
  <c r="AA226" i="44"/>
  <c r="M143" i="44"/>
  <c r="AU244" i="44"/>
  <c r="AX244" i="44"/>
  <c r="BE244" i="44"/>
  <c r="AT244" i="44"/>
  <c r="BC244" i="44"/>
  <c r="AT247" i="44"/>
  <c r="BE185" i="44"/>
  <c r="AT185" i="44"/>
  <c r="AX185" i="44"/>
  <c r="AY185" i="44" s="1"/>
  <c r="BC185" i="44"/>
  <c r="Q153" i="44"/>
  <c r="O153" i="44"/>
  <c r="K160" i="44"/>
  <c r="K152" i="44"/>
  <c r="F214" i="44"/>
  <c r="Q251" i="44"/>
  <c r="Q258" i="44"/>
  <c r="K252" i="44"/>
  <c r="DM53" i="30"/>
  <c r="L254" i="44"/>
  <c r="BG39" i="30"/>
  <c r="BG25" i="30"/>
  <c r="AL48" i="30"/>
  <c r="AL40" i="30"/>
  <c r="CC48" i="30"/>
  <c r="CC40" i="30"/>
  <c r="CL37" i="30"/>
  <c r="CL23" i="30"/>
  <c r="CL38" i="30"/>
  <c r="AI39" i="30"/>
  <c r="AI25" i="30"/>
  <c r="BV39" i="30"/>
  <c r="R29" i="76" s="1"/>
  <c r="Z29" i="76" s="1"/>
  <c r="BV25" i="30"/>
  <c r="R18" i="76"/>
  <c r="Z18" i="76" s="1"/>
  <c r="BX48" i="30"/>
  <c r="BX40" i="30"/>
  <c r="K37" i="30"/>
  <c r="K23" i="30"/>
  <c r="K38" i="30"/>
  <c r="BU48" i="30"/>
  <c r="BU40" i="30"/>
  <c r="R48" i="30"/>
  <c r="R40" i="30"/>
  <c r="DC48" i="30"/>
  <c r="DC40" i="30"/>
  <c r="BH48" i="30"/>
  <c r="BH40" i="30"/>
  <c r="P48" i="30"/>
  <c r="P40" i="30"/>
  <c r="BR37" i="30"/>
  <c r="BR23" i="30"/>
  <c r="BR38" i="30"/>
  <c r="CO37" i="30"/>
  <c r="CO23" i="30"/>
  <c r="CO38" i="30"/>
  <c r="BA37" i="30"/>
  <c r="BA23" i="30"/>
  <c r="BA38" i="30"/>
  <c r="AB48" i="30"/>
  <c r="AB40" i="30"/>
  <c r="BI39" i="30"/>
  <c r="BI25" i="30"/>
  <c r="AJ37" i="30"/>
  <c r="AJ23" i="30"/>
  <c r="AJ38" i="30"/>
  <c r="BM48" i="30"/>
  <c r="AX37" i="30"/>
  <c r="AX23" i="30"/>
  <c r="AX38" i="30"/>
  <c r="BP37" i="30"/>
  <c r="BP23" i="30"/>
  <c r="BP38" i="30"/>
  <c r="BN37" i="30"/>
  <c r="BN23" i="30"/>
  <c r="BN38" i="30"/>
  <c r="AQ37" i="30"/>
  <c r="AQ23" i="30"/>
  <c r="AQ38" i="30"/>
  <c r="CB37" i="30"/>
  <c r="CB23" i="30"/>
  <c r="CB38" i="30"/>
  <c r="CM37" i="30"/>
  <c r="CM23" i="30"/>
  <c r="CM38" i="30"/>
  <c r="AT48" i="30"/>
  <c r="AT40" i="30"/>
  <c r="I39" i="30"/>
  <c r="I25" i="30"/>
  <c r="AV37" i="30"/>
  <c r="AV23" i="30"/>
  <c r="AV38" i="30"/>
  <c r="BM39" i="30"/>
  <c r="BM25" i="30"/>
  <c r="I27" i="76"/>
  <c r="AH39" i="30"/>
  <c r="AH25" i="30"/>
  <c r="BD37" i="30"/>
  <c r="BD23" i="30"/>
  <c r="BD38" i="30"/>
  <c r="CK60" i="30"/>
  <c r="D26" i="76"/>
  <c r="H26" i="76" s="1"/>
  <c r="AR39" i="30"/>
  <c r="AR25" i="30"/>
  <c r="CE60" i="30"/>
  <c r="M37" i="30"/>
  <c r="M23" i="30"/>
  <c r="M38" i="30"/>
  <c r="N39" i="30"/>
  <c r="N25" i="30"/>
  <c r="U39" i="30"/>
  <c r="U25" i="30"/>
  <c r="BQ39" i="30"/>
  <c r="BQ25" i="30"/>
  <c r="I28" i="76"/>
  <c r="CH48" i="30"/>
  <c r="CH40" i="30"/>
  <c r="CK37" i="30"/>
  <c r="D27" i="76" s="1"/>
  <c r="H27" i="76" s="1"/>
  <c r="CK23" i="30"/>
  <c r="CK38" i="30"/>
  <c r="D28" i="76" s="1"/>
  <c r="H28" i="76" s="1"/>
  <c r="BZ48" i="30"/>
  <c r="BZ40" i="30"/>
  <c r="BF48" i="30"/>
  <c r="BF40" i="30"/>
  <c r="CF39" i="30"/>
  <c r="CF25" i="30"/>
  <c r="CF47" i="30" s="1"/>
  <c r="AG37" i="30"/>
  <c r="AG23" i="30"/>
  <c r="AG38" i="30"/>
  <c r="BR48" i="30"/>
  <c r="BR40" i="30"/>
  <c r="CO48" i="30"/>
  <c r="CO40" i="30"/>
  <c r="BA48" i="30"/>
  <c r="BA40" i="30"/>
  <c r="D39" i="30"/>
  <c r="D25" i="30"/>
  <c r="AJ48" i="30"/>
  <c r="AJ40" i="30"/>
  <c r="CA39" i="30"/>
  <c r="CA25" i="30"/>
  <c r="AX48" i="30"/>
  <c r="AX40" i="30"/>
  <c r="BP48" i="30"/>
  <c r="BP40" i="30"/>
  <c r="BN48" i="30"/>
  <c r="BN40" i="30"/>
  <c r="AQ48" i="30"/>
  <c r="AQ40" i="30"/>
  <c r="CB48" i="30"/>
  <c r="CB40" i="30"/>
  <c r="CM48" i="30"/>
  <c r="CM40" i="30"/>
  <c r="AW39" i="30"/>
  <c r="AW25" i="30"/>
  <c r="AW47" i="30" s="1"/>
  <c r="CJ37" i="30"/>
  <c r="CJ23" i="30"/>
  <c r="CJ38" i="30"/>
  <c r="AL37" i="30"/>
  <c r="AL23" i="30"/>
  <c r="AL38" i="30"/>
  <c r="CC37" i="30"/>
  <c r="CC23" i="30"/>
  <c r="CC38" i="30"/>
  <c r="AC39" i="30"/>
  <c r="AC25" i="30"/>
  <c r="AV48" i="30"/>
  <c r="AV40" i="30"/>
  <c r="E39" i="30"/>
  <c r="E25" i="30"/>
  <c r="BB39" i="30"/>
  <c r="BB25" i="30"/>
  <c r="BS48" i="30"/>
  <c r="CH37" i="30"/>
  <c r="CH23" i="30"/>
  <c r="CH38" i="30"/>
  <c r="T37" i="30"/>
  <c r="T23" i="30"/>
  <c r="T38" i="30"/>
  <c r="BD48" i="30"/>
  <c r="BD40" i="30"/>
  <c r="BZ37" i="30"/>
  <c r="BZ23" i="30"/>
  <c r="BZ38" i="30"/>
  <c r="W37" i="30"/>
  <c r="W23" i="30"/>
  <c r="W38" i="30"/>
  <c r="BF37" i="30"/>
  <c r="BF23" i="30"/>
  <c r="BF38" i="30"/>
  <c r="BL39" i="30"/>
  <c r="BL25" i="30"/>
  <c r="BL47" i="30" s="1"/>
  <c r="AN37" i="30"/>
  <c r="AN23" i="30"/>
  <c r="AN38" i="30"/>
  <c r="BX37" i="30"/>
  <c r="BX23" i="30"/>
  <c r="BX38" i="30"/>
  <c r="Z37" i="30"/>
  <c r="Z23" i="30"/>
  <c r="Z38" i="30"/>
  <c r="M48" i="30"/>
  <c r="M40" i="30"/>
  <c r="BC39" i="30"/>
  <c r="BC25" i="30"/>
  <c r="BK37" i="30"/>
  <c r="BK23" i="30"/>
  <c r="BK38" i="30"/>
  <c r="H37" i="30"/>
  <c r="H23" i="30"/>
  <c r="H38" i="30"/>
  <c r="AE39" i="30"/>
  <c r="AE25" i="30"/>
  <c r="C25" i="30"/>
  <c r="C39" i="30"/>
  <c r="Y39" i="30"/>
  <c r="Y25" i="30"/>
  <c r="CJ48" i="30"/>
  <c r="CJ40" i="30"/>
  <c r="CG39" i="30"/>
  <c r="CG25" i="30"/>
  <c r="AS39" i="30"/>
  <c r="AS25" i="30"/>
  <c r="T48" i="30"/>
  <c r="T40" i="30"/>
  <c r="AD37" i="30"/>
  <c r="AD23" i="30"/>
  <c r="AD38" i="30"/>
  <c r="W48" i="30"/>
  <c r="W40" i="30"/>
  <c r="AN48" i="30"/>
  <c r="AN40" i="30"/>
  <c r="CQ39" i="30"/>
  <c r="CQ25" i="30"/>
  <c r="CE37" i="30"/>
  <c r="CE23" i="30"/>
  <c r="CE38" i="30"/>
  <c r="Z48" i="30"/>
  <c r="Z40" i="30"/>
  <c r="J39" i="30"/>
  <c r="J25" i="30"/>
  <c r="BK48" i="30"/>
  <c r="BK40" i="30"/>
  <c r="H48" i="30"/>
  <c r="H40" i="30"/>
  <c r="AY39" i="30"/>
  <c r="AY25" i="30"/>
  <c r="H14" i="76"/>
  <c r="J28" i="76"/>
  <c r="BU37" i="30"/>
  <c r="BU23" i="30"/>
  <c r="BU38" i="30"/>
  <c r="R37" i="30"/>
  <c r="R23" i="30"/>
  <c r="R38" i="30"/>
  <c r="BH37" i="30"/>
  <c r="BH23" i="30"/>
  <c r="BH38" i="30"/>
  <c r="P37" i="30"/>
  <c r="P23" i="30"/>
  <c r="P38" i="30"/>
  <c r="AS48" i="30"/>
  <c r="AB37" i="30"/>
  <c r="AB23" i="30"/>
  <c r="AB38" i="30"/>
  <c r="AO39" i="30"/>
  <c r="AO25" i="30"/>
  <c r="S39" i="30"/>
  <c r="S25" i="30"/>
  <c r="S47" i="30" s="1"/>
  <c r="AT37" i="30"/>
  <c r="AT23" i="30"/>
  <c r="AT38" i="30"/>
  <c r="CL48" i="30"/>
  <c r="CL40" i="30"/>
  <c r="BW39" i="30"/>
  <c r="BW25" i="30"/>
  <c r="AM39" i="30"/>
  <c r="AM25" i="30"/>
  <c r="AM47" i="30" s="1"/>
  <c r="BC48" i="30"/>
  <c r="CP39" i="30"/>
  <c r="C29" i="76" s="1"/>
  <c r="CP25" i="30"/>
  <c r="C18" i="76"/>
  <c r="AY48" i="30"/>
  <c r="F39" i="30"/>
  <c r="F25" i="30"/>
  <c r="CH60" i="30"/>
  <c r="CK48" i="30"/>
  <c r="CK40" i="30"/>
  <c r="AD48" i="30"/>
  <c r="AD40" i="30"/>
  <c r="X39" i="30"/>
  <c r="X25" i="30"/>
  <c r="X47" i="30" s="1"/>
  <c r="K48" i="30"/>
  <c r="K40" i="30"/>
  <c r="CE48" i="30"/>
  <c r="CE40" i="30"/>
  <c r="AG48" i="30"/>
  <c r="AG40" i="30"/>
  <c r="O39" i="30"/>
  <c r="O25" i="30"/>
  <c r="O47" i="30" s="1"/>
  <c r="BS39" i="30"/>
  <c r="BS25" i="30"/>
  <c r="F13" i="76"/>
  <c r="J13" i="76" s="1"/>
  <c r="H13" i="76"/>
  <c r="I13" i="76"/>
  <c r="D11" i="76"/>
  <c r="F35" i="76" s="1"/>
  <c r="J35" i="76" s="1"/>
  <c r="C11" i="76"/>
  <c r="F8" i="76"/>
  <c r="H190" i="89"/>
  <c r="BQ38" i="3" l="1"/>
  <c r="BP49" i="32"/>
  <c r="BP59" i="32" s="1"/>
  <c r="BK208" i="40"/>
  <c r="BL208" i="40" s="1"/>
  <c r="DN48" i="36"/>
  <c r="F207" i="2"/>
  <c r="DP30" i="36"/>
  <c r="AE52" i="8"/>
  <c r="BH61" i="32"/>
  <c r="BI90" i="3" s="1"/>
  <c r="AD64" i="8"/>
  <c r="DJ111" i="36"/>
  <c r="DJ141" i="36" s="1"/>
  <c r="AC41" i="8"/>
  <c r="AC46" i="8"/>
  <c r="AH203" i="2"/>
  <c r="J204" i="2"/>
  <c r="R204" i="2" s="1"/>
  <c r="R203" i="2"/>
  <c r="R94" i="89"/>
  <c r="Q130" i="89"/>
  <c r="H125" i="89"/>
  <c r="I124" i="89"/>
  <c r="J129" i="89"/>
  <c r="J94" i="89"/>
  <c r="K128" i="89"/>
  <c r="K97" i="89"/>
  <c r="M129" i="89"/>
  <c r="M94" i="89"/>
  <c r="N128" i="89"/>
  <c r="S127" i="89"/>
  <c r="T91" i="89"/>
  <c r="V87" i="89"/>
  <c r="U123" i="89"/>
  <c r="N98" i="89"/>
  <c r="T126" i="89"/>
  <c r="U90" i="89"/>
  <c r="H90" i="89"/>
  <c r="R129" i="89"/>
  <c r="S93" i="89"/>
  <c r="V88" i="89"/>
  <c r="U124" i="89"/>
  <c r="I99" i="89"/>
  <c r="V122" i="89"/>
  <c r="W86" i="89"/>
  <c r="T125" i="89"/>
  <c r="U89" i="89"/>
  <c r="Q95" i="89"/>
  <c r="P96" i="89"/>
  <c r="L130" i="89"/>
  <c r="L95" i="89"/>
  <c r="H187" i="89"/>
  <c r="H74" i="89"/>
  <c r="H110" i="89" s="1"/>
  <c r="H147" i="89" s="1"/>
  <c r="C155" i="89" s="1" a="1"/>
  <c r="H8" i="89"/>
  <c r="O128" i="89"/>
  <c r="O93" i="89"/>
  <c r="P127" i="89"/>
  <c r="S128" i="89"/>
  <c r="T92" i="89"/>
  <c r="DH40" i="35"/>
  <c r="CV40" i="35"/>
  <c r="CR40" i="35"/>
  <c r="CZ40" i="35"/>
  <c r="DD40" i="35"/>
  <c r="V6" i="31"/>
  <c r="AP7" i="35"/>
  <c r="DD43" i="35"/>
  <c r="CZ43" i="35"/>
  <c r="CR43" i="35"/>
  <c r="CZ41" i="35"/>
  <c r="DD41" i="35"/>
  <c r="DH41" i="35"/>
  <c r="CR41" i="35"/>
  <c r="N64" i="32"/>
  <c r="N66" i="32" s="1"/>
  <c r="M9" i="3"/>
  <c r="M15" i="3" s="1"/>
  <c r="M21" i="3" s="1"/>
  <c r="AY84" i="3"/>
  <c r="BA83" i="3"/>
  <c r="Z66" i="8"/>
  <c r="AA63" i="8"/>
  <c r="O50" i="8"/>
  <c r="P50" i="8"/>
  <c r="L50" i="8"/>
  <c r="AL34" i="8"/>
  <c r="AJ49" i="8"/>
  <c r="W50" i="8"/>
  <c r="AB50" i="8"/>
  <c r="I316" i="14"/>
  <c r="I318" i="14"/>
  <c r="I319" i="14" s="1"/>
  <c r="AC225" i="14"/>
  <c r="AC216" i="14"/>
  <c r="AC219" i="14"/>
  <c r="AA223" i="14"/>
  <c r="AA231" i="14"/>
  <c r="H351" i="14"/>
  <c r="H283" i="14"/>
  <c r="H207" i="14"/>
  <c r="H245" i="14"/>
  <c r="H170" i="14"/>
  <c r="H132" i="14"/>
  <c r="H94" i="14"/>
  <c r="H55" i="14"/>
  <c r="I5" i="14"/>
  <c r="X21" i="14"/>
  <c r="X24" i="14"/>
  <c r="X25" i="14" s="1"/>
  <c r="D254" i="14"/>
  <c r="D257" i="14"/>
  <c r="D258" i="14" s="1"/>
  <c r="I310" i="14"/>
  <c r="L290" i="14"/>
  <c r="P292" i="14"/>
  <c r="P305" i="14" s="1"/>
  <c r="L291" i="14"/>
  <c r="AA151" i="14"/>
  <c r="AB150" i="14"/>
  <c r="AA147" i="14"/>
  <c r="D22" i="14"/>
  <c r="D20" i="14"/>
  <c r="D33" i="14"/>
  <c r="E17" i="14"/>
  <c r="AB113" i="14"/>
  <c r="AB109" i="14"/>
  <c r="AC112" i="14"/>
  <c r="Z292" i="14"/>
  <c r="Z305" i="14" s="1"/>
  <c r="Z148" i="14"/>
  <c r="Z164" i="14" s="1"/>
  <c r="Z156" i="14"/>
  <c r="J302" i="14"/>
  <c r="J293" i="14"/>
  <c r="J137" i="14"/>
  <c r="J139" i="14" s="1"/>
  <c r="AB226" i="14"/>
  <c r="AB222" i="14"/>
  <c r="Q351" i="14"/>
  <c r="Q283" i="14"/>
  <c r="Q245" i="14"/>
  <c r="Q207" i="14"/>
  <c r="Q132" i="14"/>
  <c r="Q94" i="14"/>
  <c r="Q55" i="14"/>
  <c r="Q170" i="14"/>
  <c r="R5" i="14"/>
  <c r="AA118" i="14"/>
  <c r="AA110" i="14"/>
  <c r="AA126" i="14" s="1"/>
  <c r="AC217" i="14"/>
  <c r="AD212" i="14"/>
  <c r="AD214" i="14" s="1"/>
  <c r="AD215" i="14" s="1"/>
  <c r="DU56" i="30"/>
  <c r="Y22" i="14"/>
  <c r="Y20" i="14"/>
  <c r="Z17" i="14"/>
  <c r="Z19" i="14" s="1"/>
  <c r="T371" i="14"/>
  <c r="T372" i="14" s="1"/>
  <c r="U356" i="14"/>
  <c r="U358" i="14" s="1"/>
  <c r="E252" i="14"/>
  <c r="E60" i="14"/>
  <c r="E62" i="14" s="1"/>
  <c r="I307" i="14"/>
  <c r="I311" i="14"/>
  <c r="I313" i="14"/>
  <c r="I312" i="14"/>
  <c r="I327" i="14"/>
  <c r="I328" i="14" s="1"/>
  <c r="I345" i="14" s="1"/>
  <c r="K104" i="14"/>
  <c r="K102" i="14"/>
  <c r="K103" i="14" s="1"/>
  <c r="K180" i="14"/>
  <c r="K191" i="14"/>
  <c r="K178" i="14"/>
  <c r="CD162" i="36"/>
  <c r="CI152" i="36"/>
  <c r="CH162" i="36"/>
  <c r="CM162" i="36" s="1"/>
  <c r="CM152" i="36"/>
  <c r="AM139" i="36"/>
  <c r="AI139" i="36"/>
  <c r="DF215" i="36"/>
  <c r="DJ205" i="36"/>
  <c r="CJ28" i="30"/>
  <c r="BW142" i="36"/>
  <c r="CE150" i="36"/>
  <c r="AI138" i="36"/>
  <c r="AD143" i="36"/>
  <c r="AD144" i="36"/>
  <c r="DB132" i="36"/>
  <c r="DB133" i="36"/>
  <c r="DB134" i="36"/>
  <c r="CW26" i="30"/>
  <c r="CU26" i="30"/>
  <c r="CV26" i="30"/>
  <c r="CT26" i="30"/>
  <c r="AE132" i="36"/>
  <c r="Z142" i="36"/>
  <c r="CU133" i="36"/>
  <c r="CI134" i="36"/>
  <c r="CT162" i="36"/>
  <c r="CY152" i="36"/>
  <c r="CE114" i="36"/>
  <c r="CA114" i="36"/>
  <c r="BZ152" i="36"/>
  <c r="CE148" i="36"/>
  <c r="BZ153" i="36"/>
  <c r="BZ158" i="36"/>
  <c r="BZ154" i="36"/>
  <c r="CA148" i="36"/>
  <c r="W141" i="36"/>
  <c r="CY159" i="36"/>
  <c r="DK102" i="36"/>
  <c r="BR164" i="36"/>
  <c r="BW164" i="36" s="1"/>
  <c r="BR163" i="36"/>
  <c r="BW163" i="36" s="1"/>
  <c r="BW158" i="36"/>
  <c r="BR162" i="36"/>
  <c r="BW162" i="36" s="1"/>
  <c r="BW152" i="36"/>
  <c r="BK132" i="36"/>
  <c r="CA134" i="36"/>
  <c r="W130" i="36"/>
  <c r="R140" i="36"/>
  <c r="W140" i="36" s="1"/>
  <c r="CX162" i="36"/>
  <c r="DC152" i="36"/>
  <c r="CX163" i="36"/>
  <c r="DC158" i="36"/>
  <c r="CX164" i="36"/>
  <c r="DG161" i="36"/>
  <c r="DC161" i="36"/>
  <c r="BK144" i="36"/>
  <c r="BW134" i="36"/>
  <c r="CQ133" i="36"/>
  <c r="CU152" i="36"/>
  <c r="CP162" i="36"/>
  <c r="CU162" i="36" s="1"/>
  <c r="CH144" i="36"/>
  <c r="CM144" i="36" s="1"/>
  <c r="CY160" i="36"/>
  <c r="N140" i="36"/>
  <c r="S130" i="36"/>
  <c r="CE139" i="36"/>
  <c r="CA139" i="36"/>
  <c r="DJ217" i="36"/>
  <c r="CQ28" i="30"/>
  <c r="W114" i="36"/>
  <c r="AU141" i="36"/>
  <c r="DF216" i="36"/>
  <c r="DJ206" i="36"/>
  <c r="CK28" i="30"/>
  <c r="AH132" i="36"/>
  <c r="CM161" i="36"/>
  <c r="AE113" i="36"/>
  <c r="CL162" i="36"/>
  <c r="CQ162" i="36" s="1"/>
  <c r="CQ152" i="36"/>
  <c r="CL164" i="36"/>
  <c r="CQ158" i="36"/>
  <c r="CL163" i="36"/>
  <c r="CU134" i="36"/>
  <c r="DJ163" i="36"/>
  <c r="CA141" i="36"/>
  <c r="BW141" i="36"/>
  <c r="AQ144" i="36"/>
  <c r="CI161" i="36"/>
  <c r="CH134" i="36"/>
  <c r="CM134" i="36" s="1"/>
  <c r="AM112" i="36"/>
  <c r="CE138" i="36"/>
  <c r="BZ143" i="36"/>
  <c r="BZ144" i="36"/>
  <c r="CA138" i="36"/>
  <c r="DF218" i="36"/>
  <c r="CM28" i="30"/>
  <c r="DJ208" i="36"/>
  <c r="DN208" i="36" s="1"/>
  <c r="CM150" i="36"/>
  <c r="CH160" i="36"/>
  <c r="CM160" i="36" s="1"/>
  <c r="AA138" i="36"/>
  <c r="AY131" i="36"/>
  <c r="AT132" i="36"/>
  <c r="AY132" i="36" s="1"/>
  <c r="AU131" i="36"/>
  <c r="AP132" i="36"/>
  <c r="AU132" i="36" s="1"/>
  <c r="BS133" i="36"/>
  <c r="N143" i="36"/>
  <c r="N144" i="36"/>
  <c r="BO143" i="36"/>
  <c r="DK82" i="36"/>
  <c r="DL82" i="36"/>
  <c r="DJ131" i="36"/>
  <c r="DJ132" i="36" s="1"/>
  <c r="DJ112" i="36"/>
  <c r="AE114" i="36"/>
  <c r="AH144" i="36"/>
  <c r="AM144" i="36" s="1"/>
  <c r="CH163" i="36"/>
  <c r="CM163" i="36" s="1"/>
  <c r="CH164" i="36"/>
  <c r="CM164" i="36" s="1"/>
  <c r="CM158" i="36"/>
  <c r="BS142" i="36"/>
  <c r="J130" i="36"/>
  <c r="O110" i="36"/>
  <c r="J112" i="36"/>
  <c r="J114" i="36"/>
  <c r="O114" i="36" s="1"/>
  <c r="AQ131" i="36"/>
  <c r="AM131" i="36"/>
  <c r="BV142" i="36"/>
  <c r="CA142" i="36" s="1"/>
  <c r="CA112" i="36"/>
  <c r="CI159" i="36"/>
  <c r="AT142" i="36"/>
  <c r="AY142" i="36" s="1"/>
  <c r="AY112" i="36"/>
  <c r="CD164" i="36"/>
  <c r="CI164" i="36" s="1"/>
  <c r="CI158" i="36"/>
  <c r="CD163" i="36"/>
  <c r="BZ159" i="36"/>
  <c r="CE149" i="36"/>
  <c r="CA149" i="36"/>
  <c r="W113" i="36"/>
  <c r="W128" i="36"/>
  <c r="R138" i="36"/>
  <c r="R133" i="36"/>
  <c r="W133" i="36" s="1"/>
  <c r="R134" i="36"/>
  <c r="W134" i="36" s="1"/>
  <c r="R132" i="36"/>
  <c r="W132" i="36" s="1"/>
  <c r="CU142" i="36"/>
  <c r="AP142" i="36"/>
  <c r="AU142" i="36" s="1"/>
  <c r="AU112" i="36"/>
  <c r="S132" i="36"/>
  <c r="DB142" i="36"/>
  <c r="DG142" i="36" s="1"/>
  <c r="DG112" i="36"/>
  <c r="DB159" i="36"/>
  <c r="DG149" i="36"/>
  <c r="DB154" i="36"/>
  <c r="DG154" i="36" s="1"/>
  <c r="DB152" i="36"/>
  <c r="DB153" i="36"/>
  <c r="DG153" i="36" s="1"/>
  <c r="CY134" i="36"/>
  <c r="DC134" i="36" s="1"/>
  <c r="DG134" i="36" s="1"/>
  <c r="DK134" i="36" s="1"/>
  <c r="BO133" i="36"/>
  <c r="DK158" i="36"/>
  <c r="DF163" i="36"/>
  <c r="DF164" i="36"/>
  <c r="DK164" i="36" s="1"/>
  <c r="DC129" i="36"/>
  <c r="DG129" i="36" s="1"/>
  <c r="DK129" i="36" s="1"/>
  <c r="AE138" i="36"/>
  <c r="Z144" i="36"/>
  <c r="Z143" i="36"/>
  <c r="AE143" i="36" s="1"/>
  <c r="CQ154" i="36"/>
  <c r="CY153" i="36"/>
  <c r="CT164" i="36"/>
  <c r="CY164" i="36" s="1"/>
  <c r="CT163" i="36"/>
  <c r="CY163" i="36" s="1"/>
  <c r="CY158" i="36"/>
  <c r="CU144" i="36"/>
  <c r="CM133" i="36"/>
  <c r="BZ142" i="36"/>
  <c r="CE142" i="36" s="1"/>
  <c r="CE112" i="36"/>
  <c r="CD160" i="36"/>
  <c r="CI160" i="36" s="1"/>
  <c r="CI150" i="36"/>
  <c r="CA161" i="36"/>
  <c r="BW161" i="36"/>
  <c r="AA129" i="36"/>
  <c r="V139" i="36"/>
  <c r="AA139" i="36" s="1"/>
  <c r="CE129" i="36"/>
  <c r="CA129" i="36"/>
  <c r="R142" i="36"/>
  <c r="W112" i="36"/>
  <c r="DC133" i="36"/>
  <c r="DG133" i="36" s="1"/>
  <c r="DK133" i="36" s="1"/>
  <c r="BB47" i="30"/>
  <c r="I47" i="30"/>
  <c r="AL132" i="36"/>
  <c r="CE113" i="36"/>
  <c r="CA113" i="36"/>
  <c r="CE128" i="36"/>
  <c r="BZ133" i="36"/>
  <c r="BZ134" i="36"/>
  <c r="CE134" i="36" s="1"/>
  <c r="BZ132" i="36"/>
  <c r="CE132" i="36" s="1"/>
  <c r="CA128" i="36"/>
  <c r="CY144" i="36"/>
  <c r="V132" i="36"/>
  <c r="AY144" i="36"/>
  <c r="AH143" i="36"/>
  <c r="AM143" i="36" s="1"/>
  <c r="O138" i="36"/>
  <c r="J143" i="36"/>
  <c r="AM129" i="36"/>
  <c r="AI129" i="36"/>
  <c r="CH154" i="36"/>
  <c r="CM154" i="36" s="1"/>
  <c r="CE130" i="36"/>
  <c r="AQ141" i="36"/>
  <c r="F47" i="30" s="1"/>
  <c r="AM141" i="36"/>
  <c r="DC153" i="36"/>
  <c r="BO142" i="36"/>
  <c r="CP163" i="36"/>
  <c r="CU163" i="36" s="1"/>
  <c r="CP164" i="36"/>
  <c r="CU158" i="36"/>
  <c r="CD154" i="36"/>
  <c r="BW112" i="36"/>
  <c r="CT27" i="30" a="1"/>
  <c r="BS132" i="36"/>
  <c r="AD134" i="36"/>
  <c r="AI134" i="36" s="1"/>
  <c r="AD132" i="36"/>
  <c r="AD133" i="36"/>
  <c r="AI133" i="36" s="1"/>
  <c r="AI128" i="36"/>
  <c r="N134" i="36"/>
  <c r="S134" i="36" s="1"/>
  <c r="DG139" i="36"/>
  <c r="DB144" i="36"/>
  <c r="DG144" i="36" s="1"/>
  <c r="DB143" i="36"/>
  <c r="DG143" i="36" s="1"/>
  <c r="AH133" i="36"/>
  <c r="AM133" i="36" s="1"/>
  <c r="CY132" i="36"/>
  <c r="DC132" i="36" s="1"/>
  <c r="DG132" i="36" s="1"/>
  <c r="DK132" i="36" s="1"/>
  <c r="AY133" i="36"/>
  <c r="BO134" i="36"/>
  <c r="DF162" i="36"/>
  <c r="DN219" i="36"/>
  <c r="DN182" i="36"/>
  <c r="DN209" i="36" s="1"/>
  <c r="DC139" i="36"/>
  <c r="CQ153" i="36"/>
  <c r="CQ142" i="36"/>
  <c r="CD132" i="36"/>
  <c r="DJ164" i="36"/>
  <c r="CA131" i="36"/>
  <c r="BW131" i="36"/>
  <c r="BV132" i="36"/>
  <c r="CE140" i="36"/>
  <c r="BS144" i="36"/>
  <c r="S112" i="36"/>
  <c r="CY154" i="36"/>
  <c r="DN207" i="36"/>
  <c r="CU143" i="36"/>
  <c r="CH132" i="36"/>
  <c r="CM132" i="36" s="1"/>
  <c r="S114" i="36"/>
  <c r="BK455" i="47"/>
  <c r="BI156" i="40"/>
  <c r="BK156" i="40" s="1"/>
  <c r="V135" i="40"/>
  <c r="J462" i="47"/>
  <c r="R462" i="47" s="1"/>
  <c r="AE128" i="40"/>
  <c r="P128" i="40"/>
  <c r="BK462" i="47"/>
  <c r="BI163" i="40"/>
  <c r="AK184" i="45"/>
  <c r="AH184" i="45"/>
  <c r="BD156" i="40"/>
  <c r="AW184" i="45"/>
  <c r="AH191" i="45"/>
  <c r="V159" i="40"/>
  <c r="T163" i="40"/>
  <c r="V163" i="40" s="1"/>
  <c r="R203" i="40"/>
  <c r="AN210" i="40"/>
  <c r="AS221" i="47"/>
  <c r="AN180" i="40"/>
  <c r="AN177" i="40"/>
  <c r="AS191" i="47"/>
  <c r="R173" i="40"/>
  <c r="AN197" i="40"/>
  <c r="R190" i="40"/>
  <c r="AS208" i="47"/>
  <c r="AW208" i="47" s="1"/>
  <c r="P159" i="40"/>
  <c r="AW184" i="47"/>
  <c r="AU184" i="47"/>
  <c r="AU181" i="47"/>
  <c r="AW181" i="47"/>
  <c r="P160" i="40"/>
  <c r="AG167" i="40"/>
  <c r="D167" i="40"/>
  <c r="H167" i="40" s="1"/>
  <c r="T167" i="40"/>
  <c r="V167" i="40" s="1"/>
  <c r="AG163" i="40"/>
  <c r="AU214" i="47"/>
  <c r="AW214" i="47"/>
  <c r="T166" i="40"/>
  <c r="R170" i="40"/>
  <c r="D170" i="40" s="1"/>
  <c r="AG166" i="40"/>
  <c r="D166" i="40"/>
  <c r="H166" i="40" s="1"/>
  <c r="AU208" i="47"/>
  <c r="AU201" i="47"/>
  <c r="AW201" i="47"/>
  <c r="P156" i="40"/>
  <c r="AW185" i="47"/>
  <c r="AU185" i="47"/>
  <c r="D163" i="40"/>
  <c r="H163" i="40" s="1"/>
  <c r="AT163" i="40"/>
  <c r="F163" i="40"/>
  <c r="T196" i="40"/>
  <c r="V196" i="40" s="1"/>
  <c r="AG196" i="40"/>
  <c r="D196" i="40"/>
  <c r="H196" i="40" s="1"/>
  <c r="AU188" i="47"/>
  <c r="AW188" i="47"/>
  <c r="P189" i="40"/>
  <c r="T183" i="40"/>
  <c r="V183" i="40" s="1"/>
  <c r="AG183" i="40"/>
  <c r="D183" i="40"/>
  <c r="H183" i="40" s="1"/>
  <c r="P176" i="40"/>
  <c r="AN181" i="40"/>
  <c r="R174" i="40"/>
  <c r="AS192" i="47"/>
  <c r="AW192" i="47" s="1"/>
  <c r="AN374" i="47"/>
  <c r="AE375" i="47"/>
  <c r="AN375" i="47" s="1"/>
  <c r="AN378" i="47"/>
  <c r="AC380" i="47"/>
  <c r="AX222" i="44"/>
  <c r="AU222" i="44"/>
  <c r="BE222" i="44"/>
  <c r="BD222" i="44"/>
  <c r="AH115" i="44"/>
  <c r="Q152" i="44"/>
  <c r="K156" i="44"/>
  <c r="P152" i="44"/>
  <c r="O152" i="44"/>
  <c r="AY244" i="44"/>
  <c r="AY247" i="44"/>
  <c r="AO159" i="44"/>
  <c r="AQ159" i="44" s="1"/>
  <c r="AN159" i="44"/>
  <c r="K269" i="44"/>
  <c r="Q268" i="44"/>
  <c r="I88" i="44"/>
  <c r="AA171" i="44"/>
  <c r="AC170" i="44"/>
  <c r="D229" i="44"/>
  <c r="F145" i="44"/>
  <c r="AS145" i="44"/>
  <c r="BC145" i="44" s="1"/>
  <c r="AX146" i="44"/>
  <c r="AU146" i="44"/>
  <c r="AT146" i="44"/>
  <c r="BE146" i="44"/>
  <c r="Q234" i="44"/>
  <c r="Q227" i="44"/>
  <c r="W269" i="44"/>
  <c r="U270" i="44"/>
  <c r="AC251" i="44"/>
  <c r="AS251" i="44"/>
  <c r="AB254" i="44"/>
  <c r="AB257" i="44" s="1"/>
  <c r="AA257" i="44" s="1"/>
  <c r="DM55" i="30"/>
  <c r="AO151" i="44"/>
  <c r="AQ151" i="44" s="1"/>
  <c r="AN151" i="44"/>
  <c r="AU102" i="44"/>
  <c r="BE102" i="44"/>
  <c r="AT102" i="44"/>
  <c r="AX102" i="44"/>
  <c r="AT103" i="44"/>
  <c r="BC102" i="44"/>
  <c r="AH107" i="44"/>
  <c r="AH108" i="44" s="1"/>
  <c r="AH109" i="44" s="1"/>
  <c r="AC230" i="44"/>
  <c r="AC237" i="44"/>
  <c r="AY109" i="44"/>
  <c r="AY110" i="44"/>
  <c r="Q221" i="44"/>
  <c r="BD221" i="44"/>
  <c r="AS221" i="44"/>
  <c r="AH122" i="44"/>
  <c r="AJ121" i="44"/>
  <c r="E261" i="44"/>
  <c r="E264" i="44" s="1"/>
  <c r="D264" i="44" s="1"/>
  <c r="F258" i="44"/>
  <c r="Q229" i="44"/>
  <c r="BD229" i="44"/>
  <c r="Q236" i="44"/>
  <c r="K230" i="44"/>
  <c r="D233" i="44"/>
  <c r="D150" i="44"/>
  <c r="AS149" i="44"/>
  <c r="F149" i="44"/>
  <c r="AF144" i="44"/>
  <c r="K228" i="44"/>
  <c r="AY207" i="44"/>
  <c r="AY208" i="44"/>
  <c r="AH128" i="44"/>
  <c r="BE220" i="44"/>
  <c r="AU220" i="44"/>
  <c r="AT220" i="44"/>
  <c r="AX220" i="44"/>
  <c r="AY220" i="44" s="1"/>
  <c r="BC220" i="44"/>
  <c r="AJ101" i="44"/>
  <c r="AC223" i="44"/>
  <c r="Q214" i="44"/>
  <c r="BD214" i="44"/>
  <c r="AX116" i="44"/>
  <c r="AT116" i="44"/>
  <c r="BE116" i="44"/>
  <c r="AU116" i="44"/>
  <c r="AT117" i="44"/>
  <c r="BC116" i="44"/>
  <c r="Q223" i="44"/>
  <c r="DI53" i="30"/>
  <c r="AA227" i="44"/>
  <c r="M144" i="44"/>
  <c r="AA228" i="44" s="1"/>
  <c r="AL164" i="44"/>
  <c r="AO163" i="44"/>
  <c r="AQ163" i="44" s="1"/>
  <c r="AN163" i="44"/>
  <c r="AO157" i="44"/>
  <c r="AQ157" i="44" s="1"/>
  <c r="AL158" i="44"/>
  <c r="AN157" i="44"/>
  <c r="AX193" i="44"/>
  <c r="AT193" i="44"/>
  <c r="AU193" i="44"/>
  <c r="AT194" i="44"/>
  <c r="BE193" i="44"/>
  <c r="BE250" i="44"/>
  <c r="AX250" i="44"/>
  <c r="AY250" i="44" s="1"/>
  <c r="AU250" i="44"/>
  <c r="AT250" i="44"/>
  <c r="BC250" i="44"/>
  <c r="BD220" i="44"/>
  <c r="I116" i="44"/>
  <c r="AC164" i="44"/>
  <c r="AA165" i="44"/>
  <c r="AC165" i="44" s="1"/>
  <c r="AU138" i="44"/>
  <c r="AX138" i="44"/>
  <c r="AT138" i="44"/>
  <c r="BE138" i="44"/>
  <c r="BC222" i="44"/>
  <c r="F222" i="44"/>
  <c r="D223" i="44"/>
  <c r="AU130" i="44"/>
  <c r="AX130" i="44"/>
  <c r="AT130" i="44"/>
  <c r="BE130" i="44"/>
  <c r="BC130" i="44"/>
  <c r="BD130" i="44"/>
  <c r="AT131" i="44"/>
  <c r="AD157" i="44"/>
  <c r="AF156" i="44"/>
  <c r="BD116" i="44"/>
  <c r="BD250" i="44"/>
  <c r="AY123" i="44"/>
  <c r="AY124" i="44"/>
  <c r="K167" i="44"/>
  <c r="O160" i="44"/>
  <c r="Q160" i="44"/>
  <c r="K159" i="44"/>
  <c r="AC226" i="44"/>
  <c r="AC233" i="44"/>
  <c r="AX214" i="44"/>
  <c r="AT214" i="44"/>
  <c r="BE214" i="44"/>
  <c r="AU214" i="44"/>
  <c r="AT215" i="44"/>
  <c r="BC214" i="44"/>
  <c r="AL174" i="44"/>
  <c r="AN167" i="44"/>
  <c r="AL166" i="44"/>
  <c r="AL170" i="44"/>
  <c r="AO167" i="44"/>
  <c r="AQ167" i="44" s="1"/>
  <c r="AI139" i="44"/>
  <c r="AY139" i="44"/>
  <c r="AH135" i="44" s="1"/>
  <c r="AX186" i="44"/>
  <c r="AT186" i="44"/>
  <c r="BE186" i="44"/>
  <c r="AT187" i="44"/>
  <c r="BC186" i="44"/>
  <c r="O143" i="44"/>
  <c r="Q143" i="44"/>
  <c r="K144" i="44"/>
  <c r="Q150" i="44"/>
  <c r="AY95" i="44"/>
  <c r="AH95" i="44" s="1"/>
  <c r="AY96" i="44"/>
  <c r="AA181" i="44"/>
  <c r="AA177" i="44"/>
  <c r="AA173" i="44"/>
  <c r="AC173" i="44" s="1"/>
  <c r="AC174" i="44"/>
  <c r="F153" i="44"/>
  <c r="D160" i="44"/>
  <c r="D152" i="44"/>
  <c r="AS153" i="44"/>
  <c r="BD153" i="44" s="1"/>
  <c r="BC153" i="44"/>
  <c r="H153" i="44"/>
  <c r="G156" i="44" s="1"/>
  <c r="AS229" i="44"/>
  <c r="AF150" i="44"/>
  <c r="AD151" i="44"/>
  <c r="AF151" i="44" s="1"/>
  <c r="BD193" i="44"/>
  <c r="D226" i="44"/>
  <c r="D143" i="44"/>
  <c r="AS142" i="44"/>
  <c r="BD142" i="44" s="1"/>
  <c r="F142" i="44"/>
  <c r="AX137" i="44"/>
  <c r="AY137" i="44" s="1"/>
  <c r="AT137" i="44"/>
  <c r="AU137" i="44"/>
  <c r="BC137" i="44"/>
  <c r="M159" i="44"/>
  <c r="M163" i="44" s="1"/>
  <c r="M164" i="44" s="1"/>
  <c r="M165" i="44" s="1"/>
  <c r="M167" i="44"/>
  <c r="AD159" i="44"/>
  <c r="AF159" i="44" s="1"/>
  <c r="AD167" i="44"/>
  <c r="AD163" i="44"/>
  <c r="AF160" i="44"/>
  <c r="AU200" i="44"/>
  <c r="AX200" i="44"/>
  <c r="AT200" i="44"/>
  <c r="BE200" i="44"/>
  <c r="AT201" i="44"/>
  <c r="BD200" i="44"/>
  <c r="AU123" i="44"/>
  <c r="AT39" i="30"/>
  <c r="AT25" i="30"/>
  <c r="AT47" i="30" s="1"/>
  <c r="BH39" i="30"/>
  <c r="BH25" i="30"/>
  <c r="BH47" i="30" s="1"/>
  <c r="BZ39" i="30"/>
  <c r="BZ25" i="30"/>
  <c r="AL39" i="30"/>
  <c r="AL25" i="30"/>
  <c r="CB39" i="30"/>
  <c r="CB25" i="30"/>
  <c r="CB47" i="30" s="1"/>
  <c r="AJ39" i="30"/>
  <c r="AJ25" i="30"/>
  <c r="AJ47" i="30" s="1"/>
  <c r="BR39" i="30"/>
  <c r="BR25" i="30"/>
  <c r="BR47" i="30" s="1"/>
  <c r="BV47" i="30"/>
  <c r="R36" i="76" s="1"/>
  <c r="Z36" i="76" s="1"/>
  <c r="R20" i="76"/>
  <c r="Z20" i="76" s="1"/>
  <c r="C20" i="76"/>
  <c r="BU39" i="30"/>
  <c r="BU25" i="30"/>
  <c r="BU47" i="30" s="1"/>
  <c r="H25" i="30"/>
  <c r="H47" i="30" s="1"/>
  <c r="H39" i="30"/>
  <c r="Z39" i="30"/>
  <c r="Z25" i="30"/>
  <c r="Z47" i="30" s="1"/>
  <c r="W39" i="30"/>
  <c r="W25" i="30"/>
  <c r="CC39" i="30"/>
  <c r="CC25" i="30"/>
  <c r="BD39" i="30"/>
  <c r="BD25" i="30"/>
  <c r="BD47" i="30" s="1"/>
  <c r="CM39" i="30"/>
  <c r="CM25" i="30"/>
  <c r="BP39" i="30"/>
  <c r="BP25" i="30"/>
  <c r="K39" i="30"/>
  <c r="K25" i="30"/>
  <c r="K47" i="30" s="1"/>
  <c r="CL39" i="30"/>
  <c r="CL25" i="30"/>
  <c r="CL47" i="30" s="1"/>
  <c r="T39" i="30"/>
  <c r="T25" i="30"/>
  <c r="T47" i="30" s="1"/>
  <c r="AC47" i="30"/>
  <c r="I29" i="76"/>
  <c r="AB39" i="30"/>
  <c r="AB25" i="30"/>
  <c r="AB47" i="30" s="1"/>
  <c r="P39" i="30"/>
  <c r="P25" i="30"/>
  <c r="P47" i="30" s="1"/>
  <c r="R39" i="30"/>
  <c r="R25" i="30"/>
  <c r="J47" i="30"/>
  <c r="AN39" i="30"/>
  <c r="AN25" i="30"/>
  <c r="AN47" i="30" s="1"/>
  <c r="BF39" i="30"/>
  <c r="BF25" i="30"/>
  <c r="CA47" i="30"/>
  <c r="AR47" i="30"/>
  <c r="AV39" i="30"/>
  <c r="AV25" i="30"/>
  <c r="BN39" i="30"/>
  <c r="BN25" i="30"/>
  <c r="BN47" i="30" s="1"/>
  <c r="AX39" i="30"/>
  <c r="AX25" i="30"/>
  <c r="AX47" i="30" s="1"/>
  <c r="CO39" i="30"/>
  <c r="CO25" i="30"/>
  <c r="L21" i="76"/>
  <c r="M21" i="76"/>
  <c r="J18" i="76"/>
  <c r="I18" i="76"/>
  <c r="AO47" i="30"/>
  <c r="CQ47" i="30"/>
  <c r="BK39" i="30"/>
  <c r="BK25" i="30"/>
  <c r="BK47" i="30" s="1"/>
  <c r="BW47" i="30"/>
  <c r="CE39" i="30"/>
  <c r="CE25" i="30"/>
  <c r="CE47" i="30" s="1"/>
  <c r="AD39" i="30"/>
  <c r="AD25" i="30"/>
  <c r="AD47" i="30" s="1"/>
  <c r="AS47" i="30"/>
  <c r="BX39" i="30"/>
  <c r="BX25" i="30"/>
  <c r="BX47" i="30" s="1"/>
  <c r="CH39" i="30"/>
  <c r="CH25" i="30"/>
  <c r="CH47" i="30" s="1"/>
  <c r="CJ39" i="30"/>
  <c r="CJ25" i="30"/>
  <c r="CJ47" i="30" s="1"/>
  <c r="AG39" i="30"/>
  <c r="AG25" i="30"/>
  <c r="AG47" i="30" s="1"/>
  <c r="CK39" i="30"/>
  <c r="D29" i="76" s="1"/>
  <c r="H29" i="76" s="1"/>
  <c r="CK25" i="30"/>
  <c r="CP47" i="30" s="1"/>
  <c r="C36" i="76" s="1"/>
  <c r="D18" i="76"/>
  <c r="H18" i="76" s="1"/>
  <c r="BQ47" i="30"/>
  <c r="N47" i="30"/>
  <c r="M39" i="30"/>
  <c r="M25" i="30"/>
  <c r="M47" i="30" s="1"/>
  <c r="AH47" i="30"/>
  <c r="BM47" i="30"/>
  <c r="AQ39" i="30"/>
  <c r="AQ25" i="30"/>
  <c r="AQ47" i="30" s="1"/>
  <c r="BA39" i="30"/>
  <c r="BA25" i="30"/>
  <c r="BG47" i="30"/>
  <c r="F9" i="76"/>
  <c r="J11" i="76"/>
  <c r="I11" i="76"/>
  <c r="M11" i="76"/>
  <c r="H11" i="76"/>
  <c r="L11" i="76"/>
  <c r="R9" i="76"/>
  <c r="Z9" i="76" s="1"/>
  <c r="R8" i="76"/>
  <c r="Z8" i="76" s="1"/>
  <c r="D9" i="76"/>
  <c r="C9" i="76"/>
  <c r="H9" i="76" s="1"/>
  <c r="D8" i="76"/>
  <c r="C8" i="76"/>
  <c r="H8" i="76" s="1"/>
  <c r="R6" i="76"/>
  <c r="Z6" i="76" s="1"/>
  <c r="R4" i="76"/>
  <c r="F4" i="76"/>
  <c r="DO48" i="36" l="1"/>
  <c r="DN78" i="36"/>
  <c r="DP48" i="36"/>
  <c r="AE64" i="8"/>
  <c r="DK111" i="36"/>
  <c r="DJ151" i="36"/>
  <c r="DJ161" i="36" s="1"/>
  <c r="AF52" i="8"/>
  <c r="BJ61" i="32"/>
  <c r="BG64" i="3"/>
  <c r="AC49" i="8"/>
  <c r="AC47" i="8"/>
  <c r="F5" i="89"/>
  <c r="H30" i="89" s="1"/>
  <c r="I100" i="89"/>
  <c r="T127" i="89"/>
  <c r="U91" i="89"/>
  <c r="M130" i="89"/>
  <c r="M95" i="89"/>
  <c r="N129" i="89"/>
  <c r="C167" i="89"/>
  <c r="C163" i="89"/>
  <c r="C159" i="89"/>
  <c r="C155" i="89"/>
  <c r="C166" i="89"/>
  <c r="C162" i="89"/>
  <c r="C158" i="89"/>
  <c r="C169" i="89"/>
  <c r="C165" i="89"/>
  <c r="C161" i="89"/>
  <c r="C157" i="89"/>
  <c r="C168" i="89"/>
  <c r="C164" i="89"/>
  <c r="C160" i="89"/>
  <c r="C156" i="89"/>
  <c r="Q96" i="89"/>
  <c r="P97" i="89"/>
  <c r="S129" i="89"/>
  <c r="T93" i="89"/>
  <c r="V90" i="89"/>
  <c r="U126" i="89"/>
  <c r="J130" i="89"/>
  <c r="J95" i="89"/>
  <c r="K129" i="89"/>
  <c r="R130" i="89"/>
  <c r="S94" i="89"/>
  <c r="O129" i="89"/>
  <c r="O94" i="89"/>
  <c r="P128" i="89"/>
  <c r="R95" i="89"/>
  <c r="Q131" i="89"/>
  <c r="Q68" i="89"/>
  <c r="Q66" i="89" s="1"/>
  <c r="Q67" i="89" s="1"/>
  <c r="V89" i="89"/>
  <c r="U125" i="89"/>
  <c r="W122" i="89"/>
  <c r="K98" i="89"/>
  <c r="T128" i="89"/>
  <c r="U92" i="89"/>
  <c r="L131" i="89"/>
  <c r="L96" i="89"/>
  <c r="V124" i="89"/>
  <c r="W88" i="89"/>
  <c r="H126" i="89"/>
  <c r="I125" i="89"/>
  <c r="H91" i="89"/>
  <c r="N99" i="89"/>
  <c r="V123" i="89"/>
  <c r="W87" i="89"/>
  <c r="W123" i="89" s="1"/>
  <c r="X6" i="31"/>
  <c r="AT7" i="35"/>
  <c r="M55" i="3"/>
  <c r="M56" i="3" s="1"/>
  <c r="M76" i="3"/>
  <c r="P64" i="32"/>
  <c r="P66" i="32" s="1"/>
  <c r="O9" i="3"/>
  <c r="O15" i="3" s="1"/>
  <c r="O21" i="3" s="1"/>
  <c r="BA84" i="3"/>
  <c r="BC83" i="3"/>
  <c r="AA66" i="8"/>
  <c r="AB63" i="8"/>
  <c r="AB223" i="14"/>
  <c r="AB231" i="14"/>
  <c r="AD112" i="14"/>
  <c r="AI112" i="14"/>
  <c r="AI113" i="14" s="1"/>
  <c r="AC113" i="14"/>
  <c r="AC109" i="14"/>
  <c r="AA148" i="14"/>
  <c r="AA164" i="14" s="1"/>
  <c r="AA156" i="14"/>
  <c r="L303" i="14"/>
  <c r="L99" i="14"/>
  <c r="L101" i="14" s="1"/>
  <c r="AC222" i="14"/>
  <c r="AC226" i="14"/>
  <c r="E255" i="14"/>
  <c r="F250" i="14"/>
  <c r="E19" i="14"/>
  <c r="E266" i="14"/>
  <c r="E253" i="14"/>
  <c r="Y21" i="14"/>
  <c r="Y24" i="14"/>
  <c r="Y25" i="14" s="1"/>
  <c r="R351" i="14"/>
  <c r="R245" i="14"/>
  <c r="R283" i="14"/>
  <c r="R207" i="14"/>
  <c r="R170" i="14"/>
  <c r="R132" i="14"/>
  <c r="R94" i="14"/>
  <c r="R55" i="14"/>
  <c r="S5" i="14"/>
  <c r="AR5" i="14"/>
  <c r="J315" i="14"/>
  <c r="AA292" i="14"/>
  <c r="AA305" i="14" s="1"/>
  <c r="I351" i="14"/>
  <c r="I283" i="14"/>
  <c r="I245" i="14"/>
  <c r="I207" i="14"/>
  <c r="I170" i="14"/>
  <c r="I132" i="14"/>
  <c r="I94" i="14"/>
  <c r="I55" i="14"/>
  <c r="J5" i="14"/>
  <c r="AB110" i="14"/>
  <c r="AB126" i="14" s="1"/>
  <c r="AB118" i="14"/>
  <c r="AC150" i="14"/>
  <c r="AB147" i="14"/>
  <c r="AB151" i="14"/>
  <c r="L304" i="14"/>
  <c r="L175" i="14"/>
  <c r="L177" i="14" s="1"/>
  <c r="U371" i="14"/>
  <c r="U372" i="14" s="1"/>
  <c r="V356" i="14"/>
  <c r="V358" i="14" s="1"/>
  <c r="AD225" i="14"/>
  <c r="AD216" i="14"/>
  <c r="AD219" i="14"/>
  <c r="J306" i="14"/>
  <c r="J310" i="14"/>
  <c r="K289" i="14"/>
  <c r="K179" i="14"/>
  <c r="K182" i="14"/>
  <c r="K183" i="14" s="1"/>
  <c r="E65" i="14"/>
  <c r="E63" i="14"/>
  <c r="E64" i="14" s="1"/>
  <c r="Z20" i="14"/>
  <c r="AA17" i="14"/>
  <c r="AA19" i="14" s="1"/>
  <c r="Z22" i="14"/>
  <c r="AD217" i="14"/>
  <c r="AE212" i="14"/>
  <c r="AE214" i="14" s="1"/>
  <c r="DV56" i="30"/>
  <c r="J142" i="14"/>
  <c r="J140" i="14"/>
  <c r="J141" i="14" s="1"/>
  <c r="D21" i="14"/>
  <c r="D24" i="14"/>
  <c r="D25" i="14" s="1"/>
  <c r="Q292" i="14"/>
  <c r="Q305" i="14" s="1"/>
  <c r="AC220" i="14"/>
  <c r="AI219" i="14"/>
  <c r="DN218" i="36"/>
  <c r="CW28" i="30"/>
  <c r="CV27" i="30"/>
  <c r="CT27" i="30"/>
  <c r="CW27" i="30"/>
  <c r="CU27" i="30"/>
  <c r="AY47" i="30"/>
  <c r="CA132" i="36"/>
  <c r="CI132" i="36"/>
  <c r="CI154" i="36"/>
  <c r="BW132" i="36"/>
  <c r="CE133" i="36"/>
  <c r="CA133" i="36"/>
  <c r="AQ132" i="36"/>
  <c r="AL142" i="36"/>
  <c r="AQ142" i="36" s="1"/>
  <c r="DB162" i="36"/>
  <c r="DG162" i="36" s="1"/>
  <c r="DG152" i="36"/>
  <c r="DK141" i="36"/>
  <c r="V144" i="36"/>
  <c r="AA144" i="36" s="1"/>
  <c r="DJ218" i="36"/>
  <c r="CR28" i="30"/>
  <c r="CE144" i="36"/>
  <c r="CA144" i="36"/>
  <c r="CQ163" i="36"/>
  <c r="S133" i="36"/>
  <c r="CE160" i="36"/>
  <c r="S140" i="36"/>
  <c r="DC163" i="36"/>
  <c r="CE154" i="36"/>
  <c r="CA154" i="36"/>
  <c r="BZ162" i="36"/>
  <c r="CE152" i="36"/>
  <c r="CA152" i="36"/>
  <c r="CY162" i="36"/>
  <c r="AE142" i="36"/>
  <c r="DC143" i="36"/>
  <c r="J140" i="36"/>
  <c r="O130" i="36"/>
  <c r="J134" i="36"/>
  <c r="O134" i="36" s="1"/>
  <c r="CE143" i="36"/>
  <c r="CA143" i="36"/>
  <c r="BZ163" i="36"/>
  <c r="CE158" i="36"/>
  <c r="BZ164" i="36"/>
  <c r="CA158" i="36"/>
  <c r="AI144" i="36"/>
  <c r="CU164" i="36"/>
  <c r="AE144" i="36"/>
  <c r="CE159" i="36"/>
  <c r="CA159" i="36"/>
  <c r="S143" i="36"/>
  <c r="DC144" i="36"/>
  <c r="CQ164" i="36"/>
  <c r="AM132" i="36"/>
  <c r="AH142" i="36"/>
  <c r="DJ216" i="36"/>
  <c r="CP28" i="30"/>
  <c r="DN206" i="36"/>
  <c r="DC164" i="36"/>
  <c r="CE153" i="36"/>
  <c r="CA153" i="36"/>
  <c r="AI143" i="36"/>
  <c r="K143" i="36"/>
  <c r="O143" i="36"/>
  <c r="W138" i="36"/>
  <c r="R143" i="36"/>
  <c r="W143" i="36" s="1"/>
  <c r="R144" i="36"/>
  <c r="W144" i="36" s="1"/>
  <c r="S142" i="36"/>
  <c r="BA47" i="30"/>
  <c r="CG47" i="30"/>
  <c r="DN217" i="36"/>
  <c r="CV28" i="30"/>
  <c r="AE133" i="36"/>
  <c r="AD142" i="36"/>
  <c r="AI132" i="36"/>
  <c r="V142" i="36"/>
  <c r="AA142" i="36" s="1"/>
  <c r="AA132" i="36"/>
  <c r="DK163" i="36"/>
  <c r="DG159" i="36"/>
  <c r="DB164" i="36"/>
  <c r="DG164" i="36" s="1"/>
  <c r="DB163" i="36"/>
  <c r="DG163" i="36" s="1"/>
  <c r="CI163" i="36"/>
  <c r="DC154" i="36"/>
  <c r="J142" i="36"/>
  <c r="O142" i="36" s="1"/>
  <c r="J132" i="36"/>
  <c r="O132" i="36" s="1"/>
  <c r="O112" i="36"/>
  <c r="CI144" i="36"/>
  <c r="DJ142" i="36"/>
  <c r="DK112" i="36"/>
  <c r="DK151" i="36"/>
  <c r="S138" i="36"/>
  <c r="V143" i="36"/>
  <c r="AA143" i="36" s="1"/>
  <c r="AE134" i="36"/>
  <c r="DC142" i="36"/>
  <c r="DJ215" i="36"/>
  <c r="CO28" i="30"/>
  <c r="DN205" i="36"/>
  <c r="DC159" i="36"/>
  <c r="CI162" i="36"/>
  <c r="BY184" i="45"/>
  <c r="BP184" i="45"/>
  <c r="BW184" i="45"/>
  <c r="BA156" i="40"/>
  <c r="BK163" i="40" s="1"/>
  <c r="BO184" i="45"/>
  <c r="BO185" i="45" s="1"/>
  <c r="BB156" i="40"/>
  <c r="BR184" i="45"/>
  <c r="BR185" i="45" s="1"/>
  <c r="BC156" i="40"/>
  <c r="BQ184" i="45"/>
  <c r="BT184" i="45"/>
  <c r="BT185" i="45" s="1"/>
  <c r="AN188" i="40"/>
  <c r="R181" i="40"/>
  <c r="AS199" i="47"/>
  <c r="P166" i="40"/>
  <c r="T170" i="40"/>
  <c r="V170" i="40" s="1"/>
  <c r="V166" i="40"/>
  <c r="AW191" i="47"/>
  <c r="AU191" i="47"/>
  <c r="AS228" i="47"/>
  <c r="AG170" i="40"/>
  <c r="AG190" i="40"/>
  <c r="D190" i="40"/>
  <c r="H190" i="40" s="1"/>
  <c r="T190" i="40"/>
  <c r="V190" i="40" s="1"/>
  <c r="AO177" i="40"/>
  <c r="AS195" i="47"/>
  <c r="AG203" i="40"/>
  <c r="D203" i="40"/>
  <c r="H203" i="40" s="1"/>
  <c r="T203" i="40"/>
  <c r="V203" i="40" s="1"/>
  <c r="P196" i="40"/>
  <c r="AU192" i="47"/>
  <c r="F170" i="40"/>
  <c r="H170" i="40" s="1"/>
  <c r="P167" i="40"/>
  <c r="R197" i="40"/>
  <c r="AN204" i="40"/>
  <c r="AS215" i="47"/>
  <c r="AN187" i="40"/>
  <c r="AN184" i="40"/>
  <c r="AS198" i="47"/>
  <c r="R180" i="40"/>
  <c r="AG174" i="40"/>
  <c r="D174" i="40"/>
  <c r="H174" i="40" s="1"/>
  <c r="T174" i="40"/>
  <c r="V174" i="40" s="1"/>
  <c r="P183" i="40"/>
  <c r="P163" i="40"/>
  <c r="R177" i="40"/>
  <c r="D177" i="40" s="1"/>
  <c r="T173" i="40"/>
  <c r="AG173" i="40"/>
  <c r="D173" i="40"/>
  <c r="H173" i="40" s="1"/>
  <c r="AU221" i="47"/>
  <c r="AW221" i="47"/>
  <c r="AC381" i="47"/>
  <c r="AC385" i="47" s="1"/>
  <c r="AE380" i="47"/>
  <c r="M166" i="44"/>
  <c r="M170" i="44" s="1"/>
  <c r="M171" i="44" s="1"/>
  <c r="M172" i="44" s="1"/>
  <c r="M174" i="44"/>
  <c r="AY200" i="44"/>
  <c r="AY201" i="44"/>
  <c r="AD174" i="44"/>
  <c r="AD170" i="44"/>
  <c r="AF167" i="44"/>
  <c r="AD166" i="44"/>
  <c r="AF166" i="44" s="1"/>
  <c r="BC142" i="44"/>
  <c r="F226" i="44"/>
  <c r="BE229" i="44"/>
  <c r="AX229" i="44"/>
  <c r="AU229" i="44"/>
  <c r="AU236" i="44"/>
  <c r="D156" i="44"/>
  <c r="F152" i="44"/>
  <c r="AS152" i="44"/>
  <c r="AD158" i="44"/>
  <c r="AF158" i="44" s="1"/>
  <c r="AF157" i="44"/>
  <c r="F223" i="44"/>
  <c r="AY193" i="44"/>
  <c r="AY194" i="44"/>
  <c r="AS223" i="44"/>
  <c r="Q230" i="44"/>
  <c r="L233" i="44"/>
  <c r="L236" i="44" s="1"/>
  <c r="DJ53" i="30"/>
  <c r="Q237" i="44"/>
  <c r="AH123" i="44"/>
  <c r="AJ122" i="44"/>
  <c r="W270" i="44"/>
  <c r="U271" i="44"/>
  <c r="AI146" i="44"/>
  <c r="AY146" i="44"/>
  <c r="F236" i="44"/>
  <c r="BC229" i="44"/>
  <c r="D230" i="44"/>
  <c r="AS230" i="44" s="1"/>
  <c r="F229" i="44"/>
  <c r="AJ114" i="44"/>
  <c r="G157" i="44"/>
  <c r="I156" i="44"/>
  <c r="D159" i="44"/>
  <c r="D167" i="44"/>
  <c r="AS160" i="44"/>
  <c r="F160" i="44"/>
  <c r="AA178" i="44"/>
  <c r="AC177" i="44"/>
  <c r="AY186" i="44"/>
  <c r="AY187" i="44"/>
  <c r="AL171" i="44"/>
  <c r="AO170" i="44"/>
  <c r="AQ170" i="44" s="1"/>
  <c r="AN170" i="44"/>
  <c r="AL173" i="44"/>
  <c r="AL181" i="44"/>
  <c r="AO174" i="44"/>
  <c r="AQ174" i="44" s="1"/>
  <c r="AL177" i="44"/>
  <c r="AN174" i="44"/>
  <c r="AS226" i="44"/>
  <c r="BD160" i="44"/>
  <c r="AY138" i="44"/>
  <c r="AO164" i="44"/>
  <c r="AQ164" i="44" s="1"/>
  <c r="AL165" i="44"/>
  <c r="AN164" i="44"/>
  <c r="AY116" i="44"/>
  <c r="AY117" i="44"/>
  <c r="BD145" i="44"/>
  <c r="Q228" i="44"/>
  <c r="Q235" i="44"/>
  <c r="AX149" i="44"/>
  <c r="AU149" i="44"/>
  <c r="AT149" i="44"/>
  <c r="BE149" i="44"/>
  <c r="AX221" i="44"/>
  <c r="AY221" i="44" s="1"/>
  <c r="AU221" i="44"/>
  <c r="BE221" i="44"/>
  <c r="AT221" i="44"/>
  <c r="BC221" i="44"/>
  <c r="AY102" i="44"/>
  <c r="AH102" i="44" s="1"/>
  <c r="AY103" i="44"/>
  <c r="AA258" i="44"/>
  <c r="AS257" i="44"/>
  <c r="AC257" i="44"/>
  <c r="AJ115" i="44"/>
  <c r="AH116" i="44"/>
  <c r="AJ116" i="44" s="1"/>
  <c r="AX142" i="44"/>
  <c r="AY142" i="44" s="1"/>
  <c r="AT142" i="44"/>
  <c r="AU142" i="44"/>
  <c r="BE142" i="44"/>
  <c r="AA180" i="44"/>
  <c r="AC180" i="44" s="1"/>
  <c r="AC181" i="44"/>
  <c r="AH136" i="44"/>
  <c r="AJ135" i="44"/>
  <c r="AN166" i="44"/>
  <c r="AO166" i="44"/>
  <c r="AQ166" i="44" s="1"/>
  <c r="Q167" i="44"/>
  <c r="K166" i="44"/>
  <c r="K174" i="44"/>
  <c r="O167" i="44"/>
  <c r="AY130" i="44"/>
  <c r="AY131" i="44"/>
  <c r="AC235" i="44"/>
  <c r="AC228" i="44"/>
  <c r="AJ128" i="44"/>
  <c r="AH129" i="44"/>
  <c r="D234" i="44"/>
  <c r="D151" i="44"/>
  <c r="AS150" i="44"/>
  <c r="BC150" i="44"/>
  <c r="F150" i="44"/>
  <c r="F264" i="44"/>
  <c r="D265" i="44"/>
  <c r="BE251" i="44"/>
  <c r="AT251" i="44"/>
  <c r="AU251" i="44"/>
  <c r="AX251" i="44"/>
  <c r="DM51" i="30"/>
  <c r="DM65" i="30" s="1"/>
  <c r="AT254" i="44"/>
  <c r="BC251" i="44"/>
  <c r="BD251" i="44"/>
  <c r="AU145" i="44"/>
  <c r="AX145" i="44"/>
  <c r="BE145" i="44"/>
  <c r="AA172" i="44"/>
  <c r="AC172" i="44" s="1"/>
  <c r="AC171" i="44"/>
  <c r="Q269" i="44"/>
  <c r="K270" i="44"/>
  <c r="O156" i="44"/>
  <c r="K157" i="44"/>
  <c r="Q156" i="44"/>
  <c r="AY222" i="44"/>
  <c r="Q144" i="44"/>
  <c r="O144" i="44"/>
  <c r="Q151" i="44"/>
  <c r="P145" i="44"/>
  <c r="AD164" i="44"/>
  <c r="AF163" i="44"/>
  <c r="D227" i="44"/>
  <c r="AS143" i="44"/>
  <c r="D144" i="44"/>
  <c r="F143" i="44"/>
  <c r="AX153" i="44"/>
  <c r="AU153" i="44"/>
  <c r="AT153" i="44"/>
  <c r="BE153" i="44"/>
  <c r="AY214" i="44"/>
  <c r="AY215" i="44"/>
  <c r="K163" i="44"/>
  <c r="Q159" i="44"/>
  <c r="O159" i="44"/>
  <c r="AO158" i="44"/>
  <c r="AQ158" i="44" s="1"/>
  <c r="AN158" i="44"/>
  <c r="AC227" i="44"/>
  <c r="AC234" i="44"/>
  <c r="AS227" i="44"/>
  <c r="BC149" i="44"/>
  <c r="F240" i="44"/>
  <c r="F233" i="44"/>
  <c r="AS233" i="44"/>
  <c r="BC233" i="44" s="1"/>
  <c r="AT222" i="44"/>
  <c r="I36" i="76"/>
  <c r="BS47" i="30"/>
  <c r="CO47" i="30"/>
  <c r="AV47" i="30"/>
  <c r="BF47" i="30"/>
  <c r="BC47" i="30"/>
  <c r="U47" i="30"/>
  <c r="I20" i="76"/>
  <c r="J20" i="76"/>
  <c r="AI47" i="30"/>
  <c r="BI47" i="30"/>
  <c r="CM47" i="30"/>
  <c r="CC47" i="30"/>
  <c r="BZ47" i="30"/>
  <c r="CK47" i="30"/>
  <c r="D36" i="76" s="1"/>
  <c r="H36" i="76" s="1"/>
  <c r="D20" i="76"/>
  <c r="F36" i="76" s="1"/>
  <c r="J36" i="76" s="1"/>
  <c r="J8" i="76"/>
  <c r="R47" i="30"/>
  <c r="BP47" i="30"/>
  <c r="W47" i="30"/>
  <c r="Y47" i="30"/>
  <c r="AL47" i="30"/>
  <c r="AE47" i="30"/>
  <c r="F29" i="76"/>
  <c r="J29" i="76" s="1"/>
  <c r="F27" i="76"/>
  <c r="J27" i="76" s="1"/>
  <c r="F26" i="76"/>
  <c r="J26" i="76" s="1"/>
  <c r="F6" i="76"/>
  <c r="F24" i="76"/>
  <c r="J24" i="76" s="1"/>
  <c r="I9" i="76"/>
  <c r="M13" i="76"/>
  <c r="M16" i="76" s="1"/>
  <c r="I8" i="76"/>
  <c r="J9" i="76"/>
  <c r="L13" i="76"/>
  <c r="L16" i="76" s="1"/>
  <c r="L20" i="76" s="1"/>
  <c r="F25" i="76"/>
  <c r="J25" i="76" s="1"/>
  <c r="F34" i="76"/>
  <c r="J34" i="76" s="1"/>
  <c r="F3" i="76"/>
  <c r="D6" i="76"/>
  <c r="C6" i="76"/>
  <c r="D5" i="76"/>
  <c r="C5" i="76"/>
  <c r="D4" i="76"/>
  <c r="F32" i="76" s="1"/>
  <c r="J32" i="76" s="1"/>
  <c r="C4" i="76"/>
  <c r="Z4" i="76"/>
  <c r="AB3" i="76"/>
  <c r="AA3" i="76"/>
  <c r="Z3" i="76"/>
  <c r="X3" i="76"/>
  <c r="W3" i="76"/>
  <c r="V3" i="76"/>
  <c r="I3" i="76"/>
  <c r="H3" i="76"/>
  <c r="Q1" i="76"/>
  <c r="DP78" i="36" l="1"/>
  <c r="DN98" i="36"/>
  <c r="DN108" i="36" s="1"/>
  <c r="DO78" i="36"/>
  <c r="AF64" i="8"/>
  <c r="AG64" i="8" s="1"/>
  <c r="DJ152" i="36"/>
  <c r="BK90" i="3"/>
  <c r="AG52" i="8"/>
  <c r="BL61" i="32"/>
  <c r="AC50" i="8"/>
  <c r="BF22" i="32"/>
  <c r="W124" i="89"/>
  <c r="V125" i="89"/>
  <c r="W89" i="89"/>
  <c r="W125" i="89" s="1"/>
  <c r="H127" i="89"/>
  <c r="I126" i="89"/>
  <c r="H92" i="89"/>
  <c r="O130" i="89"/>
  <c r="O95" i="89"/>
  <c r="P129" i="89"/>
  <c r="V126" i="89"/>
  <c r="W90" i="89"/>
  <c r="W126" i="89" s="1"/>
  <c r="R96" i="89"/>
  <c r="Q132" i="89"/>
  <c r="V91" i="89"/>
  <c r="U127" i="89"/>
  <c r="H35" i="89"/>
  <c r="R11" i="89"/>
  <c r="U11" i="89"/>
  <c r="M11" i="89"/>
  <c r="L11" i="89"/>
  <c r="S11" i="89"/>
  <c r="N11" i="89"/>
  <c r="V11" i="89"/>
  <c r="O11" i="89"/>
  <c r="T11" i="89"/>
  <c r="W11" i="89"/>
  <c r="Q11" i="89"/>
  <c r="P11" i="89"/>
  <c r="K11" i="89"/>
  <c r="J11" i="89"/>
  <c r="I11" i="89"/>
  <c r="L132" i="89"/>
  <c r="L97" i="89"/>
  <c r="K99" i="89"/>
  <c r="J131" i="89"/>
  <c r="J96" i="89"/>
  <c r="K130" i="89"/>
  <c r="T129" i="89"/>
  <c r="U93" i="89"/>
  <c r="N100" i="89"/>
  <c r="R131" i="89"/>
  <c r="S95" i="89"/>
  <c r="R68" i="89"/>
  <c r="R66" i="89" s="1"/>
  <c r="R67" i="89" s="1"/>
  <c r="S130" i="89"/>
  <c r="T94" i="89"/>
  <c r="M131" i="89"/>
  <c r="M96" i="89"/>
  <c r="N130" i="89"/>
  <c r="I101" i="89"/>
  <c r="V92" i="89"/>
  <c r="U128" i="89"/>
  <c r="Q97" i="89"/>
  <c r="P98" i="89"/>
  <c r="Z6" i="31"/>
  <c r="AX7" i="35"/>
  <c r="O76" i="3"/>
  <c r="O55" i="3"/>
  <c r="O56" i="3" s="1"/>
  <c r="R64" i="32"/>
  <c r="R66" i="32" s="1"/>
  <c r="Q9" i="3"/>
  <c r="Q15" i="3" s="1"/>
  <c r="Q21" i="3" s="1"/>
  <c r="BE83" i="3"/>
  <c r="BC84" i="3"/>
  <c r="AB66" i="8"/>
  <c r="AC63" i="8"/>
  <c r="AB148" i="14"/>
  <c r="AB164" i="14" s="1"/>
  <c r="AB156" i="14"/>
  <c r="J316" i="14"/>
  <c r="J318" i="14"/>
  <c r="J319" i="14" s="1"/>
  <c r="AC223" i="14"/>
  <c r="AC231" i="14"/>
  <c r="K302" i="14"/>
  <c r="K293" i="14"/>
  <c r="K137" i="14"/>
  <c r="K139" i="14" s="1"/>
  <c r="L180" i="14"/>
  <c r="L178" i="14"/>
  <c r="L179" i="14" s="1"/>
  <c r="J351" i="14"/>
  <c r="J283" i="14"/>
  <c r="J207" i="14"/>
  <c r="J245" i="14"/>
  <c r="J170" i="14"/>
  <c r="J132" i="14"/>
  <c r="J55" i="14"/>
  <c r="J94" i="14"/>
  <c r="K5" i="14"/>
  <c r="E254" i="14"/>
  <c r="E257" i="14"/>
  <c r="E258" i="14" s="1"/>
  <c r="F252" i="14"/>
  <c r="F60" i="14"/>
  <c r="F62" i="14" s="1"/>
  <c r="L104" i="14"/>
  <c r="L102" i="14"/>
  <c r="L103" i="14" s="1"/>
  <c r="AC110" i="14"/>
  <c r="AD109" i="14"/>
  <c r="AE112" i="14"/>
  <c r="AD113" i="14"/>
  <c r="M291" i="14"/>
  <c r="AB292" i="14"/>
  <c r="AB305" i="14" s="1"/>
  <c r="M290" i="14"/>
  <c r="AD220" i="14"/>
  <c r="AE219" i="14"/>
  <c r="R292" i="14"/>
  <c r="AF212" i="14"/>
  <c r="AF214" i="14" s="1"/>
  <c r="AF215" i="14" s="1"/>
  <c r="AE217" i="14"/>
  <c r="DW56" i="30"/>
  <c r="AB17" i="14"/>
  <c r="AB19" i="14" s="1"/>
  <c r="AA22" i="14"/>
  <c r="AA20" i="14"/>
  <c r="AD226" i="14"/>
  <c r="AD222" i="14"/>
  <c r="AC151" i="14"/>
  <c r="AD150" i="14"/>
  <c r="AC147" i="14"/>
  <c r="S351" i="14"/>
  <c r="S283" i="14"/>
  <c r="S245" i="14"/>
  <c r="S207" i="14"/>
  <c r="S132" i="14"/>
  <c r="S170" i="14"/>
  <c r="S94" i="14"/>
  <c r="S55" i="14"/>
  <c r="AS5" i="14"/>
  <c r="T5" i="14"/>
  <c r="AE215" i="14"/>
  <c r="Z21" i="14"/>
  <c r="Z24" i="14"/>
  <c r="Z25" i="14" s="1"/>
  <c r="J307" i="14"/>
  <c r="J327" i="14"/>
  <c r="J328" i="14" s="1"/>
  <c r="J345" i="14" s="1"/>
  <c r="J313" i="14"/>
  <c r="J311" i="14"/>
  <c r="J312" i="14"/>
  <c r="W356" i="14"/>
  <c r="W358" i="14" s="1"/>
  <c r="V371" i="14"/>
  <c r="V372" i="14" s="1"/>
  <c r="E20" i="14"/>
  <c r="F17" i="14"/>
  <c r="E22" i="14"/>
  <c r="E33" i="14"/>
  <c r="DN216" i="36"/>
  <c r="CU28" i="30"/>
  <c r="CE162" i="36"/>
  <c r="CA162" i="36"/>
  <c r="DJ162" i="36"/>
  <c r="DK152" i="36"/>
  <c r="AI142" i="36"/>
  <c r="CE164" i="36"/>
  <c r="CA164" i="36"/>
  <c r="O140" i="36"/>
  <c r="J144" i="36"/>
  <c r="DN215" i="36"/>
  <c r="CT28" i="30"/>
  <c r="DK161" i="36"/>
  <c r="DK142" i="36"/>
  <c r="DC162" i="36"/>
  <c r="S144" i="36"/>
  <c r="W142" i="36"/>
  <c r="AM142" i="36"/>
  <c r="CE163" i="36"/>
  <c r="CA163" i="36"/>
  <c r="F177" i="40"/>
  <c r="BU184" i="45"/>
  <c r="BQ185" i="45"/>
  <c r="P170" i="40"/>
  <c r="AG177" i="40"/>
  <c r="AW198" i="47"/>
  <c r="AU198" i="47"/>
  <c r="T177" i="40"/>
  <c r="V177" i="40" s="1"/>
  <c r="V173" i="40"/>
  <c r="P174" i="40"/>
  <c r="AO184" i="40"/>
  <c r="AS202" i="47"/>
  <c r="T197" i="40"/>
  <c r="V197" i="40" s="1"/>
  <c r="D197" i="40"/>
  <c r="H197" i="40" s="1"/>
  <c r="AG197" i="40"/>
  <c r="P203" i="40"/>
  <c r="P173" i="40"/>
  <c r="H177" i="40"/>
  <c r="AN194" i="40"/>
  <c r="AN191" i="40"/>
  <c r="R187" i="40"/>
  <c r="AS205" i="47"/>
  <c r="P190" i="40"/>
  <c r="AW228" i="47"/>
  <c r="AU228" i="47"/>
  <c r="AW199" i="47"/>
  <c r="AU199" i="47"/>
  <c r="R184" i="40"/>
  <c r="D184" i="40" s="1"/>
  <c r="AG180" i="40"/>
  <c r="T180" i="40"/>
  <c r="D180" i="40"/>
  <c r="H180" i="40" s="1"/>
  <c r="F184" i="40"/>
  <c r="AW215" i="47"/>
  <c r="AU215" i="47"/>
  <c r="AU195" i="47"/>
  <c r="AW195" i="47"/>
  <c r="T181" i="40"/>
  <c r="V181" i="40" s="1"/>
  <c r="AG181" i="40"/>
  <c r="D181" i="40"/>
  <c r="H181" i="40" s="1"/>
  <c r="AN211" i="40"/>
  <c r="AS222" i="47"/>
  <c r="AN195" i="40"/>
  <c r="R188" i="40"/>
  <c r="AS206" i="47"/>
  <c r="AN380" i="47"/>
  <c r="AE385" i="47"/>
  <c r="AC386" i="47"/>
  <c r="AE386" i="47" s="1"/>
  <c r="AN386" i="47" s="1"/>
  <c r="AE381" i="47"/>
  <c r="AN381" i="47" s="1"/>
  <c r="BE230" i="44"/>
  <c r="AX230" i="44"/>
  <c r="AT230" i="44"/>
  <c r="AU230" i="44"/>
  <c r="AT237" i="44"/>
  <c r="AU237" i="44"/>
  <c r="BD230" i="44"/>
  <c r="D228" i="44"/>
  <c r="AS144" i="44"/>
  <c r="F144" i="44"/>
  <c r="AF164" i="44"/>
  <c r="AD165" i="44"/>
  <c r="AF165" i="44" s="1"/>
  <c r="D235" i="44"/>
  <c r="AS151" i="44"/>
  <c r="F151" i="44"/>
  <c r="BE257" i="44"/>
  <c r="AT257" i="44"/>
  <c r="AX257" i="44"/>
  <c r="AY257" i="44" s="1"/>
  <c r="AU257" i="44"/>
  <c r="BC257" i="44"/>
  <c r="AY149" i="44"/>
  <c r="BD149" i="44"/>
  <c r="AO165" i="44"/>
  <c r="AQ165" i="44" s="1"/>
  <c r="AN165" i="44"/>
  <c r="F159" i="44"/>
  <c r="AS159" i="44"/>
  <c r="D163" i="44"/>
  <c r="AH142" i="44"/>
  <c r="AU223" i="44"/>
  <c r="AT223" i="44"/>
  <c r="BE223" i="44"/>
  <c r="AX223" i="44"/>
  <c r="AY223" i="44" s="1"/>
  <c r="BD223" i="44"/>
  <c r="BC223" i="44"/>
  <c r="AU152" i="44"/>
  <c r="AX152" i="44"/>
  <c r="AT152" i="44"/>
  <c r="BE152" i="44"/>
  <c r="AX233" i="44"/>
  <c r="AY233" i="44" s="1"/>
  <c r="AU233" i="44"/>
  <c r="BE233" i="44"/>
  <c r="AT233" i="44"/>
  <c r="BD233" i="44"/>
  <c r="AU240" i="44"/>
  <c r="AI153" i="44"/>
  <c r="AY153" i="44"/>
  <c r="AX143" i="44"/>
  <c r="AY143" i="44" s="1"/>
  <c r="AU143" i="44"/>
  <c r="AT143" i="44"/>
  <c r="BE143" i="44"/>
  <c r="K271" i="44"/>
  <c r="Q270" i="44"/>
  <c r="BB65" i="30"/>
  <c r="BA65" i="30"/>
  <c r="BD65" i="30"/>
  <c r="BC65" i="30"/>
  <c r="F241" i="44"/>
  <c r="AS234" i="44"/>
  <c r="BC234" i="44"/>
  <c r="F234" i="44"/>
  <c r="AH137" i="44"/>
  <c r="AJ136" i="44"/>
  <c r="AB261" i="44"/>
  <c r="AB264" i="44" s="1"/>
  <c r="AA264" i="44" s="1"/>
  <c r="AC258" i="44"/>
  <c r="AS258" i="44"/>
  <c r="BE226" i="44"/>
  <c r="AT226" i="44"/>
  <c r="AU226" i="44"/>
  <c r="AX226" i="44"/>
  <c r="AY226" i="44" s="1"/>
  <c r="BD226" i="44"/>
  <c r="AT160" i="44"/>
  <c r="AX160" i="44"/>
  <c r="AY160" i="44" s="1"/>
  <c r="AU160" i="44"/>
  <c r="BE160" i="44"/>
  <c r="BC230" i="44"/>
  <c r="F230" i="44"/>
  <c r="F237" i="44"/>
  <c r="AH156" i="44"/>
  <c r="AH149" i="44"/>
  <c r="BC152" i="44"/>
  <c r="AX227" i="44"/>
  <c r="AY227" i="44" s="1"/>
  <c r="AU227" i="44"/>
  <c r="BE227" i="44"/>
  <c r="AT227" i="44"/>
  <c r="BD227" i="44"/>
  <c r="BC227" i="44"/>
  <c r="F227" i="44"/>
  <c r="AY251" i="44"/>
  <c r="AY254" i="44"/>
  <c r="D268" i="44"/>
  <c r="F265" i="44"/>
  <c r="AJ129" i="44"/>
  <c r="AH130" i="44"/>
  <c r="AJ130" i="44" s="1"/>
  <c r="K181" i="44"/>
  <c r="O174" i="44"/>
  <c r="Q174" i="44"/>
  <c r="K173" i="44"/>
  <c r="AN181" i="44"/>
  <c r="AL180" i="44"/>
  <c r="AO181" i="44"/>
  <c r="AQ181" i="44" s="1"/>
  <c r="F167" i="44"/>
  <c r="D174" i="44"/>
  <c r="D166" i="44"/>
  <c r="BC167" i="44"/>
  <c r="AS167" i="44"/>
  <c r="I157" i="44"/>
  <c r="G158" i="44"/>
  <c r="U272" i="44"/>
  <c r="W271" i="44"/>
  <c r="AJ123" i="44"/>
  <c r="BC226" i="44"/>
  <c r="AF170" i="44"/>
  <c r="AD171" i="44"/>
  <c r="M181" i="44"/>
  <c r="M180" i="44" s="1"/>
  <c r="M173" i="44"/>
  <c r="M177" i="44" s="1"/>
  <c r="M178" i="44" s="1"/>
  <c r="M179" i="44" s="1"/>
  <c r="Q163" i="44"/>
  <c r="O163" i="44"/>
  <c r="K164" i="44"/>
  <c r="BC143" i="44"/>
  <c r="BD144" i="44"/>
  <c r="K158" i="44"/>
  <c r="Q157" i="44"/>
  <c r="O157" i="44"/>
  <c r="AT150" i="44"/>
  <c r="AU150" i="44"/>
  <c r="AX150" i="44"/>
  <c r="BE150" i="44"/>
  <c r="K170" i="44"/>
  <c r="Q166" i="44"/>
  <c r="O166" i="44"/>
  <c r="BD257" i="44"/>
  <c r="AL178" i="44"/>
  <c r="AO177" i="44"/>
  <c r="AQ177" i="44" s="1"/>
  <c r="AN177" i="44"/>
  <c r="AO173" i="44"/>
  <c r="AQ173" i="44" s="1"/>
  <c r="AN173" i="44"/>
  <c r="AO171" i="44"/>
  <c r="AQ171" i="44" s="1"/>
  <c r="AL172" i="44"/>
  <c r="AN171" i="44"/>
  <c r="AA179" i="44"/>
  <c r="AC179" i="44" s="1"/>
  <c r="AC178" i="44"/>
  <c r="BC160" i="44"/>
  <c r="BD143" i="44"/>
  <c r="BC156" i="44"/>
  <c r="AS156" i="44"/>
  <c r="BD156" i="44" s="1"/>
  <c r="D157" i="44"/>
  <c r="F156" i="44"/>
  <c r="AD181" i="44"/>
  <c r="AD177" i="44"/>
  <c r="AF174" i="44"/>
  <c r="AD173" i="44"/>
  <c r="AF173" i="44" s="1"/>
  <c r="H20" i="76"/>
  <c r="J5" i="76"/>
  <c r="I5" i="76"/>
  <c r="H5" i="76"/>
  <c r="M20" i="76"/>
  <c r="L4" i="76"/>
  <c r="I4" i="76"/>
  <c r="L8" i="76"/>
  <c r="H4" i="76"/>
  <c r="M4" i="76"/>
  <c r="M8" i="76" s="1"/>
  <c r="J4" i="76"/>
  <c r="J6" i="76"/>
  <c r="H6" i="76"/>
  <c r="I6" i="76"/>
  <c r="DN138" i="36" l="1"/>
  <c r="DN148" i="36"/>
  <c r="DN128" i="36"/>
  <c r="DO108" i="36"/>
  <c r="BM90" i="3"/>
  <c r="AH52" i="8"/>
  <c r="BN61" i="32"/>
  <c r="BG48" i="3"/>
  <c r="BF40" i="32"/>
  <c r="BG31" i="3"/>
  <c r="BG40" i="3" s="1"/>
  <c r="Q98" i="89"/>
  <c r="P99" i="89"/>
  <c r="V128" i="89"/>
  <c r="W92" i="89"/>
  <c r="R97" i="89"/>
  <c r="Q133" i="89"/>
  <c r="J31" i="89"/>
  <c r="T130" i="89"/>
  <c r="U94" i="89"/>
  <c r="K100" i="89"/>
  <c r="I31" i="89"/>
  <c r="V31" i="89"/>
  <c r="L31" i="89"/>
  <c r="M31" i="89"/>
  <c r="U31" i="89"/>
  <c r="V127" i="89"/>
  <c r="W91" i="89"/>
  <c r="W127" i="89" s="1"/>
  <c r="N101" i="89"/>
  <c r="Q31" i="89"/>
  <c r="W31" i="89"/>
  <c r="H128" i="89"/>
  <c r="I127" i="89"/>
  <c r="H93" i="89"/>
  <c r="M132" i="89"/>
  <c r="M97" i="89"/>
  <c r="N131" i="89"/>
  <c r="J132" i="89"/>
  <c r="J97" i="89"/>
  <c r="K131" i="89"/>
  <c r="L133" i="89"/>
  <c r="L98" i="89"/>
  <c r="P31" i="89"/>
  <c r="T31" i="89"/>
  <c r="S31" i="89"/>
  <c r="R31" i="89"/>
  <c r="R132" i="89"/>
  <c r="S96" i="89"/>
  <c r="O131" i="89"/>
  <c r="O96" i="89"/>
  <c r="P130" i="89"/>
  <c r="I102" i="89"/>
  <c r="S131" i="89"/>
  <c r="T95" i="89"/>
  <c r="S68" i="89"/>
  <c r="S66" i="89" s="1"/>
  <c r="S67" i="89" s="1"/>
  <c r="V93" i="89"/>
  <c r="U129" i="89"/>
  <c r="K31" i="89"/>
  <c r="O31" i="89"/>
  <c r="N31" i="89"/>
  <c r="BB7" i="35"/>
  <c r="BF7" i="35" s="1"/>
  <c r="BJ7" i="35" s="1"/>
  <c r="BN7" i="35" s="1"/>
  <c r="BR7" i="35" s="1"/>
  <c r="BV7" i="35" s="1"/>
  <c r="BZ7" i="35" s="1"/>
  <c r="AB6" i="31"/>
  <c r="Q76" i="3"/>
  <c r="Q55" i="3"/>
  <c r="Q56" i="3" s="1"/>
  <c r="T64" i="32"/>
  <c r="T66" i="32" s="1"/>
  <c r="S9" i="3"/>
  <c r="S15" i="3" s="1"/>
  <c r="S21" i="3" s="1"/>
  <c r="BG83" i="3"/>
  <c r="BE84" i="3"/>
  <c r="AC66" i="8"/>
  <c r="AD63" i="8"/>
  <c r="AD151" i="14"/>
  <c r="AE150" i="14"/>
  <c r="AD147" i="14"/>
  <c r="AF216" i="14"/>
  <c r="AF225" i="14"/>
  <c r="L289" i="14"/>
  <c r="K306" i="14"/>
  <c r="K310" i="14" s="1"/>
  <c r="AF217" i="14"/>
  <c r="AG212" i="14"/>
  <c r="AG214" i="14" s="1"/>
  <c r="AG215" i="14" s="1"/>
  <c r="DX56" i="30"/>
  <c r="X356" i="14"/>
  <c r="X358" i="14" s="1"/>
  <c r="W371" i="14"/>
  <c r="W372" i="14" s="1"/>
  <c r="AE216" i="14"/>
  <c r="AE225" i="14"/>
  <c r="AC148" i="14"/>
  <c r="M303" i="14"/>
  <c r="M99" i="14"/>
  <c r="M101" i="14" s="1"/>
  <c r="M304" i="14"/>
  <c r="M175" i="14"/>
  <c r="M177" i="14" s="1"/>
  <c r="AE113" i="14"/>
  <c r="AE109" i="14"/>
  <c r="AE110" i="14" s="1"/>
  <c r="AF112" i="14"/>
  <c r="F255" i="14"/>
  <c r="G250" i="14"/>
  <c r="F266" i="14"/>
  <c r="F19" i="14"/>
  <c r="F253" i="14"/>
  <c r="K315" i="14"/>
  <c r="AA21" i="14"/>
  <c r="AA24" i="14"/>
  <c r="AA25" i="14" s="1"/>
  <c r="E21" i="14"/>
  <c r="E24" i="14"/>
  <c r="E25" i="14" s="1"/>
  <c r="AF219" i="14"/>
  <c r="AE220" i="14"/>
  <c r="AC292" i="14"/>
  <c r="AC305" i="14" s="1"/>
  <c r="T351" i="14"/>
  <c r="T283" i="14"/>
  <c r="T207" i="14"/>
  <c r="T245" i="14"/>
  <c r="T170" i="14"/>
  <c r="T132" i="14"/>
  <c r="T94" i="14"/>
  <c r="T55" i="14"/>
  <c r="AT5" i="14"/>
  <c r="U5" i="14"/>
  <c r="AD110" i="14"/>
  <c r="AD223" i="14"/>
  <c r="AD231" i="14"/>
  <c r="AB22" i="14"/>
  <c r="AB20" i="14"/>
  <c r="AC17" i="14"/>
  <c r="AC19" i="14" s="1"/>
  <c r="AJ19" i="14"/>
  <c r="F65" i="14"/>
  <c r="F63" i="14"/>
  <c r="F64" i="14" s="1"/>
  <c r="K351" i="14"/>
  <c r="K283" i="14"/>
  <c r="K207" i="14"/>
  <c r="K245" i="14"/>
  <c r="K170" i="14"/>
  <c r="K94" i="14"/>
  <c r="K132" i="14"/>
  <c r="K55" i="14"/>
  <c r="K142" i="14"/>
  <c r="K140" i="14"/>
  <c r="K141" i="14" s="1"/>
  <c r="DK162" i="36"/>
  <c r="O144" i="36"/>
  <c r="K144" i="36"/>
  <c r="AS229" i="47"/>
  <c r="AN202" i="40"/>
  <c r="R195" i="40"/>
  <c r="AS213" i="47"/>
  <c r="P181" i="40"/>
  <c r="V180" i="40"/>
  <c r="T184" i="40"/>
  <c r="V184" i="40" s="1"/>
  <c r="AU222" i="47"/>
  <c r="AG184" i="40"/>
  <c r="AU205" i="47"/>
  <c r="AW205" i="47"/>
  <c r="P177" i="40"/>
  <c r="AU202" i="47"/>
  <c r="AW202" i="47"/>
  <c r="AW206" i="47"/>
  <c r="AU206" i="47"/>
  <c r="H184" i="40"/>
  <c r="T187" i="40"/>
  <c r="D187" i="40"/>
  <c r="H187" i="40" s="1"/>
  <c r="R191" i="40"/>
  <c r="D191" i="40" s="1"/>
  <c r="AG187" i="40"/>
  <c r="T188" i="40"/>
  <c r="V188" i="40" s="1"/>
  <c r="AG188" i="40"/>
  <c r="D188" i="40"/>
  <c r="H188" i="40" s="1"/>
  <c r="P180" i="40"/>
  <c r="AO191" i="40"/>
  <c r="AS209" i="47"/>
  <c r="P197" i="40"/>
  <c r="AN201" i="40"/>
  <c r="R194" i="40"/>
  <c r="AN198" i="40"/>
  <c r="AS212" i="47"/>
  <c r="AC387" i="47"/>
  <c r="AE387" i="47" s="1"/>
  <c r="AN385" i="47"/>
  <c r="AE382" i="47"/>
  <c r="AN382" i="47" s="1"/>
  <c r="O170" i="44"/>
  <c r="K171" i="44"/>
  <c r="Q170" i="44"/>
  <c r="U275" i="44"/>
  <c r="W272" i="44"/>
  <c r="DP54" i="30"/>
  <c r="K177" i="44"/>
  <c r="Q173" i="44"/>
  <c r="O173" i="44"/>
  <c r="D269" i="44"/>
  <c r="F268" i="44"/>
  <c r="AH157" i="44"/>
  <c r="AJ156" i="44"/>
  <c r="AA265" i="44"/>
  <c r="AC264" i="44"/>
  <c r="AS264" i="44"/>
  <c r="BD264" i="44" s="1"/>
  <c r="AX159" i="44"/>
  <c r="AU159" i="44"/>
  <c r="BE159" i="44"/>
  <c r="BD159" i="44"/>
  <c r="I158" i="44"/>
  <c r="G159" i="44"/>
  <c r="D170" i="44"/>
  <c r="F166" i="44"/>
  <c r="AS166" i="44"/>
  <c r="AN180" i="44"/>
  <c r="AO180" i="44"/>
  <c r="AQ180" i="44" s="1"/>
  <c r="AU258" i="44"/>
  <c r="AX258" i="44"/>
  <c r="AT258" i="44"/>
  <c r="AT261" i="44"/>
  <c r="BE258" i="44"/>
  <c r="DN51" i="30"/>
  <c r="DN65" i="30" s="1"/>
  <c r="BC258" i="44"/>
  <c r="BD152" i="44"/>
  <c r="AH143" i="44"/>
  <c r="AJ142" i="44"/>
  <c r="AX151" i="44"/>
  <c r="AY152" i="44" s="1"/>
  <c r="AT151" i="44"/>
  <c r="AU151" i="44"/>
  <c r="BE151" i="44"/>
  <c r="AX144" i="44"/>
  <c r="AT144" i="44"/>
  <c r="AU144" i="44"/>
  <c r="BE144" i="44"/>
  <c r="AT145" i="44"/>
  <c r="AD178" i="44"/>
  <c r="AF177" i="44"/>
  <c r="AN172" i="44"/>
  <c r="AO172" i="44"/>
  <c r="AQ172" i="44" s="1"/>
  <c r="BD150" i="44"/>
  <c r="AY150" i="44"/>
  <c r="Q164" i="44"/>
  <c r="O164" i="44"/>
  <c r="K165" i="44"/>
  <c r="D173" i="44"/>
  <c r="BC174" i="44"/>
  <c r="F174" i="44"/>
  <c r="D181" i="44"/>
  <c r="AS174" i="44"/>
  <c r="BD174" i="44"/>
  <c r="BD258" i="44"/>
  <c r="AJ137" i="44"/>
  <c r="BD234" i="44"/>
  <c r="AX234" i="44"/>
  <c r="AY234" i="44" s="1"/>
  <c r="AU234" i="44"/>
  <c r="BE234" i="44"/>
  <c r="AT234" i="44"/>
  <c r="AU241" i="44"/>
  <c r="Q271" i="44"/>
  <c r="K272" i="44"/>
  <c r="BC159" i="44"/>
  <c r="BC151" i="44"/>
  <c r="BC144" i="44"/>
  <c r="AY230" i="44"/>
  <c r="AY237" i="44"/>
  <c r="BD166" i="44"/>
  <c r="D158" i="44"/>
  <c r="F157" i="44"/>
  <c r="AS157" i="44"/>
  <c r="AF181" i="44"/>
  <c r="AD180" i="44"/>
  <c r="AF180" i="44" s="1"/>
  <c r="AT156" i="44"/>
  <c r="AX156" i="44"/>
  <c r="AY156" i="44" s="1"/>
  <c r="AU156" i="44"/>
  <c r="BE156" i="44"/>
  <c r="AO178" i="44"/>
  <c r="AQ178" i="44" s="1"/>
  <c r="AN178" i="44"/>
  <c r="AL179" i="44"/>
  <c r="Q158" i="44"/>
  <c r="O158" i="44"/>
  <c r="P159" i="44"/>
  <c r="AD172" i="44"/>
  <c r="AF172" i="44" s="1"/>
  <c r="AF171" i="44"/>
  <c r="AX167" i="44"/>
  <c r="AY167" i="44" s="1"/>
  <c r="AU167" i="44"/>
  <c r="AT167" i="44"/>
  <c r="BE167" i="44"/>
  <c r="Q181" i="44"/>
  <c r="O181" i="44"/>
  <c r="K180" i="44"/>
  <c r="AH150" i="44"/>
  <c r="AJ149" i="44"/>
  <c r="BD167" i="44"/>
  <c r="D164" i="44"/>
  <c r="F163" i="44"/>
  <c r="BC163" i="44"/>
  <c r="AS163" i="44"/>
  <c r="AS235" i="44"/>
  <c r="BC235" i="44"/>
  <c r="F242" i="44"/>
  <c r="F235" i="44"/>
  <c r="F228" i="44"/>
  <c r="AS228" i="44"/>
  <c r="M9" i="76"/>
  <c r="L9" i="76"/>
  <c r="DO148" i="36" l="1"/>
  <c r="DN158" i="36"/>
  <c r="DO128" i="36"/>
  <c r="DO138" i="36"/>
  <c r="AL52" i="8"/>
  <c r="BP61" i="32"/>
  <c r="AH64" i="8"/>
  <c r="BG50" i="3"/>
  <c r="BF42" i="32"/>
  <c r="BF44" i="32" s="1"/>
  <c r="BF65" i="32" s="1"/>
  <c r="BF68" i="32" s="1"/>
  <c r="BG75" i="3"/>
  <c r="BG73" i="3"/>
  <c r="W128" i="89"/>
  <c r="T131" i="89"/>
  <c r="U95" i="89"/>
  <c r="T68" i="89"/>
  <c r="T66" i="89" s="1"/>
  <c r="T67" i="89" s="1"/>
  <c r="J133" i="89"/>
  <c r="J98" i="89"/>
  <c r="K132" i="89"/>
  <c r="V129" i="89"/>
  <c r="W93" i="89"/>
  <c r="I103" i="89"/>
  <c r="H129" i="89"/>
  <c r="I128" i="89"/>
  <c r="H94" i="89"/>
  <c r="Q99" i="89"/>
  <c r="P100" i="89"/>
  <c r="S132" i="89"/>
  <c r="T96" i="89"/>
  <c r="M133" i="89"/>
  <c r="M98" i="89"/>
  <c r="N132" i="89"/>
  <c r="N102" i="89"/>
  <c r="K101" i="89"/>
  <c r="R133" i="89"/>
  <c r="S97" i="89"/>
  <c r="R98" i="89"/>
  <c r="Q134" i="89"/>
  <c r="O132" i="89"/>
  <c r="O97" i="89"/>
  <c r="P131" i="89"/>
  <c r="L134" i="89"/>
  <c r="L99" i="89"/>
  <c r="V94" i="89"/>
  <c r="U130" i="89"/>
  <c r="S76" i="3"/>
  <c r="S55" i="3"/>
  <c r="S56" i="3" s="1"/>
  <c r="V64" i="32"/>
  <c r="V66" i="32" s="1"/>
  <c r="U9" i="3"/>
  <c r="U15" i="3" s="1"/>
  <c r="U21" i="3" s="1"/>
  <c r="BG84" i="3"/>
  <c r="BI83" i="3"/>
  <c r="AD66" i="8"/>
  <c r="AE63" i="8"/>
  <c r="AB21" i="14"/>
  <c r="AB24" i="14"/>
  <c r="AB25" i="14" s="1"/>
  <c r="G252" i="14"/>
  <c r="G60" i="14"/>
  <c r="G62" i="14" s="1"/>
  <c r="N291" i="14"/>
  <c r="AF226" i="14"/>
  <c r="AF222" i="14"/>
  <c r="AC22" i="14"/>
  <c r="AC20" i="14"/>
  <c r="AD17" i="14"/>
  <c r="AD19" i="14" s="1"/>
  <c r="U351" i="14"/>
  <c r="U283" i="14"/>
  <c r="U245" i="14"/>
  <c r="U207" i="14"/>
  <c r="U170" i="14"/>
  <c r="U132" i="14"/>
  <c r="U55" i="14"/>
  <c r="U94" i="14"/>
  <c r="V5" i="14"/>
  <c r="AU5" i="14"/>
  <c r="F22" i="14"/>
  <c r="F20" i="14"/>
  <c r="G17" i="14"/>
  <c r="F33" i="14"/>
  <c r="N290" i="14"/>
  <c r="AG225" i="14"/>
  <c r="AG216" i="14"/>
  <c r="L293" i="14"/>
  <c r="L302" i="14"/>
  <c r="L137" i="14"/>
  <c r="L139" i="14" s="1"/>
  <c r="AD148" i="14"/>
  <c r="AG219" i="14"/>
  <c r="AF220" i="14"/>
  <c r="AF113" i="14"/>
  <c r="AF109" i="14"/>
  <c r="AF110" i="14" s="1"/>
  <c r="AG112" i="14"/>
  <c r="M180" i="14"/>
  <c r="M178" i="14"/>
  <c r="M179" i="14" s="1"/>
  <c r="AH212" i="14"/>
  <c r="AH214" i="14" s="1"/>
  <c r="AH215" i="14" s="1"/>
  <c r="AG217" i="14"/>
  <c r="DY56" i="30"/>
  <c r="X371" i="14"/>
  <c r="X372" i="14" s="1"/>
  <c r="Y356" i="14"/>
  <c r="Y358" i="14" s="1"/>
  <c r="AE151" i="14"/>
  <c r="AF150" i="14"/>
  <c r="AE147" i="14"/>
  <c r="K316" i="14"/>
  <c r="K318" i="14"/>
  <c r="K319" i="14" s="1"/>
  <c r="AD292" i="14"/>
  <c r="AD305" i="14" s="1"/>
  <c r="F257" i="14"/>
  <c r="F258" i="14" s="1"/>
  <c r="F254" i="14"/>
  <c r="M104" i="14"/>
  <c r="M102" i="14"/>
  <c r="M103" i="14" s="1"/>
  <c r="AE222" i="14"/>
  <c r="AE223" i="14" s="1"/>
  <c r="AE209" i="14" s="1"/>
  <c r="AE226" i="14"/>
  <c r="K307" i="14"/>
  <c r="K327" i="14"/>
  <c r="K328" i="14" s="1"/>
  <c r="K345" i="14" s="1"/>
  <c r="K313" i="14"/>
  <c r="K312" i="14"/>
  <c r="K311" i="14"/>
  <c r="AU212" i="47"/>
  <c r="AW212" i="47"/>
  <c r="AU209" i="47"/>
  <c r="AW209" i="47"/>
  <c r="P184" i="40"/>
  <c r="AO198" i="40"/>
  <c r="R198" i="40"/>
  <c r="D198" i="40" s="1"/>
  <c r="AS216" i="47"/>
  <c r="H191" i="40"/>
  <c r="AG195" i="40"/>
  <c r="D195" i="40"/>
  <c r="H195" i="40" s="1"/>
  <c r="T195" i="40"/>
  <c r="V195" i="40" s="1"/>
  <c r="AG194" i="40"/>
  <c r="T194" i="40"/>
  <c r="D194" i="40"/>
  <c r="H194" i="40" s="1"/>
  <c r="P187" i="40"/>
  <c r="AN209" i="40"/>
  <c r="R202" i="40"/>
  <c r="AS220" i="47"/>
  <c r="AN208" i="40"/>
  <c r="AN205" i="40"/>
  <c r="R201" i="40"/>
  <c r="AS219" i="47"/>
  <c r="AW219" i="47" s="1"/>
  <c r="T191" i="40"/>
  <c r="V191" i="40" s="1"/>
  <c r="V187" i="40"/>
  <c r="AU229" i="47"/>
  <c r="P188" i="40"/>
  <c r="AG191" i="40"/>
  <c r="AU213" i="47"/>
  <c r="AW213" i="47"/>
  <c r="AN387" i="47"/>
  <c r="AE388" i="47"/>
  <c r="AN388" i="47" s="1"/>
  <c r="AC388" i="47"/>
  <c r="AC392" i="47" s="1"/>
  <c r="BE228" i="44"/>
  <c r="AX228" i="44"/>
  <c r="AT228" i="44"/>
  <c r="AU228" i="44"/>
  <c r="BD228" i="44"/>
  <c r="AT229" i="44"/>
  <c r="AO179" i="44"/>
  <c r="AQ179" i="44" s="1"/>
  <c r="AN179" i="44"/>
  <c r="AS158" i="44"/>
  <c r="F158" i="44"/>
  <c r="K275" i="44"/>
  <c r="Q272" i="44"/>
  <c r="DP53" i="30"/>
  <c r="F181" i="44"/>
  <c r="AS181" i="44"/>
  <c r="D180" i="44"/>
  <c r="BC181" i="44"/>
  <c r="O165" i="44"/>
  <c r="Q165" i="44"/>
  <c r="P166" i="44"/>
  <c r="AJ143" i="44"/>
  <c r="BG65" i="30"/>
  <c r="BF65" i="30"/>
  <c r="BI65" i="30"/>
  <c r="BH65" i="30"/>
  <c r="AY258" i="44"/>
  <c r="AY261" i="44"/>
  <c r="BC170" i="44"/>
  <c r="F170" i="44"/>
  <c r="AS170" i="44"/>
  <c r="D171" i="44"/>
  <c r="AC265" i="44"/>
  <c r="AA268" i="44"/>
  <c r="AS265" i="44"/>
  <c r="BD265" i="44" s="1"/>
  <c r="F269" i="44"/>
  <c r="D270" i="44"/>
  <c r="U276" i="44"/>
  <c r="W275" i="44"/>
  <c r="AH151" i="44"/>
  <c r="AJ151" i="44" s="1"/>
  <c r="AJ150" i="44"/>
  <c r="BD158" i="44"/>
  <c r="AX157" i="44"/>
  <c r="AY157" i="44" s="1"/>
  <c r="AU157" i="44"/>
  <c r="AT157" i="44"/>
  <c r="BE157" i="44"/>
  <c r="AF178" i="44"/>
  <c r="AD179" i="44"/>
  <c r="AF179" i="44" s="1"/>
  <c r="AU166" i="44"/>
  <c r="AX166" i="44"/>
  <c r="BE166" i="44"/>
  <c r="G160" i="44"/>
  <c r="I159" i="44"/>
  <c r="K178" i="44"/>
  <c r="Q177" i="44"/>
  <c r="O177" i="44"/>
  <c r="BC228" i="44"/>
  <c r="BE235" i="44"/>
  <c r="AX235" i="44"/>
  <c r="AT235" i="44"/>
  <c r="BD235" i="44"/>
  <c r="AU235" i="44"/>
  <c r="AT236" i="44"/>
  <c r="AU242" i="44"/>
  <c r="AS164" i="44"/>
  <c r="D165" i="44"/>
  <c r="BC164" i="44"/>
  <c r="F164" i="44"/>
  <c r="Q180" i="44"/>
  <c r="O180" i="44"/>
  <c r="AY144" i="44"/>
  <c r="AH144" i="44" s="1"/>
  <c r="AY145" i="44"/>
  <c r="BD151" i="44"/>
  <c r="AY151" i="44"/>
  <c r="BE264" i="44"/>
  <c r="AT264" i="44"/>
  <c r="AX264" i="44"/>
  <c r="AY264" i="44" s="1"/>
  <c r="AU264" i="44"/>
  <c r="BC264" i="44"/>
  <c r="AH158" i="44"/>
  <c r="AJ157" i="44"/>
  <c r="K172" i="44"/>
  <c r="Q171" i="44"/>
  <c r="O171" i="44"/>
  <c r="AX163" i="44"/>
  <c r="AY163" i="44" s="1"/>
  <c r="AU163" i="44"/>
  <c r="AT163" i="44"/>
  <c r="BE163" i="44"/>
  <c r="BD181" i="44"/>
  <c r="BD163" i="44"/>
  <c r="BC157" i="44"/>
  <c r="AT174" i="44"/>
  <c r="AU174" i="44"/>
  <c r="AX174" i="44"/>
  <c r="AY174" i="44" s="1"/>
  <c r="BE174" i="44"/>
  <c r="F173" i="44"/>
  <c r="AS173" i="44"/>
  <c r="BD173" i="44" s="1"/>
  <c r="D177" i="44"/>
  <c r="BC166" i="44"/>
  <c r="BD157" i="44"/>
  <c r="BD170" i="44"/>
  <c r="DO158" i="36" l="1"/>
  <c r="T132" i="89"/>
  <c r="U96" i="89"/>
  <c r="K102" i="89"/>
  <c r="R134" i="89"/>
  <c r="S98" i="89"/>
  <c r="M134" i="89"/>
  <c r="M99" i="89"/>
  <c r="N133" i="89"/>
  <c r="Q100" i="89"/>
  <c r="P101" i="89"/>
  <c r="W129" i="89"/>
  <c r="L135" i="89"/>
  <c r="L100" i="89"/>
  <c r="I104" i="89"/>
  <c r="V95" i="89"/>
  <c r="U131" i="89"/>
  <c r="U68" i="89"/>
  <c r="U66" i="89" s="1"/>
  <c r="U67" i="89" s="1"/>
  <c r="V130" i="89"/>
  <c r="W94" i="89"/>
  <c r="W130" i="89" s="1"/>
  <c r="O133" i="89"/>
  <c r="O98" i="89"/>
  <c r="P132" i="89"/>
  <c r="S133" i="89"/>
  <c r="T97" i="89"/>
  <c r="N103" i="89"/>
  <c r="R99" i="89"/>
  <c r="Q135" i="89"/>
  <c r="H130" i="89"/>
  <c r="I129" i="89"/>
  <c r="H95" i="89"/>
  <c r="H33" i="89" s="1"/>
  <c r="J134" i="89"/>
  <c r="J99" i="89"/>
  <c r="K133" i="89"/>
  <c r="U76" i="3"/>
  <c r="U55" i="3"/>
  <c r="U56" i="3" s="1"/>
  <c r="X64" i="32"/>
  <c r="X66" i="32" s="1"/>
  <c r="W9" i="3"/>
  <c r="BI84" i="3"/>
  <c r="BK83" i="3"/>
  <c r="AE66" i="8"/>
  <c r="AF63" i="8"/>
  <c r="AF151" i="14"/>
  <c r="AF147" i="14"/>
  <c r="AG150" i="14"/>
  <c r="AH225" i="14"/>
  <c r="AH216" i="14"/>
  <c r="AH112" i="14"/>
  <c r="AG113" i="14"/>
  <c r="AG109" i="14"/>
  <c r="AG110" i="14" s="1"/>
  <c r="L142" i="14"/>
  <c r="L140" i="14"/>
  <c r="L141" i="14" s="1"/>
  <c r="AG222" i="14"/>
  <c r="AG223" i="14" s="1"/>
  <c r="AG226" i="14"/>
  <c r="V351" i="14"/>
  <c r="V283" i="14"/>
  <c r="V245" i="14"/>
  <c r="V170" i="14"/>
  <c r="V132" i="14"/>
  <c r="V207" i="14"/>
  <c r="V55" i="14"/>
  <c r="V94" i="14"/>
  <c r="W5" i="14"/>
  <c r="AV5" i="14"/>
  <c r="AF223" i="14"/>
  <c r="G65" i="14"/>
  <c r="G63" i="14"/>
  <c r="G64" i="14" s="1"/>
  <c r="L306" i="14"/>
  <c r="M289" i="14"/>
  <c r="N303" i="14"/>
  <c r="N99" i="14"/>
  <c r="N101" i="14" s="1"/>
  <c r="F21" i="14"/>
  <c r="F24" i="14"/>
  <c r="F25" i="14" s="1"/>
  <c r="AD22" i="14"/>
  <c r="AD20" i="14"/>
  <c r="AE17" i="14"/>
  <c r="AE19" i="14" s="1"/>
  <c r="G255" i="14"/>
  <c r="H250" i="14"/>
  <c r="G19" i="14"/>
  <c r="G266" i="14"/>
  <c r="G253" i="14"/>
  <c r="N304" i="14"/>
  <c r="N175" i="14"/>
  <c r="N177" i="14" s="1"/>
  <c r="AE231" i="14"/>
  <c r="AE210" i="14"/>
  <c r="AE235" i="14" s="1"/>
  <c r="AF209" i="14"/>
  <c r="AE12" i="14"/>
  <c r="AG220" i="14"/>
  <c r="AH219" i="14"/>
  <c r="AH220" i="14" s="1"/>
  <c r="AC21" i="14"/>
  <c r="AE292" i="14"/>
  <c r="AE305" i="14" s="1"/>
  <c r="AE148" i="14"/>
  <c r="Y371" i="14"/>
  <c r="Y372" i="14" s="1"/>
  <c r="Z356" i="14"/>
  <c r="Z358" i="14" s="1"/>
  <c r="AA356" i="14" s="1"/>
  <c r="AA358" i="14" s="1"/>
  <c r="AB356" i="14" s="1"/>
  <c r="AB358" i="14" s="1"/>
  <c r="AC356" i="14" s="1"/>
  <c r="AC358" i="14" s="1"/>
  <c r="AH217" i="14"/>
  <c r="DZ56" i="30"/>
  <c r="AW220" i="47"/>
  <c r="AU220" i="47"/>
  <c r="V194" i="40"/>
  <c r="T198" i="40"/>
  <c r="V198" i="40" s="1"/>
  <c r="P195" i="40"/>
  <c r="AG201" i="40"/>
  <c r="D201" i="40"/>
  <c r="H201" i="40" s="1"/>
  <c r="T201" i="40"/>
  <c r="T202" i="40"/>
  <c r="V202" i="40" s="1"/>
  <c r="AG202" i="40"/>
  <c r="D202" i="40"/>
  <c r="H202" i="40" s="1"/>
  <c r="AG198" i="40"/>
  <c r="AO205" i="40"/>
  <c r="AS223" i="47"/>
  <c r="AS227" i="47"/>
  <c r="H198" i="40"/>
  <c r="P191" i="40"/>
  <c r="AN212" i="40"/>
  <c r="AS226" i="47"/>
  <c r="P194" i="40"/>
  <c r="AU216" i="47"/>
  <c r="AW216" i="47"/>
  <c r="AU219" i="47"/>
  <c r="AE392" i="47"/>
  <c r="AC393" i="47"/>
  <c r="AE393" i="47"/>
  <c r="AN393" i="47" s="1"/>
  <c r="AE389" i="47"/>
  <c r="AN389" i="47" s="1"/>
  <c r="AJ144" i="44"/>
  <c r="AJ152" i="44"/>
  <c r="D178" i="44"/>
  <c r="AS177" i="44"/>
  <c r="F177" i="44"/>
  <c r="Q172" i="44"/>
  <c r="O172" i="44"/>
  <c r="P173" i="44"/>
  <c r="G163" i="44"/>
  <c r="H160" i="44"/>
  <c r="I160" i="44"/>
  <c r="U277" i="44"/>
  <c r="W276" i="44"/>
  <c r="AY235" i="44"/>
  <c r="AY236" i="44"/>
  <c r="AU265" i="44"/>
  <c r="AX265" i="44"/>
  <c r="AY265" i="44" s="1"/>
  <c r="AT265" i="44"/>
  <c r="BE265" i="44"/>
  <c r="BC265" i="44"/>
  <c r="AS171" i="44"/>
  <c r="BC171" i="44" s="1"/>
  <c r="D172" i="44"/>
  <c r="F171" i="44"/>
  <c r="BC180" i="44"/>
  <c r="F180" i="44"/>
  <c r="AS180" i="44"/>
  <c r="AU158" i="44"/>
  <c r="AX158" i="44"/>
  <c r="AT158" i="44"/>
  <c r="BE158" i="44"/>
  <c r="AT159" i="44"/>
  <c r="AX173" i="44"/>
  <c r="AU173" i="44"/>
  <c r="BE173" i="44"/>
  <c r="BD171" i="44"/>
  <c r="BD180" i="44"/>
  <c r="AS165" i="44"/>
  <c r="F165" i="44"/>
  <c r="Q178" i="44"/>
  <c r="K179" i="44"/>
  <c r="O178" i="44"/>
  <c r="D271" i="44"/>
  <c r="F270" i="44"/>
  <c r="AA269" i="44"/>
  <c r="AS268" i="44"/>
  <c r="AC268" i="44"/>
  <c r="AT170" i="44"/>
  <c r="AU170" i="44"/>
  <c r="AX170" i="44"/>
  <c r="AY170" i="44" s="1"/>
  <c r="BE170" i="44"/>
  <c r="AX181" i="44"/>
  <c r="AY181" i="44" s="1"/>
  <c r="AT181" i="44"/>
  <c r="AU181" i="44"/>
  <c r="BE181" i="44"/>
  <c r="BC158" i="44"/>
  <c r="AY228" i="44"/>
  <c r="AY229" i="44"/>
  <c r="BC173" i="44"/>
  <c r="AH159" i="44"/>
  <c r="AJ158" i="44"/>
  <c r="AX164" i="44"/>
  <c r="AY164" i="44" s="1"/>
  <c r="AU164" i="44"/>
  <c r="AT164" i="44"/>
  <c r="BE164" i="44"/>
  <c r="BD164" i="44"/>
  <c r="BD165" i="44"/>
  <c r="Q275" i="44"/>
  <c r="K276" i="44"/>
  <c r="I29" i="89" l="1"/>
  <c r="H24" i="89"/>
  <c r="O134" i="89"/>
  <c r="O99" i="89"/>
  <c r="P133" i="89"/>
  <c r="Q101" i="89"/>
  <c r="P102" i="89"/>
  <c r="M135" i="89"/>
  <c r="M100" i="89"/>
  <c r="N134" i="89"/>
  <c r="K103" i="89"/>
  <c r="T133" i="89"/>
  <c r="U97" i="89"/>
  <c r="L136" i="89"/>
  <c r="L101" i="89"/>
  <c r="R100" i="89"/>
  <c r="Q136" i="89"/>
  <c r="H131" i="89"/>
  <c r="I130" i="89"/>
  <c r="H96" i="89"/>
  <c r="R135" i="89"/>
  <c r="S99" i="89"/>
  <c r="V131" i="89"/>
  <c r="W95" i="89"/>
  <c r="V68" i="89"/>
  <c r="V66" i="89" s="1"/>
  <c r="V67" i="89" s="1"/>
  <c r="S134" i="89"/>
  <c r="T98" i="89"/>
  <c r="V96" i="89"/>
  <c r="U132" i="89"/>
  <c r="J135" i="89"/>
  <c r="J100" i="89"/>
  <c r="K134" i="89"/>
  <c r="N104" i="89"/>
  <c r="I105" i="89"/>
  <c r="W79" i="3"/>
  <c r="W15" i="3"/>
  <c r="W21" i="3" s="1"/>
  <c r="Z64" i="32"/>
  <c r="Z66" i="32" s="1"/>
  <c r="Y9" i="3"/>
  <c r="BM83" i="3"/>
  <c r="BK84" i="3"/>
  <c r="AF66" i="8"/>
  <c r="AG63" i="8"/>
  <c r="M293" i="14"/>
  <c r="M302" i="14"/>
  <c r="M137" i="14"/>
  <c r="M139" i="14" s="1"/>
  <c r="W351" i="14"/>
  <c r="W283" i="14"/>
  <c r="W245" i="14"/>
  <c r="W207" i="14"/>
  <c r="W170" i="14"/>
  <c r="W132" i="14"/>
  <c r="W94" i="14"/>
  <c r="W55" i="14"/>
  <c r="AW5" i="14"/>
  <c r="X5" i="14"/>
  <c r="AG151" i="14"/>
  <c r="AH150" i="14"/>
  <c r="AG147" i="14"/>
  <c r="AE13" i="14"/>
  <c r="N180" i="14"/>
  <c r="N178" i="14"/>
  <c r="N179" i="14" s="1"/>
  <c r="H17" i="14"/>
  <c r="G22" i="14"/>
  <c r="G20" i="14"/>
  <c r="G33" i="14"/>
  <c r="AF17" i="14"/>
  <c r="AF19" i="14" s="1"/>
  <c r="AE22" i="14"/>
  <c r="AE20" i="14"/>
  <c r="AE21" i="14" s="1"/>
  <c r="L307" i="14"/>
  <c r="L327" i="14"/>
  <c r="L328" i="14" s="1"/>
  <c r="L345" i="14" s="1"/>
  <c r="L313" i="14"/>
  <c r="L311" i="14"/>
  <c r="L312" i="14"/>
  <c r="AH109" i="14"/>
  <c r="AH110" i="14" s="1"/>
  <c r="AH113" i="14"/>
  <c r="AF148" i="14"/>
  <c r="AD356" i="14"/>
  <c r="AD358" i="14" s="1"/>
  <c r="AE356" i="14" s="1"/>
  <c r="AE358" i="14" s="1"/>
  <c r="AF356" i="14" s="1"/>
  <c r="AF358" i="14" s="1"/>
  <c r="AG356" i="14" s="1"/>
  <c r="AG358" i="14" s="1"/>
  <c r="AH356" i="14" s="1"/>
  <c r="AH358" i="14" s="1"/>
  <c r="AI356" i="14"/>
  <c r="AI358" i="14" s="1"/>
  <c r="AF292" i="14"/>
  <c r="AF305" i="14" s="1"/>
  <c r="L315" i="14"/>
  <c r="AG209" i="14"/>
  <c r="AF210" i="14"/>
  <c r="AF235" i="14" s="1"/>
  <c r="AF231" i="14"/>
  <c r="AF12" i="14"/>
  <c r="O291" i="14"/>
  <c r="H252" i="14"/>
  <c r="H60" i="14"/>
  <c r="H62" i="14" s="1"/>
  <c r="AD21" i="14"/>
  <c r="N104" i="14"/>
  <c r="N102" i="14"/>
  <c r="N103" i="14" s="1"/>
  <c r="L310" i="14"/>
  <c r="G254" i="14"/>
  <c r="G257" i="14"/>
  <c r="G258" i="14" s="1"/>
  <c r="O290" i="14"/>
  <c r="AH222" i="14"/>
  <c r="AH223" i="14" s="1"/>
  <c r="AH226" i="14"/>
  <c r="AO212" i="40"/>
  <c r="AS230" i="47"/>
  <c r="AU227" i="47"/>
  <c r="AW227" i="47"/>
  <c r="P201" i="40"/>
  <c r="AU226" i="47"/>
  <c r="AW226" i="47"/>
  <c r="AU223" i="47"/>
  <c r="P198" i="40"/>
  <c r="P202" i="40"/>
  <c r="V201" i="40"/>
  <c r="AC394" i="47"/>
  <c r="AN392" i="47"/>
  <c r="K277" i="44"/>
  <c r="Q276" i="44"/>
  <c r="AU268" i="44"/>
  <c r="BE268" i="44"/>
  <c r="AT268" i="44"/>
  <c r="AX268" i="44"/>
  <c r="AY268" i="44" s="1"/>
  <c r="BC268" i="44"/>
  <c r="D272" i="44"/>
  <c r="F271" i="44"/>
  <c r="AX177" i="44"/>
  <c r="AY177" i="44" s="1"/>
  <c r="AU177" i="44"/>
  <c r="AT177" i="44"/>
  <c r="BE177" i="44"/>
  <c r="AJ159" i="44"/>
  <c r="AH160" i="44"/>
  <c r="AC269" i="44"/>
  <c r="AA270" i="44"/>
  <c r="AS269" i="44"/>
  <c r="BD269" i="44"/>
  <c r="AY158" i="44"/>
  <c r="AY159" i="44"/>
  <c r="AX171" i="44"/>
  <c r="AY171" i="44" s="1"/>
  <c r="AU171" i="44"/>
  <c r="AT171" i="44"/>
  <c r="BE171" i="44"/>
  <c r="I163" i="44"/>
  <c r="G164" i="44"/>
  <c r="AS178" i="44"/>
  <c r="F178" i="44"/>
  <c r="D179" i="44"/>
  <c r="BD268" i="44"/>
  <c r="AX165" i="44"/>
  <c r="AT165" i="44"/>
  <c r="AU165" i="44"/>
  <c r="BE165" i="44"/>
  <c r="AT166" i="44"/>
  <c r="W277" i="44"/>
  <c r="U278" i="44"/>
  <c r="BD177" i="44"/>
  <c r="O179" i="44"/>
  <c r="Q179" i="44"/>
  <c r="P180" i="44"/>
  <c r="BC165" i="44"/>
  <c r="AU180" i="44"/>
  <c r="AX180" i="44"/>
  <c r="BE180" i="44"/>
  <c r="F172" i="44"/>
  <c r="AS172" i="44"/>
  <c r="BD172" i="44" s="1"/>
  <c r="BC177" i="44"/>
  <c r="N105" i="89" l="1"/>
  <c r="V132" i="89"/>
  <c r="W96" i="89"/>
  <c r="W131" i="89"/>
  <c r="W68" i="89"/>
  <c r="W66" i="89" s="1"/>
  <c r="W67" i="89" s="1"/>
  <c r="H132" i="89"/>
  <c r="I131" i="89"/>
  <c r="H97" i="89"/>
  <c r="R136" i="89"/>
  <c r="S100" i="89"/>
  <c r="Q102" i="89"/>
  <c r="P103" i="89"/>
  <c r="O135" i="89"/>
  <c r="O100" i="89"/>
  <c r="P134" i="89"/>
  <c r="T134" i="89"/>
  <c r="U98" i="89"/>
  <c r="L137" i="89"/>
  <c r="L102" i="89"/>
  <c r="R101" i="89"/>
  <c r="Q137" i="89"/>
  <c r="I106" i="89"/>
  <c r="S135" i="89"/>
  <c r="T99" i="89"/>
  <c r="M136" i="89"/>
  <c r="M101" i="89"/>
  <c r="N135" i="89"/>
  <c r="H153" i="89"/>
  <c r="H154" i="89"/>
  <c r="H37" i="89"/>
  <c r="I21" i="89"/>
  <c r="J136" i="89"/>
  <c r="J101" i="89"/>
  <c r="K135" i="89"/>
  <c r="V97" i="89"/>
  <c r="U133" i="89"/>
  <c r="K104" i="89"/>
  <c r="Y79" i="3"/>
  <c r="Y15" i="3"/>
  <c r="Y21" i="3" s="1"/>
  <c r="AB64" i="32"/>
  <c r="AB66" i="32" s="1"/>
  <c r="AA9" i="3"/>
  <c r="W76" i="3"/>
  <c r="W55" i="3"/>
  <c r="W56" i="3" s="1"/>
  <c r="BO83" i="3"/>
  <c r="BM84" i="3"/>
  <c r="AG66" i="8"/>
  <c r="AH63" i="8"/>
  <c r="AH66" i="8" s="1"/>
  <c r="L316" i="14"/>
  <c r="L318" i="14"/>
  <c r="L319" i="14" s="1"/>
  <c r="H266" i="14"/>
  <c r="H255" i="14"/>
  <c r="I250" i="14"/>
  <c r="H19" i="14"/>
  <c r="H253" i="14"/>
  <c r="AG292" i="14"/>
  <c r="AG305" i="14" s="1"/>
  <c r="AF22" i="14"/>
  <c r="AF20" i="14"/>
  <c r="AF21" i="14" s="1"/>
  <c r="AG17" i="14"/>
  <c r="AG19" i="14" s="1"/>
  <c r="AH147" i="14"/>
  <c r="AH151" i="14"/>
  <c r="M142" i="14"/>
  <c r="M140" i="14"/>
  <c r="M141" i="14" s="1"/>
  <c r="O303" i="14"/>
  <c r="O99" i="14"/>
  <c r="O101" i="14" s="1"/>
  <c r="O304" i="14"/>
  <c r="O175" i="14"/>
  <c r="O177" i="14" s="1"/>
  <c r="M310" i="14"/>
  <c r="M306" i="14"/>
  <c r="N289" i="14"/>
  <c r="H65" i="14"/>
  <c r="H63" i="14"/>
  <c r="H64" i="14" s="1"/>
  <c r="AF13" i="14"/>
  <c r="AG148" i="14"/>
  <c r="AH209" i="14"/>
  <c r="AG210" i="14"/>
  <c r="AG235" i="14" s="1"/>
  <c r="AG231" i="14"/>
  <c r="AG12" i="14"/>
  <c r="G21" i="14"/>
  <c r="G24" i="14"/>
  <c r="G25" i="14" s="1"/>
  <c r="X351" i="14"/>
  <c r="X283" i="14"/>
  <c r="X207" i="14"/>
  <c r="X245" i="14"/>
  <c r="X170" i="14"/>
  <c r="X132" i="14"/>
  <c r="X94" i="14"/>
  <c r="X55" i="14"/>
  <c r="AX5" i="14"/>
  <c r="Y5" i="14"/>
  <c r="M315" i="14"/>
  <c r="AU230" i="47"/>
  <c r="AC395" i="47"/>
  <c r="AC399" i="47" s="1"/>
  <c r="AE394" i="47"/>
  <c r="BC172" i="44"/>
  <c r="W278" i="44"/>
  <c r="U279" i="44"/>
  <c r="AX178" i="44"/>
  <c r="AY178" i="44" s="1"/>
  <c r="AU178" i="44"/>
  <c r="AT178" i="44"/>
  <c r="BE178" i="44"/>
  <c r="AA271" i="44"/>
  <c r="AS270" i="44"/>
  <c r="AC270" i="44"/>
  <c r="BD270" i="44"/>
  <c r="AX172" i="44"/>
  <c r="AU172" i="44"/>
  <c r="AT172" i="44"/>
  <c r="BE172" i="44"/>
  <c r="AT173" i="44"/>
  <c r="F179" i="44"/>
  <c r="AS179" i="44"/>
  <c r="G165" i="44"/>
  <c r="I164" i="44"/>
  <c r="BD179" i="44"/>
  <c r="AY165" i="44"/>
  <c r="AY166" i="44"/>
  <c r="AJ160" i="44"/>
  <c r="AH163" i="44"/>
  <c r="AI160" i="44"/>
  <c r="K278" i="44"/>
  <c r="Q277" i="44"/>
  <c r="BD178" i="44"/>
  <c r="BC178" i="44"/>
  <c r="BE269" i="44"/>
  <c r="AT269" i="44"/>
  <c r="AU269" i="44"/>
  <c r="AX269" i="44"/>
  <c r="AY269" i="44" s="1"/>
  <c r="BC269" i="44"/>
  <c r="D275" i="44"/>
  <c r="F272" i="44"/>
  <c r="K105" i="89" l="1"/>
  <c r="J137" i="89"/>
  <c r="J102" i="89"/>
  <c r="K136" i="89"/>
  <c r="H171" i="89"/>
  <c r="I154" i="89"/>
  <c r="J154" i="89" s="1"/>
  <c r="O136" i="89"/>
  <c r="O101" i="89"/>
  <c r="P135" i="89"/>
  <c r="W132" i="89"/>
  <c r="T135" i="89"/>
  <c r="U99" i="89"/>
  <c r="V98" i="89"/>
  <c r="U134" i="89"/>
  <c r="S136" i="89"/>
  <c r="T100" i="89"/>
  <c r="V133" i="89"/>
  <c r="W97" i="89"/>
  <c r="W133" i="89" s="1"/>
  <c r="R137" i="89"/>
  <c r="S101" i="89"/>
  <c r="Q103" i="89"/>
  <c r="P104" i="89"/>
  <c r="N106" i="89"/>
  <c r="M137" i="89"/>
  <c r="M102" i="89"/>
  <c r="N136" i="89"/>
  <c r="L138" i="89"/>
  <c r="L103" i="89"/>
  <c r="R102" i="89"/>
  <c r="Q138" i="89"/>
  <c r="H133" i="89"/>
  <c r="I132" i="89"/>
  <c r="H98" i="89"/>
  <c r="AA79" i="3"/>
  <c r="AA15" i="3"/>
  <c r="AA21" i="3" s="1"/>
  <c r="AD64" i="32"/>
  <c r="AD66" i="32" s="1"/>
  <c r="AC9" i="3"/>
  <c r="Y76" i="3"/>
  <c r="Y55" i="3"/>
  <c r="Y56" i="3" s="1"/>
  <c r="BO84" i="3"/>
  <c r="BQ83" i="3"/>
  <c r="BQ84" i="3" s="1"/>
  <c r="M316" i="14"/>
  <c r="M318" i="14"/>
  <c r="M319" i="14" s="1"/>
  <c r="AH210" i="14"/>
  <c r="AH235" i="14" s="1"/>
  <c r="AH231" i="14"/>
  <c r="AH12" i="14"/>
  <c r="N302" i="14"/>
  <c r="N293" i="14"/>
  <c r="N137" i="14"/>
  <c r="N139" i="14" s="1"/>
  <c r="P291" i="14"/>
  <c r="Y351" i="14"/>
  <c r="Y283" i="14"/>
  <c r="Y245" i="14"/>
  <c r="Y207" i="14"/>
  <c r="Y170" i="14"/>
  <c r="Y55" i="14"/>
  <c r="Y132" i="14"/>
  <c r="Y94" i="14"/>
  <c r="Z5" i="14"/>
  <c r="AY5" i="14"/>
  <c r="AG13" i="14"/>
  <c r="M307" i="14"/>
  <c r="M327" i="14"/>
  <c r="M328" i="14" s="1"/>
  <c r="M313" i="14"/>
  <c r="M312" i="14"/>
  <c r="M311" i="14"/>
  <c r="O104" i="14"/>
  <c r="O102" i="14"/>
  <c r="O103" i="14" s="1"/>
  <c r="AG22" i="14"/>
  <c r="AG20" i="14"/>
  <c r="AG21" i="14" s="1"/>
  <c r="AH17" i="14"/>
  <c r="AH19" i="14" s="1"/>
  <c r="I252" i="14"/>
  <c r="I60" i="14"/>
  <c r="I62" i="14" s="1"/>
  <c r="P290" i="14"/>
  <c r="H254" i="14"/>
  <c r="H257" i="14"/>
  <c r="H258" i="14" s="1"/>
  <c r="O180" i="14"/>
  <c r="O178" i="14"/>
  <c r="O179" i="14" s="1"/>
  <c r="AH148" i="14"/>
  <c r="H22" i="14"/>
  <c r="H20" i="14"/>
  <c r="I17" i="14"/>
  <c r="H33" i="14"/>
  <c r="H34" i="14" s="1"/>
  <c r="AN394" i="47"/>
  <c r="AC400" i="47"/>
  <c r="AE399" i="47"/>
  <c r="AE395" i="47"/>
  <c r="AN395" i="47" s="1"/>
  <c r="AX179" i="44"/>
  <c r="AT179" i="44"/>
  <c r="AU179" i="44"/>
  <c r="BE179" i="44"/>
  <c r="AT180" i="44"/>
  <c r="AY172" i="44"/>
  <c r="AY173" i="44"/>
  <c r="AC271" i="44"/>
  <c r="AA272" i="44"/>
  <c r="AS271" i="44"/>
  <c r="BD271" i="44"/>
  <c r="AH164" i="44"/>
  <c r="AJ163" i="44"/>
  <c r="U282" i="44"/>
  <c r="W279" i="44"/>
  <c r="DQ54" i="30"/>
  <c r="BC179" i="44"/>
  <c r="F275" i="44"/>
  <c r="D276" i="44"/>
  <c r="Q278" i="44"/>
  <c r="K279" i="44"/>
  <c r="G166" i="44"/>
  <c r="I165" i="44"/>
  <c r="AU270" i="44"/>
  <c r="BE270" i="44"/>
  <c r="AX270" i="44"/>
  <c r="AY270" i="44" s="1"/>
  <c r="AT270" i="44"/>
  <c r="BC270" i="44"/>
  <c r="H134" i="89" l="1"/>
  <c r="I133" i="89"/>
  <c r="H99" i="89"/>
  <c r="R138" i="89"/>
  <c r="S102" i="89"/>
  <c r="V99" i="89"/>
  <c r="U135" i="89"/>
  <c r="K154" i="89"/>
  <c r="L154" i="89" s="1"/>
  <c r="S137" i="89"/>
  <c r="T101" i="89"/>
  <c r="V134" i="89"/>
  <c r="W98" i="89"/>
  <c r="J138" i="89"/>
  <c r="J103" i="89"/>
  <c r="K137" i="89"/>
  <c r="M138" i="89"/>
  <c r="M103" i="89"/>
  <c r="N137" i="89"/>
  <c r="O137" i="89"/>
  <c r="O102" i="89"/>
  <c r="P136" i="89"/>
  <c r="L139" i="89"/>
  <c r="L104" i="89"/>
  <c r="K106" i="89"/>
  <c r="Q104" i="89"/>
  <c r="P105" i="89"/>
  <c r="T136" i="89"/>
  <c r="U100" i="89"/>
  <c r="R103" i="89"/>
  <c r="Q139" i="89"/>
  <c r="AC79" i="3"/>
  <c r="AC15" i="3"/>
  <c r="AC21" i="3" s="1"/>
  <c r="AF64" i="32"/>
  <c r="AF66" i="32" s="1"/>
  <c r="AE9" i="3"/>
  <c r="AA76" i="3"/>
  <c r="AA55" i="3"/>
  <c r="AA56" i="3" s="1"/>
  <c r="I255" i="14"/>
  <c r="J250" i="14"/>
  <c r="I19" i="14"/>
  <c r="I266" i="14"/>
  <c r="I253" i="14"/>
  <c r="I65" i="14"/>
  <c r="I63" i="14"/>
  <c r="I64" i="14" s="1"/>
  <c r="P303" i="14"/>
  <c r="P99" i="14"/>
  <c r="P101" i="14" s="1"/>
  <c r="AH20" i="14"/>
  <c r="AH21" i="14" s="1"/>
  <c r="AH22" i="14"/>
  <c r="AN19" i="14"/>
  <c r="P304" i="14"/>
  <c r="P175" i="14"/>
  <c r="P177" i="14" s="1"/>
  <c r="N306" i="14"/>
  <c r="N310" i="14" s="1"/>
  <c r="O289" i="14"/>
  <c r="Z351" i="14"/>
  <c r="Z283" i="14"/>
  <c r="Z207" i="14"/>
  <c r="Z245" i="14"/>
  <c r="Z170" i="14"/>
  <c r="Z132" i="14"/>
  <c r="Z55" i="14"/>
  <c r="Z94" i="14"/>
  <c r="AA5" i="14"/>
  <c r="N142" i="14"/>
  <c r="N140" i="14"/>
  <c r="N141" i="14" s="1"/>
  <c r="H21" i="14"/>
  <c r="H24" i="14"/>
  <c r="H25" i="14" s="1"/>
  <c r="AH13" i="14"/>
  <c r="AC401" i="47"/>
  <c r="AE401" i="47" s="1"/>
  <c r="AN401" i="47" s="1"/>
  <c r="AN399" i="47"/>
  <c r="AE400" i="47"/>
  <c r="AN400" i="47" s="1"/>
  <c r="AE396" i="47"/>
  <c r="AN396" i="47" s="1"/>
  <c r="I166" i="44"/>
  <c r="G167" i="44"/>
  <c r="AJ164" i="44"/>
  <c r="AH165" i="44"/>
  <c r="K282" i="44"/>
  <c r="Q279" i="44"/>
  <c r="D277" i="44"/>
  <c r="F276" i="44"/>
  <c r="W282" i="44"/>
  <c r="U283" i="44"/>
  <c r="BE271" i="44"/>
  <c r="AT271" i="44"/>
  <c r="AX271" i="44"/>
  <c r="AY271" i="44" s="1"/>
  <c r="AU271" i="44"/>
  <c r="BC271" i="44"/>
  <c r="AA275" i="44"/>
  <c r="AS272" i="44"/>
  <c r="AC272" i="44"/>
  <c r="AY179" i="44"/>
  <c r="AY180" i="44"/>
  <c r="M154" i="89" l="1"/>
  <c r="L140" i="89"/>
  <c r="L105" i="89"/>
  <c r="R104" i="89"/>
  <c r="Q140" i="89"/>
  <c r="J139" i="89"/>
  <c r="J104" i="89"/>
  <c r="K138" i="89"/>
  <c r="V100" i="89"/>
  <c r="U136" i="89"/>
  <c r="M139" i="89"/>
  <c r="M104" i="89"/>
  <c r="N138" i="89"/>
  <c r="W134" i="89"/>
  <c r="H135" i="89"/>
  <c r="H100" i="89"/>
  <c r="I134" i="89"/>
  <c r="O138" i="89"/>
  <c r="O103" i="89"/>
  <c r="P137" i="89"/>
  <c r="V135" i="89"/>
  <c r="W99" i="89"/>
  <c r="W135" i="89" s="1"/>
  <c r="T137" i="89"/>
  <c r="U101" i="89"/>
  <c r="S138" i="89"/>
  <c r="T102" i="89"/>
  <c r="Q105" i="89"/>
  <c r="P106" i="89"/>
  <c r="Q106" i="89" s="1"/>
  <c r="R106" i="89" s="1"/>
  <c r="S106" i="89" s="1"/>
  <c r="T106" i="89" s="1"/>
  <c r="U106" i="89" s="1"/>
  <c r="V106" i="89" s="1"/>
  <c r="W106" i="89" s="1"/>
  <c r="R139" i="89"/>
  <c r="S103" i="89"/>
  <c r="N154" i="89"/>
  <c r="AC76" i="3"/>
  <c r="AC55" i="3"/>
  <c r="AC56" i="3" s="1"/>
  <c r="AE79" i="3"/>
  <c r="AE15" i="3"/>
  <c r="AE21" i="3" s="1"/>
  <c r="AH64" i="32"/>
  <c r="AH66" i="32" s="1"/>
  <c r="AG9" i="3"/>
  <c r="Q290" i="14"/>
  <c r="N315" i="14"/>
  <c r="Q291" i="14"/>
  <c r="I22" i="14"/>
  <c r="I20" i="14"/>
  <c r="J17" i="14"/>
  <c r="I33" i="14"/>
  <c r="I34" i="14" s="1"/>
  <c r="I254" i="14"/>
  <c r="I257" i="14"/>
  <c r="I258" i="14" s="1"/>
  <c r="J252" i="14"/>
  <c r="J60" i="14"/>
  <c r="J62" i="14" s="1"/>
  <c r="O302" i="14"/>
  <c r="O293" i="14"/>
  <c r="O137" i="14"/>
  <c r="O139" i="14" s="1"/>
  <c r="P104" i="14"/>
  <c r="P102" i="14"/>
  <c r="P103" i="14" s="1"/>
  <c r="N307" i="14"/>
  <c r="N327" i="14"/>
  <c r="N328" i="14" s="1"/>
  <c r="N313" i="14"/>
  <c r="N312" i="14"/>
  <c r="N311" i="14"/>
  <c r="AA351" i="14"/>
  <c r="AA283" i="14"/>
  <c r="AA245" i="14"/>
  <c r="AA207" i="14"/>
  <c r="AA170" i="14"/>
  <c r="AA94" i="14"/>
  <c r="AA132" i="14"/>
  <c r="AA55" i="14"/>
  <c r="AB5" i="14"/>
  <c r="P180" i="14"/>
  <c r="P178" i="14"/>
  <c r="P179" i="14" s="1"/>
  <c r="AC402" i="47"/>
  <c r="AC406" i="47" s="1"/>
  <c r="U284" i="44"/>
  <c r="W283" i="44"/>
  <c r="AH166" i="44"/>
  <c r="AJ165" i="44"/>
  <c r="AU272" i="44"/>
  <c r="BE272" i="44"/>
  <c r="AT272" i="44"/>
  <c r="AX272" i="44"/>
  <c r="AY272" i="44" s="1"/>
  <c r="BC272" i="44"/>
  <c r="AA276" i="44"/>
  <c r="AC275" i="44"/>
  <c r="AS275" i="44"/>
  <c r="I167" i="44"/>
  <c r="H167" i="44"/>
  <c r="G170" i="44"/>
  <c r="BD272" i="44"/>
  <c r="D278" i="44"/>
  <c r="F277" i="44"/>
  <c r="K283" i="44"/>
  <c r="Q282" i="44"/>
  <c r="S139" i="89" l="1"/>
  <c r="T103" i="89"/>
  <c r="V101" i="89"/>
  <c r="U137" i="89"/>
  <c r="V136" i="89"/>
  <c r="W100" i="89"/>
  <c r="H136" i="89"/>
  <c r="H101" i="89"/>
  <c r="I135" i="89"/>
  <c r="M140" i="89"/>
  <c r="M105" i="89"/>
  <c r="N139" i="89"/>
  <c r="L141" i="89"/>
  <c r="L143" i="89" s="1"/>
  <c r="L106" i="89"/>
  <c r="T138" i="89"/>
  <c r="U102" i="89"/>
  <c r="O139" i="89"/>
  <c r="O104" i="89"/>
  <c r="P138" i="89"/>
  <c r="R140" i="89"/>
  <c r="S104" i="89"/>
  <c r="R105" i="89"/>
  <c r="Q141" i="89"/>
  <c r="Q143" i="89" s="1"/>
  <c r="J140" i="89"/>
  <c r="J105" i="89"/>
  <c r="K139" i="89"/>
  <c r="O154" i="89"/>
  <c r="P154" i="89" s="1"/>
  <c r="AJ64" i="32"/>
  <c r="AJ66" i="32" s="1"/>
  <c r="AI9" i="3"/>
  <c r="AE76" i="3"/>
  <c r="AE55" i="3"/>
  <c r="AE56" i="3" s="1"/>
  <c r="AG79" i="3"/>
  <c r="AG15" i="3"/>
  <c r="AG21" i="3" s="1"/>
  <c r="AB351" i="14"/>
  <c r="AB283" i="14"/>
  <c r="AB207" i="14"/>
  <c r="AB245" i="14"/>
  <c r="AB170" i="14"/>
  <c r="AB132" i="14"/>
  <c r="AB94" i="14"/>
  <c r="AB55" i="14"/>
  <c r="J65" i="14"/>
  <c r="J63" i="14"/>
  <c r="J64" i="14" s="1"/>
  <c r="Q304" i="14"/>
  <c r="Q175" i="14"/>
  <c r="Q177" i="14" s="1"/>
  <c r="O142" i="14"/>
  <c r="O140" i="14"/>
  <c r="O141" i="14" s="1"/>
  <c r="J255" i="14"/>
  <c r="K250" i="14"/>
  <c r="J19" i="14"/>
  <c r="J266" i="14"/>
  <c r="J253" i="14"/>
  <c r="I21" i="14"/>
  <c r="I24" i="14"/>
  <c r="I25" i="14" s="1"/>
  <c r="N316" i="14"/>
  <c r="N318" i="14"/>
  <c r="N319" i="14" s="1"/>
  <c r="P289" i="14"/>
  <c r="O306" i="14"/>
  <c r="O315" i="14" s="1"/>
  <c r="Q303" i="14"/>
  <c r="Q99" i="14"/>
  <c r="Q101" i="14" s="1"/>
  <c r="AE402" i="47"/>
  <c r="AE406" i="47"/>
  <c r="AC407" i="47"/>
  <c r="AE407" i="47" s="1"/>
  <c r="AN407" i="47" s="1"/>
  <c r="AX275" i="44"/>
  <c r="AY275" i="44" s="1"/>
  <c r="AU275" i="44"/>
  <c r="AT275" i="44"/>
  <c r="BE275" i="44"/>
  <c r="BC275" i="44"/>
  <c r="AH167" i="44"/>
  <c r="AJ166" i="44"/>
  <c r="AS276" i="44"/>
  <c r="AC276" i="44"/>
  <c r="AA277" i="44"/>
  <c r="G171" i="44"/>
  <c r="I170" i="44"/>
  <c r="D279" i="44"/>
  <c r="F278" i="44"/>
  <c r="Q283" i="44"/>
  <c r="K284" i="44"/>
  <c r="BD275" i="44"/>
  <c r="W284" i="44"/>
  <c r="U285" i="44"/>
  <c r="Q153" i="89" l="1"/>
  <c r="Q54" i="89"/>
  <c r="Q22" i="89"/>
  <c r="V137" i="89"/>
  <c r="W101" i="89"/>
  <c r="R141" i="89"/>
  <c r="R143" i="89" s="1"/>
  <c r="S105" i="89"/>
  <c r="O140" i="89"/>
  <c r="O105" i="89"/>
  <c r="P139" i="89"/>
  <c r="V102" i="89"/>
  <c r="U138" i="89"/>
  <c r="L153" i="89"/>
  <c r="L54" i="89"/>
  <c r="L22" i="89"/>
  <c r="W136" i="89"/>
  <c r="J141" i="89"/>
  <c r="J143" i="89" s="1"/>
  <c r="J106" i="89"/>
  <c r="K141" i="89" s="1"/>
  <c r="K140" i="89"/>
  <c r="S140" i="89"/>
  <c r="T104" i="89"/>
  <c r="T139" i="89"/>
  <c r="U103" i="89"/>
  <c r="Q154" i="89"/>
  <c r="H137" i="89"/>
  <c r="H102" i="89"/>
  <c r="I136" i="89"/>
  <c r="M141" i="89"/>
  <c r="M143" i="89" s="1"/>
  <c r="M106" i="89"/>
  <c r="N141" i="89" s="1"/>
  <c r="N143" i="89" s="1"/>
  <c r="N140" i="89"/>
  <c r="AG76" i="3"/>
  <c r="AG55" i="3"/>
  <c r="AG56" i="3" s="1"/>
  <c r="AI79" i="3"/>
  <c r="AI15" i="3"/>
  <c r="AI21" i="3" s="1"/>
  <c r="AL64" i="32"/>
  <c r="AL66" i="32" s="1"/>
  <c r="AK9" i="3"/>
  <c r="AH67" i="32"/>
  <c r="O316" i="14"/>
  <c r="O318" i="14"/>
  <c r="O319" i="14" s="1"/>
  <c r="Q104" i="14"/>
  <c r="Q102" i="14"/>
  <c r="Q103" i="14" s="1"/>
  <c r="O310" i="14"/>
  <c r="J20" i="14"/>
  <c r="K17" i="14"/>
  <c r="J22" i="14"/>
  <c r="J33" i="14"/>
  <c r="J34" i="14" s="1"/>
  <c r="R291" i="14"/>
  <c r="AC351" i="14"/>
  <c r="AC283" i="14"/>
  <c r="AC245" i="14"/>
  <c r="AC55" i="14"/>
  <c r="AD5" i="14"/>
  <c r="R290" i="14"/>
  <c r="K252" i="14"/>
  <c r="K60" i="14"/>
  <c r="K62" i="14" s="1"/>
  <c r="O307" i="14"/>
  <c r="O327" i="14"/>
  <c r="O328" i="14" s="1"/>
  <c r="O313" i="14"/>
  <c r="O312" i="14"/>
  <c r="O311" i="14"/>
  <c r="J257" i="14"/>
  <c r="J258" i="14" s="1"/>
  <c r="J254" i="14"/>
  <c r="P293" i="14"/>
  <c r="P302" i="14"/>
  <c r="P137" i="14"/>
  <c r="P139" i="14" s="1"/>
  <c r="Q180" i="14"/>
  <c r="Q178" i="14"/>
  <c r="Q179" i="14" s="1"/>
  <c r="AN406" i="47"/>
  <c r="AN402" i="47"/>
  <c r="AE403" i="47"/>
  <c r="AN403" i="47" s="1"/>
  <c r="AC408" i="47"/>
  <c r="AX276" i="44"/>
  <c r="AY276" i="44" s="1"/>
  <c r="BE276" i="44"/>
  <c r="AU276" i="44"/>
  <c r="AT276" i="44"/>
  <c r="BC276" i="44"/>
  <c r="BD276" i="44"/>
  <c r="G172" i="44"/>
  <c r="I171" i="44"/>
  <c r="U286" i="44"/>
  <c r="W285" i="44"/>
  <c r="K285" i="44"/>
  <c r="Q284" i="44"/>
  <c r="D282" i="44"/>
  <c r="F279" i="44"/>
  <c r="AA278" i="44"/>
  <c r="AS277" i="44"/>
  <c r="AC277" i="44"/>
  <c r="BD277" i="44"/>
  <c r="AH170" i="44"/>
  <c r="AJ167" i="44"/>
  <c r="AI167" i="44"/>
  <c r="K143" i="89" l="1"/>
  <c r="K54" i="89" s="1"/>
  <c r="L55" i="89" s="1"/>
  <c r="H138" i="89"/>
  <c r="H103" i="89"/>
  <c r="I137" i="89"/>
  <c r="L158" i="89"/>
  <c r="L32" i="89"/>
  <c r="V138" i="89"/>
  <c r="W102" i="89"/>
  <c r="S141" i="89"/>
  <c r="S143" i="89" s="1"/>
  <c r="T105" i="89"/>
  <c r="Q163" i="89"/>
  <c r="Q32" i="89"/>
  <c r="N153" i="89"/>
  <c r="N54" i="89"/>
  <c r="N22" i="89"/>
  <c r="L59" i="89"/>
  <c r="L60" i="89" s="1"/>
  <c r="L51" i="89"/>
  <c r="R153" i="89"/>
  <c r="R54" i="89"/>
  <c r="R22" i="89"/>
  <c r="Q59" i="89"/>
  <c r="Q60" i="89" s="1"/>
  <c r="Q51" i="89"/>
  <c r="M153" i="89"/>
  <c r="M54" i="89"/>
  <c r="M22" i="89"/>
  <c r="T140" i="89"/>
  <c r="U104" i="89"/>
  <c r="J153" i="89"/>
  <c r="J54" i="89"/>
  <c r="J22" i="89"/>
  <c r="O141" i="89"/>
  <c r="O143" i="89" s="1"/>
  <c r="O106" i="89"/>
  <c r="P141" i="89" s="1"/>
  <c r="P140" i="89"/>
  <c r="W137" i="89"/>
  <c r="R154" i="89"/>
  <c r="S154" i="89" s="1"/>
  <c r="T154" i="89" s="1"/>
  <c r="V103" i="89"/>
  <c r="U139" i="89"/>
  <c r="AI55" i="3"/>
  <c r="AI76" i="3"/>
  <c r="AI74" i="3"/>
  <c r="AN64" i="32"/>
  <c r="AN66" i="32" s="1"/>
  <c r="AM9" i="3"/>
  <c r="AK79" i="3"/>
  <c r="AK15" i="3"/>
  <c r="AK21" i="3" s="1"/>
  <c r="P315" i="14"/>
  <c r="K65" i="14"/>
  <c r="K63" i="14"/>
  <c r="K64" i="14" s="1"/>
  <c r="K255" i="14"/>
  <c r="L250" i="14"/>
  <c r="K19" i="14"/>
  <c r="K266" i="14"/>
  <c r="K253" i="14"/>
  <c r="R304" i="14"/>
  <c r="R175" i="14"/>
  <c r="R177" i="14" s="1"/>
  <c r="P142" i="14"/>
  <c r="P140" i="14"/>
  <c r="P141" i="14" s="1"/>
  <c r="R303" i="14"/>
  <c r="R99" i="14"/>
  <c r="R101" i="14" s="1"/>
  <c r="J21" i="14"/>
  <c r="J24" i="14"/>
  <c r="J25" i="14" s="1"/>
  <c r="P306" i="14"/>
  <c r="P310" i="14"/>
  <c r="Q289" i="14"/>
  <c r="AD351" i="14"/>
  <c r="AD283" i="14"/>
  <c r="AD245" i="14"/>
  <c r="AD207" i="14"/>
  <c r="AD170" i="14"/>
  <c r="AD132" i="14"/>
  <c r="AD55" i="14"/>
  <c r="AD94" i="14"/>
  <c r="AE5" i="14"/>
  <c r="AC409" i="47"/>
  <c r="AC413" i="47" s="1"/>
  <c r="AE408" i="47"/>
  <c r="K286" i="44"/>
  <c r="Q285" i="44"/>
  <c r="I172" i="44"/>
  <c r="G173" i="44"/>
  <c r="BE277" i="44"/>
  <c r="AX277" i="44"/>
  <c r="AY277" i="44" s="1"/>
  <c r="AT277" i="44"/>
  <c r="AU277" i="44"/>
  <c r="BC277" i="44"/>
  <c r="D283" i="44"/>
  <c r="F282" i="44"/>
  <c r="AH171" i="44"/>
  <c r="AJ170" i="44"/>
  <c r="AA279" i="44"/>
  <c r="AC278" i="44"/>
  <c r="AS278" i="44"/>
  <c r="BD278" i="44"/>
  <c r="W286" i="44"/>
  <c r="U289" i="44"/>
  <c r="P143" i="89" l="1"/>
  <c r="P153" i="89" s="1"/>
  <c r="K22" i="89"/>
  <c r="K153" i="89"/>
  <c r="M159" i="89"/>
  <c r="M32" i="89"/>
  <c r="R59" i="89"/>
  <c r="R60" i="89" s="1"/>
  <c r="R55" i="89"/>
  <c r="R51" i="89"/>
  <c r="R52" i="89" s="1"/>
  <c r="W138" i="89"/>
  <c r="V139" i="89"/>
  <c r="W103" i="89"/>
  <c r="N160" i="89"/>
  <c r="N32" i="89"/>
  <c r="R163" i="89"/>
  <c r="S163" i="89" s="1"/>
  <c r="H139" i="89"/>
  <c r="H104" i="89"/>
  <c r="I138" i="89"/>
  <c r="S153" i="89"/>
  <c r="S54" i="89"/>
  <c r="S22" i="89"/>
  <c r="U154" i="89"/>
  <c r="J59" i="89"/>
  <c r="J60" i="89" s="1"/>
  <c r="J51" i="89"/>
  <c r="M59" i="89"/>
  <c r="M60" i="89" s="1"/>
  <c r="M51" i="89"/>
  <c r="M52" i="89" s="1"/>
  <c r="M55" i="89"/>
  <c r="O153" i="89"/>
  <c r="O54" i="89"/>
  <c r="O22" i="89"/>
  <c r="V104" i="89"/>
  <c r="U140" i="89"/>
  <c r="K157" i="89"/>
  <c r="K32" i="89"/>
  <c r="N59" i="89"/>
  <c r="N60" i="89" s="1"/>
  <c r="N55" i="89"/>
  <c r="N51" i="89"/>
  <c r="T141" i="89"/>
  <c r="T143" i="89" s="1"/>
  <c r="U105" i="89"/>
  <c r="J156" i="89"/>
  <c r="J32" i="89"/>
  <c r="R164" i="89"/>
  <c r="R32" i="89"/>
  <c r="K59" i="89"/>
  <c r="K60" i="89" s="1"/>
  <c r="K51" i="89"/>
  <c r="K55" i="89"/>
  <c r="M158" i="89"/>
  <c r="AK74" i="3"/>
  <c r="AK76" i="3"/>
  <c r="AK55" i="3"/>
  <c r="AM79" i="3"/>
  <c r="AM15" i="3"/>
  <c r="AM21" i="3" s="1"/>
  <c r="AP64" i="32"/>
  <c r="AP66" i="32" s="1"/>
  <c r="AO9" i="3"/>
  <c r="R104" i="14"/>
  <c r="R102" i="14"/>
  <c r="R103" i="14" s="1"/>
  <c r="P316" i="14"/>
  <c r="P318" i="14"/>
  <c r="P319" i="14" s="1"/>
  <c r="P307" i="14"/>
  <c r="P327" i="14"/>
  <c r="P328" i="14" s="1"/>
  <c r="P313" i="14"/>
  <c r="P312" i="14"/>
  <c r="P311" i="14"/>
  <c r="S290" i="14"/>
  <c r="R180" i="14"/>
  <c r="R178" i="14"/>
  <c r="L17" i="14"/>
  <c r="K22" i="14"/>
  <c r="K20" i="14"/>
  <c r="K33" i="14"/>
  <c r="K34" i="14" s="1"/>
  <c r="AE351" i="14"/>
  <c r="AE283" i="14"/>
  <c r="AE207" i="14"/>
  <c r="AE170" i="14"/>
  <c r="AE132" i="14"/>
  <c r="AE245" i="14"/>
  <c r="AE94" i="14"/>
  <c r="AE55" i="14"/>
  <c r="AF5" i="14"/>
  <c r="S291" i="14"/>
  <c r="L252" i="14"/>
  <c r="L60" i="14"/>
  <c r="L62" i="14" s="1"/>
  <c r="Q293" i="14"/>
  <c r="Q302" i="14"/>
  <c r="Q137" i="14"/>
  <c r="Q139" i="14" s="1"/>
  <c r="K254" i="14"/>
  <c r="K257" i="14"/>
  <c r="K258" i="14" s="1"/>
  <c r="AE413" i="47"/>
  <c r="AN408" i="47"/>
  <c r="AE409" i="47"/>
  <c r="AJ171" i="44"/>
  <c r="AH172" i="44"/>
  <c r="AA282" i="44"/>
  <c r="AS279" i="44"/>
  <c r="AC279" i="44"/>
  <c r="D284" i="44"/>
  <c r="F283" i="44"/>
  <c r="AX278" i="44"/>
  <c r="AY278" i="44" s="1"/>
  <c r="AU278" i="44"/>
  <c r="AT278" i="44"/>
  <c r="BE278" i="44"/>
  <c r="BC278" i="44"/>
  <c r="W289" i="44"/>
  <c r="U290" i="44"/>
  <c r="I173" i="44"/>
  <c r="G174" i="44"/>
  <c r="K289" i="44"/>
  <c r="Q286" i="44"/>
  <c r="P22" i="89" l="1"/>
  <c r="P162" i="89" s="1"/>
  <c r="P54" i="89"/>
  <c r="N52" i="89"/>
  <c r="K52" i="89"/>
  <c r="T163" i="89"/>
  <c r="U163" i="89" s="1"/>
  <c r="N158" i="89"/>
  <c r="O158" i="89" s="1"/>
  <c r="P158" i="89" s="1"/>
  <c r="Q158" i="89" s="1"/>
  <c r="V105" i="89"/>
  <c r="U141" i="89"/>
  <c r="U143" i="89" s="1"/>
  <c r="S165" i="89"/>
  <c r="S32" i="89"/>
  <c r="H140" i="89"/>
  <c r="H105" i="89"/>
  <c r="I139" i="89"/>
  <c r="S164" i="89"/>
  <c r="T164" i="89" s="1"/>
  <c r="T153" i="89"/>
  <c r="T54" i="89"/>
  <c r="T22" i="89"/>
  <c r="V140" i="89"/>
  <c r="W104" i="89"/>
  <c r="S59" i="89"/>
  <c r="S60" i="89" s="1"/>
  <c r="S51" i="89"/>
  <c r="S52" i="89" s="1"/>
  <c r="S55" i="89"/>
  <c r="O160" i="89"/>
  <c r="K156" i="89"/>
  <c r="O161" i="89"/>
  <c r="O32" i="89"/>
  <c r="V154" i="89"/>
  <c r="W139" i="89"/>
  <c r="N159" i="89"/>
  <c r="L157" i="89"/>
  <c r="O59" i="89"/>
  <c r="O60" i="89" s="1"/>
  <c r="O51" i="89"/>
  <c r="O52" i="89" s="1"/>
  <c r="O55" i="89"/>
  <c r="P59" i="89"/>
  <c r="P60" i="89" s="1"/>
  <c r="P51" i="89"/>
  <c r="P55" i="89"/>
  <c r="Q55" i="89"/>
  <c r="L52" i="89"/>
  <c r="AO79" i="3"/>
  <c r="AO15" i="3"/>
  <c r="AO21" i="3" s="1"/>
  <c r="AM76" i="3"/>
  <c r="AM74" i="3"/>
  <c r="AM55" i="3"/>
  <c r="AR64" i="32"/>
  <c r="AR66" i="32" s="1"/>
  <c r="AQ9" i="3"/>
  <c r="Q315" i="14"/>
  <c r="L65" i="14"/>
  <c r="L63" i="14"/>
  <c r="L64" i="14" s="1"/>
  <c r="AF351" i="14"/>
  <c r="AF283" i="14"/>
  <c r="AF207" i="14"/>
  <c r="AF245" i="14"/>
  <c r="AF170" i="14"/>
  <c r="AF132" i="14"/>
  <c r="AF94" i="14"/>
  <c r="AF55" i="14"/>
  <c r="AG5" i="14"/>
  <c r="S303" i="14"/>
  <c r="S99" i="14"/>
  <c r="S101" i="14" s="1"/>
  <c r="Q142" i="14"/>
  <c r="Q140" i="14"/>
  <c r="Q141" i="14" s="1"/>
  <c r="M250" i="14"/>
  <c r="L255" i="14"/>
  <c r="L266" i="14"/>
  <c r="L19" i="14"/>
  <c r="L253" i="14"/>
  <c r="R179" i="14"/>
  <c r="R182" i="14"/>
  <c r="Q310" i="14"/>
  <c r="Q306" i="14"/>
  <c r="R289" i="14"/>
  <c r="S304" i="14"/>
  <c r="S175" i="14"/>
  <c r="S177" i="14" s="1"/>
  <c r="K21" i="14"/>
  <c r="K24" i="14"/>
  <c r="K25" i="14" s="1"/>
  <c r="AE410" i="47"/>
  <c r="AN413" i="47"/>
  <c r="U291" i="44"/>
  <c r="W290" i="44"/>
  <c r="AX279" i="44"/>
  <c r="AY279" i="44" s="1"/>
  <c r="AT279" i="44"/>
  <c r="BE279" i="44"/>
  <c r="AU279" i="44"/>
  <c r="BC279" i="44"/>
  <c r="F284" i="44"/>
  <c r="D285" i="44"/>
  <c r="G177" i="44"/>
  <c r="H174" i="44"/>
  <c r="I174" i="44"/>
  <c r="BD279" i="44"/>
  <c r="AH173" i="44"/>
  <c r="AJ172" i="44"/>
  <c r="K290" i="44"/>
  <c r="Q289" i="44"/>
  <c r="AA283" i="44"/>
  <c r="AS282" i="44"/>
  <c r="AC282" i="44"/>
  <c r="BD282" i="44"/>
  <c r="P32" i="89" l="1"/>
  <c r="W140" i="89"/>
  <c r="V163" i="89"/>
  <c r="W163" i="89" s="1"/>
  <c r="U164" i="89"/>
  <c r="V164" i="89" s="1"/>
  <c r="W164" i="89" s="1"/>
  <c r="P52" i="89"/>
  <c r="Q52" i="89"/>
  <c r="M157" i="89"/>
  <c r="O159" i="89"/>
  <c r="P159" i="89" s="1"/>
  <c r="L156" i="89"/>
  <c r="T166" i="89"/>
  <c r="T32" i="89"/>
  <c r="V141" i="89"/>
  <c r="V143" i="89" s="1"/>
  <c r="W105" i="89"/>
  <c r="W141" i="89" s="1"/>
  <c r="W143" i="89" s="1"/>
  <c r="W154" i="89"/>
  <c r="P161" i="89"/>
  <c r="Q161" i="89" s="1"/>
  <c r="T59" i="89"/>
  <c r="T60" i="89" s="1"/>
  <c r="T51" i="89"/>
  <c r="T52" i="89" s="1"/>
  <c r="T55" i="89"/>
  <c r="P160" i="89"/>
  <c r="T165" i="89"/>
  <c r="U165" i="89" s="1"/>
  <c r="R158" i="89"/>
  <c r="S158" i="89" s="1"/>
  <c r="Q162" i="89"/>
  <c r="R162" i="89" s="1"/>
  <c r="H141" i="89"/>
  <c r="H143" i="89" s="1"/>
  <c r="H106" i="89"/>
  <c r="I141" i="89" s="1"/>
  <c r="I140" i="89"/>
  <c r="U153" i="89"/>
  <c r="U54" i="89"/>
  <c r="U22" i="89"/>
  <c r="AQ79" i="3"/>
  <c r="AQ15" i="3"/>
  <c r="AQ21" i="3" s="1"/>
  <c r="AT64" i="32"/>
  <c r="AT66" i="32" s="1"/>
  <c r="AS9" i="3"/>
  <c r="AO74" i="3"/>
  <c r="AO55" i="3"/>
  <c r="AO76" i="3"/>
  <c r="L22" i="14"/>
  <c r="L20" i="14"/>
  <c r="M17" i="14"/>
  <c r="L33" i="14"/>
  <c r="L34" i="14" s="1"/>
  <c r="Q327" i="14"/>
  <c r="Q328" i="14" s="1"/>
  <c r="Q307" i="14"/>
  <c r="Q313" i="14"/>
  <c r="Q311" i="14"/>
  <c r="Q312" i="14"/>
  <c r="L254" i="14"/>
  <c r="L257" i="14"/>
  <c r="L258" i="14" s="1"/>
  <c r="M252" i="14"/>
  <c r="M60" i="14"/>
  <c r="M62" i="14" s="1"/>
  <c r="S180" i="14"/>
  <c r="S178" i="14"/>
  <c r="T291" i="14"/>
  <c r="T290" i="14"/>
  <c r="S104" i="14"/>
  <c r="S102" i="14"/>
  <c r="S103" i="14" s="1"/>
  <c r="R302" i="14"/>
  <c r="R293" i="14"/>
  <c r="R137" i="14"/>
  <c r="R139" i="14" s="1"/>
  <c r="AG351" i="14"/>
  <c r="AG283" i="14"/>
  <c r="AG245" i="14"/>
  <c r="AG207" i="14"/>
  <c r="AG132" i="14"/>
  <c r="AG94" i="14"/>
  <c r="AG55" i="14"/>
  <c r="AG170" i="14"/>
  <c r="AH5" i="14"/>
  <c r="Q316" i="14"/>
  <c r="Q318" i="14"/>
  <c r="Q319" i="14" s="1"/>
  <c r="AC283" i="44"/>
  <c r="AA284" i="44"/>
  <c r="AS283" i="44"/>
  <c r="BD283" i="44"/>
  <c r="AJ173" i="44"/>
  <c r="AH174" i="44"/>
  <c r="I177" i="44"/>
  <c r="G178" i="44"/>
  <c r="Q290" i="44"/>
  <c r="K291" i="44"/>
  <c r="D286" i="44"/>
  <c r="F285" i="44"/>
  <c r="BE282" i="44"/>
  <c r="AT282" i="44"/>
  <c r="AX282" i="44"/>
  <c r="AY282" i="44" s="1"/>
  <c r="AU282" i="44"/>
  <c r="BC282" i="44"/>
  <c r="U292" i="44"/>
  <c r="W291" i="44"/>
  <c r="U167" i="89" l="1"/>
  <c r="U32" i="89"/>
  <c r="I143" i="89"/>
  <c r="S162" i="89"/>
  <c r="T162" i="89" s="1"/>
  <c r="U162" i="89" s="1"/>
  <c r="V165" i="89"/>
  <c r="W165" i="89" s="1"/>
  <c r="T158" i="89"/>
  <c r="U158" i="89" s="1"/>
  <c r="V158" i="89" s="1"/>
  <c r="W158" i="89" s="1"/>
  <c r="M156" i="89"/>
  <c r="N156" i="89" s="1"/>
  <c r="Q159" i="89"/>
  <c r="R159" i="89" s="1"/>
  <c r="S159" i="89" s="1"/>
  <c r="T159" i="89" s="1"/>
  <c r="U59" i="89"/>
  <c r="U60" i="89" s="1"/>
  <c r="U51" i="89"/>
  <c r="U52" i="89" s="1"/>
  <c r="U55" i="89"/>
  <c r="R161" i="89"/>
  <c r="N157" i="89"/>
  <c r="Q160" i="89"/>
  <c r="R160" i="89" s="1"/>
  <c r="W153" i="89"/>
  <c r="W54" i="89"/>
  <c r="W22" i="89"/>
  <c r="U166" i="89"/>
  <c r="V153" i="89"/>
  <c r="V54" i="89"/>
  <c r="V22" i="89"/>
  <c r="AS79" i="3"/>
  <c r="AS15" i="3"/>
  <c r="AS21" i="3" s="1"/>
  <c r="AV64" i="32"/>
  <c r="AV66" i="32" s="1"/>
  <c r="AU9" i="3"/>
  <c r="AQ55" i="3"/>
  <c r="AQ74" i="3"/>
  <c r="AQ76" i="3"/>
  <c r="R306" i="14"/>
  <c r="R310" i="14" s="1"/>
  <c r="S289" i="14"/>
  <c r="T303" i="14"/>
  <c r="T99" i="14"/>
  <c r="T101" i="14" s="1"/>
  <c r="S179" i="14"/>
  <c r="S182" i="14"/>
  <c r="S183" i="14" s="1"/>
  <c r="M255" i="14"/>
  <c r="N250" i="14"/>
  <c r="M266" i="14"/>
  <c r="M19" i="14"/>
  <c r="M253" i="14"/>
  <c r="R142" i="14"/>
  <c r="R140" i="14"/>
  <c r="R141" i="14" s="1"/>
  <c r="L21" i="14"/>
  <c r="L24" i="14"/>
  <c r="L25" i="14" s="1"/>
  <c r="AH351" i="14"/>
  <c r="AH207" i="14"/>
  <c r="AH170" i="14"/>
  <c r="AH132" i="14"/>
  <c r="AH94" i="14"/>
  <c r="AH55" i="14"/>
  <c r="R315" i="14"/>
  <c r="T304" i="14"/>
  <c r="T175" i="14"/>
  <c r="T177" i="14" s="1"/>
  <c r="M65" i="14"/>
  <c r="M63" i="14"/>
  <c r="M64" i="14" s="1"/>
  <c r="U293" i="44"/>
  <c r="W292" i="44"/>
  <c r="G179" i="44"/>
  <c r="I178" i="44"/>
  <c r="BE283" i="44"/>
  <c r="AT283" i="44"/>
  <c r="AU283" i="44"/>
  <c r="AX283" i="44"/>
  <c r="AY283" i="44" s="1"/>
  <c r="BC283" i="44"/>
  <c r="F286" i="44"/>
  <c r="D289" i="44"/>
  <c r="K292" i="44"/>
  <c r="Q291" i="44"/>
  <c r="AJ174" i="44"/>
  <c r="AH177" i="44"/>
  <c r="AI174" i="44"/>
  <c r="AA285" i="44"/>
  <c r="AS284" i="44"/>
  <c r="AC284" i="44"/>
  <c r="BD284" i="44"/>
  <c r="V162" i="89" l="1"/>
  <c r="W162" i="89" s="1"/>
  <c r="V166" i="89"/>
  <c r="W166" i="89" s="1"/>
  <c r="V167" i="89"/>
  <c r="W167" i="89" s="1"/>
  <c r="S161" i="89"/>
  <c r="S160" i="89"/>
  <c r="T160" i="89" s="1"/>
  <c r="U160" i="89" s="1"/>
  <c r="V168" i="89"/>
  <c r="W168" i="89" s="1"/>
  <c r="V32" i="89"/>
  <c r="W169" i="89"/>
  <c r="W32" i="89"/>
  <c r="O157" i="89"/>
  <c r="P157" i="89" s="1"/>
  <c r="I153" i="89"/>
  <c r="I54" i="89"/>
  <c r="I22" i="89"/>
  <c r="U159" i="89"/>
  <c r="V159" i="89" s="1"/>
  <c r="W159" i="89" s="1"/>
  <c r="V59" i="89"/>
  <c r="V60" i="89" s="1"/>
  <c r="V55" i="89"/>
  <c r="V51" i="89"/>
  <c r="V52" i="89" s="1"/>
  <c r="W59" i="89"/>
  <c r="W60" i="89" s="1"/>
  <c r="W51" i="89"/>
  <c r="W55" i="89"/>
  <c r="O156" i="89"/>
  <c r="P156" i="89" s="1"/>
  <c r="AU79" i="3"/>
  <c r="AU15" i="3"/>
  <c r="AU21" i="3" s="1"/>
  <c r="AX64" i="32"/>
  <c r="AX66" i="32" s="1"/>
  <c r="AW9" i="3"/>
  <c r="AS74" i="3"/>
  <c r="AS76" i="3"/>
  <c r="AS55" i="3"/>
  <c r="M22" i="14"/>
  <c r="M20" i="14"/>
  <c r="N17" i="14"/>
  <c r="M33" i="14"/>
  <c r="M34" i="14" s="1"/>
  <c r="U290" i="14"/>
  <c r="T180" i="14"/>
  <c r="T191" i="14"/>
  <c r="T178" i="14"/>
  <c r="S302" i="14"/>
  <c r="S293" i="14"/>
  <c r="S137" i="14"/>
  <c r="S139" i="14" s="1"/>
  <c r="U291" i="14"/>
  <c r="R316" i="14"/>
  <c r="R318" i="14"/>
  <c r="R319" i="14" s="1"/>
  <c r="M254" i="14"/>
  <c r="M257" i="14"/>
  <c r="M258" i="14" s="1"/>
  <c r="N252" i="14"/>
  <c r="N60" i="14"/>
  <c r="N62" i="14" s="1"/>
  <c r="T104" i="14"/>
  <c r="T115" i="14"/>
  <c r="T102" i="14"/>
  <c r="R313" i="14"/>
  <c r="R307" i="14"/>
  <c r="R327" i="14"/>
  <c r="R328" i="14" s="1"/>
  <c r="R311" i="14"/>
  <c r="R312" i="14"/>
  <c r="AU284" i="44"/>
  <c r="AX284" i="44"/>
  <c r="AY284" i="44" s="1"/>
  <c r="AT284" i="44"/>
  <c r="BE284" i="44"/>
  <c r="BC284" i="44"/>
  <c r="AC285" i="44"/>
  <c r="AA286" i="44"/>
  <c r="AS285" i="44"/>
  <c r="D290" i="44"/>
  <c r="F289" i="44"/>
  <c r="I179" i="44"/>
  <c r="G180" i="44"/>
  <c r="AH178" i="44"/>
  <c r="AJ177" i="44"/>
  <c r="K293" i="44"/>
  <c r="Q292" i="44"/>
  <c r="U296" i="44"/>
  <c r="W293" i="44"/>
  <c r="T161" i="89" l="1"/>
  <c r="U161" i="89" s="1"/>
  <c r="V161" i="89" s="1"/>
  <c r="W161" i="89" s="1"/>
  <c r="I51" i="89"/>
  <c r="J52" i="89" s="1"/>
  <c r="J55" i="89"/>
  <c r="V160" i="89"/>
  <c r="W160" i="89" s="1"/>
  <c r="Q156" i="89"/>
  <c r="R156" i="89" s="1"/>
  <c r="Q157" i="89"/>
  <c r="W52" i="89"/>
  <c r="I155" i="89"/>
  <c r="I32" i="89"/>
  <c r="I30" i="89" s="1"/>
  <c r="AW79" i="3"/>
  <c r="AW15" i="3"/>
  <c r="AW21" i="3" s="1"/>
  <c r="AZ64" i="32"/>
  <c r="AZ66" i="32" s="1"/>
  <c r="AY9" i="3"/>
  <c r="AU76" i="3"/>
  <c r="AU74" i="3"/>
  <c r="AU55" i="3"/>
  <c r="S315" i="14"/>
  <c r="U304" i="14"/>
  <c r="U175" i="14"/>
  <c r="U177" i="14" s="1"/>
  <c r="S310" i="14"/>
  <c r="T289" i="14"/>
  <c r="S306" i="14"/>
  <c r="T179" i="14"/>
  <c r="T182" i="14"/>
  <c r="T183" i="14" s="1"/>
  <c r="U303" i="14"/>
  <c r="U99" i="14"/>
  <c r="U101" i="14" s="1"/>
  <c r="M21" i="14"/>
  <c r="M24" i="14"/>
  <c r="M25" i="14" s="1"/>
  <c r="N266" i="14"/>
  <c r="N255" i="14"/>
  <c r="O250" i="14"/>
  <c r="N19" i="14"/>
  <c r="N253" i="14"/>
  <c r="T103" i="14"/>
  <c r="T106" i="14"/>
  <c r="N65" i="14"/>
  <c r="N63" i="14"/>
  <c r="N64" i="14" s="1"/>
  <c r="S142" i="14"/>
  <c r="S140" i="14"/>
  <c r="S141" i="14" s="1"/>
  <c r="U297" i="44"/>
  <c r="W296" i="44"/>
  <c r="BE285" i="44"/>
  <c r="AX285" i="44"/>
  <c r="AY285" i="44" s="1"/>
  <c r="AU285" i="44"/>
  <c r="AT285" i="44"/>
  <c r="BC285" i="44"/>
  <c r="AJ178" i="44"/>
  <c r="AH179" i="44"/>
  <c r="AS286" i="44"/>
  <c r="AA289" i="44"/>
  <c r="AC286" i="44"/>
  <c r="G181" i="44"/>
  <c r="I180" i="44"/>
  <c r="D291" i="44"/>
  <c r="F290" i="44"/>
  <c r="K296" i="44"/>
  <c r="Q293" i="44"/>
  <c r="BD285" i="44"/>
  <c r="S156" i="89" l="1"/>
  <c r="T156" i="89" s="1"/>
  <c r="R157" i="89"/>
  <c r="S157" i="89" s="1"/>
  <c r="T157" i="89" s="1"/>
  <c r="U157" i="89" s="1"/>
  <c r="V157" i="89" s="1"/>
  <c r="J155" i="89"/>
  <c r="J171" i="89" s="1"/>
  <c r="J23" i="89" s="1"/>
  <c r="J12" i="89" s="1"/>
  <c r="J13" i="89" s="1"/>
  <c r="I171" i="89"/>
  <c r="I23" i="89" s="1"/>
  <c r="I15" i="89"/>
  <c r="I38" i="89" s="1"/>
  <c r="I33" i="89"/>
  <c r="J29" i="89" s="1"/>
  <c r="AW74" i="3"/>
  <c r="AW55" i="3"/>
  <c r="AW76" i="3"/>
  <c r="AY79" i="3"/>
  <c r="AY15" i="3"/>
  <c r="AY21" i="3" s="1"/>
  <c r="BB64" i="32"/>
  <c r="BB66" i="32" s="1"/>
  <c r="BA9" i="3"/>
  <c r="V290" i="14"/>
  <c r="S316" i="14"/>
  <c r="S318" i="14"/>
  <c r="O252" i="14"/>
  <c r="O60" i="14"/>
  <c r="O62" i="14" s="1"/>
  <c r="V178" i="14"/>
  <c r="V175" i="14"/>
  <c r="V177" i="14" s="1"/>
  <c r="U180" i="14"/>
  <c r="U191" i="14"/>
  <c r="U200" i="14"/>
  <c r="AC444" i="47" s="1"/>
  <c r="U178" i="14"/>
  <c r="N254" i="14"/>
  <c r="N257" i="14"/>
  <c r="N258" i="14" s="1"/>
  <c r="U104" i="14"/>
  <c r="U115" i="14"/>
  <c r="U102" i="14"/>
  <c r="S307" i="14"/>
  <c r="S313" i="14"/>
  <c r="S327" i="14"/>
  <c r="S328" i="14" s="1"/>
  <c r="S311" i="14"/>
  <c r="S312" i="14"/>
  <c r="V291" i="14"/>
  <c r="V304" i="14" s="1"/>
  <c r="N22" i="14"/>
  <c r="N20" i="14"/>
  <c r="O17" i="14"/>
  <c r="N33" i="14"/>
  <c r="N34" i="14" s="1"/>
  <c r="T302" i="14"/>
  <c r="T293" i="14"/>
  <c r="T137" i="14"/>
  <c r="T139" i="14" s="1"/>
  <c r="F291" i="44"/>
  <c r="D292" i="44"/>
  <c r="K297" i="44"/>
  <c r="Q296" i="44"/>
  <c r="AA290" i="44"/>
  <c r="AS289" i="44"/>
  <c r="AC289" i="44"/>
  <c r="I181" i="44"/>
  <c r="H181" i="44"/>
  <c r="BE286" i="44"/>
  <c r="AT286" i="44"/>
  <c r="AX286" i="44"/>
  <c r="AY286" i="44" s="1"/>
  <c r="AU286" i="44"/>
  <c r="BC286" i="44"/>
  <c r="BD286" i="44"/>
  <c r="AJ179" i="44"/>
  <c r="AH180" i="44"/>
  <c r="W297" i="44"/>
  <c r="U298" i="44"/>
  <c r="U156" i="89" l="1"/>
  <c r="V156" i="89" s="1"/>
  <c r="I12" i="89"/>
  <c r="I13" i="89" s="1"/>
  <c r="I16" i="89" s="1"/>
  <c r="I24" i="89"/>
  <c r="W157" i="89"/>
  <c r="K155" i="89"/>
  <c r="J30" i="89"/>
  <c r="J15" i="89" s="1"/>
  <c r="J38" i="89" s="1"/>
  <c r="BA79" i="3"/>
  <c r="BA15" i="3"/>
  <c r="BA21" i="3" s="1"/>
  <c r="BD64" i="32"/>
  <c r="BD66" i="32" s="1"/>
  <c r="BC9" i="3"/>
  <c r="AY74" i="3"/>
  <c r="AY76" i="3"/>
  <c r="AY55" i="3"/>
  <c r="T142" i="14"/>
  <c r="U137" i="14"/>
  <c r="U139" i="14" s="1"/>
  <c r="T140" i="14"/>
  <c r="U179" i="14"/>
  <c r="U182" i="14"/>
  <c r="U183" i="14" s="1"/>
  <c r="V191" i="14"/>
  <c r="V180" i="14"/>
  <c r="W175" i="14"/>
  <c r="W177" i="14" s="1"/>
  <c r="W178" i="14"/>
  <c r="V200" i="14"/>
  <c r="W200" i="14" s="1"/>
  <c r="W291" i="14"/>
  <c r="W304" i="14" s="1"/>
  <c r="N21" i="14"/>
  <c r="N24" i="14"/>
  <c r="N25" i="14" s="1"/>
  <c r="AE444" i="47"/>
  <c r="AC445" i="47"/>
  <c r="AE445" i="47"/>
  <c r="AN445" i="47" s="1"/>
  <c r="V179" i="14"/>
  <c r="V182" i="14"/>
  <c r="V183" i="14" s="1"/>
  <c r="T306" i="14"/>
  <c r="T310" i="14"/>
  <c r="U289" i="14"/>
  <c r="U103" i="14"/>
  <c r="U106" i="14"/>
  <c r="U107" i="14" s="1"/>
  <c r="O65" i="14"/>
  <c r="O63" i="14"/>
  <c r="O64" i="14" s="1"/>
  <c r="V303" i="14"/>
  <c r="V99" i="14"/>
  <c r="V101" i="14" s="1"/>
  <c r="O255" i="14"/>
  <c r="P250" i="14"/>
  <c r="O19" i="14"/>
  <c r="O266" i="14"/>
  <c r="O253" i="14"/>
  <c r="BE289" i="44"/>
  <c r="AT289" i="44"/>
  <c r="AX289" i="44"/>
  <c r="AY289" i="44" s="1"/>
  <c r="AU289" i="44"/>
  <c r="BC289" i="44"/>
  <c r="Q297" i="44"/>
  <c r="K298" i="44"/>
  <c r="AH181" i="44"/>
  <c r="AJ180" i="44"/>
  <c r="AA291" i="44"/>
  <c r="AC290" i="44"/>
  <c r="AS290" i="44"/>
  <c r="BD290" i="44"/>
  <c r="D293" i="44"/>
  <c r="F292" i="44"/>
  <c r="U299" i="44"/>
  <c r="W298" i="44"/>
  <c r="BD289" i="44"/>
  <c r="W156" i="89" l="1"/>
  <c r="J33" i="89"/>
  <c r="K29" i="89" s="1"/>
  <c r="K30" i="89" s="1"/>
  <c r="K15" i="89" s="1"/>
  <c r="K38" i="89" s="1"/>
  <c r="L155" i="89"/>
  <c r="M155" i="89" s="1"/>
  <c r="M171" i="89" s="1"/>
  <c r="M23" i="89" s="1"/>
  <c r="M12" i="89" s="1"/>
  <c r="M13" i="89" s="1"/>
  <c r="J16" i="89"/>
  <c r="I37" i="89"/>
  <c r="I39" i="89" s="1"/>
  <c r="J21" i="89"/>
  <c r="J24" i="89" s="1"/>
  <c r="I35" i="89"/>
  <c r="K171" i="89"/>
  <c r="K23" i="89" s="1"/>
  <c r="K12" i="89" s="1"/>
  <c r="K13" i="89" s="1"/>
  <c r="BA74" i="3"/>
  <c r="BA76" i="3"/>
  <c r="BA55" i="3"/>
  <c r="BC79" i="3"/>
  <c r="BC15" i="3"/>
  <c r="BC21" i="3" s="1"/>
  <c r="BF64" i="32"/>
  <c r="BF66" i="32" s="1"/>
  <c r="BH64" i="32" s="1"/>
  <c r="BE9" i="3"/>
  <c r="P17" i="14"/>
  <c r="O22" i="14"/>
  <c r="O20" i="14"/>
  <c r="O33" i="14"/>
  <c r="O34" i="14" s="1"/>
  <c r="V104" i="14"/>
  <c r="V115" i="14"/>
  <c r="W102" i="14"/>
  <c r="V124" i="14"/>
  <c r="W99" i="14"/>
  <c r="W101" i="14" s="1"/>
  <c r="V102" i="14"/>
  <c r="X200" i="14"/>
  <c r="Y200" i="14" s="1"/>
  <c r="AC458" i="47"/>
  <c r="AC451" i="47"/>
  <c r="V137" i="14"/>
  <c r="V139" i="14" s="1"/>
  <c r="U142" i="14"/>
  <c r="U153" i="14"/>
  <c r="P252" i="14"/>
  <c r="P60" i="14"/>
  <c r="P62" i="14" s="1"/>
  <c r="T307" i="14"/>
  <c r="T313" i="14"/>
  <c r="T327" i="14"/>
  <c r="T328" i="14" s="1"/>
  <c r="T311" i="14"/>
  <c r="T312" i="14"/>
  <c r="AE446" i="47"/>
  <c r="AN446" i="47" s="1"/>
  <c r="AC446" i="47"/>
  <c r="AE447" i="47" s="1"/>
  <c r="AN447" i="47" s="1"/>
  <c r="T315" i="14"/>
  <c r="W179" i="14"/>
  <c r="W182" i="14"/>
  <c r="W183" i="14" s="1"/>
  <c r="U140" i="14"/>
  <c r="U302" i="14"/>
  <c r="U293" i="14"/>
  <c r="T141" i="14"/>
  <c r="T144" i="14"/>
  <c r="W290" i="14"/>
  <c r="W303" i="14" s="1"/>
  <c r="O254" i="14"/>
  <c r="O257" i="14"/>
  <c r="O258" i="14" s="1"/>
  <c r="AN444" i="47"/>
  <c r="X291" i="14"/>
  <c r="X304" i="14" s="1"/>
  <c r="X175" i="14"/>
  <c r="X177" i="14" s="1"/>
  <c r="X178" i="14" s="1"/>
  <c r="W180" i="14"/>
  <c r="W191" i="14"/>
  <c r="Q298" i="44"/>
  <c r="K299" i="44"/>
  <c r="F293" i="44"/>
  <c r="D296" i="44"/>
  <c r="AA292" i="44"/>
  <c r="AS291" i="44"/>
  <c r="AC291" i="44"/>
  <c r="U300" i="44"/>
  <c r="W299" i="44"/>
  <c r="AU290" i="44"/>
  <c r="BE290" i="44"/>
  <c r="AT290" i="44"/>
  <c r="AX290" i="44"/>
  <c r="AY290" i="44" s="1"/>
  <c r="BC290" i="44"/>
  <c r="AJ181" i="44"/>
  <c r="AI181" i="44"/>
  <c r="K16" i="89" l="1"/>
  <c r="L171" i="89"/>
  <c r="L23" i="89" s="1"/>
  <c r="L12" i="89" s="1"/>
  <c r="L13" i="89" s="1"/>
  <c r="K33" i="89"/>
  <c r="L29" i="89" s="1"/>
  <c r="N155" i="89"/>
  <c r="K21" i="89"/>
  <c r="K24" i="89" s="1"/>
  <c r="J37" i="89"/>
  <c r="J39" i="89" s="1"/>
  <c r="J35" i="89"/>
  <c r="BE79" i="3"/>
  <c r="BE15" i="3"/>
  <c r="BE21" i="3" s="1"/>
  <c r="BC74" i="3"/>
  <c r="BC55" i="3"/>
  <c r="X179" i="14"/>
  <c r="X182" i="14"/>
  <c r="X183" i="14" s="1"/>
  <c r="AC452" i="47"/>
  <c r="AE451" i="47"/>
  <c r="W104" i="14"/>
  <c r="X99" i="14"/>
  <c r="X101" i="14" s="1"/>
  <c r="W115" i="14"/>
  <c r="W124" i="14"/>
  <c r="AC365" i="47" s="1"/>
  <c r="AE448" i="47"/>
  <c r="AN448" i="47" s="1"/>
  <c r="X290" i="14"/>
  <c r="X303" i="14" s="1"/>
  <c r="AC459" i="47"/>
  <c r="AE459" i="47"/>
  <c r="AN459" i="47" s="1"/>
  <c r="AE458" i="47"/>
  <c r="X180" i="14"/>
  <c r="Y175" i="14"/>
  <c r="Y177" i="14" s="1"/>
  <c r="Y178" i="14"/>
  <c r="U306" i="14"/>
  <c r="V289" i="14"/>
  <c r="T318" i="14"/>
  <c r="T316" i="14"/>
  <c r="P65" i="14"/>
  <c r="P63" i="14"/>
  <c r="P64" i="14" s="1"/>
  <c r="V142" i="14"/>
  <c r="V153" i="14"/>
  <c r="W137" i="14"/>
  <c r="W139" i="14" s="1"/>
  <c r="W140" i="14" s="1"/>
  <c r="V162" i="14"/>
  <c r="W103" i="14"/>
  <c r="W106" i="14"/>
  <c r="W107" i="14" s="1"/>
  <c r="O21" i="14"/>
  <c r="O24" i="14"/>
  <c r="O25" i="14" s="1"/>
  <c r="Y291" i="14"/>
  <c r="Y304" i="14" s="1"/>
  <c r="U141" i="14"/>
  <c r="U144" i="14"/>
  <c r="U145" i="14" s="1"/>
  <c r="Q250" i="14"/>
  <c r="P266" i="14"/>
  <c r="P255" i="14"/>
  <c r="P19" i="14"/>
  <c r="P253" i="14"/>
  <c r="V140" i="14"/>
  <c r="V103" i="14"/>
  <c r="V106" i="14"/>
  <c r="V107" i="14" s="1"/>
  <c r="DV18" i="30"/>
  <c r="Q15" i="83"/>
  <c r="AU291" i="44"/>
  <c r="BE291" i="44"/>
  <c r="AX291" i="44"/>
  <c r="AY291" i="44" s="1"/>
  <c r="AT291" i="44"/>
  <c r="BC291" i="44"/>
  <c r="U303" i="44"/>
  <c r="W300" i="44"/>
  <c r="AS292" i="44"/>
  <c r="AC292" i="44"/>
  <c r="AA293" i="44"/>
  <c r="K300" i="44"/>
  <c r="Q299" i="44"/>
  <c r="BD291" i="44"/>
  <c r="D297" i="44"/>
  <c r="F296" i="44"/>
  <c r="N171" i="89" l="1"/>
  <c r="N23" i="89" s="1"/>
  <c r="N12" i="89" s="1"/>
  <c r="N13" i="89" s="1"/>
  <c r="L21" i="89"/>
  <c r="L24" i="89" s="1"/>
  <c r="K37" i="89"/>
  <c r="K39" i="89" s="1"/>
  <c r="K35" i="89"/>
  <c r="O155" i="89"/>
  <c r="L30" i="89"/>
  <c r="L15" i="89" s="1"/>
  <c r="L38" i="89" s="1"/>
  <c r="BE74" i="3"/>
  <c r="BE55" i="3"/>
  <c r="W141" i="14"/>
  <c r="W144" i="14"/>
  <c r="U307" i="14"/>
  <c r="U313" i="14"/>
  <c r="U327" i="14"/>
  <c r="U328" i="14" s="1"/>
  <c r="U311" i="14"/>
  <c r="U312" i="14"/>
  <c r="V141" i="14"/>
  <c r="V144" i="14"/>
  <c r="V145" i="14" s="1"/>
  <c r="Y179" i="14"/>
  <c r="Y182" i="14"/>
  <c r="Y183" i="14" s="1"/>
  <c r="Y99" i="14"/>
  <c r="Y101" i="14" s="1"/>
  <c r="Y102" i="14" s="1"/>
  <c r="X104" i="14"/>
  <c r="X115" i="14"/>
  <c r="AE452" i="47"/>
  <c r="AN452" i="47" s="1"/>
  <c r="AC453" i="47"/>
  <c r="AE454" i="47" s="1"/>
  <c r="AN454" i="47" s="1"/>
  <c r="AN458" i="47"/>
  <c r="AN451" i="47"/>
  <c r="P254" i="14"/>
  <c r="P257" i="14"/>
  <c r="P258" i="14" s="1"/>
  <c r="Q252" i="14"/>
  <c r="Q60" i="14"/>
  <c r="Q62" i="14" s="1"/>
  <c r="Z291" i="14"/>
  <c r="Z304" i="14" s="1"/>
  <c r="V302" i="14"/>
  <c r="V293" i="14"/>
  <c r="Z178" i="14"/>
  <c r="Z175" i="14"/>
  <c r="Z177" i="14" s="1"/>
  <c r="Y180" i="14"/>
  <c r="AC460" i="47"/>
  <c r="AE460" i="47"/>
  <c r="AN460" i="47" s="1"/>
  <c r="Y290" i="14"/>
  <c r="Y303" i="14" s="1"/>
  <c r="X137" i="14"/>
  <c r="X139" i="14" s="1"/>
  <c r="W142" i="14"/>
  <c r="W153" i="14"/>
  <c r="P22" i="14"/>
  <c r="P20" i="14"/>
  <c r="Q17" i="14"/>
  <c r="P33" i="14"/>
  <c r="P34" i="14" s="1"/>
  <c r="AC533" i="47"/>
  <c r="AE534" i="47" s="1"/>
  <c r="AN534" i="47" s="1"/>
  <c r="AC531" i="47"/>
  <c r="AC532" i="47"/>
  <c r="U310" i="14"/>
  <c r="U315" i="14"/>
  <c r="AE365" i="47"/>
  <c r="AC366" i="47"/>
  <c r="AE367" i="47" s="1"/>
  <c r="AN367" i="47" s="1"/>
  <c r="AE366" i="47"/>
  <c r="AN366" i="47" s="1"/>
  <c r="X102" i="14"/>
  <c r="Q136" i="83"/>
  <c r="Q95" i="83"/>
  <c r="Q54" i="83"/>
  <c r="K303" i="44"/>
  <c r="Q300" i="44"/>
  <c r="D298" i="44"/>
  <c r="F297" i="44"/>
  <c r="AX292" i="44"/>
  <c r="AY292" i="44" s="1"/>
  <c r="AU292" i="44"/>
  <c r="BE292" i="44"/>
  <c r="AT292" i="44"/>
  <c r="BC292" i="44"/>
  <c r="AS293" i="44"/>
  <c r="AA296" i="44"/>
  <c r="AC293" i="44"/>
  <c r="U304" i="44"/>
  <c r="W303" i="44"/>
  <c r="BD292" i="44"/>
  <c r="L16" i="89" l="1"/>
  <c r="L33" i="89"/>
  <c r="M29" i="89" s="1"/>
  <c r="M30" i="89" s="1"/>
  <c r="M15" i="89" s="1"/>
  <c r="O171" i="89"/>
  <c r="O23" i="89" s="1"/>
  <c r="O12" i="89" s="1"/>
  <c r="O13" i="89" s="1"/>
  <c r="M21" i="89"/>
  <c r="M24" i="89" s="1"/>
  <c r="P155" i="89"/>
  <c r="P171" i="89" s="1"/>
  <c r="P23" i="89" s="1"/>
  <c r="P12" i="89" s="1"/>
  <c r="P13" i="89" s="1"/>
  <c r="Y103" i="14"/>
  <c r="Y106" i="14"/>
  <c r="AN365" i="47"/>
  <c r="AE368" i="47"/>
  <c r="AN368" i="47" s="1"/>
  <c r="AC538" i="47"/>
  <c r="AC539" i="47"/>
  <c r="AC540" i="47"/>
  <c r="AE541" i="47" s="1"/>
  <c r="AN541" i="47" s="1"/>
  <c r="V310" i="14"/>
  <c r="V306" i="14"/>
  <c r="W289" i="14"/>
  <c r="AE533" i="47"/>
  <c r="AN533" i="47" s="1"/>
  <c r="Z180" i="14"/>
  <c r="AA175" i="14"/>
  <c r="AA177" i="14" s="1"/>
  <c r="AA291" i="14"/>
  <c r="AA304" i="14" s="1"/>
  <c r="AE531" i="47"/>
  <c r="AN531" i="47" s="1"/>
  <c r="AE532" i="47"/>
  <c r="P21" i="14"/>
  <c r="P24" i="14"/>
  <c r="P25" i="14" s="1"/>
  <c r="X142" i="14"/>
  <c r="Y137" i="14"/>
  <c r="Y139" i="14" s="1"/>
  <c r="Y140" i="14" s="1"/>
  <c r="X153" i="14"/>
  <c r="Z179" i="14"/>
  <c r="Z182" i="14"/>
  <c r="Z183" i="14" s="1"/>
  <c r="X103" i="14"/>
  <c r="X106" i="14"/>
  <c r="X107" i="14" s="1"/>
  <c r="U316" i="14"/>
  <c r="U318" i="14"/>
  <c r="X140" i="14"/>
  <c r="AC461" i="47"/>
  <c r="AC465" i="47" s="1"/>
  <c r="AE461" i="47"/>
  <c r="AN461" i="47" s="1"/>
  <c r="V315" i="14"/>
  <c r="Q65" i="14"/>
  <c r="Q63" i="14"/>
  <c r="Q64" i="14" s="1"/>
  <c r="AE453" i="47"/>
  <c r="W145" i="14"/>
  <c r="Z290" i="14"/>
  <c r="Z303" i="14" s="1"/>
  <c r="Q255" i="14"/>
  <c r="R250" i="14"/>
  <c r="Q266" i="14"/>
  <c r="Q19" i="14"/>
  <c r="Q253" i="14"/>
  <c r="Z99" i="14"/>
  <c r="Z101" i="14" s="1"/>
  <c r="Y104" i="14"/>
  <c r="Z102" i="14"/>
  <c r="Y115" i="14"/>
  <c r="BE293" i="44"/>
  <c r="AT293" i="44"/>
  <c r="AX293" i="44"/>
  <c r="AY293" i="44" s="1"/>
  <c r="AU293" i="44"/>
  <c r="BC293" i="44"/>
  <c r="D299" i="44"/>
  <c r="F298" i="44"/>
  <c r="BD293" i="44"/>
  <c r="W304" i="44"/>
  <c r="U305" i="44"/>
  <c r="AA297" i="44"/>
  <c r="AC296" i="44"/>
  <c r="AS296" i="44"/>
  <c r="BD296" i="44"/>
  <c r="K304" i="44"/>
  <c r="Q303" i="44"/>
  <c r="DB21" i="30"/>
  <c r="DA21" i="30"/>
  <c r="CZ21" i="30"/>
  <c r="DF18" i="30"/>
  <c r="CZ18" i="30"/>
  <c r="DG14" i="30"/>
  <c r="DF11" i="30"/>
  <c r="DA11" i="30"/>
  <c r="DG9" i="30"/>
  <c r="DF52" i="30"/>
  <c r="DE55" i="30"/>
  <c r="DE52" i="30"/>
  <c r="DD55" i="30"/>
  <c r="DH55" i="30"/>
  <c r="DK57" i="30"/>
  <c r="DD11" i="30"/>
  <c r="DB18" i="30"/>
  <c r="DB19" i="30" s="1"/>
  <c r="DE11" i="30"/>
  <c r="DA9" i="30"/>
  <c r="DA13" i="30" s="1"/>
  <c r="DF9" i="30"/>
  <c r="CZ11" i="30"/>
  <c r="L37" i="89" l="1"/>
  <c r="L39" i="89" s="1"/>
  <c r="L35" i="89"/>
  <c r="Q155" i="89"/>
  <c r="M38" i="89"/>
  <c r="M16" i="89"/>
  <c r="M33" i="89"/>
  <c r="N29" i="89" s="1"/>
  <c r="N21" i="89"/>
  <c r="N24" i="89" s="1"/>
  <c r="Y141" i="14"/>
  <c r="Y144" i="14"/>
  <c r="Z103" i="14"/>
  <c r="Z106" i="14"/>
  <c r="Z107" i="14" s="1"/>
  <c r="Q22" i="14"/>
  <c r="Q20" i="14"/>
  <c r="R17" i="14"/>
  <c r="Q33" i="14"/>
  <c r="Q34" i="14" s="1"/>
  <c r="AN453" i="47"/>
  <c r="AE455" i="47"/>
  <c r="AN455" i="47" s="1"/>
  <c r="V316" i="14"/>
  <c r="V318" i="14"/>
  <c r="AE535" i="47"/>
  <c r="AN535" i="47" s="1"/>
  <c r="AN532" i="47"/>
  <c r="AB291" i="14"/>
  <c r="AB304" i="14" s="1"/>
  <c r="AA290" i="14"/>
  <c r="AA303" i="14" s="1"/>
  <c r="AA180" i="14"/>
  <c r="AB178" i="14"/>
  <c r="AB175" i="14"/>
  <c r="AB177" i="14" s="1"/>
  <c r="W302" i="14"/>
  <c r="W293" i="14"/>
  <c r="AE540" i="47"/>
  <c r="AN540" i="47" s="1"/>
  <c r="Y107" i="14"/>
  <c r="Q254" i="14"/>
  <c r="Q257" i="14"/>
  <c r="Q258" i="14" s="1"/>
  <c r="X141" i="14"/>
  <c r="X144" i="14"/>
  <c r="X145" i="14" s="1"/>
  <c r="Z137" i="14"/>
  <c r="Z139" i="14" s="1"/>
  <c r="Y142" i="14"/>
  <c r="Y153" i="14"/>
  <c r="Z104" i="14"/>
  <c r="AA99" i="14"/>
  <c r="AA101" i="14" s="1"/>
  <c r="AA102" i="14"/>
  <c r="Z115" i="14"/>
  <c r="R252" i="14"/>
  <c r="R60" i="14"/>
  <c r="R62" i="14" s="1"/>
  <c r="AC466" i="47"/>
  <c r="AE465" i="47"/>
  <c r="AC546" i="47"/>
  <c r="AE547" i="47" s="1"/>
  <c r="AN547" i="47" s="1"/>
  <c r="AC545" i="47"/>
  <c r="AC548" i="47"/>
  <c r="AC547" i="47"/>
  <c r="AE462" i="47"/>
  <c r="AN462" i="47" s="1"/>
  <c r="AA178" i="14"/>
  <c r="V307" i="14"/>
  <c r="V327" i="14"/>
  <c r="V328" i="14" s="1"/>
  <c r="V313" i="14"/>
  <c r="V312" i="14"/>
  <c r="V311" i="14"/>
  <c r="AE539" i="47"/>
  <c r="AN539" i="47" s="1"/>
  <c r="AE538" i="47"/>
  <c r="CZ9" i="30"/>
  <c r="CZ13" i="30" s="1"/>
  <c r="DE9" i="30"/>
  <c r="DQ21" i="30"/>
  <c r="L18" i="83"/>
  <c r="DP26" i="30"/>
  <c r="S21" i="76" s="1"/>
  <c r="AA21" i="76" s="1"/>
  <c r="K24" i="83"/>
  <c r="DO21" i="30"/>
  <c r="J18" i="83"/>
  <c r="DH9" i="30"/>
  <c r="C6" i="83"/>
  <c r="DR18" i="30"/>
  <c r="M15" i="83"/>
  <c r="L6" i="83"/>
  <c r="DQ9" i="30"/>
  <c r="L8" i="83"/>
  <c r="DQ11" i="30"/>
  <c r="T6" i="76" s="1"/>
  <c r="AB6" i="76" s="1"/>
  <c r="K11" i="83"/>
  <c r="DP14" i="30"/>
  <c r="DI18" i="30"/>
  <c r="D15" i="83"/>
  <c r="DS18" i="30"/>
  <c r="N15" i="83"/>
  <c r="DE21" i="30"/>
  <c r="DP21" i="30"/>
  <c r="S16" i="76" s="1"/>
  <c r="AA16" i="76" s="1"/>
  <c r="K18" i="83"/>
  <c r="DO26" i="30"/>
  <c r="J24" i="83"/>
  <c r="DJ18" i="30"/>
  <c r="E15" i="83"/>
  <c r="DG43" i="30"/>
  <c r="M8" i="83"/>
  <c r="DR11" i="30"/>
  <c r="DR14" i="30"/>
  <c r="M11" i="83"/>
  <c r="DE18" i="30"/>
  <c r="DR21" i="30"/>
  <c r="M18" i="83"/>
  <c r="DF13" i="30"/>
  <c r="DB37" i="30"/>
  <c r="DB23" i="30"/>
  <c r="DL21" i="30"/>
  <c r="G18" i="83"/>
  <c r="G11" i="83"/>
  <c r="DL14" i="30"/>
  <c r="DL11" i="30"/>
  <c r="G8" i="83"/>
  <c r="DI11" i="30"/>
  <c r="D8" i="83"/>
  <c r="C11" i="83"/>
  <c r="J15" i="83"/>
  <c r="DO18" i="30"/>
  <c r="DD21" i="30"/>
  <c r="DB38" i="30"/>
  <c r="DH21" i="30"/>
  <c r="C18" i="83"/>
  <c r="DQ26" i="30"/>
  <c r="T21" i="76" s="1"/>
  <c r="AB21" i="76" s="1"/>
  <c r="L24" i="83"/>
  <c r="DT18" i="30"/>
  <c r="O15" i="83"/>
  <c r="F6" i="83"/>
  <c r="DK9" i="30"/>
  <c r="DG34" i="30"/>
  <c r="DH45" i="30"/>
  <c r="DM18" i="30"/>
  <c r="H15" i="83"/>
  <c r="DG21" i="30"/>
  <c r="DT21" i="30"/>
  <c r="O18" i="83"/>
  <c r="DA33" i="30"/>
  <c r="DJ14" i="30"/>
  <c r="E11" i="83"/>
  <c r="DE14" i="30"/>
  <c r="DD18" i="30"/>
  <c r="N18" i="83"/>
  <c r="DS21" i="30"/>
  <c r="DL18" i="30"/>
  <c r="G15" i="83"/>
  <c r="DP11" i="30"/>
  <c r="S6" i="76" s="1"/>
  <c r="AA6" i="76" s="1"/>
  <c r="K8" i="83"/>
  <c r="DI14" i="30"/>
  <c r="D11" i="83"/>
  <c r="DG18" i="30"/>
  <c r="L15" i="83"/>
  <c r="DQ18" i="30"/>
  <c r="DC21" i="30"/>
  <c r="DI21" i="30"/>
  <c r="D18" i="83"/>
  <c r="DC26" i="30"/>
  <c r="K305" i="44"/>
  <c r="Q304" i="44"/>
  <c r="AA298" i="44"/>
  <c r="AS297" i="44"/>
  <c r="AC297" i="44"/>
  <c r="BD297" i="44"/>
  <c r="U306" i="44"/>
  <c r="W305" i="44"/>
  <c r="F299" i="44"/>
  <c r="D300" i="44"/>
  <c r="BE296" i="44"/>
  <c r="AU296" i="44"/>
  <c r="AX296" i="44"/>
  <c r="AY296" i="44" s="1"/>
  <c r="AT296" i="44"/>
  <c r="BC296" i="44"/>
  <c r="DK64" i="30"/>
  <c r="DC18" i="30"/>
  <c r="DC19" i="30" s="1"/>
  <c r="DF55" i="30"/>
  <c r="DH52" i="30"/>
  <c r="DD52" i="30"/>
  <c r="DH57" i="30"/>
  <c r="M19" i="83"/>
  <c r="DB43" i="30"/>
  <c r="CZ43" i="30"/>
  <c r="X240" i="44"/>
  <c r="DO27" i="30"/>
  <c r="DE57" i="30"/>
  <c r="DF57" i="30"/>
  <c r="DA43" i="30"/>
  <c r="DJ57" i="30"/>
  <c r="DG11" i="30"/>
  <c r="DG13" i="30" s="1"/>
  <c r="DA57" i="30"/>
  <c r="DF14" i="30"/>
  <c r="DG45" i="30" s="1"/>
  <c r="DA18" i="30"/>
  <c r="C8" i="83"/>
  <c r="M37" i="89" l="1"/>
  <c r="M39" i="89" s="1"/>
  <c r="O21" i="89"/>
  <c r="O24" i="89" s="1"/>
  <c r="N30" i="89"/>
  <c r="N15" i="89" s="1"/>
  <c r="Q171" i="89"/>
  <c r="Q23" i="89" s="1"/>
  <c r="Q12" i="89" s="1"/>
  <c r="Q13" i="89" s="1"/>
  <c r="R155" i="89"/>
  <c r="M35" i="89"/>
  <c r="DF43" i="30"/>
  <c r="AN538" i="47"/>
  <c r="AE542" i="47"/>
  <c r="AN542" i="47" s="1"/>
  <c r="R65" i="14"/>
  <c r="R63" i="14"/>
  <c r="AA104" i="14"/>
  <c r="AB99" i="14"/>
  <c r="AB101" i="14" s="1"/>
  <c r="AA115" i="14"/>
  <c r="Z142" i="14"/>
  <c r="AA137" i="14"/>
  <c r="AA139" i="14" s="1"/>
  <c r="Z153" i="14"/>
  <c r="AA179" i="14"/>
  <c r="AA182" i="14"/>
  <c r="AA183" i="14" s="1"/>
  <c r="AE467" i="47"/>
  <c r="AN467" i="47" s="1"/>
  <c r="AC467" i="47"/>
  <c r="AC291" i="14"/>
  <c r="AC304" i="14" s="1"/>
  <c r="AN465" i="47"/>
  <c r="R266" i="14"/>
  <c r="S250" i="14"/>
  <c r="R255" i="14"/>
  <c r="R19" i="14"/>
  <c r="R253" i="14"/>
  <c r="Z140" i="14"/>
  <c r="W306" i="14"/>
  <c r="X289" i="14"/>
  <c r="AB290" i="14"/>
  <c r="AB303" i="14" s="1"/>
  <c r="Q21" i="14"/>
  <c r="Q24" i="14"/>
  <c r="Q25" i="14" s="1"/>
  <c r="Y145" i="14"/>
  <c r="AE545" i="47"/>
  <c r="AN545" i="47" s="1"/>
  <c r="AE546" i="47"/>
  <c r="AA103" i="14"/>
  <c r="AA106" i="14"/>
  <c r="AA107" i="14" s="1"/>
  <c r="AB179" i="14"/>
  <c r="AB182" i="14"/>
  <c r="AB183" i="14" s="1"/>
  <c r="AE548" i="47"/>
  <c r="AN548" i="47" s="1"/>
  <c r="AE466" i="47"/>
  <c r="AN466" i="47" s="1"/>
  <c r="AC554" i="47"/>
  <c r="AC553" i="47"/>
  <c r="AC555" i="47"/>
  <c r="AC552" i="47"/>
  <c r="AB180" i="14"/>
  <c r="AC175" i="14"/>
  <c r="AC177" i="14" s="1"/>
  <c r="AC178" i="14"/>
  <c r="DG33" i="30"/>
  <c r="DG16" i="30"/>
  <c r="DU26" i="30"/>
  <c r="P24" i="83"/>
  <c r="C47" i="83"/>
  <c r="C129" i="83"/>
  <c r="C88" i="83"/>
  <c r="J57" i="83"/>
  <c r="J98" i="83"/>
  <c r="J139" i="83"/>
  <c r="DD9" i="30"/>
  <c r="DE43" i="30" s="1"/>
  <c r="DN18" i="30"/>
  <c r="I15" i="83"/>
  <c r="DH18" i="30"/>
  <c r="C15" i="83"/>
  <c r="M59" i="83"/>
  <c r="M100" i="83"/>
  <c r="N57" i="83"/>
  <c r="N98" i="83"/>
  <c r="DE34" i="30"/>
  <c r="L63" i="83"/>
  <c r="L147" i="83"/>
  <c r="L145" i="83" s="1"/>
  <c r="DF33" i="30"/>
  <c r="DF16" i="30"/>
  <c r="D54" i="83"/>
  <c r="D95" i="83"/>
  <c r="D136" i="83"/>
  <c r="K132" i="83"/>
  <c r="K91" i="83"/>
  <c r="K50" i="83"/>
  <c r="DQ13" i="30"/>
  <c r="T4" i="76"/>
  <c r="AB4" i="76" s="1"/>
  <c r="DE13" i="30"/>
  <c r="O11" i="83"/>
  <c r="DT14" i="30"/>
  <c r="D139" i="83"/>
  <c r="D98" i="83"/>
  <c r="D57" i="83"/>
  <c r="D91" i="83"/>
  <c r="D132" i="83"/>
  <c r="D37" i="83"/>
  <c r="D50" i="83"/>
  <c r="J54" i="83"/>
  <c r="J95" i="83"/>
  <c r="J136" i="83"/>
  <c r="E136" i="83"/>
  <c r="E54" i="83"/>
  <c r="E95" i="83"/>
  <c r="K139" i="83"/>
  <c r="K98" i="83"/>
  <c r="K57" i="83"/>
  <c r="L86" i="83"/>
  <c r="L45" i="83"/>
  <c r="L10" i="83"/>
  <c r="L11" i="83"/>
  <c r="M37" i="83" s="1"/>
  <c r="DQ14" i="30"/>
  <c r="M6" i="83"/>
  <c r="DR9" i="30"/>
  <c r="DR36" i="30" s="1"/>
  <c r="J8" i="83"/>
  <c r="DO11" i="30"/>
  <c r="DS11" i="30"/>
  <c r="N8" i="83"/>
  <c r="DT9" i="30"/>
  <c r="O6" i="83"/>
  <c r="DK21" i="30"/>
  <c r="F18" i="83"/>
  <c r="L54" i="83"/>
  <c r="L95" i="83"/>
  <c r="L136" i="83"/>
  <c r="DI45" i="30"/>
  <c r="E91" i="83"/>
  <c r="E37" i="83"/>
  <c r="E50" i="83"/>
  <c r="E132" i="83"/>
  <c r="O57" i="83"/>
  <c r="O98" i="83"/>
  <c r="H136" i="83"/>
  <c r="H54" i="83"/>
  <c r="H95" i="83"/>
  <c r="O136" i="83"/>
  <c r="O54" i="83"/>
  <c r="O95" i="83"/>
  <c r="C57" i="83"/>
  <c r="C139" i="83"/>
  <c r="C98" i="83"/>
  <c r="G50" i="83"/>
  <c r="G132" i="83"/>
  <c r="G91" i="83"/>
  <c r="DB39" i="30"/>
  <c r="DB25" i="30"/>
  <c r="M98" i="83"/>
  <c r="M57" i="83"/>
  <c r="M91" i="83"/>
  <c r="M50" i="83"/>
  <c r="M30" i="83"/>
  <c r="M159" i="83" s="1"/>
  <c r="M157" i="83" s="1"/>
  <c r="M88" i="83"/>
  <c r="M47" i="83"/>
  <c r="N136" i="83"/>
  <c r="N95" i="83"/>
  <c r="N54" i="83"/>
  <c r="M136" i="83"/>
  <c r="M54" i="83"/>
  <c r="M95" i="83"/>
  <c r="C10" i="83"/>
  <c r="C127" i="83"/>
  <c r="C131" i="83" s="1"/>
  <c r="C86" i="83"/>
  <c r="C45" i="83"/>
  <c r="C49" i="83" s="1"/>
  <c r="L57" i="83"/>
  <c r="L98" i="83"/>
  <c r="CZ33" i="30"/>
  <c r="DS14" i="30"/>
  <c r="N11" i="83"/>
  <c r="DP18" i="30"/>
  <c r="S13" i="76" s="1"/>
  <c r="AA13" i="76" s="1"/>
  <c r="K15" i="83"/>
  <c r="DA14" i="30"/>
  <c r="DQ36" i="30"/>
  <c r="T13" i="76"/>
  <c r="AB13" i="76" s="1"/>
  <c r="G54" i="83"/>
  <c r="G95" i="83"/>
  <c r="G136" i="83"/>
  <c r="F127" i="83"/>
  <c r="F86" i="83"/>
  <c r="F45" i="83"/>
  <c r="D129" i="83"/>
  <c r="D47" i="83"/>
  <c r="D88" i="83"/>
  <c r="DI9" i="30"/>
  <c r="D6" i="83"/>
  <c r="D30" i="83" s="1"/>
  <c r="DS9" i="30"/>
  <c r="N6" i="83"/>
  <c r="DF45" i="30"/>
  <c r="DF34" i="30"/>
  <c r="DK18" i="30"/>
  <c r="DK36" i="30" s="1"/>
  <c r="F15" i="83"/>
  <c r="O8" i="83"/>
  <c r="DT11" i="30"/>
  <c r="DU18" i="30"/>
  <c r="P15" i="83"/>
  <c r="DK11" i="30"/>
  <c r="DK13" i="30" s="1"/>
  <c r="F8" i="83"/>
  <c r="DD14" i="30"/>
  <c r="DC37" i="30"/>
  <c r="DC23" i="30"/>
  <c r="E6" i="83"/>
  <c r="F35" i="83" s="1"/>
  <c r="DJ9" i="30"/>
  <c r="DJ34" i="30" s="1"/>
  <c r="DC38" i="30"/>
  <c r="K47" i="83"/>
  <c r="K129" i="83"/>
  <c r="K88" i="83"/>
  <c r="DJ45" i="30"/>
  <c r="DT36" i="30"/>
  <c r="C91" i="83"/>
  <c r="C50" i="83"/>
  <c r="C132" i="83"/>
  <c r="C157" i="83" s="1"/>
  <c r="C30" i="83"/>
  <c r="G88" i="83"/>
  <c r="G47" i="83"/>
  <c r="G129" i="83"/>
  <c r="G98" i="83"/>
  <c r="G57" i="83"/>
  <c r="G139" i="83"/>
  <c r="DR34" i="30"/>
  <c r="J63" i="83"/>
  <c r="J104" i="83" s="1"/>
  <c r="J145" i="83"/>
  <c r="S9" i="76"/>
  <c r="AA9" i="76" s="1"/>
  <c r="L47" i="83"/>
  <c r="L88" i="83"/>
  <c r="L90" i="83" s="1"/>
  <c r="DH43" i="30"/>
  <c r="DH13" i="30"/>
  <c r="DH34" i="30"/>
  <c r="K145" i="83"/>
  <c r="K63" i="83"/>
  <c r="K104" i="83" s="1"/>
  <c r="T16" i="76"/>
  <c r="AB16" i="76" s="1"/>
  <c r="U307" i="44"/>
  <c r="W306" i="44"/>
  <c r="AA299" i="44"/>
  <c r="AS298" i="44"/>
  <c r="AC298" i="44"/>
  <c r="D303" i="44"/>
  <c r="F300" i="44"/>
  <c r="AT297" i="44"/>
  <c r="BE297" i="44"/>
  <c r="AX297" i="44"/>
  <c r="AY297" i="44" s="1"/>
  <c r="AU297" i="44"/>
  <c r="BC297" i="44"/>
  <c r="Q305" i="44"/>
  <c r="K306" i="44"/>
  <c r="AT64" i="30"/>
  <c r="AS64" i="30"/>
  <c r="AR64" i="30"/>
  <c r="AQ64" i="30"/>
  <c r="DJ64" i="30"/>
  <c r="DE64" i="30"/>
  <c r="DF64" i="30"/>
  <c r="DF58" i="30"/>
  <c r="DK58" i="30"/>
  <c r="DA64" i="30"/>
  <c r="DH64" i="30"/>
  <c r="DL57" i="30"/>
  <c r="CZ14" i="30"/>
  <c r="BD51" i="30"/>
  <c r="DP27" i="30"/>
  <c r="AQ51" i="30"/>
  <c r="BA51" i="30"/>
  <c r="X248" i="44"/>
  <c r="DG57" i="30"/>
  <c r="DG64" i="30" s="1"/>
  <c r="X249" i="44"/>
  <c r="AL51" i="30"/>
  <c r="DB57" i="30"/>
  <c r="R261" i="44"/>
  <c r="DD57" i="30"/>
  <c r="DO57" i="30"/>
  <c r="N33" i="89" l="1"/>
  <c r="O29" i="89" s="1"/>
  <c r="O30" i="89" s="1"/>
  <c r="P21" i="89"/>
  <c r="P24" i="89" s="1"/>
  <c r="N38" i="89"/>
  <c r="N16" i="89"/>
  <c r="R171" i="89"/>
  <c r="R23" i="89" s="1"/>
  <c r="R12" i="89" s="1"/>
  <c r="R13" i="89" s="1"/>
  <c r="S155" i="89"/>
  <c r="C110" i="83"/>
  <c r="W307" i="14"/>
  <c r="W327" i="14"/>
  <c r="W328" i="14" s="1"/>
  <c r="W313" i="14"/>
  <c r="W312" i="14"/>
  <c r="W311" i="14"/>
  <c r="AC179" i="14"/>
  <c r="AC290" i="14"/>
  <c r="AC303" i="14" s="1"/>
  <c r="W310" i="14"/>
  <c r="AD291" i="14"/>
  <c r="AD304" i="14" s="1"/>
  <c r="AB137" i="14"/>
  <c r="AB139" i="14" s="1"/>
  <c r="AB140" i="14" s="1"/>
  <c r="AA142" i="14"/>
  <c r="AA153" i="14"/>
  <c r="AB104" i="14"/>
  <c r="AC102" i="14"/>
  <c r="AC99" i="14"/>
  <c r="AC101" i="14" s="1"/>
  <c r="AB115" i="14"/>
  <c r="AE552" i="47"/>
  <c r="AE553" i="47"/>
  <c r="AN553" i="47" s="1"/>
  <c r="AE549" i="47"/>
  <c r="AN549" i="47" s="1"/>
  <c r="AN546" i="47"/>
  <c r="R20" i="14"/>
  <c r="S17" i="14"/>
  <c r="R22" i="14"/>
  <c r="R33" i="14"/>
  <c r="R34" i="14" s="1"/>
  <c r="AC560" i="47"/>
  <c r="AC562" i="47"/>
  <c r="AC559" i="47"/>
  <c r="AC561" i="47"/>
  <c r="R64" i="14"/>
  <c r="R67" i="14"/>
  <c r="AD175" i="14"/>
  <c r="AD177" i="14" s="1"/>
  <c r="AD178" i="14" s="1"/>
  <c r="AC180" i="14"/>
  <c r="AE554" i="47"/>
  <c r="AN554" i="47" s="1"/>
  <c r="Z141" i="14"/>
  <c r="Z144" i="14"/>
  <c r="Z145" i="14" s="1"/>
  <c r="S252" i="14"/>
  <c r="S60" i="14"/>
  <c r="S62" i="14" s="1"/>
  <c r="AA140" i="14"/>
  <c r="AE555" i="47"/>
  <c r="AN555" i="47" s="1"/>
  <c r="X302" i="14"/>
  <c r="X293" i="14"/>
  <c r="R254" i="14"/>
  <c r="R257" i="14"/>
  <c r="R258" i="14" s="1"/>
  <c r="AC468" i="47"/>
  <c r="AC472" i="47" s="1"/>
  <c r="AE468" i="47"/>
  <c r="AN468" i="47" s="1"/>
  <c r="W315" i="14"/>
  <c r="AB102" i="14"/>
  <c r="F80" i="83"/>
  <c r="F81" i="83" s="1"/>
  <c r="F121" i="83"/>
  <c r="F122" i="83" s="1"/>
  <c r="F177" i="83"/>
  <c r="F178" i="83" s="1"/>
  <c r="DK33" i="30"/>
  <c r="DO28" i="30"/>
  <c r="P136" i="83"/>
  <c r="P54" i="83"/>
  <c r="P95" i="83"/>
  <c r="F95" i="83"/>
  <c r="F136" i="83"/>
  <c r="F54" i="83"/>
  <c r="DQ45" i="30"/>
  <c r="T34" i="76" s="1"/>
  <c r="AB34" i="76" s="1"/>
  <c r="DQ34" i="30"/>
  <c r="T25" i="76" s="1"/>
  <c r="AB25" i="76" s="1"/>
  <c r="T9" i="76"/>
  <c r="AB9" i="76" s="1"/>
  <c r="DN14" i="30"/>
  <c r="I11" i="83"/>
  <c r="CZ45" i="30"/>
  <c r="CZ34" i="30"/>
  <c r="DH33" i="30"/>
  <c r="DH16" i="30"/>
  <c r="DJ43" i="30"/>
  <c r="DJ13" i="30"/>
  <c r="DD34" i="30"/>
  <c r="DD45" i="30"/>
  <c r="O88" i="83"/>
  <c r="O47" i="83"/>
  <c r="DI43" i="30"/>
  <c r="DI13" i="30"/>
  <c r="K136" i="83"/>
  <c r="K95" i="83"/>
  <c r="K54" i="83"/>
  <c r="C153" i="83"/>
  <c r="C134" i="83"/>
  <c r="DJ36" i="30"/>
  <c r="E173" i="83"/>
  <c r="DE33" i="30"/>
  <c r="DE16" i="30"/>
  <c r="DD13" i="30"/>
  <c r="DD43" i="30"/>
  <c r="P147" i="83"/>
  <c r="P145" i="83" s="1"/>
  <c r="P63" i="83"/>
  <c r="DW18" i="30"/>
  <c r="R15" i="83"/>
  <c r="DN21" i="30"/>
  <c r="I18" i="83"/>
  <c r="N45" i="83"/>
  <c r="N10" i="83"/>
  <c r="N86" i="83"/>
  <c r="N35" i="83"/>
  <c r="N88" i="83"/>
  <c r="N47" i="83"/>
  <c r="L29" i="83"/>
  <c r="L155" i="83" s="1"/>
  <c r="L153" i="83" s="1"/>
  <c r="L13" i="83"/>
  <c r="I54" i="83"/>
  <c r="I95" i="83"/>
  <c r="I136" i="83"/>
  <c r="DO14" i="30"/>
  <c r="J11" i="83"/>
  <c r="H11" i="83"/>
  <c r="DM14" i="30"/>
  <c r="DM45" i="30" s="1"/>
  <c r="DC25" i="30"/>
  <c r="DC47" i="30" s="1"/>
  <c r="DC39" i="30"/>
  <c r="F47" i="83"/>
  <c r="F49" i="83" s="1"/>
  <c r="F88" i="83"/>
  <c r="F129" i="83"/>
  <c r="F131" i="83" s="1"/>
  <c r="DS43" i="30"/>
  <c r="DS13" i="30"/>
  <c r="F10" i="83"/>
  <c r="DA45" i="30"/>
  <c r="DB45" i="30"/>
  <c r="DA34" i="30"/>
  <c r="DA16" i="30"/>
  <c r="N37" i="83"/>
  <c r="N30" i="83"/>
  <c r="N159" i="83" s="1"/>
  <c r="N157" i="83" s="1"/>
  <c r="N50" i="83"/>
  <c r="N69" i="83" s="1"/>
  <c r="N158" i="83" s="1"/>
  <c r="N91" i="83"/>
  <c r="CZ16" i="30"/>
  <c r="C68" i="83"/>
  <c r="C52" i="83"/>
  <c r="DI34" i="30"/>
  <c r="DT43" i="30"/>
  <c r="DT13" i="30"/>
  <c r="DR13" i="30"/>
  <c r="DR43" i="30"/>
  <c r="L30" i="83"/>
  <c r="L159" i="83" s="1"/>
  <c r="L157" i="83" s="1"/>
  <c r="L91" i="83"/>
  <c r="L37" i="83"/>
  <c r="L50" i="83"/>
  <c r="M76" i="83" s="1"/>
  <c r="L49" i="83"/>
  <c r="D173" i="83"/>
  <c r="O91" i="83"/>
  <c r="O30" i="83"/>
  <c r="O159" i="83" s="1"/>
  <c r="O157" i="83" s="1"/>
  <c r="O50" i="83"/>
  <c r="O37" i="83"/>
  <c r="DQ16" i="30"/>
  <c r="DQ33" i="30"/>
  <c r="T24" i="76" s="1"/>
  <c r="AB24" i="76" s="1"/>
  <c r="T8" i="76"/>
  <c r="AB8" i="76" s="1"/>
  <c r="DF35" i="30"/>
  <c r="DF30" i="30"/>
  <c r="DF19" i="30"/>
  <c r="DF46" i="30"/>
  <c r="L146" i="83"/>
  <c r="L104" i="83"/>
  <c r="L148" i="83" s="1"/>
  <c r="DE45" i="30"/>
  <c r="DG19" i="30"/>
  <c r="DG46" i="30"/>
  <c r="DG35" i="30"/>
  <c r="DG30" i="30"/>
  <c r="E45" i="83"/>
  <c r="E35" i="83"/>
  <c r="E86" i="83"/>
  <c r="E110" i="83" s="1"/>
  <c r="E127" i="83"/>
  <c r="E157" i="83" s="1"/>
  <c r="E10" i="83"/>
  <c r="C13" i="83"/>
  <c r="C29" i="83"/>
  <c r="E76" i="83"/>
  <c r="O86" i="83"/>
  <c r="O45" i="83"/>
  <c r="O35" i="83"/>
  <c r="O10" i="83"/>
  <c r="J129" i="83"/>
  <c r="J47" i="83"/>
  <c r="J88" i="83"/>
  <c r="DT45" i="30"/>
  <c r="DT34" i="30"/>
  <c r="DN11" i="30"/>
  <c r="I8" i="83"/>
  <c r="DK14" i="30"/>
  <c r="DK16" i="30" s="1"/>
  <c r="F11" i="83"/>
  <c r="DM21" i="30"/>
  <c r="H18" i="83"/>
  <c r="DM11" i="30"/>
  <c r="H8" i="83"/>
  <c r="L109" i="83"/>
  <c r="L156" i="83" s="1"/>
  <c r="DS36" i="30"/>
  <c r="DR45" i="30"/>
  <c r="C69" i="83"/>
  <c r="D127" i="83"/>
  <c r="D157" i="83" s="1"/>
  <c r="D45" i="83"/>
  <c r="D86" i="83"/>
  <c r="D35" i="83"/>
  <c r="D10" i="83"/>
  <c r="F115" i="83"/>
  <c r="F90" i="83"/>
  <c r="DS45" i="30"/>
  <c r="DS34" i="30"/>
  <c r="C90" i="83"/>
  <c r="E30" i="83"/>
  <c r="E117" i="83"/>
  <c r="F98" i="83"/>
  <c r="F57" i="83"/>
  <c r="F139" i="83"/>
  <c r="M86" i="83"/>
  <c r="M110" i="83" s="1"/>
  <c r="M160" i="83" s="1"/>
  <c r="M10" i="83"/>
  <c r="M35" i="83"/>
  <c r="M45" i="83"/>
  <c r="D76" i="83"/>
  <c r="D110" i="83"/>
  <c r="D117" i="83"/>
  <c r="DK43" i="30"/>
  <c r="C95" i="83"/>
  <c r="C136" i="83"/>
  <c r="C54" i="83"/>
  <c r="DO64" i="30"/>
  <c r="D304" i="44"/>
  <c r="F303" i="44"/>
  <c r="BE298" i="44"/>
  <c r="AU298" i="44"/>
  <c r="AX298" i="44"/>
  <c r="AY298" i="44" s="1"/>
  <c r="AT298" i="44"/>
  <c r="BC298" i="44"/>
  <c r="DH58" i="30"/>
  <c r="DG58" i="30"/>
  <c r="AS299" i="44"/>
  <c r="AA300" i="44"/>
  <c r="AC299" i="44"/>
  <c r="BD299" i="44"/>
  <c r="K307" i="44"/>
  <c r="Q306" i="44"/>
  <c r="BD298" i="44"/>
  <c r="Y64" i="30"/>
  <c r="X64" i="30"/>
  <c r="W64" i="30"/>
  <c r="Z64" i="30"/>
  <c r="DL64" i="30"/>
  <c r="DL58" i="30"/>
  <c r="U310" i="44"/>
  <c r="W307" i="44"/>
  <c r="DD64" i="30"/>
  <c r="DB64" i="30"/>
  <c r="DB58" i="30"/>
  <c r="DE58" i="30"/>
  <c r="AC64" i="30"/>
  <c r="AB64" i="30"/>
  <c r="AE64" i="30"/>
  <c r="AD64" i="30"/>
  <c r="N64" i="30"/>
  <c r="M64" i="30"/>
  <c r="P64" i="30"/>
  <c r="O64" i="30"/>
  <c r="CZ57" i="30"/>
  <c r="S64" i="30"/>
  <c r="R64" i="30"/>
  <c r="U64" i="30"/>
  <c r="T64" i="30"/>
  <c r="AM64" i="30"/>
  <c r="AL64" i="30"/>
  <c r="AO64" i="30"/>
  <c r="AN64" i="30"/>
  <c r="DI57" i="30"/>
  <c r="DL60" i="30"/>
  <c r="DM57" i="30"/>
  <c r="DN57" i="30"/>
  <c r="AH54" i="30"/>
  <c r="X241" i="44"/>
  <c r="BF51" i="30"/>
  <c r="DF60" i="30"/>
  <c r="DQ27" i="30"/>
  <c r="DL51" i="30"/>
  <c r="DL65" i="30" s="1"/>
  <c r="DC57" i="30"/>
  <c r="DC64" i="30" s="1"/>
  <c r="DK60" i="30"/>
  <c r="DA60" i="30"/>
  <c r="H542" i="47"/>
  <c r="J542" i="47" s="1"/>
  <c r="O15" i="89" l="1"/>
  <c r="O38" i="89" s="1"/>
  <c r="O33" i="89"/>
  <c r="P29" i="89" s="1"/>
  <c r="P30" i="89" s="1"/>
  <c r="P15" i="89" s="1"/>
  <c r="N37" i="89"/>
  <c r="N39" i="89" s="1"/>
  <c r="N35" i="89"/>
  <c r="S171" i="89"/>
  <c r="S23" i="89" s="1"/>
  <c r="S12" i="89" s="1"/>
  <c r="S13" i="89" s="1"/>
  <c r="T155" i="89"/>
  <c r="Q21" i="89"/>
  <c r="Q24" i="89" s="1"/>
  <c r="F168" i="83"/>
  <c r="DN45" i="30"/>
  <c r="AB141" i="14"/>
  <c r="AB144" i="14"/>
  <c r="AD179" i="14"/>
  <c r="AE469" i="47"/>
  <c r="AN469" i="47" s="1"/>
  <c r="W318" i="14"/>
  <c r="W316" i="14"/>
  <c r="AA141" i="14"/>
  <c r="AA144" i="14"/>
  <c r="AA145" i="14" s="1"/>
  <c r="AE560" i="47"/>
  <c r="AN560" i="47" s="1"/>
  <c r="AE559" i="47"/>
  <c r="AD99" i="14"/>
  <c r="AD101" i="14" s="1"/>
  <c r="AD102" i="14"/>
  <c r="AI99" i="14"/>
  <c r="AI101" i="14" s="1"/>
  <c r="AI104" i="14" s="1"/>
  <c r="AC104" i="14"/>
  <c r="AC115" i="14"/>
  <c r="AE473" i="47"/>
  <c r="AN473" i="47" s="1"/>
  <c r="AC473" i="47"/>
  <c r="AE472" i="47"/>
  <c r="X306" i="14"/>
  <c r="X310" i="14"/>
  <c r="Y289" i="14"/>
  <c r="S255" i="14"/>
  <c r="T250" i="14"/>
  <c r="S19" i="14"/>
  <c r="S266" i="14"/>
  <c r="S253" i="14"/>
  <c r="AE561" i="47"/>
  <c r="AN561" i="47" s="1"/>
  <c r="R21" i="14"/>
  <c r="R24" i="14"/>
  <c r="R25" i="14" s="1"/>
  <c r="AE556" i="47"/>
  <c r="AN556" i="47" s="1"/>
  <c r="AN552" i="47"/>
  <c r="S65" i="14"/>
  <c r="S63" i="14"/>
  <c r="AC103" i="14"/>
  <c r="AB142" i="14"/>
  <c r="AC137" i="14"/>
  <c r="AC139" i="14" s="1"/>
  <c r="AC140" i="14" s="1"/>
  <c r="AB153" i="14"/>
  <c r="AB103" i="14"/>
  <c r="AB106" i="14"/>
  <c r="AB107" i="14" s="1"/>
  <c r="AD180" i="14"/>
  <c r="AE175" i="14"/>
  <c r="AE177" i="14" s="1"/>
  <c r="AE178" i="14" s="1"/>
  <c r="AE179" i="14" s="1"/>
  <c r="AE562" i="47"/>
  <c r="AN562" i="47" s="1"/>
  <c r="AC576" i="47"/>
  <c r="AC567" i="47"/>
  <c r="AC569" i="47"/>
  <c r="AC566" i="47"/>
  <c r="AC575" i="47"/>
  <c r="AE576" i="47" s="1"/>
  <c r="AN576" i="47" s="1"/>
  <c r="AC574" i="47"/>
  <c r="AC568" i="47"/>
  <c r="AE569" i="47" s="1"/>
  <c r="AN569" i="47" s="1"/>
  <c r="AC573" i="47"/>
  <c r="AE291" i="14"/>
  <c r="AE304" i="14" s="1"/>
  <c r="AD290" i="14"/>
  <c r="AD303" i="14" s="1"/>
  <c r="F68" i="83"/>
  <c r="F153" i="83"/>
  <c r="M74" i="83"/>
  <c r="M49" i="83"/>
  <c r="DG48" i="30"/>
  <c r="DG40" i="30"/>
  <c r="O76" i="83"/>
  <c r="O69" i="83"/>
  <c r="O158" i="83" s="1"/>
  <c r="DS33" i="30"/>
  <c r="DS16" i="30"/>
  <c r="DO45" i="30"/>
  <c r="DP45" i="30"/>
  <c r="S34" i="76" s="1"/>
  <c r="AA34" i="76" s="1"/>
  <c r="N49" i="83"/>
  <c r="N74" i="83"/>
  <c r="DL9" i="30"/>
  <c r="G6" i="83"/>
  <c r="M121" i="83"/>
  <c r="M80" i="83"/>
  <c r="M81" i="83" s="1"/>
  <c r="M179" i="83" s="1"/>
  <c r="M177" i="83"/>
  <c r="D13" i="83"/>
  <c r="D29" i="83"/>
  <c r="D131" i="83"/>
  <c r="D168" i="83"/>
  <c r="F132" i="83"/>
  <c r="F134" i="83" s="1"/>
  <c r="F30" i="83"/>
  <c r="F50" i="83"/>
  <c r="F52" i="83" s="1"/>
  <c r="F91" i="83"/>
  <c r="F37" i="83"/>
  <c r="G37" i="83"/>
  <c r="O74" i="83"/>
  <c r="C16" i="83"/>
  <c r="C31" i="83"/>
  <c r="C26" i="83"/>
  <c r="E121" i="83"/>
  <c r="E122" i="83" s="1"/>
  <c r="E80" i="83"/>
  <c r="E81" i="83" s="1"/>
  <c r="E177" i="83"/>
  <c r="E178" i="83" s="1"/>
  <c r="DF38" i="30"/>
  <c r="DF37" i="30"/>
  <c r="DF23" i="30"/>
  <c r="L117" i="83"/>
  <c r="L110" i="83"/>
  <c r="L160" i="83" s="1"/>
  <c r="DT16" i="30"/>
  <c r="DT33" i="30"/>
  <c r="M69" i="83"/>
  <c r="M158" i="83" s="1"/>
  <c r="N177" i="83"/>
  <c r="N121" i="83"/>
  <c r="N80" i="83"/>
  <c r="N81" i="83" s="1"/>
  <c r="N179" i="83" s="1"/>
  <c r="I139" i="83"/>
  <c r="I57" i="83"/>
  <c r="I98" i="83"/>
  <c r="P104" i="83"/>
  <c r="P148" i="83" s="1"/>
  <c r="P146" i="83"/>
  <c r="C150" i="83"/>
  <c r="C137" i="83"/>
  <c r="C161" i="83"/>
  <c r="DI16" i="30"/>
  <c r="DI33" i="30"/>
  <c r="C93" i="83"/>
  <c r="C109" i="83"/>
  <c r="D49" i="83"/>
  <c r="D74" i="83"/>
  <c r="O80" i="83"/>
  <c r="O81" i="83" s="1"/>
  <c r="O179" i="83" s="1"/>
  <c r="O121" i="83"/>
  <c r="O177" i="83"/>
  <c r="E115" i="83"/>
  <c r="E90" i="83"/>
  <c r="DR16" i="30"/>
  <c r="DR33" i="30"/>
  <c r="C65" i="83"/>
  <c r="C55" i="83"/>
  <c r="C70" i="83"/>
  <c r="DD16" i="30"/>
  <c r="DD33" i="30"/>
  <c r="M29" i="83"/>
  <c r="M155" i="83" s="1"/>
  <c r="M153" i="83" s="1"/>
  <c r="M13" i="83"/>
  <c r="D177" i="83"/>
  <c r="D178" i="83" s="1"/>
  <c r="D80" i="83"/>
  <c r="D81" i="83" s="1"/>
  <c r="D121" i="83"/>
  <c r="D122" i="83" s="1"/>
  <c r="DK45" i="30"/>
  <c r="DK34" i="30"/>
  <c r="DL45" i="30"/>
  <c r="O115" i="83"/>
  <c r="O90" i="83"/>
  <c r="E29" i="83"/>
  <c r="E13" i="83"/>
  <c r="E74" i="83"/>
  <c r="E49" i="83"/>
  <c r="DF40" i="30"/>
  <c r="DQ30" i="30"/>
  <c r="DQ40" i="30" s="1"/>
  <c r="DQ19" i="30"/>
  <c r="DQ35" i="30"/>
  <c r="T26" i="76" s="1"/>
  <c r="AB26" i="76" s="1"/>
  <c r="T11" i="76"/>
  <c r="AB11" i="76" s="1"/>
  <c r="O110" i="83"/>
  <c r="O160" i="83" s="1"/>
  <c r="O117" i="83"/>
  <c r="L52" i="83"/>
  <c r="L68" i="83"/>
  <c r="L154" i="83" s="1"/>
  <c r="CZ35" i="30"/>
  <c r="CZ19" i="30"/>
  <c r="CZ30" i="30"/>
  <c r="CZ46" i="30"/>
  <c r="H50" i="83"/>
  <c r="H76" i="83" s="1"/>
  <c r="H37" i="83"/>
  <c r="H132" i="83"/>
  <c r="H173" i="83" s="1"/>
  <c r="H91" i="83"/>
  <c r="H117" i="83" s="1"/>
  <c r="N76" i="83"/>
  <c r="N115" i="83"/>
  <c r="N108" i="83" s="1"/>
  <c r="N90" i="83"/>
  <c r="DE46" i="30"/>
  <c r="DE35" i="30"/>
  <c r="DE30" i="30"/>
  <c r="DF48" i="30" s="1"/>
  <c r="DE19" i="30"/>
  <c r="DH46" i="30"/>
  <c r="DH30" i="30"/>
  <c r="DH35" i="30"/>
  <c r="DH19" i="30"/>
  <c r="H129" i="83"/>
  <c r="H47" i="83"/>
  <c r="H88" i="83"/>
  <c r="DK30" i="30"/>
  <c r="DK19" i="30"/>
  <c r="DK35" i="30"/>
  <c r="DX18" i="30"/>
  <c r="S15" i="83"/>
  <c r="DP28" i="30"/>
  <c r="D69" i="83"/>
  <c r="M115" i="83"/>
  <c r="M108" i="83" s="1"/>
  <c r="M90" i="83"/>
  <c r="F93" i="83"/>
  <c r="F109" i="83"/>
  <c r="D90" i="83"/>
  <c r="D115" i="83"/>
  <c r="L93" i="83"/>
  <c r="H57" i="83"/>
  <c r="H98" i="83"/>
  <c r="H139" i="83"/>
  <c r="I129" i="83"/>
  <c r="I47" i="83"/>
  <c r="I88" i="83"/>
  <c r="O13" i="83"/>
  <c r="O29" i="83"/>
  <c r="O155" i="83" s="1"/>
  <c r="O153" i="83" s="1"/>
  <c r="E69" i="83"/>
  <c r="E168" i="83"/>
  <c r="E131" i="83"/>
  <c r="DG37" i="30"/>
  <c r="DG23" i="30"/>
  <c r="DG38" i="30"/>
  <c r="L76" i="83"/>
  <c r="L69" i="83"/>
  <c r="L158" i="83" s="1"/>
  <c r="M117" i="83"/>
  <c r="N117" i="83"/>
  <c r="N110" i="83"/>
  <c r="N160" i="83" s="1"/>
  <c r="O108" i="83"/>
  <c r="DA35" i="30"/>
  <c r="DA19" i="30"/>
  <c r="DB46" i="30"/>
  <c r="DA30" i="30"/>
  <c r="DA46" i="30"/>
  <c r="F29" i="83"/>
  <c r="F13" i="83"/>
  <c r="J50" i="83"/>
  <c r="J37" i="83"/>
  <c r="J132" i="83"/>
  <c r="J91" i="83"/>
  <c r="K37" i="83"/>
  <c r="L31" i="83"/>
  <c r="L16" i="83"/>
  <c r="L26" i="83"/>
  <c r="F74" i="83"/>
  <c r="N29" i="83"/>
  <c r="N155" i="83" s="1"/>
  <c r="N153" i="83" s="1"/>
  <c r="N13" i="83"/>
  <c r="R136" i="83"/>
  <c r="R54" i="83"/>
  <c r="R95" i="83"/>
  <c r="O49" i="83"/>
  <c r="DJ16" i="30"/>
  <c r="DJ33" i="30"/>
  <c r="I50" i="83"/>
  <c r="I76" i="83" s="1"/>
  <c r="I132" i="83"/>
  <c r="I91" i="83"/>
  <c r="I117" i="83" s="1"/>
  <c r="I37" i="83"/>
  <c r="DM9" i="30"/>
  <c r="H6" i="83"/>
  <c r="U311" i="44"/>
  <c r="L588" i="47" s="1"/>
  <c r="N588" i="47" s="1"/>
  <c r="W310" i="44"/>
  <c r="D305" i="44"/>
  <c r="F304" i="44"/>
  <c r="F64" i="30"/>
  <c r="E64" i="30"/>
  <c r="D64" i="30"/>
  <c r="C64" i="30"/>
  <c r="AW65" i="30"/>
  <c r="AV65" i="30"/>
  <c r="AY65" i="30"/>
  <c r="AX65" i="30"/>
  <c r="DN64" i="30"/>
  <c r="DN58" i="30"/>
  <c r="DD58" i="30"/>
  <c r="AA303" i="44"/>
  <c r="AC300" i="44"/>
  <c r="AS300" i="44"/>
  <c r="BD300" i="44"/>
  <c r="BN64" i="30"/>
  <c r="BM64" i="30"/>
  <c r="BL64" i="30"/>
  <c r="BK64" i="30"/>
  <c r="DM64" i="30"/>
  <c r="DM58" i="30"/>
  <c r="DC58" i="30"/>
  <c r="AW64" i="30"/>
  <c r="AV64" i="30"/>
  <c r="AY64" i="30"/>
  <c r="AX64" i="30"/>
  <c r="K310" i="44"/>
  <c r="Q307" i="44"/>
  <c r="BE299" i="44"/>
  <c r="AT299" i="44"/>
  <c r="AX299" i="44"/>
  <c r="AY299" i="44" s="1"/>
  <c r="AU299" i="44"/>
  <c r="BC299" i="44"/>
  <c r="DO58" i="30"/>
  <c r="CZ64" i="30"/>
  <c r="DA58" i="30"/>
  <c r="DI64" i="30"/>
  <c r="DI58" i="30"/>
  <c r="DJ58" i="30"/>
  <c r="I64" i="30"/>
  <c r="H64" i="30"/>
  <c r="K64" i="30"/>
  <c r="J64" i="30"/>
  <c r="DI60" i="30"/>
  <c r="X242" i="44"/>
  <c r="DO60" i="30"/>
  <c r="DQ66" i="30"/>
  <c r="DR66" i="30"/>
  <c r="DE60" i="30"/>
  <c r="DS66" i="30"/>
  <c r="DI55" i="30"/>
  <c r="DR27" i="30"/>
  <c r="DG60" i="30"/>
  <c r="AJ54" i="30"/>
  <c r="CZ60" i="30"/>
  <c r="DL59" i="30"/>
  <c r="DD60" i="30"/>
  <c r="DT66" i="30"/>
  <c r="R254" i="44"/>
  <c r="DN60" i="30"/>
  <c r="DJ55" i="30"/>
  <c r="DB60" i="30"/>
  <c r="DH60" i="30"/>
  <c r="X588" i="47" l="1"/>
  <c r="Z588" i="47" s="1"/>
  <c r="P588" i="47"/>
  <c r="O16" i="89"/>
  <c r="O37" i="89"/>
  <c r="O39" i="89" s="1"/>
  <c r="O35" i="89"/>
  <c r="P38" i="89"/>
  <c r="P16" i="89"/>
  <c r="T171" i="89"/>
  <c r="T23" i="89" s="1"/>
  <c r="T12" i="89" s="1"/>
  <c r="T13" i="89" s="1"/>
  <c r="U155" i="89"/>
  <c r="P33" i="89"/>
  <c r="R21" i="89"/>
  <c r="R24" i="89" s="1"/>
  <c r="AC141" i="14"/>
  <c r="AE563" i="47"/>
  <c r="AN563" i="47" s="1"/>
  <c r="AN559" i="47"/>
  <c r="AF291" i="14"/>
  <c r="AF304" i="14" s="1"/>
  <c r="AE575" i="47"/>
  <c r="AN575" i="47" s="1"/>
  <c r="AE568" i="47"/>
  <c r="AN568" i="47" s="1"/>
  <c r="AC583" i="47"/>
  <c r="AC581" i="47"/>
  <c r="AC582" i="47"/>
  <c r="AE583" i="47" s="1"/>
  <c r="AC580" i="47"/>
  <c r="T17" i="14"/>
  <c r="T20" i="14" s="1"/>
  <c r="S22" i="14"/>
  <c r="S20" i="14"/>
  <c r="S33" i="14"/>
  <c r="T22" i="14"/>
  <c r="Y302" i="14"/>
  <c r="Y293" i="14"/>
  <c r="AE474" i="47"/>
  <c r="AN474" i="47" s="1"/>
  <c r="AC474" i="47"/>
  <c r="AD104" i="14"/>
  <c r="AE99" i="14"/>
  <c r="AE101" i="14" s="1"/>
  <c r="AE102" i="14"/>
  <c r="AD115" i="14"/>
  <c r="AE290" i="14"/>
  <c r="AE303" i="14" s="1"/>
  <c r="AE574" i="47"/>
  <c r="AN574" i="47" s="1"/>
  <c r="AE573" i="47"/>
  <c r="AE567" i="47"/>
  <c r="AN567" i="47" s="1"/>
  <c r="AE566" i="47"/>
  <c r="S64" i="14"/>
  <c r="S67" i="14"/>
  <c r="S68" i="14" s="1"/>
  <c r="S254" i="14"/>
  <c r="S257" i="14"/>
  <c r="S258" i="14" s="1"/>
  <c r="X307" i="14"/>
  <c r="X327" i="14"/>
  <c r="X328" i="14" s="1"/>
  <c r="X313" i="14"/>
  <c r="X312" i="14"/>
  <c r="X311" i="14"/>
  <c r="X315" i="14"/>
  <c r="AD103" i="14"/>
  <c r="AB145" i="14"/>
  <c r="AD137" i="14"/>
  <c r="AD139" i="14" s="1"/>
  <c r="AC142" i="14"/>
  <c r="AC153" i="14"/>
  <c r="T252" i="14"/>
  <c r="T60" i="14"/>
  <c r="T62" i="14" s="1"/>
  <c r="AE180" i="14"/>
  <c r="AF175" i="14"/>
  <c r="AF177" i="14" s="1"/>
  <c r="AF178" i="14" s="1"/>
  <c r="AF179" i="14" s="1"/>
  <c r="AN472" i="47"/>
  <c r="F150" i="83"/>
  <c r="F137" i="83"/>
  <c r="F161" i="83"/>
  <c r="CC66" i="30"/>
  <c r="CB66" i="30"/>
  <c r="CA66" i="30"/>
  <c r="BZ66" i="30"/>
  <c r="J76" i="83"/>
  <c r="K76" i="83"/>
  <c r="DH37" i="30"/>
  <c r="DH23" i="30"/>
  <c r="DH38" i="30"/>
  <c r="N93" i="83"/>
  <c r="N109" i="83"/>
  <c r="N156" i="83" s="1"/>
  <c r="L55" i="83"/>
  <c r="L70" i="83"/>
  <c r="L65" i="83"/>
  <c r="CQ66" i="30"/>
  <c r="CP66" i="30"/>
  <c r="CJ66" i="30"/>
  <c r="CO66" i="30"/>
  <c r="CH66" i="30"/>
  <c r="CM66" i="30"/>
  <c r="CF66" i="30"/>
  <c r="CR66" i="30"/>
  <c r="CK66" i="30"/>
  <c r="CE66" i="30"/>
  <c r="CG66" i="30"/>
  <c r="CL66" i="30"/>
  <c r="DG39" i="30"/>
  <c r="DG25" i="30"/>
  <c r="S95" i="83"/>
  <c r="S54" i="83"/>
  <c r="S136" i="83"/>
  <c r="DK23" i="30"/>
  <c r="DK37" i="30"/>
  <c r="DK38" i="30"/>
  <c r="E16" i="83"/>
  <c r="E31" i="83"/>
  <c r="E38" i="83"/>
  <c r="E26" i="83"/>
  <c r="DD35" i="30"/>
  <c r="DD30" i="30"/>
  <c r="DD19" i="30"/>
  <c r="DD46" i="30"/>
  <c r="D68" i="83"/>
  <c r="D52" i="83"/>
  <c r="DI19" i="30"/>
  <c r="DI30" i="30"/>
  <c r="DI46" i="30"/>
  <c r="DI35" i="30"/>
  <c r="DS19" i="30"/>
  <c r="DS35" i="30"/>
  <c r="DS46" i="30"/>
  <c r="DS30" i="30"/>
  <c r="BW66" i="30"/>
  <c r="BX66" i="30"/>
  <c r="BV66" i="30"/>
  <c r="BU66" i="30"/>
  <c r="DA40" i="30"/>
  <c r="DB48" i="30"/>
  <c r="DA48" i="30"/>
  <c r="L111" i="83"/>
  <c r="L96" i="83"/>
  <c r="L106" i="83"/>
  <c r="DK40" i="30"/>
  <c r="DE37" i="30"/>
  <c r="DE23" i="30"/>
  <c r="DE38" i="30"/>
  <c r="CZ48" i="30"/>
  <c r="CZ40" i="30"/>
  <c r="M26" i="83"/>
  <c r="M40" i="83" s="1"/>
  <c r="M38" i="83"/>
  <c r="M16" i="83"/>
  <c r="M31" i="83"/>
  <c r="DR35" i="30"/>
  <c r="DR19" i="30"/>
  <c r="DR30" i="30"/>
  <c r="DR46" i="30"/>
  <c r="O180" i="83"/>
  <c r="O178" i="83" s="1"/>
  <c r="O168" i="83" s="1"/>
  <c r="O122" i="83"/>
  <c r="O181" i="83" s="1"/>
  <c r="F157" i="83"/>
  <c r="F173" i="83"/>
  <c r="G173" i="83"/>
  <c r="D16" i="83"/>
  <c r="D38" i="83"/>
  <c r="D26" i="83"/>
  <c r="D40" i="83" s="1"/>
  <c r="D31" i="83"/>
  <c r="M122" i="83"/>
  <c r="M181" i="83" s="1"/>
  <c r="M180" i="83"/>
  <c r="M178" i="83" s="1"/>
  <c r="M168" i="83" s="1"/>
  <c r="N68" i="83"/>
  <c r="N154" i="83" s="1"/>
  <c r="N52" i="83"/>
  <c r="DJ35" i="30"/>
  <c r="DJ19" i="30"/>
  <c r="DJ30" i="30"/>
  <c r="DK48" i="30" s="1"/>
  <c r="DJ46" i="30"/>
  <c r="J117" i="83"/>
  <c r="K117" i="83"/>
  <c r="F16" i="83"/>
  <c r="F38" i="83"/>
  <c r="F31" i="83"/>
  <c r="F26" i="83"/>
  <c r="E153" i="83"/>
  <c r="E134" i="83"/>
  <c r="O26" i="83"/>
  <c r="O31" i="83"/>
  <c r="O38" i="83"/>
  <c r="O16" i="83"/>
  <c r="DK46" i="30"/>
  <c r="DE40" i="30"/>
  <c r="CZ37" i="30"/>
  <c r="CZ23" i="30"/>
  <c r="CZ38" i="30"/>
  <c r="T14" i="76"/>
  <c r="AB14" i="76" s="1"/>
  <c r="DQ37" i="30"/>
  <c r="T27" i="76" s="1"/>
  <c r="AB27" i="76" s="1"/>
  <c r="DQ23" i="30"/>
  <c r="DQ38" i="30"/>
  <c r="T28" i="76" s="1"/>
  <c r="AB28" i="76" s="1"/>
  <c r="E52" i="83"/>
  <c r="E68" i="83"/>
  <c r="O109" i="83"/>
  <c r="O156" i="83" s="1"/>
  <c r="O93" i="83"/>
  <c r="C60" i="83"/>
  <c r="C62" i="83" s="1"/>
  <c r="C71" i="83"/>
  <c r="E93" i="83"/>
  <c r="E109" i="83"/>
  <c r="C111" i="83"/>
  <c r="C106" i="83"/>
  <c r="C96" i="83"/>
  <c r="C142" i="83"/>
  <c r="C144" i="83" s="1"/>
  <c r="C162" i="83"/>
  <c r="N180" i="83"/>
  <c r="N178" i="83" s="1"/>
  <c r="N168" i="83" s="1"/>
  <c r="N122" i="83"/>
  <c r="N181" i="83" s="1"/>
  <c r="DT30" i="30"/>
  <c r="DT46" i="30"/>
  <c r="DT19" i="30"/>
  <c r="DT35" i="30"/>
  <c r="DF39" i="30"/>
  <c r="DF25" i="30"/>
  <c r="C21" i="83"/>
  <c r="C23" i="83" s="1"/>
  <c r="C32" i="83"/>
  <c r="F110" i="83"/>
  <c r="F117" i="83"/>
  <c r="G117" i="83"/>
  <c r="G86" i="83"/>
  <c r="G127" i="83"/>
  <c r="G35" i="83"/>
  <c r="G45" i="83"/>
  <c r="G10" i="83"/>
  <c r="G30" i="83"/>
  <c r="M68" i="83"/>
  <c r="M154" i="83" s="1"/>
  <c r="M52" i="83"/>
  <c r="F70" i="83"/>
  <c r="F55" i="83"/>
  <c r="F77" i="83"/>
  <c r="F65" i="83"/>
  <c r="F111" i="83"/>
  <c r="F118" i="83"/>
  <c r="F96" i="83"/>
  <c r="F106" i="83"/>
  <c r="DY18" i="30"/>
  <c r="T15" i="83"/>
  <c r="DQ28" i="30"/>
  <c r="I173" i="83"/>
  <c r="O52" i="83"/>
  <c r="O68" i="83"/>
  <c r="O154" i="83" s="1"/>
  <c r="N31" i="83"/>
  <c r="N26" i="83"/>
  <c r="N40" i="83" s="1"/>
  <c r="N38" i="83"/>
  <c r="N16" i="83"/>
  <c r="L21" i="83"/>
  <c r="L23" i="83" s="1"/>
  <c r="L32" i="83"/>
  <c r="L164" i="83" s="1"/>
  <c r="L162" i="83" s="1"/>
  <c r="J173" i="83"/>
  <c r="K173" i="83"/>
  <c r="DA37" i="30"/>
  <c r="DA23" i="30"/>
  <c r="DA38" i="30"/>
  <c r="D93" i="83"/>
  <c r="D109" i="83"/>
  <c r="M93" i="83"/>
  <c r="M109" i="83"/>
  <c r="M156" i="83" s="1"/>
  <c r="DH48" i="30"/>
  <c r="DH40" i="30"/>
  <c r="F76" i="83"/>
  <c r="F69" i="83"/>
  <c r="G76" i="83"/>
  <c r="D153" i="83"/>
  <c r="D134" i="83"/>
  <c r="DL13" i="30"/>
  <c r="DL43" i="30"/>
  <c r="DL34" i="30"/>
  <c r="DL36" i="30"/>
  <c r="H30" i="83"/>
  <c r="H127" i="83"/>
  <c r="H35" i="83"/>
  <c r="H86" i="83"/>
  <c r="H45" i="83"/>
  <c r="H10" i="83"/>
  <c r="DM13" i="30"/>
  <c r="DM36" i="30"/>
  <c r="DM43" i="30"/>
  <c r="DM34" i="30"/>
  <c r="Q310" i="44"/>
  <c r="K311" i="44"/>
  <c r="L414" i="47" s="1"/>
  <c r="BE300" i="44"/>
  <c r="AU300" i="44"/>
  <c r="AT300" i="44"/>
  <c r="AX300" i="44"/>
  <c r="AY300" i="44" s="1"/>
  <c r="BC300" i="44"/>
  <c r="D306" i="44"/>
  <c r="L222" i="47" s="1"/>
  <c r="N222" i="47" s="1"/>
  <c r="F305" i="44"/>
  <c r="BG64" i="30"/>
  <c r="BF64" i="30"/>
  <c r="BI64" i="30"/>
  <c r="BH64" i="30"/>
  <c r="BB64" i="30"/>
  <c r="BA64" i="30"/>
  <c r="BD64" i="30"/>
  <c r="BC64" i="30"/>
  <c r="AC303" i="44"/>
  <c r="AA304" i="44"/>
  <c r="AS303" i="44"/>
  <c r="BD303" i="44"/>
  <c r="U312" i="44"/>
  <c r="L589" i="47" s="1"/>
  <c r="N589" i="47" s="1"/>
  <c r="W311" i="44"/>
  <c r="AH64" i="30"/>
  <c r="AG64" i="30"/>
  <c r="AJ64" i="30"/>
  <c r="AI64" i="30"/>
  <c r="DJ60" i="30"/>
  <c r="DZ18" i="30"/>
  <c r="CJ54" i="30"/>
  <c r="DS27" i="30"/>
  <c r="CK54" i="30"/>
  <c r="AI54" i="30"/>
  <c r="DC60" i="30"/>
  <c r="R255" i="44"/>
  <c r="AG54" i="30"/>
  <c r="X589" i="47" l="1"/>
  <c r="Z589" i="47" s="1"/>
  <c r="P589" i="47"/>
  <c r="N414" i="47"/>
  <c r="AC414" i="47"/>
  <c r="N223" i="47"/>
  <c r="P222" i="47"/>
  <c r="S21" i="89"/>
  <c r="S24" i="89" s="1"/>
  <c r="U171" i="89"/>
  <c r="U23" i="89" s="1"/>
  <c r="U12" i="89" s="1"/>
  <c r="U13" i="89" s="1"/>
  <c r="V155" i="89"/>
  <c r="Q29" i="89"/>
  <c r="P35" i="89"/>
  <c r="P37" i="89"/>
  <c r="P39" i="89" s="1"/>
  <c r="DG47" i="30"/>
  <c r="F40" i="83"/>
  <c r="AN566" i="47"/>
  <c r="AE570" i="47"/>
  <c r="AN570" i="47" s="1"/>
  <c r="AF290" i="14"/>
  <c r="AF303" i="14" s="1"/>
  <c r="AF99" i="14"/>
  <c r="AF101" i="14" s="1"/>
  <c r="AF102" i="14" s="1"/>
  <c r="AE104" i="14"/>
  <c r="AE115" i="14"/>
  <c r="S21" i="14"/>
  <c r="S24" i="14"/>
  <c r="S25" i="14" s="1"/>
  <c r="AE580" i="47"/>
  <c r="AE581" i="47"/>
  <c r="AN581" i="47" s="1"/>
  <c r="T65" i="14"/>
  <c r="T76" i="14"/>
  <c r="T63" i="14"/>
  <c r="AD142" i="14"/>
  <c r="AE137" i="14"/>
  <c r="AE139" i="14" s="1"/>
  <c r="AD153" i="14"/>
  <c r="AF180" i="14"/>
  <c r="AG175" i="14"/>
  <c r="AG177" i="14" s="1"/>
  <c r="AG178" i="14" s="1"/>
  <c r="AG179" i="14" s="1"/>
  <c r="T266" i="14"/>
  <c r="T255" i="14"/>
  <c r="U250" i="14"/>
  <c r="T253" i="14"/>
  <c r="AD140" i="14"/>
  <c r="X318" i="14"/>
  <c r="X316" i="14"/>
  <c r="AE577" i="47"/>
  <c r="AN577" i="47" s="1"/>
  <c r="AN573" i="47"/>
  <c r="AC475" i="47"/>
  <c r="AC479" i="47" s="1"/>
  <c r="AE475" i="47"/>
  <c r="AN475" i="47" s="1"/>
  <c r="T21" i="14"/>
  <c r="T24" i="14"/>
  <c r="U21" i="14"/>
  <c r="AE582" i="47"/>
  <c r="AN582" i="47" s="1"/>
  <c r="AG291" i="14"/>
  <c r="AG304" i="14" s="1"/>
  <c r="Y306" i="14"/>
  <c r="Y315" i="14" s="1"/>
  <c r="Z289" i="14"/>
  <c r="AC589" i="47"/>
  <c r="AC587" i="47"/>
  <c r="AC590" i="47"/>
  <c r="AC588" i="47"/>
  <c r="AE103" i="14"/>
  <c r="S34" i="14"/>
  <c r="T34" i="14"/>
  <c r="DV26" i="30"/>
  <c r="Q24" i="83"/>
  <c r="DL16" i="30"/>
  <c r="DL33" i="30"/>
  <c r="G69" i="83"/>
  <c r="G74" i="83"/>
  <c r="G49" i="83"/>
  <c r="O21" i="83"/>
  <c r="O23" i="83" s="1"/>
  <c r="O32" i="83"/>
  <c r="O164" i="83" s="1"/>
  <c r="O162" i="83" s="1"/>
  <c r="DD40" i="30"/>
  <c r="DD48" i="30"/>
  <c r="DK39" i="30"/>
  <c r="DK25" i="30"/>
  <c r="L60" i="83"/>
  <c r="L62" i="83" s="1"/>
  <c r="L71" i="83"/>
  <c r="L163" i="83" s="1"/>
  <c r="DH39" i="30"/>
  <c r="DH25" i="30"/>
  <c r="DH47" i="30" s="1"/>
  <c r="CL54" i="30"/>
  <c r="CM54" i="30"/>
  <c r="DR28" i="30"/>
  <c r="D161" i="83"/>
  <c r="D137" i="83"/>
  <c r="D150" i="83"/>
  <c r="D176" i="83" s="1"/>
  <c r="D174" i="83"/>
  <c r="D111" i="83"/>
  <c r="D118" i="83"/>
  <c r="D96" i="83"/>
  <c r="D106" i="83"/>
  <c r="D120" i="83" s="1"/>
  <c r="N21" i="83"/>
  <c r="N23" i="83" s="1"/>
  <c r="N32" i="83"/>
  <c r="N164" i="83" s="1"/>
  <c r="N162" i="83" s="1"/>
  <c r="F101" i="83"/>
  <c r="F103" i="83" s="1"/>
  <c r="F112" i="83"/>
  <c r="G121" i="83"/>
  <c r="G122" i="83" s="1"/>
  <c r="G177" i="83"/>
  <c r="G178" i="83" s="1"/>
  <c r="G80" i="83"/>
  <c r="G81" i="83" s="1"/>
  <c r="E65" i="83"/>
  <c r="E77" i="83"/>
  <c r="E70" i="83"/>
  <c r="E55" i="83"/>
  <c r="F21" i="83"/>
  <c r="F23" i="83" s="1"/>
  <c r="F32" i="83"/>
  <c r="O77" i="83"/>
  <c r="N65" i="83"/>
  <c r="N70" i="83"/>
  <c r="N77" i="83"/>
  <c r="N55" i="83"/>
  <c r="DE39" i="30"/>
  <c r="DE25" i="30"/>
  <c r="DF47" i="30" s="1"/>
  <c r="E21" i="83"/>
  <c r="E23" i="83" s="1"/>
  <c r="E32" i="83"/>
  <c r="F142" i="83"/>
  <c r="F144" i="83" s="1"/>
  <c r="F162" i="83"/>
  <c r="E161" i="83"/>
  <c r="E137" i="83"/>
  <c r="E174" i="83"/>
  <c r="E150" i="83"/>
  <c r="D21" i="83"/>
  <c r="D23" i="83" s="1"/>
  <c r="D39" i="83" s="1"/>
  <c r="D32" i="83"/>
  <c r="DS40" i="30"/>
  <c r="DS48" i="30"/>
  <c r="O55" i="83"/>
  <c r="O70" i="83"/>
  <c r="O65" i="83"/>
  <c r="O79" i="83" s="1"/>
  <c r="T54" i="83"/>
  <c r="T136" i="83"/>
  <c r="T95" i="83"/>
  <c r="F60" i="83"/>
  <c r="F62" i="83" s="1"/>
  <c r="F71" i="83"/>
  <c r="G168" i="83"/>
  <c r="G131" i="83"/>
  <c r="G157" i="83"/>
  <c r="DT40" i="30"/>
  <c r="DT48" i="30"/>
  <c r="O106" i="83"/>
  <c r="O96" i="83"/>
  <c r="O111" i="83"/>
  <c r="DE48" i="30"/>
  <c r="DJ48" i="30"/>
  <c r="DJ40" i="30"/>
  <c r="DI40" i="30"/>
  <c r="DI48" i="30"/>
  <c r="E40" i="83"/>
  <c r="O118" i="83"/>
  <c r="N106" i="83"/>
  <c r="N118" i="83"/>
  <c r="N111" i="83"/>
  <c r="N96" i="83"/>
  <c r="F174" i="83"/>
  <c r="M70" i="83"/>
  <c r="M55" i="83"/>
  <c r="M77" i="83"/>
  <c r="M65" i="83"/>
  <c r="M79" i="83" s="1"/>
  <c r="DT37" i="30"/>
  <c r="DT23" i="30"/>
  <c r="DT38" i="30"/>
  <c r="DR23" i="30"/>
  <c r="DR37" i="30"/>
  <c r="DR38" i="30"/>
  <c r="D55" i="83"/>
  <c r="D77" i="83"/>
  <c r="D65" i="83"/>
  <c r="D79" i="83" s="1"/>
  <c r="D70" i="83"/>
  <c r="M111" i="83"/>
  <c r="M96" i="83"/>
  <c r="M106" i="83"/>
  <c r="M120" i="83" s="1"/>
  <c r="M118" i="83"/>
  <c r="DA25" i="30"/>
  <c r="DA39" i="30"/>
  <c r="G13" i="83"/>
  <c r="G29" i="83"/>
  <c r="G115" i="83"/>
  <c r="G90" i="83"/>
  <c r="G110" i="83"/>
  <c r="C101" i="83"/>
  <c r="C103" i="83" s="1"/>
  <c r="C112" i="83"/>
  <c r="E106" i="83"/>
  <c r="E120" i="83" s="1"/>
  <c r="E111" i="83"/>
  <c r="E96" i="83"/>
  <c r="E118" i="83"/>
  <c r="T18" i="76"/>
  <c r="AB18" i="76" s="1"/>
  <c r="DQ39" i="30"/>
  <c r="T29" i="76" s="1"/>
  <c r="AB29" i="76" s="1"/>
  <c r="DQ25" i="30"/>
  <c r="T20" i="76" s="1"/>
  <c r="AB20" i="76" s="1"/>
  <c r="CZ25" i="30"/>
  <c r="CZ47" i="30" s="1"/>
  <c r="CZ39" i="30"/>
  <c r="O40" i="83"/>
  <c r="DJ37" i="30"/>
  <c r="DJ23" i="30"/>
  <c r="DJ38" i="30"/>
  <c r="DR48" i="30"/>
  <c r="DR40" i="30"/>
  <c r="M21" i="83"/>
  <c r="M23" i="83" s="1"/>
  <c r="M39" i="83" s="1"/>
  <c r="M32" i="83"/>
  <c r="M164" i="83" s="1"/>
  <c r="M162" i="83" s="1"/>
  <c r="L101" i="83"/>
  <c r="L103" i="83" s="1"/>
  <c r="L112" i="83"/>
  <c r="L165" i="83" s="1"/>
  <c r="DS23" i="30"/>
  <c r="DS37" i="30"/>
  <c r="DS38" i="30"/>
  <c r="DI23" i="30"/>
  <c r="DI37" i="30"/>
  <c r="DI38" i="30"/>
  <c r="DD23" i="30"/>
  <c r="DD37" i="30"/>
  <c r="DD38" i="30"/>
  <c r="H115" i="83"/>
  <c r="H90" i="83"/>
  <c r="H110" i="83"/>
  <c r="DM33" i="30"/>
  <c r="DM16" i="30"/>
  <c r="H177" i="83"/>
  <c r="H178" i="83" s="1"/>
  <c r="H121" i="83"/>
  <c r="H122" i="83" s="1"/>
  <c r="H80" i="83"/>
  <c r="H81" i="83" s="1"/>
  <c r="H13" i="83"/>
  <c r="H29" i="83"/>
  <c r="H157" i="83"/>
  <c r="H131" i="83"/>
  <c r="H168" i="83"/>
  <c r="H69" i="83"/>
  <c r="H49" i="83"/>
  <c r="H74" i="83"/>
  <c r="DO9" i="30"/>
  <c r="J6" i="83"/>
  <c r="DP9" i="30"/>
  <c r="K6" i="83"/>
  <c r="DN9" i="30"/>
  <c r="I6" i="83"/>
  <c r="U313" i="44"/>
  <c r="L590" i="47" s="1"/>
  <c r="N590" i="47" s="1"/>
  <c r="P590" i="47" s="1"/>
  <c r="W312" i="44"/>
  <c r="DM60" i="30"/>
  <c r="AU303" i="44"/>
  <c r="BE303" i="44"/>
  <c r="AT303" i="44"/>
  <c r="AX303" i="44"/>
  <c r="AY303" i="44" s="1"/>
  <c r="BC303" i="44"/>
  <c r="F306" i="44"/>
  <c r="D307" i="44"/>
  <c r="L223" i="47" s="1"/>
  <c r="K312" i="44"/>
  <c r="L415" i="47" s="1"/>
  <c r="N415" i="47" s="1"/>
  <c r="P415" i="47" s="1"/>
  <c r="J415" i="47" s="1"/>
  <c r="D415" i="47" s="1"/>
  <c r="V415" i="47" s="1"/>
  <c r="Q311" i="44"/>
  <c r="AA305" i="44"/>
  <c r="AS304" i="44"/>
  <c r="AC304" i="44"/>
  <c r="BD304" i="44"/>
  <c r="BF54" i="30"/>
  <c r="DI52" i="30"/>
  <c r="BD54" i="30"/>
  <c r="BA54" i="30"/>
  <c r="DT27" i="30"/>
  <c r="Z59" i="8"/>
  <c r="Z60" i="8" s="1"/>
  <c r="AA59" i="8"/>
  <c r="AA60" i="8" s="1"/>
  <c r="AB59" i="8"/>
  <c r="AB60" i="8" s="1"/>
  <c r="N591" i="47" l="1"/>
  <c r="P591" i="47" s="1"/>
  <c r="Q238" i="45"/>
  <c r="X415" i="47"/>
  <c r="Z415" i="47" s="1"/>
  <c r="AL415" i="47"/>
  <c r="AE414" i="47"/>
  <c r="AC415" i="47"/>
  <c r="P414" i="47"/>
  <c r="J414" i="47" s="1"/>
  <c r="D414" i="47" s="1"/>
  <c r="V414" i="47" s="1"/>
  <c r="P223" i="47"/>
  <c r="T21" i="89"/>
  <c r="T24" i="89" s="1"/>
  <c r="V171" i="89"/>
  <c r="V23" i="89" s="1"/>
  <c r="V12" i="89" s="1"/>
  <c r="V13" i="89" s="1"/>
  <c r="W155" i="89"/>
  <c r="W171" i="89" s="1"/>
  <c r="W23" i="89" s="1"/>
  <c r="W12" i="89" s="1"/>
  <c r="W13" i="89" s="1"/>
  <c r="Q30" i="89"/>
  <c r="Q15" i="89" s="1"/>
  <c r="N120" i="83"/>
  <c r="E176" i="83"/>
  <c r="F39" i="83"/>
  <c r="E79" i="83"/>
  <c r="N39" i="83"/>
  <c r="Y316" i="14"/>
  <c r="Y318" i="14"/>
  <c r="AE589" i="47"/>
  <c r="AN589" i="47" s="1"/>
  <c r="Z293" i="14"/>
  <c r="Z302" i="14"/>
  <c r="T254" i="14"/>
  <c r="T257" i="14"/>
  <c r="T258" i="14" s="1"/>
  <c r="T64" i="14"/>
  <c r="T67" i="14"/>
  <c r="T68" i="14" s="1"/>
  <c r="AF104" i="14"/>
  <c r="AG102" i="14"/>
  <c r="AG99" i="14"/>
  <c r="AG101" i="14" s="1"/>
  <c r="AF115" i="14"/>
  <c r="Y307" i="14"/>
  <c r="Y327" i="14"/>
  <c r="Y328" i="14" s="1"/>
  <c r="Y313" i="14"/>
  <c r="Y312" i="14"/>
  <c r="Y311" i="14"/>
  <c r="AF137" i="14"/>
  <c r="AF139" i="14" s="1"/>
  <c r="AF140" i="14" s="1"/>
  <c r="AE142" i="14"/>
  <c r="AE153" i="14"/>
  <c r="AN580" i="47"/>
  <c r="AE584" i="47"/>
  <c r="AF103" i="14"/>
  <c r="AE587" i="47"/>
  <c r="AE588" i="47"/>
  <c r="AN588" i="47" s="1"/>
  <c r="Y310" i="14"/>
  <c r="AC480" i="47"/>
  <c r="AE479" i="47"/>
  <c r="U252" i="14"/>
  <c r="U60" i="14"/>
  <c r="U62" i="14" s="1"/>
  <c r="AG180" i="14"/>
  <c r="AH175" i="14"/>
  <c r="AH177" i="14" s="1"/>
  <c r="AH180" i="14" s="1"/>
  <c r="AE140" i="14"/>
  <c r="AG290" i="14"/>
  <c r="AG303" i="14" s="1"/>
  <c r="AE476" i="47"/>
  <c r="AN476" i="47" s="1"/>
  <c r="AE590" i="47"/>
  <c r="T25" i="14"/>
  <c r="U25" i="14"/>
  <c r="AD141" i="14"/>
  <c r="DI25" i="30"/>
  <c r="DI47" i="30" s="1"/>
  <c r="DI39" i="30"/>
  <c r="DA47" i="30"/>
  <c r="DB47" i="30"/>
  <c r="D60" i="83"/>
  <c r="D62" i="83" s="1"/>
  <c r="D78" i="83" s="1"/>
  <c r="D71" i="83"/>
  <c r="DD39" i="30"/>
  <c r="DD25" i="30"/>
  <c r="DD47" i="30" s="1"/>
  <c r="E112" i="83"/>
  <c r="E101" i="83"/>
  <c r="E103" i="83" s="1"/>
  <c r="F119" i="83" s="1"/>
  <c r="DT25" i="30"/>
  <c r="DT39" i="30"/>
  <c r="M60" i="83"/>
  <c r="M62" i="83" s="1"/>
  <c r="M78" i="83" s="1"/>
  <c r="M71" i="83"/>
  <c r="M163" i="83" s="1"/>
  <c r="N101" i="83"/>
  <c r="N103" i="83" s="1"/>
  <c r="N112" i="83"/>
  <c r="N165" i="83" s="1"/>
  <c r="O101" i="83"/>
  <c r="O103" i="83" s="1"/>
  <c r="O119" i="83" s="1"/>
  <c r="O112" i="83"/>
  <c r="O165" i="83" s="1"/>
  <c r="N79" i="83"/>
  <c r="E71" i="83"/>
  <c r="E60" i="83"/>
  <c r="E62" i="83" s="1"/>
  <c r="DL35" i="30"/>
  <c r="DL30" i="30"/>
  <c r="DL19" i="30"/>
  <c r="DL46" i="30"/>
  <c r="DW26" i="30"/>
  <c r="R24" i="83"/>
  <c r="DJ25" i="30"/>
  <c r="DJ47" i="30" s="1"/>
  <c r="DJ39" i="30"/>
  <c r="F176" i="83"/>
  <c r="G38" i="83"/>
  <c r="G31" i="83"/>
  <c r="G26" i="83"/>
  <c r="G40" i="83" s="1"/>
  <c r="G16" i="83"/>
  <c r="O120" i="83"/>
  <c r="G134" i="83"/>
  <c r="G153" i="83"/>
  <c r="E162" i="83"/>
  <c r="E142" i="83"/>
  <c r="E144" i="83" s="1"/>
  <c r="F175" i="83" s="1"/>
  <c r="N60" i="83"/>
  <c r="N62" i="83" s="1"/>
  <c r="N78" i="83" s="1"/>
  <c r="N71" i="83"/>
  <c r="N163" i="83" s="1"/>
  <c r="D101" i="83"/>
  <c r="D103" i="83" s="1"/>
  <c r="D119" i="83" s="1"/>
  <c r="D112" i="83"/>
  <c r="Q63" i="83"/>
  <c r="Q147" i="83"/>
  <c r="Q145" i="83" s="1"/>
  <c r="DE47" i="30"/>
  <c r="G52" i="83"/>
  <c r="G68" i="83"/>
  <c r="DS28" i="30"/>
  <c r="DS39" i="30"/>
  <c r="DS25" i="30"/>
  <c r="G109" i="83"/>
  <c r="G93" i="83"/>
  <c r="M101" i="83"/>
  <c r="M103" i="83" s="1"/>
  <c r="M119" i="83" s="1"/>
  <c r="M112" i="83"/>
  <c r="M165" i="83" s="1"/>
  <c r="DR39" i="30"/>
  <c r="DR25" i="30"/>
  <c r="DR47" i="30" s="1"/>
  <c r="F120" i="83"/>
  <c r="O60" i="83"/>
  <c r="O62" i="83" s="1"/>
  <c r="O78" i="83" s="1"/>
  <c r="O71" i="83"/>
  <c r="O163" i="83" s="1"/>
  <c r="E39" i="83"/>
  <c r="D142" i="83"/>
  <c r="D144" i="83" s="1"/>
  <c r="D175" i="83" s="1"/>
  <c r="D162" i="83"/>
  <c r="O39" i="83"/>
  <c r="F79" i="83"/>
  <c r="H153" i="83"/>
  <c r="H134" i="83"/>
  <c r="H52" i="83"/>
  <c r="H68" i="83"/>
  <c r="H109" i="83"/>
  <c r="H93" i="83"/>
  <c r="H16" i="83"/>
  <c r="H31" i="83"/>
  <c r="H38" i="83"/>
  <c r="H26" i="83"/>
  <c r="DM46" i="30"/>
  <c r="DM35" i="30"/>
  <c r="DM19" i="30"/>
  <c r="DM30" i="30"/>
  <c r="DP13" i="30"/>
  <c r="DP34" i="30"/>
  <c r="S25" i="76" s="1"/>
  <c r="AA25" i="76" s="1"/>
  <c r="DQ43" i="30"/>
  <c r="T32" i="76" s="1"/>
  <c r="AB32" i="76" s="1"/>
  <c r="DP43" i="30"/>
  <c r="S32" i="76" s="1"/>
  <c r="AA32" i="76" s="1"/>
  <c r="DP36" i="30"/>
  <c r="S4" i="76"/>
  <c r="AA4" i="76" s="1"/>
  <c r="I30" i="83"/>
  <c r="I127" i="83"/>
  <c r="I35" i="83"/>
  <c r="I45" i="83"/>
  <c r="I10" i="83"/>
  <c r="I86" i="83"/>
  <c r="J30" i="83"/>
  <c r="J45" i="83"/>
  <c r="J10" i="83"/>
  <c r="J127" i="83"/>
  <c r="J86" i="83"/>
  <c r="J35" i="83"/>
  <c r="DN43" i="30"/>
  <c r="DN13" i="30"/>
  <c r="DN34" i="30"/>
  <c r="DN36" i="30"/>
  <c r="DO34" i="30"/>
  <c r="DO43" i="30"/>
  <c r="DO13" i="30"/>
  <c r="DO36" i="30"/>
  <c r="K45" i="83"/>
  <c r="K35" i="83"/>
  <c r="K30" i="83"/>
  <c r="L35" i="83"/>
  <c r="K86" i="83"/>
  <c r="K127" i="83"/>
  <c r="K10" i="83"/>
  <c r="AA306" i="44"/>
  <c r="AS305" i="44"/>
  <c r="AC305" i="44"/>
  <c r="BD305" i="44"/>
  <c r="D310" i="44"/>
  <c r="L226" i="47" s="1"/>
  <c r="N226" i="47" s="1"/>
  <c r="F307" i="44"/>
  <c r="R256" i="44"/>
  <c r="K313" i="44"/>
  <c r="L416" i="47" s="1"/>
  <c r="N416" i="47" s="1"/>
  <c r="P416" i="47" s="1"/>
  <c r="J416" i="47" s="1"/>
  <c r="D416" i="47" s="1"/>
  <c r="Q312" i="44"/>
  <c r="AU304" i="44"/>
  <c r="BE304" i="44"/>
  <c r="AX304" i="44"/>
  <c r="AY304" i="44" s="1"/>
  <c r="AT304" i="44"/>
  <c r="BC304" i="44"/>
  <c r="W313" i="44"/>
  <c r="U314" i="44"/>
  <c r="DJ52" i="30"/>
  <c r="DT28" i="30"/>
  <c r="DM59" i="30"/>
  <c r="R268" i="44"/>
  <c r="DU27" i="30"/>
  <c r="W314" i="44" l="1"/>
  <c r="L591" i="47"/>
  <c r="N417" i="47"/>
  <c r="P417" i="47" s="1"/>
  <c r="AC416" i="47"/>
  <c r="AE416" i="47" s="1"/>
  <c r="Q237" i="45"/>
  <c r="X414" i="47"/>
  <c r="Z414" i="47" s="1"/>
  <c r="AL414" i="47"/>
  <c r="AN414" i="47" s="1"/>
  <c r="AE415" i="47"/>
  <c r="R238" i="45"/>
  <c r="T238" i="45"/>
  <c r="P226" i="47"/>
  <c r="X226" i="47"/>
  <c r="Z226" i="47" s="1"/>
  <c r="Q38" i="89"/>
  <c r="Q16" i="89"/>
  <c r="Q33" i="89"/>
  <c r="U21" i="89"/>
  <c r="U24" i="89" s="1"/>
  <c r="H40" i="83"/>
  <c r="U255" i="14"/>
  <c r="V250" i="14"/>
  <c r="U266" i="14"/>
  <c r="U253" i="14"/>
  <c r="AF142" i="14"/>
  <c r="AG137" i="14"/>
  <c r="AG139" i="14" s="1"/>
  <c r="AF153" i="14"/>
  <c r="AH99" i="14"/>
  <c r="AH101" i="14" s="1"/>
  <c r="AH102" i="14" s="1"/>
  <c r="AG104" i="14"/>
  <c r="AG115" i="14"/>
  <c r="Z315" i="14"/>
  <c r="AN479" i="47"/>
  <c r="AN587" i="47"/>
  <c r="AE591" i="47"/>
  <c r="AF141" i="14"/>
  <c r="AG103" i="14"/>
  <c r="AH178" i="14"/>
  <c r="AH179" i="14" s="1"/>
  <c r="AE480" i="47"/>
  <c r="AN480" i="47" s="1"/>
  <c r="AC481" i="47"/>
  <c r="AE481" i="47"/>
  <c r="AN481" i="47" s="1"/>
  <c r="DK47" i="30"/>
  <c r="AE141" i="14"/>
  <c r="U65" i="14"/>
  <c r="U85" i="14"/>
  <c r="U76" i="14"/>
  <c r="U63" i="14"/>
  <c r="Z306" i="14"/>
  <c r="Z310" i="14"/>
  <c r="AA289" i="14"/>
  <c r="DX26" i="30"/>
  <c r="S24" i="83"/>
  <c r="G161" i="83"/>
  <c r="G137" i="83"/>
  <c r="G150" i="83"/>
  <c r="G176" i="83" s="1"/>
  <c r="G174" i="83"/>
  <c r="DS47" i="30"/>
  <c r="Q104" i="83"/>
  <c r="Q148" i="83" s="1"/>
  <c r="Q146" i="83"/>
  <c r="E175" i="83"/>
  <c r="DL37" i="30"/>
  <c r="DL23" i="30"/>
  <c r="DL38" i="30"/>
  <c r="E78" i="83"/>
  <c r="F78" i="83"/>
  <c r="N119" i="83"/>
  <c r="DT47" i="30"/>
  <c r="G77" i="83"/>
  <c r="G55" i="83"/>
  <c r="G70" i="83"/>
  <c r="G65" i="83"/>
  <c r="G79" i="83" s="1"/>
  <c r="G21" i="83"/>
  <c r="G23" i="83" s="1"/>
  <c r="G39" i="83" s="1"/>
  <c r="G32" i="83"/>
  <c r="R63" i="83"/>
  <c r="R147" i="83"/>
  <c r="R145" i="83" s="1"/>
  <c r="DL40" i="30"/>
  <c r="DL48" i="30"/>
  <c r="E119" i="83"/>
  <c r="G118" i="83"/>
  <c r="G111" i="83"/>
  <c r="G96" i="83"/>
  <c r="G106" i="83"/>
  <c r="G120" i="83" s="1"/>
  <c r="H21" i="83"/>
  <c r="H23" i="83" s="1"/>
  <c r="H32" i="83"/>
  <c r="H55" i="83"/>
  <c r="H77" i="83"/>
  <c r="H65" i="83"/>
  <c r="H70" i="83"/>
  <c r="DM48" i="30"/>
  <c r="DM40" i="30"/>
  <c r="H118" i="83"/>
  <c r="H111" i="83"/>
  <c r="H96" i="83"/>
  <c r="H106" i="83"/>
  <c r="H120" i="83" s="1"/>
  <c r="H137" i="83"/>
  <c r="H150" i="83"/>
  <c r="H161" i="83"/>
  <c r="H174" i="83"/>
  <c r="DM37" i="30"/>
  <c r="DM23" i="30"/>
  <c r="DM38" i="30"/>
  <c r="J36" i="83"/>
  <c r="J177" i="83" s="1"/>
  <c r="J178" i="83" s="1"/>
  <c r="DO44" i="30"/>
  <c r="L177" i="83"/>
  <c r="L121" i="83"/>
  <c r="L80" i="83"/>
  <c r="L81" i="83" s="1"/>
  <c r="L179" i="83" s="1"/>
  <c r="J69" i="83"/>
  <c r="J49" i="83"/>
  <c r="J74" i="83"/>
  <c r="I69" i="83"/>
  <c r="I49" i="83"/>
  <c r="I74" i="83"/>
  <c r="K13" i="83"/>
  <c r="K29" i="83"/>
  <c r="DO33" i="30"/>
  <c r="DO16" i="30"/>
  <c r="J110" i="83"/>
  <c r="J90" i="83"/>
  <c r="J115" i="83"/>
  <c r="I177" i="83"/>
  <c r="I178" i="83" s="1"/>
  <c r="I121" i="83"/>
  <c r="I122" i="83" s="1"/>
  <c r="I80" i="83"/>
  <c r="I81" i="83" s="1"/>
  <c r="K157" i="83"/>
  <c r="K131" i="83"/>
  <c r="K168" i="83"/>
  <c r="K177" i="83"/>
  <c r="K178" i="83" s="1"/>
  <c r="K121" i="83"/>
  <c r="K122" i="83" s="1"/>
  <c r="K80" i="83"/>
  <c r="K81" i="83" s="1"/>
  <c r="DN33" i="30"/>
  <c r="DN16" i="30"/>
  <c r="J131" i="83"/>
  <c r="J168" i="83"/>
  <c r="J157" i="83"/>
  <c r="I110" i="83"/>
  <c r="I115" i="83"/>
  <c r="I90" i="83"/>
  <c r="I157" i="83"/>
  <c r="I131" i="83"/>
  <c r="I168" i="83"/>
  <c r="K90" i="83"/>
  <c r="K110" i="83"/>
  <c r="K115" i="83"/>
  <c r="L115" i="83"/>
  <c r="L108" i="83" s="1"/>
  <c r="K49" i="83"/>
  <c r="L74" i="83"/>
  <c r="K74" i="83"/>
  <c r="K69" i="83"/>
  <c r="J29" i="83"/>
  <c r="J13" i="83"/>
  <c r="I29" i="83"/>
  <c r="I13" i="83"/>
  <c r="DP33" i="30"/>
  <c r="S24" i="76" s="1"/>
  <c r="AA24" i="76" s="1"/>
  <c r="DP16" i="30"/>
  <c r="S8" i="76"/>
  <c r="AA8" i="76" s="1"/>
  <c r="K314" i="44"/>
  <c r="L417" i="47" s="1"/>
  <c r="Q313" i="44"/>
  <c r="BE305" i="44"/>
  <c r="AX305" i="44"/>
  <c r="AY305" i="44" s="1"/>
  <c r="AT305" i="44"/>
  <c r="AU305" i="44"/>
  <c r="BC305" i="44"/>
  <c r="D311" i="44"/>
  <c r="L227" i="47" s="1"/>
  <c r="N227" i="47" s="1"/>
  <c r="F310" i="44"/>
  <c r="AS306" i="44"/>
  <c r="J204" i="40" s="1"/>
  <c r="AA307" i="44"/>
  <c r="AC306" i="44"/>
  <c r="DU28" i="30"/>
  <c r="DO66" i="30"/>
  <c r="DP66" i="30"/>
  <c r="DV27" i="30"/>
  <c r="DN66" i="30"/>
  <c r="AI102" i="14" l="1"/>
  <c r="AI103" i="14" s="1"/>
  <c r="AE417" i="47"/>
  <c r="AN415" i="47"/>
  <c r="T237" i="45"/>
  <c r="R237" i="45"/>
  <c r="L204" i="40"/>
  <c r="V203" i="2"/>
  <c r="X203" i="2" s="1"/>
  <c r="Z203" i="2" s="1"/>
  <c r="P227" i="47"/>
  <c r="X227" i="47"/>
  <c r="Z227" i="47" s="1"/>
  <c r="R29" i="89"/>
  <c r="Q35" i="89"/>
  <c r="Q37" i="89"/>
  <c r="Q39" i="89" s="1"/>
  <c r="V21" i="89"/>
  <c r="V24" i="89" s="1"/>
  <c r="Q44" i="89"/>
  <c r="U64" i="14"/>
  <c r="U67" i="14"/>
  <c r="U68" i="14" s="1"/>
  <c r="AH103" i="14"/>
  <c r="AH137" i="14"/>
  <c r="AH139" i="14" s="1"/>
  <c r="AH140" i="14" s="1"/>
  <c r="AG142" i="14"/>
  <c r="AG153" i="14"/>
  <c r="AA302" i="14"/>
  <c r="AA293" i="14"/>
  <c r="AC482" i="47"/>
  <c r="AC486" i="47" s="1"/>
  <c r="Z316" i="14"/>
  <c r="Z318" i="14"/>
  <c r="AG140" i="14"/>
  <c r="J80" i="83"/>
  <c r="J81" i="83" s="1"/>
  <c r="H176" i="83"/>
  <c r="AH104" i="14"/>
  <c r="AH115" i="14"/>
  <c r="V252" i="14"/>
  <c r="V60" i="14"/>
  <c r="V62" i="14" s="1"/>
  <c r="J121" i="83"/>
  <c r="J122" i="83" s="1"/>
  <c r="H79" i="83"/>
  <c r="H39" i="83"/>
  <c r="Z307" i="14"/>
  <c r="Z327" i="14"/>
  <c r="Z328" i="14" s="1"/>
  <c r="Z313" i="14"/>
  <c r="Z312" i="14"/>
  <c r="Z311" i="14"/>
  <c r="U257" i="14"/>
  <c r="U258" i="14" s="1"/>
  <c r="U254" i="14"/>
  <c r="T24" i="83"/>
  <c r="DY26" i="30"/>
  <c r="DL25" i="30"/>
  <c r="DL47" i="30" s="1"/>
  <c r="DL39" i="30"/>
  <c r="S63" i="83"/>
  <c r="S147" i="83"/>
  <c r="S145" i="83" s="1"/>
  <c r="G101" i="83"/>
  <c r="G103" i="83" s="1"/>
  <c r="G119" i="83" s="1"/>
  <c r="G112" i="83"/>
  <c r="G142" i="83"/>
  <c r="G144" i="83" s="1"/>
  <c r="G175" i="83" s="1"/>
  <c r="G162" i="83"/>
  <c r="R104" i="83"/>
  <c r="R148" i="83" s="1"/>
  <c r="R146" i="83"/>
  <c r="G60" i="83"/>
  <c r="G62" i="83" s="1"/>
  <c r="G78" i="83" s="1"/>
  <c r="G71" i="83"/>
  <c r="H112" i="83"/>
  <c r="H101" i="83"/>
  <c r="H103" i="83" s="1"/>
  <c r="H60" i="83"/>
  <c r="H62" i="83" s="1"/>
  <c r="H78" i="83" s="1"/>
  <c r="H71" i="83"/>
  <c r="DM39" i="30"/>
  <c r="DM25" i="30"/>
  <c r="DM47" i="30" s="1"/>
  <c r="H142" i="83"/>
  <c r="H144" i="83" s="1"/>
  <c r="H175" i="83" s="1"/>
  <c r="H162" i="83"/>
  <c r="J116" i="83"/>
  <c r="J75" i="83"/>
  <c r="J169" i="83" s="1"/>
  <c r="BH66" i="30"/>
  <c r="BG66" i="30"/>
  <c r="BF66" i="30"/>
  <c r="BI66" i="30"/>
  <c r="I134" i="83"/>
  <c r="I153" i="83"/>
  <c r="DN19" i="30"/>
  <c r="DN46" i="30"/>
  <c r="DN35" i="30"/>
  <c r="DN30" i="30"/>
  <c r="J109" i="83"/>
  <c r="J93" i="83"/>
  <c r="J68" i="83"/>
  <c r="J52" i="83"/>
  <c r="BM66" i="30"/>
  <c r="BL66" i="30"/>
  <c r="BK66" i="30"/>
  <c r="BN66" i="30"/>
  <c r="DP30" i="30"/>
  <c r="DP19" i="30"/>
  <c r="DP46" i="30"/>
  <c r="S35" i="76" s="1"/>
  <c r="AA35" i="76" s="1"/>
  <c r="DP35" i="30"/>
  <c r="S26" i="76" s="1"/>
  <c r="AA26" i="76" s="1"/>
  <c r="S11" i="76"/>
  <c r="AA11" i="76" s="1"/>
  <c r="DQ46" i="30"/>
  <c r="T35" i="76" s="1"/>
  <c r="AB35" i="76" s="1"/>
  <c r="J16" i="83"/>
  <c r="J26" i="83"/>
  <c r="J31" i="83"/>
  <c r="J38" i="83"/>
  <c r="K16" i="83"/>
  <c r="K38" i="83"/>
  <c r="L38" i="83"/>
  <c r="K26" i="83"/>
  <c r="K31" i="83"/>
  <c r="I52" i="83"/>
  <c r="I68" i="83"/>
  <c r="BR66" i="30"/>
  <c r="BQ66" i="30"/>
  <c r="BP66" i="30"/>
  <c r="BS66" i="30"/>
  <c r="K52" i="83"/>
  <c r="K68" i="83"/>
  <c r="K109" i="83"/>
  <c r="K93" i="83"/>
  <c r="I93" i="83"/>
  <c r="I109" i="83"/>
  <c r="K153" i="83"/>
  <c r="K134" i="83"/>
  <c r="DO19" i="30"/>
  <c r="DO46" i="30"/>
  <c r="DO35" i="30"/>
  <c r="DO30" i="30"/>
  <c r="L122" i="83"/>
  <c r="L181" i="83" s="1"/>
  <c r="L180" i="83"/>
  <c r="L178" i="83" s="1"/>
  <c r="L168" i="83" s="1"/>
  <c r="L127" i="83" s="1"/>
  <c r="I31" i="83"/>
  <c r="I38" i="83"/>
  <c r="I16" i="83"/>
  <c r="I26" i="83"/>
  <c r="I40" i="83" s="1"/>
  <c r="J153" i="83"/>
  <c r="J134" i="83"/>
  <c r="BE306" i="44"/>
  <c r="AT306" i="44"/>
  <c r="AX306" i="44"/>
  <c r="AY306" i="44" s="1"/>
  <c r="AU306" i="44"/>
  <c r="BC306" i="44"/>
  <c r="BD306" i="44"/>
  <c r="R269" i="44"/>
  <c r="AC307" i="44"/>
  <c r="AA310" i="44"/>
  <c r="AS307" i="44"/>
  <c r="BD307" i="44" s="1"/>
  <c r="F311" i="44"/>
  <c r="D312" i="44"/>
  <c r="L228" i="47" s="1"/>
  <c r="N228" i="47" s="1"/>
  <c r="Q314" i="44"/>
  <c r="DZ26" i="30"/>
  <c r="DW27" i="30"/>
  <c r="R270" i="44"/>
  <c r="CC54" i="30"/>
  <c r="X228" i="47" l="1"/>
  <c r="Z228" i="47" s="1"/>
  <c r="P228" i="47"/>
  <c r="N204" i="40"/>
  <c r="L205" i="40"/>
  <c r="N205" i="40" s="1"/>
  <c r="W21" i="89"/>
  <c r="W24" i="89" s="1"/>
  <c r="R30" i="89"/>
  <c r="R15" i="89" s="1"/>
  <c r="AC487" i="47"/>
  <c r="AE487" i="47" s="1"/>
  <c r="AN487" i="47" s="1"/>
  <c r="AE486" i="47"/>
  <c r="H119" i="83"/>
  <c r="V85" i="14"/>
  <c r="V76" i="14"/>
  <c r="W60" i="14"/>
  <c r="W62" i="14" s="1"/>
  <c r="V65" i="14"/>
  <c r="V63" i="14"/>
  <c r="AG141" i="14"/>
  <c r="AE482" i="47"/>
  <c r="V255" i="14"/>
  <c r="W250" i="14"/>
  <c r="W252" i="14" s="1"/>
  <c r="V266" i="14"/>
  <c r="V253" i="14"/>
  <c r="AH142" i="14"/>
  <c r="AH153" i="14"/>
  <c r="AB289" i="14"/>
  <c r="AA306" i="14"/>
  <c r="AH141" i="14"/>
  <c r="DV28" i="30"/>
  <c r="S146" i="83"/>
  <c r="S104" i="83"/>
  <c r="S148" i="83" s="1"/>
  <c r="T147" i="83"/>
  <c r="T145" i="83" s="1"/>
  <c r="T63" i="83"/>
  <c r="I32" i="83"/>
  <c r="I21" i="83"/>
  <c r="I23" i="83" s="1"/>
  <c r="I39" i="83" s="1"/>
  <c r="DO23" i="30"/>
  <c r="DO38" i="30"/>
  <c r="DO37" i="30"/>
  <c r="I118" i="83"/>
  <c r="I106" i="83"/>
  <c r="I120" i="83" s="1"/>
  <c r="I111" i="83"/>
  <c r="I96" i="83"/>
  <c r="K65" i="83"/>
  <c r="K70" i="83"/>
  <c r="K55" i="83"/>
  <c r="L77" i="83"/>
  <c r="K40" i="83"/>
  <c r="L40" i="83"/>
  <c r="DP38" i="30"/>
  <c r="S28" i="76" s="1"/>
  <c r="AA28" i="76" s="1"/>
  <c r="DP37" i="30"/>
  <c r="S27" i="76" s="1"/>
  <c r="AA27" i="76" s="1"/>
  <c r="DP23" i="30"/>
  <c r="S14" i="76"/>
  <c r="AA14" i="76" s="1"/>
  <c r="J106" i="83"/>
  <c r="J118" i="83"/>
  <c r="J111" i="83"/>
  <c r="J96" i="83"/>
  <c r="J161" i="83"/>
  <c r="J137" i="83"/>
  <c r="J150" i="83"/>
  <c r="J174" i="83"/>
  <c r="DO48" i="30"/>
  <c r="DO40" i="30"/>
  <c r="K137" i="83"/>
  <c r="K150" i="83"/>
  <c r="K174" i="83"/>
  <c r="K161" i="83"/>
  <c r="L118" i="83"/>
  <c r="K111" i="83"/>
  <c r="K106" i="83"/>
  <c r="K118" i="83"/>
  <c r="K96" i="83"/>
  <c r="DP40" i="30"/>
  <c r="DQ48" i="30"/>
  <c r="DP48" i="30"/>
  <c r="DN37" i="30"/>
  <c r="DN23" i="30"/>
  <c r="DN38" i="30"/>
  <c r="I77" i="83"/>
  <c r="I70" i="83"/>
  <c r="I55" i="83"/>
  <c r="I65" i="83"/>
  <c r="I79" i="83" s="1"/>
  <c r="J40" i="83"/>
  <c r="K77" i="83"/>
  <c r="J70" i="83"/>
  <c r="J77" i="83"/>
  <c r="J65" i="83"/>
  <c r="J55" i="83"/>
  <c r="DN48" i="30"/>
  <c r="DN40" i="30"/>
  <c r="L132" i="83"/>
  <c r="L173" i="83" s="1"/>
  <c r="M127" i="83"/>
  <c r="L131" i="83"/>
  <c r="K32" i="83"/>
  <c r="K21" i="83"/>
  <c r="K23" i="83" s="1"/>
  <c r="J21" i="83"/>
  <c r="J23" i="83" s="1"/>
  <c r="J39" i="83" s="1"/>
  <c r="J32" i="83"/>
  <c r="I137" i="83"/>
  <c r="I150" i="83"/>
  <c r="I176" i="83" s="1"/>
  <c r="I174" i="83"/>
  <c r="I161" i="83"/>
  <c r="D313" i="44"/>
  <c r="L229" i="47" s="1"/>
  <c r="N229" i="47" s="1"/>
  <c r="F312" i="44"/>
  <c r="AU307" i="44"/>
  <c r="BE307" i="44"/>
  <c r="AT307" i="44"/>
  <c r="AX307" i="44"/>
  <c r="AY307" i="44" s="1"/>
  <c r="BC307" i="44"/>
  <c r="AA311" i="44"/>
  <c r="L508" i="47" s="1"/>
  <c r="N508" i="47" s="1"/>
  <c r="AC310" i="44"/>
  <c r="AS310" i="44"/>
  <c r="DN59" i="30"/>
  <c r="DW28" i="30"/>
  <c r="R271" i="44"/>
  <c r="R272" i="44" s="1"/>
  <c r="DX27" i="30"/>
  <c r="X59" i="8"/>
  <c r="X60" i="8" s="1"/>
  <c r="P508" i="47" l="1"/>
  <c r="J508" i="47" s="1"/>
  <c r="D508" i="47" s="1"/>
  <c r="V508" i="47" s="1"/>
  <c r="P229" i="47"/>
  <c r="N230" i="47"/>
  <c r="BD310" i="44"/>
  <c r="J208" i="40"/>
  <c r="R33" i="89"/>
  <c r="R44" i="89" s="1"/>
  <c r="R38" i="89"/>
  <c r="R16" i="89"/>
  <c r="K176" i="83"/>
  <c r="AA307" i="14"/>
  <c r="AA327" i="14"/>
  <c r="AA328" i="14" s="1"/>
  <c r="AA313" i="14"/>
  <c r="AA312" i="14"/>
  <c r="AA311" i="14"/>
  <c r="X250" i="14"/>
  <c r="X252" i="14" s="1"/>
  <c r="W255" i="14"/>
  <c r="W266" i="14"/>
  <c r="X60" i="14"/>
  <c r="X62" i="14" s="1"/>
  <c r="W65" i="14"/>
  <c r="W76" i="14"/>
  <c r="W85" i="14"/>
  <c r="AB302" i="14"/>
  <c r="AB293" i="14"/>
  <c r="AA315" i="14"/>
  <c r="W63" i="14"/>
  <c r="J120" i="83"/>
  <c r="AA310" i="14"/>
  <c r="V257" i="14"/>
  <c r="V258" i="14" s="1"/>
  <c r="V254" i="14"/>
  <c r="W253" i="14"/>
  <c r="V64" i="14"/>
  <c r="V89" i="14" s="1"/>
  <c r="V67" i="14"/>
  <c r="V68" i="14" s="1"/>
  <c r="AN486" i="47"/>
  <c r="AN482" i="47"/>
  <c r="AE483" i="47"/>
  <c r="AN483" i="47" s="1"/>
  <c r="AC488" i="47"/>
  <c r="AE488" i="47"/>
  <c r="AN488" i="47" s="1"/>
  <c r="T146" i="83"/>
  <c r="T104" i="83"/>
  <c r="T148" i="83" s="1"/>
  <c r="L134" i="83"/>
  <c r="L137" i="83" s="1"/>
  <c r="L161" i="83"/>
  <c r="L120" i="83"/>
  <c r="K120" i="83"/>
  <c r="K60" i="83"/>
  <c r="K62" i="83" s="1"/>
  <c r="K71" i="83"/>
  <c r="M132" i="83"/>
  <c r="M173" i="83" s="1"/>
  <c r="M131" i="83"/>
  <c r="M129" i="83" s="1"/>
  <c r="N127" i="83"/>
  <c r="I60" i="83"/>
  <c r="I62" i="83" s="1"/>
  <c r="I78" i="83" s="1"/>
  <c r="I71" i="83"/>
  <c r="DN39" i="30"/>
  <c r="DN25" i="30"/>
  <c r="DN47" i="30" s="1"/>
  <c r="J101" i="83"/>
  <c r="J103" i="83" s="1"/>
  <c r="J112" i="83"/>
  <c r="DO39" i="30"/>
  <c r="DO25" i="30"/>
  <c r="DO47" i="30" s="1"/>
  <c r="L39" i="83"/>
  <c r="K39" i="83"/>
  <c r="J71" i="83"/>
  <c r="J60" i="83"/>
  <c r="J62" i="83" s="1"/>
  <c r="K112" i="83"/>
  <c r="K101" i="83"/>
  <c r="K103" i="83" s="1"/>
  <c r="K142" i="83"/>
  <c r="K144" i="83" s="1"/>
  <c r="K162" i="83"/>
  <c r="J176" i="83"/>
  <c r="DP25" i="30"/>
  <c r="S18" i="76"/>
  <c r="AA18" i="76" s="1"/>
  <c r="DP39" i="30"/>
  <c r="S29" i="76" s="1"/>
  <c r="AA29" i="76" s="1"/>
  <c r="K79" i="83"/>
  <c r="L79" i="83"/>
  <c r="I162" i="83"/>
  <c r="I142" i="83"/>
  <c r="I144" i="83" s="1"/>
  <c r="I175" i="83" s="1"/>
  <c r="L129" i="83"/>
  <c r="J79" i="83"/>
  <c r="J162" i="83"/>
  <c r="J142" i="83"/>
  <c r="J144" i="83" s="1"/>
  <c r="J175" i="83" s="1"/>
  <c r="I101" i="83"/>
  <c r="I103" i="83" s="1"/>
  <c r="I119" i="83" s="1"/>
  <c r="I112" i="83"/>
  <c r="AX310" i="44"/>
  <c r="AY310" i="44" s="1"/>
  <c r="AU310" i="44"/>
  <c r="BE310" i="44"/>
  <c r="AT310" i="44"/>
  <c r="BC310" i="44"/>
  <c r="AA312" i="44"/>
  <c r="L509" i="47" s="1"/>
  <c r="N509" i="47" s="1"/>
  <c r="P509" i="47" s="1"/>
  <c r="J509" i="47" s="1"/>
  <c r="D509" i="47" s="1"/>
  <c r="V509" i="47" s="1"/>
  <c r="AS311" i="44"/>
  <c r="J209" i="40" s="1"/>
  <c r="AC311" i="44"/>
  <c r="D314" i="44"/>
  <c r="L230" i="47" s="1"/>
  <c r="F313" i="44"/>
  <c r="DO51" i="30"/>
  <c r="DO65" i="30" s="1"/>
  <c r="DO59" i="30"/>
  <c r="DP51" i="30"/>
  <c r="DP65" i="30" s="1"/>
  <c r="DY27" i="30"/>
  <c r="AG238" i="45" l="1"/>
  <c r="X509" i="47"/>
  <c r="Z509" i="47" s="1"/>
  <c r="AL509" i="47"/>
  <c r="AG237" i="45"/>
  <c r="X508" i="47"/>
  <c r="Z508" i="47" s="1"/>
  <c r="AL508" i="47"/>
  <c r="L208" i="40"/>
  <c r="V207" i="2"/>
  <c r="P230" i="47"/>
  <c r="L209" i="40"/>
  <c r="N209" i="40" s="1"/>
  <c r="V208" i="2"/>
  <c r="R35" i="89"/>
  <c r="S29" i="89"/>
  <c r="R37" i="89"/>
  <c r="R39" i="89" s="1"/>
  <c r="S30" i="89"/>
  <c r="AB315" i="14"/>
  <c r="W254" i="14"/>
  <c r="W257" i="14"/>
  <c r="W258" i="14" s="1"/>
  <c r="AB310" i="14"/>
  <c r="AB306" i="14"/>
  <c r="AC289" i="14"/>
  <c r="Y60" i="14"/>
  <c r="Y62" i="14" s="1"/>
  <c r="Y63" i="14" s="1"/>
  <c r="X65" i="14"/>
  <c r="X266" i="14"/>
  <c r="X255" i="14"/>
  <c r="Y250" i="14"/>
  <c r="Y252" i="14" s="1"/>
  <c r="Y253" i="14" s="1"/>
  <c r="AC489" i="47"/>
  <c r="AC493" i="47" s="1"/>
  <c r="W64" i="14"/>
  <c r="W89" i="14" s="1"/>
  <c r="W67" i="14"/>
  <c r="W68" i="14" s="1"/>
  <c r="X63" i="14"/>
  <c r="X253" i="14"/>
  <c r="AA318" i="14"/>
  <c r="AA316" i="14"/>
  <c r="DX28" i="30"/>
  <c r="L150" i="83"/>
  <c r="L176" i="83" s="1"/>
  <c r="L174" i="83"/>
  <c r="M134" i="83"/>
  <c r="M137" i="83" s="1"/>
  <c r="M139" i="83" s="1"/>
  <c r="M142" i="83" s="1"/>
  <c r="M144" i="83" s="1"/>
  <c r="J78" i="83"/>
  <c r="N131" i="83"/>
  <c r="N129" i="83" s="1"/>
  <c r="O127" i="83"/>
  <c r="N132" i="83"/>
  <c r="N173" i="83" s="1"/>
  <c r="K175" i="83"/>
  <c r="K78" i="83"/>
  <c r="L78" i="83"/>
  <c r="L139" i="83"/>
  <c r="L142" i="83" s="1"/>
  <c r="L144" i="83" s="1"/>
  <c r="L175" i="83" s="1"/>
  <c r="S20" i="76"/>
  <c r="AA20" i="76" s="1"/>
  <c r="DQ47" i="30"/>
  <c r="T36" i="76" s="1"/>
  <c r="AB36" i="76" s="1"/>
  <c r="DP47" i="30"/>
  <c r="S36" i="76" s="1"/>
  <c r="AA36" i="76" s="1"/>
  <c r="L119" i="83"/>
  <c r="K119" i="83"/>
  <c r="J119" i="83"/>
  <c r="AX311" i="44"/>
  <c r="AY311" i="44" s="1"/>
  <c r="AU311" i="44"/>
  <c r="BE311" i="44"/>
  <c r="AT311" i="44"/>
  <c r="BC311" i="44"/>
  <c r="F314" i="44"/>
  <c r="AS312" i="44"/>
  <c r="J210" i="40" s="1"/>
  <c r="AC312" i="44"/>
  <c r="AA313" i="44"/>
  <c r="L510" i="47" s="1"/>
  <c r="N510" i="47" s="1"/>
  <c r="P510" i="47" s="1"/>
  <c r="J510" i="47" s="1"/>
  <c r="D510" i="47" s="1"/>
  <c r="BQ65" i="30"/>
  <c r="BP65" i="30"/>
  <c r="BS65" i="30"/>
  <c r="BR65" i="30"/>
  <c r="BL65" i="30"/>
  <c r="BK65" i="30"/>
  <c r="BN65" i="30"/>
  <c r="BM65" i="30"/>
  <c r="BD311" i="44"/>
  <c r="DQ51" i="30"/>
  <c r="DQ65" i="30" s="1"/>
  <c r="DZ27" i="30"/>
  <c r="DY28" i="30"/>
  <c r="AJ237" i="45" l="1"/>
  <c r="AH237" i="45"/>
  <c r="AW237" i="45"/>
  <c r="DN11" i="36"/>
  <c r="F209" i="40"/>
  <c r="DP11" i="36" s="1"/>
  <c r="N511" i="47"/>
  <c r="P511" i="47" s="1"/>
  <c r="AH238" i="45"/>
  <c r="AJ238" i="45"/>
  <c r="BF238" i="45" s="1"/>
  <c r="F210" i="40"/>
  <c r="DP12" i="36" s="1"/>
  <c r="DN12" i="36"/>
  <c r="AW238" i="45"/>
  <c r="BT238" i="45" s="1"/>
  <c r="V209" i="2"/>
  <c r="L210" i="40"/>
  <c r="N210" i="40" s="1"/>
  <c r="N208" i="40"/>
  <c r="S15" i="89"/>
  <c r="S33" i="89"/>
  <c r="S44" i="89" s="1"/>
  <c r="M161" i="83"/>
  <c r="Y64" i="14"/>
  <c r="Y89" i="14" s="1"/>
  <c r="Y67" i="14"/>
  <c r="Y68" i="14" s="1"/>
  <c r="Y257" i="14"/>
  <c r="Y258" i="14" s="1"/>
  <c r="Y254" i="14"/>
  <c r="X254" i="14"/>
  <c r="X257" i="14"/>
  <c r="X258" i="14" s="1"/>
  <c r="AE489" i="47"/>
  <c r="X64" i="14"/>
  <c r="X89" i="14" s="1"/>
  <c r="X67" i="14"/>
  <c r="X68" i="14" s="1"/>
  <c r="AE493" i="47"/>
  <c r="AC494" i="47"/>
  <c r="AE494" i="47" s="1"/>
  <c r="AN494" i="47" s="1"/>
  <c r="AC302" i="14"/>
  <c r="AC293" i="14"/>
  <c r="AB307" i="14"/>
  <c r="AB327" i="14"/>
  <c r="AB328" i="14" s="1"/>
  <c r="AB313" i="14"/>
  <c r="AB312" i="14"/>
  <c r="AB311" i="14"/>
  <c r="Y255" i="14"/>
  <c r="Z250" i="14"/>
  <c r="Z252" i="14" s="1"/>
  <c r="Z253" i="14"/>
  <c r="Y266" i="14"/>
  <c r="Y65" i="14"/>
  <c r="Z60" i="14"/>
  <c r="Z62" i="14" s="1"/>
  <c r="AB318" i="14"/>
  <c r="AB316" i="14"/>
  <c r="M150" i="83"/>
  <c r="M176" i="83" s="1"/>
  <c r="M174" i="83"/>
  <c r="O132" i="83"/>
  <c r="O173" i="83" s="1"/>
  <c r="O131" i="83"/>
  <c r="O129" i="83" s="1"/>
  <c r="N134" i="83"/>
  <c r="M175" i="83"/>
  <c r="R275" i="44"/>
  <c r="BV65" i="30"/>
  <c r="BU65" i="30"/>
  <c r="BX65" i="30"/>
  <c r="BW65" i="30"/>
  <c r="BE312" i="44"/>
  <c r="AX312" i="44"/>
  <c r="AY312" i="44" s="1"/>
  <c r="AT312" i="44"/>
  <c r="AU312" i="44"/>
  <c r="BC312" i="44"/>
  <c r="BD312" i="44"/>
  <c r="AA314" i="44"/>
  <c r="L511" i="47" s="1"/>
  <c r="AS313" i="44"/>
  <c r="J211" i="40" s="1"/>
  <c r="AC313" i="44"/>
  <c r="DZ28" i="30"/>
  <c r="DR51" i="30"/>
  <c r="DR65" i="30" s="1"/>
  <c r="R276" i="44"/>
  <c r="BP237" i="45" l="1"/>
  <c r="BO237" i="45"/>
  <c r="BR237" i="45"/>
  <c r="BQ237" i="45"/>
  <c r="BU237" i="45" s="1"/>
  <c r="BA209" i="40"/>
  <c r="BC209" i="40"/>
  <c r="BW237" i="45"/>
  <c r="BB209" i="40"/>
  <c r="BD210" i="40"/>
  <c r="BD209" i="40"/>
  <c r="BT237" i="45"/>
  <c r="DW12" i="36"/>
  <c r="DZ12" i="36"/>
  <c r="BO238" i="45"/>
  <c r="BW238" i="45"/>
  <c r="BP238" i="45"/>
  <c r="BB210" i="40"/>
  <c r="BA210" i="40"/>
  <c r="BC210" i="40"/>
  <c r="BQ238" i="45"/>
  <c r="BU238" i="45" s="1"/>
  <c r="BR238" i="45"/>
  <c r="DW11" i="36"/>
  <c r="DZ11" i="36"/>
  <c r="DO60" i="36"/>
  <c r="DN32" i="36"/>
  <c r="D209" i="2"/>
  <c r="L209" i="2" s="1"/>
  <c r="DN22" i="36"/>
  <c r="F209" i="2" s="1"/>
  <c r="DO12" i="36"/>
  <c r="DO11" i="36"/>
  <c r="DN21" i="36"/>
  <c r="DN15" i="36"/>
  <c r="DN16" i="36"/>
  <c r="DN31" i="36"/>
  <c r="DU31" i="36" s="1"/>
  <c r="DO59" i="36"/>
  <c r="D208" i="2"/>
  <c r="L208" i="2" s="1"/>
  <c r="L211" i="40"/>
  <c r="V210" i="2"/>
  <c r="BD313" i="44"/>
  <c r="S38" i="89"/>
  <c r="S16" i="89"/>
  <c r="T29" i="89"/>
  <c r="S37" i="89"/>
  <c r="S39" i="89" s="1"/>
  <c r="S35" i="89"/>
  <c r="AC495" i="47"/>
  <c r="AN489" i="47"/>
  <c r="AE490" i="47"/>
  <c r="AN490" i="47" s="1"/>
  <c r="AA63" i="14"/>
  <c r="AA60" i="14"/>
  <c r="AA62" i="14" s="1"/>
  <c r="Z65" i="14"/>
  <c r="Z257" i="14"/>
  <c r="Z258" i="14" s="1"/>
  <c r="Z254" i="14"/>
  <c r="AN493" i="47"/>
  <c r="Z63" i="14"/>
  <c r="Z255" i="14"/>
  <c r="AA250" i="14"/>
  <c r="AA252" i="14" s="1"/>
  <c r="Z266" i="14"/>
  <c r="AC306" i="14"/>
  <c r="AD289" i="14"/>
  <c r="N150" i="83"/>
  <c r="N176" i="83" s="1"/>
  <c r="N161" i="83"/>
  <c r="N174" i="83"/>
  <c r="N137" i="83"/>
  <c r="O134" i="83"/>
  <c r="CA65" i="30"/>
  <c r="BZ65" i="30"/>
  <c r="CC65" i="30"/>
  <c r="CB65" i="30"/>
  <c r="AX313" i="44"/>
  <c r="AY313" i="44" s="1"/>
  <c r="AU313" i="44"/>
  <c r="BE313" i="44"/>
  <c r="AT313" i="44"/>
  <c r="BC313" i="44"/>
  <c r="AC314" i="44"/>
  <c r="AS314" i="44"/>
  <c r="BD314" i="44" s="1"/>
  <c r="DS51" i="30"/>
  <c r="DS65" i="30" s="1"/>
  <c r="DP32" i="36" l="1"/>
  <c r="DU32" i="36"/>
  <c r="DO16" i="36"/>
  <c r="DO64" i="36"/>
  <c r="DO63" i="36"/>
  <c r="DP15" i="36"/>
  <c r="DP16" i="36" s="1"/>
  <c r="DO15" i="36"/>
  <c r="DP31" i="36"/>
  <c r="DN36" i="36"/>
  <c r="DN35" i="36"/>
  <c r="DN49" i="36"/>
  <c r="DN26" i="36"/>
  <c r="DO26" i="36" s="1"/>
  <c r="F208" i="2"/>
  <c r="DN25" i="36"/>
  <c r="DO25" i="36" s="1"/>
  <c r="BK210" i="40"/>
  <c r="BL210" i="40" s="1"/>
  <c r="DN50" i="36"/>
  <c r="BK209" i="40"/>
  <c r="BL209" i="40" s="1"/>
  <c r="N211" i="40"/>
  <c r="L212" i="40"/>
  <c r="N212" i="40" s="1"/>
  <c r="T30" i="89"/>
  <c r="T15" i="89" s="1"/>
  <c r="Z64" i="14"/>
  <c r="Z89" i="14" s="1"/>
  <c r="Z67" i="14"/>
  <c r="Z68" i="14" s="1"/>
  <c r="AA64" i="14"/>
  <c r="AA89" i="14" s="1"/>
  <c r="AA67" i="14"/>
  <c r="AA68" i="14" s="1"/>
  <c r="AC496" i="47"/>
  <c r="AC500" i="47" s="1"/>
  <c r="AD302" i="14"/>
  <c r="AD293" i="14"/>
  <c r="AA255" i="14"/>
  <c r="AB250" i="14"/>
  <c r="AB252" i="14" s="1"/>
  <c r="AA266" i="14"/>
  <c r="AC307" i="14"/>
  <c r="AC327" i="14"/>
  <c r="AC328" i="14" s="1"/>
  <c r="AC313" i="14"/>
  <c r="AC312" i="14"/>
  <c r="AC311" i="14"/>
  <c r="AC310" i="14"/>
  <c r="AA253" i="14"/>
  <c r="AC315" i="14"/>
  <c r="AB60" i="14"/>
  <c r="AB62" i="14" s="1"/>
  <c r="AA65" i="14"/>
  <c r="AE495" i="47"/>
  <c r="N139" i="83"/>
  <c r="N142" i="83"/>
  <c r="N144" i="83" s="1"/>
  <c r="N175" i="83" s="1"/>
  <c r="O174" i="83"/>
  <c r="O161" i="83"/>
  <c r="O137" i="83"/>
  <c r="O150" i="83"/>
  <c r="O176" i="83" s="1"/>
  <c r="R277" i="44"/>
  <c r="CL65" i="30"/>
  <c r="CF65" i="30"/>
  <c r="CR65" i="30"/>
  <c r="CG65" i="30"/>
  <c r="CM65" i="30"/>
  <c r="CP65" i="30"/>
  <c r="CJ65" i="30"/>
  <c r="CH65" i="30"/>
  <c r="CQ65" i="30"/>
  <c r="CK65" i="30"/>
  <c r="CE65" i="30"/>
  <c r="CO65" i="30"/>
  <c r="AX314" i="44"/>
  <c r="AY314" i="44" s="1"/>
  <c r="AU314" i="44"/>
  <c r="BE314" i="44"/>
  <c r="AT314" i="44"/>
  <c r="BC314" i="44"/>
  <c r="DT51" i="30"/>
  <c r="DT65" i="30" s="1"/>
  <c r="CZ51" i="30"/>
  <c r="CZ65" i="30" s="1"/>
  <c r="DN79" i="36" l="1"/>
  <c r="DO49" i="36"/>
  <c r="DP49" i="36"/>
  <c r="DN53" i="36"/>
  <c r="DN54" i="36"/>
  <c r="DO35" i="36"/>
  <c r="DP35" i="36"/>
  <c r="DP36" i="36"/>
  <c r="DO36" i="36"/>
  <c r="DP50" i="36"/>
  <c r="DO50" i="36"/>
  <c r="DN80" i="36"/>
  <c r="T33" i="89"/>
  <c r="T38" i="89"/>
  <c r="T16" i="89"/>
  <c r="AN495" i="47"/>
  <c r="AC316" i="14"/>
  <c r="AC318" i="14"/>
  <c r="AA257" i="14"/>
  <c r="AA258" i="14" s="1"/>
  <c r="AA254" i="14"/>
  <c r="AC253" i="14"/>
  <c r="AC250" i="14"/>
  <c r="AC252" i="14" s="1"/>
  <c r="AB266" i="14"/>
  <c r="AB255" i="14"/>
  <c r="AD310" i="14"/>
  <c r="AD306" i="14"/>
  <c r="AE289" i="14"/>
  <c r="AC60" i="14"/>
  <c r="AC62" i="14" s="1"/>
  <c r="AB65" i="14"/>
  <c r="AE500" i="47"/>
  <c r="AC501" i="47"/>
  <c r="AB63" i="14"/>
  <c r="AB253" i="14"/>
  <c r="AE496" i="47"/>
  <c r="AN496" i="47" s="1"/>
  <c r="O139" i="83"/>
  <c r="O142" i="83" s="1"/>
  <c r="O144" i="83" s="1"/>
  <c r="O175" i="83" s="1"/>
  <c r="R278" i="44"/>
  <c r="R279" i="44" s="1"/>
  <c r="DU51" i="30"/>
  <c r="DU65" i="30" s="1"/>
  <c r="CZ59" i="30"/>
  <c r="DP79" i="36" l="1"/>
  <c r="DN99" i="36"/>
  <c r="DN109" i="36" s="1"/>
  <c r="DO79" i="36"/>
  <c r="DN84" i="36"/>
  <c r="DN83" i="36"/>
  <c r="DO54" i="36"/>
  <c r="DP54" i="36"/>
  <c r="DN100" i="36"/>
  <c r="DN110" i="36" s="1"/>
  <c r="DP80" i="36"/>
  <c r="DO80" i="36"/>
  <c r="DO53" i="36"/>
  <c r="DP53" i="36"/>
  <c r="U29" i="89"/>
  <c r="T37" i="89"/>
  <c r="T39" i="89" s="1"/>
  <c r="T35" i="89"/>
  <c r="T44" i="89"/>
  <c r="AC502" i="47"/>
  <c r="AC65" i="14"/>
  <c r="AD60" i="14"/>
  <c r="AD62" i="14" s="1"/>
  <c r="AD63" i="14" s="1"/>
  <c r="AC257" i="14"/>
  <c r="AC254" i="14"/>
  <c r="AE501" i="47"/>
  <c r="AN501" i="47" s="1"/>
  <c r="AC63" i="14"/>
  <c r="AB254" i="14"/>
  <c r="AB257" i="14"/>
  <c r="AB258" i="14" s="1"/>
  <c r="AN500" i="47"/>
  <c r="AE302" i="14"/>
  <c r="AE293" i="14"/>
  <c r="AE497" i="47"/>
  <c r="AN497" i="47" s="1"/>
  <c r="AB64" i="14"/>
  <c r="AB89" i="14" s="1"/>
  <c r="AB67" i="14"/>
  <c r="AB68" i="14" s="1"/>
  <c r="AD307" i="14"/>
  <c r="AD327" i="14"/>
  <c r="AD328" i="14" s="1"/>
  <c r="AD313" i="14"/>
  <c r="AD312" i="14"/>
  <c r="AD311" i="14"/>
  <c r="AC255" i="14"/>
  <c r="AD250" i="14"/>
  <c r="AD252" i="14" s="1"/>
  <c r="AD253" i="14" s="1"/>
  <c r="AC266" i="14"/>
  <c r="AD315" i="14"/>
  <c r="DV51" i="30"/>
  <c r="DV65" i="30" s="1"/>
  <c r="DA51" i="30"/>
  <c r="DA65" i="30" s="1"/>
  <c r="R282" i="44"/>
  <c r="DN149" i="36" l="1"/>
  <c r="DN113" i="36"/>
  <c r="DO113" i="36" s="1"/>
  <c r="DO109" i="36"/>
  <c r="DN139" i="36"/>
  <c r="DN129" i="36"/>
  <c r="DN114" i="36"/>
  <c r="DO114" i="36" s="1"/>
  <c r="DN140" i="36"/>
  <c r="DO140" i="36" s="1"/>
  <c r="DN150" i="36"/>
  <c r="DN130" i="36"/>
  <c r="DO110" i="36"/>
  <c r="DO83" i="36"/>
  <c r="DP83" i="36"/>
  <c r="DP84" i="36"/>
  <c r="DO84" i="36"/>
  <c r="DN104" i="36"/>
  <c r="DO104" i="36" s="1"/>
  <c r="DN103" i="36"/>
  <c r="DO103" i="36" s="1"/>
  <c r="U30" i="89"/>
  <c r="U15" i="89" s="1"/>
  <c r="AD64" i="14"/>
  <c r="AD254" i="14"/>
  <c r="AD257" i="14"/>
  <c r="AD258" i="14" s="1"/>
  <c r="AC64" i="14"/>
  <c r="AD316" i="14"/>
  <c r="AD318" i="14"/>
  <c r="AC503" i="47"/>
  <c r="AC507" i="47" s="1"/>
  <c r="AD266" i="14"/>
  <c r="AD255" i="14"/>
  <c r="AE250" i="14"/>
  <c r="AE252" i="14" s="1"/>
  <c r="AE253" i="14" s="1"/>
  <c r="AE60" i="14"/>
  <c r="AE62" i="14" s="1"/>
  <c r="AD65" i="14"/>
  <c r="AF289" i="14"/>
  <c r="AE306" i="14"/>
  <c r="AC258" i="14"/>
  <c r="AE502" i="47"/>
  <c r="DW51" i="30"/>
  <c r="DW65" i="30" s="1"/>
  <c r="DA59" i="30"/>
  <c r="DN159" i="36" l="1"/>
  <c r="DO149" i="36"/>
  <c r="DN154" i="36"/>
  <c r="DO154" i="36" s="1"/>
  <c r="DN153" i="36"/>
  <c r="DO153" i="36" s="1"/>
  <c r="DO150" i="36"/>
  <c r="DN160" i="36"/>
  <c r="DO160" i="36" s="1"/>
  <c r="DN134" i="36"/>
  <c r="DO134" i="36" s="1"/>
  <c r="DN133" i="36"/>
  <c r="DO133" i="36" s="1"/>
  <c r="DO129" i="36"/>
  <c r="DO139" i="36"/>
  <c r="DN144" i="36"/>
  <c r="DO144" i="36" s="1"/>
  <c r="DN143" i="36"/>
  <c r="DO143" i="36" s="1"/>
  <c r="U33" i="89"/>
  <c r="U38" i="89"/>
  <c r="U16" i="89"/>
  <c r="AE257" i="14"/>
  <c r="AE258" i="14" s="1"/>
  <c r="AE254" i="14"/>
  <c r="AF60" i="14"/>
  <c r="AF62" i="14" s="1"/>
  <c r="AF63" i="14" s="1"/>
  <c r="AE65" i="14"/>
  <c r="AF302" i="14"/>
  <c r="AF293" i="14"/>
  <c r="AE63" i="14"/>
  <c r="AE64" i="14" s="1"/>
  <c r="AE307" i="14"/>
  <c r="AE327" i="14"/>
  <c r="AE328" i="14" s="1"/>
  <c r="AE313" i="14"/>
  <c r="AE312" i="14"/>
  <c r="AE311" i="14"/>
  <c r="AN502" i="47"/>
  <c r="AE310" i="14"/>
  <c r="AE255" i="14"/>
  <c r="AF250" i="14"/>
  <c r="AF252" i="14" s="1"/>
  <c r="AE266" i="14"/>
  <c r="AE315" i="14"/>
  <c r="AD310" i="47"/>
  <c r="AE507" i="47"/>
  <c r="AC508" i="47"/>
  <c r="AE503" i="47"/>
  <c r="R283" i="44"/>
  <c r="DX51" i="30"/>
  <c r="DX65" i="30" s="1"/>
  <c r="DB51" i="30"/>
  <c r="DB65" i="30" s="1"/>
  <c r="DO159" i="36" l="1"/>
  <c r="DN164" i="36"/>
  <c r="DO164" i="36" s="1"/>
  <c r="DN163" i="36"/>
  <c r="DO163" i="36" s="1"/>
  <c r="V29" i="89"/>
  <c r="U37" i="89"/>
  <c r="U39" i="89" s="1"/>
  <c r="U35" i="89"/>
  <c r="U44" i="89"/>
  <c r="AE508" i="47"/>
  <c r="AN508" i="47" s="1"/>
  <c r="AD311" i="47"/>
  <c r="AC509" i="47"/>
  <c r="AE509" i="47" s="1"/>
  <c r="AG60" i="14"/>
  <c r="AG62" i="14" s="1"/>
  <c r="AG63" i="14" s="1"/>
  <c r="AG64" i="14" s="1"/>
  <c r="AF65" i="14"/>
  <c r="AN507" i="47"/>
  <c r="AG250" i="14"/>
  <c r="AG252" i="14" s="1"/>
  <c r="AF266" i="14"/>
  <c r="AF255" i="14"/>
  <c r="AE504" i="47"/>
  <c r="AF315" i="14"/>
  <c r="AF64" i="14"/>
  <c r="AE318" i="14"/>
  <c r="AE316" i="14"/>
  <c r="AF253" i="14"/>
  <c r="AF306" i="14"/>
  <c r="AF310" i="14"/>
  <c r="AG289" i="14"/>
  <c r="R284" i="44"/>
  <c r="DY51" i="30"/>
  <c r="DB59" i="30"/>
  <c r="V30" i="89" l="1"/>
  <c r="V15" i="89" s="1"/>
  <c r="AN509" i="47"/>
  <c r="AF307" i="14"/>
  <c r="AF327" i="14"/>
  <c r="AF328" i="14" s="1"/>
  <c r="AF313" i="14"/>
  <c r="AF312" i="14"/>
  <c r="AF311" i="14"/>
  <c r="AF254" i="14"/>
  <c r="AF257" i="14"/>
  <c r="AF258" i="14" s="1"/>
  <c r="AF318" i="14"/>
  <c r="AF316" i="14"/>
  <c r="AG255" i="14"/>
  <c r="AG266" i="14"/>
  <c r="AC510" i="47"/>
  <c r="AD313" i="47" s="1"/>
  <c r="AD312" i="47"/>
  <c r="AE510" i="47"/>
  <c r="AG302" i="14"/>
  <c r="AG293" i="14"/>
  <c r="AG253" i="14"/>
  <c r="AG65" i="14"/>
  <c r="AH60" i="14"/>
  <c r="AH62" i="14" s="1"/>
  <c r="AH65" i="14" s="1"/>
  <c r="R285" i="44"/>
  <c r="R286" i="44" s="1"/>
  <c r="DZ51" i="30"/>
  <c r="DC51" i="30"/>
  <c r="DC65" i="30" s="1"/>
  <c r="AH63" i="14" l="1"/>
  <c r="AH64" i="14" s="1"/>
  <c r="V33" i="89"/>
  <c r="V44" i="89" s="1"/>
  <c r="V38" i="89"/>
  <c r="V16" i="89"/>
  <c r="AG310" i="14"/>
  <c r="AG306" i="14"/>
  <c r="AG257" i="14"/>
  <c r="AG258" i="14" s="1"/>
  <c r="AG254" i="14"/>
  <c r="AG315" i="14"/>
  <c r="AE511" i="47"/>
  <c r="D65" i="30"/>
  <c r="C65" i="30"/>
  <c r="F65" i="30"/>
  <c r="E65" i="30"/>
  <c r="DC59" i="30"/>
  <c r="R289" i="44"/>
  <c r="V37" i="89" l="1"/>
  <c r="V39" i="89" s="1"/>
  <c r="V35" i="89"/>
  <c r="W29" i="89"/>
  <c r="W30" i="89" s="1"/>
  <c r="W33" i="89" s="1"/>
  <c r="AG316" i="14"/>
  <c r="AG318" i="14"/>
  <c r="AG307" i="14"/>
  <c r="AG327" i="14"/>
  <c r="AG328" i="14" s="1"/>
  <c r="AG313" i="14"/>
  <c r="AG312" i="14"/>
  <c r="AG311" i="14"/>
  <c r="W35" i="89" l="1"/>
  <c r="W37" i="89"/>
  <c r="W39" i="89" s="1"/>
  <c r="W15" i="89"/>
  <c r="W44" i="89"/>
  <c r="R290" i="44"/>
  <c r="J51" i="30"/>
  <c r="DD51" i="30"/>
  <c r="DD65" i="30" s="1"/>
  <c r="DD59" i="30"/>
  <c r="W38" i="89" l="1"/>
  <c r="W16" i="89"/>
  <c r="R291" i="44"/>
  <c r="I65" i="30"/>
  <c r="H65" i="30"/>
  <c r="K65" i="30"/>
  <c r="J65" i="30"/>
  <c r="R292" i="44"/>
  <c r="R293" i="44" s="1"/>
  <c r="DE51" i="30" l="1"/>
  <c r="DE65" i="30" s="1"/>
  <c r="R51" i="30"/>
  <c r="DE59" i="30"/>
  <c r="N65" i="30" l="1"/>
  <c r="M65" i="30"/>
  <c r="P65" i="30"/>
  <c r="O65" i="30"/>
  <c r="R296" i="44"/>
  <c r="DN55" i="30"/>
  <c r="DF51" i="30"/>
  <c r="DF65" i="30" s="1"/>
  <c r="AD247" i="44" l="1"/>
  <c r="R247" i="44"/>
  <c r="S65" i="30"/>
  <c r="R65" i="30"/>
  <c r="U65" i="30"/>
  <c r="T65" i="30"/>
  <c r="DO55" i="30"/>
  <c r="DF59" i="30"/>
  <c r="AD248" i="44" l="1"/>
  <c r="R248" i="44"/>
  <c r="R297" i="44"/>
  <c r="AD254" i="44"/>
  <c r="AD261" i="44"/>
  <c r="R298" i="44"/>
  <c r="DG51" i="30"/>
  <c r="DG65" i="30" s="1"/>
  <c r="R249" i="44" l="1"/>
  <c r="AD249" i="44"/>
  <c r="DP55" i="30"/>
  <c r="X65" i="30"/>
  <c r="W65" i="30"/>
  <c r="Z65" i="30"/>
  <c r="Y65" i="30"/>
  <c r="X254" i="44"/>
  <c r="X256" i="44"/>
  <c r="X255" i="44"/>
  <c r="DG59" i="30"/>
  <c r="AD255" i="44"/>
  <c r="R299" i="44" l="1"/>
  <c r="R300" i="44" s="1"/>
  <c r="AD262" i="44"/>
  <c r="DQ55" i="30"/>
  <c r="X262" i="44"/>
  <c r="X261" i="44"/>
  <c r="X263" i="44"/>
  <c r="AD263" i="44"/>
  <c r="R262" i="44"/>
  <c r="DH51" i="30"/>
  <c r="DH65" i="30" s="1"/>
  <c r="AD256" i="44" l="1"/>
  <c r="AC65" i="30"/>
  <c r="AB65" i="30"/>
  <c r="AE65" i="30"/>
  <c r="AD65" i="30"/>
  <c r="DR55" i="30"/>
  <c r="AD268" i="44"/>
  <c r="DH59" i="30"/>
  <c r="X268" i="44"/>
  <c r="X269" i="44"/>
  <c r="X270" i="44"/>
  <c r="X271" i="44"/>
  <c r="X272" i="44" s="1"/>
  <c r="R303" i="44"/>
  <c r="DR54" i="30"/>
  <c r="DS55" i="30"/>
  <c r="DQ53" i="30"/>
  <c r="R263" i="44" l="1"/>
  <c r="X275" i="44"/>
  <c r="X276" i="44"/>
  <c r="X277" i="44"/>
  <c r="X278" i="44"/>
  <c r="X279" i="44" s="1"/>
  <c r="DI51" i="30"/>
  <c r="DI65" i="30" s="1"/>
  <c r="DR53" i="30" l="1"/>
  <c r="R304" i="44"/>
  <c r="DS54" i="30"/>
  <c r="AD269" i="44"/>
  <c r="AH65" i="30"/>
  <c r="AG65" i="30"/>
  <c r="AJ65" i="30"/>
  <c r="AI65" i="30"/>
  <c r="DT55" i="30"/>
  <c r="X282" i="44"/>
  <c r="X283" i="44"/>
  <c r="X284" i="44"/>
  <c r="X285" i="44"/>
  <c r="X286" i="44" s="1"/>
  <c r="DI59" i="30"/>
  <c r="DU55" i="30"/>
  <c r="DS53" i="30" l="1"/>
  <c r="R305" i="44"/>
  <c r="DT54" i="30"/>
  <c r="AD270" i="44"/>
  <c r="R306" i="44"/>
  <c r="R307" i="44" s="1"/>
  <c r="DJ51" i="30"/>
  <c r="DJ65" i="30" s="1"/>
  <c r="X289" i="44"/>
  <c r="X290" i="44"/>
  <c r="X291" i="44"/>
  <c r="X292" i="44"/>
  <c r="X293" i="44" s="1"/>
  <c r="X296" i="44"/>
  <c r="X297" i="44"/>
  <c r="X298" i="44"/>
  <c r="X299" i="44"/>
  <c r="X300" i="44" s="1"/>
  <c r="DV55" i="30"/>
  <c r="AD271" i="44"/>
  <c r="DT53" i="30" l="1"/>
  <c r="DU54" i="30"/>
  <c r="AD272" i="44"/>
  <c r="X188" i="14" s="1"/>
  <c r="AM65" i="30"/>
  <c r="AL65" i="30"/>
  <c r="AO65" i="30"/>
  <c r="AN65" i="30"/>
  <c r="R310" i="44"/>
  <c r="X303" i="44"/>
  <c r="X304" i="44"/>
  <c r="X306" i="44"/>
  <c r="X307" i="44" s="1"/>
  <c r="DW55" i="30"/>
  <c r="AD275" i="44"/>
  <c r="DJ59" i="30"/>
  <c r="X189" i="14" l="1"/>
  <c r="Y188" i="14"/>
  <c r="X191" i="14"/>
  <c r="X185" i="14"/>
  <c r="DV54" i="30"/>
  <c r="DU53" i="30"/>
  <c r="X305" i="44"/>
  <c r="R311" i="44"/>
  <c r="X311" i="44"/>
  <c r="X312" i="44"/>
  <c r="X313" i="44"/>
  <c r="X314" i="44" s="1"/>
  <c r="X310" i="44"/>
  <c r="AD276" i="44"/>
  <c r="DK51" i="30"/>
  <c r="DK65" i="30" s="1"/>
  <c r="DW54" i="30"/>
  <c r="X186" i="14" l="1"/>
  <c r="X202" i="14" s="1"/>
  <c r="X194" i="14"/>
  <c r="Z188" i="14"/>
  <c r="Y191" i="14"/>
  <c r="Y185" i="14"/>
  <c r="Y189" i="14"/>
  <c r="DV53" i="30"/>
  <c r="AR65" i="30"/>
  <c r="AQ65" i="30"/>
  <c r="AT65" i="30"/>
  <c r="AS65" i="30"/>
  <c r="DX55" i="30"/>
  <c r="R312" i="44"/>
  <c r="AD277" i="44"/>
  <c r="DY55" i="30"/>
  <c r="DK59" i="30"/>
  <c r="AA188" i="14" l="1"/>
  <c r="Z189" i="14"/>
  <c r="Z191" i="14"/>
  <c r="Z185" i="14"/>
  <c r="Y186" i="14"/>
  <c r="Y202" i="14" s="1"/>
  <c r="Y194" i="14"/>
  <c r="DX54" i="30"/>
  <c r="DW53" i="30"/>
  <c r="R313" i="44"/>
  <c r="R314" i="44" s="1"/>
  <c r="DZ55" i="30"/>
  <c r="DY54" i="30"/>
  <c r="Z186" i="14" l="1"/>
  <c r="Z202" i="14" s="1"/>
  <c r="Z194" i="14"/>
  <c r="AA191" i="14"/>
  <c r="AA185" i="14"/>
  <c r="AA189" i="14"/>
  <c r="AB188" i="14"/>
  <c r="DX53" i="30"/>
  <c r="AD278" i="44"/>
  <c r="DZ54" i="30"/>
  <c r="AD282" i="44"/>
  <c r="DY53" i="30"/>
  <c r="AA186" i="14" l="1"/>
  <c r="AA202" i="14" s="1"/>
  <c r="AA194" i="14"/>
  <c r="AB189" i="14"/>
  <c r="AB191" i="14"/>
  <c r="AC188" i="14"/>
  <c r="AB185" i="14"/>
  <c r="AD279" i="44"/>
  <c r="CR44" i="30"/>
  <c r="DZ53" i="30"/>
  <c r="AD188" i="14" l="1"/>
  <c r="AC189" i="14"/>
  <c r="AC185" i="14"/>
  <c r="AC191" i="14"/>
  <c r="AB186" i="14"/>
  <c r="AB202" i="14" s="1"/>
  <c r="AB194" i="14"/>
  <c r="AC163" i="47"/>
  <c r="AD283" i="44"/>
  <c r="DN52" i="30"/>
  <c r="AC186" i="14" l="1"/>
  <c r="AD191" i="14"/>
  <c r="AD185" i="14"/>
  <c r="AD189" i="14"/>
  <c r="AE188" i="14"/>
  <c r="AE163" i="47"/>
  <c r="AC164" i="47"/>
  <c r="G247" i="44"/>
  <c r="AZ247" i="44" s="1"/>
  <c r="AD284" i="44"/>
  <c r="AD186" i="14" l="1"/>
  <c r="AE191" i="14"/>
  <c r="AF188" i="14"/>
  <c r="AE185" i="14"/>
  <c r="AE186" i="14" s="1"/>
  <c r="AE189" i="14"/>
  <c r="AN163" i="47"/>
  <c r="AC170" i="47"/>
  <c r="BA247" i="44"/>
  <c r="Y145" i="40"/>
  <c r="AA145" i="40" s="1"/>
  <c r="AC165" i="47"/>
  <c r="AE164" i="47"/>
  <c r="AN164" i="47" s="1"/>
  <c r="G248" i="44"/>
  <c r="AZ248" i="44" s="1"/>
  <c r="AD285" i="44"/>
  <c r="DO52" i="30"/>
  <c r="AD289" i="44"/>
  <c r="AF189" i="14" l="1"/>
  <c r="AG188" i="14"/>
  <c r="AF191" i="14"/>
  <c r="AF185" i="14"/>
  <c r="AF186" i="14" s="1"/>
  <c r="AE170" i="47"/>
  <c r="AC171" i="47"/>
  <c r="AE165" i="47"/>
  <c r="AN165" i="47" s="1"/>
  <c r="AE166" i="47"/>
  <c r="AN166" i="47" s="1"/>
  <c r="G249" i="44"/>
  <c r="AZ249" i="44" s="1"/>
  <c r="G254" i="44"/>
  <c r="AZ254" i="44" s="1"/>
  <c r="BA248" i="44"/>
  <c r="Y146" i="40"/>
  <c r="AA146" i="40" s="1"/>
  <c r="AC145" i="40"/>
  <c r="AE145" i="40" s="1"/>
  <c r="AI145" i="40"/>
  <c r="AK145" i="40" s="1"/>
  <c r="AE167" i="47"/>
  <c r="AN167" i="47" s="1"/>
  <c r="AD286" i="44"/>
  <c r="DP52" i="30"/>
  <c r="AD290" i="44"/>
  <c r="AH188" i="14" l="1"/>
  <c r="AG191" i="14"/>
  <c r="AG185" i="14"/>
  <c r="AG186" i="14" s="1"/>
  <c r="AG189" i="14"/>
  <c r="AC146" i="40"/>
  <c r="AE146" i="40" s="1"/>
  <c r="AI146" i="40"/>
  <c r="AK146" i="40" s="1"/>
  <c r="AN170" i="47"/>
  <c r="BA249" i="44"/>
  <c r="Y147" i="40"/>
  <c r="BA254" i="44"/>
  <c r="Y152" i="40"/>
  <c r="AA152" i="40" s="1"/>
  <c r="AC172" i="47"/>
  <c r="AE171" i="47"/>
  <c r="AN171" i="47" s="1"/>
  <c r="G255" i="44"/>
  <c r="AZ255" i="44" s="1"/>
  <c r="DQ52" i="30"/>
  <c r="AH189" i="14" l="1"/>
  <c r="AH191" i="14"/>
  <c r="AH185" i="14"/>
  <c r="AH186" i="14" s="1"/>
  <c r="AE172" i="47"/>
  <c r="AN172" i="47" s="1"/>
  <c r="AC173" i="47"/>
  <c r="G256" i="44"/>
  <c r="AZ256" i="44" s="1"/>
  <c r="BA255" i="44"/>
  <c r="Y153" i="40"/>
  <c r="AA153" i="40" s="1"/>
  <c r="AC152" i="40"/>
  <c r="AE152" i="40" s="1"/>
  <c r="AI152" i="40"/>
  <c r="AK152" i="40" s="1"/>
  <c r="AA148" i="40"/>
  <c r="AA147" i="40"/>
  <c r="AD291" i="44"/>
  <c r="DR52" i="30"/>
  <c r="BA256" i="44" l="1"/>
  <c r="Y154" i="40"/>
  <c r="AC147" i="40"/>
  <c r="AE147" i="40" s="1"/>
  <c r="AI147" i="40"/>
  <c r="AK147" i="40" s="1"/>
  <c r="AA149" i="40"/>
  <c r="AC177" i="47"/>
  <c r="AE173" i="47"/>
  <c r="AC148" i="40"/>
  <c r="AE148" i="40" s="1"/>
  <c r="AI148" i="40"/>
  <c r="AK148" i="40" s="1"/>
  <c r="AC153" i="40"/>
  <c r="AE153" i="40" s="1"/>
  <c r="AI153" i="40"/>
  <c r="AK153" i="40" s="1"/>
  <c r="AD292" i="44"/>
  <c r="DS52" i="30"/>
  <c r="AD296" i="44"/>
  <c r="AN173" i="47" l="1"/>
  <c r="AE174" i="47"/>
  <c r="AN174" i="47" s="1"/>
  <c r="AC149" i="40"/>
  <c r="AE149" i="40" s="1"/>
  <c r="AI149" i="40"/>
  <c r="AK149" i="40" s="1"/>
  <c r="AC178" i="47"/>
  <c r="AE177" i="47"/>
  <c r="G261" i="44"/>
  <c r="AZ261" i="44" s="1"/>
  <c r="AA154" i="40"/>
  <c r="AA155" i="40"/>
  <c r="AD293" i="44"/>
  <c r="DT52" i="30"/>
  <c r="AD297" i="44"/>
  <c r="AC155" i="40" l="1"/>
  <c r="AE155" i="40" s="1"/>
  <c r="AI155" i="40"/>
  <c r="AK155" i="40" s="1"/>
  <c r="AE178" i="47"/>
  <c r="AN178" i="47" s="1"/>
  <c r="AC179" i="47"/>
  <c r="G262" i="44"/>
  <c r="AZ262" i="44" s="1"/>
  <c r="AC154" i="40"/>
  <c r="AE154" i="40" s="1"/>
  <c r="AI154" i="40"/>
  <c r="AK154" i="40" s="1"/>
  <c r="AA156" i="40"/>
  <c r="BA261" i="44"/>
  <c r="Y159" i="40"/>
  <c r="AA159" i="40" s="1"/>
  <c r="AN177" i="47"/>
  <c r="DU52" i="30"/>
  <c r="AC156" i="40" l="1"/>
  <c r="AE156" i="40" s="1"/>
  <c r="AI156" i="40"/>
  <c r="AK156" i="40" s="1"/>
  <c r="AE179" i="47"/>
  <c r="AC180" i="47"/>
  <c r="G263" i="44"/>
  <c r="AZ263" i="44" s="1"/>
  <c r="BA262" i="44"/>
  <c r="Y160" i="40"/>
  <c r="AA160" i="40" s="1"/>
  <c r="AC159" i="40"/>
  <c r="AE159" i="40" s="1"/>
  <c r="AI159" i="40"/>
  <c r="AK159" i="40" s="1"/>
  <c r="AD298" i="44"/>
  <c r="DV52" i="30"/>
  <c r="AC184" i="47" l="1"/>
  <c r="AE180" i="47"/>
  <c r="AN180" i="47" s="1"/>
  <c r="BA263" i="44"/>
  <c r="Y161" i="40"/>
  <c r="AC160" i="40"/>
  <c r="AE160" i="40" s="1"/>
  <c r="AI160" i="40"/>
  <c r="AK160" i="40" s="1"/>
  <c r="AN179" i="47"/>
  <c r="AE181" i="47"/>
  <c r="AN181" i="47" s="1"/>
  <c r="AD299" i="44"/>
  <c r="DW52" i="30"/>
  <c r="AD303" i="44"/>
  <c r="AA161" i="40" l="1"/>
  <c r="AA162" i="40"/>
  <c r="AC185" i="47"/>
  <c r="AE184" i="47"/>
  <c r="G268" i="44"/>
  <c r="AZ268" i="44" s="1"/>
  <c r="AD300" i="44"/>
  <c r="DX52" i="30"/>
  <c r="DY52" i="30"/>
  <c r="AN184" i="47" l="1"/>
  <c r="BA268" i="44"/>
  <c r="Y166" i="40"/>
  <c r="AA166" i="40" s="1"/>
  <c r="AE185" i="47"/>
  <c r="AN185" i="47" s="1"/>
  <c r="AC186" i="47"/>
  <c r="G269" i="44"/>
  <c r="AZ269" i="44" s="1"/>
  <c r="AC161" i="40"/>
  <c r="AE161" i="40" s="1"/>
  <c r="AI161" i="40"/>
  <c r="AK161" i="40" s="1"/>
  <c r="AA163" i="40"/>
  <c r="AC162" i="40"/>
  <c r="AE162" i="40" s="1"/>
  <c r="AI162" i="40"/>
  <c r="AK162" i="40" s="1"/>
  <c r="AD304" i="44"/>
  <c r="AD305" i="44"/>
  <c r="AC166" i="40" l="1"/>
  <c r="AE166" i="40" s="1"/>
  <c r="AI166" i="40"/>
  <c r="AK166" i="40" s="1"/>
  <c r="AC163" i="40"/>
  <c r="AE163" i="40" s="1"/>
  <c r="AI163" i="40"/>
  <c r="AK163" i="40" s="1"/>
  <c r="BA269" i="44"/>
  <c r="Y167" i="40"/>
  <c r="AE186" i="47"/>
  <c r="AN186" i="47" s="1"/>
  <c r="AC187" i="47"/>
  <c r="G270" i="44"/>
  <c r="AZ270" i="44" s="1"/>
  <c r="DZ52" i="30"/>
  <c r="AC191" i="47" l="1"/>
  <c r="AE187" i="47"/>
  <c r="G271" i="44"/>
  <c r="AA167" i="40"/>
  <c r="BA270" i="44"/>
  <c r="Y168" i="40"/>
  <c r="AA168" i="40" s="1"/>
  <c r="AD310" i="44"/>
  <c r="AD306" i="44"/>
  <c r="AD311" i="44"/>
  <c r="AZ311" i="44" s="1"/>
  <c r="AC168" i="40" l="1"/>
  <c r="AE168" i="40" s="1"/>
  <c r="AI168" i="40"/>
  <c r="AK168" i="40" s="1"/>
  <c r="AE191" i="47"/>
  <c r="AC192" i="47"/>
  <c r="G275" i="44"/>
  <c r="AZ275" i="44" s="1"/>
  <c r="AZ271" i="44"/>
  <c r="G272" i="44"/>
  <c r="X73" i="14" s="1"/>
  <c r="AC167" i="40"/>
  <c r="AE167" i="40" s="1"/>
  <c r="AI167" i="40"/>
  <c r="AK167" i="40" s="1"/>
  <c r="AN187" i="47"/>
  <c r="AE188" i="47"/>
  <c r="AN188" i="47" s="1"/>
  <c r="AD307" i="44"/>
  <c r="AD312" i="44"/>
  <c r="X76" i="14" l="1"/>
  <c r="X70" i="14"/>
  <c r="X74" i="14"/>
  <c r="AE192" i="47"/>
  <c r="AN192" i="47" s="1"/>
  <c r="AC193" i="47"/>
  <c r="G276" i="44"/>
  <c r="AZ276" i="44" s="1"/>
  <c r="BA275" i="44"/>
  <c r="Y173" i="40"/>
  <c r="AN191" i="47"/>
  <c r="Y169" i="40"/>
  <c r="BA271" i="44"/>
  <c r="AZ272" i="44"/>
  <c r="AD313" i="44"/>
  <c r="BA272" i="44" l="1"/>
  <c r="X30" i="14"/>
  <c r="X71" i="14"/>
  <c r="X88" i="14" s="1"/>
  <c r="X79" i="14"/>
  <c r="AA173" i="40"/>
  <c r="AA169" i="40"/>
  <c r="BA276" i="44"/>
  <c r="Y174" i="40"/>
  <c r="AA174" i="40" s="1"/>
  <c r="AE193" i="47"/>
  <c r="AN193" i="47" s="1"/>
  <c r="AC194" i="47"/>
  <c r="G277" i="44"/>
  <c r="AZ277" i="44" s="1"/>
  <c r="AD314" i="44"/>
  <c r="X41" i="14" l="1"/>
  <c r="X27" i="14"/>
  <c r="X31" i="14"/>
  <c r="X33" i="14"/>
  <c r="DP57" i="30"/>
  <c r="AC173" i="40"/>
  <c r="AE173" i="40" s="1"/>
  <c r="AI173" i="40"/>
  <c r="AK173" i="40" s="1"/>
  <c r="BA277" i="44"/>
  <c r="Y175" i="40"/>
  <c r="AA175" i="40" s="1"/>
  <c r="AE194" i="47"/>
  <c r="AC198" i="47"/>
  <c r="G278" i="44"/>
  <c r="AC174" i="40"/>
  <c r="AE174" i="40" s="1"/>
  <c r="AI174" i="40"/>
  <c r="AK174" i="40" s="1"/>
  <c r="AC169" i="40"/>
  <c r="AE169" i="40" s="1"/>
  <c r="AI169" i="40"/>
  <c r="AK169" i="40" s="1"/>
  <c r="AA170" i="40"/>
  <c r="DP58" i="30" l="1"/>
  <c r="DP64" i="30"/>
  <c r="X34" i="14"/>
  <c r="DP59" i="30"/>
  <c r="X28" i="14"/>
  <c r="X44" i="14" s="1"/>
  <c r="X36" i="14"/>
  <c r="G279" i="44"/>
  <c r="Y73" i="14" s="1"/>
  <c r="AZ278" i="44"/>
  <c r="AC199" i="47"/>
  <c r="AE198" i="47"/>
  <c r="G282" i="44"/>
  <c r="AZ282" i="44" s="1"/>
  <c r="AN194" i="47"/>
  <c r="AE195" i="47"/>
  <c r="AN195" i="47" s="1"/>
  <c r="AC170" i="40"/>
  <c r="AE170" i="40" s="1"/>
  <c r="AI170" i="40"/>
  <c r="AK170" i="40" s="1"/>
  <c r="AC175" i="40"/>
  <c r="AE175" i="40" s="1"/>
  <c r="AI175" i="40"/>
  <c r="AK175" i="40" s="1"/>
  <c r="Y70" i="14" l="1"/>
  <c r="Y30" i="14"/>
  <c r="Y74" i="14"/>
  <c r="Y76" i="14"/>
  <c r="X37" i="14"/>
  <c r="DP60" i="30"/>
  <c r="BQ64" i="30"/>
  <c r="BR64" i="30"/>
  <c r="BP64" i="30"/>
  <c r="BS64" i="30"/>
  <c r="AE199" i="47"/>
  <c r="AN199" i="47" s="1"/>
  <c r="AC200" i="47"/>
  <c r="G283" i="44"/>
  <c r="AZ283" i="44" s="1"/>
  <c r="AN198" i="47"/>
  <c r="Y176" i="40"/>
  <c r="AZ279" i="44"/>
  <c r="BA279" i="44" s="1"/>
  <c r="BA278" i="44"/>
  <c r="BA282" i="44"/>
  <c r="Y180" i="40"/>
  <c r="Y41" i="14" l="1"/>
  <c r="Y27" i="14"/>
  <c r="Y33" i="14"/>
  <c r="AL30" i="14"/>
  <c r="Y31" i="14"/>
  <c r="DQ57" i="30"/>
  <c r="Y71" i="14"/>
  <c r="Y88" i="14" s="1"/>
  <c r="Y79" i="14"/>
  <c r="BA283" i="44"/>
  <c r="Y181" i="40"/>
  <c r="AA181" i="40" s="1"/>
  <c r="AA180" i="40"/>
  <c r="AA176" i="40"/>
  <c r="AE200" i="47"/>
  <c r="AC201" i="47"/>
  <c r="G284" i="44"/>
  <c r="AZ284" i="44" s="1"/>
  <c r="Y34" i="14" l="1"/>
  <c r="DQ59" i="30"/>
  <c r="DQ64" i="30"/>
  <c r="DQ58" i="30"/>
  <c r="AL27" i="14"/>
  <c r="Y28" i="14"/>
  <c r="Y44" i="14" s="1"/>
  <c r="Y36" i="14"/>
  <c r="AC176" i="40"/>
  <c r="AE176" i="40" s="1"/>
  <c r="AI176" i="40"/>
  <c r="AK176" i="40" s="1"/>
  <c r="AA177" i="40"/>
  <c r="AN200" i="47"/>
  <c r="BA284" i="44"/>
  <c r="Y182" i="40"/>
  <c r="AA182" i="40" s="1"/>
  <c r="AC180" i="40"/>
  <c r="AE180" i="40" s="1"/>
  <c r="AI180" i="40"/>
  <c r="AK180" i="40" s="1"/>
  <c r="AC205" i="47"/>
  <c r="AE201" i="47"/>
  <c r="AN201" i="47" s="1"/>
  <c r="G285" i="44"/>
  <c r="AC181" i="40"/>
  <c r="AE181" i="40" s="1"/>
  <c r="AI181" i="40"/>
  <c r="AK181" i="40" s="1"/>
  <c r="AE202" i="47" l="1"/>
  <c r="AN202" i="47" s="1"/>
  <c r="Y37" i="14"/>
  <c r="DQ60" i="30"/>
  <c r="BU64" i="30"/>
  <c r="BW64" i="30"/>
  <c r="BV64" i="30"/>
  <c r="BX64" i="30"/>
  <c r="AZ285" i="44"/>
  <c r="G286" i="44"/>
  <c r="Z73" i="14" s="1"/>
  <c r="AE205" i="47"/>
  <c r="AC206" i="47"/>
  <c r="G289" i="44"/>
  <c r="AZ289" i="44" s="1"/>
  <c r="AC182" i="40"/>
  <c r="AE182" i="40" s="1"/>
  <c r="AI182" i="40"/>
  <c r="AK182" i="40" s="1"/>
  <c r="AC177" i="40"/>
  <c r="AE177" i="40" s="1"/>
  <c r="AI177" i="40"/>
  <c r="AK177" i="40" s="1"/>
  <c r="Z70" i="14" l="1"/>
  <c r="Z30" i="14"/>
  <c r="Z74" i="14"/>
  <c r="Z76" i="14"/>
  <c r="AC207" i="47"/>
  <c r="AE206" i="47"/>
  <c r="AN206" i="47" s="1"/>
  <c r="G290" i="44"/>
  <c r="AZ290" i="44" s="1"/>
  <c r="BA289" i="44"/>
  <c r="Y187" i="40"/>
  <c r="AA187" i="40" s="1"/>
  <c r="AN205" i="47"/>
  <c r="Y183" i="40"/>
  <c r="AA183" i="40" s="1"/>
  <c r="AZ286" i="44"/>
  <c r="BA286" i="44" s="1"/>
  <c r="BA285" i="44"/>
  <c r="C40" i="76"/>
  <c r="Z71" i="14" l="1"/>
  <c r="Z88" i="14" s="1"/>
  <c r="Z79" i="14"/>
  <c r="Z33" i="14"/>
  <c r="Z31" i="14"/>
  <c r="Z41" i="14"/>
  <c r="Z27" i="14"/>
  <c r="DR57" i="30"/>
  <c r="AC187" i="40"/>
  <c r="AE187" i="40" s="1"/>
  <c r="AI187" i="40"/>
  <c r="AK187" i="40" s="1"/>
  <c r="AC208" i="47"/>
  <c r="AE207" i="47"/>
  <c r="G291" i="44"/>
  <c r="AZ291" i="44" s="1"/>
  <c r="AC183" i="40"/>
  <c r="AE183" i="40" s="1"/>
  <c r="AI183" i="40"/>
  <c r="AK183" i="40" s="1"/>
  <c r="AA184" i="40"/>
  <c r="BA290" i="44"/>
  <c r="Y188" i="40"/>
  <c r="AA188" i="40" s="1"/>
  <c r="DR64" i="30" l="1"/>
  <c r="DR58" i="30"/>
  <c r="Z34" i="14"/>
  <c r="DR59" i="30"/>
  <c r="Z28" i="14"/>
  <c r="Z44" i="14" s="1"/>
  <c r="Z36" i="14"/>
  <c r="AN207" i="47"/>
  <c r="AE208" i="47"/>
  <c r="AN208" i="47" s="1"/>
  <c r="AC212" i="47"/>
  <c r="G292" i="44"/>
  <c r="AC188" i="40"/>
  <c r="AE188" i="40" s="1"/>
  <c r="AI188" i="40"/>
  <c r="AK188" i="40" s="1"/>
  <c r="C41" i="76" s="1"/>
  <c r="C42" i="76" s="1"/>
  <c r="AC184" i="40"/>
  <c r="AE184" i="40" s="1"/>
  <c r="AI184" i="40"/>
  <c r="AK184" i="40" s="1"/>
  <c r="BA291" i="44"/>
  <c r="Y189" i="40"/>
  <c r="AA189" i="40" s="1"/>
  <c r="CA64" i="30" l="1"/>
  <c r="BZ64" i="30"/>
  <c r="CC64" i="30"/>
  <c r="CB64" i="30"/>
  <c r="Z37" i="14"/>
  <c r="DR60" i="30"/>
  <c r="AE212" i="47"/>
  <c r="AC213" i="47"/>
  <c r="G296" i="44"/>
  <c r="AZ296" i="44" s="1"/>
  <c r="AC189" i="40"/>
  <c r="AE189" i="40" s="1"/>
  <c r="AI189" i="40"/>
  <c r="AK189" i="40" s="1"/>
  <c r="G293" i="44"/>
  <c r="AA73" i="14" s="1"/>
  <c r="AZ292" i="44"/>
  <c r="AE209" i="47"/>
  <c r="AN209" i="47" s="1"/>
  <c r="AA74" i="14" l="1"/>
  <c r="AA76" i="14"/>
  <c r="AA70" i="14"/>
  <c r="AN212" i="47"/>
  <c r="Y190" i="40"/>
  <c r="BA292" i="44"/>
  <c r="BA293" i="44"/>
  <c r="BA296" i="44"/>
  <c r="Y194" i="40"/>
  <c r="AC214" i="47"/>
  <c r="AE213" i="47"/>
  <c r="AN213" i="47" s="1"/>
  <c r="G297" i="44"/>
  <c r="AZ297" i="44" s="1"/>
  <c r="AA31" i="14" l="1"/>
  <c r="AA41" i="14"/>
  <c r="AA33" i="14"/>
  <c r="AA27" i="14"/>
  <c r="DS57" i="30"/>
  <c r="AA71" i="14"/>
  <c r="AA88" i="14" s="1"/>
  <c r="AA79" i="14"/>
  <c r="AE214" i="47"/>
  <c r="AN214" i="47" s="1"/>
  <c r="AC215" i="47"/>
  <c r="G298" i="44"/>
  <c r="AZ298" i="44" s="1"/>
  <c r="AA194" i="40"/>
  <c r="AA190" i="40"/>
  <c r="BA297" i="44"/>
  <c r="Y195" i="40"/>
  <c r="AA195" i="40" s="1"/>
  <c r="AA28" i="14" l="1"/>
  <c r="AA36" i="14"/>
  <c r="DS58" i="30"/>
  <c r="DS64" i="30"/>
  <c r="AA34" i="14"/>
  <c r="DS59" i="30"/>
  <c r="AC190" i="40"/>
  <c r="AE190" i="40" s="1"/>
  <c r="AI190" i="40"/>
  <c r="AK190" i="40" s="1"/>
  <c r="AA191" i="40"/>
  <c r="AC194" i="40"/>
  <c r="AE194" i="40" s="1"/>
  <c r="AI194" i="40"/>
  <c r="AK194" i="40" s="1"/>
  <c r="AC195" i="40"/>
  <c r="AE195" i="40" s="1"/>
  <c r="AI195" i="40"/>
  <c r="AK195" i="40" s="1"/>
  <c r="BA298" i="44"/>
  <c r="Y196" i="40"/>
  <c r="AC219" i="47"/>
  <c r="AE215" i="47"/>
  <c r="AN215" i="47" s="1"/>
  <c r="G299" i="44"/>
  <c r="AA44" i="14" l="1"/>
  <c r="AA26" i="8"/>
  <c r="CQ64" i="30"/>
  <c r="CF64" i="30"/>
  <c r="CM64" i="30"/>
  <c r="CL64" i="30"/>
  <c r="CO64" i="30"/>
  <c r="CP64" i="30"/>
  <c r="CK64" i="30"/>
  <c r="CR64" i="30"/>
  <c r="CJ64" i="30"/>
  <c r="CE64" i="30"/>
  <c r="CG64" i="30"/>
  <c r="CH64" i="30"/>
  <c r="AA37" i="14"/>
  <c r="DS60" i="30"/>
  <c r="AE219" i="47"/>
  <c r="AC220" i="47"/>
  <c r="G303" i="44"/>
  <c r="AZ303" i="44" s="1"/>
  <c r="AE216" i="47"/>
  <c r="AN216" i="47" s="1"/>
  <c r="AA196" i="40"/>
  <c r="AC191" i="40"/>
  <c r="AE191" i="40" s="1"/>
  <c r="AI191" i="40"/>
  <c r="AK191" i="40" s="1"/>
  <c r="AZ299" i="44"/>
  <c r="G300" i="44"/>
  <c r="AB73" i="14" s="1"/>
  <c r="AB76" i="14" l="1"/>
  <c r="AB70" i="14"/>
  <c r="AB74" i="14"/>
  <c r="AN219" i="47"/>
  <c r="BA303" i="44"/>
  <c r="Y201" i="40"/>
  <c r="Y197" i="40"/>
  <c r="AA197" i="40" s="1"/>
  <c r="BA300" i="44"/>
  <c r="BA299" i="44"/>
  <c r="AC196" i="40"/>
  <c r="AE196" i="40" s="1"/>
  <c r="AI196" i="40"/>
  <c r="AK196" i="40" s="1"/>
  <c r="AE220" i="47"/>
  <c r="AN220" i="47" s="1"/>
  <c r="AC221" i="47"/>
  <c r="G304" i="44"/>
  <c r="AZ304" i="44" s="1"/>
  <c r="DT57" i="30"/>
  <c r="AB41" i="14" l="1"/>
  <c r="AB27" i="14"/>
  <c r="AB33" i="14"/>
  <c r="AB31" i="14"/>
  <c r="AJ30" i="14"/>
  <c r="AB71" i="14"/>
  <c r="AB88" i="14" s="1"/>
  <c r="AB79" i="14"/>
  <c r="BA304" i="44"/>
  <c r="Y202" i="40"/>
  <c r="AC197" i="40"/>
  <c r="AE197" i="40" s="1"/>
  <c r="AI197" i="40"/>
  <c r="AK197" i="40" s="1"/>
  <c r="AE221" i="47"/>
  <c r="AN221" i="47" s="1"/>
  <c r="AC222" i="47"/>
  <c r="G306" i="44" s="1"/>
  <c r="G305" i="44"/>
  <c r="AZ305" i="44" s="1"/>
  <c r="AA201" i="40"/>
  <c r="AA198" i="40"/>
  <c r="DT64" i="30"/>
  <c r="DT58" i="30"/>
  <c r="AB34" i="14" l="1"/>
  <c r="DT59" i="30"/>
  <c r="AB28" i="14"/>
  <c r="AB36" i="14"/>
  <c r="AJ27" i="14"/>
  <c r="AC201" i="40"/>
  <c r="AE201" i="40" s="1"/>
  <c r="AI201" i="40"/>
  <c r="AK201" i="40" s="1"/>
  <c r="AC198" i="40"/>
  <c r="AE198" i="40" s="1"/>
  <c r="AI198" i="40"/>
  <c r="AK198" i="40" s="1"/>
  <c r="BA305" i="44"/>
  <c r="Y203" i="40"/>
  <c r="AC226" i="47"/>
  <c r="AE222" i="47"/>
  <c r="AA203" i="40"/>
  <c r="AA202" i="40"/>
  <c r="G307" i="44"/>
  <c r="AC73" i="14" s="1"/>
  <c r="AZ306" i="44"/>
  <c r="AB44" i="14" l="1"/>
  <c r="AB26" i="8"/>
  <c r="AE223" i="47"/>
  <c r="Y204" i="40"/>
  <c r="AA204" i="40" s="1"/>
  <c r="AC204" i="40" s="1"/>
  <c r="AB203" i="2"/>
  <c r="AD203" i="2" s="1"/>
  <c r="AF203" i="2" s="1"/>
  <c r="AB37" i="14"/>
  <c r="AJ36" i="14"/>
  <c r="DT60" i="30"/>
  <c r="AC70" i="14"/>
  <c r="AC74" i="14"/>
  <c r="AC76" i="14"/>
  <c r="AC202" i="40"/>
  <c r="AE202" i="40" s="1"/>
  <c r="AI202" i="40"/>
  <c r="AK202" i="40" s="1"/>
  <c r="AC227" i="47"/>
  <c r="AE226" i="47"/>
  <c r="AB207" i="2"/>
  <c r="H207" i="2" s="1"/>
  <c r="AC203" i="40"/>
  <c r="AE203" i="40" s="1"/>
  <c r="AI203" i="40"/>
  <c r="AK203" i="40" s="1"/>
  <c r="AA205" i="40"/>
  <c r="AC205" i="40" s="1"/>
  <c r="BA306" i="44"/>
  <c r="BA307" i="44"/>
  <c r="DU57" i="30"/>
  <c r="T207" i="2" l="1"/>
  <c r="X207" i="2"/>
  <c r="Z207" i="2" s="1"/>
  <c r="J207" i="2"/>
  <c r="P207" i="2"/>
  <c r="N207" i="2"/>
  <c r="AC71" i="14"/>
  <c r="AC41" i="14"/>
  <c r="AC27" i="14"/>
  <c r="AC33" i="14"/>
  <c r="AC34" i="14" s="1"/>
  <c r="AC31" i="14"/>
  <c r="AN226" i="47"/>
  <c r="BA310" i="44"/>
  <c r="Y208" i="40"/>
  <c r="AE227" i="47"/>
  <c r="AN227" i="47" s="1"/>
  <c r="AC228" i="47"/>
  <c r="G311" i="44"/>
  <c r="AB208" i="2" s="1"/>
  <c r="H208" i="2" s="1"/>
  <c r="J208" i="2" s="1"/>
  <c r="DU64" i="30"/>
  <c r="DU58" i="30"/>
  <c r="P208" i="2" l="1"/>
  <c r="N208" i="2"/>
  <c r="T208" i="2"/>
  <c r="X208" i="2"/>
  <c r="Z208" i="2" s="1"/>
  <c r="AH207" i="2"/>
  <c r="R207" i="2"/>
  <c r="AH208" i="2"/>
  <c r="R208" i="2"/>
  <c r="AC28" i="14"/>
  <c r="AC26" i="8" s="1"/>
  <c r="DU59" i="30"/>
  <c r="BA311" i="44"/>
  <c r="Y209" i="40"/>
  <c r="AA209" i="40" s="1"/>
  <c r="AC209" i="40" s="1"/>
  <c r="AA208" i="40"/>
  <c r="AC229" i="47"/>
  <c r="AE228" i="47"/>
  <c r="AN228" i="47" s="1"/>
  <c r="G312" i="44"/>
  <c r="AZ312" i="44" s="1"/>
  <c r="AB209" i="2" s="1"/>
  <c r="H209" i="2" s="1"/>
  <c r="J209" i="2" s="1"/>
  <c r="R209" i="2" l="1"/>
  <c r="AH209" i="2"/>
  <c r="N209" i="2"/>
  <c r="X209" i="2"/>
  <c r="Z209" i="2" s="1"/>
  <c r="P209" i="2"/>
  <c r="BA312" i="44"/>
  <c r="Y210" i="40"/>
  <c r="AA210" i="40" s="1"/>
  <c r="AC210" i="40" s="1"/>
  <c r="AC208" i="40"/>
  <c r="AE229" i="47"/>
  <c r="G313" i="44"/>
  <c r="AZ313" i="44" s="1"/>
  <c r="BA314" i="44" s="1"/>
  <c r="AB210" i="2" l="1"/>
  <c r="G314" i="44"/>
  <c r="AD73" i="14" s="1"/>
  <c r="AE230" i="47"/>
  <c r="AD70" i="14" l="1"/>
  <c r="AD30" i="14"/>
  <c r="AD74" i="14"/>
  <c r="AD76" i="14"/>
  <c r="AE73" i="14"/>
  <c r="Y211" i="40"/>
  <c r="AA211" i="40" s="1"/>
  <c r="BA313" i="44"/>
  <c r="AE74" i="14" l="1"/>
  <c r="AE76" i="14"/>
  <c r="AF73" i="14"/>
  <c r="AE70" i="14"/>
  <c r="AE71" i="14" s="1"/>
  <c r="AE30" i="14"/>
  <c r="AD71" i="14"/>
  <c r="AD33" i="14"/>
  <c r="AD34" i="14" s="1"/>
  <c r="AD31" i="14"/>
  <c r="AD41" i="14"/>
  <c r="AD27" i="14"/>
  <c r="AC211" i="40"/>
  <c r="AA212" i="40"/>
  <c r="AC212" i="40" s="1"/>
  <c r="DV57" i="30"/>
  <c r="AE31" i="14" l="1"/>
  <c r="AE41" i="14"/>
  <c r="AE33" i="14"/>
  <c r="AE34" i="14" s="1"/>
  <c r="AE27" i="14"/>
  <c r="AE28" i="14" s="1"/>
  <c r="AE26" i="8" s="1"/>
  <c r="AD28" i="14"/>
  <c r="AD26" i="8" s="1"/>
  <c r="AF76" i="14"/>
  <c r="AG73" i="14"/>
  <c r="AF70" i="14"/>
  <c r="AF71" i="14" s="1"/>
  <c r="AF74" i="14"/>
  <c r="AF30" i="14"/>
  <c r="DV59" i="30"/>
  <c r="DV64" i="30"/>
  <c r="DV58" i="30"/>
  <c r="DW57" i="30"/>
  <c r="AG70" i="14" l="1"/>
  <c r="AG71" i="14" s="1"/>
  <c r="AG30" i="14"/>
  <c r="AG74" i="14"/>
  <c r="AG76" i="14"/>
  <c r="AH73" i="14"/>
  <c r="AF41" i="14"/>
  <c r="AF27" i="14"/>
  <c r="AF28" i="14" s="1"/>
  <c r="AF31" i="14"/>
  <c r="AF33" i="14"/>
  <c r="AF34" i="14" s="1"/>
  <c r="DX57" i="30"/>
  <c r="DW58" i="30"/>
  <c r="DW64" i="30"/>
  <c r="DW59" i="30"/>
  <c r="AG41" i="14" l="1"/>
  <c r="AG27" i="14"/>
  <c r="AG28" i="14" s="1"/>
  <c r="AG33" i="14"/>
  <c r="AG34" i="14" s="1"/>
  <c r="AG31" i="14"/>
  <c r="AH70" i="14"/>
  <c r="AH71" i="14" s="1"/>
  <c r="AH30" i="14"/>
  <c r="AH74" i="14"/>
  <c r="AH76" i="14"/>
  <c r="DY57" i="30"/>
  <c r="DY58" i="30" s="1"/>
  <c r="DX59" i="30"/>
  <c r="DX58" i="30"/>
  <c r="DX64" i="30"/>
  <c r="AH33" i="14" l="1"/>
  <c r="AH34" i="14" s="1"/>
  <c r="AH31" i="14"/>
  <c r="AH41" i="14"/>
  <c r="AH27" i="14"/>
  <c r="AN30" i="14"/>
  <c r="DY59" i="30"/>
  <c r="DZ57" i="30"/>
  <c r="DZ58" i="30" s="1"/>
  <c r="AH28" i="14" l="1"/>
  <c r="AN27" i="14"/>
  <c r="DZ59" i="30"/>
  <c r="AY209" i="40" l="1"/>
  <c r="BN209" i="40" s="1"/>
  <c r="R209" i="40"/>
  <c r="AY208" i="40"/>
  <c r="BN208" i="40" s="1"/>
  <c r="R208" i="40"/>
  <c r="D208" i="40" l="1"/>
  <c r="H208" i="40" s="1"/>
  <c r="T208" i="40"/>
  <c r="AG208" i="40"/>
  <c r="D209" i="40"/>
  <c r="H209" i="40" s="1"/>
  <c r="T209" i="40"/>
  <c r="V209" i="40" s="1"/>
  <c r="AG209" i="40"/>
  <c r="AI209" i="40" s="1"/>
  <c r="AK209" i="40" s="1"/>
  <c r="BC236" i="45"/>
  <c r="BC237" i="45"/>
  <c r="AI208" i="40" l="1"/>
  <c r="AK208" i="40" s="1"/>
  <c r="V208" i="40"/>
  <c r="P209" i="40"/>
  <c r="AE209" i="40"/>
  <c r="AE208" i="40"/>
  <c r="P208" i="40"/>
  <c r="CR9" i="30" l="1"/>
  <c r="CR43" i="30" s="1"/>
  <c r="AY204" i="40"/>
  <c r="BN204" i="40" s="1"/>
  <c r="R204" i="40"/>
  <c r="CR36" i="30"/>
  <c r="CR11" i="30"/>
  <c r="CR14" i="30"/>
  <c r="CR13" i="30" l="1"/>
  <c r="CR33" i="30" s="1"/>
  <c r="AG204" i="40"/>
  <c r="D204" i="40"/>
  <c r="H204" i="40" s="1"/>
  <c r="T204" i="40"/>
  <c r="AY205" i="40"/>
  <c r="R205" i="40"/>
  <c r="CR45" i="30"/>
  <c r="CR34" i="30"/>
  <c r="BC232" i="45"/>
  <c r="CR16" i="30" l="1"/>
  <c r="P204" i="40"/>
  <c r="AE204" i="40"/>
  <c r="D205" i="40"/>
  <c r="AC39" i="14"/>
  <c r="AI204" i="40"/>
  <c r="AK204" i="40" s="1"/>
  <c r="AG205" i="40"/>
  <c r="AI205" i="40" s="1"/>
  <c r="AK205" i="40" s="1"/>
  <c r="V204" i="40"/>
  <c r="T205" i="40"/>
  <c r="V205" i="40" s="1"/>
  <c r="P6" i="83"/>
  <c r="DU9" i="30"/>
  <c r="CR19" i="30"/>
  <c r="CR46" i="30"/>
  <c r="CR35" i="30"/>
  <c r="DU11" i="30"/>
  <c r="P8" i="83"/>
  <c r="AC9" i="8" l="1"/>
  <c r="DY14" i="36"/>
  <c r="DV14" i="36"/>
  <c r="BC233" i="45"/>
  <c r="H205" i="40"/>
  <c r="P88" i="83"/>
  <c r="P47" i="83"/>
  <c r="DU15" i="30"/>
  <c r="P12" i="83"/>
  <c r="CR37" i="30"/>
  <c r="DU13" i="30"/>
  <c r="DU36" i="30"/>
  <c r="DU43" i="30"/>
  <c r="P11" i="83"/>
  <c r="DU14" i="30"/>
  <c r="P86" i="83"/>
  <c r="P10" i="83"/>
  <c r="P35" i="83"/>
  <c r="P45" i="83"/>
  <c r="DJ44" i="36"/>
  <c r="CM52" i="30"/>
  <c r="DK44" i="36" l="1"/>
  <c r="DK43" i="36"/>
  <c r="AE205" i="40"/>
  <c r="P205" i="40"/>
  <c r="P74" i="83"/>
  <c r="P49" i="83"/>
  <c r="DU45" i="30"/>
  <c r="DU34" i="30"/>
  <c r="P51" i="83"/>
  <c r="P92" i="83"/>
  <c r="P133" i="83"/>
  <c r="P36" i="83"/>
  <c r="P121" i="83" s="1"/>
  <c r="DU44" i="30"/>
  <c r="CR21" i="30"/>
  <c r="P50" i="83"/>
  <c r="P30" i="83"/>
  <c r="P159" i="83" s="1"/>
  <c r="P157" i="83" s="1"/>
  <c r="P37" i="83"/>
  <c r="P91" i="83"/>
  <c r="DU33" i="30"/>
  <c r="DU16" i="30"/>
  <c r="P13" i="83"/>
  <c r="P29" i="83"/>
  <c r="P155" i="83" s="1"/>
  <c r="P153" i="83" s="1"/>
  <c r="P115" i="83"/>
  <c r="P108" i="83" s="1"/>
  <c r="P90" i="83"/>
  <c r="CR15" i="30"/>
  <c r="CR30" i="30" s="1"/>
  <c r="P177" i="83" l="1"/>
  <c r="P80" i="83"/>
  <c r="P81" i="83" s="1"/>
  <c r="P179" i="83" s="1"/>
  <c r="P76" i="83"/>
  <c r="P69" i="83"/>
  <c r="P158" i="83" s="1"/>
  <c r="CR38" i="30"/>
  <c r="CR23" i="30"/>
  <c r="P117" i="83"/>
  <c r="P110" i="83"/>
  <c r="P160" i="83" s="1"/>
  <c r="P93" i="83"/>
  <c r="P109" i="83"/>
  <c r="P156" i="83" s="1"/>
  <c r="P31" i="83"/>
  <c r="P16" i="83"/>
  <c r="P38" i="83"/>
  <c r="P26" i="83"/>
  <c r="P40" i="83" s="1"/>
  <c r="P180" i="83"/>
  <c r="P178" i="83" s="1"/>
  <c r="P122" i="83"/>
  <c r="P181" i="83" s="1"/>
  <c r="P52" i="83"/>
  <c r="P68" i="83"/>
  <c r="P154" i="83" s="1"/>
  <c r="CR48" i="30"/>
  <c r="CR40" i="30"/>
  <c r="DU46" i="30"/>
  <c r="DU35" i="30"/>
  <c r="DU30" i="30"/>
  <c r="DU19" i="30"/>
  <c r="P171" i="83"/>
  <c r="P169" i="83" s="1"/>
  <c r="P75" i="83"/>
  <c r="P170" i="83" s="1"/>
  <c r="P116" i="83"/>
  <c r="P172" i="83" s="1"/>
  <c r="CM51" i="30"/>
  <c r="P55" i="83" l="1"/>
  <c r="P70" i="83"/>
  <c r="P77" i="83"/>
  <c r="DU21" i="30"/>
  <c r="DU38" i="30" s="1"/>
  <c r="P18" i="83"/>
  <c r="DU37" i="30"/>
  <c r="P65" i="83"/>
  <c r="P79" i="83" s="1"/>
  <c r="P111" i="83"/>
  <c r="P118" i="83"/>
  <c r="P96" i="83"/>
  <c r="DU48" i="30"/>
  <c r="DU40" i="30"/>
  <c r="P21" i="83"/>
  <c r="P23" i="83" s="1"/>
  <c r="P106" i="83"/>
  <c r="P120" i="83" s="1"/>
  <c r="P168" i="83"/>
  <c r="P127" i="83" s="1"/>
  <c r="CR39" i="30"/>
  <c r="CR25" i="30"/>
  <c r="CR47" i="30" s="1"/>
  <c r="DU23" i="30" l="1"/>
  <c r="DU25" i="30" s="1"/>
  <c r="DU47" i="30" s="1"/>
  <c r="DU66" i="30"/>
  <c r="V23" i="83"/>
  <c r="X23" i="83" s="1"/>
  <c r="Y23" i="83" s="1"/>
  <c r="P39" i="83"/>
  <c r="P98" i="83"/>
  <c r="P112" i="83" s="1"/>
  <c r="P165" i="83" s="1"/>
  <c r="P57" i="83"/>
  <c r="P71" i="83" s="1"/>
  <c r="P163" i="83" s="1"/>
  <c r="P32" i="83"/>
  <c r="P164" i="83" s="1"/>
  <c r="P162" i="83" s="1"/>
  <c r="P131" i="83"/>
  <c r="P129" i="83" s="1"/>
  <c r="P132" i="83"/>
  <c r="P173" i="83" s="1"/>
  <c r="CM53" i="30"/>
  <c r="P134" i="83" l="1"/>
  <c r="P161" i="83" s="1"/>
  <c r="DU39" i="30"/>
  <c r="P60" i="83"/>
  <c r="P62" i="83" s="1"/>
  <c r="V62" i="83" s="1"/>
  <c r="X62" i="83" s="1"/>
  <c r="Y62" i="83" s="1"/>
  <c r="P101" i="83"/>
  <c r="P103" i="83" s="1"/>
  <c r="AC59" i="8"/>
  <c r="AC60" i="8" s="1"/>
  <c r="P150" i="83" l="1"/>
  <c r="P176" i="83" s="1"/>
  <c r="P78" i="83"/>
  <c r="P174" i="83"/>
  <c r="P137" i="83"/>
  <c r="P139" i="83" s="1"/>
  <c r="P142" i="83" s="1"/>
  <c r="P144" i="83" s="1"/>
  <c r="P175" i="83" s="1"/>
  <c r="P119" i="83"/>
  <c r="V103" i="83"/>
  <c r="X103" i="83" s="1"/>
  <c r="Y103" i="83" s="1"/>
  <c r="W3" i="83" s="1"/>
  <c r="BG9" i="3" l="1"/>
  <c r="BG79" i="3" l="1"/>
  <c r="BG15" i="3"/>
  <c r="BG21" i="3" s="1"/>
  <c r="BG74" i="3" l="1"/>
  <c r="BG55" i="3"/>
  <c r="AY210" i="40" l="1"/>
  <c r="BN210" i="40" s="1"/>
  <c r="R210" i="40"/>
  <c r="AG210" i="40" l="1"/>
  <c r="D210" i="40"/>
  <c r="H210" i="40" s="1"/>
  <c r="T210" i="40"/>
  <c r="V210" i="40" l="1"/>
  <c r="BC238" i="45"/>
  <c r="P210" i="40"/>
  <c r="AE210" i="40"/>
  <c r="AI210" i="40"/>
  <c r="AK210" i="40" s="1"/>
  <c r="AW222" i="47" l="1"/>
  <c r="X222" i="47"/>
  <c r="Z222" i="47" s="1"/>
  <c r="AW229" i="47"/>
  <c r="AL222" i="47"/>
  <c r="AN222" i="47" s="1"/>
  <c r="V223" i="47"/>
  <c r="H230" i="47" s="1"/>
  <c r="G240" i="45" s="1"/>
  <c r="AD82" i="14" s="1"/>
  <c r="D222" i="47"/>
  <c r="J222" i="47" s="1"/>
  <c r="R222" i="47" s="1"/>
  <c r="V229" i="47"/>
  <c r="E239" i="45" s="1"/>
  <c r="AL223" i="47" l="1"/>
  <c r="AN223" i="47" s="1"/>
  <c r="F239" i="45"/>
  <c r="H239" i="45"/>
  <c r="AW223" i="47"/>
  <c r="D223" i="47"/>
  <c r="J223" i="47" s="1"/>
  <c r="R223" i="47" s="1"/>
  <c r="E233" i="45"/>
  <c r="X223" i="47"/>
  <c r="Z223" i="47" s="1"/>
  <c r="F230" i="47"/>
  <c r="V230" i="47"/>
  <c r="AL229" i="47"/>
  <c r="X229" i="47"/>
  <c r="Z229" i="47" s="1"/>
  <c r="AW230" i="47" l="1"/>
  <c r="X230" i="47"/>
  <c r="Z230" i="47" s="1"/>
  <c r="E240" i="45"/>
  <c r="D230" i="47"/>
  <c r="J230" i="47" s="1"/>
  <c r="R230" i="47" s="1"/>
  <c r="H240" i="45"/>
  <c r="BK230" i="47"/>
  <c r="BF212" i="40"/>
  <c r="F233" i="45"/>
  <c r="AC57" i="14"/>
  <c r="I233" i="45"/>
  <c r="AN229" i="47"/>
  <c r="AL230" i="47"/>
  <c r="AN230" i="47" s="1"/>
  <c r="I240" i="45" l="1"/>
  <c r="AC79" i="14"/>
  <c r="AC67" i="14"/>
  <c r="AC68" i="14" s="1"/>
  <c r="AC58" i="14"/>
  <c r="F240" i="45"/>
  <c r="AD57" i="14"/>
  <c r="AC83" i="14" l="1"/>
  <c r="AD58" i="14"/>
  <c r="AD79" i="14"/>
  <c r="AE57" i="14"/>
  <c r="AD67" i="14"/>
  <c r="AD68" i="14" s="1"/>
  <c r="AE79" i="14" l="1"/>
  <c r="AE58" i="14"/>
  <c r="AE67" i="14"/>
  <c r="AE68" i="14" s="1"/>
  <c r="AF57" i="14"/>
  <c r="AD88" i="14"/>
  <c r="AD83" i="14"/>
  <c r="AE83" i="14" l="1"/>
  <c r="AE89" i="14"/>
  <c r="AF79" i="14"/>
  <c r="AF58" i="14"/>
  <c r="AF67" i="14"/>
  <c r="AF68" i="14" s="1"/>
  <c r="AG57" i="14"/>
  <c r="AG79" i="14" l="1"/>
  <c r="AG58" i="14"/>
  <c r="AG67" i="14"/>
  <c r="AG68" i="14" s="1"/>
  <c r="AH57" i="14"/>
  <c r="AF83" i="14"/>
  <c r="AF89" i="14"/>
  <c r="AG83" i="14" l="1"/>
  <c r="AG89" i="14"/>
  <c r="AH58" i="14"/>
  <c r="AH79" i="14"/>
  <c r="AH67" i="14"/>
  <c r="AH68" i="14" s="1"/>
  <c r="AH83" i="14" l="1"/>
  <c r="AH89" i="14"/>
  <c r="AN409" i="47"/>
  <c r="AL409" i="47"/>
  <c r="AL410" i="47"/>
  <c r="AN410" i="47" s="1"/>
  <c r="D410" i="47"/>
  <c r="J410" i="47" s="1"/>
  <c r="R410" i="47" s="1"/>
  <c r="F417" i="47"/>
  <c r="BG212" i="40" s="1"/>
  <c r="X409" i="47"/>
  <c r="Z409" i="47" s="1"/>
  <c r="V410" i="47"/>
  <c r="Q233" i="45" s="1"/>
  <c r="R233" i="45" s="1"/>
  <c r="D409" i="47"/>
  <c r="J409" i="47" s="1"/>
  <c r="R409" i="47" s="1"/>
  <c r="V416" i="47"/>
  <c r="H417" i="47" l="1"/>
  <c r="S240" i="45" s="1"/>
  <c r="AD121" i="14" s="1"/>
  <c r="X410" i="47"/>
  <c r="Z410" i="47" s="1"/>
  <c r="AC96" i="14"/>
  <c r="AL416" i="47"/>
  <c r="X416" i="47"/>
  <c r="Q239" i="45"/>
  <c r="U233" i="45"/>
  <c r="V417" i="47"/>
  <c r="R239" i="45" l="1"/>
  <c r="T239" i="45"/>
  <c r="Z416" i="47"/>
  <c r="X417" i="47"/>
  <c r="Z417" i="47" s="1"/>
  <c r="AL417" i="47"/>
  <c r="AN417" i="47" s="1"/>
  <c r="AN416" i="47"/>
  <c r="Q240" i="45"/>
  <c r="D417" i="47"/>
  <c r="J417" i="47" s="1"/>
  <c r="R417" i="47" s="1"/>
  <c r="AC118" i="14"/>
  <c r="AI96" i="14"/>
  <c r="AC106" i="14"/>
  <c r="AC107" i="14" s="1"/>
  <c r="AC97" i="14"/>
  <c r="T240" i="45" l="1"/>
  <c r="AD96" i="14"/>
  <c r="R240" i="45"/>
  <c r="AC126" i="14"/>
  <c r="AC122" i="14"/>
  <c r="U240" i="45" l="1"/>
  <c r="AD97" i="14"/>
  <c r="AD118" i="14"/>
  <c r="AE96" i="14"/>
  <c r="AD106" i="14"/>
  <c r="AD107" i="14" s="1"/>
  <c r="AE106" i="14" l="1"/>
  <c r="AE107" i="14" s="1"/>
  <c r="AE97" i="14"/>
  <c r="AE122" i="14" s="1"/>
  <c r="AE118" i="14"/>
  <c r="AF96" i="14"/>
  <c r="AD122" i="14"/>
  <c r="AD126" i="14"/>
  <c r="AF97" i="14" l="1"/>
  <c r="AF122" i="14" s="1"/>
  <c r="AF118" i="14"/>
  <c r="AF106" i="14"/>
  <c r="AF107" i="14" s="1"/>
  <c r="AG96" i="14"/>
  <c r="AG106" i="14" l="1"/>
  <c r="AG107" i="14" s="1"/>
  <c r="AG97" i="14"/>
  <c r="AG122" i="14" s="1"/>
  <c r="AG118" i="14"/>
  <c r="AH96" i="14"/>
  <c r="AH97" i="14" l="1"/>
  <c r="AH122" i="14" s="1"/>
  <c r="AH118" i="14"/>
  <c r="AH106" i="14"/>
  <c r="AH107" i="14" s="1"/>
  <c r="AC197" i="14"/>
  <c r="X503" i="47"/>
  <c r="Z503" i="47" s="1"/>
  <c r="V504" i="47"/>
  <c r="AL503" i="47"/>
  <c r="AN503" i="47" s="1"/>
  <c r="V511" i="47"/>
  <c r="D503" i="47"/>
  <c r="J503" i="47" s="1"/>
  <c r="R503" i="47" s="1"/>
  <c r="V510" i="47"/>
  <c r="X510" i="47" s="1"/>
  <c r="AG239" i="45"/>
  <c r="AL510" i="47" l="1"/>
  <c r="AN510" i="47" s="1"/>
  <c r="X504" i="47"/>
  <c r="Z504" i="47" s="1"/>
  <c r="AL504" i="47"/>
  <c r="AN504" i="47" s="1"/>
  <c r="AG233" i="45"/>
  <c r="F511" i="47"/>
  <c r="D504" i="47"/>
  <c r="J504" i="47" s="1"/>
  <c r="R504" i="47" s="1"/>
  <c r="AH239" i="45"/>
  <c r="AJ239" i="45"/>
  <c r="H511" i="47"/>
  <c r="AI240" i="45" s="1"/>
  <c r="AD197" i="14" s="1"/>
  <c r="D511" i="47"/>
  <c r="AG240" i="45"/>
  <c r="X511" i="47"/>
  <c r="Z511" i="47" s="1"/>
  <c r="Z510" i="47"/>
  <c r="AL511" i="47" l="1"/>
  <c r="AN511" i="47" s="1"/>
  <c r="J511" i="47"/>
  <c r="R511" i="47" s="1"/>
  <c r="AD172" i="14"/>
  <c r="AH240" i="45"/>
  <c r="BI212" i="40"/>
  <c r="BK511" i="47"/>
  <c r="AJ240" i="45"/>
  <c r="AK233" i="45"/>
  <c r="AC172" i="14"/>
  <c r="AH233" i="45"/>
  <c r="AK240" i="45" l="1"/>
  <c r="BF240" i="45"/>
  <c r="AD173" i="14"/>
  <c r="AD194" i="14"/>
  <c r="AD182" i="14"/>
  <c r="AE172" i="14"/>
  <c r="AC194" i="14"/>
  <c r="AC182" i="14"/>
  <c r="AC183" i="14" s="1"/>
  <c r="AC173" i="14"/>
  <c r="AD183" i="14" l="1"/>
  <c r="AC198" i="14"/>
  <c r="AC202" i="14"/>
  <c r="AD202" i="14"/>
  <c r="AD198" i="14"/>
  <c r="AF172" i="14"/>
  <c r="AE194" i="14"/>
  <c r="AE182" i="14"/>
  <c r="AE183" i="14" s="1"/>
  <c r="AE173" i="14"/>
  <c r="AE198" i="14" s="1"/>
  <c r="AF194" i="14" l="1"/>
  <c r="AF182" i="14"/>
  <c r="AF183" i="14" s="1"/>
  <c r="AG172" i="14"/>
  <c r="AF173" i="14"/>
  <c r="AF198" i="14" s="1"/>
  <c r="AG173" i="14" l="1"/>
  <c r="AG198" i="14" s="1"/>
  <c r="AG194" i="14"/>
  <c r="AG182" i="14"/>
  <c r="AG183" i="14" s="1"/>
  <c r="AH172" i="14"/>
  <c r="AH194" i="14" l="1"/>
  <c r="AH182" i="14"/>
  <c r="AH183" i="14" s="1"/>
  <c r="AH173" i="14"/>
  <c r="AH198" i="14" s="1"/>
  <c r="BH205" i="40"/>
  <c r="BK584" i="47"/>
  <c r="X583" i="47"/>
  <c r="AL583" i="47"/>
  <c r="AL584" i="47" s="1"/>
  <c r="AN584" i="47" s="1"/>
  <c r="V584" i="47"/>
  <c r="D584" i="47" s="1"/>
  <c r="J584" i="47" s="1"/>
  <c r="D583" i="47"/>
  <c r="J583" i="47" s="1"/>
  <c r="V590" i="47"/>
  <c r="W239" i="45" s="1"/>
  <c r="AW239" i="45" s="1"/>
  <c r="V591" i="47" l="1"/>
  <c r="AL590" i="47"/>
  <c r="AN590" i="47" s="1"/>
  <c r="AL591" i="47"/>
  <c r="AN591" i="47" s="1"/>
  <c r="W233" i="45"/>
  <c r="AA233" i="45" s="1"/>
  <c r="X590" i="47"/>
  <c r="Z590" i="47" s="1"/>
  <c r="BT239" i="45"/>
  <c r="BD211" i="40"/>
  <c r="BB211" i="40"/>
  <c r="BA211" i="40"/>
  <c r="BQ239" i="45"/>
  <c r="BU239" i="45" s="1"/>
  <c r="BP239" i="45"/>
  <c r="BO239" i="45"/>
  <c r="BW239" i="45"/>
  <c r="Z583" i="47"/>
  <c r="X584" i="47"/>
  <c r="Z584" i="47" s="1"/>
  <c r="X233" i="45"/>
  <c r="AC134" i="14"/>
  <c r="F591" i="47"/>
  <c r="W240" i="45"/>
  <c r="D591" i="47"/>
  <c r="H591" i="47"/>
  <c r="Y240" i="45" s="1"/>
  <c r="AD159" i="14" s="1"/>
  <c r="BR239" i="45"/>
  <c r="X239" i="45"/>
  <c r="BC211" i="40"/>
  <c r="F211" i="40"/>
  <c r="DP13" i="36" s="1"/>
  <c r="CT44" i="30" s="1" a="1"/>
  <c r="Z239" i="45"/>
  <c r="DN13" i="36"/>
  <c r="CT9" i="30" s="1" a="1"/>
  <c r="AN583" i="47"/>
  <c r="X591" i="47" l="1"/>
  <c r="Z591" i="47" s="1"/>
  <c r="BK211" i="40"/>
  <c r="BL211" i="40" s="1"/>
  <c r="AW233" i="45"/>
  <c r="BR233" i="45" s="1"/>
  <c r="CV44" i="30"/>
  <c r="CT44" i="30"/>
  <c r="CU44" i="30"/>
  <c r="CU9" i="30"/>
  <c r="CT9" i="30"/>
  <c r="CV9" i="30"/>
  <c r="DO61" i="36"/>
  <c r="CW9" i="30"/>
  <c r="DO13" i="36"/>
  <c r="AY211" i="40"/>
  <c r="R211" i="40"/>
  <c r="DN23" i="36"/>
  <c r="CT11" i="30" s="1" a="1"/>
  <c r="D210" i="2"/>
  <c r="DN14" i="36"/>
  <c r="DN33" i="36"/>
  <c r="AD134" i="14"/>
  <c r="X240" i="45"/>
  <c r="AW240" i="45"/>
  <c r="Z240" i="45"/>
  <c r="AA240" i="45" s="1"/>
  <c r="BF239" i="45"/>
  <c r="BW233" i="45"/>
  <c r="BA205" i="40"/>
  <c r="BB205" i="40"/>
  <c r="BD205" i="40"/>
  <c r="BO233" i="45"/>
  <c r="AC7" i="14"/>
  <c r="BP233" i="45"/>
  <c r="BQ233" i="45"/>
  <c r="BU233" i="45" s="1"/>
  <c r="J591" i="47"/>
  <c r="DZ13" i="36"/>
  <c r="CW44" i="30"/>
  <c r="DW13" i="36"/>
  <c r="BH212" i="40"/>
  <c r="BK591" i="47"/>
  <c r="AC156" i="14"/>
  <c r="AC8" i="14"/>
  <c r="AC144" i="14"/>
  <c r="AC145" i="14" s="1"/>
  <c r="AC135" i="14"/>
  <c r="BC205" i="40"/>
  <c r="CT14" i="30" l="1" a="1"/>
  <c r="CU14" i="30" s="1"/>
  <c r="DU33" i="36"/>
  <c r="BN211" i="40"/>
  <c r="BT233" i="45"/>
  <c r="CV36" i="30"/>
  <c r="CV43" i="30"/>
  <c r="CT43" i="30"/>
  <c r="CT36" i="30"/>
  <c r="CV11" i="30"/>
  <c r="CV13" i="30" s="1"/>
  <c r="CU11" i="30"/>
  <c r="CU13" i="30" s="1"/>
  <c r="CT11" i="30"/>
  <c r="CT13" i="30" s="1"/>
  <c r="CU36" i="30"/>
  <c r="CU43" i="30"/>
  <c r="DO62" i="36"/>
  <c r="DO14" i="36"/>
  <c r="AY212" i="40"/>
  <c r="AD7" i="8"/>
  <c r="R212" i="40"/>
  <c r="AC14" i="14"/>
  <c r="AC9" i="14"/>
  <c r="AC44" i="14" s="1"/>
  <c r="AC24" i="14"/>
  <c r="AC25" i="14" s="1"/>
  <c r="AC36" i="14"/>
  <c r="BB212" i="40"/>
  <c r="BW240" i="45"/>
  <c r="BT240" i="45"/>
  <c r="BQ240" i="45"/>
  <c r="BU240" i="45" s="1"/>
  <c r="BD212" i="40"/>
  <c r="AD7" i="14"/>
  <c r="BA212" i="40"/>
  <c r="BP240" i="45"/>
  <c r="BO240" i="45"/>
  <c r="F210" i="2"/>
  <c r="CW11" i="30"/>
  <c r="CW13" i="30" s="1"/>
  <c r="DN24" i="36"/>
  <c r="AD11" i="8" s="1"/>
  <c r="AG211" i="40"/>
  <c r="D211" i="40"/>
  <c r="H211" i="40" s="1"/>
  <c r="T211" i="40"/>
  <c r="BR240" i="45"/>
  <c r="AC164" i="14"/>
  <c r="AC160" i="14"/>
  <c r="BK205" i="40"/>
  <c r="BL205" i="40" s="1"/>
  <c r="BN205" i="40" s="1"/>
  <c r="AD8" i="14"/>
  <c r="AD156" i="14"/>
  <c r="AE134" i="14"/>
  <c r="AD144" i="14"/>
  <c r="AD145" i="14" s="1"/>
  <c r="AD135" i="14"/>
  <c r="L210" i="2"/>
  <c r="D211" i="2"/>
  <c r="L211" i="2" s="1"/>
  <c r="DN51" i="36"/>
  <c r="BC212" i="40"/>
  <c r="DP33" i="36"/>
  <c r="DN34" i="36"/>
  <c r="CW36" i="30"/>
  <c r="CW43" i="30"/>
  <c r="CV14" i="30" l="1"/>
  <c r="CT14" i="30"/>
  <c r="CW14" i="30"/>
  <c r="CW16" i="30" s="1"/>
  <c r="CV16" i="30"/>
  <c r="CV33" i="30"/>
  <c r="CV45" i="30"/>
  <c r="CV34" i="30"/>
  <c r="CU16" i="30"/>
  <c r="CU33" i="30"/>
  <c r="CT34" i="30"/>
  <c r="CT45" i="30"/>
  <c r="CT33" i="30"/>
  <c r="CT16" i="30"/>
  <c r="CU45" i="30"/>
  <c r="CU34" i="30"/>
  <c r="CW33" i="30"/>
  <c r="BI62" i="3"/>
  <c r="BI30" i="3" s="1"/>
  <c r="Q8" i="83"/>
  <c r="DV11" i="30"/>
  <c r="AD15" i="8"/>
  <c r="AD17" i="8" s="1"/>
  <c r="AD12" i="8"/>
  <c r="BH78" i="32"/>
  <c r="AD35" i="8"/>
  <c r="AD28" i="8"/>
  <c r="BI61" i="3"/>
  <c r="Q6" i="83"/>
  <c r="AD8" i="8"/>
  <c r="AD13" i="8" s="1"/>
  <c r="BI12" i="3"/>
  <c r="DV9" i="30"/>
  <c r="AD18" i="8"/>
  <c r="AD19" i="8" s="1"/>
  <c r="CW34" i="30"/>
  <c r="AD36" i="14"/>
  <c r="AE39" i="14"/>
  <c r="AD9" i="14"/>
  <c r="AD24" i="14"/>
  <c r="AD25" i="14" s="1"/>
  <c r="AD14" i="14"/>
  <c r="AC46" i="14"/>
  <c r="AC15" i="14"/>
  <c r="D212" i="40"/>
  <c r="F212" i="40"/>
  <c r="DP14" i="36" s="1"/>
  <c r="BC239" i="45"/>
  <c r="DO51" i="36"/>
  <c r="DP51" i="36"/>
  <c r="DN52" i="36"/>
  <c r="DN81" i="36"/>
  <c r="AE8" i="14"/>
  <c r="AE135" i="14"/>
  <c r="AE144" i="14"/>
  <c r="AE145" i="14" s="1"/>
  <c r="AF134" i="14"/>
  <c r="AE156" i="14"/>
  <c r="AI135" i="14"/>
  <c r="AE7" i="14"/>
  <c r="AG212" i="40"/>
  <c r="AI212" i="40" s="1"/>
  <c r="AK212" i="40" s="1"/>
  <c r="AI211" i="40"/>
  <c r="AK211" i="40" s="1"/>
  <c r="T209" i="2"/>
  <c r="F211" i="2"/>
  <c r="DO24" i="36"/>
  <c r="DP24" i="36" s="1"/>
  <c r="AD160" i="14"/>
  <c r="AD164" i="14"/>
  <c r="DU60" i="30"/>
  <c r="AC37" i="14"/>
  <c r="P211" i="40"/>
  <c r="AE211" i="40"/>
  <c r="DS34" i="36"/>
  <c r="AD14" i="8"/>
  <c r="AD31" i="8" s="1"/>
  <c r="DO34" i="36"/>
  <c r="DP34" i="36"/>
  <c r="V211" i="40"/>
  <c r="T212" i="40"/>
  <c r="V212" i="40" s="1"/>
  <c r="BK212" i="40"/>
  <c r="BL212" i="40" s="1"/>
  <c r="BN212" i="40" s="1"/>
  <c r="CW45" i="30" l="1"/>
  <c r="CU46" i="30"/>
  <c r="CU19" i="30"/>
  <c r="CU35" i="30"/>
  <c r="CT19" i="30"/>
  <c r="CT46" i="30"/>
  <c r="CT35" i="30"/>
  <c r="CV35" i="30"/>
  <c r="CV19" i="30"/>
  <c r="CV46" i="30"/>
  <c r="AD58" i="8"/>
  <c r="AD32" i="8"/>
  <c r="AD47" i="14" s="1"/>
  <c r="AD46" i="14" s="1"/>
  <c r="AD40" i="8"/>
  <c r="AE9" i="8"/>
  <c r="R36" i="83"/>
  <c r="R171" i="83" s="1"/>
  <c r="R169" i="83" s="1"/>
  <c r="DW44" i="30"/>
  <c r="DV60" i="30"/>
  <c r="AD37" i="14"/>
  <c r="AF135" i="14"/>
  <c r="AF7" i="14"/>
  <c r="AF144" i="14"/>
  <c r="AF145" i="14" s="1"/>
  <c r="AG134" i="14"/>
  <c r="AF156" i="14"/>
  <c r="AF8" i="14"/>
  <c r="H212" i="40"/>
  <c r="Q35" i="83"/>
  <c r="Q10" i="83"/>
  <c r="BI11" i="3"/>
  <c r="BI14" i="3"/>
  <c r="BH33" i="32" s="1"/>
  <c r="BH38" i="32"/>
  <c r="DV43" i="30"/>
  <c r="DV36" i="30"/>
  <c r="DV13" i="30"/>
  <c r="BI54" i="3"/>
  <c r="BI26" i="3"/>
  <c r="BH32" i="32"/>
  <c r="H210" i="2"/>
  <c r="AE9" i="14"/>
  <c r="AE44" i="14" s="1"/>
  <c r="AE36" i="14"/>
  <c r="AE24" i="14"/>
  <c r="AE25" i="14" s="1"/>
  <c r="AF39" i="14"/>
  <c r="AE14" i="14"/>
  <c r="DN82" i="36"/>
  <c r="DO81" i="36"/>
  <c r="DP81" i="36"/>
  <c r="DN101" i="36"/>
  <c r="CT21" i="30" s="1" a="1"/>
  <c r="DV15" i="30"/>
  <c r="Q12" i="83"/>
  <c r="BH11" i="32"/>
  <c r="CW46" i="30"/>
  <c r="CW19" i="30"/>
  <c r="CW35" i="30"/>
  <c r="AD23" i="8"/>
  <c r="BI63" i="3"/>
  <c r="DV14" i="30"/>
  <c r="Q11" i="83"/>
  <c r="AD24" i="8"/>
  <c r="AD27" i="8"/>
  <c r="AD21" i="8"/>
  <c r="AD22" i="8" s="1"/>
  <c r="DW14" i="36"/>
  <c r="DZ14" i="36"/>
  <c r="AD39" i="14"/>
  <c r="DP52" i="36"/>
  <c r="DO52" i="36"/>
  <c r="BC240" i="45"/>
  <c r="AD15" i="14"/>
  <c r="CT37" i="30" l="1"/>
  <c r="DN111" i="36"/>
  <c r="DN151" i="36" s="1"/>
  <c r="CV37" i="30"/>
  <c r="CU37" i="30"/>
  <c r="CV21" i="30"/>
  <c r="CV38" i="30" s="1"/>
  <c r="CT21" i="30"/>
  <c r="CT38" i="30" s="1"/>
  <c r="CU21" i="30"/>
  <c r="CU38" i="30" s="1"/>
  <c r="DO82" i="36"/>
  <c r="DP82" i="36"/>
  <c r="AE15" i="14"/>
  <c r="AE7" i="8"/>
  <c r="BH31" i="32"/>
  <c r="BI17" i="3"/>
  <c r="DN44" i="36"/>
  <c r="BH36" i="32"/>
  <c r="BI53" i="3"/>
  <c r="DV34" i="30"/>
  <c r="DV45" i="30"/>
  <c r="DX44" i="30"/>
  <c r="AF9" i="8"/>
  <c r="S36" i="83"/>
  <c r="S171" i="83" s="1"/>
  <c r="S169" i="83" s="1"/>
  <c r="AG156" i="14"/>
  <c r="AG135" i="14"/>
  <c r="AG8" i="14"/>
  <c r="AH134" i="14"/>
  <c r="AG7" i="14"/>
  <c r="AG144" i="14"/>
  <c r="AG145" i="14" s="1"/>
  <c r="Q13" i="83"/>
  <c r="Q29" i="83"/>
  <c r="AD9" i="8"/>
  <c r="Q36" i="83"/>
  <c r="Q171" i="83" s="1"/>
  <c r="Q169" i="83" s="1"/>
  <c r="DV44" i="30"/>
  <c r="DN131" i="36"/>
  <c r="DO111" i="36"/>
  <c r="DW60" i="30"/>
  <c r="AE37" i="14"/>
  <c r="AF36" i="14"/>
  <c r="AG39" i="14"/>
  <c r="AF14" i="14"/>
  <c r="AF24" i="14"/>
  <c r="AF25" i="14" s="1"/>
  <c r="AF9" i="14"/>
  <c r="AF44" i="14" s="1"/>
  <c r="DN102" i="36"/>
  <c r="CW21" i="30"/>
  <c r="CW38" i="30" s="1"/>
  <c r="CW37" i="30"/>
  <c r="AD210" i="2"/>
  <c r="AF210" i="2" s="1"/>
  <c r="P210" i="2"/>
  <c r="J210" i="2"/>
  <c r="N210" i="2"/>
  <c r="X210" i="2"/>
  <c r="Z210" i="2" s="1"/>
  <c r="P212" i="40"/>
  <c r="AE212" i="40"/>
  <c r="Q92" i="83"/>
  <c r="Q51" i="83"/>
  <c r="Q133" i="83"/>
  <c r="DV33" i="30"/>
  <c r="DV16" i="30"/>
  <c r="AD41" i="8"/>
  <c r="Q37" i="83"/>
  <c r="Q30" i="83"/>
  <c r="AD44" i="14"/>
  <c r="DN112" i="36" l="1"/>
  <c r="DO112" i="36" s="1"/>
  <c r="DN141" i="36"/>
  <c r="DO141" i="36" s="1"/>
  <c r="CU23" i="30"/>
  <c r="CU39" i="30" s="1"/>
  <c r="CV23" i="30"/>
  <c r="Q121" i="83"/>
  <c r="Q180" i="83" s="1"/>
  <c r="Q178" i="83" s="1"/>
  <c r="Q168" i="83" s="1"/>
  <c r="Q127" i="83" s="1"/>
  <c r="Q80" i="83"/>
  <c r="Q81" i="83" s="1"/>
  <c r="Q74" i="83" s="1"/>
  <c r="CT23" i="30"/>
  <c r="DN132" i="36"/>
  <c r="DO132" i="36" s="1"/>
  <c r="DO131" i="36"/>
  <c r="AH135" i="14"/>
  <c r="AH144" i="14"/>
  <c r="AH145" i="14" s="1"/>
  <c r="AH156" i="14"/>
  <c r="AH8" i="14"/>
  <c r="AH7" i="14"/>
  <c r="AF37" i="14"/>
  <c r="DX60" i="30"/>
  <c r="CW23" i="30"/>
  <c r="Q177" i="83"/>
  <c r="DY44" i="30"/>
  <c r="T36" i="83"/>
  <c r="T171" i="83" s="1"/>
  <c r="T169" i="83" s="1"/>
  <c r="T168" i="83" s="1"/>
  <c r="AG9" i="8"/>
  <c r="Q38" i="83"/>
  <c r="Q31" i="83"/>
  <c r="Q16" i="83"/>
  <c r="Q26" i="83"/>
  <c r="Q40" i="83" s="1"/>
  <c r="DO44" i="36"/>
  <c r="DN43" i="36"/>
  <c r="CT15" i="30" s="1" a="1"/>
  <c r="BK12" i="3"/>
  <c r="BJ78" i="32"/>
  <c r="AE15" i="8"/>
  <c r="AE17" i="8" s="1"/>
  <c r="AE28" i="8"/>
  <c r="AE14" i="8"/>
  <c r="DW9" i="30"/>
  <c r="BK61" i="3"/>
  <c r="AE8" i="8"/>
  <c r="AE13" i="8" s="1"/>
  <c r="AE11" i="8"/>
  <c r="AE18" i="8"/>
  <c r="AE19" i="8" s="1"/>
  <c r="AE35" i="8"/>
  <c r="R6" i="83"/>
  <c r="DV30" i="30"/>
  <c r="DV19" i="30"/>
  <c r="DV46" i="30"/>
  <c r="DV35" i="30"/>
  <c r="DO102" i="36"/>
  <c r="AD43" i="8"/>
  <c r="DN161" i="36"/>
  <c r="DO161" i="36" s="1"/>
  <c r="DO151" i="36"/>
  <c r="DN152" i="36"/>
  <c r="Q155" i="83"/>
  <c r="Q153" i="83" s="1"/>
  <c r="Q154" i="83"/>
  <c r="Q156" i="83"/>
  <c r="AH210" i="2"/>
  <c r="J211" i="2"/>
  <c r="R211" i="2" s="1"/>
  <c r="R210" i="2"/>
  <c r="Q69" i="83"/>
  <c r="Q158" i="83" s="1"/>
  <c r="Q160" i="83"/>
  <c r="Q159" i="83"/>
  <c r="Q157" i="83" s="1"/>
  <c r="AF15" i="14"/>
  <c r="AF7" i="8"/>
  <c r="AG24" i="14"/>
  <c r="AG25" i="14" s="1"/>
  <c r="AG9" i="14"/>
  <c r="AG44" i="14" s="1"/>
  <c r="AG36" i="14"/>
  <c r="AG14" i="14"/>
  <c r="AH39" i="14"/>
  <c r="DN142" i="36" l="1"/>
  <c r="DO142" i="36" s="1"/>
  <c r="Q122" i="83"/>
  <c r="Q115" i="83" s="1"/>
  <c r="Q179" i="83"/>
  <c r="CU25" i="30"/>
  <c r="CU47" i="30" s="1"/>
  <c r="CT15" i="30"/>
  <c r="CT30" i="30" s="1"/>
  <c r="CV15" i="30"/>
  <c r="CV30" i="30" s="1"/>
  <c r="CU15" i="30"/>
  <c r="CU30" i="30" s="1"/>
  <c r="CT39" i="30"/>
  <c r="CT25" i="30"/>
  <c r="CT47" i="30" s="1"/>
  <c r="AE31" i="8"/>
  <c r="AE58" i="8" s="1"/>
  <c r="CV25" i="30"/>
  <c r="CV47" i="30" s="1"/>
  <c r="CV39" i="30"/>
  <c r="AG15" i="14"/>
  <c r="AG7" i="8"/>
  <c r="AG37" i="14"/>
  <c r="DY60" i="30"/>
  <c r="Q132" i="83"/>
  <c r="Q173" i="83" s="1"/>
  <c r="Q131" i="83"/>
  <c r="DO152" i="36"/>
  <c r="DN162" i="36"/>
  <c r="DO162" i="36" s="1"/>
  <c r="DV40" i="30"/>
  <c r="DV48" i="30"/>
  <c r="Q67" i="83"/>
  <c r="Q45" i="83"/>
  <c r="AE27" i="8"/>
  <c r="DW14" i="30"/>
  <c r="AE24" i="8"/>
  <c r="R11" i="83"/>
  <c r="BK63" i="3"/>
  <c r="AE21" i="8"/>
  <c r="AE22" i="8" s="1"/>
  <c r="DO43" i="36"/>
  <c r="CW15" i="30"/>
  <c r="CW30" i="30" s="1"/>
  <c r="CW39" i="30"/>
  <c r="CW25" i="30"/>
  <c r="CW47" i="30" s="1"/>
  <c r="BK11" i="3"/>
  <c r="BK14" i="3"/>
  <c r="BJ33" i="32" s="1"/>
  <c r="AF8" i="8"/>
  <c r="AF13" i="8" s="1"/>
  <c r="AF28" i="8"/>
  <c r="BM61" i="3"/>
  <c r="AF35" i="8"/>
  <c r="AF18" i="8"/>
  <c r="AF19" i="8" s="1"/>
  <c r="AF15" i="8"/>
  <c r="AF17" i="8" s="1"/>
  <c r="BM12" i="3"/>
  <c r="BL78" i="32"/>
  <c r="DX9" i="30"/>
  <c r="S6" i="83"/>
  <c r="AF11" i="8"/>
  <c r="AF14" i="8"/>
  <c r="AD44" i="8"/>
  <c r="Q18" i="83"/>
  <c r="Q32" i="83" s="1"/>
  <c r="DV21" i="30"/>
  <c r="DV38" i="30" s="1"/>
  <c r="AD46" i="8"/>
  <c r="DW15" i="30"/>
  <c r="BJ11" i="32"/>
  <c r="BK17" i="3" s="1"/>
  <c r="R12" i="83"/>
  <c r="Q181" i="83"/>
  <c r="R8" i="83"/>
  <c r="R10" i="83" s="1"/>
  <c r="BK62" i="3"/>
  <c r="BK30" i="3" s="1"/>
  <c r="DW11" i="30"/>
  <c r="AH9" i="14"/>
  <c r="AH44" i="14" s="1"/>
  <c r="AH24" i="14"/>
  <c r="AH25" i="14" s="1"/>
  <c r="AN7" i="14"/>
  <c r="AH14" i="14"/>
  <c r="AH36" i="14"/>
  <c r="BJ32" i="32"/>
  <c r="BK54" i="3"/>
  <c r="BK26" i="3"/>
  <c r="DV37" i="30"/>
  <c r="DW43" i="30"/>
  <c r="DW36" i="30"/>
  <c r="R35" i="83"/>
  <c r="DZ44" i="30"/>
  <c r="AH9" i="8"/>
  <c r="Q134" i="83" l="1"/>
  <c r="Q174" i="83" s="1"/>
  <c r="Q21" i="83"/>
  <c r="Q23" i="83" s="1"/>
  <c r="Q39" i="83" s="1"/>
  <c r="AE40" i="8"/>
  <c r="AE43" i="8" s="1"/>
  <c r="AE46" i="8" s="1"/>
  <c r="CU40" i="30"/>
  <c r="CU48" i="30"/>
  <c r="DV23" i="30"/>
  <c r="DV39" i="30" s="1"/>
  <c r="AE32" i="8"/>
  <c r="AE47" i="14" s="1"/>
  <c r="AE46" i="14" s="1"/>
  <c r="CV48" i="30"/>
  <c r="CV40" i="30"/>
  <c r="CT40" i="30"/>
  <c r="CT48" i="30"/>
  <c r="AF27" i="8"/>
  <c r="AF24" i="8"/>
  <c r="DX14" i="30"/>
  <c r="S11" i="83"/>
  <c r="AF21" i="8"/>
  <c r="AF22" i="8" s="1"/>
  <c r="BM63" i="3"/>
  <c r="AG35" i="8"/>
  <c r="DY9" i="30"/>
  <c r="AG8" i="8"/>
  <c r="AG13" i="8" s="1"/>
  <c r="T6" i="83"/>
  <c r="AG14" i="8"/>
  <c r="AG11" i="8"/>
  <c r="BO61" i="3"/>
  <c r="BO12" i="3"/>
  <c r="AG15" i="8"/>
  <c r="AG17" i="8" s="1"/>
  <c r="AG28" i="8"/>
  <c r="AG18" i="8"/>
  <c r="AG19" i="8" s="1"/>
  <c r="R133" i="83"/>
  <c r="R92" i="83"/>
  <c r="R51" i="83"/>
  <c r="BJ31" i="32"/>
  <c r="R80" i="83"/>
  <c r="R81" i="83" s="1"/>
  <c r="R121" i="83"/>
  <c r="R177" i="83"/>
  <c r="BK53" i="3"/>
  <c r="BJ36" i="32"/>
  <c r="S35" i="83"/>
  <c r="BJ38" i="32"/>
  <c r="DX15" i="30"/>
  <c r="BL11" i="32"/>
  <c r="BM17" i="3" s="1"/>
  <c r="S12" i="83"/>
  <c r="DX11" i="30"/>
  <c r="DX13" i="30" s="1"/>
  <c r="S8" i="83"/>
  <c r="S10" i="83" s="1"/>
  <c r="BM62" i="3"/>
  <c r="BM30" i="3" s="1"/>
  <c r="BL38" i="32" s="1"/>
  <c r="Q129" i="83"/>
  <c r="AH15" i="14"/>
  <c r="AN14" i="14"/>
  <c r="AH7" i="8"/>
  <c r="DV66" i="30"/>
  <c r="DW45" i="30"/>
  <c r="DW34" i="30"/>
  <c r="AF31" i="8"/>
  <c r="R29" i="83"/>
  <c r="R13" i="83"/>
  <c r="CW40" i="30"/>
  <c r="CW48" i="30"/>
  <c r="DW13" i="30"/>
  <c r="BM11" i="3"/>
  <c r="BL31" i="32" s="1"/>
  <c r="BM14" i="3"/>
  <c r="BL33" i="32" s="1"/>
  <c r="Q50" i="83"/>
  <c r="Q49" i="83"/>
  <c r="BI64" i="3"/>
  <c r="BH10" i="32"/>
  <c r="AD49" i="8"/>
  <c r="AD50" i="8" s="1"/>
  <c r="AD47" i="8"/>
  <c r="DX43" i="30"/>
  <c r="DX36" i="30"/>
  <c r="DZ60" i="30"/>
  <c r="AH37" i="14"/>
  <c r="AN36" i="14"/>
  <c r="Q86" i="83"/>
  <c r="Q108" i="83"/>
  <c r="Q71" i="83"/>
  <c r="Q163" i="83" s="1"/>
  <c r="Q164" i="83"/>
  <c r="Q162" i="83" s="1"/>
  <c r="Q165" i="83"/>
  <c r="BL32" i="32"/>
  <c r="BM26" i="3"/>
  <c r="BM54" i="3"/>
  <c r="R37" i="83"/>
  <c r="R30" i="83"/>
  <c r="Q150" i="83" l="1"/>
  <c r="Q176" i="83" s="1"/>
  <c r="Q161" i="83"/>
  <c r="Q137" i="83"/>
  <c r="Q139" i="83" s="1"/>
  <c r="Q142" i="83" s="1"/>
  <c r="Q144" i="83" s="1"/>
  <c r="Q175" i="83" s="1"/>
  <c r="AE41" i="8"/>
  <c r="Q52" i="83"/>
  <c r="Q65" i="83" s="1"/>
  <c r="Q79" i="83" s="1"/>
  <c r="DV25" i="30"/>
  <c r="DV47" i="30" s="1"/>
  <c r="S29" i="83"/>
  <c r="S13" i="83"/>
  <c r="DW33" i="30"/>
  <c r="DW16" i="30"/>
  <c r="DY11" i="30"/>
  <c r="DY13" i="30" s="1"/>
  <c r="T8" i="83"/>
  <c r="T10" i="83" s="1"/>
  <c r="BO62" i="3"/>
  <c r="BO30" i="3" s="1"/>
  <c r="BN38" i="32" s="1"/>
  <c r="R122" i="83"/>
  <c r="R180" i="83"/>
  <c r="R178" i="83" s="1"/>
  <c r="R168" i="83" s="1"/>
  <c r="R127" i="83" s="1"/>
  <c r="BO11" i="3"/>
  <c r="BN31" i="32" s="1"/>
  <c r="BO14" i="3"/>
  <c r="BN33" i="32" s="1"/>
  <c r="DW21" i="30"/>
  <c r="R18" i="83"/>
  <c r="DX16" i="30"/>
  <c r="DX33" i="30"/>
  <c r="Q90" i="83"/>
  <c r="Q91" i="83"/>
  <c r="AG27" i="8"/>
  <c r="DY14" i="30"/>
  <c r="AG24" i="8"/>
  <c r="AG21" i="8"/>
  <c r="AG22" i="8" s="1"/>
  <c r="BO63" i="3"/>
  <c r="T11" i="83"/>
  <c r="Q76" i="83"/>
  <c r="BN11" i="32"/>
  <c r="BO17" i="3" s="1"/>
  <c r="DY15" i="30"/>
  <c r="T12" i="83"/>
  <c r="T35" i="83"/>
  <c r="DX45" i="30"/>
  <c r="DX34" i="30"/>
  <c r="BO54" i="3"/>
  <c r="BO26" i="3"/>
  <c r="BN36" i="32" s="1"/>
  <c r="BN32" i="32"/>
  <c r="AE47" i="8"/>
  <c r="BK64" i="3"/>
  <c r="BJ10" i="32"/>
  <c r="BJ22" i="32" s="1"/>
  <c r="AE49" i="8"/>
  <c r="AE50" i="8" s="1"/>
  <c r="R74" i="83"/>
  <c r="R45" i="83" s="1"/>
  <c r="R179" i="83"/>
  <c r="R26" i="83"/>
  <c r="R40" i="83" s="1"/>
  <c r="R38" i="83"/>
  <c r="R31" i="83"/>
  <c r="R16" i="83"/>
  <c r="BM53" i="3"/>
  <c r="Q47" i="83"/>
  <c r="R154" i="83"/>
  <c r="R155" i="83"/>
  <c r="R153" i="83" s="1"/>
  <c r="R156" i="83"/>
  <c r="BL36" i="32"/>
  <c r="AG31" i="8"/>
  <c r="BI29" i="3"/>
  <c r="S80" i="83"/>
  <c r="S81" i="83" s="1"/>
  <c r="S121" i="83"/>
  <c r="S177" i="83"/>
  <c r="R159" i="83"/>
  <c r="R157" i="83" s="1"/>
  <c r="R160" i="83"/>
  <c r="R69" i="83"/>
  <c r="R158" i="83" s="1"/>
  <c r="S92" i="83"/>
  <c r="S133" i="83"/>
  <c r="S51" i="83"/>
  <c r="S30" i="83"/>
  <c r="S37" i="83"/>
  <c r="BH22" i="32"/>
  <c r="BI45" i="3"/>
  <c r="AF32" i="8"/>
  <c r="AF47" i="14" s="1"/>
  <c r="AF46" i="14" s="1"/>
  <c r="AF40" i="8"/>
  <c r="AF58" i="8"/>
  <c r="AL58" i="8" s="1"/>
  <c r="AH35" i="8"/>
  <c r="AH14" i="8"/>
  <c r="AL7" i="8"/>
  <c r="AH28" i="8"/>
  <c r="AH18" i="8"/>
  <c r="AH19" i="8" s="1"/>
  <c r="AH11" i="8"/>
  <c r="BQ12" i="3"/>
  <c r="DZ9" i="30"/>
  <c r="AH15" i="8"/>
  <c r="AH17" i="8" s="1"/>
  <c r="BQ61" i="3"/>
  <c r="AH8" i="8"/>
  <c r="DY43" i="30"/>
  <c r="DY36" i="30"/>
  <c r="Q77" i="83" l="1"/>
  <c r="Q70" i="83"/>
  <c r="Q55" i="83"/>
  <c r="Q57" i="83" s="1"/>
  <c r="Q60" i="83" s="1"/>
  <c r="Q62" i="83" s="1"/>
  <c r="Q78" i="83" s="1"/>
  <c r="R21" i="83"/>
  <c r="R23" i="83" s="1"/>
  <c r="R39" i="83" s="1"/>
  <c r="AH31" i="8"/>
  <c r="AL31" i="8" s="1"/>
  <c r="BH37" i="32"/>
  <c r="BH40" i="32" s="1"/>
  <c r="BI31" i="3"/>
  <c r="BI40" i="3" s="1"/>
  <c r="DY45" i="30"/>
  <c r="DY34" i="30"/>
  <c r="DX30" i="30"/>
  <c r="DX46" i="30"/>
  <c r="DX19" i="30"/>
  <c r="DX35" i="30"/>
  <c r="DW19" i="30"/>
  <c r="DW38" i="30" s="1"/>
  <c r="DW46" i="30"/>
  <c r="DW30" i="30"/>
  <c r="DW35" i="30"/>
  <c r="DZ15" i="30"/>
  <c r="BP11" i="32"/>
  <c r="BQ17" i="3" s="1"/>
  <c r="AL28" i="8"/>
  <c r="BI48" i="3"/>
  <c r="BK45" i="3"/>
  <c r="AG40" i="8"/>
  <c r="AG32" i="8"/>
  <c r="AG47" i="14" s="1"/>
  <c r="AG46" i="14" s="1"/>
  <c r="AG58" i="8"/>
  <c r="R49" i="83"/>
  <c r="R50" i="83"/>
  <c r="R32" i="83"/>
  <c r="AH21" i="8"/>
  <c r="AH27" i="8"/>
  <c r="DZ14" i="30"/>
  <c r="AL14" i="8"/>
  <c r="BQ63" i="3"/>
  <c r="AH24" i="8"/>
  <c r="Q117" i="83"/>
  <c r="DZ11" i="30"/>
  <c r="DZ13" i="30" s="1"/>
  <c r="AL11" i="8"/>
  <c r="BQ62" i="3"/>
  <c r="BQ30" i="3" s="1"/>
  <c r="BP38" i="32" s="1"/>
  <c r="BO53" i="3"/>
  <c r="DY16" i="30"/>
  <c r="DY33" i="30"/>
  <c r="S122" i="83"/>
  <c r="S180" i="83"/>
  <c r="S178" i="83" s="1"/>
  <c r="S168" i="83" s="1"/>
  <c r="S127" i="83" s="1"/>
  <c r="R67" i="83"/>
  <c r="BK29" i="3"/>
  <c r="T37" i="83"/>
  <c r="T30" i="83"/>
  <c r="Q93" i="83"/>
  <c r="R131" i="83"/>
  <c r="R129" i="83" s="1"/>
  <c r="R132" i="83"/>
  <c r="R173" i="83" s="1"/>
  <c r="BQ11" i="3"/>
  <c r="BP31" i="32" s="1"/>
  <c r="BQ14" i="3"/>
  <c r="BP33" i="32" s="1"/>
  <c r="S179" i="83"/>
  <c r="S74" i="83"/>
  <c r="S45" i="83" s="1"/>
  <c r="T177" i="83"/>
  <c r="T121" i="83"/>
  <c r="T122" i="83" s="1"/>
  <c r="T115" i="83" s="1"/>
  <c r="T80" i="83"/>
  <c r="T81" i="83" s="1"/>
  <c r="T74" i="83" s="1"/>
  <c r="S38" i="83"/>
  <c r="S31" i="83"/>
  <c r="S26" i="83"/>
  <c r="S40" i="83" s="1"/>
  <c r="S16" i="83"/>
  <c r="T29" i="83"/>
  <c r="T13" i="83"/>
  <c r="S155" i="83"/>
  <c r="S153" i="83" s="1"/>
  <c r="S154" i="83"/>
  <c r="S156" i="83"/>
  <c r="DZ43" i="30"/>
  <c r="DZ36" i="30"/>
  <c r="BQ26" i="3"/>
  <c r="BP36" i="32" s="1"/>
  <c r="BP32" i="32"/>
  <c r="BQ54" i="3"/>
  <c r="AF43" i="8"/>
  <c r="AF41" i="8"/>
  <c r="S69" i="83"/>
  <c r="S158" i="83" s="1"/>
  <c r="S159" i="83"/>
  <c r="S157" i="83" s="1"/>
  <c r="S160" i="83"/>
  <c r="T133" i="83"/>
  <c r="T51" i="83"/>
  <c r="T92" i="83"/>
  <c r="Q88" i="83"/>
  <c r="R115" i="83"/>
  <c r="R86" i="83" s="1"/>
  <c r="R181" i="83"/>
  <c r="AH32" i="8" l="1"/>
  <c r="AH47" i="14" s="1"/>
  <c r="AH46" i="14" s="1"/>
  <c r="AN46" i="14" s="1"/>
  <c r="AH40" i="8"/>
  <c r="AH41" i="8" s="1"/>
  <c r="AH58" i="8"/>
  <c r="R108" i="83"/>
  <c r="T16" i="83"/>
  <c r="T38" i="83"/>
  <c r="T31" i="83"/>
  <c r="T26" i="83"/>
  <c r="T40" i="83" s="1"/>
  <c r="BK31" i="3"/>
  <c r="BK40" i="3" s="1"/>
  <c r="BJ37" i="32"/>
  <c r="BJ40" i="32" s="1"/>
  <c r="AG41" i="8"/>
  <c r="AG43" i="8"/>
  <c r="AG46" i="8" s="1"/>
  <c r="AL21" i="8"/>
  <c r="AH22" i="8"/>
  <c r="T127" i="83"/>
  <c r="S131" i="83"/>
  <c r="S129" i="83" s="1"/>
  <c r="S132" i="83"/>
  <c r="S173" i="83" s="1"/>
  <c r="R163" i="83"/>
  <c r="R165" i="83"/>
  <c r="R164" i="83"/>
  <c r="R162" i="83" s="1"/>
  <c r="S67" i="83"/>
  <c r="R76" i="83"/>
  <c r="S18" i="83"/>
  <c r="S32" i="83" s="1"/>
  <c r="DX21" i="30"/>
  <c r="DX38" i="30" s="1"/>
  <c r="AF46" i="8"/>
  <c r="DZ33" i="30"/>
  <c r="DZ16" i="30"/>
  <c r="DY30" i="30"/>
  <c r="DY35" i="30"/>
  <c r="DY19" i="30"/>
  <c r="DY46" i="30"/>
  <c r="S50" i="83"/>
  <c r="S49" i="83"/>
  <c r="T45" i="83"/>
  <c r="T154" i="83"/>
  <c r="T156" i="83"/>
  <c r="T155" i="83"/>
  <c r="T153" i="83" s="1"/>
  <c r="R52" i="83"/>
  <c r="DW40" i="30"/>
  <c r="DW48" i="30"/>
  <c r="DX37" i="30"/>
  <c r="R134" i="83"/>
  <c r="R47" i="83"/>
  <c r="BK48" i="3"/>
  <c r="BH42" i="32"/>
  <c r="BH44" i="32" s="1"/>
  <c r="S115" i="83"/>
  <c r="S86" i="83" s="1"/>
  <c r="S181" i="83"/>
  <c r="Q118" i="83"/>
  <c r="Q111" i="83"/>
  <c r="Q96" i="83"/>
  <c r="Q106" i="83"/>
  <c r="Q120" i="83" s="1"/>
  <c r="BI75" i="3"/>
  <c r="BI50" i="3"/>
  <c r="BI73" i="3"/>
  <c r="DW23" i="30"/>
  <c r="DW37" i="30"/>
  <c r="DX40" i="30"/>
  <c r="DX48" i="30"/>
  <c r="R90" i="83"/>
  <c r="R91" i="83"/>
  <c r="T159" i="83"/>
  <c r="T157" i="83" s="1"/>
  <c r="T160" i="83"/>
  <c r="T69" i="83"/>
  <c r="T158" i="83" s="1"/>
  <c r="DZ45" i="30"/>
  <c r="DZ34" i="30"/>
  <c r="BQ53" i="3"/>
  <c r="R94" i="83" l="1"/>
  <c r="AL40" i="8"/>
  <c r="AH43" i="8"/>
  <c r="AH46" i="8" s="1"/>
  <c r="AH47" i="8" s="1"/>
  <c r="S91" i="83"/>
  <c r="S117" i="83" s="1"/>
  <c r="S90" i="83"/>
  <c r="S88" i="83" s="1"/>
  <c r="T86" i="83"/>
  <c r="R70" i="83"/>
  <c r="R55" i="83"/>
  <c r="R77" i="83"/>
  <c r="R65" i="83"/>
  <c r="R79" i="83" s="1"/>
  <c r="R93" i="83"/>
  <c r="R161" i="83"/>
  <c r="R174" i="83"/>
  <c r="R137" i="83"/>
  <c r="R150" i="83"/>
  <c r="R176" i="83" s="1"/>
  <c r="S52" i="83"/>
  <c r="BJ42" i="32"/>
  <c r="BJ44" i="32" s="1"/>
  <c r="BK75" i="3"/>
  <c r="BK50" i="3"/>
  <c r="BK73" i="3"/>
  <c r="S47" i="83"/>
  <c r="S164" i="83"/>
  <c r="S162" i="83" s="1"/>
  <c r="S165" i="83"/>
  <c r="S71" i="83"/>
  <c r="S163" i="83" s="1"/>
  <c r="S134" i="83"/>
  <c r="T49" i="83"/>
  <c r="T47" i="83" s="1"/>
  <c r="T50" i="83"/>
  <c r="T76" i="83" s="1"/>
  <c r="AF47" i="8"/>
  <c r="BM64" i="3"/>
  <c r="BL10" i="32"/>
  <c r="AF49" i="8"/>
  <c r="AF50" i="8" s="1"/>
  <c r="Q98" i="83"/>
  <c r="Q101" i="83" s="1"/>
  <c r="Q103" i="83" s="1"/>
  <c r="Q119" i="83" s="1"/>
  <c r="AG49" i="8"/>
  <c r="BO64" i="3"/>
  <c r="AG47" i="8"/>
  <c r="BN10" i="32"/>
  <c r="BN22" i="32" s="1"/>
  <c r="S21" i="83"/>
  <c r="S23" i="83" s="1"/>
  <c r="S39" i="83" s="1"/>
  <c r="DX23" i="30"/>
  <c r="DY37" i="30"/>
  <c r="DY21" i="30"/>
  <c r="DY38" i="30" s="1"/>
  <c r="T18" i="83"/>
  <c r="T32" i="83" s="1"/>
  <c r="R117" i="83"/>
  <c r="S76" i="83"/>
  <c r="T67" i="83"/>
  <c r="T132" i="83"/>
  <c r="T173" i="83" s="1"/>
  <c r="T131" i="83"/>
  <c r="R88" i="83"/>
  <c r="S108" i="83" s="1"/>
  <c r="BH65" i="32"/>
  <c r="AD59" i="8"/>
  <c r="AD60" i="8" s="1"/>
  <c r="DZ35" i="30"/>
  <c r="DZ30" i="30"/>
  <c r="DZ19" i="30"/>
  <c r="DZ46" i="30"/>
  <c r="DW25" i="30"/>
  <c r="DW47" i="30" s="1"/>
  <c r="DW39" i="30"/>
  <c r="DY48" i="30"/>
  <c r="DY40" i="30"/>
  <c r="S94" i="83" l="1"/>
  <c r="DZ21" i="30"/>
  <c r="DZ23" i="30" s="1"/>
  <c r="BQ64" i="3"/>
  <c r="BQ29" i="3" s="1"/>
  <c r="BQ31" i="3" s="1"/>
  <c r="BQ40" i="3" s="1"/>
  <c r="AL43" i="8"/>
  <c r="AL46" i="8"/>
  <c r="AH49" i="8"/>
  <c r="AL49" i="8" s="1"/>
  <c r="BP10" i="32"/>
  <c r="BP22" i="32" s="1"/>
  <c r="AG50" i="8"/>
  <c r="T134" i="83"/>
  <c r="T161" i="83" s="1"/>
  <c r="T52" i="83"/>
  <c r="T77" i="83" s="1"/>
  <c r="T21" i="83"/>
  <c r="T23" i="83" s="1"/>
  <c r="T39" i="83" s="1"/>
  <c r="DZ38" i="30"/>
  <c r="T129" i="83"/>
  <c r="DY23" i="30"/>
  <c r="BJ65" i="32"/>
  <c r="BJ68" i="32" s="1"/>
  <c r="AE59" i="8"/>
  <c r="AE60" i="8" s="1"/>
  <c r="R139" i="83"/>
  <c r="R142" i="83" s="1"/>
  <c r="R144" i="83" s="1"/>
  <c r="R175" i="83" s="1"/>
  <c r="BM29" i="3"/>
  <c r="R57" i="83"/>
  <c r="R60" i="83" s="1"/>
  <c r="R62" i="83" s="1"/>
  <c r="R78" i="83" s="1"/>
  <c r="DZ37" i="30"/>
  <c r="DX25" i="30"/>
  <c r="DX47" i="30" s="1"/>
  <c r="DX39" i="30"/>
  <c r="S174" i="83"/>
  <c r="S161" i="83"/>
  <c r="S137" i="83"/>
  <c r="S150" i="83"/>
  <c r="S176" i="83" s="1"/>
  <c r="DZ40" i="30"/>
  <c r="DZ48" i="30"/>
  <c r="BO29" i="3"/>
  <c r="T91" i="83"/>
  <c r="T90" i="83"/>
  <c r="BL22" i="32"/>
  <c r="BM45" i="3"/>
  <c r="S70" i="83"/>
  <c r="S77" i="83"/>
  <c r="S55" i="83"/>
  <c r="S65" i="83"/>
  <c r="S79" i="83" s="1"/>
  <c r="BH68" i="32"/>
  <c r="BH66" i="32"/>
  <c r="R96" i="83"/>
  <c r="R118" i="83"/>
  <c r="R111" i="83"/>
  <c r="R106" i="83"/>
  <c r="R120" i="83" s="1"/>
  <c r="T71" i="83"/>
  <c r="T163" i="83" s="1"/>
  <c r="T165" i="83"/>
  <c r="T164" i="83"/>
  <c r="T162" i="83" s="1"/>
  <c r="S93" i="83"/>
  <c r="T117" i="83" l="1"/>
  <c r="T94" i="83"/>
  <c r="AH50" i="8"/>
  <c r="T70" i="83"/>
  <c r="T174" i="83"/>
  <c r="T150" i="83"/>
  <c r="T176" i="83" s="1"/>
  <c r="T137" i="83"/>
  <c r="T139" i="83" s="1"/>
  <c r="T142" i="83" s="1"/>
  <c r="T144" i="83" s="1"/>
  <c r="T55" i="83"/>
  <c r="T57" i="83" s="1"/>
  <c r="T60" i="83" s="1"/>
  <c r="T62" i="83" s="1"/>
  <c r="T65" i="83"/>
  <c r="T79" i="83" s="1"/>
  <c r="T93" i="83"/>
  <c r="T118" i="83" s="1"/>
  <c r="DZ39" i="30"/>
  <c r="DZ25" i="30"/>
  <c r="BN37" i="32"/>
  <c r="BN40" i="32" s="1"/>
  <c r="BM31" i="3"/>
  <c r="BM40" i="3" s="1"/>
  <c r="BL37" i="32"/>
  <c r="BL40" i="32" s="1"/>
  <c r="BP37" i="32"/>
  <c r="BP40" i="32" s="1"/>
  <c r="BP42" i="32" s="1"/>
  <c r="BP44" i="32" s="1"/>
  <c r="BO31" i="3"/>
  <c r="BO40" i="3" s="1"/>
  <c r="BJ64" i="32"/>
  <c r="BJ66" i="32" s="1"/>
  <c r="BI9" i="3"/>
  <c r="BO45" i="3"/>
  <c r="BM48" i="3"/>
  <c r="S111" i="83"/>
  <c r="S118" i="83"/>
  <c r="S96" i="83"/>
  <c r="S106" i="83"/>
  <c r="S120" i="83" s="1"/>
  <c r="R98" i="83"/>
  <c r="R101" i="83" s="1"/>
  <c r="R103" i="83" s="1"/>
  <c r="R119" i="83" s="1"/>
  <c r="T88" i="83"/>
  <c r="DY39" i="30"/>
  <c r="DY25" i="30"/>
  <c r="DY47" i="30" s="1"/>
  <c r="S139" i="83"/>
  <c r="S142" i="83" s="1"/>
  <c r="S144" i="83" s="1"/>
  <c r="S175" i="83" s="1"/>
  <c r="S57" i="83"/>
  <c r="S60" i="83" s="1"/>
  <c r="S62" i="83" s="1"/>
  <c r="S78" i="83" s="1"/>
  <c r="T106" i="83" l="1"/>
  <c r="T120" i="83" s="1"/>
  <c r="T111" i="83"/>
  <c r="T96" i="83"/>
  <c r="T98" i="83" s="1"/>
  <c r="T101" i="83" s="1"/>
  <c r="T103" i="83" s="1"/>
  <c r="S98" i="83"/>
  <c r="S101" i="83" s="1"/>
  <c r="S103" i="83" s="1"/>
  <c r="S119" i="83" s="1"/>
  <c r="BQ45" i="3"/>
  <c r="BQ48" i="3" s="1"/>
  <c r="BO48" i="3"/>
  <c r="DZ47" i="30"/>
  <c r="BL42" i="32"/>
  <c r="BL44" i="32" s="1"/>
  <c r="T175" i="83"/>
  <c r="BI79" i="3"/>
  <c r="BI15" i="3"/>
  <c r="BI21" i="3" s="1"/>
  <c r="T78" i="83"/>
  <c r="BM75" i="3"/>
  <c r="BM50" i="3"/>
  <c r="BM73" i="3"/>
  <c r="BN42" i="32"/>
  <c r="BN44" i="32" s="1"/>
  <c r="BL64" i="32"/>
  <c r="BK9" i="3"/>
  <c r="BP65" i="32"/>
  <c r="BP68" i="32" s="1"/>
  <c r="AH59" i="8"/>
  <c r="AH60" i="8" s="1"/>
  <c r="T119" i="83" l="1"/>
  <c r="BK79" i="3"/>
  <c r="BK15" i="3"/>
  <c r="BK21" i="3" s="1"/>
  <c r="BQ50" i="3"/>
  <c r="BQ75" i="3"/>
  <c r="BQ73" i="3"/>
  <c r="BI74" i="3"/>
  <c r="BI55" i="3"/>
  <c r="BO75" i="3"/>
  <c r="BO50" i="3"/>
  <c r="BO73" i="3"/>
  <c r="BN65" i="32"/>
  <c r="BN68" i="32" s="1"/>
  <c r="AG59" i="8"/>
  <c r="AG60" i="8" s="1"/>
  <c r="BL65" i="32"/>
  <c r="BL68" i="32" s="1"/>
  <c r="AF59" i="8"/>
  <c r="AF60" i="8" s="1"/>
  <c r="BK74" i="3" l="1"/>
  <c r="BK55" i="3"/>
  <c r="BL66" i="32"/>
  <c r="BM9" i="3" l="1"/>
  <c r="BN64" i="32"/>
  <c r="BN66" i="32" s="1"/>
  <c r="BO9" i="3" l="1"/>
  <c r="BP64" i="32"/>
  <c r="BP66" i="32" s="1"/>
  <c r="BQ9" i="3" s="1"/>
  <c r="BM79" i="3"/>
  <c r="BM15" i="3"/>
  <c r="BM21" i="3" s="1"/>
  <c r="BO79" i="3" l="1"/>
  <c r="BO15" i="3"/>
  <c r="BO21" i="3" s="1"/>
  <c r="BQ79" i="3"/>
  <c r="BQ15" i="3"/>
  <c r="BQ21" i="3" s="1"/>
  <c r="BM74" i="3"/>
  <c r="BM55" i="3"/>
  <c r="BQ74" i="3" l="1"/>
  <c r="BQ55" i="3"/>
  <c r="BO74" i="3"/>
  <c r="BO55" i="3"/>
</calcChain>
</file>

<file path=xl/comments1.xml><?xml version="1.0" encoding="utf-8"?>
<comments xmlns="http://schemas.openxmlformats.org/spreadsheetml/2006/main">
  <authors>
    <author>oc48540</author>
    <author>Cassel, Lauren (Research)</author>
  </authors>
  <commentList>
    <comment ref="DH17" authorId="0">
      <text>
        <r>
          <rPr>
            <b/>
            <sz val="8"/>
            <color indexed="81"/>
            <rFont val="Tahoma"/>
            <family val="2"/>
          </rPr>
          <t>oc48540:</t>
        </r>
        <r>
          <rPr>
            <sz val="8"/>
            <color indexed="81"/>
            <rFont val="Tahoma"/>
            <family val="2"/>
          </rPr>
          <t xml:space="preserve">
Gain on Sale of Aber</t>
        </r>
      </text>
    </comment>
    <comment ref="DT60" authorId="1">
      <text>
        <r>
          <rPr>
            <b/>
            <sz val="9"/>
            <color indexed="81"/>
            <rFont val="Tahoma"/>
            <family val="2"/>
          </rPr>
          <t>Cassel, Lauren (Research):</t>
        </r>
        <r>
          <rPr>
            <sz val="9"/>
            <color indexed="81"/>
            <rFont val="Tahoma"/>
            <family val="2"/>
          </rPr>
          <t xml:space="preserve">
3/17/17: worldwide sales per gross square foot for Company operated stores was $2,700 in 2016 compared to $2,900 in 2015 </t>
        </r>
      </text>
    </comment>
    <comment ref="DU60" authorId="1">
      <text>
        <r>
          <rPr>
            <b/>
            <sz val="9"/>
            <color indexed="81"/>
            <rFont val="Tahoma"/>
            <family val="2"/>
          </rPr>
          <t>Cassel, Lauren (Research):</t>
        </r>
        <r>
          <rPr>
            <sz val="9"/>
            <color indexed="81"/>
            <rFont val="Tahoma"/>
            <family val="2"/>
          </rPr>
          <t xml:space="preserve">
3/16/18: In terms of sales productivity, for the year, we achieved worldwide sales per square foot for company-operated stores, up $2,700 in 2017, which was approximately in line with 2016. This resulted from our sales growth and the 3% increase in square footage. By region, sales productivity ranged from $3,800 in Asia-Pacific to $3,600 in Japan, to $2,300 in Europe and to $2,200 per square foot in the Americas. Now keep in mind that these productivity levels are calculated in U.S. dollars, so the numbers could vary based on currency changes.</t>
        </r>
      </text>
    </comment>
  </commentList>
</comments>
</file>

<file path=xl/comments2.xml><?xml version="1.0" encoding="utf-8"?>
<comments xmlns="http://schemas.openxmlformats.org/spreadsheetml/2006/main">
  <authors>
    <author>mm98285</author>
    <author>pw64212</author>
    <author>Morry Brown</author>
    <author>SB</author>
    <author>lm37689</author>
    <author>oc48540</author>
    <author>ol36766</author>
    <author>KG51925</author>
    <author>lr73192</author>
    <author>ns66486</author>
    <author>NS66486</author>
    <author>nicholjs</author>
    <author>marchant</author>
    <author>P Kahng</author>
    <author>kahng</author>
    <author>solejay</author>
    <author>casselau</author>
    <author>turleamb</author>
    <author>Turley, Amber (Research)</author>
    <author>Cassel, Lauren (Research)</author>
  </authors>
  <commentList>
    <comment ref="AL5" authorId="0">
      <text>
        <r>
          <rPr>
            <b/>
            <sz val="8"/>
            <color indexed="81"/>
            <rFont val="Tahoma"/>
            <family val="2"/>
          </rPr>
          <t>mm98285:</t>
        </r>
        <r>
          <rPr>
            <sz val="8"/>
            <color indexed="81"/>
            <rFont val="Tahoma"/>
            <family val="2"/>
          </rPr>
          <t xml:space="preserve">
 (Little Switzerland, Iridesse)</t>
        </r>
      </text>
    </comment>
    <comment ref="D16"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X16"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Y16" authorId="1">
      <text>
        <r>
          <rPr>
            <b/>
            <sz val="8"/>
            <color indexed="81"/>
            <rFont val="Tahoma"/>
            <family val="2"/>
          </rPr>
          <t>pw64212:</t>
        </r>
        <r>
          <rPr>
            <sz val="8"/>
            <color indexed="81"/>
            <rFont val="Tahoma"/>
            <family val="2"/>
          </rPr>
          <t xml:space="preserve">
interpolated</t>
        </r>
      </text>
    </comment>
    <comment ref="D23"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X23"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Y23" authorId="1">
      <text>
        <r>
          <rPr>
            <b/>
            <sz val="8"/>
            <color indexed="81"/>
            <rFont val="Tahoma"/>
            <family val="2"/>
          </rPr>
          <t>pw64212:</t>
        </r>
        <r>
          <rPr>
            <sz val="8"/>
            <color indexed="81"/>
            <rFont val="Tahoma"/>
            <family val="2"/>
          </rPr>
          <t xml:space="preserve">
interpolated</t>
        </r>
      </text>
    </comment>
    <comment ref="D30"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X30"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Y30" authorId="1">
      <text>
        <r>
          <rPr>
            <b/>
            <sz val="8"/>
            <color indexed="81"/>
            <rFont val="Tahoma"/>
            <family val="2"/>
          </rPr>
          <t>pw64212:</t>
        </r>
        <r>
          <rPr>
            <sz val="8"/>
            <color indexed="81"/>
            <rFont val="Tahoma"/>
            <family val="2"/>
          </rPr>
          <t xml:space="preserve">
interpolated</t>
        </r>
      </text>
    </comment>
    <comment ref="D37"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D37"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X37"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Y37" authorId="1">
      <text>
        <r>
          <rPr>
            <b/>
            <sz val="8"/>
            <color indexed="81"/>
            <rFont val="Tahoma"/>
            <family val="2"/>
          </rPr>
          <t>pw64212:</t>
        </r>
        <r>
          <rPr>
            <sz val="8"/>
            <color indexed="81"/>
            <rFont val="Tahoma"/>
            <family val="2"/>
          </rPr>
          <t xml:space="preserve">
interpolated</t>
        </r>
      </text>
    </comment>
    <comment ref="D44"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X44"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Y44" authorId="1">
      <text>
        <r>
          <rPr>
            <b/>
            <sz val="8"/>
            <color indexed="81"/>
            <rFont val="Tahoma"/>
            <family val="2"/>
          </rPr>
          <t>pw64212:</t>
        </r>
        <r>
          <rPr>
            <sz val="8"/>
            <color indexed="81"/>
            <rFont val="Tahoma"/>
            <family val="2"/>
          </rPr>
          <t xml:space="preserve">
interpolated</t>
        </r>
      </text>
    </comment>
    <comment ref="D51"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D51"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X51"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Y51" authorId="1">
      <text>
        <r>
          <rPr>
            <b/>
            <sz val="8"/>
            <color indexed="81"/>
            <rFont val="Tahoma"/>
            <family val="2"/>
          </rPr>
          <t>pw64212:</t>
        </r>
        <r>
          <rPr>
            <sz val="8"/>
            <color indexed="81"/>
            <rFont val="Tahoma"/>
            <family val="2"/>
          </rPr>
          <t xml:space="preserve">
interpolated</t>
        </r>
      </text>
    </comment>
    <comment ref="G54" authorId="1">
      <text>
        <r>
          <rPr>
            <b/>
            <sz val="8"/>
            <color indexed="81"/>
            <rFont val="Tahoma"/>
            <family val="2"/>
          </rPr>
          <t>pw64212:</t>
        </r>
        <r>
          <rPr>
            <sz val="8"/>
            <color indexed="81"/>
            <rFont val="Tahoma"/>
            <family val="2"/>
          </rPr>
          <t xml:space="preserve">
1993 10K
</t>
        </r>
      </text>
    </comment>
    <comment ref="AH54" authorId="1">
      <text>
        <r>
          <rPr>
            <b/>
            <sz val="8"/>
            <color indexed="81"/>
            <rFont val="Tahoma"/>
            <family val="2"/>
          </rPr>
          <t>pw64212:</t>
        </r>
        <r>
          <rPr>
            <sz val="8"/>
            <color indexed="81"/>
            <rFont val="Tahoma"/>
            <family val="2"/>
          </rPr>
          <t xml:space="preserve">
1993 10K
</t>
        </r>
      </text>
    </comment>
    <comment ref="AA55" authorId="1">
      <text>
        <r>
          <rPr>
            <b/>
            <sz val="8"/>
            <color indexed="81"/>
            <rFont val="Tahoma"/>
            <family val="2"/>
          </rPr>
          <t>pw64212:</t>
        </r>
        <r>
          <rPr>
            <sz val="8"/>
            <color indexed="81"/>
            <rFont val="Tahoma"/>
            <family val="2"/>
          </rPr>
          <t xml:space="preserve">
prior to July 1993 many Tiffany boutiques in Japan were operated by Mitsukoshi (ranging from 21 in 1987 to 29 in 1993).</t>
        </r>
      </text>
    </comment>
    <comment ref="D58"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D58"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X58"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Y58" authorId="1">
      <text>
        <r>
          <rPr>
            <b/>
            <sz val="8"/>
            <color indexed="81"/>
            <rFont val="Tahoma"/>
            <family val="2"/>
          </rPr>
          <t>pw64212:</t>
        </r>
        <r>
          <rPr>
            <sz val="8"/>
            <color indexed="81"/>
            <rFont val="Tahoma"/>
            <family val="2"/>
          </rPr>
          <t xml:space="preserve">
interpolated</t>
        </r>
      </text>
    </comment>
    <comment ref="G61" authorId="1">
      <text>
        <r>
          <rPr>
            <b/>
            <sz val="8"/>
            <color indexed="81"/>
            <rFont val="Tahoma"/>
            <family val="2"/>
          </rPr>
          <t>pw64212:</t>
        </r>
        <r>
          <rPr>
            <sz val="8"/>
            <color indexed="81"/>
            <rFont val="Tahoma"/>
            <family val="2"/>
          </rPr>
          <t xml:space="preserve">
1994 10K</t>
        </r>
      </text>
    </comment>
    <comment ref="AH61" authorId="1">
      <text>
        <r>
          <rPr>
            <b/>
            <sz val="8"/>
            <color indexed="81"/>
            <rFont val="Tahoma"/>
            <family val="2"/>
          </rPr>
          <t>pw64212:</t>
        </r>
        <r>
          <rPr>
            <sz val="8"/>
            <color indexed="81"/>
            <rFont val="Tahoma"/>
            <family val="2"/>
          </rPr>
          <t xml:space="preserve">
1994 10K</t>
        </r>
      </text>
    </comment>
    <comment ref="D65"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D65"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X65"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Y65" authorId="1">
      <text>
        <r>
          <rPr>
            <b/>
            <sz val="8"/>
            <color indexed="81"/>
            <rFont val="Tahoma"/>
            <family val="2"/>
          </rPr>
          <t>pw64212:</t>
        </r>
        <r>
          <rPr>
            <sz val="8"/>
            <color indexed="81"/>
            <rFont val="Tahoma"/>
            <family val="2"/>
          </rPr>
          <t xml:space="preserve">
interpolated</t>
        </r>
      </text>
    </comment>
    <comment ref="D72"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D72"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X72"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Y72" authorId="1">
      <text>
        <r>
          <rPr>
            <b/>
            <sz val="8"/>
            <color indexed="81"/>
            <rFont val="Tahoma"/>
            <family val="2"/>
          </rPr>
          <t>pw64212:</t>
        </r>
        <r>
          <rPr>
            <sz val="8"/>
            <color indexed="81"/>
            <rFont val="Tahoma"/>
            <family val="2"/>
          </rPr>
          <t xml:space="preserve">
interpolated</t>
        </r>
      </text>
    </comment>
    <comment ref="D79" authorId="1">
      <text>
        <r>
          <rPr>
            <b/>
            <sz val="8"/>
            <color indexed="81"/>
            <rFont val="Tahoma"/>
            <family val="2"/>
          </rPr>
          <t>pw64212:</t>
        </r>
        <r>
          <rPr>
            <sz val="8"/>
            <color indexed="81"/>
            <rFont val="Tahoma"/>
            <family val="2"/>
          </rPr>
          <t xml:space="preserve">
No info available in 10Q. </t>
        </r>
      </text>
    </comment>
    <comment ref="E79" authorId="1">
      <text>
        <r>
          <rPr>
            <b/>
            <sz val="8"/>
            <color indexed="81"/>
            <rFont val="Tahoma"/>
            <family val="2"/>
          </rPr>
          <t>pw64212:</t>
        </r>
        <r>
          <rPr>
            <sz val="8"/>
            <color indexed="81"/>
            <rFont val="Tahoma"/>
            <family val="2"/>
          </rPr>
          <t xml:space="preserve">
19971Q: 10Q
The  Company's  U.S.  expansion  plans in Fiscal 1997  include  opening four new
TIFFANY  &amp; CO.  stores:  in  June a  6,500  square  foot  store  in  Palo  Alto,
California;  and in the fall a 7,400  square foot store in  Cincinnati,  Ohio, a
6,500 square foot store in Chestnut Hill, Massachusetts (a suburb of Boston) and a 3,700  square  foot  store in  Charlotte,  North  Carolina.  </t>
        </r>
      </text>
    </comment>
    <comment ref="AD79" authorId="1">
      <text>
        <r>
          <rPr>
            <b/>
            <sz val="8"/>
            <color indexed="81"/>
            <rFont val="Tahoma"/>
            <family val="2"/>
          </rPr>
          <t>pw64212:</t>
        </r>
        <r>
          <rPr>
            <sz val="8"/>
            <color indexed="81"/>
            <rFont val="Tahoma"/>
            <family val="2"/>
          </rPr>
          <t xml:space="preserve">
no quarterly data available.  Interpolated by spreading the total number of new stores across the year.</t>
        </r>
      </text>
    </comment>
    <comment ref="AX79" authorId="1">
      <text>
        <r>
          <rPr>
            <b/>
            <sz val="8"/>
            <color indexed="81"/>
            <rFont val="Tahoma"/>
            <family val="2"/>
          </rPr>
          <t>pw64212:</t>
        </r>
        <r>
          <rPr>
            <sz val="8"/>
            <color indexed="81"/>
            <rFont val="Tahoma"/>
            <family val="2"/>
          </rPr>
          <t xml:space="preserve">
interpolated</t>
        </r>
      </text>
    </comment>
    <comment ref="AY79" authorId="1">
      <text>
        <r>
          <rPr>
            <b/>
            <sz val="8"/>
            <color indexed="81"/>
            <rFont val="Tahoma"/>
            <family val="2"/>
          </rPr>
          <t>pw64212:</t>
        </r>
        <r>
          <rPr>
            <sz val="8"/>
            <color indexed="81"/>
            <rFont val="Tahoma"/>
            <family val="2"/>
          </rPr>
          <t xml:space="preserve">
interpolated</t>
        </r>
      </text>
    </comment>
    <comment ref="E80" authorId="1">
      <text>
        <r>
          <rPr>
            <b/>
            <sz val="8"/>
            <color indexed="81"/>
            <rFont val="Tahoma"/>
            <family val="2"/>
          </rPr>
          <t>pw64212:</t>
        </r>
        <r>
          <rPr>
            <sz val="8"/>
            <color indexed="81"/>
            <rFont val="Tahoma"/>
            <family val="2"/>
          </rPr>
          <t xml:space="preserve">
pw64212:
19971Q: 10Q
The  Company's  U.S.  expansion  plans in Fiscal 1997  include  opening four new
TIFFANY  &amp; CO.  stores:  in  June a  6,500  square  foot  store  in  Palo  Alto,
California;  and in the fall a 7,400  square foot store in  Cincinnati,  Ohio, a
6,500 square foot store in Chestnut Hill, Massachusetts (a suburb of Boston) and a 3,700  square  foot  store in  Charlotte,  North  Carolina.  </t>
        </r>
      </text>
    </comment>
    <comment ref="E81" authorId="1">
      <text>
        <r>
          <rPr>
            <b/>
            <sz val="8"/>
            <color indexed="81"/>
            <rFont val="Tahoma"/>
            <family val="2"/>
          </rPr>
          <t>pw64212:</t>
        </r>
        <r>
          <rPr>
            <sz val="8"/>
            <color indexed="81"/>
            <rFont val="Tahoma"/>
            <family val="2"/>
          </rPr>
          <t xml:space="preserve">
pw64212:
19971Q: 10Q
The  Company's  U.S.  expansion  plans in Fiscal 1997  include  opening four new
TIFFANY  &amp; CO.  stores:  in  June a  6,500  square  foot  store  in  Palo  Alto,
California;  and in the fall a 7,400  square foot store in  Cincinnati,  Ohio, a
6,500 square foot store in Chestnut Hill, Massachusetts (a suburb of Boston) and a 3,700  square  foot  store in  Charlotte,  North  Carolina.  </t>
        </r>
      </text>
    </comment>
    <comment ref="D86" authorId="1">
      <text>
        <r>
          <rPr>
            <b/>
            <sz val="8"/>
            <color indexed="81"/>
            <rFont val="Tahoma"/>
            <family val="2"/>
          </rPr>
          <t>pw64212:</t>
        </r>
        <r>
          <rPr>
            <sz val="8"/>
            <color indexed="81"/>
            <rFont val="Tahoma"/>
            <family val="2"/>
          </rPr>
          <t xml:space="preserve">
No info available in 10Q. Interpolated by spreading the total number of new stores evenly across the year.</t>
        </r>
      </text>
    </comment>
    <comment ref="AH86" authorId="1">
      <text>
        <r>
          <rPr>
            <b/>
            <sz val="8"/>
            <color indexed="81"/>
            <rFont val="Tahoma"/>
            <family val="2"/>
          </rPr>
          <t>pw64212:</t>
        </r>
        <r>
          <rPr>
            <sz val="8"/>
            <color indexed="81"/>
            <rFont val="Tahoma"/>
            <family val="2"/>
          </rPr>
          <t xml:space="preserve">
interpolated</t>
        </r>
      </text>
    </comment>
    <comment ref="AX86" authorId="1">
      <text>
        <r>
          <rPr>
            <b/>
            <sz val="8"/>
            <color indexed="81"/>
            <rFont val="Tahoma"/>
            <family val="2"/>
          </rPr>
          <t>pw64212:</t>
        </r>
        <r>
          <rPr>
            <sz val="8"/>
            <color indexed="81"/>
            <rFont val="Tahoma"/>
            <family val="2"/>
          </rPr>
          <t xml:space="preserve">
interpolated</t>
        </r>
      </text>
    </comment>
    <comment ref="AY86" authorId="1">
      <text>
        <r>
          <rPr>
            <b/>
            <sz val="8"/>
            <color indexed="81"/>
            <rFont val="Tahoma"/>
            <family val="2"/>
          </rPr>
          <t>pw64212:</t>
        </r>
        <r>
          <rPr>
            <sz val="8"/>
            <color indexed="81"/>
            <rFont val="Tahoma"/>
            <family val="2"/>
          </rPr>
          <t xml:space="preserve">
interpolated</t>
        </r>
      </text>
    </comment>
    <comment ref="D87" authorId="1">
      <text>
        <r>
          <rPr>
            <b/>
            <sz val="8"/>
            <color indexed="81"/>
            <rFont val="Tahoma"/>
            <family val="2"/>
          </rPr>
          <t>pw64212:</t>
        </r>
        <r>
          <rPr>
            <sz val="8"/>
            <color indexed="81"/>
            <rFont val="Tahoma"/>
            <family val="2"/>
          </rPr>
          <t xml:space="preserve">
No info available in 10Q. Interpolated by spreading the total number of new stores evenly across the year.</t>
        </r>
      </text>
    </comment>
    <comment ref="D88" authorId="1">
      <text>
        <r>
          <rPr>
            <b/>
            <sz val="8"/>
            <color indexed="81"/>
            <rFont val="Tahoma"/>
            <family val="2"/>
          </rPr>
          <t>pw64212:</t>
        </r>
        <r>
          <rPr>
            <sz val="8"/>
            <color indexed="81"/>
            <rFont val="Tahoma"/>
            <family val="2"/>
          </rPr>
          <t xml:space="preserve">
No info available in 10Q. Interpolated by spreading the total number of new stores evenly across the year.</t>
        </r>
      </text>
    </comment>
    <comment ref="E94" authorId="2">
      <text>
        <r>
          <rPr>
            <b/>
            <sz val="8"/>
            <color indexed="81"/>
            <rFont val="Tahoma"/>
            <family val="2"/>
          </rPr>
          <t>Morry Brown:</t>
        </r>
        <r>
          <rPr>
            <sz val="8"/>
            <color indexed="81"/>
            <rFont val="Tahoma"/>
            <family val="2"/>
          </rPr>
          <t xml:space="preserve">
Dallas, L.A.</t>
        </r>
      </text>
    </comment>
    <comment ref="E95" authorId="2">
      <text>
        <r>
          <rPr>
            <b/>
            <sz val="8"/>
            <color indexed="81"/>
            <rFont val="Tahoma"/>
            <family val="2"/>
          </rPr>
          <t>Morry Brown:</t>
        </r>
        <r>
          <rPr>
            <sz val="8"/>
            <color indexed="81"/>
            <rFont val="Tahoma"/>
            <family val="2"/>
          </rPr>
          <t xml:space="preserve">
Boca Raton</t>
        </r>
      </text>
    </comment>
    <comment ref="L95" authorId="2">
      <text>
        <r>
          <rPr>
            <b/>
            <sz val="8"/>
            <color indexed="81"/>
            <rFont val="Tahoma"/>
            <family val="2"/>
          </rPr>
          <t>Morry Brown:</t>
        </r>
        <r>
          <rPr>
            <sz val="8"/>
            <color indexed="81"/>
            <rFont val="Tahoma"/>
            <family val="2"/>
          </rPr>
          <t xml:space="preserve">
Mexico City</t>
        </r>
      </text>
    </comment>
    <comment ref="N95" authorId="2">
      <text>
        <r>
          <rPr>
            <b/>
            <sz val="8"/>
            <color indexed="81"/>
            <rFont val="Tahoma"/>
            <family val="2"/>
          </rPr>
          <t>Morry Brown:</t>
        </r>
        <r>
          <rPr>
            <sz val="8"/>
            <color indexed="81"/>
            <rFont val="Tahoma"/>
            <family val="2"/>
          </rPr>
          <t xml:space="preserve">
Paris
</t>
        </r>
      </text>
    </comment>
    <comment ref="AE100" authorId="3">
      <text>
        <r>
          <rPr>
            <b/>
            <sz val="8"/>
            <color indexed="81"/>
            <rFont val="Tahoma"/>
            <family val="2"/>
          </rPr>
          <t>SB:</t>
        </r>
        <r>
          <rPr>
            <sz val="8"/>
            <color indexed="81"/>
            <rFont val="Tahoma"/>
            <family val="2"/>
          </rPr>
          <t xml:space="preserve">
kuala lumpur</t>
        </r>
      </text>
    </comment>
    <comment ref="E101" authorId="3">
      <text>
        <r>
          <rPr>
            <b/>
            <sz val="8"/>
            <color indexed="81"/>
            <rFont val="Tahoma"/>
            <family val="2"/>
          </rPr>
          <t>SB:</t>
        </r>
        <r>
          <rPr>
            <sz val="8"/>
            <color indexed="81"/>
            <rFont val="Tahoma"/>
            <family val="2"/>
          </rPr>
          <t xml:space="preserve">
skokie in may</t>
        </r>
      </text>
    </comment>
    <comment ref="E102" authorId="3">
      <text>
        <r>
          <rPr>
            <b/>
            <sz val="8"/>
            <color indexed="81"/>
            <rFont val="Tahoma"/>
            <family val="2"/>
          </rPr>
          <t>SB:</t>
        </r>
        <r>
          <rPr>
            <sz val="8"/>
            <color indexed="81"/>
            <rFont val="Tahoma"/>
            <family val="2"/>
          </rPr>
          <t xml:space="preserve">
greenwhich, ct in sept</t>
        </r>
      </text>
    </comment>
    <comment ref="AE102" authorId="3">
      <text>
        <r>
          <rPr>
            <b/>
            <sz val="8"/>
            <color indexed="81"/>
            <rFont val="Tahoma"/>
            <family val="2"/>
          </rPr>
          <t>SB:</t>
        </r>
        <r>
          <rPr>
            <sz val="8"/>
            <color indexed="81"/>
            <rFont val="Tahoma"/>
            <family val="2"/>
          </rPr>
          <t xml:space="preserve">
hong kong and korea</t>
        </r>
      </text>
    </comment>
    <comment ref="E103" authorId="3">
      <text>
        <r>
          <rPr>
            <b/>
            <sz val="8"/>
            <color indexed="81"/>
            <rFont val="Tahoma"/>
            <family val="2"/>
          </rPr>
          <t>SB:</t>
        </r>
        <r>
          <rPr>
            <sz val="8"/>
            <color indexed="81"/>
            <rFont val="Tahoma"/>
            <family val="2"/>
          </rPr>
          <t xml:space="preserve">
portland, or in november
maui in december</t>
        </r>
      </text>
    </comment>
    <comment ref="AH103" authorId="3">
      <text>
        <r>
          <rPr>
            <b/>
            <sz val="8"/>
            <color indexed="81"/>
            <rFont val="Tahoma"/>
            <family val="2"/>
          </rPr>
          <t>SB:</t>
        </r>
        <r>
          <rPr>
            <sz val="8"/>
            <color indexed="81"/>
            <rFont val="Tahoma"/>
            <family val="2"/>
          </rPr>
          <t xml:space="preserve">
total intl sq footage</t>
        </r>
      </text>
    </comment>
    <comment ref="L107" authorId="2">
      <text>
        <r>
          <rPr>
            <b/>
            <sz val="8"/>
            <color indexed="81"/>
            <rFont val="Tahoma"/>
            <family val="2"/>
          </rPr>
          <t>Morry Brown:</t>
        </r>
        <r>
          <rPr>
            <sz val="8"/>
            <color indexed="81"/>
            <rFont val="Tahoma"/>
            <family val="2"/>
          </rPr>
          <t xml:space="preserve">
Sao Paulo</t>
        </r>
      </text>
    </comment>
    <comment ref="E108" authorId="2">
      <text>
        <r>
          <rPr>
            <b/>
            <sz val="8"/>
            <color indexed="81"/>
            <rFont val="Tahoma"/>
            <family val="2"/>
          </rPr>
          <t>Morry Brown:</t>
        </r>
        <r>
          <rPr>
            <sz val="8"/>
            <color indexed="81"/>
            <rFont val="Tahoma"/>
            <family val="2"/>
          </rPr>
          <t xml:space="preserve">
San Jose
</t>
        </r>
      </text>
    </comment>
    <comment ref="AE108" authorId="2">
      <text>
        <r>
          <rPr>
            <b/>
            <sz val="8"/>
            <color indexed="81"/>
            <rFont val="Tahoma"/>
            <family val="2"/>
          </rPr>
          <t>Morry Brown:</t>
        </r>
        <r>
          <rPr>
            <sz val="8"/>
            <color indexed="81"/>
            <rFont val="Tahoma"/>
            <family val="2"/>
          </rPr>
          <t xml:space="preserve">
Closed Hong Kong</t>
        </r>
      </text>
    </comment>
    <comment ref="E109" authorId="2">
      <text>
        <r>
          <rPr>
            <b/>
            <sz val="8"/>
            <color indexed="81"/>
            <rFont val="Tahoma"/>
            <family val="2"/>
          </rPr>
          <t>Morry Brown:</t>
        </r>
        <r>
          <rPr>
            <sz val="8"/>
            <color indexed="81"/>
            <rFont val="Tahoma"/>
            <family val="2"/>
          </rPr>
          <t xml:space="preserve">
Tampa
</t>
        </r>
      </text>
    </comment>
    <comment ref="G110" authorId="3">
      <text>
        <r>
          <rPr>
            <b/>
            <sz val="8"/>
            <color indexed="81"/>
            <rFont val="Tahoma"/>
            <family val="2"/>
          </rPr>
          <t>SB:</t>
        </r>
        <r>
          <rPr>
            <sz val="8"/>
            <color indexed="81"/>
            <rFont val="Tahoma"/>
            <family val="2"/>
          </rPr>
          <t xml:space="preserve">
345,000 branch stores total</t>
        </r>
      </text>
    </comment>
    <comment ref="N110" authorId="2">
      <text>
        <r>
          <rPr>
            <b/>
            <sz val="8"/>
            <color indexed="81"/>
            <rFont val="Tahoma"/>
            <family val="2"/>
          </rPr>
          <t>Morry Brown:</t>
        </r>
        <r>
          <rPr>
            <sz val="8"/>
            <color indexed="81"/>
            <rFont val="Tahoma"/>
            <family val="2"/>
          </rPr>
          <t xml:space="preserve">
Rome and London</t>
        </r>
      </text>
    </comment>
    <comment ref="AH110" authorId="3">
      <text>
        <r>
          <rPr>
            <b/>
            <sz val="8"/>
            <color indexed="81"/>
            <rFont val="Tahoma"/>
            <family val="2"/>
          </rPr>
          <t>SB:</t>
        </r>
        <r>
          <rPr>
            <sz val="8"/>
            <color indexed="81"/>
            <rFont val="Tahoma"/>
            <family val="2"/>
          </rPr>
          <t xml:space="preserve">
total intl sq footage</t>
        </r>
      </text>
    </comment>
    <comment ref="AE115" authorId="3">
      <text>
        <r>
          <rPr>
            <b/>
            <sz val="8"/>
            <color indexed="81"/>
            <rFont val="Tahoma"/>
            <family val="2"/>
          </rPr>
          <t>SB:</t>
        </r>
        <r>
          <rPr>
            <sz val="8"/>
            <color indexed="81"/>
            <rFont val="Tahoma"/>
            <family val="2"/>
          </rPr>
          <t xml:space="preserve">
1 in korea and 1 in tawain</t>
        </r>
      </text>
    </comment>
    <comment ref="AH117" authorId="3">
      <text>
        <r>
          <rPr>
            <b/>
            <sz val="8"/>
            <color indexed="81"/>
            <rFont val="Tahoma"/>
            <family val="2"/>
          </rPr>
          <t>PW:</t>
        </r>
        <r>
          <rPr>
            <sz val="8"/>
            <color indexed="81"/>
            <rFont val="Tahoma"/>
            <family val="2"/>
          </rPr>
          <t xml:space="preserve">
total intl sq footage, 2002 10K pg 12.</t>
        </r>
      </text>
    </comment>
    <comment ref="AL118" authorId="4">
      <text>
        <r>
          <rPr>
            <b/>
            <sz val="8"/>
            <color indexed="81"/>
            <rFont val="Tahoma"/>
            <family val="2"/>
          </rPr>
          <t>lm37689:</t>
        </r>
        <r>
          <rPr>
            <sz val="8"/>
            <color indexed="81"/>
            <rFont val="Tahoma"/>
            <family val="2"/>
          </rPr>
          <t xml:space="preserve">
20 Little Switzerland stores are located on five Caribbean islands (St. Thomas (3); St. Maarten/St. Martin (2); Aruba (6); Curacao (1); and Barbados (1)) and in Florida (Key West (3)) and Alaska (Skagway (2); Juneau (1); and Ketchikan (1))</t>
        </r>
      </text>
    </comment>
    <comment ref="AE121" authorId="3">
      <text>
        <r>
          <rPr>
            <b/>
            <sz val="8"/>
            <color indexed="81"/>
            <rFont val="Tahoma"/>
            <family val="2"/>
          </rPr>
          <t>SB:</t>
        </r>
        <r>
          <rPr>
            <sz val="8"/>
            <color indexed="81"/>
            <rFont val="Tahoma"/>
            <family val="2"/>
          </rPr>
          <t xml:space="preserve">
korea</t>
        </r>
      </text>
    </comment>
    <comment ref="E122" authorId="3">
      <text>
        <r>
          <rPr>
            <b/>
            <sz val="8"/>
            <color indexed="81"/>
            <rFont val="Tahoma"/>
            <family val="2"/>
          </rPr>
          <t>SB:</t>
        </r>
        <r>
          <rPr>
            <sz val="8"/>
            <color indexed="81"/>
            <rFont val="Tahoma"/>
            <family val="2"/>
          </rPr>
          <t xml:space="preserve">
walnut creek</t>
        </r>
      </text>
    </comment>
    <comment ref="E123" authorId="3">
      <text>
        <r>
          <rPr>
            <b/>
            <sz val="8"/>
            <color indexed="81"/>
            <rFont val="Tahoma"/>
            <family val="2"/>
          </rPr>
          <t>SB:</t>
        </r>
        <r>
          <rPr>
            <sz val="8"/>
            <color indexed="81"/>
            <rFont val="Tahoma"/>
            <family val="2"/>
          </rPr>
          <t xml:space="preserve">
palm desert</t>
        </r>
      </text>
    </comment>
    <comment ref="AE124" authorId="3">
      <text>
        <r>
          <rPr>
            <b/>
            <sz val="8"/>
            <color indexed="81"/>
            <rFont val="Tahoma"/>
            <family val="2"/>
          </rPr>
          <t>SB:</t>
        </r>
        <r>
          <rPr>
            <sz val="8"/>
            <color indexed="81"/>
            <rFont val="Tahoma"/>
            <family val="2"/>
          </rPr>
          <t xml:space="preserve">
hong kong</t>
        </r>
      </text>
    </comment>
    <comment ref="AL124" authorId="3">
      <text>
        <r>
          <rPr>
            <b/>
            <sz val="8"/>
            <color indexed="81"/>
            <rFont val="Tahoma"/>
            <family val="2"/>
          </rPr>
          <t>SB:</t>
        </r>
        <r>
          <rPr>
            <sz val="8"/>
            <color indexed="81"/>
            <rFont val="Tahoma"/>
            <family val="2"/>
          </rPr>
          <t xml:space="preserve">
22 Little Switzerland stores are located on six Caribbean islands (St. Thomas (3); St. Maarten/St. Martin (3); St. John (1); Aruba (6); Curacao (1); and Barbados (1)) and in Florida (Key West (3)) and Alaska (Skagway (2); Juneau (1); and Ketchikan (1)). 
In Fiscal 2003, Temple St. Clair opened its first retail boutiques in Costa Mesa, California and Short Hills, New Jersey. 
</t>
        </r>
      </text>
    </comment>
    <comment ref="AM124" authorId="3">
      <text>
        <r>
          <rPr>
            <b/>
            <sz val="8"/>
            <color indexed="81"/>
            <rFont val="Tahoma"/>
            <family val="2"/>
          </rPr>
          <t>SB:</t>
        </r>
        <r>
          <rPr>
            <sz val="8"/>
            <color indexed="81"/>
            <rFont val="Tahoma"/>
            <family val="2"/>
          </rPr>
          <t xml:space="preserve">
Includes two new Temple St. Clair retail locations. In late Fiscal 2003, Temple St. Clair opened its first retail boutiques in Costa Mesa, California and Short Hills, New Jersey</t>
        </r>
      </text>
    </comment>
    <comment ref="G125" authorId="1">
      <text>
        <r>
          <rPr>
            <b/>
            <sz val="8"/>
            <color indexed="81"/>
            <rFont val="Tahoma"/>
            <family val="2"/>
          </rPr>
          <t>pw64212:</t>
        </r>
        <r>
          <rPr>
            <sz val="8"/>
            <color indexed="81"/>
            <rFont val="Tahoma"/>
            <family val="2"/>
          </rPr>
          <t xml:space="preserve">
2003 10K: 0.384 U.S. branch stores + 0.04 NY flagship</t>
        </r>
      </text>
    </comment>
    <comment ref="AH125" authorId="1">
      <text>
        <r>
          <rPr>
            <b/>
            <sz val="8"/>
            <color indexed="81"/>
            <rFont val="Tahoma"/>
            <family val="2"/>
          </rPr>
          <t>pw64212:</t>
        </r>
        <r>
          <rPr>
            <sz val="8"/>
            <color indexed="81"/>
            <rFont val="Tahoma"/>
            <family val="2"/>
          </rPr>
          <t xml:space="preserve">
2003 10K</t>
        </r>
      </text>
    </comment>
    <comment ref="N128" authorId="3">
      <text>
        <r>
          <rPr>
            <b/>
            <sz val="8"/>
            <color indexed="81"/>
            <rFont val="Tahoma"/>
            <family val="2"/>
          </rPr>
          <t>SB:</t>
        </r>
        <r>
          <rPr>
            <sz val="8"/>
            <color indexed="81"/>
            <rFont val="Tahoma"/>
            <family val="2"/>
          </rPr>
          <t xml:space="preserve">
London
</t>
        </r>
      </text>
    </comment>
    <comment ref="P128" authorId="3">
      <text>
        <r>
          <rPr>
            <b/>
            <sz val="8"/>
            <color indexed="81"/>
            <rFont val="Tahoma"/>
            <family val="2"/>
          </rPr>
          <t>SB:</t>
        </r>
        <r>
          <rPr>
            <sz val="8"/>
            <color indexed="81"/>
            <rFont val="Tahoma"/>
            <family val="2"/>
          </rPr>
          <t xml:space="preserve">
Wakayama, Japan and London
closed Nagano, Japan</t>
        </r>
      </text>
    </comment>
    <comment ref="AB128" authorId="3">
      <text>
        <r>
          <rPr>
            <b/>
            <sz val="8"/>
            <color indexed="81"/>
            <rFont val="Tahoma"/>
            <family val="2"/>
          </rPr>
          <t>SB:</t>
        </r>
        <r>
          <rPr>
            <sz val="8"/>
            <color indexed="81"/>
            <rFont val="Tahoma"/>
            <family val="2"/>
          </rPr>
          <t xml:space="preserve">
Wakayama, Japan 
closed Nagano, Japan</t>
        </r>
      </text>
    </comment>
    <comment ref="P129" authorId="3">
      <text>
        <r>
          <rPr>
            <b/>
            <sz val="8"/>
            <color indexed="81"/>
            <rFont val="Tahoma"/>
            <family val="2"/>
          </rPr>
          <t>SB:</t>
        </r>
        <r>
          <rPr>
            <sz val="8"/>
            <color indexed="81"/>
            <rFont val="Tahoma"/>
            <family val="2"/>
          </rPr>
          <t xml:space="preserve">
Taipei, Tawain</t>
        </r>
      </text>
    </comment>
    <comment ref="AE129" authorId="3">
      <text>
        <r>
          <rPr>
            <b/>
            <sz val="8"/>
            <color indexed="81"/>
            <rFont val="Tahoma"/>
            <family val="2"/>
          </rPr>
          <t>SB:</t>
        </r>
        <r>
          <rPr>
            <sz val="8"/>
            <color indexed="81"/>
            <rFont val="Tahoma"/>
            <family val="2"/>
          </rPr>
          <t xml:space="preserve">
Taipei, Tawain</t>
        </r>
      </text>
    </comment>
    <comment ref="P130" authorId="3">
      <text>
        <r>
          <rPr>
            <b/>
            <sz val="8"/>
            <color indexed="81"/>
            <rFont val="Tahoma"/>
            <family val="2"/>
          </rPr>
          <t>SB:</t>
        </r>
        <r>
          <rPr>
            <sz val="8"/>
            <color indexed="81"/>
            <rFont val="Tahoma"/>
            <family val="2"/>
          </rPr>
          <t xml:space="preserve">
Takasaki and Marunouchi, Japan and Shanghai, China</t>
        </r>
      </text>
    </comment>
    <comment ref="AB130" authorId="3">
      <text>
        <r>
          <rPr>
            <b/>
            <sz val="8"/>
            <color indexed="81"/>
            <rFont val="Tahoma"/>
            <family val="2"/>
          </rPr>
          <t>SB:</t>
        </r>
        <r>
          <rPr>
            <sz val="8"/>
            <color indexed="81"/>
            <rFont val="Tahoma"/>
            <family val="2"/>
          </rPr>
          <t xml:space="preserve">
Marunouchi, Japan</t>
        </r>
      </text>
    </comment>
    <comment ref="AE130" authorId="3">
      <text>
        <r>
          <rPr>
            <b/>
            <sz val="8"/>
            <color indexed="81"/>
            <rFont val="Tahoma"/>
            <family val="2"/>
          </rPr>
          <t>SB:</t>
        </r>
        <r>
          <rPr>
            <sz val="8"/>
            <color indexed="81"/>
            <rFont val="Tahoma"/>
            <family val="2"/>
          </rPr>
          <t xml:space="preserve">
Shanghai, China</t>
        </r>
      </text>
    </comment>
    <comment ref="AB131" authorId="3">
      <text>
        <r>
          <rPr>
            <b/>
            <sz val="8"/>
            <color indexed="81"/>
            <rFont val="Tahoma"/>
            <family val="2"/>
          </rPr>
          <t>SB:</t>
        </r>
        <r>
          <rPr>
            <sz val="8"/>
            <color indexed="81"/>
            <rFont val="Tahoma"/>
            <family val="2"/>
          </rPr>
          <t xml:space="preserve">
Nishi-Umeda, Osaka, Japan                                </t>
        </r>
      </text>
    </comment>
    <comment ref="G132" authorId="1">
      <text>
        <r>
          <rPr>
            <b/>
            <sz val="8"/>
            <color indexed="81"/>
            <rFont val="Tahoma"/>
            <family val="2"/>
          </rPr>
          <t>pw64212:</t>
        </r>
        <r>
          <rPr>
            <sz val="8"/>
            <color indexed="81"/>
            <rFont val="Tahoma"/>
            <family val="2"/>
          </rPr>
          <t xml:space="preserve">
2004 10k: 0.406 U.S. branch stores + 0.04 NY flagship</t>
        </r>
      </text>
    </comment>
    <comment ref="AH132" authorId="1">
      <text>
        <r>
          <rPr>
            <b/>
            <sz val="8"/>
            <color indexed="81"/>
            <rFont val="Tahoma"/>
            <family val="2"/>
          </rPr>
          <t>pw64212:</t>
        </r>
        <r>
          <rPr>
            <sz val="8"/>
            <color indexed="81"/>
            <rFont val="Tahoma"/>
            <family val="2"/>
          </rPr>
          <t xml:space="preserve">
2004 10K pg 12</t>
        </r>
      </text>
    </comment>
    <comment ref="AL132" authorId="4">
      <text>
        <r>
          <rPr>
            <b/>
            <sz val="8"/>
            <color indexed="81"/>
            <rFont val="Tahoma"/>
            <family val="2"/>
          </rPr>
          <t>lm37689:</t>
        </r>
        <r>
          <rPr>
            <sz val="8"/>
            <color indexed="81"/>
            <rFont val="Tahoma"/>
            <family val="2"/>
          </rPr>
          <t xml:space="preserve">
23 Little Switzerland stores are located on six Caribbean islands (St. Thomas (3); St. Maarten/St. Martin (3); St. John (1); Aruba (6); Curacao (1); and Barbados (1)) and in Florida (Key West (3); Sunrise (1)) and Alaska (Skagway (2); Juneau (1); and Ketchikan (1)), and appeal primarily to tourists from the United States.
2 Iridesse: opened its first retail boutiques in Short Hills, New Jersey and McLean, Virginia.
In Fiscal 2003, Temple St. Clair opened its first retail boutiques in Costa Mesa, California and Short Hills, New Jersey. </t>
        </r>
      </text>
    </comment>
    <comment ref="G138" authorId="1">
      <text>
        <r>
          <rPr>
            <b/>
            <sz val="8"/>
            <color indexed="81"/>
            <rFont val="Tahoma"/>
            <family val="2"/>
          </rPr>
          <t>pw64212:</t>
        </r>
        <r>
          <rPr>
            <sz val="8"/>
            <color indexed="81"/>
            <rFont val="Tahoma"/>
            <family val="2"/>
          </rPr>
          <t xml:space="preserve">
0.427 U.S. branch stores + 0.04 NY flagship store</t>
        </r>
      </text>
    </comment>
    <comment ref="AO138" authorId="1">
      <text>
        <r>
          <rPr>
            <b/>
            <sz val="8"/>
            <color indexed="81"/>
            <rFont val="Tahoma"/>
            <family val="2"/>
          </rPr>
          <t>pw64212:</t>
        </r>
        <r>
          <rPr>
            <sz val="8"/>
            <color indexed="81"/>
            <rFont val="Tahoma"/>
            <family val="2"/>
          </rPr>
          <t xml:space="preserve">
2005 10K : 67K Little Switzerland + 9K Iridesse</t>
        </r>
      </text>
    </comment>
    <comment ref="D139" authorId="2">
      <text>
        <r>
          <rPr>
            <b/>
            <sz val="8"/>
            <color indexed="81"/>
            <rFont val="Tahoma"/>
            <family val="2"/>
          </rPr>
          <t>Morry Brown:</t>
        </r>
        <r>
          <rPr>
            <sz val="8"/>
            <color indexed="81"/>
            <rFont val="Tahoma"/>
            <family val="2"/>
          </rPr>
          <t xml:space="preserve">
5/05: Per 1Q release, mgmt expects to open 4 stores in US and at least 4 international</t>
        </r>
      </text>
    </comment>
    <comment ref="AA139" authorId="4">
      <text>
        <r>
          <rPr>
            <b/>
            <sz val="8"/>
            <color indexed="81"/>
            <rFont val="Tahoma"/>
            <family val="2"/>
          </rPr>
          <t>lm37689:</t>
        </r>
        <r>
          <rPr>
            <sz val="8"/>
            <color indexed="81"/>
            <rFont val="Tahoma"/>
            <family val="2"/>
          </rPr>
          <t xml:space="preserve">
from 2005 10-K</t>
        </r>
      </text>
    </comment>
    <comment ref="AB139" authorId="0">
      <text>
        <r>
          <rPr>
            <b/>
            <sz val="8"/>
            <color indexed="81"/>
            <rFont val="Tahoma"/>
            <family val="2"/>
          </rPr>
          <t>mm98285:</t>
        </r>
        <r>
          <rPr>
            <sz val="8"/>
            <color indexed="81"/>
            <rFont val="Tahoma"/>
            <family val="2"/>
          </rPr>
          <t xml:space="preserve">
2006 10K: opened 2 stores and closed 5</t>
        </r>
      </text>
    </comment>
    <comment ref="AH139" authorId="1">
      <text>
        <r>
          <rPr>
            <b/>
            <sz val="8"/>
            <color indexed="81"/>
            <rFont val="Tahoma"/>
            <family val="2"/>
          </rPr>
          <t>pw64212:</t>
        </r>
        <r>
          <rPr>
            <sz val="8"/>
            <color indexed="81"/>
            <rFont val="Tahoma"/>
            <family val="2"/>
          </rPr>
          <t xml:space="preserve">
2005 10K K-21</t>
        </r>
      </text>
    </comment>
    <comment ref="AL139" authorId="4">
      <text>
        <r>
          <rPr>
            <b/>
            <sz val="8"/>
            <color indexed="81"/>
            <rFont val="Tahoma"/>
            <family val="2"/>
          </rPr>
          <t>lm37689:</t>
        </r>
        <r>
          <rPr>
            <sz val="8"/>
            <color indexed="81"/>
            <rFont val="Tahoma"/>
            <family val="2"/>
          </rPr>
          <t xml:space="preserve">
26 Little Switzerland stores are located on nine Caribbean islands (Bahamas (2); Cayman Islands (1); Puerto Rico (1); St. Thomas (3); St. Maarten/St. Martin (3); St. John (1); Aruba (6); Curacao (1); and Barbados (1)) and in Florida (Key West (3); and Sunrise (1)) and Alaska (Skagway (1); Juneau (1); and Ketchikan (1)). 
4 Iridesse stores: (Short Hills, New Jersey; McLean, Virginia; Schaumburg, Illinois; King of Prussia, Pennsylvania; White Plains, New York; and Boca Raton, Florida)</t>
        </r>
      </text>
    </comment>
    <comment ref="AT139" authorId="2">
      <text>
        <r>
          <rPr>
            <b/>
            <sz val="8"/>
            <color indexed="81"/>
            <rFont val="Tahoma"/>
            <family val="2"/>
          </rPr>
          <t>Morry Brown:</t>
        </r>
        <r>
          <rPr>
            <sz val="8"/>
            <color indexed="81"/>
            <rFont val="Tahoma"/>
            <family val="2"/>
          </rPr>
          <t xml:space="preserve">
5/05: per 10-k, mgmt expects to add 6-10 stores annually, with 4 in USA in 2005 and at least 4 international</t>
        </r>
      </text>
    </comment>
    <comment ref="L142" authorId="4">
      <text>
        <r>
          <rPr>
            <b/>
            <sz val="8"/>
            <color indexed="81"/>
            <rFont val="Tahoma"/>
            <family val="2"/>
          </rPr>
          <t>lm37689:</t>
        </r>
        <r>
          <rPr>
            <sz val="8"/>
            <color indexed="81"/>
            <rFont val="Tahoma"/>
            <family val="2"/>
          </rPr>
          <t xml:space="preserve">
Monterrey, Mexico</t>
        </r>
      </text>
    </comment>
    <comment ref="AB142" authorId="5">
      <text>
        <r>
          <rPr>
            <b/>
            <sz val="8"/>
            <color indexed="81"/>
            <rFont val="Tahoma"/>
            <family val="2"/>
          </rPr>
          <t>oc48540:</t>
        </r>
        <r>
          <rPr>
            <sz val="8"/>
            <color indexed="81"/>
            <rFont val="Tahoma"/>
            <family val="2"/>
          </rPr>
          <t xml:space="preserve">
Mito, Japan
Yonago, Japan</t>
        </r>
      </text>
    </comment>
    <comment ref="AE142" authorId="5">
      <text>
        <r>
          <rPr>
            <b/>
            <sz val="8"/>
            <color indexed="81"/>
            <rFont val="Tahoma"/>
            <family val="2"/>
          </rPr>
          <t>oc48540:</t>
        </r>
        <r>
          <rPr>
            <sz val="8"/>
            <color indexed="81"/>
            <rFont val="Tahoma"/>
            <family val="2"/>
          </rPr>
          <t xml:space="preserve">
Closure of Busan, Korea</t>
        </r>
      </text>
    </comment>
    <comment ref="AM142" authorId="5">
      <text>
        <r>
          <rPr>
            <b/>
            <sz val="8"/>
            <color indexed="81"/>
            <rFont val="Tahoma"/>
            <family val="2"/>
          </rPr>
          <t>oc48540:</t>
        </r>
        <r>
          <rPr>
            <sz val="8"/>
            <color indexed="81"/>
            <rFont val="Tahoma"/>
            <family val="2"/>
          </rPr>
          <t xml:space="preserve">
now seven Iridesse stores</t>
        </r>
      </text>
    </comment>
    <comment ref="E143" authorId="5">
      <text>
        <r>
          <rPr>
            <b/>
            <sz val="8"/>
            <color indexed="81"/>
            <rFont val="Tahoma"/>
            <family val="2"/>
          </rPr>
          <t>oc48540:</t>
        </r>
        <r>
          <rPr>
            <sz val="8"/>
            <color indexed="81"/>
            <rFont val="Tahoma"/>
            <family val="2"/>
          </rPr>
          <t xml:space="preserve">
Indianapolis, IN</t>
        </r>
      </text>
    </comment>
    <comment ref="AB143" authorId="5">
      <text>
        <r>
          <rPr>
            <b/>
            <sz val="8"/>
            <color indexed="81"/>
            <rFont val="Tahoma"/>
            <family val="2"/>
          </rPr>
          <t>oc48540:</t>
        </r>
        <r>
          <rPr>
            <sz val="8"/>
            <color indexed="81"/>
            <rFont val="Tahoma"/>
            <family val="2"/>
          </rPr>
          <t xml:space="preserve">
Closure of Tottori, Japan
</t>
        </r>
      </text>
    </comment>
    <comment ref="AE143" authorId="5">
      <text>
        <r>
          <rPr>
            <b/>
            <sz val="8"/>
            <color indexed="81"/>
            <rFont val="Tahoma"/>
            <family val="2"/>
          </rPr>
          <t>oc48540:</t>
        </r>
        <r>
          <rPr>
            <sz val="8"/>
            <color indexed="81"/>
            <rFont val="Tahoma"/>
            <family val="2"/>
          </rPr>
          <t xml:space="preserve">
Beijing, China Opening</t>
        </r>
      </text>
    </comment>
    <comment ref="AM143" authorId="5">
      <text>
        <r>
          <rPr>
            <b/>
            <sz val="8"/>
            <color indexed="81"/>
            <rFont val="Tahoma"/>
            <family val="2"/>
          </rPr>
          <t>oc48540:</t>
        </r>
        <r>
          <rPr>
            <sz val="8"/>
            <color indexed="81"/>
            <rFont val="Tahoma"/>
            <family val="2"/>
          </rPr>
          <t xml:space="preserve">
now nine Iridesse stores</t>
        </r>
      </text>
    </comment>
    <comment ref="E144" authorId="5">
      <text>
        <r>
          <rPr>
            <b/>
            <sz val="8"/>
            <color indexed="81"/>
            <rFont val="Tahoma"/>
            <family val="2"/>
          </rPr>
          <t>oc48540:</t>
        </r>
        <r>
          <rPr>
            <sz val="8"/>
            <color indexed="81"/>
            <rFont val="Tahoma"/>
            <family val="2"/>
          </rPr>
          <t xml:space="preserve">
Atlantic City,
Tuscon, Arizona
Nashville, TN</t>
        </r>
      </text>
    </comment>
    <comment ref="N144" authorId="5">
      <text>
        <r>
          <rPr>
            <b/>
            <sz val="8"/>
            <color indexed="81"/>
            <rFont val="Tahoma"/>
            <family val="2"/>
          </rPr>
          <t>oc48540:</t>
        </r>
        <r>
          <rPr>
            <sz val="8"/>
            <color indexed="81"/>
            <rFont val="Tahoma"/>
            <family val="2"/>
          </rPr>
          <t xml:space="preserve">
Vienna, Austria</t>
        </r>
      </text>
    </comment>
    <comment ref="AB144" authorId="5">
      <text>
        <r>
          <rPr>
            <b/>
            <sz val="8"/>
            <color indexed="81"/>
            <rFont val="Tahoma"/>
            <family val="2"/>
          </rPr>
          <t>oc48540:</t>
        </r>
        <r>
          <rPr>
            <sz val="8"/>
            <color indexed="81"/>
            <rFont val="Tahoma"/>
            <family val="2"/>
          </rPr>
          <t xml:space="preserve">
Omiya, Japan</t>
        </r>
      </text>
    </comment>
    <comment ref="AE144" authorId="5">
      <text>
        <r>
          <rPr>
            <b/>
            <sz val="8"/>
            <color indexed="81"/>
            <rFont val="Tahoma"/>
            <family val="2"/>
          </rPr>
          <t>oc48540:</t>
        </r>
        <r>
          <rPr>
            <sz val="8"/>
            <color indexed="81"/>
            <rFont val="Tahoma"/>
            <family val="2"/>
          </rPr>
          <t xml:space="preserve">
Macau, China
Busan, Korea</t>
        </r>
      </text>
    </comment>
    <comment ref="AM144" authorId="5">
      <text>
        <r>
          <rPr>
            <b/>
            <sz val="8"/>
            <color indexed="81"/>
            <rFont val="Tahoma"/>
            <family val="2"/>
          </rPr>
          <t>oc48540:</t>
        </r>
        <r>
          <rPr>
            <sz val="8"/>
            <color indexed="81"/>
            <rFont val="Tahoma"/>
            <family val="2"/>
          </rPr>
          <t xml:space="preserve">
Assumes 1 Iridesse store</t>
        </r>
      </text>
    </comment>
    <comment ref="E145" authorId="5">
      <text>
        <r>
          <rPr>
            <b/>
            <sz val="8"/>
            <color indexed="81"/>
            <rFont val="Tahoma"/>
            <family val="2"/>
          </rPr>
          <t>oc48540:</t>
        </r>
        <r>
          <rPr>
            <sz val="8"/>
            <color indexed="81"/>
            <rFont val="Tahoma"/>
            <family val="2"/>
          </rPr>
          <t xml:space="preserve">
Waikoloa, Hawaii</t>
        </r>
      </text>
    </comment>
    <comment ref="G145" authorId="1">
      <text>
        <r>
          <rPr>
            <b/>
            <sz val="8"/>
            <color indexed="81"/>
            <rFont val="Tahoma"/>
            <family val="2"/>
          </rPr>
          <t>pw64212:</t>
        </r>
        <r>
          <rPr>
            <sz val="8"/>
            <color indexed="81"/>
            <rFont val="Tahoma"/>
            <family val="2"/>
          </rPr>
          <t xml:space="preserve">
0.446 U.S. stores excluding NY flagship store + 0.04 NY flagship store</t>
        </r>
      </text>
    </comment>
    <comment ref="L145" authorId="5">
      <text>
        <r>
          <rPr>
            <b/>
            <sz val="8"/>
            <color indexed="81"/>
            <rFont val="Tahoma"/>
            <family val="2"/>
          </rPr>
          <t>oc48540:</t>
        </r>
        <r>
          <rPr>
            <sz val="8"/>
            <color indexed="81"/>
            <rFont val="Tahoma"/>
            <family val="2"/>
          </rPr>
          <t xml:space="preserve">
Vancouver, Canada</t>
        </r>
      </text>
    </comment>
    <comment ref="AE145" authorId="5">
      <text>
        <r>
          <rPr>
            <b/>
            <sz val="8"/>
            <color indexed="81"/>
            <rFont val="Tahoma"/>
            <family val="2"/>
          </rPr>
          <t>oc48540:</t>
        </r>
        <r>
          <rPr>
            <sz val="8"/>
            <color indexed="81"/>
            <rFont val="Tahoma"/>
            <family val="2"/>
          </rPr>
          <t xml:space="preserve">
Shanghai, China</t>
        </r>
      </text>
    </comment>
    <comment ref="AM145" authorId="5">
      <text>
        <r>
          <rPr>
            <b/>
            <sz val="8"/>
            <color indexed="81"/>
            <rFont val="Tahoma"/>
            <family val="2"/>
          </rPr>
          <t>oc48540:</t>
        </r>
        <r>
          <rPr>
            <sz val="8"/>
            <color indexed="81"/>
            <rFont val="Tahoma"/>
            <family val="2"/>
          </rPr>
          <t xml:space="preserve">
13 Iridesse stores by end of 2006, assume closure of 1 Little Swtizerland store
</t>
        </r>
      </text>
    </comment>
    <comment ref="AO145" authorId="1">
      <text>
        <r>
          <rPr>
            <b/>
            <sz val="8"/>
            <color indexed="81"/>
            <rFont val="Tahoma"/>
            <family val="2"/>
          </rPr>
          <t>pw64212:</t>
        </r>
        <r>
          <rPr>
            <sz val="8"/>
            <color indexed="81"/>
            <rFont val="Tahoma"/>
            <family val="2"/>
          </rPr>
          <t xml:space="preserve">
2006 10K : K-20.  93K Little Switzerland + 19K Iridesse</t>
        </r>
      </text>
    </comment>
    <comment ref="D146" authorId="2">
      <text>
        <r>
          <rPr>
            <b/>
            <sz val="8"/>
            <color indexed="81"/>
            <rFont val="Tahoma"/>
            <family val="2"/>
          </rPr>
          <t>pw64212:
k-5 2007 10K
On January 31, in addition to its New York Flagship store, Tiffany had 63 branch stores in the United States</t>
        </r>
      </text>
    </comment>
    <comment ref="AA146" authorId="0">
      <text>
        <r>
          <rPr>
            <b/>
            <sz val="8"/>
            <color indexed="81"/>
            <rFont val="Tahoma"/>
            <family val="2"/>
          </rPr>
          <t>mm98285:</t>
        </r>
        <r>
          <rPr>
            <sz val="8"/>
            <color indexed="81"/>
            <rFont val="Tahoma"/>
            <family val="2"/>
          </rPr>
          <t xml:space="preserve">
includes 18 Mitsukoshi department stores, 4 free-standing stores &amp; 30 locations primarily in department stores other than Mitsukoshi</t>
        </r>
      </text>
    </comment>
    <comment ref="AB146" authorId="0">
      <text>
        <r>
          <rPr>
            <b/>
            <sz val="8"/>
            <color indexed="81"/>
            <rFont val="Tahoma"/>
            <family val="2"/>
          </rPr>
          <t>mm98285:</t>
        </r>
        <r>
          <rPr>
            <sz val="8"/>
            <color indexed="81"/>
            <rFont val="Tahoma"/>
            <family val="2"/>
          </rPr>
          <t xml:space="preserve">
2006 10K: opened 4 and closed 2</t>
        </r>
      </text>
    </comment>
    <comment ref="AE146" authorId="0">
      <text>
        <r>
          <rPr>
            <b/>
            <sz val="8"/>
            <color indexed="81"/>
            <rFont val="Tahoma"/>
            <family val="2"/>
          </rPr>
          <t>mm98285:</t>
        </r>
        <r>
          <rPr>
            <sz val="8"/>
            <color indexed="81"/>
            <rFont val="Tahoma"/>
            <family val="2"/>
          </rPr>
          <t xml:space="preserve">
2006 10K: opened 3 in China, 1 in Korea and closed 1 in Korea</t>
        </r>
      </text>
    </comment>
    <comment ref="AH146" authorId="1">
      <text>
        <r>
          <rPr>
            <b/>
            <sz val="8"/>
            <color indexed="81"/>
            <rFont val="Tahoma"/>
            <family val="2"/>
          </rPr>
          <t>pw64212:</t>
        </r>
        <r>
          <rPr>
            <sz val="8"/>
            <color indexed="81"/>
            <rFont val="Tahoma"/>
            <family val="2"/>
          </rPr>
          <t xml:space="preserve">
total int' store square footage includnig London and Tokoyo flagship stores 2006 10K K-20</t>
        </r>
      </text>
    </comment>
    <comment ref="AL146" authorId="0">
      <text>
        <r>
          <rPr>
            <b/>
            <sz val="8"/>
            <color indexed="81"/>
            <rFont val="Tahoma"/>
            <family val="2"/>
          </rPr>
          <t>mm98285:</t>
        </r>
        <r>
          <rPr>
            <sz val="8"/>
            <color indexed="81"/>
            <rFont val="Tahoma"/>
            <family val="2"/>
          </rPr>
          <t xml:space="preserve">
2006 10K:
25 Little Swtz (93K sqft)
13 Iridesse (19K sq ft)</t>
        </r>
      </text>
    </comment>
    <comment ref="AT146" authorId="2">
      <text>
        <r>
          <rPr>
            <b/>
            <sz val="8"/>
            <color indexed="81"/>
            <rFont val="Tahoma"/>
            <family val="2"/>
          </rPr>
          <t>Morry Brown:</t>
        </r>
        <r>
          <rPr>
            <sz val="8"/>
            <color indexed="81"/>
            <rFont val="Tahoma"/>
            <family val="2"/>
          </rPr>
          <t xml:space="preserve">
5/05: per 10-k, mgmt expects to add 6-10 stores annually, with 4 in USA in 2005 and at least 4 international</t>
        </r>
      </text>
    </comment>
    <comment ref="D149" authorId="1">
      <text>
        <r>
          <rPr>
            <b/>
            <sz val="8"/>
            <color indexed="81"/>
            <rFont val="Tahoma"/>
            <family val="2"/>
          </rPr>
          <t>pw64212:</t>
        </r>
        <r>
          <rPr>
            <sz val="8"/>
            <color indexed="81"/>
            <rFont val="Tahoma"/>
            <family val="2"/>
          </rPr>
          <t xml:space="preserve">
2007Q1 10Q: pg 14. opened a new store in Austin Texas</t>
        </r>
      </text>
    </comment>
    <comment ref="E149" authorId="0">
      <text>
        <r>
          <rPr>
            <b/>
            <sz val="8"/>
            <color indexed="81"/>
            <rFont val="Tahoma"/>
            <family val="2"/>
          </rPr>
          <t>mm98285:</t>
        </r>
        <r>
          <rPr>
            <sz val="8"/>
            <color indexed="81"/>
            <rFont val="Tahoma"/>
            <family val="2"/>
          </rPr>
          <t xml:space="preserve">
Austin, TX</t>
        </r>
      </text>
    </comment>
    <comment ref="G149" authorId="0">
      <text>
        <r>
          <rPr>
            <b/>
            <sz val="8"/>
            <color indexed="81"/>
            <rFont val="Tahoma"/>
            <family val="2"/>
          </rPr>
          <t>mm98285:</t>
        </r>
        <r>
          <rPr>
            <sz val="8"/>
            <color indexed="81"/>
            <rFont val="Tahoma"/>
            <family val="2"/>
          </rPr>
          <t xml:space="preserve">
Austin store is 5,100 gross sq ft</t>
        </r>
      </text>
    </comment>
    <comment ref="AA149" authorId="1">
      <text>
        <r>
          <rPr>
            <b/>
            <sz val="8"/>
            <color indexed="81"/>
            <rFont val="Tahoma"/>
            <family val="2"/>
          </rPr>
          <t>pw64212:</t>
        </r>
        <r>
          <rPr>
            <sz val="8"/>
            <color indexed="81"/>
            <rFont val="Tahoma"/>
            <family val="2"/>
          </rPr>
          <t xml:space="preserve">
2007Q1 10Q: pg 14.  Closed 2 and opened 3 new</t>
        </r>
      </text>
    </comment>
    <comment ref="AB149" authorId="0">
      <text>
        <r>
          <rPr>
            <b/>
            <sz val="8"/>
            <color indexed="81"/>
            <rFont val="Tahoma"/>
            <family val="2"/>
          </rPr>
          <t>mm98285:</t>
        </r>
        <r>
          <rPr>
            <sz val="8"/>
            <color indexed="81"/>
            <rFont val="Tahoma"/>
            <family val="2"/>
          </rPr>
          <t xml:space="preserve">
opened: 1) Tokyo-Shibuya, 2) Tokyo-Shinjuku, 3) Hiroshima
closed: 1) Hoshigaoka, 2) Okinawa</t>
        </r>
      </text>
    </comment>
    <comment ref="AE149" authorId="1">
      <text>
        <r>
          <rPr>
            <b/>
            <sz val="8"/>
            <color indexed="81"/>
            <rFont val="Tahoma"/>
            <family val="2"/>
          </rPr>
          <t>pw64212:</t>
        </r>
        <r>
          <rPr>
            <sz val="8"/>
            <color indexed="81"/>
            <rFont val="Tahoma"/>
            <family val="2"/>
          </rPr>
          <t xml:space="preserve">
8/07: opened 1) Changi Airport, Singapore (1,600 gross sq ft), 2) Seoul, Korea (1,100 gross sq ft)</t>
        </r>
      </text>
    </comment>
    <comment ref="N150" authorId="0">
      <text>
        <r>
          <rPr>
            <b/>
            <sz val="8"/>
            <color indexed="81"/>
            <rFont val="Tahoma"/>
            <family val="2"/>
          </rPr>
          <t>mm98285:</t>
        </r>
        <r>
          <rPr>
            <sz val="8"/>
            <color indexed="81"/>
            <rFont val="Tahoma"/>
            <family val="2"/>
          </rPr>
          <t xml:space="preserve">
8/30/07: opened 1 store in Hamburg, Germany (2400 sq ft)</t>
        </r>
      </text>
    </comment>
    <comment ref="E151" authorId="0">
      <text>
        <r>
          <rPr>
            <b/>
            <sz val="8"/>
            <color indexed="81"/>
            <rFont val="Tahoma"/>
            <family val="2"/>
          </rPr>
          <t>mm98285:</t>
        </r>
        <r>
          <rPr>
            <sz val="8"/>
            <color indexed="81"/>
            <rFont val="Tahoma"/>
            <family val="2"/>
          </rPr>
          <t xml:space="preserve">
8/07: expect 1) New York-Wall Street, NY; 2) Las Vegas-Forum Shops, Nevada; 3) Natick, Massachusetts</t>
        </r>
      </text>
    </comment>
    <comment ref="L151" authorId="0">
      <text>
        <r>
          <rPr>
            <b/>
            <sz val="8"/>
            <color indexed="81"/>
            <rFont val="Tahoma"/>
            <family val="2"/>
          </rPr>
          <t>mm98285:</t>
        </r>
        <r>
          <rPr>
            <sz val="8"/>
            <color indexed="81"/>
            <rFont val="Tahoma"/>
            <family val="2"/>
          </rPr>
          <t xml:space="preserve">
8/07: expect Mexico City Mexico (1,240 sq ft)</t>
        </r>
      </text>
    </comment>
    <comment ref="N151" authorId="0">
      <text>
        <r>
          <rPr>
            <b/>
            <sz val="8"/>
            <color indexed="81"/>
            <rFont val="Tahoma"/>
            <family val="2"/>
          </rPr>
          <t>mm98285:</t>
        </r>
        <r>
          <rPr>
            <sz val="8"/>
            <color indexed="81"/>
            <rFont val="Tahoma"/>
            <family val="2"/>
          </rPr>
          <t xml:space="preserve">
8/07: expect opening in London-Selfridges, England (1,500 sq ft)</t>
        </r>
      </text>
    </comment>
    <comment ref="AB151" authorId="0">
      <text>
        <r>
          <rPr>
            <b/>
            <sz val="8"/>
            <color indexed="81"/>
            <rFont val="Tahoma"/>
            <family val="2"/>
          </rPr>
          <t>mm98285:</t>
        </r>
        <r>
          <rPr>
            <sz val="8"/>
            <color indexed="81"/>
            <rFont val="Tahoma"/>
            <family val="2"/>
          </rPr>
          <t xml:space="preserve">
8/07: expect Nagoya, Japan</t>
        </r>
      </text>
    </comment>
    <comment ref="AE151" authorId="0">
      <text>
        <r>
          <rPr>
            <b/>
            <sz val="8"/>
            <color indexed="81"/>
            <rFont val="Tahoma"/>
            <family val="2"/>
          </rPr>
          <t>mm98285:</t>
        </r>
        <r>
          <rPr>
            <sz val="8"/>
            <color indexed="81"/>
            <rFont val="Tahoma"/>
            <family val="2"/>
          </rPr>
          <t xml:space="preserve">
8/07: expect openings: 1) Kuala Lumpur, Malaysia, 2) Kowloon Station, HK, 3) Macau, China</t>
        </r>
      </text>
    </comment>
    <comment ref="E152" authorId="0">
      <text>
        <r>
          <rPr>
            <b/>
            <sz val="8"/>
            <color indexed="81"/>
            <rFont val="Tahoma"/>
            <family val="2"/>
          </rPr>
          <t>mm98285:</t>
        </r>
        <r>
          <rPr>
            <sz val="8"/>
            <color indexed="81"/>
            <rFont val="Tahoma"/>
            <family val="2"/>
          </rPr>
          <t xml:space="preserve">
3/08: also closed Maui HI
8/07: expect: 1) Red Bank, NJ; 2) Providence, Rhode Island; 3) Santa Barbara, CA</t>
        </r>
      </text>
    </comment>
    <comment ref="N152" authorId="0">
      <text>
        <r>
          <rPr>
            <b/>
            <sz val="8"/>
            <color indexed="81"/>
            <rFont val="Tahoma"/>
            <family val="2"/>
          </rPr>
          <t>mm98285:</t>
        </r>
        <r>
          <rPr>
            <sz val="8"/>
            <color indexed="81"/>
            <rFont val="Tahoma"/>
            <family val="2"/>
          </rPr>
          <t xml:space="preserve">
8/07: expect opening in Bologna, Italy</t>
        </r>
      </text>
    </comment>
    <comment ref="E153" authorId="2">
      <text>
        <r>
          <rPr>
            <b/>
            <sz val="8"/>
            <color indexed="81"/>
            <rFont val="Tahoma"/>
            <family val="2"/>
          </rPr>
          <t>Morry Brown:</t>
        </r>
        <r>
          <rPr>
            <sz val="8"/>
            <color indexed="81"/>
            <rFont val="Tahoma"/>
            <family val="2"/>
          </rPr>
          <t xml:space="preserve">
2006 10K; plan to open 5-7 U.S. stores per year
6/05: Per 10-k, mgmt expects to open 3-5 stores in the U.S. per year for the next several years</t>
        </r>
      </text>
    </comment>
    <comment ref="L153" authorId="0">
      <text>
        <r>
          <rPr>
            <b/>
            <sz val="8"/>
            <color indexed="81"/>
            <rFont val="Tahoma"/>
            <family val="2"/>
          </rPr>
          <t>mm98285:</t>
        </r>
        <r>
          <rPr>
            <sz val="8"/>
            <color indexed="81"/>
            <rFont val="Tahoma"/>
            <family val="2"/>
          </rPr>
          <t xml:space="preserve">
2006 10K: expect to open 10 stores internationally going forward</t>
        </r>
      </text>
    </comment>
    <comment ref="N153" authorId="0">
      <text>
        <r>
          <rPr>
            <b/>
            <sz val="8"/>
            <color indexed="81"/>
            <rFont val="Tahoma"/>
            <family val="2"/>
          </rPr>
          <t>mm98285:</t>
        </r>
        <r>
          <rPr>
            <sz val="8"/>
            <color indexed="81"/>
            <rFont val="Tahoma"/>
            <family val="2"/>
          </rPr>
          <t xml:space="preserve">
2006 10K: expect to open 10 stores internationally going forward</t>
        </r>
      </text>
    </comment>
    <comment ref="AB153" authorId="0">
      <text>
        <r>
          <rPr>
            <b/>
            <sz val="8"/>
            <color indexed="81"/>
            <rFont val="Tahoma"/>
            <family val="2"/>
          </rPr>
          <t>mm98285:</t>
        </r>
        <r>
          <rPr>
            <sz val="8"/>
            <color indexed="81"/>
            <rFont val="Tahoma"/>
            <family val="2"/>
          </rPr>
          <t xml:space="preserve">
2006 10K: expect to open 10 stores internationally going forward</t>
        </r>
      </text>
    </comment>
    <comment ref="AE153" authorId="0">
      <text>
        <r>
          <rPr>
            <b/>
            <sz val="8"/>
            <color indexed="81"/>
            <rFont val="Tahoma"/>
            <family val="2"/>
          </rPr>
          <t>mm98285:</t>
        </r>
        <r>
          <rPr>
            <sz val="8"/>
            <color indexed="81"/>
            <rFont val="Tahoma"/>
            <family val="2"/>
          </rPr>
          <t xml:space="preserve">
7/07: +4-6 stores per year
2006 10K: expect to open 10 stores internationally going forward</t>
        </r>
      </text>
    </comment>
    <comment ref="AL153" authorId="0">
      <text>
        <r>
          <rPr>
            <b/>
            <sz val="8"/>
            <color indexed="81"/>
            <rFont val="Tahoma"/>
            <family val="2"/>
          </rPr>
          <t>mm98285:</t>
        </r>
        <r>
          <rPr>
            <sz val="8"/>
            <color indexed="81"/>
            <rFont val="Tahoma"/>
            <family val="2"/>
          </rPr>
          <t xml:space="preserve">
4/07:  expect to open 3 LS stores and 3 Iridesse stores in 2007</t>
        </r>
      </text>
    </comment>
    <comment ref="AT153" authorId="2">
      <text>
        <r>
          <rPr>
            <b/>
            <sz val="8"/>
            <color indexed="81"/>
            <rFont val="Tahoma"/>
            <family val="2"/>
          </rPr>
          <t>Morry Brown:</t>
        </r>
        <r>
          <rPr>
            <sz val="8"/>
            <color indexed="81"/>
            <rFont val="Tahoma"/>
            <family val="2"/>
          </rPr>
          <t xml:space="preserve">
5/05: per 10-k, mgmt expects to add 6-10 stores annually, with 4 in USA in 2005 and at least 4 international</t>
        </r>
      </text>
    </comment>
    <comment ref="E160" authorId="2">
      <text>
        <r>
          <rPr>
            <b/>
            <sz val="8"/>
            <color indexed="81"/>
            <rFont val="Tahoma"/>
            <family val="2"/>
          </rPr>
          <t>Morry Brown:</t>
        </r>
        <r>
          <rPr>
            <sz val="8"/>
            <color indexed="81"/>
            <rFont val="Tahoma"/>
            <family val="2"/>
          </rPr>
          <t xml:space="preserve">
2006 10K; plan to open 5-7 U.S. stores per year
6/05: Per 10-k, mgmt expects to open 3-5 stores in the U.S. per year for the next several years</t>
        </r>
      </text>
    </comment>
    <comment ref="AE160" authorId="0">
      <text>
        <r>
          <rPr>
            <b/>
            <sz val="8"/>
            <color indexed="81"/>
            <rFont val="Tahoma"/>
            <family val="2"/>
          </rPr>
          <t>mm98285:</t>
        </r>
        <r>
          <rPr>
            <sz val="8"/>
            <color indexed="81"/>
            <rFont val="Tahoma"/>
            <family val="2"/>
          </rPr>
          <t xml:space="preserve">
7/07: +4-6 stores per year</t>
        </r>
      </text>
    </comment>
    <comment ref="AT160" authorId="2">
      <text>
        <r>
          <rPr>
            <b/>
            <sz val="8"/>
            <color indexed="81"/>
            <rFont val="Tahoma"/>
            <family val="2"/>
          </rPr>
          <t>Morry Brown:</t>
        </r>
        <r>
          <rPr>
            <sz val="8"/>
            <color indexed="81"/>
            <rFont val="Tahoma"/>
            <family val="2"/>
          </rPr>
          <t xml:space="preserve">
5/05: per 10-k, mgmt expects to add 6-10 stores annually, with 4 in USA in 2005 and at least 4 international</t>
        </r>
      </text>
    </comment>
    <comment ref="E167" authorId="2">
      <text>
        <r>
          <rPr>
            <b/>
            <sz val="8"/>
            <color indexed="81"/>
            <rFont val="Tahoma"/>
            <family val="2"/>
          </rPr>
          <t>Morry Brown:</t>
        </r>
        <r>
          <rPr>
            <sz val="8"/>
            <color indexed="81"/>
            <rFont val="Tahoma"/>
            <family val="2"/>
          </rPr>
          <t xml:space="preserve">
2006 10K; plan to open 5-7 U.S. stores per year
6/05: Per 10-k, mgmt expects to open 3-5 stores in the U.S. per year for the next several years</t>
        </r>
      </text>
    </comment>
    <comment ref="AE167" authorId="0">
      <text>
        <r>
          <rPr>
            <b/>
            <sz val="8"/>
            <color indexed="81"/>
            <rFont val="Tahoma"/>
            <family val="2"/>
          </rPr>
          <t>mm98285:</t>
        </r>
        <r>
          <rPr>
            <sz val="8"/>
            <color indexed="81"/>
            <rFont val="Tahoma"/>
            <family val="2"/>
          </rPr>
          <t xml:space="preserve">
7/07: +4-6 stores per year</t>
        </r>
      </text>
    </comment>
    <comment ref="AT167" authorId="2">
      <text>
        <r>
          <rPr>
            <b/>
            <sz val="8"/>
            <color indexed="81"/>
            <rFont val="Tahoma"/>
            <family val="2"/>
          </rPr>
          <t>Morry Brown:</t>
        </r>
        <r>
          <rPr>
            <sz val="8"/>
            <color indexed="81"/>
            <rFont val="Tahoma"/>
            <family val="2"/>
          </rPr>
          <t xml:space="preserve">
5/05: per 10-k, mgmt expects to add 6-10 stores annually, with 4 in USA in 2005 and at least 4 international</t>
        </r>
      </text>
    </comment>
    <comment ref="E174" authorId="2">
      <text>
        <r>
          <rPr>
            <b/>
            <sz val="8"/>
            <color indexed="81"/>
            <rFont val="Tahoma"/>
            <family val="2"/>
          </rPr>
          <t>Morry Brown:</t>
        </r>
        <r>
          <rPr>
            <sz val="8"/>
            <color indexed="81"/>
            <rFont val="Tahoma"/>
            <family val="2"/>
          </rPr>
          <t xml:space="preserve">
2006 10K; plan to open 5-7 U.S. stores per year
6/05: Per 10-k, mgmt expects to open 3-5 stores in the U.S. per year for the next several years</t>
        </r>
      </text>
    </comment>
    <comment ref="AE174" authorId="0">
      <text>
        <r>
          <rPr>
            <b/>
            <sz val="8"/>
            <color indexed="81"/>
            <rFont val="Tahoma"/>
            <family val="2"/>
          </rPr>
          <t>mm98285:</t>
        </r>
        <r>
          <rPr>
            <sz val="8"/>
            <color indexed="81"/>
            <rFont val="Tahoma"/>
            <family val="2"/>
          </rPr>
          <t xml:space="preserve">
7/07: +4-6 stores per year</t>
        </r>
      </text>
    </comment>
    <comment ref="AT174" authorId="2">
      <text>
        <r>
          <rPr>
            <b/>
            <sz val="8"/>
            <color indexed="81"/>
            <rFont val="Tahoma"/>
            <family val="2"/>
          </rPr>
          <t>Morry Brown:</t>
        </r>
        <r>
          <rPr>
            <sz val="8"/>
            <color indexed="81"/>
            <rFont val="Tahoma"/>
            <family val="2"/>
          </rPr>
          <t xml:space="preserve">
5/05: per 10-k, mgmt expects to add 6-10 stores annually, with 4 in USA in 2005 and at least 4 international</t>
        </r>
      </text>
    </comment>
    <comment ref="E181" authorId="2">
      <text>
        <r>
          <rPr>
            <b/>
            <sz val="8"/>
            <color indexed="81"/>
            <rFont val="Tahoma"/>
            <family val="2"/>
          </rPr>
          <t>Morry Brown:</t>
        </r>
        <r>
          <rPr>
            <sz val="8"/>
            <color indexed="81"/>
            <rFont val="Tahoma"/>
            <family val="2"/>
          </rPr>
          <t xml:space="preserve">
2006 10K; plan to open 5-7 U.S. stores per year
6/05: Per 10-k, mgmt expects to open 3-5 stores in the U.S. per year for the next several years</t>
        </r>
      </text>
    </comment>
    <comment ref="AE181" authorId="0">
      <text>
        <r>
          <rPr>
            <b/>
            <sz val="8"/>
            <color indexed="81"/>
            <rFont val="Tahoma"/>
            <family val="2"/>
          </rPr>
          <t>mm98285:</t>
        </r>
        <r>
          <rPr>
            <sz val="8"/>
            <color indexed="81"/>
            <rFont val="Tahoma"/>
            <family val="2"/>
          </rPr>
          <t xml:space="preserve">
7/07: +4-6 stores per year</t>
        </r>
      </text>
    </comment>
    <comment ref="AT181" authorId="2">
      <text>
        <r>
          <rPr>
            <b/>
            <sz val="8"/>
            <color indexed="81"/>
            <rFont val="Tahoma"/>
            <family val="2"/>
          </rPr>
          <t>Morry Brown:</t>
        </r>
        <r>
          <rPr>
            <sz val="8"/>
            <color indexed="81"/>
            <rFont val="Tahoma"/>
            <family val="2"/>
          </rPr>
          <t xml:space="preserve">
5/05: per 10-k, mgmt expects to add 6-10 stores annually, with 4 in USA in 2005 and at least 4 international</t>
        </r>
      </text>
    </comment>
    <comment ref="L237" authorId="0">
      <text>
        <r>
          <rPr>
            <b/>
            <sz val="8"/>
            <color indexed="81"/>
            <rFont val="Tahoma"/>
            <family val="2"/>
          </rPr>
          <t>mm98285:</t>
        </r>
        <r>
          <rPr>
            <sz val="8"/>
            <color indexed="81"/>
            <rFont val="Tahoma"/>
            <family val="2"/>
          </rPr>
          <t xml:space="preserve">
opened 7 stores and closed 3 stores </t>
        </r>
      </text>
    </comment>
    <comment ref="V237" authorId="0">
      <text>
        <r>
          <rPr>
            <b/>
            <sz val="8"/>
            <color indexed="81"/>
            <rFont val="Tahoma"/>
            <family val="2"/>
          </rPr>
          <t>mm98285:</t>
        </r>
        <r>
          <rPr>
            <sz val="8"/>
            <color indexed="81"/>
            <rFont val="Tahoma"/>
            <family val="2"/>
          </rPr>
          <t xml:space="preserve">
opened 7 stores and closed 3 stores </t>
        </r>
      </text>
    </comment>
    <comment ref="AB237" authorId="0">
      <text>
        <r>
          <rPr>
            <b/>
            <sz val="8"/>
            <color indexed="81"/>
            <rFont val="Tahoma"/>
            <family val="2"/>
          </rPr>
          <t>mm98285:</t>
        </r>
        <r>
          <rPr>
            <sz val="8"/>
            <color indexed="81"/>
            <rFont val="Tahoma"/>
            <family val="2"/>
          </rPr>
          <t xml:space="preserve">
opened 3 stores (no closures)</t>
        </r>
      </text>
    </comment>
    <comment ref="E240" authorId="0">
      <text>
        <r>
          <rPr>
            <b/>
            <sz val="8"/>
            <color indexed="81"/>
            <rFont val="Tahoma"/>
            <family val="2"/>
          </rPr>
          <t>mm98285:</t>
        </r>
        <r>
          <rPr>
            <sz val="8"/>
            <color indexed="81"/>
            <rFont val="Tahoma"/>
            <family val="2"/>
          </rPr>
          <t xml:space="preserve">
Los Angeles - Westfield Topanga Center, California</t>
        </r>
      </text>
    </comment>
    <comment ref="L240" authorId="0">
      <text>
        <r>
          <rPr>
            <b/>
            <sz val="8"/>
            <color indexed="81"/>
            <rFont val="Tahoma"/>
            <family val="2"/>
          </rPr>
          <t>mm98285:</t>
        </r>
        <r>
          <rPr>
            <sz val="8"/>
            <color indexed="81"/>
            <rFont val="Tahoma"/>
            <family val="2"/>
          </rPr>
          <t xml:space="preserve">
Fukuoka, Japan
Osaka, Japan
Shizuoka, Japan
Tokyo, Japan
Chengdu, China
Shenyang, China</t>
        </r>
      </text>
    </comment>
    <comment ref="V240" authorId="0">
      <text>
        <r>
          <rPr>
            <b/>
            <sz val="8"/>
            <color indexed="81"/>
            <rFont val="Tahoma"/>
            <family val="2"/>
          </rPr>
          <t>mm98285:</t>
        </r>
        <r>
          <rPr>
            <sz val="8"/>
            <color indexed="81"/>
            <rFont val="Tahoma"/>
            <family val="2"/>
          </rPr>
          <t xml:space="preserve">
Fukuoka, Japan
Osaka, Japan
Shizuoka, Japan
Tokyo, Japan
Chengdu, China
Shenyang, China</t>
        </r>
      </text>
    </comment>
    <comment ref="AB240" authorId="0">
      <text>
        <r>
          <rPr>
            <b/>
            <sz val="8"/>
            <color indexed="81"/>
            <rFont val="Tahoma"/>
            <family val="2"/>
          </rPr>
          <t>mm98285:</t>
        </r>
        <r>
          <rPr>
            <sz val="8"/>
            <color indexed="81"/>
            <rFont val="Tahoma"/>
            <family val="2"/>
          </rPr>
          <t xml:space="preserve">
London - Heathrow Airport, United Kingdom</t>
        </r>
      </text>
    </comment>
    <comment ref="E241" authorId="0">
      <text>
        <r>
          <rPr>
            <b/>
            <sz val="8"/>
            <color indexed="81"/>
            <rFont val="Tahoma"/>
            <family val="2"/>
          </rPr>
          <t>mm98285:</t>
        </r>
        <r>
          <rPr>
            <sz val="8"/>
            <color indexed="81"/>
            <rFont val="Tahoma"/>
            <family val="2"/>
          </rPr>
          <t xml:space="preserve">
West Hartford, CT</t>
        </r>
      </text>
    </comment>
    <comment ref="L241" authorId="0">
      <text>
        <r>
          <rPr>
            <b/>
            <sz val="8"/>
            <color indexed="81"/>
            <rFont val="Tahoma"/>
            <family val="2"/>
          </rPr>
          <t>mm98285:</t>
        </r>
        <r>
          <rPr>
            <sz val="8"/>
            <color indexed="81"/>
            <rFont val="Tahoma"/>
            <family val="2"/>
          </rPr>
          <t xml:space="preserve">
Perth, Australia
Seoul - Samsung Plaza, Korea</t>
        </r>
      </text>
    </comment>
    <comment ref="V241" authorId="0">
      <text>
        <r>
          <rPr>
            <b/>
            <sz val="8"/>
            <color indexed="81"/>
            <rFont val="Tahoma"/>
            <family val="2"/>
          </rPr>
          <t>mm98285:</t>
        </r>
        <r>
          <rPr>
            <sz val="8"/>
            <color indexed="81"/>
            <rFont val="Tahoma"/>
            <family val="2"/>
          </rPr>
          <t xml:space="preserve">
Perth, Australia
Seoul - Samsung Plaza, Korea</t>
        </r>
      </text>
    </comment>
    <comment ref="AB241" authorId="0">
      <text>
        <r>
          <rPr>
            <b/>
            <sz val="8"/>
            <color indexed="81"/>
            <rFont val="Tahoma"/>
            <family val="2"/>
          </rPr>
          <t>mm98285:</t>
        </r>
        <r>
          <rPr>
            <sz val="8"/>
            <color indexed="81"/>
            <rFont val="Tahoma"/>
            <family val="2"/>
          </rPr>
          <t xml:space="preserve">
Brussels, Belguim</t>
        </r>
      </text>
    </comment>
    <comment ref="E242" authorId="0">
      <text>
        <r>
          <rPr>
            <b/>
            <sz val="8"/>
            <color indexed="81"/>
            <rFont val="Tahoma"/>
            <family val="2"/>
          </rPr>
          <t>mm98285:</t>
        </r>
        <r>
          <rPr>
            <sz val="8"/>
            <color indexed="81"/>
            <rFont val="Tahoma"/>
            <family val="2"/>
          </rPr>
          <t xml:space="preserve">
Glendale, CA (new store format) in October
Pittsburg, PA
Uncasville - Mohegan Sun, CT</t>
        </r>
      </text>
    </comment>
    <comment ref="L242" authorId="0">
      <text>
        <r>
          <rPr>
            <b/>
            <sz val="8"/>
            <color indexed="81"/>
            <rFont val="Tahoma"/>
            <family val="2"/>
          </rPr>
          <t>mm98285:</t>
        </r>
        <r>
          <rPr>
            <sz val="8"/>
            <color indexed="81"/>
            <rFont val="Tahoma"/>
            <family val="2"/>
          </rPr>
          <t xml:space="preserve">
Seoul - Samsung Plaza - Korea</t>
        </r>
      </text>
    </comment>
    <comment ref="V242" authorId="0">
      <text>
        <r>
          <rPr>
            <b/>
            <sz val="8"/>
            <color indexed="81"/>
            <rFont val="Tahoma"/>
            <family val="2"/>
          </rPr>
          <t>mm98285:</t>
        </r>
        <r>
          <rPr>
            <sz val="8"/>
            <color indexed="81"/>
            <rFont val="Tahoma"/>
            <family val="2"/>
          </rPr>
          <t xml:space="preserve">
Seoul - Samsung Plaza - Korea</t>
        </r>
      </text>
    </comment>
    <comment ref="AB242" authorId="0">
      <text>
        <r>
          <rPr>
            <b/>
            <sz val="8"/>
            <color indexed="81"/>
            <rFont val="Tahoma"/>
            <family val="2"/>
          </rPr>
          <t>mm98285:</t>
        </r>
        <r>
          <rPr>
            <sz val="8"/>
            <color indexed="81"/>
            <rFont val="Tahoma"/>
            <family val="2"/>
          </rPr>
          <t xml:space="preserve">
London - Westfield, UK
Madrid, Spain
Dusseldorf, Germany
Berlin, Germany</t>
        </r>
      </text>
    </comment>
    <comment ref="E243" authorId="0">
      <text>
        <r>
          <rPr>
            <b/>
            <sz val="8"/>
            <color indexed="81"/>
            <rFont val="Tahoma"/>
            <family val="2"/>
          </rPr>
          <t>mm98285:</t>
        </r>
        <r>
          <rPr>
            <sz val="8"/>
            <color indexed="81"/>
            <rFont val="Tahoma"/>
            <family val="2"/>
          </rPr>
          <t xml:space="preserve">
Columbus, OH</t>
        </r>
      </text>
    </comment>
    <comment ref="G243" authorId="0">
      <text>
        <r>
          <rPr>
            <b/>
            <sz val="8"/>
            <color indexed="81"/>
            <rFont val="Tahoma"/>
            <family val="2"/>
          </rPr>
          <t>mm98285:</t>
        </r>
        <r>
          <rPr>
            <sz val="8"/>
            <color indexed="81"/>
            <rFont val="Tahoma"/>
            <family val="2"/>
          </rPr>
          <t xml:space="preserve">
NY flagship 42K</t>
        </r>
      </text>
    </comment>
    <comment ref="R243" authorId="0">
      <text>
        <r>
          <rPr>
            <b/>
            <sz val="8"/>
            <color indexed="81"/>
            <rFont val="Tahoma"/>
            <family val="2"/>
          </rPr>
          <t>mm98285:</t>
        </r>
        <r>
          <rPr>
            <sz val="8"/>
            <color indexed="81"/>
            <rFont val="Tahoma"/>
            <family val="2"/>
          </rPr>
          <t xml:space="preserve">
Tokyo Ginza 12K</t>
        </r>
      </text>
    </comment>
    <comment ref="X243" authorId="0">
      <text>
        <r>
          <rPr>
            <b/>
            <sz val="8"/>
            <color indexed="81"/>
            <rFont val="Tahoma"/>
            <family val="2"/>
          </rPr>
          <t>mm98285:</t>
        </r>
        <r>
          <rPr>
            <sz val="8"/>
            <color indexed="81"/>
            <rFont val="Tahoma"/>
            <family val="2"/>
          </rPr>
          <t xml:space="preserve">
Tokyo Ginza 12K</t>
        </r>
      </text>
    </comment>
    <comment ref="AB243" authorId="0">
      <text>
        <r>
          <rPr>
            <b/>
            <sz val="8"/>
            <color indexed="81"/>
            <rFont val="Tahoma"/>
            <family val="2"/>
          </rPr>
          <t>mm98285:</t>
        </r>
        <r>
          <rPr>
            <sz val="8"/>
            <color indexed="81"/>
            <rFont val="Tahoma"/>
            <family val="2"/>
          </rPr>
          <t xml:space="preserve">
Dublin, Ireland</t>
        </r>
      </text>
    </comment>
    <comment ref="AD243" authorId="0">
      <text>
        <r>
          <rPr>
            <b/>
            <sz val="8"/>
            <color indexed="81"/>
            <rFont val="Tahoma"/>
            <family val="2"/>
          </rPr>
          <t>mm98285:</t>
        </r>
        <r>
          <rPr>
            <sz val="8"/>
            <color indexed="81"/>
            <rFont val="Tahoma"/>
            <family val="2"/>
          </rPr>
          <t xml:space="preserve">
London Old Bond St 22.4K</t>
        </r>
      </text>
    </comment>
    <comment ref="D244" authorId="0">
      <text>
        <r>
          <rPr>
            <b/>
            <sz val="8"/>
            <color indexed="81"/>
            <rFont val="Tahoma"/>
            <family val="2"/>
          </rPr>
          <t>mm98285:</t>
        </r>
        <r>
          <rPr>
            <sz val="8"/>
            <color indexed="81"/>
            <rFont val="Tahoma"/>
            <family val="2"/>
          </rPr>
          <t xml:space="preserve">
76 U.S.
6 Mexico
2 Canada
2 Brazil</t>
        </r>
      </text>
    </comment>
    <comment ref="K244" authorId="0">
      <text>
        <r>
          <rPr>
            <b/>
            <sz val="8"/>
            <color indexed="81"/>
            <rFont val="Tahoma"/>
            <family val="2"/>
          </rPr>
          <t>mm98285:</t>
        </r>
        <r>
          <rPr>
            <sz val="8"/>
            <color indexed="81"/>
            <rFont val="Tahoma"/>
            <family val="2"/>
          </rPr>
          <t xml:space="preserve">
57 Japan (53 dept store boutiques &amp; 4 free standing stores)
8 China
8 Korea
7 HK
5 Taiwan
4 Australia
3 Singapore
2 Macau
2 Malaysia</t>
        </r>
      </text>
    </comment>
    <comment ref="L244" authorId="0">
      <text>
        <r>
          <rPr>
            <b/>
            <sz val="8"/>
            <color indexed="81"/>
            <rFont val="Tahoma"/>
            <family val="2"/>
          </rPr>
          <t>mm98285:</t>
        </r>
        <r>
          <rPr>
            <sz val="8"/>
            <color indexed="81"/>
            <rFont val="Tahoma"/>
            <family val="2"/>
          </rPr>
          <t xml:space="preserve">
opened 10 stores and closed 1</t>
        </r>
      </text>
    </comment>
    <comment ref="V244" authorId="0">
      <text>
        <r>
          <rPr>
            <b/>
            <sz val="8"/>
            <color indexed="81"/>
            <rFont val="Tahoma"/>
            <family val="2"/>
          </rPr>
          <t>mm98285:</t>
        </r>
        <r>
          <rPr>
            <sz val="8"/>
            <color indexed="81"/>
            <rFont val="Tahoma"/>
            <family val="2"/>
          </rPr>
          <t xml:space="preserve">
opened 10 stores and closed 1</t>
        </r>
      </text>
    </comment>
    <comment ref="AA244" authorId="0">
      <text>
        <r>
          <rPr>
            <b/>
            <sz val="8"/>
            <color indexed="81"/>
            <rFont val="Tahoma"/>
            <family val="2"/>
          </rPr>
          <t>mm98285:</t>
        </r>
        <r>
          <rPr>
            <sz val="8"/>
            <color indexed="81"/>
            <rFont val="Tahoma"/>
            <family val="2"/>
          </rPr>
          <t xml:space="preserve">
7 UK
5 Germany
4 Italy
3 France
1 Austria
1 Switzerland
1 Belgium
1 Spain
1 Ireland</t>
        </r>
      </text>
    </comment>
    <comment ref="AB244" authorId="0">
      <text>
        <r>
          <rPr>
            <b/>
            <sz val="8"/>
            <color indexed="81"/>
            <rFont val="Tahoma"/>
            <family val="2"/>
          </rPr>
          <t>mm98285:</t>
        </r>
        <r>
          <rPr>
            <sz val="8"/>
            <color indexed="81"/>
            <rFont val="Tahoma"/>
            <family val="2"/>
          </rPr>
          <t xml:space="preserve">
opened 7 stores (no closures)</t>
        </r>
      </text>
    </comment>
    <comment ref="AS244" authorId="0">
      <text>
        <r>
          <rPr>
            <b/>
            <sz val="8"/>
            <color indexed="81"/>
            <rFont val="Tahoma"/>
            <family val="2"/>
          </rPr>
          <t>mm98285:</t>
        </r>
        <r>
          <rPr>
            <sz val="8"/>
            <color indexed="81"/>
            <rFont val="Tahoma"/>
            <family val="2"/>
          </rPr>
          <t xml:space="preserve">
206 locations in 21 countries</t>
        </r>
      </text>
    </comment>
    <comment ref="D247" authorId="0">
      <text>
        <r>
          <rPr>
            <b/>
            <sz val="8"/>
            <color indexed="81"/>
            <rFont val="Tahoma"/>
            <family val="2"/>
          </rPr>
          <t>mm98285:</t>
        </r>
        <r>
          <rPr>
            <sz val="8"/>
            <color indexed="81"/>
            <rFont val="Tahoma"/>
            <family val="2"/>
          </rPr>
          <t xml:space="preserve">
1 store in Toronto, Canada
1 store in Guadalajara, Mexico</t>
        </r>
      </text>
    </comment>
    <comment ref="K247" authorId="0">
      <text>
        <r>
          <rPr>
            <b/>
            <sz val="8"/>
            <color indexed="81"/>
            <rFont val="Tahoma"/>
            <family val="2"/>
          </rPr>
          <t>mm98285:</t>
        </r>
        <r>
          <rPr>
            <sz val="8"/>
            <color indexed="81"/>
            <rFont val="Tahoma"/>
            <family val="2"/>
          </rPr>
          <t xml:space="preserve">
1 store in Hangzhou, China
1 store in Busan, Korea
-1 store in Ikebukuro, Japan</t>
        </r>
      </text>
    </comment>
    <comment ref="K248" authorId="6">
      <text>
        <r>
          <rPr>
            <b/>
            <sz val="8"/>
            <color indexed="81"/>
            <rFont val="Tahoma"/>
            <family val="2"/>
          </rPr>
          <t>ol36766:</t>
        </r>
        <r>
          <rPr>
            <sz val="8"/>
            <color indexed="81"/>
            <rFont val="Tahoma"/>
            <family val="2"/>
          </rPr>
          <t xml:space="preserve">
+1 Kagoshima-Yamakataya, Japan
+1 Ikebukuro-Seibu, Japan
+1 Canton Road, Hong Kong
-1 Kagoshima-Mitsukoshi, Japan</t>
        </r>
      </text>
    </comment>
    <comment ref="E249" authorId="6">
      <text>
        <r>
          <rPr>
            <b/>
            <sz val="8"/>
            <color indexed="81"/>
            <rFont val="Tahoma"/>
            <family val="2"/>
          </rPr>
          <t>ol36766:</t>
        </r>
        <r>
          <rPr>
            <sz val="8"/>
            <color indexed="81"/>
            <rFont val="Tahoma"/>
            <family val="2"/>
          </rPr>
          <t xml:space="preserve">
+1 Roseville, CA (5,800)
+1 Seattle- University Village, Washington (2,200)
</t>
        </r>
      </text>
    </comment>
    <comment ref="L249" authorId="6">
      <text>
        <r>
          <rPr>
            <b/>
            <sz val="8"/>
            <color indexed="81"/>
            <rFont val="Tahoma"/>
            <family val="2"/>
          </rPr>
          <t>ol36766:</t>
        </r>
        <r>
          <rPr>
            <sz val="8"/>
            <color indexed="81"/>
            <rFont val="Tahoma"/>
            <family val="2"/>
          </rPr>
          <t xml:space="preserve">
+1 Seoul-Shinesegae Youngdeungpo, Korea</t>
        </r>
      </text>
    </comment>
    <comment ref="AB249" authorId="6">
      <text>
        <r>
          <rPr>
            <b/>
            <sz val="8"/>
            <color indexed="81"/>
            <rFont val="Tahoma"/>
            <family val="2"/>
          </rPr>
          <t>ol36766:</t>
        </r>
        <r>
          <rPr>
            <sz val="8"/>
            <color indexed="81"/>
            <rFont val="Tahoma"/>
            <family val="2"/>
          </rPr>
          <t xml:space="preserve">
Manchester-Selfridges, England</t>
        </r>
      </text>
    </comment>
    <comment ref="E250" authorId="6">
      <text>
        <r>
          <rPr>
            <b/>
            <sz val="8"/>
            <color indexed="81"/>
            <rFont val="Tahoma"/>
            <family val="2"/>
          </rPr>
          <t>ol36766:</t>
        </r>
        <r>
          <rPr>
            <sz val="8"/>
            <color indexed="81"/>
            <rFont val="Tahoma"/>
            <family val="2"/>
          </rPr>
          <t xml:space="preserve">
+1 Las Vegas, NV (The Crystals at CityCenter)</t>
        </r>
      </text>
    </comment>
    <comment ref="L250" authorId="6">
      <text>
        <r>
          <rPr>
            <b/>
            <sz val="8"/>
            <color indexed="81"/>
            <rFont val="Tahoma"/>
            <family val="2"/>
          </rPr>
          <t>ol36766:</t>
        </r>
        <r>
          <rPr>
            <sz val="8"/>
            <color indexed="81"/>
            <rFont val="Tahoma"/>
            <family val="2"/>
          </rPr>
          <t xml:space="preserve">
+1 Melbourne -Chadstone Mall, Australia
+1 Shenzhen, China</t>
        </r>
      </text>
    </comment>
    <comment ref="AB250" authorId="6">
      <text>
        <r>
          <rPr>
            <b/>
            <sz val="8"/>
            <color indexed="81"/>
            <rFont val="Tahoma"/>
            <family val="2"/>
          </rPr>
          <t>ol36766:</t>
        </r>
        <r>
          <rPr>
            <sz val="8"/>
            <color indexed="81"/>
            <rFont val="Tahoma"/>
            <family val="2"/>
          </rPr>
          <t xml:space="preserve">
Amsterdam, Netherlands (2,100 ft)
Heathrow airport terminal 3 (given success of terminal 5 store)</t>
        </r>
      </text>
    </comment>
    <comment ref="D251" authorId="7">
      <text>
        <r>
          <rPr>
            <b/>
            <sz val="8"/>
            <color indexed="81"/>
            <rFont val="Tahoma"/>
            <family val="2"/>
          </rPr>
          <t>KG51925:</t>
        </r>
        <r>
          <rPr>
            <sz val="8"/>
            <color indexed="81"/>
            <rFont val="Tahoma"/>
            <family val="2"/>
          </rPr>
          <t xml:space="preserve">
52% of total sales, of which 91% is in the US
79 US
7 Mexico
3 Canada
2 Brazil</t>
        </r>
      </text>
    </comment>
    <comment ref="E251" authorId="0">
      <text>
        <r>
          <rPr>
            <b/>
            <sz val="8"/>
            <color indexed="81"/>
            <rFont val="Tahoma"/>
            <family val="2"/>
          </rPr>
          <t>mm98285:</t>
        </r>
        <r>
          <rPr>
            <sz val="8"/>
            <color indexed="81"/>
            <rFont val="Tahoma"/>
            <family val="2"/>
          </rPr>
          <t xml:space="preserve">
3/09: +5 stores including 3 in U.S. and 1 in Toronto and 1 in Mexico
11/08: expect to open 5 stores in the Americas</t>
        </r>
      </text>
    </comment>
    <comment ref="K251" authorId="7">
      <text>
        <r>
          <rPr>
            <b/>
            <sz val="8"/>
            <color indexed="81"/>
            <rFont val="Tahoma"/>
            <family val="2"/>
          </rPr>
          <t>KG51925:</t>
        </r>
        <r>
          <rPr>
            <sz val="8"/>
            <color indexed="81"/>
            <rFont val="Tahoma"/>
            <family val="2"/>
          </rPr>
          <t xml:space="preserve">
35% of global sales in Asia-Pac, 54% of which is  in Japan
57 Japan (53 boutiques + 4 stand alone)
10 china
10 Korea
8 Hong Kong
5 Australia
5 Taiwan
3 Singapore
2 Macau
2 Malaysia</t>
        </r>
      </text>
    </comment>
    <comment ref="L251" authorId="0">
      <text>
        <r>
          <rPr>
            <b/>
            <sz val="8"/>
            <color indexed="81"/>
            <rFont val="Tahoma"/>
            <family val="2"/>
          </rPr>
          <t>mm98285:</t>
        </r>
        <r>
          <rPr>
            <sz val="8"/>
            <color indexed="81"/>
            <rFont val="Tahoma"/>
            <family val="2"/>
          </rPr>
          <t xml:space="preserve">
3/09: +7 (including several in China)
11/08: expect to open 8 stores across Asia-Pac and Europe in 2009</t>
        </r>
      </text>
    </comment>
    <comment ref="AA251" authorId="7">
      <text>
        <r>
          <rPr>
            <b/>
            <sz val="8"/>
            <color indexed="81"/>
            <rFont val="Tahoma"/>
            <family val="2"/>
          </rPr>
          <t>KG51925:</t>
        </r>
        <r>
          <rPr>
            <sz val="8"/>
            <color indexed="81"/>
            <rFont val="Tahoma"/>
            <family val="2"/>
          </rPr>
          <t xml:space="preserve">
Europe = 12% of total sales, 51% of which is UK 
9 UK
5 Germany
4 Italy
3 France
1 Austria
1 Belgium
1 Ireland
1 Netherlands
1 Spain
1 Switzerland</t>
        </r>
      </text>
    </comment>
    <comment ref="AB251" authorId="0">
      <text>
        <r>
          <rPr>
            <b/>
            <sz val="8"/>
            <color indexed="81"/>
            <rFont val="Tahoma"/>
            <family val="2"/>
          </rPr>
          <t>mm98285:</t>
        </r>
        <r>
          <rPr>
            <sz val="8"/>
            <color indexed="81"/>
            <rFont val="Tahoma"/>
            <family val="2"/>
          </rPr>
          <t xml:space="preserve">
10/09: added store to heathrow airport in terminal 3 given success in terminal 5.
3/09: +1
11/08: expect to open 8 stores across Asia-Pac and Europe in 2009</t>
        </r>
      </text>
    </comment>
    <comment ref="L254" authorId="8">
      <text>
        <r>
          <rPr>
            <b/>
            <sz val="8"/>
            <color indexed="81"/>
            <rFont val="Tahoma"/>
            <family val="2"/>
          </rPr>
          <t xml:space="preserve">lr73192:
</t>
        </r>
        <r>
          <rPr>
            <sz val="8"/>
            <color indexed="81"/>
            <rFont val="Tahoma"/>
            <family val="2"/>
          </rPr>
          <t>4.29.10 New store in Hong Kong Plaza In Shanghai  6,400 sq ft</t>
        </r>
        <r>
          <rPr>
            <sz val="8"/>
            <color indexed="81"/>
            <rFont val="Tahoma"/>
            <family val="2"/>
          </rPr>
          <t xml:space="preserve">
</t>
        </r>
      </text>
    </comment>
    <comment ref="L255" authorId="9">
      <text>
        <r>
          <rPr>
            <sz val="8"/>
            <color indexed="81"/>
            <rFont val="Tahoma"/>
            <family val="2"/>
          </rPr>
          <t>opened IFC Mall in Shanghai (now have 12 stores in mainland China and on track to have 30 in next 5 years), and fourth store in Singapore in Marina Bay Sands resort
5.6.10 New store in the New IFC Mall In Shanghai 3100 sq ft
5/2010: announced Marina Bay, Singapore</t>
        </r>
      </text>
    </comment>
    <comment ref="E256" authorId="10">
      <text>
        <r>
          <rPr>
            <b/>
            <sz val="8"/>
            <color indexed="81"/>
            <rFont val="Tahoma"/>
            <family val="2"/>
          </rPr>
          <t>NS66486:</t>
        </r>
        <r>
          <rPr>
            <sz val="8"/>
            <color indexed="81"/>
            <rFont val="Tahoma"/>
            <family val="2"/>
          </rPr>
          <t xml:space="preserve">
1Q 10Q: Baltimore, MD &amp; and Santa Monica, CA</t>
        </r>
      </text>
    </comment>
    <comment ref="L256" authorId="11">
      <text>
        <r>
          <rPr>
            <b/>
            <sz val="8"/>
            <color indexed="81"/>
            <rFont val="Tahoma"/>
            <family val="2"/>
          </rPr>
          <t>nicholjs:</t>
        </r>
        <r>
          <rPr>
            <sz val="8"/>
            <color indexed="81"/>
            <rFont val="Tahoma"/>
            <family val="2"/>
          </rPr>
          <t xml:space="preserve">
8/10: opened store in Taipei in Bellavita mall, making 6 stores in Taiwan</t>
        </r>
      </text>
    </comment>
    <comment ref="V256" authorId="11">
      <text>
        <r>
          <rPr>
            <b/>
            <sz val="8"/>
            <color indexed="81"/>
            <rFont val="Tahoma"/>
            <family val="2"/>
          </rPr>
          <t>nicholjs:</t>
        </r>
        <r>
          <rPr>
            <sz val="8"/>
            <color indexed="81"/>
            <rFont val="Tahoma"/>
            <family val="2"/>
          </rPr>
          <t xml:space="preserve">
8/10: relocated and expanded a boutique within the Takashimaya store in Osaka and also closed a department store boutique in Kawasaki</t>
        </r>
      </text>
    </comment>
    <comment ref="AB256" authorId="10">
      <text>
        <r>
          <rPr>
            <b/>
            <sz val="8"/>
            <color indexed="81"/>
            <rFont val="Tahoma"/>
            <family val="2"/>
          </rPr>
          <t>NS66486:</t>
        </r>
        <r>
          <rPr>
            <sz val="8"/>
            <color indexed="81"/>
            <rFont val="Tahoma"/>
            <family val="2"/>
          </rPr>
          <t xml:space="preserve">
London - Canary Wharf, England</t>
        </r>
      </text>
    </comment>
    <comment ref="E257" authorId="10">
      <text>
        <r>
          <rPr>
            <b/>
            <sz val="8"/>
            <color indexed="81"/>
            <rFont val="Tahoma"/>
            <family val="2"/>
          </rPr>
          <t>NS66486:</t>
        </r>
        <r>
          <rPr>
            <sz val="8"/>
            <color indexed="81"/>
            <rFont val="Tahoma"/>
            <family val="2"/>
          </rPr>
          <t xml:space="preserve">
11/10: Jacksonville, Houston, and LA (Beverly Center)
1Q 10Q: Jacksonville, FL &amp; Houston - Woodlands, TX
</t>
        </r>
      </text>
    </comment>
    <comment ref="L257" authorId="11">
      <text>
        <r>
          <rPr>
            <b/>
            <sz val="8"/>
            <color indexed="81"/>
            <rFont val="Tahoma"/>
            <family val="2"/>
          </rPr>
          <t>nicholjs:</t>
        </r>
        <r>
          <rPr>
            <sz val="8"/>
            <color indexed="81"/>
            <rFont val="Tahoma"/>
            <family val="2"/>
          </rPr>
          <t xml:space="preserve">
10Q: including Kunming, China, Beijing, China and Seoul, Korea</t>
        </r>
      </text>
    </comment>
    <comment ref="R257" authorId="11">
      <text>
        <r>
          <rPr>
            <b/>
            <sz val="8"/>
            <color indexed="81"/>
            <rFont val="Tahoma"/>
            <family val="2"/>
          </rPr>
          <t>nicholjs:</t>
        </r>
        <r>
          <rPr>
            <sz val="8"/>
            <color indexed="81"/>
            <rFont val="Tahoma"/>
            <family val="2"/>
          </rPr>
          <t xml:space="preserve">
includes Japan (12,000 Tokyo Ginza, 134,900 all other)</t>
        </r>
      </text>
    </comment>
    <comment ref="V257" authorId="11">
      <text>
        <r>
          <rPr>
            <b/>
            <sz val="8"/>
            <color indexed="81"/>
            <rFont val="Tahoma"/>
            <family val="2"/>
          </rPr>
          <t>nicholjs:</t>
        </r>
        <r>
          <rPr>
            <sz val="8"/>
            <color indexed="81"/>
            <rFont val="Tahoma"/>
            <family val="2"/>
          </rPr>
          <t xml:space="preserve">
opened one store, closed one store</t>
        </r>
      </text>
    </comment>
    <comment ref="AB257" authorId="10">
      <text>
        <r>
          <rPr>
            <b/>
            <sz val="8"/>
            <color indexed="81"/>
            <rFont val="Tahoma"/>
            <family val="2"/>
          </rPr>
          <t>NS66486:</t>
        </r>
        <r>
          <rPr>
            <sz val="8"/>
            <color indexed="81"/>
            <rFont val="Tahoma"/>
            <family val="2"/>
          </rPr>
          <t xml:space="preserve">
10Q: Barcelona, Spain and London, England</t>
        </r>
      </text>
    </comment>
    <comment ref="AT257" authorId="11">
      <text>
        <r>
          <rPr>
            <b/>
            <sz val="8"/>
            <color indexed="81"/>
            <rFont val="Tahoma"/>
            <family val="2"/>
          </rPr>
          <t>nicholjs:</t>
        </r>
        <r>
          <rPr>
            <sz val="8"/>
            <color indexed="81"/>
            <rFont val="Tahoma"/>
            <family val="2"/>
          </rPr>
          <t xml:space="preserve">
10Q: expect to open 8 stores in 4Q</t>
        </r>
      </text>
    </comment>
    <comment ref="E258" authorId="9">
      <text>
        <r>
          <rPr>
            <sz val="8"/>
            <color indexed="81"/>
            <rFont val="Tahoma"/>
            <family val="2"/>
          </rPr>
          <t>all US
11/10: expect to open 5 stores in the Americas
8/10: expect to open 5 stores in the Americas (Baltimore, Jacksonville, Woodlands in Houston, Santa Monica, Beverly Center in LA)
5/10: expect to open 6 stores in the Americas
3/10:  expect to open 6 stores in the Americas</t>
        </r>
      </text>
    </comment>
    <comment ref="G258" authorId="11">
      <text>
        <r>
          <rPr>
            <b/>
            <sz val="8"/>
            <color indexed="81"/>
            <rFont val="Tahoma"/>
            <family val="2"/>
          </rPr>
          <t>nicholjs:</t>
        </r>
        <r>
          <rPr>
            <sz val="8"/>
            <color indexed="81"/>
            <rFont val="Tahoma"/>
            <family val="2"/>
          </rPr>
          <t xml:space="preserve">
10K: New stores opened in 2010 ranged from 3,500 — 4,000 gross square feet, and management currently expects that new U.S. stores to be opened in 2011 and beyond will likely be in that approximate size range.</t>
        </r>
      </text>
    </comment>
    <comment ref="L258" authorId="9">
      <text>
        <r>
          <rPr>
            <b/>
            <sz val="8"/>
            <color indexed="81"/>
            <rFont val="Tahoma"/>
            <family val="2"/>
          </rPr>
          <t>ns66486:</t>
        </r>
        <r>
          <rPr>
            <sz val="8"/>
            <color indexed="81"/>
            <rFont val="Tahoma"/>
            <family val="2"/>
          </rPr>
          <t xml:space="preserve">
+4 China, +1 Korea, Singapore, and Taiwan
11/10: expect to open 7 stores in Other Asia Pac
8/10: expect to open 7 stores in Other Asia Pac, including new stores in China and Korea (as well as stores already opened in China, Singapore, and Taiwan)
5/10: expect to open 8 stores in Other Asia Pac
3/10: expect to open 8 stores in Other Asia Pac
Q: is 8 store openings gross? Or net of closures?
Sounds to me like it is gross</t>
        </r>
      </text>
    </comment>
    <comment ref="AB258" authorId="9">
      <text>
        <r>
          <rPr>
            <b/>
            <sz val="8"/>
            <color indexed="81"/>
            <rFont val="Tahoma"/>
            <family val="2"/>
          </rPr>
          <t>ns66486:</t>
        </r>
        <r>
          <rPr>
            <sz val="8"/>
            <color indexed="81"/>
            <rFont val="Tahoma"/>
            <family val="2"/>
          </rPr>
          <t xml:space="preserve">
+1 Spain, +1 UK
11/10: expect to open 2 stores in Europe
8/10: expect to open 2 stores in Europe
5/10: expect to open 2 stores in Europe
3/10: expect to open 3 stores in Europe</t>
        </r>
      </text>
    </comment>
    <comment ref="AT258" authorId="12">
      <text>
        <r>
          <rPr>
            <b/>
            <sz val="8"/>
            <color indexed="81"/>
            <rFont val="Tahoma"/>
            <family val="2"/>
          </rPr>
          <t>marchant:</t>
        </r>
        <r>
          <rPr>
            <sz val="8"/>
            <color indexed="81"/>
            <rFont val="Tahoma"/>
            <family val="2"/>
          </rPr>
          <t xml:space="preserve">
8/10: now expect 14 new store openings in 2010 vs. 17 originally given postponement of 3 store openings to 2011 due to construction delays beyond mgmt control</t>
        </r>
      </text>
    </comment>
    <comment ref="L261" authorId="8">
      <text>
        <r>
          <rPr>
            <b/>
            <sz val="8"/>
            <color indexed="81"/>
            <rFont val="Tahoma"/>
            <family val="2"/>
          </rPr>
          <t xml:space="preserve">lr73192:
</t>
        </r>
        <r>
          <rPr>
            <sz val="8"/>
            <color indexed="81"/>
            <rFont val="Tahoma"/>
            <family val="2"/>
          </rPr>
          <t>4.29.10 New store in Hong Kong Plaza In Shanghai  6,400 sq ft</t>
        </r>
        <r>
          <rPr>
            <sz val="8"/>
            <color indexed="81"/>
            <rFont val="Tahoma"/>
            <family val="2"/>
          </rPr>
          <t xml:space="preserve">
</t>
        </r>
      </text>
    </comment>
    <comment ref="V261" authorId="11">
      <text>
        <r>
          <rPr>
            <b/>
            <sz val="8"/>
            <color indexed="81"/>
            <rFont val="Tahoma"/>
            <family val="2"/>
          </rPr>
          <t>nicholjs:</t>
        </r>
        <r>
          <rPr>
            <sz val="8"/>
            <color indexed="81"/>
            <rFont val="Tahoma"/>
            <family val="2"/>
          </rPr>
          <t xml:space="preserve">
opened Hkata Hankyu
closed Kokura Izutsuya
closed Wakayama Kintetsu</t>
        </r>
      </text>
    </comment>
    <comment ref="AB261" authorId="11">
      <text>
        <r>
          <rPr>
            <b/>
            <sz val="8"/>
            <color indexed="81"/>
            <rFont val="Tahoma"/>
            <family val="2"/>
          </rPr>
          <t>nicholjs:</t>
        </r>
        <r>
          <rPr>
            <sz val="8"/>
            <color indexed="81"/>
            <rFont val="Tahoma"/>
            <family val="2"/>
          </rPr>
          <t xml:space="preserve">
3/11: 2 stores in Spring, others 2H</t>
        </r>
      </text>
    </comment>
    <comment ref="E262" authorId="11">
      <text>
        <r>
          <rPr>
            <b/>
            <sz val="8"/>
            <color indexed="81"/>
            <rFont val="Tahoma"/>
            <family val="2"/>
          </rPr>
          <t>nicholjs:</t>
        </r>
        <r>
          <rPr>
            <sz val="8"/>
            <color indexed="81"/>
            <rFont val="Tahoma"/>
            <family val="2"/>
          </rPr>
          <t xml:space="preserve">
during quarter opened 4th store in Chicago market (Northbrook, IL) and fourth store in Canada (Calgary, Alberta)
10Q: expect Calgary, Canada and Northbrook, IL
3/11: Northbrook store likely 2Q</t>
        </r>
      </text>
    </comment>
    <comment ref="L262" authorId="11">
      <text>
        <r>
          <rPr>
            <b/>
            <sz val="8"/>
            <color indexed="81"/>
            <rFont val="Tahoma"/>
            <family val="2"/>
          </rPr>
          <t>nicholjs:</t>
        </r>
        <r>
          <rPr>
            <sz val="8"/>
            <color indexed="81"/>
            <rFont val="Tahoma"/>
            <family val="2"/>
          </rPr>
          <t xml:space="preserve">
3/11: one store in July</t>
        </r>
      </text>
    </comment>
    <comment ref="AB262" authorId="11">
      <text>
        <r>
          <rPr>
            <b/>
            <sz val="8"/>
            <color indexed="81"/>
            <rFont val="Tahoma"/>
            <family val="2"/>
          </rPr>
          <t>nicholjs:</t>
        </r>
        <r>
          <rPr>
            <sz val="8"/>
            <color indexed="81"/>
            <rFont val="Tahoma"/>
            <family val="2"/>
          </rPr>
          <t xml:space="preserve">
8/2011: opened second stores in both Frankfurt and Zurich (both in airports)
10Q: expect Frankfurt airport and Zurich airport
3/11: 2 stores in Spring, others 2H
</t>
        </r>
      </text>
    </comment>
    <comment ref="E263" authorId="11">
      <text>
        <r>
          <rPr>
            <sz val="8"/>
            <color indexed="81"/>
            <rFont val="Tahoma"/>
            <family val="2"/>
          </rPr>
          <t>11/2011: Did open Las Vegas, Richmond and Brasilia in 3Q</t>
        </r>
        <r>
          <rPr>
            <sz val="8"/>
            <color indexed="81"/>
            <rFont val="Tahoma"/>
            <family val="2"/>
          </rPr>
          <t xml:space="preserve">
2Q 10Q: expect Las Vegas - Fashion Show Mall, NV, Richmond, VA, and Brasilia, Brazil
10Q: expect Las Vegas - Fashion Show Mall and Richmond, VA</t>
        </r>
      </text>
    </comment>
    <comment ref="L263" authorId="11">
      <text>
        <r>
          <rPr>
            <sz val="8"/>
            <color indexed="81"/>
            <rFont val="Tahoma"/>
            <family val="2"/>
          </rPr>
          <t>11/2011: opened 2 in Korea and 1 in China
2Q 10-Q: expect Chongquing, China, Guangzhou, China, Nanjing, China, Daegu, Korea, Incheon, Korea
8/2011: recently opened two new stores in Korea and have a number of openings scheduled for next few months.  Earlier this month, completed dramatic renovation and expansion of store on Collins St. in Melbourne</t>
        </r>
      </text>
    </comment>
    <comment ref="AB263" authorId="11">
      <text>
        <r>
          <rPr>
            <b/>
            <sz val="8"/>
            <color indexed="81"/>
            <rFont val="Tahoma"/>
            <family val="2"/>
          </rPr>
          <t>nicholjs:</t>
        </r>
        <r>
          <rPr>
            <sz val="8"/>
            <color indexed="81"/>
            <rFont val="Tahoma"/>
            <family val="2"/>
          </rPr>
          <t xml:space="preserve">
2Q 10-Q: expect Milan - Excelsior, Italy
10Q: expect Nice, France</t>
        </r>
      </text>
    </comment>
    <comment ref="E264" authorId="11">
      <text>
        <r>
          <rPr>
            <b/>
            <sz val="8"/>
            <color indexed="81"/>
            <rFont val="Tahoma"/>
            <family val="2"/>
          </rPr>
          <t>nicholjs:</t>
        </r>
        <r>
          <rPr>
            <sz val="8"/>
            <color indexed="81"/>
            <rFont val="Tahoma"/>
            <family val="2"/>
          </rPr>
          <t xml:space="preserve">
2Q 10Q: expect Vancouver - Oakridge Centre</t>
        </r>
      </text>
    </comment>
    <comment ref="L264" authorId="11">
      <text>
        <r>
          <rPr>
            <b/>
            <sz val="8"/>
            <color indexed="81"/>
            <rFont val="Tahoma"/>
            <family val="2"/>
          </rPr>
          <t>nicholjs:</t>
        </r>
        <r>
          <rPr>
            <sz val="8"/>
            <color indexed="81"/>
            <rFont val="Tahoma"/>
            <family val="2"/>
          </rPr>
          <t xml:space="preserve">
2Q 10-Q: expect Wuhan, China, Seoul - Apkujung, Korea, Taichung - Far Eastern, Taiwan</t>
        </r>
      </text>
    </comment>
    <comment ref="E265" authorId="11">
      <text>
        <r>
          <rPr>
            <sz val="8"/>
            <color indexed="81"/>
            <rFont val="Tahoma"/>
            <family val="2"/>
          </rPr>
          <t>3/20/12: We'll been six new stores in the Americas and 2011 including one in Richmond,Virginia, a fourth store in Las Vegas and the fashion show Mall, a fourth store in the Chicago market in Brooke, a store in Calgary , a second store in Vancouver and the Oak Ridge Center and a third store in Brazil in Brasilia. The results range from white good to very strong . And that follows excellent first-year results from the five American stores reopened in the previous year.We finished 2011 with 102 stores in the Americas including 87 in the US, five in Canada, seven in Mexico and three in Brazil . Rounding out the Americas our Internet and catalog sales which declined 4% in the fourth quarter as an increased amount per quarter was more than offset by
a decline in the number of orders shipped. Internet and catalog sales rose 6% in the full year due to increased sales per order and accounted forward about a 10% of sales in the Americas for the year.We continue to believe that our Internet presence serves a dual purpose of generating online sales and expanding brand awareness which drives traffic to our stores.We are currently in the process of revamping our website with some exciting enhancements that will we will debut later this year
11/2011: expect 6 opening
8/2011: expect 6 openings
5/2011: expect 7 openings
10K: expect 8
3/2011: expect 8 openings</t>
        </r>
      </text>
    </comment>
    <comment ref="G265" authorId="11">
      <text>
        <r>
          <rPr>
            <b/>
            <sz val="8"/>
            <color indexed="81"/>
            <rFont val="Tahoma"/>
            <family val="2"/>
          </rPr>
          <t>nicholjs:</t>
        </r>
        <r>
          <rPr>
            <sz val="8"/>
            <color indexed="81"/>
            <rFont val="Tahoma"/>
            <family val="2"/>
          </rPr>
          <t xml:space="preserve">
10K: New stores opened in 2010 ranged from 3,500 — 4,000 gross square feet, and management currently expects that new U.S. stores to be opened in 2011 and beyond will likely be in that approximate size range.</t>
        </r>
      </text>
    </comment>
    <comment ref="K265" authorId="13">
      <text>
        <r>
          <rPr>
            <b/>
            <sz val="8"/>
            <color indexed="81"/>
            <rFont val="Tahoma"/>
            <family val="2"/>
          </rPr>
          <t>P Kahng:</t>
        </r>
        <r>
          <rPr>
            <sz val="8"/>
            <color indexed="81"/>
            <rFont val="Tahoma"/>
            <family val="2"/>
          </rPr>
          <t xml:space="preserve">
16 china
14 korea
8 hong kong
7 taiwan
5 australia
4 singapore
2 macau
2 malaysia
</t>
        </r>
      </text>
    </comment>
    <comment ref="L265" authorId="11">
      <text>
        <r>
          <rPr>
            <sz val="8"/>
            <color indexed="81"/>
            <rFont val="Tahoma"/>
            <family val="2"/>
          </rPr>
          <t>11/2011: expect 6 openings in AxJ and 1 net closure in Japan (a few locations originally planned for 2011 were delayed to factors outside TIF control and will now happen in 2012.
8/2011: expect 8 openings
5/2011: expect 8 openings
10K: expect 8
3/2011: expect 8 openings</t>
        </r>
      </text>
    </comment>
    <comment ref="V265" authorId="11">
      <text>
        <r>
          <rPr>
            <sz val="8"/>
            <color indexed="81"/>
            <rFont val="Tahoma"/>
            <family val="2"/>
          </rPr>
          <t>11/2011: expect 6 openings in AxJ and 1 net closure in Japan
8/2011: net reduction of 1 in Japan
5/2011: net reduction of 1 in Japan</t>
        </r>
      </text>
    </comment>
    <comment ref="AB265" authorId="11">
      <text>
        <r>
          <rPr>
            <sz val="8"/>
            <color indexed="81"/>
            <rFont val="Tahoma"/>
            <family val="2"/>
          </rPr>
          <t>11/2011: expect 3 openings
8/2011: expect 3 openings
5/2011: expect 4 openings
10K: expect 5
3/2011: expect 5 openings</t>
        </r>
      </text>
    </comment>
    <comment ref="AT265" authorId="11">
      <text>
        <r>
          <rPr>
            <sz val="8"/>
            <color indexed="81"/>
            <rFont val="Tahoma"/>
            <family val="2"/>
          </rPr>
          <t>11/2011: Adding 14 (net) Company-operated stores including six in the Americas, three in Europe, six in Asia-Pacific and a net reduction of one store in Japan.
2Q11 10-Q: expect net +16
1Q11 10-Q: expect net +18</t>
        </r>
      </text>
    </comment>
    <comment ref="E268" authorId="14">
      <text>
        <r>
          <rPr>
            <b/>
            <sz val="8"/>
            <color indexed="81"/>
            <rFont val="Tahoma"/>
            <family val="2"/>
          </rPr>
          <t xml:space="preserve">5/24/12: </t>
        </r>
        <r>
          <rPr>
            <sz val="8"/>
            <color indexed="81"/>
            <rFont val="Tahoma"/>
            <family val="2"/>
          </rPr>
          <t>1Q opened in Mexico City, Montreal, Salt Lake City</t>
        </r>
        <r>
          <rPr>
            <sz val="8"/>
            <color indexed="81"/>
            <rFont val="Tahoma"/>
            <family val="2"/>
          </rPr>
          <t xml:space="preserve">
3/20/12: Salt Lake City and Montreal</t>
        </r>
      </text>
    </comment>
    <comment ref="L268" authorId="15">
      <text>
        <r>
          <rPr>
            <b/>
            <sz val="8"/>
            <color indexed="81"/>
            <rFont val="Tahoma"/>
            <family val="2"/>
          </rPr>
          <t xml:space="preserve">5/24/12: </t>
        </r>
        <r>
          <rPr>
            <sz val="8"/>
            <color indexed="81"/>
            <rFont val="Tahoma"/>
            <family val="2"/>
          </rPr>
          <t>Q1 openings Wuhan China (International Plaza Mall)</t>
        </r>
        <r>
          <rPr>
            <b/>
            <sz val="8"/>
            <color indexed="81"/>
            <rFont val="Tahoma"/>
            <family val="2"/>
          </rPr>
          <t xml:space="preserve">
solejay: </t>
        </r>
        <r>
          <rPr>
            <sz val="8"/>
            <color indexed="81"/>
            <rFont val="Tahoma"/>
            <family val="2"/>
          </rPr>
          <t>assume stores that were supposed to open in 2011 but didn't will open here.</t>
        </r>
      </text>
    </comment>
    <comment ref="V268" authorId="13">
      <text>
        <r>
          <rPr>
            <b/>
            <sz val="8"/>
            <color indexed="81"/>
            <rFont val="Tahoma"/>
            <family val="2"/>
          </rPr>
          <t>P Kahng:</t>
        </r>
        <r>
          <rPr>
            <sz val="8"/>
            <color indexed="81"/>
            <rFont val="Tahoma"/>
            <family val="2"/>
          </rPr>
          <t xml:space="preserve">
close Shinjuku Mitsukoshi. Openi in Shinjuku Odakyu</t>
        </r>
      </text>
    </comment>
    <comment ref="E269" authorId="13">
      <text>
        <r>
          <rPr>
            <b/>
            <sz val="8"/>
            <color indexed="81"/>
            <rFont val="Tahoma"/>
            <family val="2"/>
          </rPr>
          <t xml:space="preserve">8/27/12: </t>
        </r>
        <r>
          <rPr>
            <sz val="8"/>
            <color indexed="81"/>
            <rFont val="Tahoma"/>
            <family val="2"/>
          </rPr>
          <t>Mexico city</t>
        </r>
        <r>
          <rPr>
            <b/>
            <sz val="8"/>
            <color indexed="81"/>
            <rFont val="Tahoma"/>
            <family val="2"/>
          </rPr>
          <t xml:space="preserve">
P Kahng:</t>
        </r>
        <r>
          <rPr>
            <sz val="8"/>
            <color indexed="81"/>
            <rFont val="Tahoma"/>
            <family val="2"/>
          </rPr>
          <t xml:space="preserve">
Altavista - Mexico City, Mexico</t>
        </r>
      </text>
    </comment>
    <comment ref="L269" authorId="16">
      <text>
        <r>
          <rPr>
            <b/>
            <sz val="8"/>
            <color indexed="81"/>
            <rFont val="Tahoma"/>
            <family val="2"/>
          </rPr>
          <t>casselau:</t>
        </r>
        <r>
          <rPr>
            <sz val="8"/>
            <color indexed="81"/>
            <rFont val="Tahoma"/>
            <family val="2"/>
          </rPr>
          <t xml:space="preserve">
8/27/12: shanghai and nanjing, china</t>
        </r>
      </text>
    </comment>
    <comment ref="AB269" authorId="13">
      <text>
        <r>
          <rPr>
            <b/>
            <sz val="8"/>
            <color indexed="81"/>
            <rFont val="Tahoma"/>
            <family val="2"/>
          </rPr>
          <t>P Kahng:</t>
        </r>
        <r>
          <rPr>
            <sz val="8"/>
            <color indexed="81"/>
            <rFont val="Tahoma"/>
            <family val="2"/>
          </rPr>
          <t xml:space="preserve">
Open in Nice France</t>
        </r>
      </text>
    </comment>
    <comment ref="AH269" authorId="13">
      <text>
        <r>
          <rPr>
            <b/>
            <sz val="8"/>
            <color indexed="81"/>
            <rFont val="Tahoma"/>
            <family val="2"/>
          </rPr>
          <t>P Kahng:</t>
        </r>
        <r>
          <rPr>
            <sz val="8"/>
            <color indexed="81"/>
            <rFont val="Tahoma"/>
            <family val="2"/>
          </rPr>
          <t xml:space="preserve">
In UAE in Dubai and Abu Dhabi
Dubai (Dubai Mall, Mall of Emerates, Atlantis), Abu Dhabi (Marina Mall, Abu Dhabi Mall)</t>
        </r>
      </text>
    </comment>
    <comment ref="E270" authorId="11">
      <text>
        <r>
          <rPr>
            <b/>
            <sz val="8"/>
            <color indexed="81"/>
            <rFont val="Tahoma"/>
            <family val="2"/>
          </rPr>
          <t xml:space="preserve">8/27/12: </t>
        </r>
        <r>
          <rPr>
            <sz val="8"/>
            <color indexed="81"/>
            <rFont val="Tahoma"/>
            <family val="2"/>
          </rPr>
          <t>2H: 3 in U.S., 1 in Brazil, 5 in Canada</t>
        </r>
        <r>
          <rPr>
            <b/>
            <sz val="8"/>
            <color indexed="81"/>
            <rFont val="Tahoma"/>
            <family val="2"/>
          </rPr>
          <t xml:space="preserve"> 
Soho, NY
nicholjs:</t>
        </r>
        <r>
          <rPr>
            <sz val="8"/>
            <color indexed="81"/>
            <rFont val="Tahoma"/>
            <family val="2"/>
          </rPr>
          <t xml:space="preserve">
9/16/2011: announced plans to open a store in New York's SoHo, in September 2012. The approximately 7,000-square-foot store will occupy a floor-through space that combines two locations—97 Greene Street and 106 Wooster Street—in the heart of the SoHo-Cast Iron Historic District.</t>
        </r>
      </text>
    </comment>
    <comment ref="L270" authorId="13">
      <text>
        <r>
          <rPr>
            <b/>
            <sz val="8"/>
            <color indexed="81"/>
            <rFont val="Tahoma"/>
            <family val="2"/>
          </rPr>
          <t xml:space="preserve">8/27/12: </t>
        </r>
        <r>
          <rPr>
            <sz val="8"/>
            <color indexed="81"/>
            <rFont val="Tahoma"/>
            <family val="2"/>
          </rPr>
          <t>2H: one in Nanjing, one in Shaghai, five others in Asia-Pacific</t>
        </r>
        <r>
          <rPr>
            <b/>
            <sz val="8"/>
            <color indexed="81"/>
            <rFont val="Tahoma"/>
            <family val="2"/>
          </rPr>
          <t xml:space="preserve">
P Kahng:</t>
        </r>
        <r>
          <rPr>
            <sz val="8"/>
            <color indexed="81"/>
            <rFont val="Tahoma"/>
            <family val="2"/>
          </rPr>
          <t xml:space="preserve">
Singapore, Changi Airport</t>
        </r>
      </text>
    </comment>
    <comment ref="AB270" authorId="13">
      <text>
        <r>
          <rPr>
            <b/>
            <sz val="8"/>
            <color indexed="81"/>
            <rFont val="Tahoma"/>
            <family val="2"/>
          </rPr>
          <t>P Kahng:</t>
        </r>
        <r>
          <rPr>
            <sz val="8"/>
            <color indexed="81"/>
            <rFont val="Tahoma"/>
            <family val="2"/>
          </rPr>
          <t xml:space="preserve">
Open in Prague, Czech Republic</t>
        </r>
      </text>
    </comment>
    <comment ref="E271" authorId="13">
      <text>
        <r>
          <rPr>
            <sz val="8"/>
            <color indexed="81"/>
            <rFont val="Tahoma"/>
            <family val="2"/>
          </rPr>
          <t>Rio de Janeiro, Brazil</t>
        </r>
        <r>
          <rPr>
            <b/>
            <sz val="8"/>
            <color indexed="81"/>
            <rFont val="Tahoma"/>
            <family val="2"/>
          </rPr>
          <t xml:space="preserve">
</t>
        </r>
      </text>
    </comment>
    <comment ref="L271" authorId="13">
      <text>
        <r>
          <rPr>
            <b/>
            <sz val="8"/>
            <color indexed="81"/>
            <rFont val="Tahoma"/>
            <family val="2"/>
          </rPr>
          <t>P Kahng:</t>
        </r>
        <r>
          <rPr>
            <sz val="8"/>
            <color indexed="81"/>
            <rFont val="Tahoma"/>
            <family val="2"/>
          </rPr>
          <t xml:space="preserve">
Bondi Junction, Sydney Australia</t>
        </r>
      </text>
    </comment>
    <comment ref="E272" authorId="14">
      <text>
        <r>
          <rPr>
            <b/>
            <sz val="8"/>
            <color indexed="81"/>
            <rFont val="Tahoma"/>
            <family val="2"/>
          </rPr>
          <t xml:space="preserve">3/22/13: </t>
        </r>
        <r>
          <rPr>
            <sz val="8"/>
            <color indexed="81"/>
            <rFont val="Tahoma"/>
            <family val="2"/>
          </rPr>
          <t>4 in the US, 6 in Canada, 2 in Mexico, 1 in Brazil</t>
        </r>
        <r>
          <rPr>
            <b/>
            <sz val="8"/>
            <color indexed="81"/>
            <rFont val="Tahoma"/>
            <family val="2"/>
          </rPr>
          <t xml:space="preserve">
11/29/12: </t>
        </r>
        <r>
          <rPr>
            <sz val="8"/>
            <color indexed="81"/>
            <rFont val="Tahoma"/>
            <family val="2"/>
          </rPr>
          <t>opening 13 stores in the americas</t>
        </r>
        <r>
          <rPr>
            <b/>
            <sz val="8"/>
            <color indexed="81"/>
            <rFont val="Tahoma"/>
            <family val="2"/>
          </rPr>
          <t xml:space="preserve">
5/24/12: </t>
        </r>
        <r>
          <rPr>
            <sz val="8"/>
            <color indexed="81"/>
            <rFont val="Tahoma"/>
            <family val="2"/>
          </rPr>
          <t>opening 9 stores in Americas. SoHo, Rio de Janeiro and Alta Vista Street in Mexico City</t>
        </r>
        <r>
          <rPr>
            <b/>
            <sz val="8"/>
            <color indexed="81"/>
            <rFont val="Tahoma"/>
            <family val="2"/>
          </rPr>
          <t xml:space="preserve">
3/20/12: </t>
        </r>
        <r>
          <rPr>
            <sz val="8"/>
            <color indexed="81"/>
            <rFont val="Tahoma"/>
            <family val="2"/>
          </rPr>
          <t xml:space="preserve">planning to open 9 stores (4 US and including SLC opened this week and Soho in Sept and 2 in Canada including Montreal opened last week); 3 in Latam (2 in Mexico and 1 in Rio)
</t>
        </r>
        <r>
          <rPr>
            <sz val="8"/>
            <color indexed="81"/>
            <rFont val="Tahoma"/>
            <family val="2"/>
          </rPr>
          <t xml:space="preserve">
</t>
        </r>
      </text>
    </comment>
    <comment ref="L272" authorId="14">
      <text>
        <r>
          <rPr>
            <b/>
            <sz val="8"/>
            <color indexed="81"/>
            <rFont val="Tahoma"/>
            <family val="2"/>
          </rPr>
          <t xml:space="preserve">3/22/13: </t>
        </r>
        <r>
          <rPr>
            <sz val="8"/>
            <color indexed="81"/>
            <rFont val="Tahoma"/>
            <family val="2"/>
          </rPr>
          <t>6 in China, 1 in Australia, 1 in singapore</t>
        </r>
        <r>
          <rPr>
            <b/>
            <sz val="8"/>
            <color indexed="81"/>
            <rFont val="Tahoma"/>
            <family val="2"/>
          </rPr>
          <t xml:space="preserve">
11/29/12:</t>
        </r>
        <r>
          <rPr>
            <sz val="8"/>
            <color indexed="81"/>
            <rFont val="Tahoma"/>
            <family val="2"/>
          </rPr>
          <t xml:space="preserve"> opening 8 in Asia Pac.</t>
        </r>
        <r>
          <rPr>
            <b/>
            <sz val="8"/>
            <color indexed="81"/>
            <rFont val="Tahoma"/>
            <family val="2"/>
          </rPr>
          <t xml:space="preserve">
5/24/12: </t>
        </r>
        <r>
          <rPr>
            <sz val="8"/>
            <color indexed="81"/>
            <rFont val="Tahoma"/>
            <family val="2"/>
          </rPr>
          <t>1q: opening 8 in Asia Pac. Bondi Junction Australia, second store in Singapore Changi Airport</t>
        </r>
        <r>
          <rPr>
            <b/>
            <sz val="8"/>
            <color indexed="81"/>
            <rFont val="Tahoma"/>
            <family val="2"/>
          </rPr>
          <t xml:space="preserve">
kahng: </t>
        </r>
        <r>
          <rPr>
            <sz val="8"/>
            <color indexed="81"/>
            <rFont val="Tahoma"/>
            <family val="2"/>
          </rPr>
          <t>3/20/12: 7 stores (Bondi Junction, Australia (6); Singapore airport (5); 5 stores in China (21) - additional 30 stores in China over next several years)
was 12</t>
        </r>
      </text>
    </comment>
    <comment ref="AB272" authorId="14">
      <text>
        <r>
          <rPr>
            <b/>
            <sz val="8"/>
            <color indexed="81"/>
            <rFont val="Tahoma"/>
            <family val="2"/>
          </rPr>
          <t xml:space="preserve">3/22/13: </t>
        </r>
        <r>
          <rPr>
            <sz val="8"/>
            <color indexed="81"/>
            <rFont val="Tahoma"/>
            <family val="2"/>
          </rPr>
          <t>1 in France and 1 in Czech Republic</t>
        </r>
        <r>
          <rPr>
            <b/>
            <sz val="8"/>
            <color indexed="81"/>
            <rFont val="Tahoma"/>
            <family val="2"/>
          </rPr>
          <t xml:space="preserve">
11/29/12: </t>
        </r>
        <r>
          <rPr>
            <sz val="8"/>
            <color indexed="81"/>
            <rFont val="Tahoma"/>
            <family val="2"/>
          </rPr>
          <t>adding 2</t>
        </r>
        <r>
          <rPr>
            <b/>
            <sz val="8"/>
            <color indexed="81"/>
            <rFont val="Tahoma"/>
            <family val="2"/>
          </rPr>
          <t xml:space="preserve">
5/24/12: </t>
        </r>
        <r>
          <rPr>
            <sz val="8"/>
            <color indexed="81"/>
            <rFont val="Tahoma"/>
            <family val="2"/>
          </rPr>
          <t>1Q: opening 2 stores in Europe. Prague and Nice in 2Q. Berlin airport delayed until 2013</t>
        </r>
        <r>
          <rPr>
            <b/>
            <sz val="8"/>
            <color indexed="81"/>
            <rFont val="Tahoma"/>
            <family val="2"/>
          </rPr>
          <t xml:space="preserve">
kahng: </t>
        </r>
        <r>
          <rPr>
            <sz val="8"/>
            <color indexed="81"/>
            <rFont val="Tahoma"/>
            <family val="2"/>
          </rPr>
          <t>Prague, Nice and Berlin airport; goal of 50 stores in the next 5 years or so</t>
        </r>
      </text>
    </comment>
    <comment ref="AH272" authorId="14">
      <text>
        <r>
          <rPr>
            <b/>
            <sz val="8"/>
            <color indexed="81"/>
            <rFont val="Tahoma"/>
            <family val="2"/>
          </rPr>
          <t xml:space="preserve">5/24/12: </t>
        </r>
        <r>
          <rPr>
            <sz val="8"/>
            <color indexed="81"/>
            <rFont val="Tahoma"/>
            <family val="2"/>
          </rPr>
          <t>commencing operation of 5 stores in UAE. 4 were open in 1Q</t>
        </r>
        <r>
          <rPr>
            <b/>
            <sz val="8"/>
            <color indexed="81"/>
            <rFont val="Tahoma"/>
            <family val="2"/>
          </rPr>
          <t xml:space="preserve">
kahng: </t>
        </r>
        <r>
          <rPr>
            <sz val="8"/>
            <color indexed="81"/>
            <rFont val="Tahoma"/>
            <family val="2"/>
          </rPr>
          <t>Worldwide store expansion plans in 2012 also include adding 5 company owned stores in the Middle East. 
JV in UAE with Damas Jewelers. Tiffany will take responsibility of 3 Dubai stores and 2 in Abu Dhabi</t>
        </r>
      </text>
    </comment>
    <comment ref="AT272" authorId="16">
      <text>
        <r>
          <rPr>
            <sz val="8"/>
            <color indexed="81"/>
            <rFont val="Tahoma"/>
            <family val="2"/>
          </rPr>
          <t>11/29/12: expects 28 new
8/27/12: expects 28 new vs. 24 previously</t>
        </r>
      </text>
    </comment>
    <comment ref="E276" authorId="17">
      <text>
        <r>
          <rPr>
            <b/>
            <sz val="8"/>
            <color indexed="81"/>
            <rFont val="Tahoma"/>
            <family val="2"/>
          </rPr>
          <t>turleamb:
8/27/13:</t>
        </r>
        <r>
          <rPr>
            <sz val="8"/>
            <color indexed="81"/>
            <rFont val="Tahoma"/>
            <family val="2"/>
          </rPr>
          <t xml:space="preserve"> opened 10th store in Mexico in Villahermosa</t>
        </r>
      </text>
    </comment>
    <comment ref="L276" authorId="17">
      <text>
        <r>
          <rPr>
            <b/>
            <sz val="8"/>
            <color indexed="81"/>
            <rFont val="Tahoma"/>
            <family val="2"/>
          </rPr>
          <t>turleamb:</t>
        </r>
        <r>
          <rPr>
            <sz val="8"/>
            <color indexed="81"/>
            <rFont val="Tahoma"/>
            <family val="2"/>
          </rPr>
          <t xml:space="preserve">
8/27/13:opened new store in Times Square shopping mall, the 9th HK store</t>
        </r>
      </text>
    </comment>
    <comment ref="V276" authorId="17">
      <text>
        <r>
          <rPr>
            <b/>
            <sz val="8"/>
            <color indexed="81"/>
            <rFont val="Tahoma"/>
            <family val="2"/>
          </rPr>
          <t>turleamb:</t>
        </r>
        <r>
          <rPr>
            <sz val="8"/>
            <color indexed="81"/>
            <rFont val="Tahoma"/>
            <family val="2"/>
          </rPr>
          <t xml:space="preserve">
8/27/13: closed a store located in the Matsusakiya Ginza dept store due to the entire department store closure to undergo multiyear renovation</t>
        </r>
      </text>
    </comment>
    <comment ref="E277" authorId="17">
      <text>
        <r>
          <rPr>
            <b/>
            <sz val="8"/>
            <color indexed="81"/>
            <rFont val="Tahoma"/>
            <family val="2"/>
          </rPr>
          <t>turleamb:</t>
        </r>
        <r>
          <rPr>
            <sz val="8"/>
            <color indexed="81"/>
            <rFont val="Tahoma"/>
            <family val="2"/>
          </rPr>
          <t xml:space="preserve">
Paramus, NJ; Cleveland, OH; West Edmonton, Canada; Curitiba, Brazil</t>
        </r>
      </text>
    </comment>
    <comment ref="L277" authorId="17">
      <text>
        <r>
          <rPr>
            <b/>
            <sz val="8"/>
            <color indexed="81"/>
            <rFont val="Tahoma"/>
            <family val="2"/>
          </rPr>
          <t>turleamb:</t>
        </r>
        <r>
          <rPr>
            <sz val="8"/>
            <color indexed="81"/>
            <rFont val="Tahoma"/>
            <family val="2"/>
          </rPr>
          <t xml:space="preserve">
Jinan, China</t>
        </r>
      </text>
    </comment>
    <comment ref="AB277" authorId="17">
      <text>
        <r>
          <rPr>
            <b/>
            <sz val="8"/>
            <color indexed="81"/>
            <rFont val="Tahoma"/>
            <family val="2"/>
          </rPr>
          <t>turleamb:</t>
        </r>
        <r>
          <rPr>
            <sz val="8"/>
            <color indexed="81"/>
            <rFont val="Tahoma"/>
            <family val="2"/>
          </rPr>
          <t xml:space="preserve">
Stuttgart, Germany (also renovated Frankfurt store and re-located Florene store)</t>
        </r>
      </text>
    </comment>
    <comment ref="AG277" authorId="17">
      <text>
        <r>
          <rPr>
            <b/>
            <sz val="8"/>
            <color indexed="81"/>
            <rFont val="Tahoma"/>
            <family val="2"/>
          </rPr>
          <t>turleamb:</t>
        </r>
        <r>
          <rPr>
            <sz val="8"/>
            <color indexed="81"/>
            <rFont val="Tahoma"/>
            <family val="2"/>
          </rPr>
          <t xml:space="preserve">
located in the UAE</t>
        </r>
      </text>
    </comment>
    <comment ref="L278" authorId="17">
      <text>
        <r>
          <rPr>
            <b/>
            <sz val="8"/>
            <color indexed="81"/>
            <rFont val="Tahoma"/>
            <family val="2"/>
          </rPr>
          <t>turleamb:</t>
        </r>
        <r>
          <rPr>
            <sz val="8"/>
            <color indexed="81"/>
            <rFont val="Tahoma"/>
            <family val="2"/>
          </rPr>
          <t xml:space="preserve">
plan 2 stores in China and 2 stores in Taiwan (1 already opened in 4Q)</t>
        </r>
      </text>
    </comment>
    <comment ref="AB278" authorId="17">
      <text>
        <r>
          <rPr>
            <b/>
            <sz val="8"/>
            <color indexed="81"/>
            <rFont val="Tahoma"/>
            <family val="2"/>
          </rPr>
          <t>turleamb:</t>
        </r>
        <r>
          <rPr>
            <sz val="8"/>
            <color indexed="81"/>
            <rFont val="Tahoma"/>
            <family val="2"/>
          </rPr>
          <t xml:space="preserve">
plan to open in Italy</t>
        </r>
      </text>
    </comment>
    <comment ref="D279" authorId="17">
      <text>
        <r>
          <rPr>
            <b/>
            <sz val="8"/>
            <color indexed="81"/>
            <rFont val="Tahoma"/>
            <family val="2"/>
          </rPr>
          <t>turleamb:</t>
        </r>
        <r>
          <rPr>
            <sz val="8"/>
            <color indexed="81"/>
            <rFont val="Tahoma"/>
            <family val="2"/>
          </rPr>
          <t xml:space="preserve">
3/21/14: 94 US stores, 12 in Canada, 10 in Mexico and 5 in Brazil
9/10/13 @ GS Conference: Comp lift of renovated stores: The comp lift varies. We think about renovations as a strategic priority in order to maintain the brand image. The stores in the best shape are probably in Japan. The brand's resiliency there illustrates the return on that investment. In the U.S. 30-40% of stores (on sales basis) have been renovated. There's still a long runway. They don't see this as a particularly burdensome activity over the next few years.</t>
        </r>
      </text>
    </comment>
    <comment ref="E279" authorId="16">
      <text>
        <r>
          <rPr>
            <b/>
            <sz val="8"/>
            <color indexed="81"/>
            <rFont val="Tahoma"/>
            <family val="2"/>
          </rPr>
          <t>casselau:</t>
        </r>
        <r>
          <rPr>
            <sz val="8"/>
            <color indexed="81"/>
            <rFont val="Tahoma"/>
            <family val="2"/>
          </rPr>
          <t xml:space="preserve">
3/21/14: Opened 6 stores in Garden State Plaza in NJ, Eaton Center in Cleveland, OH, in New Orleans, in West Edmonton Mall in Alberta Canada, in Curitiba Brazil and in Villa Hermosa Mexico. 
8/27/13: guidance 6 (3 already opened)
3/22/13: guidance +5</t>
        </r>
      </text>
    </comment>
    <comment ref="K279" authorId="17">
      <text>
        <r>
          <rPr>
            <b/>
            <sz val="9"/>
            <color indexed="81"/>
            <rFont val="Tahoma"/>
            <family val="2"/>
          </rPr>
          <t>turleamb:</t>
        </r>
        <r>
          <rPr>
            <sz val="9"/>
            <color indexed="81"/>
            <rFont val="Tahoma"/>
            <family val="2"/>
          </rPr>
          <t xml:space="preserve">
 greater China represents more than 50% of the regions sales
China (26), Korea (14), Taiwan (8), Australia (6), Singapore (5), Macau (2), Malaysia (2)</t>
        </r>
      </text>
    </comment>
    <comment ref="L279" authorId="16">
      <text>
        <r>
          <rPr>
            <b/>
            <sz val="8"/>
            <color indexed="81"/>
            <rFont val="Tahoma"/>
            <family val="2"/>
          </rPr>
          <t>casselau:</t>
        </r>
        <r>
          <rPr>
            <sz val="8"/>
            <color indexed="81"/>
            <rFont val="Tahoma"/>
            <family val="2"/>
          </rPr>
          <t xml:space="preserve">
11/26/13: opening 7, closing 1 store in Asia-Pac (4 in China, 1 in HK, 2 in Taiwan and closed 1 older store in Taiwan). 
8/27/13: guidance 7 (4 in China with 1 already open, 1 in HK (already opened) and 2 elsewhere)
3/22/13: guidance +7</t>
        </r>
      </text>
    </comment>
    <comment ref="U279" authorId="17">
      <text>
        <r>
          <rPr>
            <b/>
            <sz val="9"/>
            <color indexed="81"/>
            <rFont val="Tahoma"/>
            <family val="2"/>
          </rPr>
          <t>turleamb:</t>
        </r>
        <r>
          <rPr>
            <sz val="9"/>
            <color indexed="81"/>
            <rFont val="Tahoma"/>
            <family val="2"/>
          </rPr>
          <t xml:space="preserve">
50 stores located within dept stores, generating 77% of Japan sales</t>
        </r>
      </text>
    </comment>
    <comment ref="V279" authorId="16">
      <text>
        <r>
          <rPr>
            <b/>
            <sz val="8"/>
            <color indexed="81"/>
            <rFont val="Tahoma"/>
            <family val="2"/>
          </rPr>
          <t>casselau:</t>
        </r>
        <r>
          <rPr>
            <sz val="8"/>
            <color indexed="81"/>
            <rFont val="Tahoma"/>
            <family val="2"/>
          </rPr>
          <t xml:space="preserve">
3/22/13: guidance -1; closed the location in Matsuzakaya dept store in Tokyo for multiyear renovation but TIF thinks much of that business shifted to nearby Ginza sotre. Ginza is the highest volume store in Japan and produces 10+% of total sales in Japan</t>
        </r>
      </text>
    </comment>
    <comment ref="AA279" authorId="17">
      <text>
        <r>
          <rPr>
            <b/>
            <sz val="9"/>
            <color indexed="81"/>
            <rFont val="Tahoma"/>
            <family val="2"/>
          </rPr>
          <t>turleamb:</t>
        </r>
        <r>
          <rPr>
            <sz val="9"/>
            <color indexed="81"/>
            <rFont val="Tahoma"/>
            <family val="2"/>
          </rPr>
          <t xml:space="preserve">
UK repsents 40% of Europe sales. 
UK (10), Germany (7), Italy (7), France (4), Spain (2), Switzerland (2), Austria (1), Belgium (1), Czech Republic (1), Ireland (1) and Netherlands (1)</t>
        </r>
      </text>
    </comment>
    <comment ref="AB279" authorId="16">
      <text>
        <r>
          <rPr>
            <b/>
            <sz val="8"/>
            <color indexed="81"/>
            <rFont val="Tahoma"/>
            <family val="2"/>
          </rPr>
          <t>casselau:</t>
        </r>
        <r>
          <rPr>
            <sz val="8"/>
            <color indexed="81"/>
            <rFont val="Tahoma"/>
            <family val="2"/>
          </rPr>
          <t xml:space="preserve">
3/21/14: Opened 3 stores (1 in Stuttgart Germany, 1 in Rome Italy and 1 in Verona Italy). Renovated Frankfurt and relocated Florance. 
8/27/13: guidance +3; planned for Stuttgart, Germany (in Breuinger dept stores) and one other; already opened 1 in Excelsior in Verona, Italy</t>
        </r>
      </text>
    </comment>
    <comment ref="AT279" authorId="16">
      <text>
        <r>
          <rPr>
            <b/>
            <sz val="8"/>
            <color indexed="81"/>
            <rFont val="Tahoma"/>
            <family val="2"/>
          </rPr>
          <t>casselau:</t>
        </r>
        <r>
          <rPr>
            <sz val="8"/>
            <color indexed="81"/>
            <rFont val="Tahoma"/>
            <family val="2"/>
          </rPr>
          <t xml:space="preserve">
3/22/13: guidance: opening a total of 14 (net) company owned stores </t>
        </r>
      </text>
    </comment>
    <comment ref="E282" authorId="17">
      <text>
        <r>
          <rPr>
            <b/>
            <sz val="9"/>
            <color indexed="81"/>
            <rFont val="Tahoma"/>
            <family val="2"/>
          </rPr>
          <t>turleamb:</t>
        </r>
        <r>
          <rPr>
            <sz val="9"/>
            <color indexed="81"/>
            <rFont val="Tahoma"/>
            <family val="2"/>
          </rPr>
          <t xml:space="preserve">
Closed 1 store (East Hampton, NY) and opened 1 store in Cancun, Mexico. As of 4/30/14 company operated 121 Americas stores</t>
        </r>
      </text>
    </comment>
    <comment ref="L282" authorId="17">
      <text>
        <r>
          <rPr>
            <b/>
            <sz val="9"/>
            <color indexed="81"/>
            <rFont val="Tahoma"/>
            <family val="2"/>
          </rPr>
          <t>turleamb:</t>
        </r>
        <r>
          <rPr>
            <sz val="9"/>
            <color indexed="81"/>
            <rFont val="Tahoma"/>
            <family val="2"/>
          </rPr>
          <t xml:space="preserve">
as of 4/30/14 TIF operated 72 Asia stores</t>
        </r>
      </text>
    </comment>
    <comment ref="V282" authorId="17">
      <text>
        <r>
          <rPr>
            <b/>
            <sz val="9"/>
            <color indexed="81"/>
            <rFont val="Tahoma"/>
            <family val="2"/>
          </rPr>
          <t>turleamb:</t>
        </r>
        <r>
          <rPr>
            <sz val="9"/>
            <color indexed="81"/>
            <rFont val="Tahoma"/>
            <family val="2"/>
          </rPr>
          <t xml:space="preserve">
As of 4/30/14 TIF operated 55 stores in Japan</t>
        </r>
      </text>
    </comment>
    <comment ref="AB282" authorId="17">
      <text>
        <r>
          <rPr>
            <b/>
            <sz val="9"/>
            <color indexed="81"/>
            <rFont val="Tahoma"/>
            <family val="2"/>
          </rPr>
          <t>turleamb:</t>
        </r>
        <r>
          <rPr>
            <sz val="9"/>
            <color indexed="81"/>
            <rFont val="Tahoma"/>
            <family val="2"/>
          </rPr>
          <t xml:space="preserve">
5/20/14: Opened Champs Elysees in Paris - as of 4/30/14 TIF operated 38 Europe stores</t>
        </r>
      </text>
    </comment>
    <comment ref="AT282" authorId="17">
      <text>
        <r>
          <rPr>
            <b/>
            <sz val="9"/>
            <color indexed="81"/>
            <rFont val="Tahoma"/>
            <family val="2"/>
          </rPr>
          <t>turleamb:</t>
        </r>
        <r>
          <rPr>
            <sz val="9"/>
            <color indexed="81"/>
            <rFont val="Tahoma"/>
            <family val="2"/>
          </rPr>
          <t xml:space="preserve">
opened 4 stores (1 Japan, 1 Europe - Champs Elysees, 1 Russia) and closed 1 US store</t>
        </r>
      </text>
    </comment>
    <comment ref="E283" authorId="18">
      <text>
        <r>
          <rPr>
            <b/>
            <sz val="9"/>
            <color indexed="81"/>
            <rFont val="Tahoma"/>
            <family val="2"/>
          </rPr>
          <t>Turley, Amber (Research):</t>
        </r>
        <r>
          <rPr>
            <sz val="9"/>
            <color indexed="81"/>
            <rFont val="Tahoma"/>
            <family val="2"/>
          </rPr>
          <t xml:space="preserve">
Aventura, Florida</t>
        </r>
      </text>
    </comment>
    <comment ref="E284" authorId="18">
      <text>
        <r>
          <rPr>
            <b/>
            <sz val="9"/>
            <color indexed="81"/>
            <rFont val="Tahoma"/>
            <family val="2"/>
          </rPr>
          <t>Turley, Amber (Research):</t>
        </r>
        <r>
          <rPr>
            <sz val="9"/>
            <color indexed="81"/>
            <rFont val="Tahoma"/>
            <family val="2"/>
          </rPr>
          <t xml:space="preserve">
Newbury Street, Boston MA expected in 3Q (per 10-Q pg. 26)</t>
        </r>
      </text>
    </comment>
    <comment ref="L284" authorId="18">
      <text>
        <r>
          <rPr>
            <b/>
            <sz val="9"/>
            <color indexed="81"/>
            <rFont val="Tahoma"/>
            <family val="2"/>
          </rPr>
          <t>Turley, Amber (Research):</t>
        </r>
        <r>
          <rPr>
            <sz val="9"/>
            <color indexed="81"/>
            <rFont val="Tahoma"/>
            <family val="2"/>
          </rPr>
          <t xml:space="preserve">
Adelaide, Australia expected 3Q (per 10-Q pg. 26)</t>
        </r>
      </text>
    </comment>
    <comment ref="V284" authorId="18">
      <text>
        <r>
          <rPr>
            <b/>
            <sz val="9"/>
            <color indexed="81"/>
            <rFont val="Tahoma"/>
            <family val="2"/>
          </rPr>
          <t>Turley, Amber (Research):</t>
        </r>
        <r>
          <rPr>
            <sz val="9"/>
            <color indexed="81"/>
            <rFont val="Tahoma"/>
            <family val="2"/>
          </rPr>
          <t xml:space="preserve">
11/25/14: Opening store in Tokyo. 
Shinjuku, Tokyo expected 3Q per 2Q 10-Q pg 26</t>
        </r>
      </text>
    </comment>
    <comment ref="E285" authorId="18">
      <text>
        <r>
          <rPr>
            <b/>
            <sz val="9"/>
            <color indexed="81"/>
            <rFont val="Tahoma"/>
            <family val="2"/>
          </rPr>
          <t>Turley, Amber (Research):</t>
        </r>
        <r>
          <rPr>
            <sz val="9"/>
            <color indexed="81"/>
            <rFont val="Tahoma"/>
            <family val="2"/>
          </rPr>
          <t xml:space="preserve">
11/25/14: opening 5K sq.ft. store in Miami Design district
Design Disctrict Miami, FL expected in 4Q per 10-Q pg. 26</t>
        </r>
      </text>
    </comment>
    <comment ref="L285" authorId="18">
      <text>
        <r>
          <rPr>
            <b/>
            <sz val="9"/>
            <color indexed="81"/>
            <rFont val="Tahoma"/>
            <family val="2"/>
          </rPr>
          <t>Turley, Amber (Research):</t>
        </r>
        <r>
          <rPr>
            <sz val="9"/>
            <color indexed="81"/>
            <rFont val="Tahoma"/>
            <family val="2"/>
          </rPr>
          <t xml:space="preserve">
opened store in nov in Aelaid, Australia</t>
        </r>
      </text>
    </comment>
    <comment ref="D286" authorId="16">
      <text>
        <r>
          <rPr>
            <b/>
            <sz val="9"/>
            <color indexed="81"/>
            <rFont val="Tahoma"/>
            <family val="2"/>
          </rPr>
          <t>casselau:</t>
        </r>
        <r>
          <rPr>
            <sz val="9"/>
            <color indexed="81"/>
            <rFont val="Tahoma"/>
            <family val="2"/>
          </rPr>
          <t xml:space="preserve">
95 US</t>
        </r>
      </text>
    </comment>
    <comment ref="E286" authorId="17">
      <text>
        <r>
          <rPr>
            <b/>
            <sz val="9"/>
            <color indexed="81"/>
            <rFont val="Tahoma"/>
            <family val="2"/>
          </rPr>
          <t>turleamb:</t>
        </r>
        <r>
          <rPr>
            <sz val="9"/>
            <color indexed="81"/>
            <rFont val="Tahoma"/>
            <family val="2"/>
          </rPr>
          <t xml:space="preserve">
3/20/15: Tiffany opened eight and closed two Company-operated stores in 2014. At
January 31, 2015, the Company operated 295 stores (122 in the Americas, 73 in
Asia-Pacific, 56 in Japan, 38 in Europe, and included in Other sales are five in
the United Arab Emirates and one in Russia), versus 289 stores a year ago (121
in the Americas, 72 in Asia-Pacific, 54 in Japan, 37 in Europe and five in the
U.A.E.).
11/25/14: Guided to opening 4 stores in America and closing 1 store. 
8/27/14: reiterated March guidance
3/21/14: guided 4 store openings and 1 store closure. Opening in Aventura, FL (Miami Design district), Boston's Newbury St., Cancun, Mexico. 
Closing East Hampton store</t>
        </r>
      </text>
    </comment>
    <comment ref="L286" authorId="17">
      <text>
        <r>
          <rPr>
            <b/>
            <sz val="9"/>
            <color indexed="81"/>
            <rFont val="Tahoma"/>
            <family val="2"/>
          </rPr>
          <t>turleamb:</t>
        </r>
        <r>
          <rPr>
            <sz val="9"/>
            <color indexed="81"/>
            <rFont val="Tahoma"/>
            <family val="2"/>
          </rPr>
          <t xml:space="preserve">
3/20/15: Tiffany opened eight and closed two Company-operated stores in 2014. At
January 31, 2015, the Company operated 295 stores (122 in the Americas, 73 in
Asia-Pacific, 56 in Japan, 38 in Europe, and included in Other sales are five in
the United Arab Emirates and one in Russia), versus 289 stores a year ago (121
in the Americas, 72 in Asia-Pacific, 54 in Japan, 37 in Europe and five in the
U.A.E.).
11/25/14: Guided to opening 2 in Asia and closing 1 in Asia. 
8/27/14: guided 2 Asia openings and 1 closing
3/21/14: guided 5 stores openings and 1 closure
Opening 3 stores in China, 1 in Adelaide Australia and TIF's 1st store in Thailand. Closing 1 store in Taiwan. </t>
        </r>
      </text>
    </comment>
    <comment ref="V286" authorId="17">
      <text>
        <r>
          <rPr>
            <b/>
            <sz val="9"/>
            <color indexed="81"/>
            <rFont val="Tahoma"/>
            <family val="2"/>
          </rPr>
          <t>turleamb:</t>
        </r>
        <r>
          <rPr>
            <sz val="9"/>
            <color indexed="81"/>
            <rFont val="Tahoma"/>
            <family val="2"/>
          </rPr>
          <t xml:space="preserve">
3/20/15: Tiffany opened eight and closed two Company-operated stores in 2014. At
January 31, 2015, the Company operated 295 stores (122 in the Americas, 73 in
Asia-Pacific, 56 in Japan, 38 in Europe, and included in Other sales are five in
the United Arab Emirates and one in Russia), versus 289 stores a year ago (121
in the Americas, 72 in Asia-Pacific, 54 in Japan, 37 in Europe and five in the
U.A.E.).
11/25/14: Guided 2 store openigns in Japan. 
8/27/14: guided 2 store openings
3/21/14: guided 1 store opening and 1 closure
</t>
        </r>
      </text>
    </comment>
    <comment ref="AB286" authorId="17">
      <text>
        <r>
          <rPr>
            <b/>
            <sz val="9"/>
            <color indexed="81"/>
            <rFont val="Tahoma"/>
            <family val="2"/>
          </rPr>
          <t>turleamb:</t>
        </r>
        <r>
          <rPr>
            <sz val="9"/>
            <color indexed="81"/>
            <rFont val="Tahoma"/>
            <family val="2"/>
          </rPr>
          <t xml:space="preserve">
3/20/15: Tiffany opened eight and closed two Company-operated stores in 2014. At
January 31, 2015, the Company operated 295 stores (122 in the Americas, 73 in
Asia-Pacific, 56 in Japan, 38 in Europe, and included in Other sales are five in
the United Arab Emirates and one in Russia), versus 289 stores a year ago (121
in the Americas, 72 in Asia-Pacific, 54 in Japan, 37 in Europe and five in the
U.A.E.).
11/25/14: Guided1 store opening in Europe. 
8/27/14: reiterated guidance of 1 store opening
3/21/14: guided 1 store opening in Europe
Opening a major store in Europe on Champs Elysees in Paris and 1 store in Moscow, Russia.</t>
        </r>
      </text>
    </comment>
    <comment ref="AH286" authorId="17">
      <text>
        <r>
          <rPr>
            <b/>
            <sz val="9"/>
            <color indexed="81"/>
            <rFont val="Tahoma"/>
            <family val="2"/>
          </rPr>
          <t>turleamb:</t>
        </r>
        <r>
          <rPr>
            <sz val="9"/>
            <color indexed="81"/>
            <rFont val="Tahoma"/>
            <family val="2"/>
          </rPr>
          <t xml:space="preserve">
3/20/15: Tiffany opened eight and closed two Company-operated stores in 2014. At
January 31, 2015, the Company operated 295 stores (122 in the Americas, 73 in
Asia-Pacific, 56 in Japan, 38 in Europe, and included in Other sales are five in
the United Arab Emirates and one in Russia), versus 289 stores a year ago (121
in the Americas, 72 in Asia-Pacific, 54 in Japan, 37 in Europe and five in the
U.A.E.).
11/25/14: Guided 1 store opening in Russia. 
8/27/14: guided FY 1 store opening in Russia and 1 closing in UAE. 
3/21/14: guided 1 store closure in UAE
 Closing a small store in Dubai. Open 1 in Moscow Russia</t>
        </r>
      </text>
    </comment>
    <comment ref="AT286" authorId="17">
      <text>
        <r>
          <rPr>
            <b/>
            <sz val="9"/>
            <color indexed="81"/>
            <rFont val="Tahoma"/>
            <family val="2"/>
          </rPr>
          <t>turleamb:</t>
        </r>
        <r>
          <rPr>
            <sz val="9"/>
            <color indexed="81"/>
            <rFont val="Tahoma"/>
            <family val="2"/>
          </rPr>
          <t xml:space="preserve">
11/25/14: Open 10 stores and close 2 stores. This includes 2 in the Americas, 2 in Asia, 2 in Japan and 1 in Europe and 1 in Russia while closing 1 in Americas and 1 in Asia. 
3/21/14: also renovating a number of older stores to enhance visual merchandising and the in-store customer experience. </t>
        </r>
      </text>
    </comment>
    <comment ref="E289" authorId="16">
      <text>
        <r>
          <rPr>
            <b/>
            <sz val="9"/>
            <color indexed="81"/>
            <rFont val="Tahoma"/>
            <family val="2"/>
          </rPr>
          <t>casselau:</t>
        </r>
        <r>
          <rPr>
            <sz val="9"/>
            <color indexed="81"/>
            <rFont val="Tahoma"/>
            <family val="2"/>
          </rPr>
          <t xml:space="preserve">
Miami</t>
        </r>
      </text>
    </comment>
    <comment ref="L289" authorId="16">
      <text>
        <r>
          <rPr>
            <b/>
            <sz val="9"/>
            <color indexed="81"/>
            <rFont val="Tahoma"/>
            <family val="2"/>
          </rPr>
          <t>casselau:</t>
        </r>
        <r>
          <rPr>
            <sz val="9"/>
            <color indexed="81"/>
            <rFont val="Tahoma"/>
            <family val="2"/>
          </rPr>
          <t xml:space="preserve">
Shanghai and Hangzhou</t>
        </r>
      </text>
    </comment>
    <comment ref="E290" authorId="16">
      <text>
        <r>
          <rPr>
            <b/>
            <sz val="9"/>
            <color indexed="81"/>
            <rFont val="Tahoma"/>
            <family val="2"/>
          </rPr>
          <t>casselau:</t>
        </r>
        <r>
          <rPr>
            <sz val="9"/>
            <color indexed="81"/>
            <rFont val="Tahoma"/>
            <family val="2"/>
          </rPr>
          <t xml:space="preserve">
Ottawa, Canada</t>
        </r>
      </text>
    </comment>
    <comment ref="L290" authorId="16">
      <text>
        <r>
          <rPr>
            <b/>
            <sz val="9"/>
            <color indexed="81"/>
            <rFont val="Tahoma"/>
            <family val="2"/>
          </rPr>
          <t>casselau:</t>
        </r>
        <r>
          <rPr>
            <sz val="9"/>
            <color indexed="81"/>
            <rFont val="Tahoma"/>
            <family val="2"/>
          </rPr>
          <t xml:space="preserve">
China: Shanghai and Hangzhou; Bangkok, Thailand; Macau</t>
        </r>
      </text>
    </comment>
    <comment ref="AB290" authorId="16">
      <text>
        <r>
          <rPr>
            <b/>
            <sz val="9"/>
            <color indexed="81"/>
            <rFont val="Tahoma"/>
            <family val="2"/>
          </rPr>
          <t>casselau:</t>
        </r>
        <r>
          <rPr>
            <sz val="9"/>
            <color indexed="81"/>
            <rFont val="Tahoma"/>
            <family val="2"/>
          </rPr>
          <t xml:space="preserve">
Geneva</t>
        </r>
      </text>
    </comment>
    <comment ref="E291" authorId="16">
      <text>
        <r>
          <rPr>
            <b/>
            <sz val="9"/>
            <color indexed="81"/>
            <rFont val="Tahoma"/>
            <family val="2"/>
          </rPr>
          <t>casselau:</t>
        </r>
        <r>
          <rPr>
            <sz val="9"/>
            <color indexed="81"/>
            <rFont val="Tahoma"/>
            <family val="2"/>
          </rPr>
          <t xml:space="preserve">
Santiago Chile</t>
        </r>
      </text>
    </comment>
    <comment ref="L291" authorId="16">
      <text>
        <r>
          <rPr>
            <b/>
            <sz val="9"/>
            <color indexed="81"/>
            <rFont val="Tahoma"/>
            <family val="2"/>
          </rPr>
          <t>casselau:</t>
        </r>
        <r>
          <rPr>
            <sz val="9"/>
            <color indexed="81"/>
            <rFont val="Tahoma"/>
            <family val="2"/>
          </rPr>
          <t xml:space="preserve">
opened one store in Macau and closed one in Korea</t>
        </r>
      </text>
    </comment>
    <comment ref="AH291" authorId="16">
      <text>
        <r>
          <rPr>
            <b/>
            <sz val="9"/>
            <color indexed="81"/>
            <rFont val="Tahoma"/>
            <family val="2"/>
          </rPr>
          <t>casselau:</t>
        </r>
        <r>
          <rPr>
            <sz val="9"/>
            <color indexed="81"/>
            <rFont val="Tahoma"/>
            <family val="2"/>
          </rPr>
          <t xml:space="preserve">
5 Russia, 1 UAE</t>
        </r>
      </text>
    </comment>
    <comment ref="L292" authorId="16">
      <text>
        <r>
          <rPr>
            <b/>
            <sz val="9"/>
            <color indexed="81"/>
            <rFont val="Tahoma"/>
            <family val="2"/>
          </rPr>
          <t>casselau:</t>
        </r>
        <r>
          <rPr>
            <sz val="9"/>
            <color indexed="81"/>
            <rFont val="Tahoma"/>
            <family val="2"/>
          </rPr>
          <t xml:space="preserve">
opened one in Beijing and one in Korea</t>
        </r>
      </text>
    </comment>
    <comment ref="AB292" authorId="16">
      <text>
        <r>
          <rPr>
            <b/>
            <sz val="9"/>
            <color indexed="81"/>
            <rFont val="Tahoma"/>
            <family val="2"/>
          </rPr>
          <t>casselau:</t>
        </r>
        <r>
          <rPr>
            <sz val="9"/>
            <color indexed="81"/>
            <rFont val="Tahoma"/>
            <family val="2"/>
          </rPr>
          <t xml:space="preserve">
Madrid</t>
        </r>
      </text>
    </comment>
    <comment ref="E293" authorId="18">
      <text>
        <r>
          <rPr>
            <b/>
            <sz val="9"/>
            <color indexed="81"/>
            <rFont val="Tahoma"/>
            <family val="2"/>
          </rPr>
          <t>Turley, Amber (Research):</t>
        </r>
        <r>
          <rPr>
            <sz val="9"/>
            <color indexed="81"/>
            <rFont val="Tahoma"/>
            <family val="2"/>
          </rPr>
          <t xml:space="preserve">
3/20/15: Guidance 3. Increasing the number of Company-operated stores by 12-15, net, with the majority of expansion planned in Asia-Pacific and the balance in the Americas and Europe. </t>
        </r>
      </text>
    </comment>
    <comment ref="L293" authorId="18">
      <text>
        <r>
          <rPr>
            <sz val="9"/>
            <color indexed="81"/>
            <rFont val="Tahoma"/>
            <family val="2"/>
          </rPr>
          <t xml:space="preserve">3/18/16: We opened 11 stores including five in China, two in Macau and one each in Korea, Singapore, Taiwan and Thailand. We also closed three existing stores in the region including
one each in China, Korea and Taiwan.
3/20/15: Guidance 3. Increasing the number of Company-operated stores by 12-15, net, with the majority of expansion planned in Asia-Pacific and the balance in the Americas and Europe. </t>
        </r>
      </text>
    </comment>
    <comment ref="V293" authorId="18">
      <text>
        <r>
          <rPr>
            <b/>
            <sz val="9"/>
            <color indexed="81"/>
            <rFont val="Tahoma"/>
            <family val="2"/>
          </rPr>
          <t>Turley, Amber (Research):</t>
        </r>
        <r>
          <rPr>
            <sz val="9"/>
            <color indexed="81"/>
            <rFont val="Tahoma"/>
            <family val="2"/>
          </rPr>
          <t xml:space="preserve">
3/20/15: Guidance 3. Increasing the number of Company-operated stores by 12-15, net, with the majority of expansion planned in Asia-Pacific and the balance in the Americas and Europe. </t>
        </r>
      </text>
    </comment>
    <comment ref="AB293" authorId="18">
      <text>
        <r>
          <rPr>
            <b/>
            <sz val="9"/>
            <color indexed="81"/>
            <rFont val="Tahoma"/>
            <family val="2"/>
          </rPr>
          <t>Turley, Amber (Research):</t>
        </r>
        <r>
          <rPr>
            <sz val="9"/>
            <color indexed="81"/>
            <rFont val="Tahoma"/>
            <family val="2"/>
          </rPr>
          <t xml:space="preserve">
3/20/15: Guidance 3. Increasing the number of Company-operated stores by 12-15, net, with the majority of expansion planned in Asia-Pacific and the balance in the Americas and Europe. </t>
        </r>
      </text>
    </comment>
    <comment ref="AH293" authorId="18">
      <text>
        <r>
          <rPr>
            <b/>
            <sz val="9"/>
            <color indexed="81"/>
            <rFont val="Tahoma"/>
            <family val="2"/>
          </rPr>
          <t>Turley, Amber (Research):</t>
        </r>
        <r>
          <rPr>
            <sz val="9"/>
            <color indexed="81"/>
            <rFont val="Tahoma"/>
            <family val="2"/>
          </rPr>
          <t xml:space="preserve">
3/20/15: Guidance 3. Increasing the number of Company-operated stores by 12-15, net, with the majority of expansion planned in Asia-Pacific and the balance in the Americas and Europe. </t>
        </r>
      </text>
    </comment>
    <comment ref="L298" authorId="19">
      <text>
        <r>
          <rPr>
            <b/>
            <sz val="9"/>
            <color indexed="81"/>
            <rFont val="Tahoma"/>
            <family val="2"/>
          </rPr>
          <t>Cassel, Lauren (Research):</t>
        </r>
        <r>
          <rPr>
            <sz val="9"/>
            <color indexed="81"/>
            <rFont val="Tahoma"/>
            <family val="2"/>
          </rPr>
          <t xml:space="preserve">
opened 4 and closed 2</t>
        </r>
      </text>
    </comment>
    <comment ref="L300" authorId="19">
      <text>
        <r>
          <rPr>
            <b/>
            <sz val="9"/>
            <color indexed="81"/>
            <rFont val="Tahoma"/>
            <family val="2"/>
          </rPr>
          <t>Cassel, Lauren (Research):
31 stores in Mainland China; 15 stores in Korea</t>
        </r>
        <r>
          <rPr>
            <sz val="9"/>
            <color indexed="81"/>
            <rFont val="Tahoma"/>
            <family val="2"/>
          </rPr>
          <t xml:space="preserve">
opened 7, closed 2, relocated 3</t>
        </r>
      </text>
    </comment>
    <comment ref="AS300" authorId="16">
      <text>
        <r>
          <rPr>
            <b/>
            <sz val="9"/>
            <color indexed="81"/>
            <rFont val="Tahoma"/>
            <family val="2"/>
          </rPr>
          <t xml:space="preserve">casselau:
11/29/16:  worldwide gross retail square footage increasing 3%, net through 11 store openings, 6 relocations and 6 closings
</t>
        </r>
        <r>
          <rPr>
            <sz val="9"/>
            <color indexed="81"/>
            <rFont val="Tahoma"/>
            <family val="2"/>
          </rPr>
          <t>8/25/16: worldwide gross retail square footage increasing 2%, net through 11 openings, 6 relocations and 9 closings
3/18/16: increasing worldwide gross retail square footage by 2%, net through 11 openings, 6 relocations and 10 closings</t>
        </r>
      </text>
    </comment>
    <comment ref="BA300" authorId="16">
      <text>
        <r>
          <rPr>
            <b/>
            <sz val="9"/>
            <color indexed="81"/>
            <rFont val="Tahoma"/>
            <family val="2"/>
          </rPr>
          <t xml:space="preserve">casselau:
3/17/17: Tiffany opened 11 Company-operated stores in the full year and closed five locations, which, coupled with relocations of five stores, resulted in a net increase in gross retail square footage of approximately 3%. 
11/29/16:  worldwide gross retail square footage increasing 3%, net through 11 store openings, 6 relocations and 6 closings
</t>
        </r>
        <r>
          <rPr>
            <sz val="9"/>
            <color indexed="81"/>
            <rFont val="Tahoma"/>
            <family val="2"/>
          </rPr>
          <t xml:space="preserve">
3/18/16: increasing worldwide gross retail square footage by 2%, net through 11 openings, 6 relocations and 9 closings</t>
        </r>
      </text>
    </comment>
    <comment ref="AS307" authorId="19">
      <text>
        <r>
          <rPr>
            <b/>
            <sz val="9"/>
            <color indexed="81"/>
            <rFont val="Tahoma"/>
            <family val="2"/>
          </rPr>
          <t>Cassel, Lauren (Research):</t>
        </r>
        <r>
          <rPr>
            <sz val="9"/>
            <color indexed="81"/>
            <rFont val="Tahoma"/>
            <family val="2"/>
          </rPr>
          <t xml:space="preserve">
3/16/18: opened 9 stores and closed 7</t>
        </r>
      </text>
    </comment>
    <comment ref="BA307" authorId="19">
      <text>
        <r>
          <rPr>
            <b/>
            <sz val="9"/>
            <color indexed="81"/>
            <rFont val="Tahoma"/>
            <family val="2"/>
          </rPr>
          <t>Cassel, Lauren (Research):
11/29/17: Guidance: worldwide gross retail sqftg +2%, net through 9 store openings, 7 relocations and 7 closings
5/24/17: Guidance: worldwide gross retail sqftg +2%, net through 10 store openings, 7 relocations and 7 closings</t>
        </r>
        <r>
          <rPr>
            <sz val="9"/>
            <color indexed="81"/>
            <rFont val="Tahoma"/>
            <family val="2"/>
          </rPr>
          <t xml:space="preserve">
3/17/17: guidance: worldwide gross retail square footage increasing 3%, net through 11 store openings, nine relocations and six closings</t>
        </r>
      </text>
    </comment>
    <comment ref="AS314" authorId="19">
      <text>
        <r>
          <rPr>
            <b/>
            <sz val="9"/>
            <color indexed="81"/>
            <rFont val="Tahoma"/>
            <family val="2"/>
          </rPr>
          <t>Cassel, Lauren (Research):</t>
        </r>
        <r>
          <rPr>
            <sz val="9"/>
            <color indexed="81"/>
            <rFont val="Tahoma"/>
            <family val="2"/>
          </rPr>
          <t xml:space="preserve">
3/16/18: worldwide gross retail square footage increasing 2%, net through nine store openings, two closings and at least 15 relocations</t>
        </r>
      </text>
    </comment>
    <comment ref="BA314" authorId="19">
      <text>
        <r>
          <rPr>
            <b/>
            <sz val="9"/>
            <color indexed="81"/>
            <rFont val="Tahoma"/>
            <family val="2"/>
          </rPr>
          <t>Cassel, Lauren (Research):</t>
        </r>
        <r>
          <rPr>
            <sz val="9"/>
            <color indexed="81"/>
            <rFont val="Tahoma"/>
            <family val="2"/>
          </rPr>
          <t xml:space="preserve">
3/16/18: worldwide gross retail square footage increasing 2%, net through nine store openings, two closings and at least 15 relocations</t>
        </r>
      </text>
    </comment>
  </commentList>
</comments>
</file>

<file path=xl/comments3.xml><?xml version="1.0" encoding="utf-8"?>
<comments xmlns="http://schemas.openxmlformats.org/spreadsheetml/2006/main">
  <authors>
    <author>mm98285</author>
    <author>KG51925</author>
    <author>solejay</author>
    <author>P Kahng</author>
    <author>kimberlg</author>
    <author>turleamb</author>
    <author>Turley, Amber (Research)</author>
    <author>pw64212</author>
    <author>kahng</author>
    <author>ns66486</author>
  </authors>
  <commentList>
    <comment ref="H135" authorId="0">
      <text>
        <r>
          <rPr>
            <b/>
            <sz val="8"/>
            <color indexed="81"/>
            <rFont val="Tahoma"/>
            <family val="2"/>
          </rPr>
          <t>mm98285:</t>
        </r>
        <r>
          <rPr>
            <sz val="8"/>
            <color indexed="81"/>
            <rFont val="Tahoma"/>
            <family val="2"/>
          </rPr>
          <t xml:space="preserve">
US Flagship = ~9% of total sales or 16% of US sales</t>
        </r>
      </text>
    </comment>
    <comment ref="L167" authorId="1">
      <text>
        <r>
          <rPr>
            <b/>
            <sz val="8"/>
            <color indexed="81"/>
            <rFont val="Tahoma"/>
            <family val="2"/>
          </rPr>
          <t>KG51925:</t>
        </r>
        <r>
          <rPr>
            <sz val="8"/>
            <color indexed="81"/>
            <rFont val="Tahoma"/>
            <family val="2"/>
          </rPr>
          <t xml:space="preserve">
52% of total sales, of which 91% is in the US
79 US
7 Mexico
3 Canada
2 Brazil</t>
        </r>
      </text>
    </comment>
    <comment ref="F186" authorId="2">
      <text>
        <r>
          <rPr>
            <b/>
            <sz val="8"/>
            <color indexed="81"/>
            <rFont val="Tahoma"/>
            <family val="2"/>
          </rPr>
          <t>solejay:</t>
        </r>
        <r>
          <rPr>
            <sz val="8"/>
            <color indexed="81"/>
            <rFont val="Tahoma"/>
            <family val="2"/>
          </rPr>
          <t xml:space="preserve">
sales in the New York flagship store rose 5% in the quarter and declined 3% in the year-to-date, while comparable branch store sales declined 1% in both periods</t>
        </r>
      </text>
    </comment>
    <comment ref="F187" authorId="3">
      <text>
        <r>
          <rPr>
            <b/>
            <sz val="8"/>
            <color indexed="81"/>
            <rFont val="Tahoma"/>
            <family val="2"/>
          </rPr>
          <t>P Kahng:</t>
        </r>
        <r>
          <rPr>
            <sz val="8"/>
            <color indexed="81"/>
            <rFont val="Tahoma"/>
            <family val="2"/>
          </rPr>
          <t xml:space="preserve">
if wtd increase is over 0.2%, trans effect seems to be 1%</t>
        </r>
      </text>
    </comment>
    <comment ref="R187" authorId="4">
      <text>
        <r>
          <rPr>
            <b/>
            <sz val="8"/>
            <color indexed="81"/>
            <rFont val="Tahoma"/>
            <family val="2"/>
          </rPr>
          <t>kimberlg:</t>
        </r>
        <r>
          <rPr>
            <sz val="8"/>
            <color indexed="81"/>
            <rFont val="Tahoma"/>
            <family val="2"/>
          </rPr>
          <t xml:space="preserve">
1/10/12: NO EXTRA WEEK - TIF does not follow the retail calendar
1/10/12: avg week January 2011 total sales $53.2M. $55.8M implied Jan 12 weekly sales
1/10/12: $629M excl extra week. Adjusted 20% non-comp productivity est to 90% to add $30M for extra week's sales assuming $60M total co extra week's sales w/ Americas at 49% of total </t>
        </r>
      </text>
    </comment>
    <comment ref="AZ190" authorId="5">
      <text>
        <r>
          <rPr>
            <b/>
            <sz val="8"/>
            <color indexed="81"/>
            <rFont val="Tahoma"/>
            <family val="2"/>
          </rPr>
          <t>turleamb:</t>
        </r>
        <r>
          <rPr>
            <sz val="8"/>
            <color indexed="81"/>
            <rFont val="Tahoma"/>
            <family val="2"/>
          </rPr>
          <t xml:space="preserve">
11/26/13: based upon 12 stores out of 120 located in Canada</t>
        </r>
      </text>
    </comment>
    <comment ref="BC190" authorId="5">
      <text>
        <r>
          <rPr>
            <b/>
            <sz val="8"/>
            <color indexed="81"/>
            <rFont val="Tahoma"/>
            <family val="2"/>
          </rPr>
          <t>turleamb:</t>
        </r>
        <r>
          <rPr>
            <sz val="8"/>
            <color indexed="81"/>
            <rFont val="Tahoma"/>
            <family val="2"/>
          </rPr>
          <t xml:space="preserve">
11/26/13: absed upon 10 out of 120 total stores in Mexico</t>
        </r>
      </text>
    </comment>
    <comment ref="BF190" authorId="5">
      <text>
        <r>
          <rPr>
            <b/>
            <sz val="8"/>
            <color indexed="81"/>
            <rFont val="Tahoma"/>
            <family val="2"/>
          </rPr>
          <t>turleamb:</t>
        </r>
        <r>
          <rPr>
            <sz val="8"/>
            <color indexed="81"/>
            <rFont val="Tahoma"/>
            <family val="2"/>
          </rPr>
          <t xml:space="preserve">
11/26/13: based upon 5 out of 120 stores in Brazil</t>
        </r>
      </text>
    </comment>
    <comment ref="H192" authorId="5">
      <text>
        <r>
          <rPr>
            <b/>
            <sz val="8"/>
            <color indexed="81"/>
            <rFont val="Tahoma"/>
            <family val="2"/>
          </rPr>
          <t>turleamb:</t>
        </r>
        <r>
          <rPr>
            <sz val="8"/>
            <color indexed="81"/>
            <rFont val="Tahoma"/>
            <family val="2"/>
          </rPr>
          <t xml:space="preserve">
8/27/13: 
Tourist traffic is ~45% of NYC flagship.
In geographies where they operate mature business (Americas and Japan) they are finding that fashion jewelry category is weak (positive sales growth) but is more than being offset by statement jewelry driven by spending among affluent consumers
Fashion category including silver has not stabilized but grew overall in the quarter with gold outperforming silver. </t>
        </r>
      </text>
    </comment>
    <comment ref="D195" authorId="2">
      <text>
        <r>
          <rPr>
            <b/>
            <sz val="8"/>
            <color indexed="81"/>
            <rFont val="Tahoma"/>
            <family val="2"/>
          </rPr>
          <t>solejay:</t>
        </r>
        <r>
          <rPr>
            <sz val="8"/>
            <color indexed="81"/>
            <rFont val="Tahoma"/>
            <family val="2"/>
          </rPr>
          <t xml:space="preserve">
Stronger than expected Americas results driven by sales techniques improved with 25 highest volume stores which will expand to other stores
TIF planning worldwide sales +6-8% in dollars, and +HSD in common currency.  No Americas-specific breakout</t>
        </r>
      </text>
    </comment>
    <comment ref="F195" authorId="2">
      <text>
        <r>
          <rPr>
            <b/>
            <sz val="8"/>
            <color indexed="81"/>
            <rFont val="Tahoma"/>
            <family val="2"/>
          </rPr>
          <t>solejay:</t>
        </r>
        <r>
          <rPr>
            <sz val="8"/>
            <color indexed="81"/>
            <rFont val="Tahoma"/>
            <family val="2"/>
          </rPr>
          <t xml:space="preserve">
TIF guideance assumes minimal FX impact from all non-Japan regions</t>
        </r>
      </text>
    </comment>
    <comment ref="V195" authorId="5">
      <text>
        <r>
          <rPr>
            <b/>
            <sz val="9"/>
            <color indexed="81"/>
            <rFont val="Tahoma"/>
            <family val="2"/>
          </rPr>
          <t>turleamb:</t>
        </r>
        <r>
          <rPr>
            <sz val="9"/>
            <color indexed="81"/>
            <rFont val="Tahoma"/>
            <family val="2"/>
          </rPr>
          <t xml:space="preserve">
per 10-K US comprises 88% of Americas sales</t>
        </r>
      </text>
    </comment>
    <comment ref="AZ197" authorId="5">
      <text>
        <r>
          <rPr>
            <b/>
            <sz val="8"/>
            <color indexed="81"/>
            <rFont val="Tahoma"/>
            <family val="2"/>
          </rPr>
          <t>turleamb:</t>
        </r>
        <r>
          <rPr>
            <sz val="8"/>
            <color indexed="81"/>
            <rFont val="Tahoma"/>
            <family val="2"/>
          </rPr>
          <t xml:space="preserve">
11/26/13: based upon 12 stores out of 120 located in Canada</t>
        </r>
      </text>
    </comment>
    <comment ref="BC197" authorId="5">
      <text>
        <r>
          <rPr>
            <b/>
            <sz val="8"/>
            <color indexed="81"/>
            <rFont val="Tahoma"/>
            <family val="2"/>
          </rPr>
          <t>turleamb:</t>
        </r>
        <r>
          <rPr>
            <sz val="8"/>
            <color indexed="81"/>
            <rFont val="Tahoma"/>
            <family val="2"/>
          </rPr>
          <t xml:space="preserve">
11/26/13: absed upon 10 out of 120 total stores in Mexico</t>
        </r>
      </text>
    </comment>
    <comment ref="BF197" authorId="5">
      <text>
        <r>
          <rPr>
            <b/>
            <sz val="8"/>
            <color indexed="81"/>
            <rFont val="Tahoma"/>
            <family val="2"/>
          </rPr>
          <t>turleamb:</t>
        </r>
        <r>
          <rPr>
            <sz val="8"/>
            <color indexed="81"/>
            <rFont val="Tahoma"/>
            <family val="2"/>
          </rPr>
          <t xml:space="preserve">
11/26/13: based upon 5 out of 120 stores in Brazil</t>
        </r>
      </text>
    </comment>
    <comment ref="R201" authorId="6">
      <text>
        <r>
          <rPr>
            <b/>
            <sz val="9"/>
            <color indexed="81"/>
            <rFont val="Tahoma"/>
            <family val="2"/>
          </rPr>
          <t>Turley, Amber (Research):</t>
        </r>
        <r>
          <rPr>
            <sz val="9"/>
            <color indexed="81"/>
            <rFont val="Tahoma"/>
            <family val="2"/>
          </rPr>
          <t xml:space="preserve">
opened store in Miami Design District</t>
        </r>
      </text>
    </comment>
    <comment ref="AZ204" authorId="5">
      <text>
        <r>
          <rPr>
            <b/>
            <sz val="8"/>
            <color indexed="81"/>
            <rFont val="Tahoma"/>
            <family val="2"/>
          </rPr>
          <t>turleamb:</t>
        </r>
        <r>
          <rPr>
            <sz val="8"/>
            <color indexed="81"/>
            <rFont val="Tahoma"/>
            <family val="2"/>
          </rPr>
          <t xml:space="preserve">
11/26/13: US represents 88% of sales in Americas. based upon 12 stores out of 120 located in Canada</t>
        </r>
      </text>
    </comment>
    <comment ref="BC204" authorId="5">
      <text>
        <r>
          <rPr>
            <b/>
            <sz val="8"/>
            <color indexed="81"/>
            <rFont val="Tahoma"/>
            <family val="2"/>
          </rPr>
          <t>turleamb:</t>
        </r>
        <r>
          <rPr>
            <sz val="8"/>
            <color indexed="81"/>
            <rFont val="Tahoma"/>
            <family val="2"/>
          </rPr>
          <t xml:space="preserve">
11/26/13: US represents 88% of sales in Americas. absed upon 10 out of 120 total stores in Mexico</t>
        </r>
      </text>
    </comment>
    <comment ref="BF204" authorId="5">
      <text>
        <r>
          <rPr>
            <b/>
            <sz val="8"/>
            <color indexed="81"/>
            <rFont val="Tahoma"/>
            <family val="2"/>
          </rPr>
          <t>turleamb:</t>
        </r>
        <r>
          <rPr>
            <sz val="8"/>
            <color indexed="81"/>
            <rFont val="Tahoma"/>
            <family val="2"/>
          </rPr>
          <t xml:space="preserve">
11/26/13: US represents 88% of sales in Americas. based upon 5 out of 120 stores in Brazil</t>
        </r>
      </text>
    </comment>
    <comment ref="AZ211" authorId="5">
      <text>
        <r>
          <rPr>
            <b/>
            <sz val="8"/>
            <color indexed="81"/>
            <rFont val="Tahoma"/>
            <family val="2"/>
          </rPr>
          <t>turleamb:</t>
        </r>
        <r>
          <rPr>
            <sz val="8"/>
            <color indexed="81"/>
            <rFont val="Tahoma"/>
            <family val="2"/>
          </rPr>
          <t xml:space="preserve">
11/26/13: US represents 88% of sales in Americas. based upon 12 stores out of 120 located in Canada</t>
        </r>
      </text>
    </comment>
    <comment ref="BC211" authorId="5">
      <text>
        <r>
          <rPr>
            <b/>
            <sz val="8"/>
            <color indexed="81"/>
            <rFont val="Tahoma"/>
            <family val="2"/>
          </rPr>
          <t>turleamb:</t>
        </r>
        <r>
          <rPr>
            <sz val="8"/>
            <color indexed="81"/>
            <rFont val="Tahoma"/>
            <family val="2"/>
          </rPr>
          <t xml:space="preserve">
11/26/13: US represents 88% of sales in Americas. absed upon 10 out of 120 total stores in Mexico</t>
        </r>
      </text>
    </comment>
    <comment ref="BF211" authorId="5">
      <text>
        <r>
          <rPr>
            <b/>
            <sz val="8"/>
            <color indexed="81"/>
            <rFont val="Tahoma"/>
            <family val="2"/>
          </rPr>
          <t>turleamb:</t>
        </r>
        <r>
          <rPr>
            <sz val="8"/>
            <color indexed="81"/>
            <rFont val="Tahoma"/>
            <family val="2"/>
          </rPr>
          <t xml:space="preserve">
11/26/13: US represents 88% of sales in Americas. based upon 5 out of 120 stores in Brazil</t>
        </r>
      </text>
    </comment>
    <comment ref="AZ218" authorId="5">
      <text>
        <r>
          <rPr>
            <b/>
            <sz val="8"/>
            <color indexed="81"/>
            <rFont val="Tahoma"/>
            <family val="2"/>
          </rPr>
          <t>turleamb:</t>
        </r>
        <r>
          <rPr>
            <sz val="8"/>
            <color indexed="81"/>
            <rFont val="Tahoma"/>
            <family val="2"/>
          </rPr>
          <t xml:space="preserve">
11/26/13: US represents 88% of sales in Americas. based upon 12 stores out of 120 located in Canada</t>
        </r>
      </text>
    </comment>
    <comment ref="BC218" authorId="5">
      <text>
        <r>
          <rPr>
            <b/>
            <sz val="8"/>
            <color indexed="81"/>
            <rFont val="Tahoma"/>
            <family val="2"/>
          </rPr>
          <t>turleamb:</t>
        </r>
        <r>
          <rPr>
            <sz val="8"/>
            <color indexed="81"/>
            <rFont val="Tahoma"/>
            <family val="2"/>
          </rPr>
          <t xml:space="preserve">
11/26/13: US represents 88% of sales in Americas. absed upon 10 out of 120 total stores in Mexico</t>
        </r>
      </text>
    </comment>
    <comment ref="BF218" authorId="5">
      <text>
        <r>
          <rPr>
            <b/>
            <sz val="8"/>
            <color indexed="81"/>
            <rFont val="Tahoma"/>
            <family val="2"/>
          </rPr>
          <t>turleamb:</t>
        </r>
        <r>
          <rPr>
            <sz val="8"/>
            <color indexed="81"/>
            <rFont val="Tahoma"/>
            <family val="2"/>
          </rPr>
          <t xml:space="preserve">
11/26/13: US represents 88% of sales in Americas. based upon 5 out of 120 stores in Brazil</t>
        </r>
      </text>
    </comment>
    <comment ref="AZ225" authorId="5">
      <text>
        <r>
          <rPr>
            <b/>
            <sz val="8"/>
            <color indexed="81"/>
            <rFont val="Tahoma"/>
            <family val="2"/>
          </rPr>
          <t>turleamb:</t>
        </r>
        <r>
          <rPr>
            <sz val="8"/>
            <color indexed="81"/>
            <rFont val="Tahoma"/>
            <family val="2"/>
          </rPr>
          <t xml:space="preserve">
11/26/13: US represents 88% of sales in Americas. based upon 12 stores out of 120 located in Canada</t>
        </r>
      </text>
    </comment>
    <comment ref="BC225" authorId="5">
      <text>
        <r>
          <rPr>
            <b/>
            <sz val="8"/>
            <color indexed="81"/>
            <rFont val="Tahoma"/>
            <family val="2"/>
          </rPr>
          <t>turleamb:</t>
        </r>
        <r>
          <rPr>
            <sz val="8"/>
            <color indexed="81"/>
            <rFont val="Tahoma"/>
            <family val="2"/>
          </rPr>
          <t xml:space="preserve">
11/26/13: US represents 88% of sales in Americas. absed upon 10 out of 120 total stores in Mexico</t>
        </r>
      </text>
    </comment>
    <comment ref="BF225" authorId="5">
      <text>
        <r>
          <rPr>
            <b/>
            <sz val="8"/>
            <color indexed="81"/>
            <rFont val="Tahoma"/>
            <family val="2"/>
          </rPr>
          <t>turleamb:</t>
        </r>
        <r>
          <rPr>
            <sz val="8"/>
            <color indexed="81"/>
            <rFont val="Tahoma"/>
            <family val="2"/>
          </rPr>
          <t xml:space="preserve">
11/26/13: US represents 88% of sales in Americas. based upon 5 out of 120 stores in Brazil</t>
        </r>
      </text>
    </comment>
    <comment ref="H302" authorId="7">
      <text>
        <r>
          <rPr>
            <b/>
            <sz val="8"/>
            <color indexed="81"/>
            <rFont val="Tahoma"/>
            <family val="2"/>
          </rPr>
          <t>pw64212:</t>
        </r>
        <r>
          <rPr>
            <sz val="8"/>
            <color indexed="81"/>
            <rFont val="Tahoma"/>
            <family val="2"/>
          </rPr>
          <t xml:space="preserve">
2006 10K: K-30</t>
        </r>
      </text>
    </comment>
    <comment ref="H309" authorId="7">
      <text>
        <r>
          <rPr>
            <b/>
            <sz val="8"/>
            <color indexed="81"/>
            <rFont val="Tahoma"/>
            <family val="2"/>
          </rPr>
          <t>pw64212:</t>
        </r>
        <r>
          <rPr>
            <sz val="8"/>
            <color indexed="81"/>
            <rFont val="Tahoma"/>
            <family val="2"/>
          </rPr>
          <t xml:space="preserve">
2006 10K: K-30</t>
        </r>
      </text>
    </comment>
    <comment ref="H312" authorId="7">
      <text>
        <r>
          <rPr>
            <b/>
            <sz val="8"/>
            <color indexed="81"/>
            <rFont val="Tahoma"/>
            <family val="2"/>
          </rPr>
          <t>pw64212:</t>
        </r>
        <r>
          <rPr>
            <sz val="8"/>
            <color indexed="81"/>
            <rFont val="Tahoma"/>
            <family val="2"/>
          </rPr>
          <t xml:space="preserve">
20071Q 10Q</t>
        </r>
      </text>
    </comment>
    <comment ref="L354" authorId="1">
      <text>
        <r>
          <rPr>
            <b/>
            <sz val="8"/>
            <color indexed="81"/>
            <rFont val="Tahoma"/>
            <family val="2"/>
          </rPr>
          <t>KG51925:</t>
        </r>
        <r>
          <rPr>
            <sz val="8"/>
            <color indexed="81"/>
            <rFont val="Tahoma"/>
            <family val="2"/>
          </rPr>
          <t xml:space="preserve">
35% of global sales in Asia-Pac, 54% of which is  in Japan
57 Japan
10 china
10 Korea
8 Hong Kong
5 Australia
5 Taiwan
3 Singapore
2 Macau
2 Malasia</t>
        </r>
      </text>
    </comment>
    <comment ref="AZ356" authorId="8">
      <text>
        <r>
          <rPr>
            <b/>
            <sz val="8"/>
            <color indexed="81"/>
            <rFont val="Tahoma"/>
            <family val="2"/>
          </rPr>
          <t>kahng:</t>
        </r>
        <r>
          <rPr>
            <sz val="8"/>
            <color indexed="81"/>
            <rFont val="Tahoma"/>
            <family val="2"/>
          </rPr>
          <t xml:space="preserve">
slightly more than half
</t>
        </r>
      </text>
    </comment>
    <comment ref="BC356" authorId="8">
      <text>
        <r>
          <rPr>
            <b/>
            <sz val="8"/>
            <color indexed="81"/>
            <rFont val="Tahoma"/>
            <family val="2"/>
          </rPr>
          <t>kahng:</t>
        </r>
        <r>
          <rPr>
            <sz val="8"/>
            <color indexed="81"/>
            <rFont val="Tahoma"/>
            <family val="2"/>
          </rPr>
          <t xml:space="preserve">
based on 11 out of 52 stores in Asia Pac</t>
        </r>
      </text>
    </comment>
    <comment ref="AC357" authorId="9">
      <text>
        <r>
          <rPr>
            <b/>
            <sz val="8"/>
            <color indexed="81"/>
            <rFont val="Tahoma"/>
            <family val="2"/>
          </rPr>
          <t>ns66486:</t>
        </r>
        <r>
          <rPr>
            <sz val="8"/>
            <color indexed="81"/>
            <rFont val="Tahoma"/>
            <family val="2"/>
          </rPr>
          <t xml:space="preserve">
+6,400 Shanghai store</t>
        </r>
      </text>
    </comment>
    <comment ref="AC364" authorId="9">
      <text>
        <r>
          <rPr>
            <b/>
            <sz val="8"/>
            <color indexed="81"/>
            <rFont val="Tahoma"/>
            <family val="2"/>
          </rPr>
          <t>ns66486:</t>
        </r>
        <r>
          <rPr>
            <sz val="8"/>
            <color indexed="81"/>
            <rFont val="Tahoma"/>
            <family val="2"/>
          </rPr>
          <t xml:space="preserve">
+6,400 Shanghai store</t>
        </r>
      </text>
    </comment>
    <comment ref="R367" authorId="8">
      <text>
        <r>
          <rPr>
            <b/>
            <sz val="8"/>
            <color indexed="81"/>
            <rFont val="Tahoma"/>
            <family val="2"/>
          </rPr>
          <t>kahng:</t>
        </r>
        <r>
          <rPr>
            <sz val="8"/>
            <color indexed="81"/>
            <rFont val="Tahoma"/>
            <family val="2"/>
          </rPr>
          <t xml:space="preserve">
1/10/12: 15
</t>
        </r>
      </text>
    </comment>
    <comment ref="AZ370" authorId="8">
      <text>
        <r>
          <rPr>
            <b/>
            <sz val="8"/>
            <color indexed="81"/>
            <rFont val="Tahoma"/>
            <family val="2"/>
          </rPr>
          <t>kahng:</t>
        </r>
        <r>
          <rPr>
            <sz val="8"/>
            <color indexed="81"/>
            <rFont val="Tahoma"/>
            <family val="2"/>
          </rPr>
          <t xml:space="preserve">
China is 12% of WW sales and Asia pac is 21%</t>
        </r>
      </text>
    </comment>
    <comment ref="BF370" authorId="6">
      <text>
        <r>
          <rPr>
            <b/>
            <sz val="9"/>
            <color indexed="81"/>
            <rFont val="Tahoma"/>
            <family val="2"/>
          </rPr>
          <t>Turley, Amber (Research):</t>
        </r>
        <r>
          <rPr>
            <sz val="9"/>
            <color indexed="81"/>
            <rFont val="Tahoma"/>
            <family val="2"/>
          </rPr>
          <t xml:space="preserve">
5 Australia stores out of 66 Asia Pac stores</t>
        </r>
      </text>
    </comment>
    <comment ref="F371" authorId="3">
      <text>
        <r>
          <rPr>
            <b/>
            <sz val="8"/>
            <color indexed="81"/>
            <rFont val="Tahoma"/>
            <family val="2"/>
          </rPr>
          <t>P Kahng:</t>
        </r>
        <r>
          <rPr>
            <sz val="8"/>
            <color indexed="81"/>
            <rFont val="Tahoma"/>
            <family val="2"/>
          </rPr>
          <t xml:space="preserve">
est was 1.9%</t>
        </r>
      </text>
    </comment>
    <comment ref="R374" authorId="4">
      <text>
        <r>
          <rPr>
            <b/>
            <sz val="8"/>
            <color indexed="81"/>
            <rFont val="Tahoma"/>
            <family val="2"/>
          </rPr>
          <t>kimberlg:</t>
        </r>
        <r>
          <rPr>
            <sz val="8"/>
            <color indexed="81"/>
            <rFont val="Tahoma"/>
            <family val="2"/>
          </rPr>
          <t xml:space="preserve">
1/10/12: NO EXTRA WEEK - TIF does not follow the retail calendar
1/10/12: $275.5M excl extra week. Adjusted 40% non-comp productivity est to 65% to add $12M for extra week's sales assuming $60M total co extra week's sales w/ Asia ex J at 21% of total </t>
        </r>
      </text>
    </comment>
    <comment ref="AZ377" authorId="5">
      <text>
        <r>
          <rPr>
            <b/>
            <sz val="8"/>
            <color indexed="81"/>
            <rFont val="Tahoma"/>
            <family val="2"/>
          </rPr>
          <t xml:space="preserve">turleamb:
</t>
        </r>
        <r>
          <rPr>
            <sz val="8"/>
            <color indexed="81"/>
            <rFont val="Tahoma"/>
            <family val="2"/>
          </rPr>
          <t>11/25/13: Asia-Pac has 67 stores, represents 24% of sales and we estiamte about 50% of that comes from China
26 China
9 HK
8 Taiwan
2 Macau
14 Korea
6 Australia
5 Singapore
2 Malaysia</t>
        </r>
      </text>
    </comment>
    <comment ref="BC377" authorId="6">
      <text>
        <r>
          <rPr>
            <b/>
            <sz val="9"/>
            <color indexed="81"/>
            <rFont val="Tahoma"/>
            <family val="2"/>
          </rPr>
          <t>Turley, Amber (Research):</t>
        </r>
        <r>
          <rPr>
            <sz val="9"/>
            <color indexed="81"/>
            <rFont val="Tahoma"/>
            <family val="2"/>
          </rPr>
          <t xml:space="preserve">
14 out of 72 stores located in Korea
26 China
9 HK
8 Taiwan
2 Macau
14 Korea
6 Australia
5 Singapore
2 Malaysia</t>
        </r>
      </text>
    </comment>
    <comment ref="BF377" authorId="6">
      <text>
        <r>
          <rPr>
            <b/>
            <sz val="9"/>
            <color indexed="81"/>
            <rFont val="Tahoma"/>
            <family val="2"/>
          </rPr>
          <t>Turley, Amber (Research):</t>
        </r>
        <r>
          <rPr>
            <sz val="9"/>
            <color indexed="81"/>
            <rFont val="Tahoma"/>
            <family val="2"/>
          </rPr>
          <t xml:space="preserve">
6 Australia stores out of 72 Asia Pac stores, assume ~10% of sales</t>
        </r>
      </text>
    </comment>
    <comment ref="D381" authorId="5">
      <text>
        <r>
          <rPr>
            <b/>
            <sz val="9"/>
            <color indexed="81"/>
            <rFont val="Tahoma"/>
            <family val="2"/>
          </rPr>
          <t>turleamb:</t>
        </r>
        <r>
          <rPr>
            <sz val="9"/>
            <color indexed="81"/>
            <rFont val="Tahoma"/>
            <family val="2"/>
          </rPr>
          <t xml:space="preserve">
3/21/14: due to increased jewelry unit volume</t>
        </r>
      </text>
    </comment>
    <comment ref="D382" authorId="2">
      <text>
        <r>
          <rPr>
            <b/>
            <sz val="8"/>
            <color indexed="81"/>
            <rFont val="Tahoma"/>
            <family val="2"/>
          </rPr>
          <t>solejay:</t>
        </r>
        <r>
          <rPr>
            <sz val="8"/>
            <color indexed="81"/>
            <rFont val="Tahoma"/>
            <family val="2"/>
          </rPr>
          <t xml:space="preserve">
Increase due to increased jewelry unit volume and price increases
TIF planning worldwide sales +6-8% in dollars, and +HSD in common currency.  +mid-teens in Asia-Pac</t>
        </r>
      </text>
    </comment>
    <comment ref="F382" authorId="2">
      <text>
        <r>
          <rPr>
            <b/>
            <sz val="8"/>
            <color indexed="81"/>
            <rFont val="Tahoma"/>
            <family val="2"/>
          </rPr>
          <t>solejay:</t>
        </r>
        <r>
          <rPr>
            <sz val="8"/>
            <color indexed="81"/>
            <rFont val="Tahoma"/>
            <family val="2"/>
          </rPr>
          <t xml:space="preserve">
TIF guideance assumes minimal FX impact from all non-Japan regions</t>
        </r>
      </text>
    </comment>
    <comment ref="V382" authorId="5">
      <text>
        <r>
          <rPr>
            <b/>
            <sz val="9"/>
            <color indexed="81"/>
            <rFont val="Tahoma"/>
            <family val="2"/>
          </rPr>
          <t>turleamb:</t>
        </r>
        <r>
          <rPr>
            <sz val="9"/>
            <color indexed="81"/>
            <rFont val="Tahoma"/>
            <family val="2"/>
          </rPr>
          <t xml:space="preserve">
Greater China represents more than half of Asia-Pac sales</t>
        </r>
      </text>
    </comment>
    <comment ref="AZ384" authorId="8">
      <text>
        <r>
          <rPr>
            <b/>
            <sz val="8"/>
            <color indexed="81"/>
            <rFont val="Tahoma"/>
            <family val="2"/>
          </rPr>
          <t>kahng:</t>
        </r>
        <r>
          <rPr>
            <sz val="8"/>
            <color indexed="81"/>
            <rFont val="Tahoma"/>
            <family val="2"/>
          </rPr>
          <t xml:space="preserve">
Asia is ~23% of WW sales and China represents more than half of that according to TIF. We estimate since 45 out of 72 stores are in China that China comprises 63% of Asia sales</t>
        </r>
      </text>
    </comment>
    <comment ref="BC384" authorId="6">
      <text>
        <r>
          <rPr>
            <b/>
            <sz val="9"/>
            <color indexed="81"/>
            <rFont val="Tahoma"/>
            <family val="2"/>
          </rPr>
          <t>Turley, Amber (Research):</t>
        </r>
        <r>
          <rPr>
            <sz val="9"/>
            <color indexed="81"/>
            <rFont val="Tahoma"/>
            <family val="2"/>
          </rPr>
          <t xml:space="preserve">
14 out of 73 stores in Korea, estimate ~20%</t>
        </r>
      </text>
    </comment>
    <comment ref="BF384" authorId="6">
      <text>
        <r>
          <rPr>
            <b/>
            <sz val="9"/>
            <color indexed="81"/>
            <rFont val="Tahoma"/>
            <family val="2"/>
          </rPr>
          <t>Turley, Amber (Research):</t>
        </r>
        <r>
          <rPr>
            <sz val="9"/>
            <color indexed="81"/>
            <rFont val="Tahoma"/>
            <family val="2"/>
          </rPr>
          <t xml:space="preserve">
7 Australia stores out of 73 Asia Pac stores, assume ~10% of sales</t>
        </r>
      </text>
    </comment>
    <comment ref="F388" authorId="6">
      <text>
        <r>
          <rPr>
            <b/>
            <sz val="9"/>
            <color indexed="81"/>
            <rFont val="Tahoma"/>
            <family val="2"/>
          </rPr>
          <t>Turley, Amber (Research):</t>
        </r>
        <r>
          <rPr>
            <sz val="9"/>
            <color indexed="81"/>
            <rFont val="Tahoma"/>
            <family val="2"/>
          </rPr>
          <t xml:space="preserve">
1/12/15: holiday sales showed a -3% F/X impact</t>
        </r>
      </text>
    </comment>
    <comment ref="D389" authorId="2">
      <text>
        <r>
          <rPr>
            <b/>
            <sz val="8"/>
            <color indexed="81"/>
            <rFont val="Tahoma"/>
            <family val="2"/>
          </rPr>
          <t>solejay:</t>
        </r>
        <r>
          <rPr>
            <sz val="8"/>
            <color indexed="81"/>
            <rFont val="Tahoma"/>
            <family val="2"/>
          </rPr>
          <t xml:space="preserve">
TIF planning worldwide sales +6-8% in dollars, and +HSD in common currency.  +mid-teens in Asia-Pac</t>
        </r>
      </text>
    </comment>
    <comment ref="BF391" authorId="6">
      <text>
        <r>
          <rPr>
            <b/>
            <sz val="9"/>
            <color indexed="81"/>
            <rFont val="Tahoma"/>
            <family val="2"/>
          </rPr>
          <t>Turley, Amber (Research):</t>
        </r>
        <r>
          <rPr>
            <sz val="9"/>
            <color indexed="81"/>
            <rFont val="Tahoma"/>
            <family val="2"/>
          </rPr>
          <t xml:space="preserve">
7 Australia stores out of 73 Asia Pac stores, assume ~10% of sales</t>
        </r>
      </text>
    </comment>
    <comment ref="D396" authorId="2">
      <text>
        <r>
          <rPr>
            <b/>
            <sz val="8"/>
            <color indexed="81"/>
            <rFont val="Tahoma"/>
            <family val="2"/>
          </rPr>
          <t>solejay:</t>
        </r>
        <r>
          <rPr>
            <sz val="8"/>
            <color indexed="81"/>
            <rFont val="Tahoma"/>
            <family val="2"/>
          </rPr>
          <t xml:space="preserve">
TIF planning worldwide sales +6-8% in dollars, and +HSD in common currency.  +mid-teens in Asia-Pac</t>
        </r>
      </text>
    </comment>
    <comment ref="BF398" authorId="6">
      <text>
        <r>
          <rPr>
            <b/>
            <sz val="9"/>
            <color indexed="81"/>
            <rFont val="Tahoma"/>
            <family val="2"/>
          </rPr>
          <t>Turley, Amber (Research):</t>
        </r>
        <r>
          <rPr>
            <sz val="9"/>
            <color indexed="81"/>
            <rFont val="Tahoma"/>
            <family val="2"/>
          </rPr>
          <t xml:space="preserve">
7 Australia stores out of 73 Asia Pac stores, assume ~10% of sales</t>
        </r>
      </text>
    </comment>
    <comment ref="BF405" authorId="6">
      <text>
        <r>
          <rPr>
            <b/>
            <sz val="9"/>
            <color indexed="81"/>
            <rFont val="Tahoma"/>
            <family val="2"/>
          </rPr>
          <t>Turley, Amber (Research):</t>
        </r>
        <r>
          <rPr>
            <sz val="9"/>
            <color indexed="81"/>
            <rFont val="Tahoma"/>
            <family val="2"/>
          </rPr>
          <t xml:space="preserve">
7 Australia stores out of 73 Asia Pac stores, assume ~10% of sales</t>
        </r>
      </text>
    </comment>
    <comment ref="BF412" authorId="6">
      <text>
        <r>
          <rPr>
            <b/>
            <sz val="9"/>
            <color indexed="81"/>
            <rFont val="Tahoma"/>
            <family val="2"/>
          </rPr>
          <t>Turley, Amber (Research):</t>
        </r>
        <r>
          <rPr>
            <sz val="9"/>
            <color indexed="81"/>
            <rFont val="Tahoma"/>
            <family val="2"/>
          </rPr>
          <t xml:space="preserve">
7 Australia stores out of 73 Asia Pac stores, assume ~10% of sales</t>
        </r>
      </text>
    </comment>
    <comment ref="AZ443" authorId="8">
      <text>
        <r>
          <rPr>
            <b/>
            <sz val="8"/>
            <color indexed="81"/>
            <rFont val="Tahoma"/>
            <family val="2"/>
          </rPr>
          <t>kahng:</t>
        </r>
        <r>
          <rPr>
            <sz val="8"/>
            <color indexed="81"/>
            <rFont val="Tahoma"/>
            <family val="2"/>
          </rPr>
          <t xml:space="preserve">
UK is 51% of Europe</t>
        </r>
      </text>
    </comment>
    <comment ref="L448" authorId="1">
      <text>
        <r>
          <rPr>
            <b/>
            <sz val="8"/>
            <color indexed="81"/>
            <rFont val="Tahoma"/>
            <family val="2"/>
          </rPr>
          <t>KG51925:</t>
        </r>
        <r>
          <rPr>
            <sz val="8"/>
            <color indexed="81"/>
            <rFont val="Tahoma"/>
            <family val="2"/>
          </rPr>
          <t xml:space="preserve">
Europe = 12% of total sales, 51% of which is UK 
9 UK
5 Germany
4 Italy
3 France
1 Austria
1 Belgium
1 Ireland
1 Netherlands
1 Spain
1 Switzerland</t>
        </r>
      </text>
    </comment>
    <comment ref="AZ457" authorId="8">
      <text>
        <r>
          <rPr>
            <b/>
            <sz val="8"/>
            <color indexed="81"/>
            <rFont val="Tahoma"/>
            <family val="2"/>
          </rPr>
          <t>kahng:</t>
        </r>
        <r>
          <rPr>
            <sz val="8"/>
            <color indexed="81"/>
            <rFont val="Tahoma"/>
            <family val="2"/>
          </rPr>
          <t xml:space="preserve">
UK is slightly less than half</t>
        </r>
      </text>
    </comment>
    <comment ref="F465" authorId="3">
      <text>
        <r>
          <rPr>
            <b/>
            <sz val="8"/>
            <color indexed="81"/>
            <rFont val="Tahoma"/>
            <family val="2"/>
          </rPr>
          <t>P Kahng:</t>
        </r>
        <r>
          <rPr>
            <sz val="8"/>
            <color indexed="81"/>
            <rFont val="Tahoma"/>
            <family val="2"/>
          </rPr>
          <t xml:space="preserve">
est was -4%</t>
        </r>
      </text>
    </comment>
    <comment ref="R468" authorId="4">
      <text>
        <r>
          <rPr>
            <b/>
            <sz val="8"/>
            <color indexed="81"/>
            <rFont val="Tahoma"/>
            <family val="2"/>
          </rPr>
          <t>kimberlg:</t>
        </r>
        <r>
          <rPr>
            <sz val="8"/>
            <color indexed="81"/>
            <rFont val="Tahoma"/>
            <family val="2"/>
          </rPr>
          <t xml:space="preserve">
1/10/12: NO EXTRA WEEK - TIF does not follow the retail calendar
1/10/12: $154.5M excl extra week. Adjusted 40% non-comp productivity est to 70% to add $7M for extra week's sales assuming $60M total co extra week's sales w/ Europe at 12% of total </t>
        </r>
      </text>
    </comment>
    <comment ref="H473" authorId="5">
      <text>
        <r>
          <rPr>
            <b/>
            <sz val="8"/>
            <color indexed="81"/>
            <rFont val="Tahoma"/>
            <family val="2"/>
          </rPr>
          <t>turleamb:</t>
        </r>
        <r>
          <rPr>
            <sz val="8"/>
            <color indexed="81"/>
            <rFont val="Tahoma"/>
            <family val="2"/>
          </rPr>
          <t xml:space="preserve">
8/27/13: Our estimates are that UK represents about 40-45% of Europe </t>
        </r>
      </text>
    </comment>
    <comment ref="R475" authorId="4">
      <text>
        <r>
          <rPr>
            <b/>
            <sz val="8"/>
            <color indexed="81"/>
            <rFont val="Tahoma"/>
            <family val="2"/>
          </rPr>
          <t>kimberlg:</t>
        </r>
        <r>
          <rPr>
            <sz val="8"/>
            <color indexed="81"/>
            <rFont val="Tahoma"/>
            <family val="2"/>
          </rPr>
          <t xml:space="preserve">
1/10/12: NO EXTRA WEEK - TIF does not follow the retail calendar
1/10/12: $154.5M excl extra week. Adjusted 40% non-comp productivity est to 70% to add $7M for extra week's sales assuming $60M total co extra week's sales w/ Europe at 12% of total </t>
        </r>
      </text>
    </comment>
    <comment ref="D476" authorId="2">
      <text>
        <r>
          <rPr>
            <b/>
            <sz val="8"/>
            <color indexed="81"/>
            <rFont val="Tahoma"/>
            <family val="2"/>
          </rPr>
          <t>solejay:</t>
        </r>
        <r>
          <rPr>
            <sz val="8"/>
            <color indexed="81"/>
            <rFont val="Tahoma"/>
            <family val="2"/>
          </rPr>
          <t xml:space="preserve">
TIF planning worldwide sales +6-8% in dollars, and +HSD in common currency.  No specific EU guidance</t>
        </r>
      </text>
    </comment>
    <comment ref="F476" authorId="2">
      <text>
        <r>
          <rPr>
            <b/>
            <sz val="8"/>
            <color indexed="81"/>
            <rFont val="Tahoma"/>
            <family val="2"/>
          </rPr>
          <t>solejay:</t>
        </r>
        <r>
          <rPr>
            <sz val="8"/>
            <color indexed="81"/>
            <rFont val="Tahoma"/>
            <family val="2"/>
          </rPr>
          <t xml:space="preserve">
TIF guideance assumes minimal FX impact from all non-Japan regions</t>
        </r>
      </text>
    </comment>
    <comment ref="V480" authorId="5">
      <text>
        <r>
          <rPr>
            <b/>
            <sz val="9"/>
            <color indexed="81"/>
            <rFont val="Tahoma"/>
            <family val="2"/>
          </rPr>
          <t>turleamb:</t>
        </r>
        <r>
          <rPr>
            <sz val="9"/>
            <color indexed="81"/>
            <rFont val="Tahoma"/>
            <family val="2"/>
          </rPr>
          <t xml:space="preserve">
assumed ChampsElysees store opens midway through 2Q. Normal stores ~$3m and Champs Elysees ~$3m</t>
        </r>
      </text>
    </comment>
    <comment ref="V481" authorId="5">
      <text>
        <r>
          <rPr>
            <b/>
            <sz val="9"/>
            <color indexed="81"/>
            <rFont val="Tahoma"/>
            <family val="2"/>
          </rPr>
          <t>turleamb:</t>
        </r>
        <r>
          <rPr>
            <sz val="9"/>
            <color indexed="81"/>
            <rFont val="Tahoma"/>
            <family val="2"/>
          </rPr>
          <t xml:space="preserve">
assume Champs Elysees contributes $7m and normal stores ~$2.9m</t>
        </r>
      </text>
    </comment>
    <comment ref="F482" authorId="6">
      <text>
        <r>
          <rPr>
            <b/>
            <sz val="9"/>
            <color indexed="81"/>
            <rFont val="Tahoma"/>
            <family val="2"/>
          </rPr>
          <t>Turley, Amber (Research):</t>
        </r>
        <r>
          <rPr>
            <sz val="9"/>
            <color indexed="81"/>
            <rFont val="Tahoma"/>
            <family val="2"/>
          </rPr>
          <t xml:space="preserve">
1/12/15: Holiday sales showed a -5% F/X impact</t>
        </r>
      </text>
    </comment>
    <comment ref="V482" authorId="5">
      <text>
        <r>
          <rPr>
            <b/>
            <sz val="9"/>
            <color indexed="81"/>
            <rFont val="Tahoma"/>
            <family val="2"/>
          </rPr>
          <t>turleamb:</t>
        </r>
        <r>
          <rPr>
            <sz val="9"/>
            <color indexed="81"/>
            <rFont val="Tahoma"/>
            <family val="2"/>
          </rPr>
          <t xml:space="preserve">
assume 1 normal store contributes ~$4.4m and Camps Elysees contributes $9m</t>
        </r>
      </text>
    </comment>
    <comment ref="D483" authorId="2">
      <text>
        <r>
          <rPr>
            <b/>
            <sz val="8"/>
            <color indexed="81"/>
            <rFont val="Tahoma"/>
            <family val="2"/>
          </rPr>
          <t>solejay:</t>
        </r>
        <r>
          <rPr>
            <sz val="8"/>
            <color indexed="81"/>
            <rFont val="Tahoma"/>
            <family val="2"/>
          </rPr>
          <t xml:space="preserve">
TIF planning worldwide sales +6-8% in dollars, and +HSD in common currency.  No specific EU guidance</t>
        </r>
      </text>
    </comment>
    <comment ref="D534" authorId="4">
      <text>
        <r>
          <rPr>
            <b/>
            <sz val="8"/>
            <color indexed="81"/>
            <rFont val="Tahoma"/>
            <family val="2"/>
          </rPr>
          <t>kimberlg:</t>
        </r>
        <r>
          <rPr>
            <sz val="8"/>
            <color indexed="81"/>
            <rFont val="Tahoma"/>
            <family val="2"/>
          </rPr>
          <t xml:space="preserve">
guided to +slightly</t>
        </r>
      </text>
    </comment>
    <comment ref="F545" authorId="3">
      <text>
        <r>
          <rPr>
            <b/>
            <sz val="8"/>
            <color indexed="81"/>
            <rFont val="Tahoma"/>
            <family val="2"/>
          </rPr>
          <t>P Kahng:</t>
        </r>
        <r>
          <rPr>
            <sz val="8"/>
            <color indexed="81"/>
            <rFont val="Tahoma"/>
            <family val="2"/>
          </rPr>
          <t xml:space="preserve">
est was +2%</t>
        </r>
      </text>
    </comment>
    <comment ref="F548" authorId="4">
      <text>
        <r>
          <rPr>
            <b/>
            <sz val="8"/>
            <color indexed="81"/>
            <rFont val="Tahoma"/>
            <family val="2"/>
          </rPr>
          <t>kimberlg:</t>
        </r>
        <r>
          <rPr>
            <sz val="8"/>
            <color indexed="81"/>
            <rFont val="Tahoma"/>
            <family val="2"/>
          </rPr>
          <t xml:space="preserve">
1/10/12: NO EXTRA WEEK - TIF does not follow the retail calendar
1/10/12: $216M excl extra week at 3% trans effect - changed to 7.2% trans effect to add $10M for extra week's sales assuming $60M total co extra week's sales w/ Japan at 17% of total </t>
        </r>
      </text>
    </comment>
    <comment ref="V548" authorId="4">
      <text>
        <r>
          <rPr>
            <b/>
            <sz val="8"/>
            <color indexed="81"/>
            <rFont val="Tahoma"/>
            <family val="2"/>
          </rPr>
          <t>kimberlg:</t>
        </r>
        <r>
          <rPr>
            <sz val="8"/>
            <color indexed="81"/>
            <rFont val="Tahoma"/>
            <family val="2"/>
          </rPr>
          <t xml:space="preserve">
1/10/12: NO EXTRA WEEK - TIF does not follow the retail calendar
1/10/12: $216M excl extra week at 3% trans effect - changed to 7.2% trans effect to add $10M for extra week's sales assuming $60M total co extra week's sales w/ Japan at 17% of total </t>
        </r>
      </text>
    </comment>
    <comment ref="J555" authorId="5">
      <text>
        <r>
          <rPr>
            <b/>
            <sz val="8"/>
            <color indexed="81"/>
            <rFont val="Tahoma"/>
            <family val="2"/>
          </rPr>
          <t>turleamb:</t>
        </r>
        <r>
          <rPr>
            <sz val="8"/>
            <color indexed="81"/>
            <rFont val="Tahoma"/>
            <family val="2"/>
          </rPr>
          <t xml:space="preserve">
closing stores</t>
        </r>
      </text>
    </comment>
    <comment ref="D556" authorId="2">
      <text>
        <r>
          <rPr>
            <b/>
            <sz val="8"/>
            <color indexed="81"/>
            <rFont val="Tahoma"/>
            <family val="2"/>
          </rPr>
          <t>solejay:</t>
        </r>
        <r>
          <rPr>
            <sz val="8"/>
            <color indexed="81"/>
            <rFont val="Tahoma"/>
            <family val="2"/>
          </rPr>
          <t xml:space="preserve">
TIF guide for low-teens decline when translated</t>
        </r>
      </text>
    </comment>
    <comment ref="F556" authorId="2">
      <text>
        <r>
          <rPr>
            <b/>
            <sz val="8"/>
            <color indexed="81"/>
            <rFont val="Tahoma"/>
            <family val="2"/>
          </rPr>
          <t>solejay:</t>
        </r>
        <r>
          <rPr>
            <sz val="8"/>
            <color indexed="81"/>
            <rFont val="Tahoma"/>
            <family val="2"/>
          </rPr>
          <t xml:space="preserve">
TIF guide to a -15% effect</t>
        </r>
      </text>
    </comment>
    <comment ref="H556" authorId="2">
      <text>
        <r>
          <rPr>
            <b/>
            <sz val="8"/>
            <color indexed="81"/>
            <rFont val="Tahoma"/>
            <family val="2"/>
          </rPr>
          <t>solejay:</t>
        </r>
        <r>
          <rPr>
            <sz val="8"/>
            <color indexed="81"/>
            <rFont val="Tahoma"/>
            <family val="2"/>
          </rPr>
          <t xml:space="preserve">
TIF guide up LSD common currency</t>
        </r>
      </text>
    </comment>
    <comment ref="F559" authorId="5">
      <text>
        <r>
          <rPr>
            <b/>
            <sz val="9"/>
            <color indexed="81"/>
            <rFont val="Tahoma"/>
            <family val="2"/>
          </rPr>
          <t>turleamb:</t>
        </r>
        <r>
          <rPr>
            <sz val="9"/>
            <color indexed="81"/>
            <rFont val="Tahoma"/>
            <family val="2"/>
          </rPr>
          <t xml:space="preserve">
TIF is planning for 105 yen. Used MS global FX forecasts to determine the difference</t>
        </r>
      </text>
    </comment>
    <comment ref="F562" authorId="6">
      <text>
        <r>
          <rPr>
            <b/>
            <sz val="9"/>
            <color indexed="81"/>
            <rFont val="Tahoma"/>
            <family val="2"/>
          </rPr>
          <t>Turley, Amber (Research):</t>
        </r>
        <r>
          <rPr>
            <sz val="9"/>
            <color indexed="81"/>
            <rFont val="Tahoma"/>
            <family val="2"/>
          </rPr>
          <t xml:space="preserve">
1/12/15: Holiday sales showed a -13% F/X impact</t>
        </r>
      </text>
    </comment>
  </commentList>
</comments>
</file>

<file path=xl/comments4.xml><?xml version="1.0" encoding="utf-8"?>
<comments xmlns="http://schemas.openxmlformats.org/spreadsheetml/2006/main">
  <authors>
    <author>pw64212</author>
    <author>Morry Brown</author>
    <author>mm98285</author>
    <author>NS66486</author>
    <author>nicholjs</author>
    <author>marchant</author>
    <author>solejay</author>
    <author>kimberlg</author>
    <author>P Kahng</author>
    <author>casselau</author>
    <author>Cassel, Lauren (Research)</author>
  </authors>
  <commentList>
    <comment ref="AN8" authorId="0">
      <text>
        <r>
          <rPr>
            <b/>
            <sz val="8"/>
            <color indexed="81"/>
            <rFont val="Tahoma"/>
            <family val="2"/>
          </rPr>
          <t>pw64212:</t>
        </r>
        <r>
          <rPr>
            <sz val="8"/>
            <color indexed="81"/>
            <rFont val="Tahoma"/>
            <family val="2"/>
          </rPr>
          <t xml:space="preserve">
consists of U.S. internet, catelog and B2B sales</t>
        </r>
      </text>
    </comment>
    <comment ref="AQ8" authorId="0">
      <text>
        <r>
          <rPr>
            <b/>
            <sz val="8"/>
            <color indexed="81"/>
            <rFont val="Tahoma"/>
            <family val="2"/>
          </rPr>
          <t>pw64212:</t>
        </r>
        <r>
          <rPr>
            <sz val="8"/>
            <color indexed="81"/>
            <rFont val="Tahoma"/>
            <family val="2"/>
          </rPr>
          <t xml:space="preserve">
including sales of specialty stores and wholesale diamond</t>
        </r>
      </text>
    </comment>
    <comment ref="AQ100" authorId="0">
      <text>
        <r>
          <rPr>
            <b/>
            <sz val="8"/>
            <color indexed="81"/>
            <rFont val="Tahoma"/>
            <family val="2"/>
          </rPr>
          <t>pw64212:</t>
        </r>
        <r>
          <rPr>
            <sz val="8"/>
            <color indexed="81"/>
            <rFont val="Tahoma"/>
            <family val="2"/>
          </rPr>
          <t xml:space="preserve">
2002 10K: Specialty retail sales accounted for 1.4 % of net sales in Fiscal 2002</t>
        </r>
      </text>
    </comment>
    <comment ref="AN107" authorId="0">
      <text>
        <r>
          <rPr>
            <b/>
            <sz val="8"/>
            <color indexed="81"/>
            <rFont val="Tahoma"/>
            <family val="2"/>
          </rPr>
          <t>pw64212:</t>
        </r>
        <r>
          <rPr>
            <sz val="8"/>
            <color indexed="81"/>
            <rFont val="Tahoma"/>
            <family val="2"/>
          </rPr>
          <t xml:space="preserve">
2005 10K</t>
        </r>
      </text>
    </comment>
    <comment ref="AQ107" authorId="0">
      <text>
        <r>
          <rPr>
            <b/>
            <sz val="8"/>
            <color indexed="81"/>
            <rFont val="Tahoma"/>
            <family val="2"/>
          </rPr>
          <t>pw64212:</t>
        </r>
        <r>
          <rPr>
            <sz val="8"/>
            <color indexed="81"/>
            <rFont val="Tahoma"/>
            <family val="2"/>
          </rPr>
          <t xml:space="preserve">
2005 10K</t>
        </r>
      </text>
    </comment>
    <comment ref="AN114" authorId="0">
      <text>
        <r>
          <rPr>
            <b/>
            <sz val="8"/>
            <color indexed="81"/>
            <rFont val="Tahoma"/>
            <family val="2"/>
          </rPr>
          <t>pw64212:</t>
        </r>
        <r>
          <rPr>
            <sz val="8"/>
            <color indexed="81"/>
            <rFont val="Tahoma"/>
            <family val="2"/>
          </rPr>
          <t xml:space="preserve">
2006 10K</t>
        </r>
      </text>
    </comment>
    <comment ref="AQ114" authorId="0">
      <text>
        <r>
          <rPr>
            <b/>
            <sz val="8"/>
            <color indexed="81"/>
            <rFont val="Tahoma"/>
            <family val="2"/>
          </rPr>
          <t>pw64212:</t>
        </r>
        <r>
          <rPr>
            <sz val="8"/>
            <color indexed="81"/>
            <rFont val="Tahoma"/>
            <family val="2"/>
          </rPr>
          <t xml:space="preserve">
2006 10K</t>
        </r>
      </text>
    </comment>
    <comment ref="F118" authorId="1">
      <text>
        <r>
          <rPr>
            <b/>
            <sz val="8"/>
            <color indexed="81"/>
            <rFont val="Tahoma"/>
            <family val="2"/>
          </rPr>
          <t>Morry Brown:</t>
        </r>
        <r>
          <rPr>
            <sz val="8"/>
            <color indexed="81"/>
            <rFont val="Tahoma"/>
            <family val="2"/>
          </rPr>
          <t xml:space="preserve">
5/05: per 1Q release, expect full year US comps +M to HSD and full year japan comps +LSD (in yen)</t>
        </r>
      </text>
    </comment>
    <comment ref="F119" authorId="1">
      <text>
        <r>
          <rPr>
            <b/>
            <sz val="8"/>
            <color indexed="81"/>
            <rFont val="Tahoma"/>
            <family val="2"/>
          </rPr>
          <t>Morry Brown:</t>
        </r>
        <r>
          <rPr>
            <sz val="8"/>
            <color indexed="81"/>
            <rFont val="Tahoma"/>
            <family val="2"/>
          </rPr>
          <t xml:space="preserve">
5/05: per 1Q release, expect full year US comps +M to HSD and full year japan comps +LSD (in yen)</t>
        </r>
      </text>
    </comment>
    <comment ref="F120" authorId="1">
      <text>
        <r>
          <rPr>
            <b/>
            <sz val="8"/>
            <color indexed="81"/>
            <rFont val="Tahoma"/>
            <family val="2"/>
          </rPr>
          <t>Morry Brown:</t>
        </r>
        <r>
          <rPr>
            <sz val="8"/>
            <color indexed="81"/>
            <rFont val="Tahoma"/>
            <family val="2"/>
          </rPr>
          <t xml:space="preserve">
5/05: per 1Q release, expect full year US comps +M to HSD and full year japan comps +LSD (in yen)</t>
        </r>
      </text>
    </comment>
    <comment ref="F121" authorId="1">
      <text>
        <r>
          <rPr>
            <b/>
            <sz val="8"/>
            <color indexed="81"/>
            <rFont val="Tahoma"/>
            <family val="2"/>
          </rPr>
          <t xml:space="preserve">Ping Wang:
</t>
        </r>
        <r>
          <rPr>
            <sz val="8"/>
            <color indexed="81"/>
            <rFont val="Tahoma"/>
            <family val="2"/>
          </rPr>
          <t xml:space="preserve">2005 10K: K28
Worldwide comparable store sales rose 5% on a constant-exchange-rate basis </t>
        </r>
      </text>
    </comment>
    <comment ref="AN121" authorId="0">
      <text>
        <r>
          <rPr>
            <b/>
            <sz val="8"/>
            <color indexed="81"/>
            <rFont val="Tahoma"/>
            <family val="2"/>
          </rPr>
          <t>pw64212:</t>
        </r>
        <r>
          <rPr>
            <sz val="8"/>
            <color indexed="81"/>
            <rFont val="Tahoma"/>
            <family val="2"/>
          </rPr>
          <t xml:space="preserve">
2006 10K</t>
        </r>
      </text>
    </comment>
    <comment ref="AQ121" authorId="0">
      <text>
        <r>
          <rPr>
            <b/>
            <sz val="8"/>
            <color indexed="81"/>
            <rFont val="Tahoma"/>
            <family val="2"/>
          </rPr>
          <t>pw64212:</t>
        </r>
        <r>
          <rPr>
            <sz val="8"/>
            <color indexed="81"/>
            <rFont val="Tahoma"/>
            <family val="2"/>
          </rPr>
          <t xml:space="preserve">
2006 10K</t>
        </r>
      </text>
    </comment>
    <comment ref="F128" authorId="1">
      <text>
        <r>
          <rPr>
            <b/>
            <sz val="8"/>
            <color indexed="81"/>
            <rFont val="Tahoma"/>
            <family val="2"/>
          </rPr>
          <t xml:space="preserve">Ping Wang:
</t>
        </r>
        <r>
          <rPr>
            <sz val="8"/>
            <color indexed="81"/>
            <rFont val="Tahoma"/>
            <family val="2"/>
          </rPr>
          <t>2006 10K: Worldwide comparable store sales increased 6% on a constant-exchange-rate basis (see Non-GAAP Measures). Comparable TIFFANY &amp; CO. store sales in the U.S. increased 5%. Comparable international store sales increased 8%. Growth in most countries more than offset weakness in Japan.</t>
        </r>
      </text>
    </comment>
    <comment ref="AN128" authorId="0">
      <text>
        <r>
          <rPr>
            <b/>
            <sz val="8"/>
            <color indexed="81"/>
            <rFont val="Tahoma"/>
            <family val="2"/>
          </rPr>
          <t>pw64212:</t>
        </r>
        <r>
          <rPr>
            <sz val="8"/>
            <color indexed="81"/>
            <rFont val="Tahoma"/>
            <family val="2"/>
          </rPr>
          <t xml:space="preserve">
2006 10K</t>
        </r>
      </text>
    </comment>
    <comment ref="AQ128" authorId="0">
      <text>
        <r>
          <rPr>
            <b/>
            <sz val="8"/>
            <color indexed="81"/>
            <rFont val="Tahoma"/>
            <family val="2"/>
          </rPr>
          <t>pw64212:</t>
        </r>
        <r>
          <rPr>
            <sz val="8"/>
            <color indexed="81"/>
            <rFont val="Tahoma"/>
            <family val="2"/>
          </rPr>
          <t xml:space="preserve">
2006 10K</t>
        </r>
      </text>
    </comment>
    <comment ref="F135" authorId="2">
      <text>
        <r>
          <rPr>
            <b/>
            <sz val="8"/>
            <color indexed="81"/>
            <rFont val="Tahoma"/>
            <family val="2"/>
          </rPr>
          <t>mm98285:</t>
        </r>
        <r>
          <rPr>
            <sz val="8"/>
            <color indexed="81"/>
            <rFont val="Tahoma"/>
            <family val="2"/>
          </rPr>
          <t xml:space="preserve">
2006 10K: guided to +HSD worldwide comp, +HSD U.S. and Int'l comps (+LSD in Japan, +LDD in Europe &amp; Asia ex-Jap)
 </t>
        </r>
      </text>
    </comment>
    <comment ref="AO145" authorId="2">
      <text>
        <r>
          <rPr>
            <b/>
            <sz val="8"/>
            <color indexed="81"/>
            <rFont val="Tahoma"/>
            <family val="2"/>
          </rPr>
          <t>mm98285:</t>
        </r>
        <r>
          <rPr>
            <sz val="8"/>
            <color indexed="81"/>
            <rFont val="Tahoma"/>
            <family val="2"/>
          </rPr>
          <t xml:space="preserve">
internet &amp; catalog -17%</t>
        </r>
      </text>
    </comment>
    <comment ref="AO147" authorId="2">
      <text>
        <r>
          <rPr>
            <b/>
            <sz val="8"/>
            <color indexed="81"/>
            <rFont val="Tahoma"/>
            <family val="2"/>
          </rPr>
          <t>mm98285:</t>
        </r>
        <r>
          <rPr>
            <sz val="8"/>
            <color indexed="81"/>
            <rFont val="Tahoma"/>
            <family val="2"/>
          </rPr>
          <t xml:space="preserve">
U.S. internet and catalog sales declined -9%</t>
        </r>
      </text>
    </comment>
    <comment ref="AO148" authorId="2">
      <text>
        <r>
          <rPr>
            <b/>
            <sz val="8"/>
            <color indexed="81"/>
            <rFont val="Tahoma"/>
            <family val="2"/>
          </rPr>
          <t>mm98285:</t>
        </r>
        <r>
          <rPr>
            <sz val="8"/>
            <color indexed="81"/>
            <rFont val="Tahoma"/>
            <family val="2"/>
          </rPr>
          <t xml:space="preserve">
1/10: holiday sales +17%</t>
        </r>
      </text>
    </comment>
    <comment ref="AO149" authorId="2">
      <text>
        <r>
          <rPr>
            <b/>
            <sz val="8"/>
            <color indexed="81"/>
            <rFont val="Tahoma"/>
            <family val="2"/>
          </rPr>
          <t>mm98285:</t>
        </r>
        <r>
          <rPr>
            <sz val="8"/>
            <color indexed="81"/>
            <rFont val="Tahoma"/>
            <family val="2"/>
          </rPr>
          <t xml:space="preserve">
expect internet and catalog -HSD</t>
        </r>
      </text>
    </comment>
    <comment ref="AO152" authorId="3">
      <text>
        <r>
          <rPr>
            <b/>
            <sz val="8"/>
            <color indexed="81"/>
            <rFont val="Tahoma"/>
            <family val="2"/>
          </rPr>
          <t>NS66486:</t>
        </r>
        <r>
          <rPr>
            <sz val="8"/>
            <color indexed="81"/>
            <rFont val="Tahoma"/>
            <family val="2"/>
          </rPr>
          <t xml:space="preserve">
increased $6,520,000, or 23% due to increases in the # of orders and the average price per order</t>
        </r>
      </text>
    </comment>
    <comment ref="AO153" authorId="4">
      <text>
        <r>
          <rPr>
            <b/>
            <sz val="8"/>
            <color indexed="81"/>
            <rFont val="Tahoma"/>
            <family val="2"/>
          </rPr>
          <t>nicholjs:</t>
        </r>
        <r>
          <rPr>
            <sz val="8"/>
            <color indexed="81"/>
            <rFont val="Tahoma"/>
            <family val="2"/>
          </rPr>
          <t xml:space="preserve">
declined -2%, due to a decline in orders shipped (LY when retail store sales were down &gt;-20%, direct mkting sales had declined only ~8% // seeing resumption of direct mkting sales growth thus far in 3Q)</t>
        </r>
      </text>
    </comment>
    <comment ref="AO154" authorId="4">
      <text>
        <r>
          <rPr>
            <b/>
            <sz val="8"/>
            <color indexed="81"/>
            <rFont val="Tahoma"/>
            <family val="2"/>
          </rPr>
          <t>nicholjs:</t>
        </r>
        <r>
          <rPr>
            <sz val="8"/>
            <color indexed="81"/>
            <rFont val="Tahoma"/>
            <family val="2"/>
          </rPr>
          <t xml:space="preserve">
increased 7% in the quarter, due to an increased average order size.</t>
        </r>
      </text>
    </comment>
    <comment ref="AO155" authorId="4">
      <text>
        <r>
          <rPr>
            <b/>
            <sz val="8"/>
            <color indexed="81"/>
            <rFont val="Tahoma"/>
            <family val="2"/>
          </rPr>
          <t>nicholjs:</t>
        </r>
        <r>
          <rPr>
            <sz val="8"/>
            <color indexed="81"/>
            <rFont val="Tahoma"/>
            <family val="2"/>
          </rPr>
          <t xml:space="preserve">
in Americas, increased catalog circulation by ~10% to 14mm books in 2010 and intend to increase mailings by ~5% in 2011</t>
        </r>
      </text>
    </comment>
    <comment ref="AO156" authorId="5">
      <text>
        <r>
          <rPr>
            <b/>
            <sz val="8"/>
            <color indexed="81"/>
            <rFont val="Tahoma"/>
            <family val="2"/>
          </rPr>
          <t>marchant:</t>
        </r>
        <r>
          <rPr>
            <sz val="8"/>
            <color indexed="81"/>
            <rFont val="Tahoma"/>
            <family val="2"/>
          </rPr>
          <t xml:space="preserve">
3/10: expect U.S. DTC +LDD</t>
        </r>
      </text>
    </comment>
    <comment ref="AN159" authorId="4">
      <text>
        <r>
          <rPr>
            <b/>
            <sz val="8"/>
            <color indexed="81"/>
            <rFont val="Tahoma"/>
            <family val="2"/>
          </rPr>
          <t>nicholjs:</t>
        </r>
        <r>
          <rPr>
            <sz val="8"/>
            <color indexed="81"/>
            <rFont val="Tahoma"/>
            <family val="2"/>
          </rPr>
          <t xml:space="preserve">
similar increases in the number of orders and in the average size per order.</t>
        </r>
      </text>
    </comment>
    <comment ref="AN160" authorId="4">
      <text>
        <r>
          <rPr>
            <b/>
            <sz val="8"/>
            <color indexed="81"/>
            <rFont val="Tahoma"/>
            <family val="2"/>
          </rPr>
          <t>nicholjs:</t>
        </r>
        <r>
          <rPr>
            <sz val="8"/>
            <color indexed="81"/>
            <rFont val="Tahoma"/>
            <family val="2"/>
          </rPr>
          <t xml:space="preserve">
increases both in the number of orders and in the average size per order</t>
        </r>
      </text>
    </comment>
    <comment ref="AO161" authorId="6">
      <text>
        <r>
          <rPr>
            <b/>
            <sz val="8"/>
            <color indexed="81"/>
            <rFont val="Tahoma"/>
            <family val="2"/>
          </rPr>
          <t>solejay:</t>
        </r>
        <r>
          <rPr>
            <sz val="8"/>
            <color indexed="81"/>
            <rFont val="Tahoma"/>
            <family val="2"/>
          </rPr>
          <t xml:space="preserve">
per 3Q release</t>
        </r>
      </text>
    </comment>
    <comment ref="AO162" authorId="7">
      <text>
        <r>
          <rPr>
            <b/>
            <sz val="8"/>
            <color indexed="81"/>
            <rFont val="Tahoma"/>
            <family val="2"/>
          </rPr>
          <t xml:space="preserve">3/20/12 pk: </t>
        </r>
        <r>
          <rPr>
            <sz val="8"/>
            <color indexed="81"/>
            <rFont val="Tahoma"/>
            <family val="2"/>
          </rPr>
          <t xml:space="preserve">internet and catalog declined 4% in 4Q as increased amt per order was more than offset by a decline in number of orders shipped. </t>
        </r>
        <r>
          <rPr>
            <b/>
            <sz val="8"/>
            <color indexed="81"/>
            <rFont val="Tahoma"/>
            <family val="2"/>
          </rPr>
          <t xml:space="preserve">
</t>
        </r>
        <r>
          <rPr>
            <sz val="8"/>
            <color indexed="81"/>
            <rFont val="Tahoma"/>
            <family val="2"/>
          </rPr>
          <t>1/10/12 kg: Nov/Dec eComm -4%</t>
        </r>
      </text>
    </comment>
    <comment ref="AO163" authorId="4">
      <text>
        <r>
          <rPr>
            <b/>
            <sz val="8"/>
            <color indexed="81"/>
            <rFont val="Tahoma"/>
            <family val="2"/>
          </rPr>
          <t>3/20/12:</t>
        </r>
        <r>
          <rPr>
            <sz val="8"/>
            <color indexed="81"/>
            <rFont val="Tahoma"/>
            <family val="2"/>
          </rPr>
          <t>Int/catalog rose 6% on the full year on increased sales per order and accounted for about 10% of sales in Americas for the year.</t>
        </r>
        <r>
          <rPr>
            <sz val="8"/>
            <color indexed="81"/>
            <rFont val="Tahoma"/>
            <family val="2"/>
          </rPr>
          <t xml:space="preserve">
3/2011: expect US DTC +high single digits</t>
        </r>
      </text>
    </comment>
    <comment ref="AO166" authorId="8">
      <text>
        <r>
          <rPr>
            <b/>
            <sz val="8"/>
            <color indexed="81"/>
            <rFont val="Tahoma"/>
            <family val="2"/>
          </rPr>
          <t>P Kahng:</t>
        </r>
        <r>
          <rPr>
            <sz val="8"/>
            <color indexed="81"/>
            <rFont val="Tahoma"/>
            <family val="2"/>
          </rPr>
          <t xml:space="preserve">
5/24/12: combined ecom and catalog sales in americas rose 1% due to increase in avg sales per order. Slightly below expectations but on top of 14% increase ly</t>
        </r>
      </text>
    </comment>
    <comment ref="AO169" authorId="9">
      <text>
        <r>
          <rPr>
            <b/>
            <sz val="8"/>
            <color indexed="81"/>
            <rFont val="Tahoma"/>
            <family val="2"/>
          </rPr>
          <t>casselau:</t>
        </r>
        <r>
          <rPr>
            <sz val="8"/>
            <color indexed="81"/>
            <rFont val="Tahoma"/>
            <family val="2"/>
          </rPr>
          <t xml:space="preserve">
3/22/13: internet and catalog sales rose 6%</t>
        </r>
      </text>
    </comment>
    <comment ref="AN191" authorId="9">
      <text>
        <r>
          <rPr>
            <b/>
            <sz val="9"/>
            <color indexed="81"/>
            <rFont val="Tahoma"/>
            <family val="2"/>
          </rPr>
          <t>casselau:</t>
        </r>
        <r>
          <rPr>
            <sz val="9"/>
            <color indexed="81"/>
            <rFont val="Tahoma"/>
            <family val="2"/>
          </rPr>
          <t xml:space="preserve">
E-commerce sales in dollars rose modestly
in the full year which was better than the 3% worldwide sales decline and continued to represent 6% of worldwide sales.</t>
        </r>
      </text>
    </comment>
    <comment ref="AN198" authorId="10">
      <text>
        <r>
          <rPr>
            <b/>
            <sz val="9"/>
            <color indexed="81"/>
            <rFont val="Tahoma"/>
            <family val="2"/>
          </rPr>
          <t>Cassel, Lauren (Research):</t>
        </r>
        <r>
          <rPr>
            <sz val="9"/>
            <color indexed="81"/>
            <rFont val="Tahoma"/>
            <family val="2"/>
          </rPr>
          <t xml:space="preserve">
3/17/17: eComm = 6% of sales, unchanged y/y (somewhat higher in NA)</t>
        </r>
      </text>
    </comment>
  </commentList>
</comments>
</file>

<file path=xl/comments5.xml><?xml version="1.0" encoding="utf-8"?>
<comments xmlns="http://schemas.openxmlformats.org/spreadsheetml/2006/main">
  <authors>
    <author>P Kahng</author>
    <author>mm98285</author>
    <author>pw64212</author>
    <author>SB</author>
    <author>lm37689</author>
    <author>oc48540</author>
    <author>ns66486</author>
    <author>ol36766</author>
    <author>nicholjs</author>
    <author>NS66486</author>
    <author>KG51925</author>
    <author>marchant</author>
    <author>turleamb</author>
    <author>solejay</author>
    <author>kahng</author>
    <author>kimberlg</author>
    <author>casselau</author>
    <author>Turley, Amber (Research)</author>
    <author>Cassel, Lauren (Research)</author>
  </authors>
  <commentList>
    <comment ref="K4" authorId="0">
      <text>
        <r>
          <rPr>
            <b/>
            <sz val="8"/>
            <color indexed="81"/>
            <rFont val="Tahoma"/>
            <family val="2"/>
          </rPr>
          <t xml:space="preserve">10k: </t>
        </r>
        <r>
          <rPr>
            <sz val="8"/>
            <color indexed="81"/>
            <rFont val="Tahoma"/>
            <family val="2"/>
          </rPr>
          <t>increased primarily due to an increase in the avg price per unit sold. Increase in sales in all jewelry product categories with notable increases at the higher price piotns. 
Comps increased 13% (13% constant fx)
ny flagship 20% 
branch 12%
comp stores grew $175.179M
non-comp stores grew $47.743M</t>
        </r>
        <r>
          <rPr>
            <sz val="8"/>
            <color indexed="81"/>
            <rFont val="Tahoma"/>
            <family val="2"/>
          </rPr>
          <t xml:space="preserve">
</t>
        </r>
      </text>
    </comment>
    <comment ref="E7" authorId="1">
      <text>
        <r>
          <rPr>
            <b/>
            <sz val="8"/>
            <color indexed="81"/>
            <rFont val="Tahoma"/>
            <family val="2"/>
          </rPr>
          <t>mm98285:</t>
        </r>
        <r>
          <rPr>
            <sz val="8"/>
            <color indexed="81"/>
            <rFont val="Tahoma"/>
            <family val="2"/>
          </rPr>
          <t xml:space="preserve">
consists of sales in U.S., Canada, Latin/South America (including retail, business to business, internet, catalog and wholesale ops)</t>
        </r>
      </text>
    </comment>
    <comment ref="Q7" authorId="1">
      <text>
        <r>
          <rPr>
            <b/>
            <sz val="8"/>
            <color indexed="81"/>
            <rFont val="Tahoma"/>
            <family val="2"/>
          </rPr>
          <t>mm98285:</t>
        </r>
        <r>
          <rPr>
            <sz val="8"/>
            <color indexed="81"/>
            <rFont val="Tahoma"/>
            <family val="2"/>
          </rPr>
          <t xml:space="preserve">
includes sales in Japan, Asia-Pacific countries outside Japan and Middle East</t>
        </r>
      </text>
    </comment>
    <comment ref="W7" authorId="1">
      <text>
        <r>
          <rPr>
            <b/>
            <sz val="8"/>
            <color indexed="81"/>
            <rFont val="Tahoma"/>
            <family val="2"/>
          </rPr>
          <t>mm98285:</t>
        </r>
        <r>
          <rPr>
            <sz val="8"/>
            <color indexed="81"/>
            <rFont val="Tahoma"/>
            <family val="2"/>
          </rPr>
          <t xml:space="preserve">
11/08: Japan represents just over half of the Asia-Pacific region</t>
        </r>
      </text>
    </comment>
    <comment ref="X7" authorId="1">
      <text>
        <r>
          <rPr>
            <b/>
            <sz val="8"/>
            <color indexed="81"/>
            <rFont val="Tahoma"/>
            <family val="2"/>
          </rPr>
          <t>mm98285:</t>
        </r>
        <r>
          <rPr>
            <sz val="8"/>
            <color indexed="81"/>
            <rFont val="Tahoma"/>
            <family val="2"/>
          </rPr>
          <t xml:space="preserve">
11/08: Japan represents just over half of the Asia-Pacific region</t>
        </r>
      </text>
    </comment>
    <comment ref="AR7" authorId="1">
      <text>
        <r>
          <rPr>
            <b/>
            <sz val="8"/>
            <color indexed="81"/>
            <rFont val="Tahoma"/>
            <family val="2"/>
          </rPr>
          <t>mm98285:</t>
        </r>
        <r>
          <rPr>
            <sz val="8"/>
            <color indexed="81"/>
            <rFont val="Tahoma"/>
            <family val="2"/>
          </rPr>
          <t xml:space="preserve">
wholesale sales of rough diamonds acquired through diamond sourcing program, license revenues (eyewear)</t>
        </r>
      </text>
    </comment>
    <comment ref="K8" authorId="1">
      <text>
        <r>
          <rPr>
            <b/>
            <sz val="8"/>
            <color indexed="81"/>
            <rFont val="Tahoma"/>
            <family val="2"/>
          </rPr>
          <t>mm98285:</t>
        </r>
        <r>
          <rPr>
            <sz val="8"/>
            <color indexed="81"/>
            <rFont val="Tahoma"/>
            <family val="2"/>
          </rPr>
          <t xml:space="preserve">
excludes internet &amp; catalog</t>
        </r>
      </text>
    </comment>
    <comment ref="AT8" authorId="1">
      <text>
        <r>
          <rPr>
            <b/>
            <sz val="8"/>
            <color indexed="81"/>
            <rFont val="Tahoma"/>
            <family val="2"/>
          </rPr>
          <t>mm98285:</t>
        </r>
        <r>
          <rPr>
            <sz val="8"/>
            <color indexed="81"/>
            <rFont val="Tahoma"/>
            <family val="2"/>
          </rPr>
          <t xml:space="preserve">
6/08: loss primarily reflects operating performance of Iridesse subsidiary</t>
        </r>
      </text>
    </comment>
    <comment ref="BE8" authorId="1">
      <text>
        <r>
          <rPr>
            <b/>
            <sz val="8"/>
            <color indexed="81"/>
            <rFont val="Tahoma"/>
            <family val="2"/>
          </rPr>
          <t>mm98285:</t>
        </r>
        <r>
          <rPr>
            <sz val="8"/>
            <color indexed="81"/>
            <rFont val="Tahoma"/>
            <family val="2"/>
          </rPr>
          <t xml:space="preserve">
certain costs related to administrative support functions which the company does not allocate to its segments (i.e. IT, finance, legal and HR)</t>
        </r>
      </text>
    </comment>
    <comment ref="G39" authorId="2">
      <text>
        <r>
          <rPr>
            <b/>
            <sz val="8"/>
            <color indexed="81"/>
            <rFont val="Tahoma"/>
            <family val="2"/>
          </rPr>
          <t>pw64212:</t>
        </r>
        <r>
          <rPr>
            <sz val="8"/>
            <color indexed="81"/>
            <rFont val="Tahoma"/>
            <family val="2"/>
          </rPr>
          <t xml:space="preserve">
comparable branch stoer sales increased 13%</t>
        </r>
      </text>
    </comment>
    <comment ref="X43" authorId="3">
      <text>
        <r>
          <rPr>
            <b/>
            <sz val="8"/>
            <color indexed="81"/>
            <rFont val="Tahoma"/>
            <family val="2"/>
          </rPr>
          <t>SB:</t>
        </r>
        <r>
          <rPr>
            <sz val="8"/>
            <color indexed="81"/>
            <rFont val="Tahoma"/>
            <family val="2"/>
          </rPr>
          <t xml:space="preserve">
company operated boutiques</t>
        </r>
      </text>
    </comment>
    <comment ref="X44" authorId="3">
      <text>
        <r>
          <rPr>
            <b/>
            <sz val="8"/>
            <color indexed="81"/>
            <rFont val="Tahoma"/>
            <family val="2"/>
          </rPr>
          <t>SB:</t>
        </r>
        <r>
          <rPr>
            <sz val="8"/>
            <color indexed="81"/>
            <rFont val="Tahoma"/>
            <family val="2"/>
          </rPr>
          <t xml:space="preserve">
company operated boutiques</t>
        </r>
      </text>
    </comment>
    <comment ref="G46" authorId="2">
      <text>
        <r>
          <rPr>
            <b/>
            <sz val="8"/>
            <color indexed="81"/>
            <rFont val="Tahoma"/>
            <family val="2"/>
          </rPr>
          <t>pw64212:</t>
        </r>
        <r>
          <rPr>
            <sz val="8"/>
            <color indexed="81"/>
            <rFont val="Tahoma"/>
            <family val="2"/>
          </rPr>
          <t xml:space="preserve">
comparable branch store sales increased 14%</t>
        </r>
      </text>
    </comment>
    <comment ref="AD46" authorId="2">
      <text>
        <r>
          <rPr>
            <b/>
            <sz val="8"/>
            <color indexed="81"/>
            <rFont val="Tahoma"/>
            <family val="2"/>
          </rPr>
          <t>pw64212:</t>
        </r>
        <r>
          <rPr>
            <sz val="8"/>
            <color indexed="81"/>
            <rFont val="Tahoma"/>
            <family val="2"/>
          </rPr>
          <t xml:space="preserve">
10 K only says "achieved sales growth in other Asia-Pacific markets</t>
        </r>
      </text>
    </comment>
    <comment ref="G53" authorId="2">
      <text>
        <r>
          <rPr>
            <b/>
            <sz val="8"/>
            <color indexed="81"/>
            <rFont val="Tahoma"/>
            <family val="2"/>
          </rPr>
          <t>pw64212:</t>
        </r>
        <r>
          <rPr>
            <sz val="8"/>
            <color indexed="81"/>
            <rFont val="Tahoma"/>
            <family val="2"/>
          </rPr>
          <t xml:space="preserve">
comparable branch store increased 16%</t>
        </r>
      </text>
    </comment>
    <comment ref="G60" authorId="2">
      <text>
        <r>
          <rPr>
            <b/>
            <sz val="8"/>
            <color indexed="81"/>
            <rFont val="Tahoma"/>
            <family val="2"/>
          </rPr>
          <t>pw64212:</t>
        </r>
        <r>
          <rPr>
            <sz val="8"/>
            <color indexed="81"/>
            <rFont val="Tahoma"/>
            <family val="2"/>
          </rPr>
          <t xml:space="preserve">
comparable branch store increased 13%</t>
        </r>
      </text>
    </comment>
    <comment ref="S60" authorId="2">
      <text>
        <r>
          <rPr>
            <b/>
            <sz val="8"/>
            <color indexed="81"/>
            <rFont val="Tahoma"/>
            <family val="2"/>
          </rPr>
          <t>pw64212:</t>
        </r>
        <r>
          <rPr>
            <sz val="8"/>
            <color indexed="81"/>
            <rFont val="Tahoma"/>
            <family val="2"/>
          </rPr>
          <t xml:space="preserve">
data not found</t>
        </r>
      </text>
    </comment>
    <comment ref="G67" authorId="2">
      <text>
        <r>
          <rPr>
            <b/>
            <sz val="8"/>
            <color indexed="81"/>
            <rFont val="Tahoma"/>
            <family val="2"/>
          </rPr>
          <t>pw64212:</t>
        </r>
        <r>
          <rPr>
            <sz val="8"/>
            <color indexed="81"/>
            <rFont val="Tahoma"/>
            <family val="2"/>
          </rPr>
          <t xml:space="preserve">
comparable branch store increased 12%</t>
        </r>
      </text>
    </comment>
    <comment ref="R67" authorId="3">
      <text>
        <r>
          <rPr>
            <b/>
            <sz val="8"/>
            <color indexed="81"/>
            <rFont val="Tahoma"/>
            <family val="2"/>
          </rPr>
          <t>SB:</t>
        </r>
        <r>
          <rPr>
            <sz val="8"/>
            <color indexed="81"/>
            <rFont val="Tahoma"/>
            <family val="2"/>
          </rPr>
          <t xml:space="preserve">
+15 ex FX</t>
        </r>
      </text>
    </comment>
    <comment ref="S67" authorId="2">
      <text>
        <r>
          <rPr>
            <b/>
            <sz val="8"/>
            <color indexed="81"/>
            <rFont val="Tahoma"/>
            <family val="2"/>
          </rPr>
          <t>pw64212:</t>
        </r>
        <r>
          <rPr>
            <sz val="8"/>
            <color indexed="81"/>
            <rFont val="Tahoma"/>
            <family val="2"/>
          </rPr>
          <t xml:space="preserve">
data not found</t>
        </r>
      </text>
    </comment>
    <comment ref="G74" authorId="2">
      <text>
        <r>
          <rPr>
            <b/>
            <sz val="8"/>
            <color indexed="81"/>
            <rFont val="Tahoma"/>
            <family val="2"/>
          </rPr>
          <t>pw64212:</t>
        </r>
        <r>
          <rPr>
            <sz val="8"/>
            <color indexed="81"/>
            <rFont val="Tahoma"/>
            <family val="2"/>
          </rPr>
          <t xml:space="preserve">
comparable branch store sales increase 13%</t>
        </r>
      </text>
    </comment>
    <comment ref="R74" authorId="3">
      <text>
        <r>
          <rPr>
            <b/>
            <sz val="8"/>
            <color indexed="81"/>
            <rFont val="Tahoma"/>
            <family val="2"/>
          </rPr>
          <t>SB:</t>
        </r>
        <r>
          <rPr>
            <sz val="8"/>
            <color indexed="81"/>
            <rFont val="Tahoma"/>
            <family val="2"/>
          </rPr>
          <t xml:space="preserve">
+14 ex FX</t>
        </r>
      </text>
    </comment>
    <comment ref="S74" authorId="2">
      <text>
        <r>
          <rPr>
            <b/>
            <sz val="8"/>
            <color indexed="81"/>
            <rFont val="Tahoma"/>
            <family val="2"/>
          </rPr>
          <t>pw64212:</t>
        </r>
        <r>
          <rPr>
            <sz val="8"/>
            <color indexed="81"/>
            <rFont val="Tahoma"/>
            <family val="2"/>
          </rPr>
          <t xml:space="preserve">
not found</t>
        </r>
      </text>
    </comment>
    <comment ref="AO77" authorId="3">
      <text>
        <r>
          <rPr>
            <b/>
            <sz val="8"/>
            <color indexed="81"/>
            <rFont val="Tahoma"/>
            <family val="2"/>
          </rPr>
          <t>SB:</t>
        </r>
        <r>
          <rPr>
            <sz val="8"/>
            <color indexed="81"/>
            <rFont val="Tahoma"/>
            <family val="2"/>
          </rPr>
          <t xml:space="preserve">
restated in 2000, was over 4 million</t>
        </r>
      </text>
    </comment>
    <comment ref="G81" authorId="2">
      <text>
        <r>
          <rPr>
            <b/>
            <sz val="8"/>
            <color indexed="81"/>
            <rFont val="Tahoma"/>
            <family val="2"/>
          </rPr>
          <t>pw64212:</t>
        </r>
        <r>
          <rPr>
            <sz val="8"/>
            <color indexed="81"/>
            <rFont val="Tahoma"/>
            <family val="2"/>
          </rPr>
          <t xml:space="preserve">
comp branch stores increase 22%</t>
        </r>
      </text>
    </comment>
    <comment ref="AO81" authorId="3">
      <text>
        <r>
          <rPr>
            <b/>
            <sz val="8"/>
            <color indexed="81"/>
            <rFont val="Tahoma"/>
            <family val="2"/>
          </rPr>
          <t xml:space="preserve">PW:
200010K
</t>
        </r>
      </text>
    </comment>
    <comment ref="E84" authorId="3">
      <text>
        <r>
          <rPr>
            <b/>
            <sz val="8"/>
            <color indexed="81"/>
            <rFont val="Tahoma"/>
            <family val="2"/>
          </rPr>
          <t>SB:</t>
        </r>
        <r>
          <rPr>
            <sz val="8"/>
            <color indexed="81"/>
            <rFont val="Tahoma"/>
            <family val="2"/>
          </rPr>
          <t xml:space="preserve">
from 2001 1Q10q</t>
        </r>
      </text>
    </comment>
    <comment ref="H84" authorId="3">
      <text>
        <r>
          <rPr>
            <b/>
            <sz val="8"/>
            <color indexed="81"/>
            <rFont val="Tahoma"/>
            <family val="2"/>
          </rPr>
          <t>SB:</t>
        </r>
        <r>
          <rPr>
            <sz val="8"/>
            <color indexed="81"/>
            <rFont val="Tahoma"/>
            <family val="2"/>
          </rPr>
          <t xml:space="preserve">
from 2001 1Q10q</t>
        </r>
      </text>
    </comment>
    <comment ref="AM84" authorId="3">
      <text>
        <r>
          <rPr>
            <b/>
            <sz val="8"/>
            <color indexed="81"/>
            <rFont val="Tahoma"/>
            <family val="2"/>
          </rPr>
          <t>SB:</t>
        </r>
        <r>
          <rPr>
            <sz val="8"/>
            <color indexed="81"/>
            <rFont val="Tahoma"/>
            <family val="2"/>
          </rPr>
          <t xml:space="preserve">
from 2001 1Q10q
was 26.6</t>
        </r>
      </text>
    </comment>
    <comment ref="AO84" authorId="3">
      <text>
        <r>
          <rPr>
            <b/>
            <sz val="8"/>
            <color indexed="81"/>
            <rFont val="Tahoma"/>
            <family val="2"/>
          </rPr>
          <t>SB:</t>
        </r>
        <r>
          <rPr>
            <sz val="8"/>
            <color indexed="81"/>
            <rFont val="Tahoma"/>
            <family val="2"/>
          </rPr>
          <t xml:space="preserve">
from 2001 1Q10q
was 0.2</t>
        </r>
      </text>
    </comment>
    <comment ref="E85" authorId="3">
      <text>
        <r>
          <rPr>
            <b/>
            <sz val="8"/>
            <color indexed="81"/>
            <rFont val="Tahoma"/>
            <family val="2"/>
          </rPr>
          <t>SB:</t>
        </r>
        <r>
          <rPr>
            <sz val="8"/>
            <color indexed="81"/>
            <rFont val="Tahoma"/>
            <family val="2"/>
          </rPr>
          <t xml:space="preserve">
from 2001 2Q10q
was 187.9</t>
        </r>
      </text>
    </comment>
    <comment ref="H85" authorId="3">
      <text>
        <r>
          <rPr>
            <b/>
            <sz val="8"/>
            <color indexed="81"/>
            <rFont val="Tahoma"/>
            <family val="2"/>
          </rPr>
          <t>SB:</t>
        </r>
        <r>
          <rPr>
            <sz val="8"/>
            <color indexed="81"/>
            <rFont val="Tahoma"/>
            <family val="2"/>
          </rPr>
          <t xml:space="preserve">
from 2001 2Q10q
was 52.4</t>
        </r>
      </text>
    </comment>
    <comment ref="T85" authorId="3">
      <text>
        <r>
          <rPr>
            <b/>
            <sz val="8"/>
            <color indexed="81"/>
            <rFont val="Tahoma"/>
            <family val="2"/>
          </rPr>
          <t>SB:</t>
        </r>
        <r>
          <rPr>
            <sz val="8"/>
            <color indexed="81"/>
            <rFont val="Tahoma"/>
            <family val="2"/>
          </rPr>
          <t xml:space="preserve">
from 2001 2Q10q
was 38.6</t>
        </r>
      </text>
    </comment>
    <comment ref="AM85" authorId="3">
      <text>
        <r>
          <rPr>
            <b/>
            <sz val="8"/>
            <color indexed="81"/>
            <rFont val="Tahoma"/>
            <family val="2"/>
          </rPr>
          <t>SB:</t>
        </r>
        <r>
          <rPr>
            <sz val="8"/>
            <color indexed="81"/>
            <rFont val="Tahoma"/>
            <family val="2"/>
          </rPr>
          <t xml:space="preserve">
from 2001 2Q10q
was 30.8</t>
        </r>
      </text>
    </comment>
    <comment ref="AO85" authorId="3">
      <text>
        <r>
          <rPr>
            <b/>
            <sz val="8"/>
            <color indexed="81"/>
            <rFont val="Tahoma"/>
            <family val="2"/>
          </rPr>
          <t>SB:</t>
        </r>
        <r>
          <rPr>
            <sz val="8"/>
            <color indexed="81"/>
            <rFont val="Tahoma"/>
            <family val="2"/>
          </rPr>
          <t xml:space="preserve">
from 2001 2Q10q
was 2.2</t>
        </r>
      </text>
    </comment>
    <comment ref="G88" authorId="2">
      <text>
        <r>
          <rPr>
            <b/>
            <sz val="8"/>
            <color indexed="81"/>
            <rFont val="Tahoma"/>
            <family val="2"/>
          </rPr>
          <t>pw64212:</t>
        </r>
        <r>
          <rPr>
            <sz val="8"/>
            <color indexed="81"/>
            <rFont val="Tahoma"/>
            <family val="2"/>
          </rPr>
          <t xml:space="preserve">
comparable U.S. branch store +15%</t>
        </r>
      </text>
    </comment>
    <comment ref="AE91" authorId="2">
      <text>
        <r>
          <rPr>
            <b/>
            <sz val="8"/>
            <color indexed="81"/>
            <rFont val="Tahoma"/>
            <family val="2"/>
          </rPr>
          <t>pw64212:</t>
        </r>
        <r>
          <rPr>
            <sz val="8"/>
            <color indexed="81"/>
            <rFont val="Tahoma"/>
            <family val="2"/>
          </rPr>
          <t xml:space="preserve">
revised from 13 to 15 in 20012Q 10Q</t>
        </r>
      </text>
    </comment>
    <comment ref="G95" authorId="2">
      <text>
        <r>
          <rPr>
            <b/>
            <sz val="8"/>
            <color indexed="81"/>
            <rFont val="Tahoma"/>
            <family val="2"/>
          </rPr>
          <t>pw64212:</t>
        </r>
        <r>
          <rPr>
            <sz val="8"/>
            <color indexed="81"/>
            <rFont val="Tahoma"/>
            <family val="2"/>
          </rPr>
          <t xml:space="preserve">
comparable U.S. branch declined by 6%</t>
        </r>
      </text>
    </comment>
    <comment ref="H95" authorId="3">
      <text>
        <r>
          <rPr>
            <b/>
            <sz val="8"/>
            <color indexed="81"/>
            <rFont val="Tahoma"/>
            <family val="2"/>
          </rPr>
          <t>SB:</t>
        </r>
        <r>
          <rPr>
            <sz val="8"/>
            <color indexed="81"/>
            <rFont val="Tahoma"/>
            <family val="2"/>
          </rPr>
          <t xml:space="preserve">
reclassified</t>
        </r>
      </text>
    </comment>
    <comment ref="T95" authorId="3">
      <text>
        <r>
          <rPr>
            <b/>
            <sz val="8"/>
            <color indexed="81"/>
            <rFont val="Tahoma"/>
            <family val="2"/>
          </rPr>
          <t>SB:</t>
        </r>
        <r>
          <rPr>
            <sz val="8"/>
            <color indexed="81"/>
            <rFont val="Tahoma"/>
            <family val="2"/>
          </rPr>
          <t xml:space="preserve">
reclassified - was 196.8</t>
        </r>
      </text>
    </comment>
    <comment ref="AD95" authorId="2">
      <text>
        <r>
          <rPr>
            <b/>
            <sz val="8"/>
            <color indexed="81"/>
            <rFont val="Tahoma"/>
            <family val="2"/>
          </rPr>
          <t>pw64212:</t>
        </r>
        <r>
          <rPr>
            <sz val="8"/>
            <color indexed="81"/>
            <rFont val="Tahoma"/>
            <family val="2"/>
          </rPr>
          <t xml:space="preserve">
2002 10K said declined franctionally</t>
        </r>
      </text>
    </comment>
    <comment ref="AO95" authorId="3">
      <text>
        <r>
          <rPr>
            <b/>
            <sz val="8"/>
            <color indexed="81"/>
            <rFont val="Tahoma"/>
            <family val="2"/>
          </rPr>
          <t>SB:</t>
        </r>
        <r>
          <rPr>
            <sz val="8"/>
            <color indexed="81"/>
            <rFont val="Tahoma"/>
            <family val="2"/>
          </rPr>
          <t xml:space="preserve">
classified - was 28.1</t>
        </r>
      </text>
    </comment>
    <comment ref="AR100" authorId="3">
      <text>
        <r>
          <rPr>
            <b/>
            <sz val="8"/>
            <color indexed="81"/>
            <rFont val="Tahoma"/>
            <family val="2"/>
          </rPr>
          <t>SB:</t>
        </r>
        <r>
          <rPr>
            <sz val="8"/>
            <color indexed="81"/>
            <rFont val="Tahoma"/>
            <family val="2"/>
          </rPr>
          <t xml:space="preserve">
acquired in october</t>
        </r>
      </text>
    </comment>
    <comment ref="G101" authorId="3">
      <text>
        <r>
          <rPr>
            <b/>
            <sz val="8"/>
            <color indexed="81"/>
            <rFont val="Tahoma"/>
            <family val="2"/>
          </rPr>
          <t>SB:</t>
        </r>
        <r>
          <rPr>
            <sz val="8"/>
            <color indexed="81"/>
            <rFont val="Tahoma"/>
            <family val="2"/>
          </rPr>
          <t xml:space="preserve">
fractionally</t>
        </r>
      </text>
    </comment>
    <comment ref="H102" authorId="3">
      <text>
        <r>
          <rPr>
            <b/>
            <sz val="8"/>
            <color indexed="81"/>
            <rFont val="Tahoma"/>
            <family val="2"/>
          </rPr>
          <t>SB:</t>
        </r>
        <r>
          <rPr>
            <sz val="8"/>
            <color indexed="81"/>
            <rFont val="Tahoma"/>
            <family val="2"/>
          </rPr>
          <t xml:space="preserve">
reclassified</t>
        </r>
      </text>
    </comment>
    <comment ref="N102" authorId="3">
      <text>
        <r>
          <rPr>
            <b/>
            <sz val="8"/>
            <color indexed="81"/>
            <rFont val="Tahoma"/>
            <family val="2"/>
          </rPr>
          <t>SB:</t>
        </r>
        <r>
          <rPr>
            <sz val="8"/>
            <color indexed="81"/>
            <rFont val="Tahoma"/>
            <family val="2"/>
          </rPr>
          <t xml:space="preserve">
fractionally</t>
        </r>
      </text>
    </comment>
    <comment ref="O102" authorId="3">
      <text>
        <r>
          <rPr>
            <b/>
            <sz val="8"/>
            <color indexed="81"/>
            <rFont val="Tahoma"/>
            <family val="2"/>
          </rPr>
          <t>SB:</t>
        </r>
        <r>
          <rPr>
            <sz val="8"/>
            <color indexed="81"/>
            <rFont val="Tahoma"/>
            <family val="2"/>
          </rPr>
          <t xml:space="preserve">
fractionally</t>
        </r>
      </text>
    </comment>
    <comment ref="T102" authorId="3">
      <text>
        <r>
          <rPr>
            <b/>
            <sz val="8"/>
            <color indexed="81"/>
            <rFont val="Tahoma"/>
            <family val="2"/>
          </rPr>
          <t>SB:</t>
        </r>
        <r>
          <rPr>
            <sz val="8"/>
            <color indexed="81"/>
            <rFont val="Tahoma"/>
            <family val="2"/>
          </rPr>
          <t xml:space="preserve">
reclassified - was 205.4</t>
        </r>
      </text>
    </comment>
    <comment ref="AO102" authorId="3">
      <text>
        <r>
          <rPr>
            <b/>
            <sz val="8"/>
            <color indexed="81"/>
            <rFont val="Tahoma"/>
            <family val="2"/>
          </rPr>
          <t>SB:</t>
        </r>
        <r>
          <rPr>
            <sz val="8"/>
            <color indexed="81"/>
            <rFont val="Tahoma"/>
            <family val="2"/>
          </rPr>
          <t xml:space="preserve">
classified - was 41.7</t>
        </r>
      </text>
    </comment>
    <comment ref="S107" authorId="2">
      <text>
        <r>
          <rPr>
            <b/>
            <sz val="8"/>
            <color indexed="81"/>
            <rFont val="Tahoma"/>
            <family val="2"/>
          </rPr>
          <t>pw64212:</t>
        </r>
        <r>
          <rPr>
            <sz val="8"/>
            <color indexed="81"/>
            <rFont val="Tahoma"/>
            <family val="2"/>
          </rPr>
          <t xml:space="preserve">
world wide comp store sales increased 10% including U.S. and int'l.</t>
        </r>
      </text>
    </comment>
    <comment ref="E109" authorId="4">
      <text>
        <r>
          <rPr>
            <b/>
            <sz val="8"/>
            <color indexed="81"/>
            <rFont val="Tahoma"/>
            <family val="2"/>
          </rPr>
          <t>lm37689:</t>
        </r>
        <r>
          <rPr>
            <sz val="8"/>
            <color indexed="81"/>
            <rFont val="Tahoma"/>
            <family val="2"/>
          </rPr>
          <t xml:space="preserve">
on 05-K restated from 948.884</t>
        </r>
      </text>
    </comment>
    <comment ref="H109" authorId="3">
      <text>
        <r>
          <rPr>
            <b/>
            <sz val="8"/>
            <color indexed="81"/>
            <rFont val="Tahoma"/>
            <family val="2"/>
          </rPr>
          <t>SB:</t>
        </r>
        <r>
          <rPr>
            <sz val="8"/>
            <color indexed="81"/>
            <rFont val="Tahoma"/>
            <family val="2"/>
          </rPr>
          <t xml:space="preserve">
Certain reclassifications were made to prior years' earnings (losses) from
operations by segment amounts to conform with the current year's presentation
and such reclassifications were principally related to the allocation of certain
corporate expenses.
</t>
        </r>
      </text>
    </comment>
    <comment ref="Q109" authorId="4">
      <text>
        <r>
          <rPr>
            <b/>
            <sz val="8"/>
            <color indexed="81"/>
            <rFont val="Tahoma"/>
            <family val="2"/>
          </rPr>
          <t>lm37689:</t>
        </r>
        <r>
          <rPr>
            <sz val="8"/>
            <color indexed="81"/>
            <rFont val="Tahoma"/>
            <family val="2"/>
          </rPr>
          <t xml:space="preserve">
on 05-K restated from 781.578</t>
        </r>
      </text>
    </comment>
    <comment ref="S109" authorId="2">
      <text>
        <r>
          <rPr>
            <b/>
            <sz val="8"/>
            <color indexed="81"/>
            <rFont val="Tahoma"/>
            <family val="2"/>
          </rPr>
          <t>pw64212:</t>
        </r>
        <r>
          <rPr>
            <sz val="8"/>
            <color indexed="81"/>
            <rFont val="Tahoma"/>
            <family val="2"/>
          </rPr>
          <t xml:space="preserve">
not found</t>
        </r>
      </text>
    </comment>
    <comment ref="AM109" authorId="4">
      <text>
        <r>
          <rPr>
            <b/>
            <sz val="8"/>
            <color indexed="81"/>
            <rFont val="Tahoma"/>
            <family val="2"/>
          </rPr>
          <t>lm37689:</t>
        </r>
        <r>
          <rPr>
            <sz val="8"/>
            <color indexed="81"/>
            <rFont val="Tahoma"/>
            <family val="2"/>
          </rPr>
          <t xml:space="preserve">
on 05-K restated from 197.397</t>
        </r>
      </text>
    </comment>
    <comment ref="AR109" authorId="4">
      <text>
        <r>
          <rPr>
            <b/>
            <sz val="8"/>
            <color indexed="81"/>
            <rFont val="Tahoma"/>
            <family val="2"/>
          </rPr>
          <t>lm37689:</t>
        </r>
        <r>
          <rPr>
            <sz val="8"/>
            <color indexed="81"/>
            <rFont val="Tahoma"/>
            <family val="2"/>
          </rPr>
          <t xml:space="preserve">
on 05-K restated from 72.186</t>
        </r>
      </text>
    </comment>
    <comment ref="S112" authorId="3">
      <text>
        <r>
          <rPr>
            <b/>
            <sz val="8"/>
            <color indexed="81"/>
            <rFont val="Tahoma"/>
            <family val="2"/>
          </rPr>
          <t>SB:</t>
        </r>
        <r>
          <rPr>
            <sz val="8"/>
            <color indexed="81"/>
            <rFont val="Tahoma"/>
            <family val="2"/>
          </rPr>
          <t xml:space="preserve">
10% fx benefit</t>
        </r>
      </text>
    </comment>
    <comment ref="E116" authorId="4">
      <text>
        <r>
          <rPr>
            <b/>
            <sz val="8"/>
            <color indexed="81"/>
            <rFont val="Tahoma"/>
            <family val="2"/>
          </rPr>
          <t>lm37689:</t>
        </r>
        <r>
          <rPr>
            <sz val="8"/>
            <color indexed="81"/>
            <rFont val="Tahoma"/>
            <family val="2"/>
          </rPr>
          <t xml:space="preserve">
restated in 05-K from 1085.785</t>
        </r>
      </text>
    </comment>
    <comment ref="AM116" authorId="4">
      <text>
        <r>
          <rPr>
            <b/>
            <sz val="8"/>
            <color indexed="81"/>
            <rFont val="Tahoma"/>
            <family val="2"/>
          </rPr>
          <t>lm37689:</t>
        </r>
        <r>
          <rPr>
            <sz val="8"/>
            <color indexed="81"/>
            <rFont val="Tahoma"/>
            <family val="2"/>
          </rPr>
          <t xml:space="preserve">
restated in 05-K from 173.568</t>
        </r>
      </text>
    </comment>
    <comment ref="AR116" authorId="4">
      <text>
        <r>
          <rPr>
            <b/>
            <sz val="8"/>
            <color indexed="81"/>
            <rFont val="Tahoma"/>
            <family val="2"/>
          </rPr>
          <t>lm37689:</t>
        </r>
        <r>
          <rPr>
            <sz val="8"/>
            <color indexed="81"/>
            <rFont val="Tahoma"/>
            <family val="2"/>
          </rPr>
          <t xml:space="preserve">
restated in 05-K from 74.153</t>
        </r>
      </text>
    </comment>
    <comment ref="E119" authorId="4">
      <text>
        <r>
          <rPr>
            <b/>
            <sz val="8"/>
            <color indexed="81"/>
            <rFont val="Tahoma"/>
            <family val="2"/>
          </rPr>
          <t>lm37689:</t>
        </r>
        <r>
          <rPr>
            <sz val="8"/>
            <color indexed="81"/>
            <rFont val="Tahoma"/>
            <family val="2"/>
          </rPr>
          <t xml:space="preserve">
resated from 243.411</t>
        </r>
      </text>
    </comment>
    <comment ref="H120" authorId="5">
      <text>
        <r>
          <rPr>
            <b/>
            <sz val="8"/>
            <color indexed="81"/>
            <rFont val="Tahoma"/>
            <family val="2"/>
          </rPr>
          <t>oc48540:</t>
        </r>
        <r>
          <rPr>
            <sz val="8"/>
            <color indexed="81"/>
            <rFont val="Tahoma"/>
            <family val="2"/>
          </rPr>
          <t xml:space="preserve">
Does not reflect revisions made in compare against in 2006 #'s</t>
        </r>
      </text>
    </comment>
    <comment ref="H126" authorId="2">
      <text>
        <r>
          <rPr>
            <b/>
            <sz val="8"/>
            <color indexed="81"/>
            <rFont val="Tahoma"/>
            <family val="2"/>
          </rPr>
          <t>pw64212:</t>
        </r>
        <r>
          <rPr>
            <sz val="8"/>
            <color indexed="81"/>
            <rFont val="Tahoma"/>
            <family val="2"/>
          </rPr>
          <t xml:space="preserve">
$42.141 prior to restatement
correct from 20071Q 10Q
</t>
        </r>
      </text>
    </comment>
    <comment ref="T126" authorId="2">
      <text>
        <r>
          <rPr>
            <b/>
            <sz val="8"/>
            <color indexed="81"/>
            <rFont val="Tahoma"/>
            <family val="2"/>
          </rPr>
          <t>pw64212:</t>
        </r>
        <r>
          <rPr>
            <sz val="8"/>
            <color indexed="81"/>
            <rFont val="Tahoma"/>
            <family val="2"/>
          </rPr>
          <t xml:space="preserve">
correct 20071Q 10Q</t>
        </r>
      </text>
    </comment>
    <comment ref="AO126" authorId="2">
      <text>
        <r>
          <rPr>
            <b/>
            <sz val="8"/>
            <color indexed="81"/>
            <rFont val="Tahoma"/>
            <family val="2"/>
          </rPr>
          <t>pw64212:</t>
        </r>
        <r>
          <rPr>
            <sz val="8"/>
            <color indexed="81"/>
            <rFont val="Tahoma"/>
            <family val="2"/>
          </rPr>
          <t xml:space="preserve">
correct, 20071Q 10Q</t>
        </r>
      </text>
    </comment>
    <comment ref="AR126" authorId="1">
      <text>
        <r>
          <rPr>
            <b/>
            <sz val="8"/>
            <color indexed="81"/>
            <rFont val="Tahoma"/>
            <family val="2"/>
          </rPr>
          <t>mm98285:</t>
        </r>
        <r>
          <rPr>
            <sz val="8"/>
            <color indexed="81"/>
            <rFont val="Tahoma"/>
            <family val="2"/>
          </rPr>
          <t xml:space="preserve">
$33.54 prior to restatement</t>
        </r>
      </text>
    </comment>
    <comment ref="BC126" authorId="2">
      <text>
        <r>
          <rPr>
            <b/>
            <sz val="8"/>
            <color indexed="81"/>
            <rFont val="Tahoma"/>
            <family val="2"/>
          </rPr>
          <t>pw64212:</t>
        </r>
        <r>
          <rPr>
            <sz val="8"/>
            <color indexed="81"/>
            <rFont val="Tahoma"/>
            <family val="2"/>
          </rPr>
          <t xml:space="preserve">
correct 20071Q 10Q</t>
        </r>
      </text>
    </comment>
    <comment ref="H127" authorId="1">
      <text>
        <r>
          <rPr>
            <b/>
            <sz val="8"/>
            <color indexed="81"/>
            <rFont val="Tahoma"/>
            <family val="2"/>
          </rPr>
          <t>mm98285:</t>
        </r>
        <r>
          <rPr>
            <sz val="8"/>
            <color indexed="81"/>
            <rFont val="Tahoma"/>
            <family val="2"/>
          </rPr>
          <t xml:space="preserve">
$48.799 prior to restatement
</t>
        </r>
      </text>
    </comment>
    <comment ref="AR127" authorId="1">
      <text>
        <r>
          <rPr>
            <b/>
            <sz val="8"/>
            <color indexed="81"/>
            <rFont val="Tahoma"/>
            <family val="2"/>
          </rPr>
          <t>mm98285:</t>
        </r>
        <r>
          <rPr>
            <sz val="8"/>
            <color indexed="81"/>
            <rFont val="Tahoma"/>
            <family val="2"/>
          </rPr>
          <t xml:space="preserve">
$27.489 prior to restatement</t>
        </r>
      </text>
    </comment>
    <comment ref="G128" authorId="1">
      <text>
        <r>
          <rPr>
            <b/>
            <sz val="8"/>
            <color indexed="81"/>
            <rFont val="Tahoma"/>
            <family val="2"/>
          </rPr>
          <t>mm98285:</t>
        </r>
        <r>
          <rPr>
            <sz val="8"/>
            <color indexed="81"/>
            <rFont val="Tahoma"/>
            <family val="2"/>
          </rPr>
          <t xml:space="preserve">
Aug +6%
Sept +7%
Oct +4%</t>
        </r>
      </text>
    </comment>
    <comment ref="X128" authorId="1">
      <text>
        <r>
          <rPr>
            <b/>
            <sz val="8"/>
            <color indexed="81"/>
            <rFont val="Tahoma"/>
            <family val="2"/>
          </rPr>
          <t>mm98285:</t>
        </r>
        <r>
          <rPr>
            <sz val="8"/>
            <color indexed="81"/>
            <rFont val="Tahoma"/>
            <family val="2"/>
          </rPr>
          <t xml:space="preserve">
Aug -5%
Sept -4%
Oct -7%</t>
        </r>
      </text>
    </comment>
    <comment ref="AR128" authorId="1">
      <text>
        <r>
          <rPr>
            <b/>
            <sz val="8"/>
            <color indexed="81"/>
            <rFont val="Tahoma"/>
            <family val="2"/>
          </rPr>
          <t>mm98285:</t>
        </r>
        <r>
          <rPr>
            <sz val="8"/>
            <color indexed="81"/>
            <rFont val="Tahoma"/>
            <family val="2"/>
          </rPr>
          <t xml:space="preserve">
need to restate to exclude Little Switzerland</t>
        </r>
      </text>
    </comment>
    <comment ref="F129" authorId="2">
      <text>
        <r>
          <rPr>
            <b/>
            <sz val="8"/>
            <color indexed="81"/>
            <rFont val="Tahoma"/>
            <family val="2"/>
          </rPr>
          <t>pw64212:</t>
        </r>
        <r>
          <rPr>
            <sz val="8"/>
            <color indexed="81"/>
            <rFont val="Tahoma"/>
            <family val="2"/>
          </rPr>
          <t xml:space="preserve">
due to an increase in the average amount spent per transaction and an increase in the number of transactions on a comp store basis</t>
        </r>
      </text>
    </comment>
    <comment ref="Q129" authorId="2">
      <text>
        <r>
          <rPr>
            <b/>
            <sz val="8"/>
            <color indexed="81"/>
            <rFont val="Tahoma"/>
            <family val="2"/>
          </rPr>
          <t>pw64212:</t>
        </r>
        <r>
          <rPr>
            <sz val="8"/>
            <color indexed="81"/>
            <rFont val="Tahoma"/>
            <family val="2"/>
          </rPr>
          <t xml:space="preserve">
strong sales more than offset softness in Japan</t>
        </r>
      </text>
    </comment>
    <comment ref="AE129" authorId="2">
      <text>
        <r>
          <rPr>
            <b/>
            <sz val="8"/>
            <color indexed="81"/>
            <rFont val="Tahoma"/>
            <family val="2"/>
          </rPr>
          <t>pw64212:</t>
        </r>
        <r>
          <rPr>
            <sz val="8"/>
            <color indexed="81"/>
            <rFont val="Tahoma"/>
            <family val="2"/>
          </rPr>
          <t xml:space="preserve">
strong in all markets and especially in London, which represents the majority of European sales</t>
        </r>
      </text>
    </comment>
    <comment ref="AR129" authorId="1">
      <text>
        <r>
          <rPr>
            <b/>
            <sz val="8"/>
            <color indexed="81"/>
            <rFont val="Tahoma"/>
            <family val="2"/>
          </rPr>
          <t>mm98285:</t>
        </r>
        <r>
          <rPr>
            <sz val="8"/>
            <color indexed="81"/>
            <rFont val="Tahoma"/>
            <family val="2"/>
          </rPr>
          <t xml:space="preserve">
need to restate to exclude Little Switzerland</t>
        </r>
      </text>
    </comment>
    <comment ref="E130" authorId="2">
      <text>
        <r>
          <rPr>
            <b/>
            <sz val="8"/>
            <color indexed="81"/>
            <rFont val="Tahoma"/>
            <family val="2"/>
          </rPr>
          <t>pw64212:</t>
        </r>
        <r>
          <rPr>
            <sz val="8"/>
            <color indexed="81"/>
            <rFont val="Tahoma"/>
            <family val="2"/>
          </rPr>
          <t xml:space="preserve">
2006 10K: pg K-29 Net Sales</t>
        </r>
      </text>
    </comment>
    <comment ref="Q130" authorId="2">
      <text>
        <r>
          <rPr>
            <b/>
            <sz val="8"/>
            <color indexed="81"/>
            <rFont val="Tahoma"/>
            <family val="2"/>
          </rPr>
          <t>pw64212:</t>
        </r>
        <r>
          <rPr>
            <sz val="8"/>
            <color indexed="81"/>
            <rFont val="Tahoma"/>
            <family val="2"/>
          </rPr>
          <t xml:space="preserve">
2006 10K: pg K-29 Net Sales</t>
        </r>
      </text>
    </comment>
    <comment ref="AM130" authorId="2">
      <text>
        <r>
          <rPr>
            <b/>
            <sz val="8"/>
            <color indexed="81"/>
            <rFont val="Tahoma"/>
            <family val="2"/>
          </rPr>
          <t>pw64212:</t>
        </r>
        <r>
          <rPr>
            <sz val="8"/>
            <color indexed="81"/>
            <rFont val="Tahoma"/>
            <family val="2"/>
          </rPr>
          <t xml:space="preserve">
2006 10K: pg K-29 Net Sales</t>
        </r>
      </text>
    </comment>
    <comment ref="AR130" authorId="2">
      <text>
        <r>
          <rPr>
            <b/>
            <sz val="8"/>
            <color indexed="81"/>
            <rFont val="Tahoma"/>
            <family val="2"/>
          </rPr>
          <t>pw64212:</t>
        </r>
        <r>
          <rPr>
            <sz val="8"/>
            <color indexed="81"/>
            <rFont val="Tahoma"/>
            <family val="2"/>
          </rPr>
          <t xml:space="preserve">
2006 10K: pg K-29 Net Sales</t>
        </r>
      </text>
    </comment>
    <comment ref="E133" authorId="2">
      <text>
        <r>
          <rPr>
            <b/>
            <sz val="8"/>
            <color indexed="81"/>
            <rFont val="Tahoma"/>
            <family val="2"/>
          </rPr>
          <t>pw64212:</t>
        </r>
        <r>
          <rPr>
            <sz val="8"/>
            <color indexed="81"/>
            <rFont val="Tahoma"/>
            <family val="2"/>
          </rPr>
          <t xml:space="preserve">
20071Q 10Q: Net Sales</t>
        </r>
      </text>
    </comment>
    <comment ref="G133" authorId="2">
      <text>
        <r>
          <rPr>
            <b/>
            <sz val="8"/>
            <color indexed="81"/>
            <rFont val="Tahoma"/>
            <family val="2"/>
          </rPr>
          <t>pw64212:</t>
        </r>
        <r>
          <rPr>
            <sz val="8"/>
            <color indexed="81"/>
            <rFont val="Tahoma"/>
            <family val="2"/>
          </rPr>
          <t xml:space="preserve">
20071Q first call: the 12% comp increase was comprised of 26% in our NY flagship store and a 9% increase in comparable branch store sales
noteworthy strength in Florida as well as Houston and Atlanta.  The only region with marked softness was in Hawaii and Guam, where a continuation of reduced spedning by Japanese tourists led to sales declines there.</t>
        </r>
      </text>
    </comment>
    <comment ref="H133" authorId="2">
      <text>
        <r>
          <rPr>
            <b/>
            <sz val="8"/>
            <color indexed="81"/>
            <rFont val="Tahoma"/>
            <family val="2"/>
          </rPr>
          <t>pw64212:</t>
        </r>
        <r>
          <rPr>
            <sz val="8"/>
            <color indexed="81"/>
            <rFont val="Tahoma"/>
            <family val="2"/>
          </rPr>
          <t xml:space="preserve">
20071Q 10Q: pg15 Earnings from Operations</t>
        </r>
      </text>
    </comment>
    <comment ref="N133" authorId="2">
      <text>
        <r>
          <rPr>
            <b/>
            <sz val="8"/>
            <color indexed="81"/>
            <rFont val="Tahoma"/>
            <family val="2"/>
          </rPr>
          <t>pw64212:</t>
        </r>
        <r>
          <rPr>
            <sz val="8"/>
            <color indexed="81"/>
            <rFont val="Tahoma"/>
            <family val="2"/>
          </rPr>
          <t xml:space="preserve">
20071Q 10Q: page 13.  In the first quarter, the New York Flagship store's sales increased 26%</t>
        </r>
      </text>
    </comment>
    <comment ref="O133" authorId="2">
      <text>
        <r>
          <rPr>
            <b/>
            <sz val="8"/>
            <color indexed="81"/>
            <rFont val="Tahoma"/>
            <family val="2"/>
          </rPr>
          <t>pw64212:</t>
        </r>
        <r>
          <rPr>
            <sz val="8"/>
            <color indexed="81"/>
            <rFont val="Tahoma"/>
            <family val="2"/>
          </rPr>
          <t xml:space="preserve">
20071Q 10Q: page 13.  …the comparable branch store sales increased 9%</t>
        </r>
      </text>
    </comment>
    <comment ref="Q133" authorId="2">
      <text>
        <r>
          <rPr>
            <b/>
            <sz val="8"/>
            <color indexed="81"/>
            <rFont val="Tahoma"/>
            <family val="2"/>
          </rPr>
          <t>pw64212:</t>
        </r>
        <r>
          <rPr>
            <sz val="8"/>
            <color indexed="81"/>
            <rFont val="Tahoma"/>
            <family val="2"/>
          </rPr>
          <t xml:space="preserve">
20071Q 10Q: Net Sales</t>
        </r>
      </text>
    </comment>
    <comment ref="S133" authorId="2">
      <text>
        <r>
          <rPr>
            <b/>
            <sz val="8"/>
            <color indexed="81"/>
            <rFont val="Tahoma"/>
            <family val="2"/>
          </rPr>
          <t>pw64212:</t>
        </r>
        <r>
          <rPr>
            <sz val="8"/>
            <color indexed="81"/>
            <rFont val="Tahoma"/>
            <family val="2"/>
          </rPr>
          <t xml:space="preserve">
20071Q 10Q: pg 13.  comparable store sales rose 4%</t>
        </r>
      </text>
    </comment>
    <comment ref="T133" authorId="2">
      <text>
        <r>
          <rPr>
            <b/>
            <sz val="8"/>
            <color indexed="81"/>
            <rFont val="Tahoma"/>
            <family val="2"/>
          </rPr>
          <t>pw64212:</t>
        </r>
        <r>
          <rPr>
            <sz val="8"/>
            <color indexed="81"/>
            <rFont val="Tahoma"/>
            <family val="2"/>
          </rPr>
          <t xml:space="preserve">
20071Q 10Q: pg15 Earnings from Operations</t>
        </r>
      </text>
    </comment>
    <comment ref="X133" authorId="2">
      <text>
        <r>
          <rPr>
            <b/>
            <sz val="8"/>
            <color indexed="81"/>
            <rFont val="Tahoma"/>
            <family val="2"/>
          </rPr>
          <t>pw64212:</t>
        </r>
        <r>
          <rPr>
            <sz val="8"/>
            <color indexed="81"/>
            <rFont val="Tahoma"/>
            <family val="2"/>
          </rPr>
          <t xml:space="preserve">
2007Q1 first call: comp store sales in Japan declined 7% in the first quarter.
Rose 7% in Feb., followed by declines of 15% in Mar. and 10% in April.  Part of the large fluctuation from Feb to Mar can be attributed to a price increase in mid Feb with a surge buying before the increase followed by an opposite effect afterwards.</t>
        </r>
      </text>
    </comment>
    <comment ref="AD133" authorId="2">
      <text>
        <r>
          <rPr>
            <b/>
            <sz val="8"/>
            <color indexed="81"/>
            <rFont val="Tahoma"/>
            <family val="2"/>
          </rPr>
          <t>pw64212:</t>
        </r>
        <r>
          <rPr>
            <sz val="8"/>
            <color indexed="81"/>
            <rFont val="Tahoma"/>
            <family val="2"/>
          </rPr>
          <t xml:space="preserve">
20071Q 10Q: pg 13.  On a constant-exchange basis
20071Q first call pg 2: in the Asia Pacific region outside of Japan, comp store sales increased 24% in the first quarter.</t>
        </r>
      </text>
    </comment>
    <comment ref="AE133" authorId="2">
      <text>
        <r>
          <rPr>
            <b/>
            <sz val="8"/>
            <color indexed="81"/>
            <rFont val="Tahoma"/>
            <family val="2"/>
          </rPr>
          <t>pw64212:</t>
        </r>
        <r>
          <rPr>
            <sz val="8"/>
            <color indexed="81"/>
            <rFont val="Tahoma"/>
            <family val="2"/>
          </rPr>
          <t xml:space="preserve">
20071Q 10Q: page 13.  On a constant-exchange-rate basis
20071Q first call: In Europe, comp store sales rose 11% in the quarter.</t>
        </r>
      </text>
    </comment>
    <comment ref="AM133" authorId="2">
      <text>
        <r>
          <rPr>
            <b/>
            <sz val="8"/>
            <color indexed="81"/>
            <rFont val="Tahoma"/>
            <family val="2"/>
          </rPr>
          <t>pw64212:</t>
        </r>
        <r>
          <rPr>
            <sz val="8"/>
            <color indexed="81"/>
            <rFont val="Tahoma"/>
            <family val="2"/>
          </rPr>
          <t xml:space="preserve">
20071Q 10Q: Net Sales</t>
        </r>
      </text>
    </comment>
    <comment ref="AO133" authorId="2">
      <text>
        <r>
          <rPr>
            <b/>
            <sz val="8"/>
            <color indexed="81"/>
            <rFont val="Tahoma"/>
            <family val="2"/>
          </rPr>
          <t>pw64212:</t>
        </r>
        <r>
          <rPr>
            <sz val="8"/>
            <color indexed="81"/>
            <rFont val="Tahoma"/>
            <family val="2"/>
          </rPr>
          <t xml:space="preserve">
20071Q 10Q: pg15 Earnings from Operations</t>
        </r>
      </text>
    </comment>
    <comment ref="AR133" authorId="2">
      <text>
        <r>
          <rPr>
            <b/>
            <sz val="8"/>
            <color indexed="81"/>
            <rFont val="Tahoma"/>
            <family val="2"/>
          </rPr>
          <t>pw64212:</t>
        </r>
        <r>
          <rPr>
            <sz val="8"/>
            <color indexed="81"/>
            <rFont val="Tahoma"/>
            <family val="2"/>
          </rPr>
          <t xml:space="preserve">
$40.888 prior to restatement
20071Q 10Q: Net Sales</t>
        </r>
      </text>
    </comment>
    <comment ref="AT133" authorId="2">
      <text>
        <r>
          <rPr>
            <b/>
            <sz val="8"/>
            <color indexed="81"/>
            <rFont val="Tahoma"/>
            <family val="2"/>
          </rPr>
          <t>pw64212:</t>
        </r>
        <r>
          <rPr>
            <sz val="8"/>
            <color indexed="81"/>
            <rFont val="Tahoma"/>
            <family val="2"/>
          </rPr>
          <t xml:space="preserve">
20071Q 10Q: pg15 Earnings from Operations</t>
        </r>
      </text>
    </comment>
    <comment ref="AR134" authorId="1">
      <text>
        <r>
          <rPr>
            <b/>
            <sz val="8"/>
            <color indexed="81"/>
            <rFont val="Tahoma"/>
            <family val="2"/>
          </rPr>
          <t>mm98285:</t>
        </r>
        <r>
          <rPr>
            <sz val="8"/>
            <color indexed="81"/>
            <rFont val="Tahoma"/>
            <family val="2"/>
          </rPr>
          <t xml:space="preserve">
growth in wholesale diamond sales contributed to $10.1 mm increase in other sales in 2Q</t>
        </r>
      </text>
    </comment>
    <comment ref="G135" authorId="1">
      <text>
        <r>
          <rPr>
            <b/>
            <sz val="8"/>
            <color indexed="81"/>
            <rFont val="Tahoma"/>
            <family val="2"/>
          </rPr>
          <t>mm98285:</t>
        </r>
        <r>
          <rPr>
            <sz val="8"/>
            <color indexed="81"/>
            <rFont val="Tahoma"/>
            <family val="2"/>
          </rPr>
          <t xml:space="preserve">
Aug +11%
Sept +2%
Oct +12%</t>
        </r>
      </text>
    </comment>
    <comment ref="S135" authorId="1">
      <text>
        <r>
          <rPr>
            <b/>
            <sz val="8"/>
            <color indexed="81"/>
            <rFont val="Tahoma"/>
            <family val="2"/>
          </rPr>
          <t>mm98285:</t>
        </r>
        <r>
          <rPr>
            <sz val="8"/>
            <color indexed="81"/>
            <rFont val="Tahoma"/>
            <family val="2"/>
          </rPr>
          <t xml:space="preserve">
2H international: expect M-H-teens comp in Europe and Asia Pacific, and Japan comps +slightly</t>
        </r>
      </text>
    </comment>
    <comment ref="X135" authorId="1">
      <text>
        <r>
          <rPr>
            <b/>
            <sz val="8"/>
            <color indexed="81"/>
            <rFont val="Tahoma"/>
            <family val="2"/>
          </rPr>
          <t>mm98285:</t>
        </r>
        <r>
          <rPr>
            <sz val="8"/>
            <color indexed="81"/>
            <rFont val="Tahoma"/>
            <family val="2"/>
          </rPr>
          <t xml:space="preserve">
Aug +3%
Sept +1%
Oct -5%</t>
        </r>
      </text>
    </comment>
    <comment ref="AR135" authorId="1">
      <text>
        <r>
          <rPr>
            <b/>
            <sz val="8"/>
            <color indexed="81"/>
            <rFont val="Tahoma"/>
            <family val="2"/>
          </rPr>
          <t>mm98285:</t>
        </r>
        <r>
          <rPr>
            <sz val="8"/>
            <color indexed="81"/>
            <rFont val="Tahoma"/>
            <family val="2"/>
          </rPr>
          <t xml:space="preserve">
wholesale diamonds up $12.5 in 3Q and up $27.8mm in 1Q-3Q vs. LY</t>
        </r>
      </text>
    </comment>
    <comment ref="E136" authorId="1">
      <text>
        <r>
          <rPr>
            <b/>
            <sz val="8"/>
            <color indexed="81"/>
            <rFont val="Tahoma"/>
            <family val="2"/>
          </rPr>
          <t>mm98285:</t>
        </r>
        <r>
          <rPr>
            <sz val="8"/>
            <color indexed="81"/>
            <rFont val="Tahoma"/>
            <family val="2"/>
          </rPr>
          <t xml:space="preserve">
1/08: holiday sales +4% to $449.08mm</t>
        </r>
      </text>
    </comment>
    <comment ref="G136" authorId="1">
      <text>
        <r>
          <rPr>
            <b/>
            <sz val="8"/>
            <color indexed="81"/>
            <rFont val="Tahoma"/>
            <family val="2"/>
          </rPr>
          <t>mm98285:</t>
        </r>
        <r>
          <rPr>
            <sz val="8"/>
            <color indexed="81"/>
            <rFont val="Tahoma"/>
            <family val="2"/>
          </rPr>
          <t xml:space="preserve">
1/08: holiday comps -2% (given decline in trans)
11/07: expect +MSD comp</t>
        </r>
      </text>
    </comment>
    <comment ref="N136" authorId="1">
      <text>
        <r>
          <rPr>
            <b/>
            <sz val="8"/>
            <color indexed="81"/>
            <rFont val="Tahoma"/>
            <family val="2"/>
          </rPr>
          <t>mm98285:</t>
        </r>
        <r>
          <rPr>
            <sz val="8"/>
            <color indexed="81"/>
            <rFont val="Tahoma"/>
            <family val="2"/>
          </rPr>
          <t xml:space="preserve">
1/08: holiday period +10% </t>
        </r>
      </text>
    </comment>
    <comment ref="Q136" authorId="1">
      <text>
        <r>
          <rPr>
            <b/>
            <sz val="8"/>
            <color indexed="81"/>
            <rFont val="Tahoma"/>
            <family val="2"/>
          </rPr>
          <t>mm98285:</t>
        </r>
        <r>
          <rPr>
            <sz val="8"/>
            <color indexed="81"/>
            <rFont val="Tahoma"/>
            <family val="2"/>
          </rPr>
          <t xml:space="preserve">
1/08: holiday +18% to $334.766mm</t>
        </r>
      </text>
    </comment>
    <comment ref="S136" authorId="1">
      <text>
        <r>
          <rPr>
            <b/>
            <sz val="8"/>
            <color indexed="81"/>
            <rFont val="Tahoma"/>
            <family val="2"/>
          </rPr>
          <t>mm98285:</t>
        </r>
        <r>
          <rPr>
            <sz val="8"/>
            <color indexed="81"/>
            <rFont val="Tahoma"/>
            <family val="2"/>
          </rPr>
          <t xml:space="preserve">
1/08: holiday comps +5%
2H international: expect M-H-teens comp in Europe and Asia Pacific, and Japan comps +slightly</t>
        </r>
      </text>
    </comment>
    <comment ref="X136" authorId="1">
      <text>
        <r>
          <rPr>
            <b/>
            <sz val="8"/>
            <color indexed="81"/>
            <rFont val="Tahoma"/>
            <family val="2"/>
          </rPr>
          <t>mm98285:</t>
        </r>
        <r>
          <rPr>
            <sz val="8"/>
            <color indexed="81"/>
            <rFont val="Tahoma"/>
            <family val="2"/>
          </rPr>
          <t xml:space="preserve">
1/08: holiday comps -5%</t>
        </r>
      </text>
    </comment>
    <comment ref="AD136" authorId="1">
      <text>
        <r>
          <rPr>
            <b/>
            <sz val="8"/>
            <color indexed="81"/>
            <rFont val="Tahoma"/>
            <family val="2"/>
          </rPr>
          <t>mm98285:</t>
        </r>
        <r>
          <rPr>
            <sz val="8"/>
            <color indexed="81"/>
            <rFont val="Tahoma"/>
            <family val="2"/>
          </rPr>
          <t xml:space="preserve">
1/08: holiday comps +24%</t>
        </r>
      </text>
    </comment>
    <comment ref="AE136" authorId="1">
      <text>
        <r>
          <rPr>
            <b/>
            <sz val="8"/>
            <color indexed="81"/>
            <rFont val="Tahoma"/>
            <family val="2"/>
          </rPr>
          <t>mm98285:</t>
        </r>
        <r>
          <rPr>
            <sz val="8"/>
            <color indexed="81"/>
            <rFont val="Tahoma"/>
            <family val="2"/>
          </rPr>
          <t xml:space="preserve">
1/08: holiday comps +7%</t>
        </r>
      </text>
    </comment>
    <comment ref="AM136" authorId="1">
      <text>
        <r>
          <rPr>
            <b/>
            <sz val="8"/>
            <color indexed="81"/>
            <rFont val="Tahoma"/>
            <family val="2"/>
          </rPr>
          <t>mm98285:</t>
        </r>
        <r>
          <rPr>
            <sz val="8"/>
            <color indexed="81"/>
            <rFont val="Tahoma"/>
            <family val="2"/>
          </rPr>
          <t xml:space="preserve">
1/08: holiday sales equal to LY at $69.937mm</t>
        </r>
      </text>
    </comment>
    <comment ref="AR136" authorId="1">
      <text>
        <r>
          <rPr>
            <b/>
            <sz val="8"/>
            <color indexed="81"/>
            <rFont val="Tahoma"/>
            <family val="2"/>
          </rPr>
          <t>mm98285:</t>
        </r>
        <r>
          <rPr>
            <sz val="8"/>
            <color indexed="81"/>
            <rFont val="Tahoma"/>
            <family val="2"/>
          </rPr>
          <t xml:space="preserve">
3/08: wholesale sales of diamonds up $2.7mm
1/08: holiday sales declined -20% to $13.479 due to reduction in whole sales of diamonds (which declined $2.9mm)</t>
        </r>
      </text>
    </comment>
    <comment ref="G137" authorId="1">
      <text>
        <r>
          <rPr>
            <b/>
            <sz val="8"/>
            <color indexed="81"/>
            <rFont val="Tahoma"/>
            <family val="2"/>
          </rPr>
          <t>mm98285:</t>
        </r>
        <r>
          <rPr>
            <sz val="8"/>
            <color indexed="81"/>
            <rFont val="Tahoma"/>
            <family val="2"/>
          </rPr>
          <t xml:space="preserve">
8/07: expect +LDD comp</t>
        </r>
      </text>
    </comment>
    <comment ref="X137" authorId="1">
      <text>
        <r>
          <rPr>
            <b/>
            <sz val="8"/>
            <color indexed="81"/>
            <rFont val="Tahoma"/>
            <family val="2"/>
          </rPr>
          <t>mm98285:</t>
        </r>
        <r>
          <rPr>
            <sz val="8"/>
            <color indexed="81"/>
            <rFont val="Tahoma"/>
            <family val="2"/>
          </rPr>
          <t xml:space="preserve">
54% of Int'l sales</t>
        </r>
      </text>
    </comment>
    <comment ref="AD137" authorId="1">
      <text>
        <r>
          <rPr>
            <b/>
            <sz val="8"/>
            <color indexed="81"/>
            <rFont val="Tahoma"/>
            <family val="2"/>
          </rPr>
          <t>mm98285:</t>
        </r>
        <r>
          <rPr>
            <sz val="8"/>
            <color indexed="81"/>
            <rFont val="Tahoma"/>
            <family val="2"/>
          </rPr>
          <t xml:space="preserve">
26% of Int'l sales</t>
        </r>
      </text>
    </comment>
    <comment ref="AE137" authorId="1">
      <text>
        <r>
          <rPr>
            <b/>
            <sz val="8"/>
            <color indexed="81"/>
            <rFont val="Tahoma"/>
            <family val="2"/>
          </rPr>
          <t>mm98285:</t>
        </r>
        <r>
          <rPr>
            <sz val="8"/>
            <color indexed="81"/>
            <rFont val="Tahoma"/>
            <family val="2"/>
          </rPr>
          <t xml:space="preserve">
20% of Int'l sales</t>
        </r>
      </text>
    </comment>
    <comment ref="AN137" authorId="1">
      <text>
        <r>
          <rPr>
            <b/>
            <sz val="8"/>
            <color indexed="81"/>
            <rFont val="Tahoma"/>
            <family val="2"/>
          </rPr>
          <t>mm98285:</t>
        </r>
        <r>
          <rPr>
            <sz val="8"/>
            <color indexed="81"/>
            <rFont val="Tahoma"/>
            <family val="2"/>
          </rPr>
          <t xml:space="preserve">
11/07: expect +10%
8/07 &amp; 3/07: expect mid-teens increase in direct</t>
        </r>
      </text>
    </comment>
    <comment ref="AR137" authorId="1">
      <text>
        <r>
          <rPr>
            <b/>
            <sz val="8"/>
            <color indexed="81"/>
            <rFont val="Tahoma"/>
            <family val="2"/>
          </rPr>
          <t>mm98285:</t>
        </r>
        <r>
          <rPr>
            <sz val="8"/>
            <color indexed="81"/>
            <rFont val="Tahoma"/>
            <family val="2"/>
          </rPr>
          <t xml:space="preserve">
3/08: wholesale sales of diamonds up $30.5mm</t>
        </r>
      </text>
    </comment>
    <comment ref="AS137" authorId="1">
      <text>
        <r>
          <rPr>
            <b/>
            <sz val="8"/>
            <color indexed="81"/>
            <rFont val="Tahoma"/>
            <family val="2"/>
          </rPr>
          <t>mm98285:</t>
        </r>
        <r>
          <rPr>
            <sz val="8"/>
            <color indexed="81"/>
            <rFont val="Tahoma"/>
            <family val="2"/>
          </rPr>
          <t xml:space="preserve">
11/07: up over 50% (ex discont. Ops from LY)
8/07: expect ~40% increase due to increased wholesale sales of diamonds
3/07: expect 25% increase in other sales due to growth in wholesale diamond sales &amp; specialty retail sales</t>
        </r>
      </text>
    </comment>
    <comment ref="G140" authorId="1">
      <text>
        <r>
          <rPr>
            <b/>
            <sz val="8"/>
            <color indexed="81"/>
            <rFont val="Tahoma"/>
            <family val="2"/>
          </rPr>
          <t>mm98285:</t>
        </r>
        <r>
          <rPr>
            <sz val="8"/>
            <color indexed="81"/>
            <rFont val="Tahoma"/>
            <family val="2"/>
          </rPr>
          <t xml:space="preserve">
3/08: expect down slightly in 1H</t>
        </r>
      </text>
    </comment>
    <comment ref="G141" authorId="1">
      <text>
        <r>
          <rPr>
            <b/>
            <sz val="8"/>
            <color indexed="81"/>
            <rFont val="Tahoma"/>
            <family val="2"/>
          </rPr>
          <t>mm98285:</t>
        </r>
        <r>
          <rPr>
            <sz val="8"/>
            <color indexed="81"/>
            <rFont val="Tahoma"/>
            <family val="2"/>
          </rPr>
          <t xml:space="preserve">
3/08: expect down slightly in 1H</t>
        </r>
      </text>
    </comment>
    <comment ref="G144" authorId="1">
      <text>
        <r>
          <rPr>
            <b/>
            <sz val="8"/>
            <color indexed="81"/>
            <rFont val="Tahoma"/>
            <family val="2"/>
          </rPr>
          <t>mm98285:</t>
        </r>
        <r>
          <rPr>
            <sz val="8"/>
            <color indexed="81"/>
            <rFont val="Tahoma"/>
            <family val="2"/>
          </rPr>
          <t xml:space="preserve">
3/08: expect +LSD</t>
        </r>
      </text>
    </comment>
    <comment ref="S144" authorId="1">
      <text>
        <r>
          <rPr>
            <b/>
            <sz val="8"/>
            <color indexed="81"/>
            <rFont val="Tahoma"/>
            <family val="2"/>
          </rPr>
          <t>mm98285:</t>
        </r>
        <r>
          <rPr>
            <sz val="8"/>
            <color indexed="81"/>
            <rFont val="Tahoma"/>
            <family val="2"/>
          </rPr>
          <t xml:space="preserve">
3/08: expect +MSD</t>
        </r>
      </text>
    </comment>
    <comment ref="E149" authorId="1">
      <text>
        <r>
          <rPr>
            <b/>
            <sz val="8"/>
            <color indexed="81"/>
            <rFont val="Tahoma"/>
            <family val="2"/>
          </rPr>
          <t>mm98285:</t>
        </r>
        <r>
          <rPr>
            <sz val="8"/>
            <color indexed="81"/>
            <rFont val="Tahoma"/>
            <family val="2"/>
          </rPr>
          <t xml:space="preserve">
consists of sales in U.S., Canada, Latin/South America</t>
        </r>
      </text>
    </comment>
    <comment ref="Q149" authorId="1">
      <text>
        <r>
          <rPr>
            <b/>
            <sz val="8"/>
            <color indexed="81"/>
            <rFont val="Tahoma"/>
            <family val="2"/>
          </rPr>
          <t>mm98285:</t>
        </r>
        <r>
          <rPr>
            <sz val="8"/>
            <color indexed="81"/>
            <rFont val="Tahoma"/>
            <family val="2"/>
          </rPr>
          <t xml:space="preserve">
includes sales in Japan, Asia-Pacific countries outside Japan and Middle East</t>
        </r>
      </text>
    </comment>
    <comment ref="X149" authorId="1">
      <text>
        <r>
          <rPr>
            <b/>
            <sz val="8"/>
            <color indexed="81"/>
            <rFont val="Tahoma"/>
            <family val="2"/>
          </rPr>
          <t>mm98285:</t>
        </r>
        <r>
          <rPr>
            <sz val="8"/>
            <color indexed="81"/>
            <rFont val="Tahoma"/>
            <family val="2"/>
          </rPr>
          <t xml:space="preserve">
11/08: Japan represents just over half of the Asia-Pacific region</t>
        </r>
      </text>
    </comment>
    <comment ref="AR149" authorId="1">
      <text>
        <r>
          <rPr>
            <b/>
            <sz val="8"/>
            <color indexed="81"/>
            <rFont val="Tahoma"/>
            <family val="2"/>
          </rPr>
          <t>mm98285:</t>
        </r>
        <r>
          <rPr>
            <sz val="8"/>
            <color indexed="81"/>
            <rFont val="Tahoma"/>
            <family val="2"/>
          </rPr>
          <t xml:space="preserve">
wholesale sales of rough diamonds acquired through diamond sourcing program, license revenues (eyewear)</t>
        </r>
      </text>
    </comment>
    <comment ref="M160" authorId="1">
      <text>
        <r>
          <rPr>
            <b/>
            <sz val="8"/>
            <color indexed="81"/>
            <rFont val="Tahoma"/>
            <family val="2"/>
          </rPr>
          <t>mm98285:</t>
        </r>
        <r>
          <rPr>
            <sz val="8"/>
            <color indexed="81"/>
            <rFont val="Tahoma"/>
            <family val="2"/>
          </rPr>
          <t xml:space="preserve">
+20% in May, +10% in June, +22% in July</t>
        </r>
      </text>
    </comment>
    <comment ref="M161" authorId="1">
      <text>
        <r>
          <rPr>
            <b/>
            <sz val="8"/>
            <color indexed="81"/>
            <rFont val="Tahoma"/>
            <family val="2"/>
          </rPr>
          <t>mm98285:</t>
        </r>
        <r>
          <rPr>
            <sz val="8"/>
            <color indexed="81"/>
            <rFont val="Tahoma"/>
            <family val="2"/>
          </rPr>
          <t xml:space="preserve">
+11% in August, +2% in September, +12% in October</t>
        </r>
      </text>
    </comment>
    <comment ref="AS161" authorId="1">
      <text>
        <r>
          <rPr>
            <b/>
            <sz val="8"/>
            <color indexed="81"/>
            <rFont val="Tahoma"/>
            <family val="2"/>
          </rPr>
          <t>mm98285:</t>
        </r>
        <r>
          <rPr>
            <sz val="8"/>
            <color indexed="81"/>
            <rFont val="Tahoma"/>
            <family val="2"/>
          </rPr>
          <t xml:space="preserve">
increased wholesale sales of diamonds in connection with rough diamond sourcing</t>
        </r>
      </text>
    </comment>
    <comment ref="BE161" authorId="1">
      <text>
        <r>
          <rPr>
            <b/>
            <sz val="8"/>
            <color indexed="81"/>
            <rFont val="Tahoma"/>
            <family val="2"/>
          </rPr>
          <t>mm98285:</t>
        </r>
        <r>
          <rPr>
            <sz val="8"/>
            <color indexed="81"/>
            <rFont val="Tahoma"/>
            <family val="2"/>
          </rPr>
          <t xml:space="preserve">
exclude $10M contribution to the Tiffany &amp; Co. Foundation</t>
        </r>
      </text>
    </comment>
    <comment ref="M162" authorId="1">
      <text>
        <r>
          <rPr>
            <b/>
            <sz val="8"/>
            <color indexed="81"/>
            <rFont val="Tahoma"/>
            <family val="2"/>
          </rPr>
          <t>mm98285:</t>
        </r>
        <r>
          <rPr>
            <sz val="8"/>
            <color indexed="81"/>
            <rFont val="Tahoma"/>
            <family val="2"/>
          </rPr>
          <t xml:space="preserve">
holiday comp -2% (+7% in Nov, -5% in Dec, 0% in Jan.)</t>
        </r>
      </text>
    </comment>
    <comment ref="Y162" authorId="1">
      <text>
        <r>
          <rPr>
            <b/>
            <sz val="8"/>
            <color indexed="81"/>
            <rFont val="Tahoma"/>
            <family val="2"/>
          </rPr>
          <t>mm98285:</t>
        </r>
        <r>
          <rPr>
            <sz val="8"/>
            <color indexed="81"/>
            <rFont val="Tahoma"/>
            <family val="2"/>
          </rPr>
          <t xml:space="preserve">
holiday comp -5%</t>
        </r>
      </text>
    </comment>
    <comment ref="AD162" authorId="1">
      <text>
        <r>
          <rPr>
            <b/>
            <sz val="8"/>
            <color indexed="81"/>
            <rFont val="Tahoma"/>
            <family val="2"/>
          </rPr>
          <t>mm98285:</t>
        </r>
        <r>
          <rPr>
            <sz val="8"/>
            <color indexed="81"/>
            <rFont val="Tahoma"/>
            <family val="2"/>
          </rPr>
          <t xml:space="preserve">
holiday comps +24%</t>
        </r>
      </text>
    </comment>
    <comment ref="AI162" authorId="1">
      <text>
        <r>
          <rPr>
            <b/>
            <sz val="8"/>
            <color indexed="81"/>
            <rFont val="Tahoma"/>
            <family val="2"/>
          </rPr>
          <t>mm98285:</t>
        </r>
        <r>
          <rPr>
            <sz val="8"/>
            <color indexed="81"/>
            <rFont val="Tahoma"/>
            <family val="2"/>
          </rPr>
          <t xml:space="preserve">
holiday comp +7%</t>
        </r>
      </text>
    </comment>
    <comment ref="BF162" authorId="1">
      <text>
        <r>
          <rPr>
            <b/>
            <sz val="8"/>
            <color indexed="81"/>
            <rFont val="Tahoma"/>
            <family val="2"/>
          </rPr>
          <t>mm98285:</t>
        </r>
        <r>
          <rPr>
            <sz val="8"/>
            <color indexed="81"/>
            <rFont val="Tahoma"/>
            <family val="2"/>
          </rPr>
          <t xml:space="preserve">
excludes $15.532M impairment charge (lower than expected store perf for Iridesse) </t>
        </r>
      </text>
    </comment>
    <comment ref="BE163" authorId="1">
      <text>
        <r>
          <rPr>
            <b/>
            <sz val="8"/>
            <color indexed="81"/>
            <rFont val="Tahoma"/>
            <family val="2"/>
          </rPr>
          <t>mm98285:</t>
        </r>
        <r>
          <rPr>
            <sz val="8"/>
            <color indexed="81"/>
            <rFont val="Tahoma"/>
            <family val="2"/>
          </rPr>
          <t xml:space="preserve">
exclude $10M contribution to the Tiffany &amp; Co. Foundation</t>
        </r>
      </text>
    </comment>
    <comment ref="F166" authorId="1">
      <text>
        <r>
          <rPr>
            <b/>
            <sz val="8"/>
            <color indexed="81"/>
            <rFont val="Tahoma"/>
            <family val="2"/>
          </rPr>
          <t>mm98285:</t>
        </r>
        <r>
          <rPr>
            <sz val="8"/>
            <color indexed="81"/>
            <rFont val="Tahoma"/>
            <family val="2"/>
          </rPr>
          <t xml:space="preserve">
+5% constant exchange rate basis</t>
        </r>
      </text>
    </comment>
    <comment ref="G166" authorId="1">
      <text>
        <r>
          <rPr>
            <b/>
            <sz val="8"/>
            <color indexed="81"/>
            <rFont val="Tahoma"/>
            <family val="2"/>
          </rPr>
          <t>mm98285:</t>
        </r>
        <r>
          <rPr>
            <sz val="8"/>
            <color indexed="81"/>
            <rFont val="Tahoma"/>
            <family val="2"/>
          </rPr>
          <t xml:space="preserve">
+1% GAAP</t>
        </r>
      </text>
    </comment>
    <comment ref="I166" authorId="1">
      <text>
        <r>
          <rPr>
            <b/>
            <sz val="8"/>
            <color indexed="81"/>
            <rFont val="Tahoma"/>
            <family val="2"/>
          </rPr>
          <t>mm98285:</t>
        </r>
        <r>
          <rPr>
            <sz val="8"/>
            <color indexed="81"/>
            <rFont val="Tahoma"/>
            <family val="2"/>
          </rPr>
          <t xml:space="preserve">
higher GM due to changes in sales mix and levg on fixed costs</t>
        </r>
      </text>
    </comment>
    <comment ref="L166" authorId="1">
      <text>
        <r>
          <rPr>
            <b/>
            <sz val="8"/>
            <color indexed="81"/>
            <rFont val="Tahoma"/>
            <family val="2"/>
          </rPr>
          <t>mm98285:</t>
        </r>
        <r>
          <rPr>
            <sz val="8"/>
            <color indexed="81"/>
            <rFont val="Tahoma"/>
            <family val="2"/>
          </rPr>
          <t xml:space="preserve">
combined U.S. catalog &amp; internet sales +1%</t>
        </r>
      </text>
    </comment>
    <comment ref="M166" authorId="1">
      <text>
        <r>
          <rPr>
            <b/>
            <sz val="8"/>
            <color indexed="81"/>
            <rFont val="Tahoma"/>
            <family val="2"/>
          </rPr>
          <t>mm98285:</t>
        </r>
        <r>
          <rPr>
            <sz val="8"/>
            <color indexed="81"/>
            <rFont val="Tahoma"/>
            <family val="2"/>
          </rPr>
          <t xml:space="preserve">
0% in Feb, +4% in March, -3% in April </t>
        </r>
      </text>
    </comment>
    <comment ref="N166" authorId="1">
      <text>
        <r>
          <rPr>
            <b/>
            <sz val="8"/>
            <color indexed="81"/>
            <rFont val="Tahoma"/>
            <family val="2"/>
          </rPr>
          <t>mm98285:</t>
        </r>
        <r>
          <rPr>
            <sz val="8"/>
            <color indexed="81"/>
            <rFont val="Tahoma"/>
            <family val="2"/>
          </rPr>
          <t xml:space="preserve">
benefitted from an abundance of foreign visitors to NYC</t>
        </r>
      </text>
    </comment>
    <comment ref="Q166" authorId="6">
      <text>
        <r>
          <rPr>
            <b/>
            <sz val="8"/>
            <color indexed="81"/>
            <rFont val="Tahoma"/>
            <family val="2"/>
          </rPr>
          <t>ns66486:</t>
        </r>
        <r>
          <rPr>
            <sz val="8"/>
            <color indexed="81"/>
            <rFont val="Tahoma"/>
            <family val="2"/>
          </rPr>
          <t xml:space="preserve">
restated from 222.037</t>
        </r>
      </text>
    </comment>
    <comment ref="R166" authorId="1">
      <text>
        <r>
          <rPr>
            <b/>
            <sz val="8"/>
            <color indexed="81"/>
            <rFont val="Tahoma"/>
            <family val="2"/>
          </rPr>
          <t>mm98285:</t>
        </r>
        <r>
          <rPr>
            <sz val="8"/>
            <color indexed="81"/>
            <rFont val="Tahoma"/>
            <family val="2"/>
          </rPr>
          <t xml:space="preserve">
+10% constant exchange rate basis</t>
        </r>
      </text>
    </comment>
    <comment ref="S166" authorId="1">
      <text>
        <r>
          <rPr>
            <b/>
            <sz val="8"/>
            <color indexed="81"/>
            <rFont val="Tahoma"/>
            <family val="2"/>
          </rPr>
          <t>mm98285:</t>
        </r>
        <r>
          <rPr>
            <sz val="8"/>
            <color indexed="81"/>
            <rFont val="Tahoma"/>
            <family val="2"/>
          </rPr>
          <t xml:space="preserve">
15% GAAP reported</t>
        </r>
      </text>
    </comment>
    <comment ref="U166" authorId="1">
      <text>
        <r>
          <rPr>
            <b/>
            <sz val="8"/>
            <color indexed="81"/>
            <rFont val="Tahoma"/>
            <family val="2"/>
          </rPr>
          <t>mm98285:</t>
        </r>
        <r>
          <rPr>
            <sz val="8"/>
            <color indexed="81"/>
            <rFont val="Tahoma"/>
            <family val="2"/>
          </rPr>
          <t xml:space="preserve">
decline due to lower GM (changes in sales mix) and increased op exp in Japan (marketing and new store related) partly offset by higher profitability in most markets other than Japan</t>
        </r>
      </text>
    </comment>
    <comment ref="X166" authorId="1">
      <text>
        <r>
          <rPr>
            <b/>
            <sz val="8"/>
            <color indexed="81"/>
            <rFont val="Tahoma"/>
            <family val="2"/>
          </rPr>
          <t>mm98285:</t>
        </r>
        <r>
          <rPr>
            <sz val="8"/>
            <color indexed="81"/>
            <rFont val="Tahoma"/>
            <family val="2"/>
          </rPr>
          <t xml:space="preserve">
+15% translation effect
-2% constant exchange rate basis</t>
        </r>
      </text>
    </comment>
    <comment ref="Y166" authorId="1">
      <text>
        <r>
          <rPr>
            <b/>
            <sz val="8"/>
            <color indexed="81"/>
            <rFont val="Tahoma"/>
            <family val="2"/>
          </rPr>
          <t>mm98285:</t>
        </r>
        <r>
          <rPr>
            <sz val="8"/>
            <color indexed="81"/>
            <rFont val="Tahoma"/>
            <family val="2"/>
          </rPr>
          <t xml:space="preserve">
+14% Translation Effect
+7% GAAP</t>
        </r>
      </text>
    </comment>
    <comment ref="AC166" authorId="1">
      <text>
        <r>
          <rPr>
            <b/>
            <sz val="8"/>
            <color indexed="81"/>
            <rFont val="Tahoma"/>
            <family val="2"/>
          </rPr>
          <t>mm98285:</t>
        </r>
        <r>
          <rPr>
            <sz val="8"/>
            <color indexed="81"/>
            <rFont val="Tahoma"/>
            <family val="2"/>
          </rPr>
          <t xml:space="preserve">
+7% translation effect
+32% constant exchange rate basis</t>
        </r>
      </text>
    </comment>
    <comment ref="AD166" authorId="1">
      <text>
        <r>
          <rPr>
            <b/>
            <sz val="8"/>
            <color indexed="81"/>
            <rFont val="Tahoma"/>
            <family val="2"/>
          </rPr>
          <t>mm98285:</t>
        </r>
        <r>
          <rPr>
            <sz val="8"/>
            <color indexed="81"/>
            <rFont val="Tahoma"/>
            <family val="2"/>
          </rPr>
          <t xml:space="preserve">
+6% translation effect
+28% GAAP</t>
        </r>
      </text>
    </comment>
    <comment ref="AG166" authorId="6">
      <text>
        <r>
          <rPr>
            <b/>
            <sz val="8"/>
            <color indexed="81"/>
            <rFont val="Tahoma"/>
            <family val="2"/>
          </rPr>
          <t>ns66486:</t>
        </r>
        <r>
          <rPr>
            <sz val="8"/>
            <color indexed="81"/>
            <rFont val="Tahoma"/>
            <family val="2"/>
          </rPr>
          <t xml:space="preserve">
restated from $60.125</t>
        </r>
      </text>
    </comment>
    <comment ref="AH166" authorId="1">
      <text>
        <r>
          <rPr>
            <b/>
            <sz val="8"/>
            <color indexed="81"/>
            <rFont val="Tahoma"/>
            <family val="2"/>
          </rPr>
          <t>mm98285:</t>
        </r>
        <r>
          <rPr>
            <sz val="8"/>
            <color indexed="81"/>
            <rFont val="Tahoma"/>
            <family val="2"/>
          </rPr>
          <t xml:space="preserve">
+30% constant exchange rate basis</t>
        </r>
      </text>
    </comment>
    <comment ref="AI166" authorId="1">
      <text>
        <r>
          <rPr>
            <b/>
            <sz val="8"/>
            <color indexed="81"/>
            <rFont val="Tahoma"/>
            <family val="2"/>
          </rPr>
          <t>mm98285:</t>
        </r>
        <r>
          <rPr>
            <sz val="8"/>
            <color indexed="81"/>
            <rFont val="Tahoma"/>
            <family val="2"/>
          </rPr>
          <t xml:space="preserve">
21% GAAP reported</t>
        </r>
      </text>
    </comment>
    <comment ref="AK166" authorId="1">
      <text>
        <r>
          <rPr>
            <b/>
            <sz val="8"/>
            <color indexed="81"/>
            <rFont val="Tahoma"/>
            <family val="2"/>
          </rPr>
          <t>mm98285:</t>
        </r>
        <r>
          <rPr>
            <sz val="8"/>
            <color indexed="81"/>
            <rFont val="Tahoma"/>
            <family val="2"/>
          </rPr>
          <t xml:space="preserve">
increase in GM (due to changes in sales mix) and levg of op exp.</t>
        </r>
      </text>
    </comment>
    <comment ref="AR166" authorId="1">
      <text>
        <r>
          <rPr>
            <sz val="8"/>
            <color indexed="81"/>
            <rFont val="Tahoma"/>
            <family val="2"/>
          </rPr>
          <t>restated from $9.753
excludes $2.669M for Iridesse</t>
        </r>
      </text>
    </comment>
    <comment ref="AS166" authorId="1">
      <text>
        <r>
          <rPr>
            <b/>
            <sz val="8"/>
            <color indexed="81"/>
            <rFont val="Tahoma"/>
            <family val="2"/>
          </rPr>
          <t>mm98285:</t>
        </r>
        <r>
          <rPr>
            <sz val="8"/>
            <color indexed="81"/>
            <rFont val="Tahoma"/>
            <family val="2"/>
          </rPr>
          <t xml:space="preserve">
reduced wholesale sale of diamonds made in connection with TIF's diamond sourcing program</t>
        </r>
      </text>
    </comment>
    <comment ref="AT166" authorId="7">
      <text>
        <r>
          <rPr>
            <b/>
            <sz val="8"/>
            <color indexed="81"/>
            <rFont val="Tahoma"/>
            <family val="2"/>
          </rPr>
          <t>ol36766:</t>
        </r>
        <r>
          <rPr>
            <sz val="8"/>
            <color indexed="81"/>
            <rFont val="Tahoma"/>
            <family val="2"/>
          </rPr>
          <t xml:space="preserve">
restated: -$4.025M including Iridesse loss</t>
        </r>
      </text>
    </comment>
    <comment ref="E167" authorId="1">
      <text>
        <r>
          <rPr>
            <b/>
            <sz val="8"/>
            <color indexed="81"/>
            <rFont val="Tahoma"/>
            <family val="2"/>
          </rPr>
          <t>mm98285:</t>
        </r>
        <r>
          <rPr>
            <sz val="8"/>
            <color indexed="81"/>
            <rFont val="Tahoma"/>
            <family val="2"/>
          </rPr>
          <t xml:space="preserve">
strong sales in Canada and Latin America</t>
        </r>
      </text>
    </comment>
    <comment ref="F167" authorId="1">
      <text>
        <r>
          <rPr>
            <b/>
            <sz val="8"/>
            <color indexed="81"/>
            <rFont val="Tahoma"/>
            <family val="2"/>
          </rPr>
          <t>mm98285:</t>
        </r>
        <r>
          <rPr>
            <sz val="8"/>
            <color indexed="81"/>
            <rFont val="Tahoma"/>
            <family val="2"/>
          </rPr>
          <t xml:space="preserve">
+3% constant exchange rate basis</t>
        </r>
      </text>
    </comment>
    <comment ref="G167" authorId="1">
      <text>
        <r>
          <rPr>
            <b/>
            <sz val="8"/>
            <color indexed="81"/>
            <rFont val="Tahoma"/>
            <family val="2"/>
          </rPr>
          <t>mm98285:</t>
        </r>
        <r>
          <rPr>
            <sz val="8"/>
            <color indexed="81"/>
            <rFont val="Tahoma"/>
            <family val="2"/>
          </rPr>
          <t xml:space="preserve">
-2% GAAP</t>
        </r>
      </text>
    </comment>
    <comment ref="I167" authorId="1">
      <text>
        <r>
          <rPr>
            <b/>
            <sz val="8"/>
            <color indexed="81"/>
            <rFont val="Tahoma"/>
            <family val="2"/>
          </rPr>
          <t>mm98285:</t>
        </r>
        <r>
          <rPr>
            <sz val="8"/>
            <color indexed="81"/>
            <rFont val="Tahoma"/>
            <family val="2"/>
          </rPr>
          <t xml:space="preserve">
higher GM due to changes in sales mix and levg on fixed costs</t>
        </r>
      </text>
    </comment>
    <comment ref="L167" authorId="1">
      <text>
        <r>
          <rPr>
            <b/>
            <sz val="8"/>
            <color indexed="81"/>
            <rFont val="Tahoma"/>
            <family val="2"/>
          </rPr>
          <t>mm98285:</t>
        </r>
        <r>
          <rPr>
            <sz val="8"/>
            <color indexed="81"/>
            <rFont val="Tahoma"/>
            <family val="2"/>
          </rPr>
          <t xml:space="preserve">
combined U.S. catalog &amp; internet sales -4%
increase in U.S. sales more than entirely due to higher spending by customers from other countries</t>
        </r>
      </text>
    </comment>
    <comment ref="M167" authorId="1">
      <text>
        <r>
          <rPr>
            <b/>
            <sz val="8"/>
            <color indexed="81"/>
            <rFont val="Tahoma"/>
            <family val="2"/>
          </rPr>
          <t>mm98285:</t>
        </r>
        <r>
          <rPr>
            <sz val="8"/>
            <color indexed="81"/>
            <rFont val="Tahoma"/>
            <family val="2"/>
          </rPr>
          <t xml:space="preserve">
-2% in May, -6% in June and -5% in July</t>
        </r>
      </text>
    </comment>
    <comment ref="N167" authorId="1">
      <text>
        <r>
          <rPr>
            <b/>
            <sz val="8"/>
            <color indexed="81"/>
            <rFont val="Tahoma"/>
            <family val="2"/>
          </rPr>
          <t>mm98285:</t>
        </r>
        <r>
          <rPr>
            <sz val="8"/>
            <color indexed="81"/>
            <rFont val="Tahoma"/>
            <family val="2"/>
          </rPr>
          <t xml:space="preserve">
increased spending by non-U.S. visitors</t>
        </r>
      </text>
    </comment>
    <comment ref="Q167" authorId="6">
      <text>
        <r>
          <rPr>
            <b/>
            <sz val="8"/>
            <color indexed="81"/>
            <rFont val="Tahoma"/>
            <family val="2"/>
          </rPr>
          <t>ns66486:</t>
        </r>
        <r>
          <rPr>
            <sz val="8"/>
            <color indexed="81"/>
            <rFont val="Tahoma"/>
            <family val="2"/>
          </rPr>
          <t xml:space="preserve">
restated from 214.233</t>
        </r>
      </text>
    </comment>
    <comment ref="R167" authorId="1">
      <text>
        <r>
          <rPr>
            <b/>
            <sz val="8"/>
            <color indexed="81"/>
            <rFont val="Tahoma"/>
            <family val="2"/>
          </rPr>
          <t>mm98285:</t>
        </r>
        <r>
          <rPr>
            <sz val="8"/>
            <color indexed="81"/>
            <rFont val="Tahoma"/>
            <family val="2"/>
          </rPr>
          <t xml:space="preserve">
+7% constant exchange rate basis</t>
        </r>
      </text>
    </comment>
    <comment ref="S167" authorId="1">
      <text>
        <r>
          <rPr>
            <b/>
            <sz val="8"/>
            <color indexed="81"/>
            <rFont val="Tahoma"/>
            <family val="2"/>
          </rPr>
          <t>mm98285:</t>
        </r>
        <r>
          <rPr>
            <sz val="8"/>
            <color indexed="81"/>
            <rFont val="Tahoma"/>
            <family val="2"/>
          </rPr>
          <t xml:space="preserve">
11% GAAP reported</t>
        </r>
      </text>
    </comment>
    <comment ref="U167" authorId="1">
      <text>
        <r>
          <rPr>
            <b/>
            <sz val="8"/>
            <color indexed="81"/>
            <rFont val="Tahoma"/>
            <family val="2"/>
          </rPr>
          <t>mm98285:</t>
        </r>
        <r>
          <rPr>
            <sz val="8"/>
            <color indexed="81"/>
            <rFont val="Tahoma"/>
            <family val="2"/>
          </rPr>
          <t xml:space="preserve">
decline due to increased op exp in Japan (marketing &amp; new store related) partly offset by increased profitability in most markets other than Japan</t>
        </r>
      </text>
    </comment>
    <comment ref="X167" authorId="1">
      <text>
        <r>
          <rPr>
            <b/>
            <sz val="8"/>
            <color indexed="81"/>
            <rFont val="Tahoma"/>
            <family val="2"/>
          </rPr>
          <t>mm98285:</t>
        </r>
        <r>
          <rPr>
            <sz val="8"/>
            <color indexed="81"/>
            <rFont val="Tahoma"/>
            <family val="2"/>
          </rPr>
          <t xml:space="preserve">
+15% translation effect
-3% constant exchange rate basis</t>
        </r>
      </text>
    </comment>
    <comment ref="Y167" authorId="1">
      <text>
        <r>
          <rPr>
            <b/>
            <sz val="8"/>
            <color indexed="81"/>
            <rFont val="Tahoma"/>
            <family val="2"/>
          </rPr>
          <t>mm98285:</t>
        </r>
        <r>
          <rPr>
            <sz val="8"/>
            <color indexed="81"/>
            <rFont val="Tahoma"/>
            <family val="2"/>
          </rPr>
          <t xml:space="preserve">
+14% Translation Effect
+7% GAAP</t>
        </r>
      </text>
    </comment>
    <comment ref="AC167" authorId="1">
      <text>
        <r>
          <rPr>
            <b/>
            <sz val="8"/>
            <color indexed="81"/>
            <rFont val="Tahoma"/>
            <family val="2"/>
          </rPr>
          <t>mm98285:</t>
        </r>
        <r>
          <rPr>
            <sz val="8"/>
            <color indexed="81"/>
            <rFont val="Tahoma"/>
            <family val="2"/>
          </rPr>
          <t xml:space="preserve">
+5% translation effect
+18% constant exchange rate basis</t>
        </r>
      </text>
    </comment>
    <comment ref="AD167" authorId="1">
      <text>
        <r>
          <rPr>
            <b/>
            <sz val="8"/>
            <color indexed="81"/>
            <rFont val="Tahoma"/>
            <family val="2"/>
          </rPr>
          <t>mm98285:</t>
        </r>
        <r>
          <rPr>
            <sz val="8"/>
            <color indexed="81"/>
            <rFont val="Tahoma"/>
            <family val="2"/>
          </rPr>
          <t xml:space="preserve">
+5% translation effect
+18% GAAP</t>
        </r>
      </text>
    </comment>
    <comment ref="AG167" authorId="6">
      <text>
        <r>
          <rPr>
            <b/>
            <sz val="8"/>
            <color indexed="81"/>
            <rFont val="Tahoma"/>
            <family val="2"/>
          </rPr>
          <t>ns66486:</t>
        </r>
        <r>
          <rPr>
            <sz val="8"/>
            <color indexed="81"/>
            <rFont val="Tahoma"/>
            <family val="2"/>
          </rPr>
          <t xml:space="preserve">
restated from $71.02</t>
        </r>
      </text>
    </comment>
    <comment ref="AH167" authorId="1">
      <text>
        <r>
          <rPr>
            <b/>
            <sz val="8"/>
            <color indexed="81"/>
            <rFont val="Tahoma"/>
            <family val="2"/>
          </rPr>
          <t>mm98285:</t>
        </r>
        <r>
          <rPr>
            <sz val="8"/>
            <color indexed="81"/>
            <rFont val="Tahoma"/>
            <family val="2"/>
          </rPr>
          <t xml:space="preserve">
+29% constant exchange rate basis</t>
        </r>
      </text>
    </comment>
    <comment ref="AI167" authorId="1">
      <text>
        <r>
          <rPr>
            <b/>
            <sz val="8"/>
            <color indexed="81"/>
            <rFont val="Tahoma"/>
            <family val="2"/>
          </rPr>
          <t>mm98285:</t>
        </r>
        <r>
          <rPr>
            <sz val="8"/>
            <color indexed="81"/>
            <rFont val="Tahoma"/>
            <family val="2"/>
          </rPr>
          <t xml:space="preserve">
19% GAAP reported</t>
        </r>
      </text>
    </comment>
    <comment ref="AK167" authorId="1">
      <text>
        <r>
          <rPr>
            <b/>
            <sz val="8"/>
            <color indexed="81"/>
            <rFont val="Tahoma"/>
            <family val="2"/>
          </rPr>
          <t>mm98285:</t>
        </r>
        <r>
          <rPr>
            <sz val="8"/>
            <color indexed="81"/>
            <rFont val="Tahoma"/>
            <family val="2"/>
          </rPr>
          <t xml:space="preserve">
increase in GM (due to changes in sales mix) and levg of op exp.</t>
        </r>
      </text>
    </comment>
    <comment ref="AR167" authorId="1">
      <text>
        <r>
          <rPr>
            <b/>
            <sz val="8"/>
            <color indexed="81"/>
            <rFont val="Tahoma"/>
            <family val="2"/>
          </rPr>
          <t>mm98285:</t>
        </r>
        <r>
          <rPr>
            <sz val="8"/>
            <color indexed="81"/>
            <rFont val="Tahoma"/>
            <family val="2"/>
          </rPr>
          <t xml:space="preserve">
restated from $21.975
excludes $2.769M Iridesse</t>
        </r>
      </text>
    </comment>
    <comment ref="AS167" authorId="1">
      <text>
        <r>
          <rPr>
            <b/>
            <sz val="8"/>
            <color indexed="81"/>
            <rFont val="Tahoma"/>
            <family val="2"/>
          </rPr>
          <t>mm98285:</t>
        </r>
        <r>
          <rPr>
            <sz val="8"/>
            <color indexed="81"/>
            <rFont val="Tahoma"/>
            <family val="2"/>
          </rPr>
          <t xml:space="preserve">
increased wholesale sales of diamonds in connection with TIF's diamond sourcing program</t>
        </r>
      </text>
    </comment>
    <comment ref="AT167" authorId="7">
      <text>
        <r>
          <rPr>
            <b/>
            <sz val="8"/>
            <color indexed="81"/>
            <rFont val="Tahoma"/>
            <family val="2"/>
          </rPr>
          <t>ol36766:</t>
        </r>
        <r>
          <rPr>
            <sz val="8"/>
            <color indexed="81"/>
            <rFont val="Tahoma"/>
            <family val="2"/>
          </rPr>
          <t xml:space="preserve">
restated: -$1.971M including Iridesse loss</t>
        </r>
      </text>
    </comment>
    <comment ref="F168" authorId="1">
      <text>
        <r>
          <rPr>
            <b/>
            <sz val="8"/>
            <color indexed="81"/>
            <rFont val="Tahoma"/>
            <family val="2"/>
          </rPr>
          <t>mm98285:</t>
        </r>
        <r>
          <rPr>
            <sz val="8"/>
            <color indexed="81"/>
            <rFont val="Tahoma"/>
            <family val="2"/>
          </rPr>
          <t xml:space="preserve">
-6% constant exchange rate basis
retail sales in Canada, Mexico and Brazil were +DD (also e-comm sales in Canada strong)</t>
        </r>
      </text>
    </comment>
    <comment ref="G168" authorId="1">
      <text>
        <r>
          <rPr>
            <b/>
            <sz val="8"/>
            <color indexed="81"/>
            <rFont val="Tahoma"/>
            <family val="2"/>
          </rPr>
          <t>mm98285:</t>
        </r>
        <r>
          <rPr>
            <sz val="8"/>
            <color indexed="81"/>
            <rFont val="Tahoma"/>
            <family val="2"/>
          </rPr>
          <t xml:space="preserve">
-12% GAAP
</t>
        </r>
      </text>
    </comment>
    <comment ref="I168" authorId="1">
      <text>
        <r>
          <rPr>
            <b/>
            <sz val="8"/>
            <color indexed="81"/>
            <rFont val="Tahoma"/>
            <family val="2"/>
          </rPr>
          <t>mm98285:</t>
        </r>
        <r>
          <rPr>
            <sz val="8"/>
            <color indexed="81"/>
            <rFont val="Tahoma"/>
            <family val="2"/>
          </rPr>
          <t xml:space="preserve">
increase GM (due to favorable changes in product sales mix and benefit from precious metal hedging program) partly offset by op. exp. delevg (sales shortfall greater than op. exp. reduction)</t>
        </r>
      </text>
    </comment>
    <comment ref="L168" authorId="1">
      <text>
        <r>
          <rPr>
            <b/>
            <sz val="8"/>
            <color indexed="81"/>
            <rFont val="Tahoma"/>
            <family val="2"/>
          </rPr>
          <t>mm98285:</t>
        </r>
        <r>
          <rPr>
            <sz val="8"/>
            <color indexed="81"/>
            <rFont val="Tahoma"/>
            <family val="2"/>
          </rPr>
          <t xml:space="preserve">
combined U.S. catalog &amp; internet sales -7%
increase in U.S. sales more than entirely due to higher spending by customers from other countries</t>
        </r>
      </text>
    </comment>
    <comment ref="M168" authorId="1">
      <text>
        <r>
          <rPr>
            <b/>
            <sz val="8"/>
            <color indexed="81"/>
            <rFont val="Tahoma"/>
            <family val="2"/>
          </rPr>
          <t>mm98285:</t>
        </r>
        <r>
          <rPr>
            <sz val="8"/>
            <color indexed="81"/>
            <rFont val="Tahoma"/>
            <family val="2"/>
          </rPr>
          <t xml:space="preserve">
-6% in August, -15% in September, -20% in October</t>
        </r>
      </text>
    </comment>
    <comment ref="N168" authorId="1">
      <text>
        <r>
          <rPr>
            <b/>
            <sz val="8"/>
            <color indexed="81"/>
            <rFont val="Tahoma"/>
            <family val="2"/>
          </rPr>
          <t>mm98285:</t>
        </r>
        <r>
          <rPr>
            <sz val="8"/>
            <color indexed="81"/>
            <rFont val="Tahoma"/>
            <family val="2"/>
          </rPr>
          <t xml:space="preserve">
August up, Sept down, October -17%
NY flagship 20% of sales
NY region ex flagship = ~10% of US sales</t>
        </r>
      </text>
    </comment>
    <comment ref="O168" authorId="1">
      <text>
        <r>
          <rPr>
            <b/>
            <sz val="8"/>
            <color indexed="81"/>
            <rFont val="Tahoma"/>
            <family val="2"/>
          </rPr>
          <t>mm98285:</t>
        </r>
        <r>
          <rPr>
            <sz val="8"/>
            <color indexed="81"/>
            <rFont val="Tahoma"/>
            <family val="2"/>
          </rPr>
          <t xml:space="preserve">
-21% in October
NY region -6% including Wall Street store &amp; flagship store</t>
        </r>
      </text>
    </comment>
    <comment ref="Q168" authorId="6">
      <text>
        <r>
          <rPr>
            <b/>
            <sz val="8"/>
            <color indexed="81"/>
            <rFont val="Tahoma"/>
            <family val="2"/>
          </rPr>
          <t>ns66486:</t>
        </r>
        <r>
          <rPr>
            <sz val="8"/>
            <color indexed="81"/>
            <rFont val="Tahoma"/>
            <family val="2"/>
          </rPr>
          <t xml:space="preserve">
restated from 205.992</t>
        </r>
      </text>
    </comment>
    <comment ref="R168" authorId="1">
      <text>
        <r>
          <rPr>
            <b/>
            <sz val="8"/>
            <color indexed="81"/>
            <rFont val="Tahoma"/>
            <family val="2"/>
          </rPr>
          <t>mm98285:</t>
        </r>
        <r>
          <rPr>
            <sz val="8"/>
            <color indexed="81"/>
            <rFont val="Tahoma"/>
            <family val="2"/>
          </rPr>
          <t xml:space="preserve">
-1% constant exchange rate basis</t>
        </r>
      </text>
    </comment>
    <comment ref="S168" authorId="1">
      <text>
        <r>
          <rPr>
            <b/>
            <sz val="8"/>
            <color indexed="81"/>
            <rFont val="Tahoma"/>
            <family val="2"/>
          </rPr>
          <t>mm98285:</t>
        </r>
        <r>
          <rPr>
            <sz val="8"/>
            <color indexed="81"/>
            <rFont val="Tahoma"/>
            <family val="2"/>
          </rPr>
          <t xml:space="preserve">
+2% GAAP reported</t>
        </r>
      </text>
    </comment>
    <comment ref="U168" authorId="1">
      <text>
        <r>
          <rPr>
            <b/>
            <sz val="8"/>
            <color indexed="81"/>
            <rFont val="Tahoma"/>
            <family val="2"/>
          </rPr>
          <t>mm98285:</t>
        </r>
        <r>
          <rPr>
            <sz val="8"/>
            <color indexed="81"/>
            <rFont val="Tahoma"/>
            <family val="2"/>
          </rPr>
          <t xml:space="preserve">
reduced op. exp</t>
        </r>
      </text>
    </comment>
    <comment ref="X168" authorId="1">
      <text>
        <r>
          <rPr>
            <b/>
            <sz val="8"/>
            <color indexed="81"/>
            <rFont val="Tahoma"/>
            <family val="2"/>
          </rPr>
          <t>mm98285:</t>
        </r>
        <r>
          <rPr>
            <sz val="8"/>
            <color indexed="81"/>
            <rFont val="Tahoma"/>
            <family val="2"/>
          </rPr>
          <t xml:space="preserve">
+9% translation effect
-8% constant exchange rate basis</t>
        </r>
      </text>
    </comment>
    <comment ref="Y168" authorId="1">
      <text>
        <r>
          <rPr>
            <b/>
            <sz val="8"/>
            <color indexed="81"/>
            <rFont val="Tahoma"/>
            <family val="2"/>
          </rPr>
          <t>mm98285:</t>
        </r>
        <r>
          <rPr>
            <sz val="8"/>
            <color indexed="81"/>
            <rFont val="Tahoma"/>
            <family val="2"/>
          </rPr>
          <t xml:space="preserve">
+9% Translation Effect
+2% GAAP
modest increase in August, down in Sept, Oct.</t>
        </r>
      </text>
    </comment>
    <comment ref="AC168" authorId="1">
      <text>
        <r>
          <rPr>
            <b/>
            <sz val="8"/>
            <color indexed="81"/>
            <rFont val="Tahoma"/>
            <family val="2"/>
          </rPr>
          <t>mm98285:</t>
        </r>
        <r>
          <rPr>
            <sz val="8"/>
            <color indexed="81"/>
            <rFont val="Tahoma"/>
            <family val="2"/>
          </rPr>
          <t xml:space="preserve">
-3% translation effect
+12% constant exchange rate basis</t>
        </r>
      </text>
    </comment>
    <comment ref="AD168" authorId="1">
      <text>
        <r>
          <rPr>
            <b/>
            <sz val="8"/>
            <color indexed="81"/>
            <rFont val="Tahoma"/>
            <family val="2"/>
          </rPr>
          <t>mm98285:</t>
        </r>
        <r>
          <rPr>
            <sz val="8"/>
            <color indexed="81"/>
            <rFont val="Tahoma"/>
            <family val="2"/>
          </rPr>
          <t xml:space="preserve">
-2% translation effect
+2% GAAP</t>
        </r>
      </text>
    </comment>
    <comment ref="AG168" authorId="6">
      <text>
        <r>
          <rPr>
            <b/>
            <sz val="8"/>
            <color indexed="81"/>
            <rFont val="Tahoma"/>
            <family val="2"/>
          </rPr>
          <t>ns66486:</t>
        </r>
        <r>
          <rPr>
            <sz val="8"/>
            <color indexed="81"/>
            <rFont val="Tahoma"/>
            <family val="2"/>
          </rPr>
          <t xml:space="preserve">
restated from $58.157</t>
        </r>
      </text>
    </comment>
    <comment ref="AH168" authorId="1">
      <text>
        <r>
          <rPr>
            <b/>
            <sz val="8"/>
            <color indexed="81"/>
            <rFont val="Tahoma"/>
            <family val="2"/>
          </rPr>
          <t>mm98285:</t>
        </r>
        <r>
          <rPr>
            <sz val="8"/>
            <color indexed="81"/>
            <rFont val="Tahoma"/>
            <family val="2"/>
          </rPr>
          <t xml:space="preserve">
+24% constant exchange rate basis</t>
        </r>
      </text>
    </comment>
    <comment ref="AI168" authorId="1">
      <text>
        <r>
          <rPr>
            <b/>
            <sz val="8"/>
            <color indexed="81"/>
            <rFont val="Tahoma"/>
            <family val="2"/>
          </rPr>
          <t>mm98285:</t>
        </r>
        <r>
          <rPr>
            <sz val="8"/>
            <color indexed="81"/>
            <rFont val="Tahoma"/>
            <family val="2"/>
          </rPr>
          <t xml:space="preserve">
+3% GAAP reported</t>
        </r>
      </text>
    </comment>
    <comment ref="AK168" authorId="1">
      <text>
        <r>
          <rPr>
            <b/>
            <sz val="8"/>
            <color indexed="81"/>
            <rFont val="Tahoma"/>
            <family val="2"/>
          </rPr>
          <t>mm98285:</t>
        </r>
        <r>
          <rPr>
            <sz val="8"/>
            <color indexed="81"/>
            <rFont val="Tahoma"/>
            <family val="2"/>
          </rPr>
          <t xml:space="preserve">
increased op. exp. (related to new stores) partly offset by increase in GM (due to changes in product sales mix) </t>
        </r>
      </text>
    </comment>
    <comment ref="AR168" authorId="6">
      <text>
        <r>
          <rPr>
            <b/>
            <sz val="8"/>
            <color indexed="81"/>
            <rFont val="Tahoma"/>
            <family val="2"/>
          </rPr>
          <t>ns66486:</t>
        </r>
        <r>
          <rPr>
            <sz val="8"/>
            <color indexed="81"/>
            <rFont val="Tahoma"/>
            <family val="2"/>
          </rPr>
          <t xml:space="preserve">
restated from $</t>
        </r>
        <r>
          <rPr>
            <sz val="8"/>
            <color indexed="81"/>
            <rFont val="Tahoma"/>
            <family val="2"/>
          </rPr>
          <t>19.798</t>
        </r>
      </text>
    </comment>
    <comment ref="AS168" authorId="1">
      <text>
        <r>
          <rPr>
            <b/>
            <sz val="8"/>
            <color indexed="81"/>
            <rFont val="Tahoma"/>
            <family val="2"/>
          </rPr>
          <t>mm98285:</t>
        </r>
        <r>
          <rPr>
            <sz val="8"/>
            <color indexed="81"/>
            <rFont val="Tahoma"/>
            <family val="2"/>
          </rPr>
          <t xml:space="preserve">
sales in Iridesse declined below expectations</t>
        </r>
      </text>
    </comment>
    <comment ref="AT168" authorId="1">
      <text>
        <r>
          <rPr>
            <b/>
            <sz val="8"/>
            <color indexed="81"/>
            <rFont val="Tahoma"/>
            <family val="2"/>
          </rPr>
          <t>mm98285:</t>
        </r>
        <r>
          <rPr>
            <sz val="8"/>
            <color indexed="81"/>
            <rFont val="Tahoma"/>
            <family val="2"/>
          </rPr>
          <t xml:space="preserve">
restated from -$3.433 to back out Iridesse loss</t>
        </r>
      </text>
    </comment>
    <comment ref="E169" authorId="1">
      <text>
        <r>
          <rPr>
            <b/>
            <sz val="8"/>
            <color indexed="81"/>
            <rFont val="Tahoma"/>
            <family val="2"/>
          </rPr>
          <t>mm98285:</t>
        </r>
        <r>
          <rPr>
            <sz val="8"/>
            <color indexed="81"/>
            <rFont val="Tahoma"/>
            <family val="2"/>
          </rPr>
          <t xml:space="preserve">
holiday period -30% to $385.9M (Canada comps +DD &amp; up in Brazil but down a little  in Mexico)</t>
        </r>
      </text>
    </comment>
    <comment ref="G169" authorId="1">
      <text>
        <r>
          <rPr>
            <b/>
            <sz val="8"/>
            <color indexed="81"/>
            <rFont val="Tahoma"/>
            <family val="2"/>
          </rPr>
          <t>mm98285:</t>
        </r>
        <r>
          <rPr>
            <sz val="8"/>
            <color indexed="81"/>
            <rFont val="Tahoma"/>
            <family val="2"/>
          </rPr>
          <t xml:space="preserve">
-32% GAAP</t>
        </r>
      </text>
    </comment>
    <comment ref="L169" authorId="1">
      <text>
        <r>
          <rPr>
            <b/>
            <sz val="8"/>
            <color indexed="81"/>
            <rFont val="Tahoma"/>
            <family val="2"/>
          </rPr>
          <t>mm98285:</t>
        </r>
        <r>
          <rPr>
            <sz val="8"/>
            <color indexed="81"/>
            <rFont val="Tahoma"/>
            <family val="2"/>
          </rPr>
          <t xml:space="preserve">
holiday period U.S. sales -33%
combined U.S. catalog &amp; internet sales -21% in holiday period and -20% in 4Q</t>
        </r>
      </text>
    </comment>
    <comment ref="M169" authorId="1">
      <text>
        <r>
          <rPr>
            <b/>
            <sz val="8"/>
            <color indexed="81"/>
            <rFont val="Tahoma"/>
            <family val="2"/>
          </rPr>
          <t>mm98285:</t>
        </r>
        <r>
          <rPr>
            <sz val="8"/>
            <color indexed="81"/>
            <rFont val="Tahoma"/>
            <family val="2"/>
          </rPr>
          <t xml:space="preserve">
holiday period -35% (-39% in Nov., -33% in Dec., Jan -23%)
11/08: guide to (25)-(35)%
mostly driven by decline in transactions followed by customers spending less per transaction</t>
        </r>
      </text>
    </comment>
    <comment ref="N169" authorId="1">
      <text>
        <r>
          <rPr>
            <b/>
            <sz val="8"/>
            <color indexed="81"/>
            <rFont val="Tahoma"/>
            <family val="2"/>
          </rPr>
          <t>mm98285:</t>
        </r>
        <r>
          <rPr>
            <sz val="8"/>
            <color indexed="81"/>
            <rFont val="Tahoma"/>
            <family val="2"/>
          </rPr>
          <t xml:space="preserve">
holiday period -35% (Nov. -41%, Dec -32%)</t>
        </r>
      </text>
    </comment>
    <comment ref="O169" authorId="1">
      <text>
        <r>
          <rPr>
            <b/>
            <sz val="8"/>
            <color indexed="81"/>
            <rFont val="Tahoma"/>
            <family val="2"/>
          </rPr>
          <t>mm98285:</t>
        </r>
        <r>
          <rPr>
            <sz val="8"/>
            <color indexed="81"/>
            <rFont val="Tahoma"/>
            <family val="2"/>
          </rPr>
          <t xml:space="preserve">
holiday period -35% (Nov. -38%, Dec. -34%)
NY region -35% in Holiday period</t>
        </r>
      </text>
    </comment>
    <comment ref="Q169" authorId="1">
      <text>
        <r>
          <rPr>
            <sz val="8"/>
            <color indexed="81"/>
            <rFont val="Tahoma"/>
            <family val="2"/>
          </rPr>
          <t>restated from 279.7
holiday period -2% to $216.0M</t>
        </r>
      </text>
    </comment>
    <comment ref="R169" authorId="1">
      <text>
        <r>
          <rPr>
            <b/>
            <sz val="8"/>
            <color indexed="81"/>
            <rFont val="Tahoma"/>
            <family val="2"/>
          </rPr>
          <t>mm98285:</t>
        </r>
        <r>
          <rPr>
            <sz val="8"/>
            <color indexed="81"/>
            <rFont val="Tahoma"/>
            <family val="2"/>
          </rPr>
          <t xml:space="preserve">
-9% constant exchange rate basis</t>
        </r>
      </text>
    </comment>
    <comment ref="S169" authorId="1">
      <text>
        <r>
          <rPr>
            <b/>
            <sz val="8"/>
            <color indexed="81"/>
            <rFont val="Tahoma"/>
            <family val="2"/>
          </rPr>
          <t>mm98285:</t>
        </r>
        <r>
          <rPr>
            <sz val="8"/>
            <color indexed="81"/>
            <rFont val="Tahoma"/>
            <family val="2"/>
          </rPr>
          <t xml:space="preserve">
+6% translation
-7% GAAP
holiday period comps -13%</t>
        </r>
      </text>
    </comment>
    <comment ref="X169" authorId="1">
      <text>
        <r>
          <rPr>
            <b/>
            <sz val="8"/>
            <color indexed="81"/>
            <rFont val="Tahoma"/>
            <family val="2"/>
          </rPr>
          <t>mm98285:</t>
        </r>
        <r>
          <rPr>
            <sz val="8"/>
            <color indexed="81"/>
            <rFont val="Tahoma"/>
            <family val="2"/>
          </rPr>
          <t xml:space="preserve">
+17% translation effect
-13% constant exchange rate basis
holiday sales -12%
</t>
        </r>
      </text>
    </comment>
    <comment ref="Y169" authorId="1">
      <text>
        <r>
          <rPr>
            <b/>
            <sz val="8"/>
            <color indexed="81"/>
            <rFont val="Tahoma"/>
            <family val="2"/>
          </rPr>
          <t>mm98285:</t>
        </r>
        <r>
          <rPr>
            <sz val="8"/>
            <color indexed="81"/>
            <rFont val="Tahoma"/>
            <family val="2"/>
          </rPr>
          <t xml:space="preserve">
+17% Translation Effect
+1% GAAP
holiday comps -15%</t>
        </r>
      </text>
    </comment>
    <comment ref="AC169" authorId="1">
      <text>
        <r>
          <rPr>
            <b/>
            <sz val="8"/>
            <color indexed="81"/>
            <rFont val="Tahoma"/>
            <family val="2"/>
          </rPr>
          <t>mm98285:</t>
        </r>
        <r>
          <rPr>
            <sz val="8"/>
            <color indexed="81"/>
            <rFont val="Tahoma"/>
            <family val="2"/>
          </rPr>
          <t xml:space="preserve">
-10% translation effect
-3% constant exchange rate basis</t>
        </r>
      </text>
    </comment>
    <comment ref="AD169" authorId="1">
      <text>
        <r>
          <rPr>
            <b/>
            <sz val="8"/>
            <color indexed="81"/>
            <rFont val="Tahoma"/>
            <family val="2"/>
          </rPr>
          <t>mm98285:</t>
        </r>
        <r>
          <rPr>
            <sz val="8"/>
            <color indexed="81"/>
            <rFont val="Tahoma"/>
            <family val="2"/>
          </rPr>
          <t xml:space="preserve">
-9% translation effect
-18% GAAP
holiday comps -9%
weakness in Hong Kong offset strength in Astralia, China and Korea</t>
        </r>
      </text>
    </comment>
    <comment ref="AG169" authorId="1">
      <text>
        <r>
          <rPr>
            <sz val="8"/>
            <color indexed="81"/>
            <rFont val="Tahoma"/>
            <family val="2"/>
          </rPr>
          <t>restated from: $95.3</t>
        </r>
        <r>
          <rPr>
            <b/>
            <sz val="8"/>
            <color indexed="81"/>
            <rFont val="Tahoma"/>
            <family val="2"/>
          </rPr>
          <t xml:space="preserve">
mm98285:</t>
        </r>
        <r>
          <rPr>
            <sz val="8"/>
            <color indexed="81"/>
            <rFont val="Tahoma"/>
            <family val="2"/>
          </rPr>
          <t xml:space="preserve">
holiday period sales -4% to $79.2M</t>
        </r>
      </text>
    </comment>
    <comment ref="AH169" authorId="1">
      <text>
        <r>
          <rPr>
            <b/>
            <sz val="8"/>
            <color indexed="81"/>
            <rFont val="Tahoma"/>
            <family val="2"/>
          </rPr>
          <t>mm98285:</t>
        </r>
        <r>
          <rPr>
            <sz val="8"/>
            <color indexed="81"/>
            <rFont val="Tahoma"/>
            <family val="2"/>
          </rPr>
          <t xml:space="preserve">
+20% in local currency
-22% translation</t>
        </r>
      </text>
    </comment>
    <comment ref="AI169" authorId="1">
      <text>
        <r>
          <rPr>
            <b/>
            <sz val="8"/>
            <color indexed="81"/>
            <rFont val="Tahoma"/>
            <family val="2"/>
          </rPr>
          <t>mm98285:</t>
        </r>
        <r>
          <rPr>
            <sz val="8"/>
            <color indexed="81"/>
            <rFont val="Tahoma"/>
            <family val="2"/>
          </rPr>
          <t xml:space="preserve">
-18% translation effect (-18% GAAP)
holiday comps -3%
weakness in UK offset strength in Italy and Germany (up nicely)</t>
        </r>
      </text>
    </comment>
    <comment ref="AR169" authorId="6">
      <text>
        <r>
          <rPr>
            <b/>
            <sz val="8"/>
            <color indexed="81"/>
            <rFont val="Tahoma"/>
            <family val="2"/>
          </rPr>
          <t>ns66486:</t>
        </r>
        <r>
          <rPr>
            <sz val="8"/>
            <color indexed="81"/>
            <rFont val="Tahoma"/>
            <family val="2"/>
          </rPr>
          <t xml:space="preserve">
restated from $5.1</t>
        </r>
      </text>
    </comment>
    <comment ref="AS169" authorId="1">
      <text>
        <r>
          <rPr>
            <b/>
            <sz val="8"/>
            <color indexed="81"/>
            <rFont val="Tahoma"/>
            <family val="2"/>
          </rPr>
          <t>mm98285:</t>
        </r>
        <r>
          <rPr>
            <sz val="8"/>
            <color indexed="81"/>
            <rFont val="Tahoma"/>
            <family val="2"/>
          </rPr>
          <t xml:space="preserve">
holiday period -53% to $6.3M primarily due to reduced wholesale sales of diamonds as a result of heavier sales earlier in the year and disappointing performance at Iridesse stores (exacerbated by slowdown in US consumer spending)</t>
        </r>
      </text>
    </comment>
    <comment ref="E170" authorId="1">
      <text>
        <r>
          <rPr>
            <b/>
            <sz val="8"/>
            <color indexed="81"/>
            <rFont val="Tahoma"/>
            <family val="2"/>
          </rPr>
          <t>mm98285:</t>
        </r>
        <r>
          <rPr>
            <sz val="8"/>
            <color indexed="81"/>
            <rFont val="Tahoma"/>
            <family val="2"/>
          </rPr>
          <t xml:space="preserve">
Americas = 55% of sales: 
10% NY flagship; 35% branch stores, 5% internet &amp; catalog, 1% B2B, 4% Canada &amp; Latin/South America</t>
        </r>
      </text>
    </comment>
    <comment ref="G170" authorId="1">
      <text>
        <r>
          <rPr>
            <b/>
            <sz val="8"/>
            <color indexed="81"/>
            <rFont val="Tahoma"/>
            <family val="2"/>
          </rPr>
          <t>mm98285:</t>
        </r>
        <r>
          <rPr>
            <sz val="8"/>
            <color indexed="81"/>
            <rFont val="Tahoma"/>
            <family val="2"/>
          </rPr>
          <t xml:space="preserve">
0% translation</t>
        </r>
      </text>
    </comment>
    <comment ref="K170" authorId="1">
      <text>
        <r>
          <rPr>
            <b/>
            <sz val="8"/>
            <color indexed="81"/>
            <rFont val="Tahoma"/>
            <family val="2"/>
          </rPr>
          <t>mm98285:</t>
        </r>
        <r>
          <rPr>
            <sz val="8"/>
            <color indexed="81"/>
            <rFont val="Tahoma"/>
            <family val="2"/>
          </rPr>
          <t xml:space="preserve">
sales to foreign tourists in U.S. = 16% in 2008 vs. 14% in 2007 and 11% in 2006</t>
        </r>
      </text>
    </comment>
    <comment ref="L170" authorId="1">
      <text>
        <r>
          <rPr>
            <b/>
            <sz val="8"/>
            <color indexed="81"/>
            <rFont val="Tahoma"/>
            <family val="2"/>
          </rPr>
          <t>mm98285:</t>
        </r>
        <r>
          <rPr>
            <sz val="8"/>
            <color indexed="81"/>
            <rFont val="Tahoma"/>
            <family val="2"/>
          </rPr>
          <t xml:space="preserve">
Catalog and internet sales -10% in 2008 (10% of sales in Americas)</t>
        </r>
      </text>
    </comment>
    <comment ref="M170" authorId="1">
      <text>
        <r>
          <rPr>
            <b/>
            <sz val="8"/>
            <color indexed="81"/>
            <rFont val="Tahoma"/>
            <family val="2"/>
          </rPr>
          <t>mm98285:</t>
        </r>
        <r>
          <rPr>
            <sz val="8"/>
            <color indexed="81"/>
            <rFont val="Tahoma"/>
            <family val="2"/>
          </rPr>
          <t xml:space="preserve">
almost entirely driven by fewer transactions</t>
        </r>
      </text>
    </comment>
    <comment ref="N170" authorId="1">
      <text>
        <r>
          <rPr>
            <b/>
            <sz val="8"/>
            <color indexed="81"/>
            <rFont val="Tahoma"/>
            <family val="2"/>
          </rPr>
          <t>mm98285:</t>
        </r>
        <r>
          <rPr>
            <sz val="8"/>
            <color indexed="81"/>
            <rFont val="Tahoma"/>
            <family val="2"/>
          </rPr>
          <t xml:space="preserve">
3/09: represents ~10% of worldwide sales or $286M
NY flagship generates ~$6500 sales per gross sq. ft. for 2008</t>
        </r>
      </text>
    </comment>
    <comment ref="Q170" authorId="1">
      <text>
        <r>
          <rPr>
            <b/>
            <sz val="8"/>
            <color indexed="81"/>
            <rFont val="Tahoma"/>
            <family val="2"/>
          </rPr>
          <t>mm98285:</t>
        </r>
        <r>
          <rPr>
            <sz val="8"/>
            <color indexed="81"/>
            <rFont val="Tahoma"/>
            <family val="2"/>
          </rPr>
          <t xml:space="preserve">
Asia-Pacific = 32% of sales: 19% Japan, 13% Other Asia-Pac</t>
        </r>
      </text>
    </comment>
    <comment ref="R170" authorId="1">
      <text>
        <r>
          <rPr>
            <b/>
            <sz val="8"/>
            <color indexed="81"/>
            <rFont val="Tahoma"/>
            <family val="2"/>
          </rPr>
          <t>mm98285:</t>
        </r>
        <r>
          <rPr>
            <sz val="8"/>
            <color indexed="81"/>
            <rFont val="Tahoma"/>
            <family val="2"/>
          </rPr>
          <t xml:space="preserve">
+7% translation</t>
        </r>
      </text>
    </comment>
    <comment ref="S170" authorId="1">
      <text>
        <r>
          <rPr>
            <b/>
            <sz val="8"/>
            <color indexed="81"/>
            <rFont val="Tahoma"/>
            <family val="2"/>
          </rPr>
          <t>mm98285:</t>
        </r>
        <r>
          <rPr>
            <sz val="8"/>
            <color indexed="81"/>
            <rFont val="Tahoma"/>
            <family val="2"/>
          </rPr>
          <t xml:space="preserve">
+8% translation</t>
        </r>
      </text>
    </comment>
    <comment ref="U170" authorId="8">
      <text>
        <r>
          <rPr>
            <b/>
            <sz val="8"/>
            <color indexed="81"/>
            <rFont val="Tahoma"/>
            <family val="2"/>
          </rPr>
          <t>nicholjs:</t>
        </r>
        <r>
          <rPr>
            <sz val="8"/>
            <color indexed="81"/>
            <rFont val="Tahoma"/>
            <family val="2"/>
          </rPr>
          <t xml:space="preserve">
Asia-Pac only operating margin was 24.4%</t>
        </r>
      </text>
    </comment>
    <comment ref="X170" authorId="1">
      <text>
        <r>
          <rPr>
            <b/>
            <sz val="8"/>
            <color indexed="81"/>
            <rFont val="Tahoma"/>
            <family val="2"/>
          </rPr>
          <t>mm98285:</t>
        </r>
        <r>
          <rPr>
            <sz val="8"/>
            <color indexed="81"/>
            <rFont val="Tahoma"/>
            <family val="2"/>
          </rPr>
          <t xml:space="preserve">
+14% translation
19% of total sales in 2008 or $543M vs. 17% in 2007 (all driven by yen)</t>
        </r>
      </text>
    </comment>
    <comment ref="Y170" authorId="1">
      <text>
        <r>
          <rPr>
            <b/>
            <sz val="8"/>
            <color indexed="81"/>
            <rFont val="Tahoma"/>
            <family val="2"/>
          </rPr>
          <t>mm98285:</t>
        </r>
        <r>
          <rPr>
            <sz val="8"/>
            <color indexed="81"/>
            <rFont val="Tahoma"/>
            <family val="2"/>
          </rPr>
          <t xml:space="preserve">
+14% translation effect</t>
        </r>
      </text>
    </comment>
    <comment ref="AC170" authorId="1">
      <text>
        <r>
          <rPr>
            <b/>
            <sz val="8"/>
            <color indexed="81"/>
            <rFont val="Tahoma"/>
            <family val="2"/>
          </rPr>
          <t>mm98285:</t>
        </r>
        <r>
          <rPr>
            <sz val="8"/>
            <color indexed="81"/>
            <rFont val="Tahoma"/>
            <family val="2"/>
          </rPr>
          <t xml:space="preserve">
-2% translation
Other Asia Pacific = 13% of worldwide sales or $372M vs. 12% in 2007</t>
        </r>
      </text>
    </comment>
    <comment ref="AD170" authorId="1">
      <text>
        <r>
          <rPr>
            <b/>
            <sz val="8"/>
            <color indexed="81"/>
            <rFont val="Tahoma"/>
            <family val="2"/>
          </rPr>
          <t>mm98285:</t>
        </r>
        <r>
          <rPr>
            <sz val="8"/>
            <color indexed="81"/>
            <rFont val="Tahoma"/>
            <family val="2"/>
          </rPr>
          <t xml:space="preserve">
-2% translation</t>
        </r>
      </text>
    </comment>
    <comment ref="AG170" authorId="1">
      <text>
        <r>
          <rPr>
            <b/>
            <sz val="8"/>
            <color indexed="81"/>
            <rFont val="Tahoma"/>
            <family val="2"/>
          </rPr>
          <t>mm98285:</t>
        </r>
        <r>
          <rPr>
            <sz val="8"/>
            <color indexed="81"/>
            <rFont val="Tahoma"/>
            <family val="2"/>
          </rPr>
          <t xml:space="preserve">
UK represents ~50% of European sales</t>
        </r>
      </text>
    </comment>
    <comment ref="AH170" authorId="1">
      <text>
        <r>
          <rPr>
            <b/>
            <sz val="8"/>
            <color indexed="81"/>
            <rFont val="Tahoma"/>
            <family val="2"/>
          </rPr>
          <t>mm98285:</t>
        </r>
        <r>
          <rPr>
            <sz val="8"/>
            <color indexed="81"/>
            <rFont val="Tahoma"/>
            <family val="2"/>
          </rPr>
          <t xml:space="preserve">
-8% translation
+25% constant currency</t>
        </r>
      </text>
    </comment>
    <comment ref="AI170" authorId="1">
      <text>
        <r>
          <rPr>
            <b/>
            <sz val="8"/>
            <color indexed="81"/>
            <rFont val="Tahoma"/>
            <family val="2"/>
          </rPr>
          <t>mm98285:</t>
        </r>
        <r>
          <rPr>
            <sz val="8"/>
            <color indexed="81"/>
            <rFont val="Tahoma"/>
            <family val="2"/>
          </rPr>
          <t xml:space="preserve">
-5% translation</t>
        </r>
      </text>
    </comment>
    <comment ref="AJ170" authorId="8">
      <text>
        <r>
          <rPr>
            <b/>
            <sz val="8"/>
            <color indexed="81"/>
            <rFont val="Tahoma"/>
            <family val="2"/>
          </rPr>
          <t>nicholjs:</t>
        </r>
        <r>
          <rPr>
            <sz val="8"/>
            <color indexed="81"/>
            <rFont val="Tahoma"/>
            <family val="2"/>
          </rPr>
          <t xml:space="preserve">
2010 10K: (new classification) would have been 19.0% or $52,021</t>
        </r>
      </text>
    </comment>
    <comment ref="AU170" authorId="8">
      <text>
        <r>
          <rPr>
            <b/>
            <sz val="8"/>
            <color indexed="81"/>
            <rFont val="Tahoma"/>
            <family val="2"/>
          </rPr>
          <t>nicholjs:</t>
        </r>
        <r>
          <rPr>
            <sz val="8"/>
            <color indexed="81"/>
            <rFont val="Tahoma"/>
            <family val="2"/>
          </rPr>
          <t xml:space="preserve">
2010 10K: (new classification) would have been $4,938 or 5.3%</t>
        </r>
      </text>
    </comment>
    <comment ref="F173" authorId="1">
      <text>
        <r>
          <rPr>
            <b/>
            <sz val="8"/>
            <color indexed="81"/>
            <rFont val="Tahoma"/>
            <family val="2"/>
          </rPr>
          <t>mm98285:</t>
        </r>
        <r>
          <rPr>
            <sz val="8"/>
            <color indexed="81"/>
            <rFont val="Tahoma"/>
            <family val="2"/>
          </rPr>
          <t xml:space="preserve">
-30% constant currency</t>
        </r>
      </text>
    </comment>
    <comment ref="G173" authorId="1">
      <text>
        <r>
          <rPr>
            <b/>
            <sz val="8"/>
            <color indexed="81"/>
            <rFont val="Tahoma"/>
            <family val="2"/>
          </rPr>
          <t>mm98285:</t>
        </r>
        <r>
          <rPr>
            <sz val="8"/>
            <color indexed="81"/>
            <rFont val="Tahoma"/>
            <family val="2"/>
          </rPr>
          <t xml:space="preserve">
-34% GAAP
-2% translation</t>
        </r>
      </text>
    </comment>
    <comment ref="L173" authorId="1">
      <text>
        <r>
          <rPr>
            <b/>
            <sz val="8"/>
            <color indexed="81"/>
            <rFont val="Tahoma"/>
            <family val="2"/>
          </rPr>
          <t>mm98285:</t>
        </r>
        <r>
          <rPr>
            <sz val="8"/>
            <color indexed="81"/>
            <rFont val="Tahoma"/>
            <family val="2"/>
          </rPr>
          <t xml:space="preserve">
internet &amp; catalog -17%
more than 50% of decline from decline in transactions w/ remainder due to decline in avg spending per transaction</t>
        </r>
      </text>
    </comment>
    <comment ref="M173" authorId="1">
      <text>
        <r>
          <rPr>
            <b/>
            <sz val="8"/>
            <color indexed="81"/>
            <rFont val="Tahoma"/>
            <family val="2"/>
          </rPr>
          <t>mm98285:</t>
        </r>
        <r>
          <rPr>
            <sz val="8"/>
            <color indexed="81"/>
            <rFont val="Tahoma"/>
            <family val="2"/>
          </rPr>
          <t xml:space="preserve">
-34% in Feb, -39% in March, -30% in April 
3/09: expect down in each quarter</t>
        </r>
      </text>
    </comment>
    <comment ref="N173" authorId="1">
      <text>
        <r>
          <rPr>
            <b/>
            <sz val="8"/>
            <color indexed="81"/>
            <rFont val="Tahoma"/>
            <family val="2"/>
          </rPr>
          <t>mm98285:</t>
        </r>
        <r>
          <rPr>
            <sz val="8"/>
            <color indexed="81"/>
            <rFont val="Tahoma"/>
            <family val="2"/>
          </rPr>
          <t xml:space="preserve">
weak spending by customers tied to the financial sector as well as to a decline in foreign shoppers
NY region -40%</t>
        </r>
      </text>
    </comment>
    <comment ref="Q173" authorId="6">
      <text>
        <r>
          <rPr>
            <b/>
            <sz val="8"/>
            <color indexed="81"/>
            <rFont val="Tahoma"/>
            <family val="2"/>
          </rPr>
          <t>ns66486:</t>
        </r>
        <r>
          <rPr>
            <sz val="8"/>
            <color indexed="81"/>
            <rFont val="Tahoma"/>
            <family val="2"/>
          </rPr>
          <t xml:space="preserve">
restated 201.427</t>
        </r>
      </text>
    </comment>
    <comment ref="R173" authorId="1">
      <text>
        <r>
          <rPr>
            <b/>
            <sz val="8"/>
            <color indexed="81"/>
            <rFont val="Tahoma"/>
            <family val="2"/>
          </rPr>
          <t>mm98285:</t>
        </r>
        <r>
          <rPr>
            <sz val="8"/>
            <color indexed="81"/>
            <rFont val="Tahoma"/>
            <family val="2"/>
          </rPr>
          <t xml:space="preserve">
-7% constant exch rate</t>
        </r>
      </text>
    </comment>
    <comment ref="S173" authorId="1">
      <text>
        <r>
          <rPr>
            <b/>
            <sz val="8"/>
            <color indexed="81"/>
            <rFont val="Tahoma"/>
            <family val="2"/>
          </rPr>
          <t>mm98285:</t>
        </r>
        <r>
          <rPr>
            <sz val="8"/>
            <color indexed="81"/>
            <rFont val="Tahoma"/>
            <family val="2"/>
          </rPr>
          <t xml:space="preserve">
total Asia-Pac comp -9% constant currency and -10% GAAP</t>
        </r>
      </text>
    </comment>
    <comment ref="T173" authorId="9">
      <text>
        <r>
          <rPr>
            <b/>
            <sz val="8"/>
            <color indexed="81"/>
            <rFont val="Tahoma"/>
            <family val="2"/>
          </rPr>
          <t>NS66486:</t>
        </r>
        <r>
          <rPr>
            <sz val="8"/>
            <color indexed="81"/>
            <rFont val="Tahoma"/>
            <family val="2"/>
          </rPr>
          <t xml:space="preserve">
restated from $47.943</t>
        </r>
      </text>
    </comment>
    <comment ref="X173" authorId="1">
      <text>
        <r>
          <rPr>
            <b/>
            <sz val="8"/>
            <color indexed="81"/>
            <rFont val="Tahoma"/>
            <family val="2"/>
          </rPr>
          <t>mm98285:</t>
        </r>
        <r>
          <rPr>
            <sz val="8"/>
            <color indexed="81"/>
            <rFont val="Tahoma"/>
            <family val="2"/>
          </rPr>
          <t xml:space="preserve">
-13% constant currency 
+6% translation effect</t>
        </r>
      </text>
    </comment>
    <comment ref="Y173" authorId="1">
      <text>
        <r>
          <rPr>
            <b/>
            <sz val="8"/>
            <color indexed="81"/>
            <rFont val="Tahoma"/>
            <family val="2"/>
          </rPr>
          <t>mm98285:</t>
        </r>
        <r>
          <rPr>
            <sz val="8"/>
            <color indexed="81"/>
            <rFont val="Tahoma"/>
            <family val="2"/>
          </rPr>
          <t xml:space="preserve">
-6% GAAP</t>
        </r>
      </text>
    </comment>
    <comment ref="AC173" authorId="1">
      <text>
        <r>
          <rPr>
            <b/>
            <sz val="8"/>
            <color indexed="81"/>
            <rFont val="Tahoma"/>
            <family val="2"/>
          </rPr>
          <t>mm98285:</t>
        </r>
        <r>
          <rPr>
            <sz val="8"/>
            <color indexed="81"/>
            <rFont val="Tahoma"/>
            <family val="2"/>
          </rPr>
          <t xml:space="preserve">
+4% constant exchange
-15% translation</t>
        </r>
      </text>
    </comment>
    <comment ref="AD173" authorId="1">
      <text>
        <r>
          <rPr>
            <b/>
            <sz val="8"/>
            <color indexed="81"/>
            <rFont val="Tahoma"/>
            <family val="2"/>
          </rPr>
          <t>mm98285:</t>
        </r>
        <r>
          <rPr>
            <sz val="8"/>
            <color indexed="81"/>
            <rFont val="Tahoma"/>
            <family val="2"/>
          </rPr>
          <t xml:space="preserve">
-16% GAAP
solid growth in Korea and Australia offset by weaker results in HK &amp; Taiwan</t>
        </r>
      </text>
    </comment>
    <comment ref="AG173" authorId="6">
      <text>
        <r>
          <rPr>
            <b/>
            <sz val="8"/>
            <color indexed="81"/>
            <rFont val="Tahoma"/>
            <family val="2"/>
          </rPr>
          <t>ns66486:</t>
        </r>
        <r>
          <rPr>
            <sz val="8"/>
            <color indexed="81"/>
            <rFont val="Tahoma"/>
            <family val="2"/>
          </rPr>
          <t xml:space="preserve">
restated from $55.59</t>
        </r>
      </text>
    </comment>
    <comment ref="AH173" authorId="1">
      <text>
        <r>
          <rPr>
            <b/>
            <sz val="8"/>
            <color indexed="81"/>
            <rFont val="Tahoma"/>
            <family val="2"/>
          </rPr>
          <t>mm98285:</t>
        </r>
        <r>
          <rPr>
            <sz val="8"/>
            <color indexed="81"/>
            <rFont val="Tahoma"/>
            <family val="2"/>
          </rPr>
          <t xml:space="preserve">
+18% constant exch rate
-26% translation</t>
        </r>
      </text>
    </comment>
    <comment ref="AI173" authorId="1">
      <text>
        <r>
          <rPr>
            <b/>
            <sz val="8"/>
            <color indexed="81"/>
            <rFont val="Tahoma"/>
            <family val="2"/>
          </rPr>
          <t>mm98285:</t>
        </r>
        <r>
          <rPr>
            <sz val="8"/>
            <color indexed="81"/>
            <rFont val="Tahoma"/>
            <family val="2"/>
          </rPr>
          <t xml:space="preserve">
-19% GAAP
benefitting from diminished travel flow
monthly comp trend improved through quarter</t>
        </r>
      </text>
    </comment>
    <comment ref="AJ173" authorId="9">
      <text>
        <r>
          <rPr>
            <b/>
            <sz val="8"/>
            <color indexed="81"/>
            <rFont val="Tahoma"/>
            <family val="2"/>
          </rPr>
          <t>NS66486:</t>
        </r>
        <r>
          <rPr>
            <sz val="8"/>
            <color indexed="81"/>
            <rFont val="Tahoma"/>
            <family val="2"/>
          </rPr>
          <t xml:space="preserve">
restated from $7.82</t>
        </r>
      </text>
    </comment>
    <comment ref="AR173" authorId="1">
      <text>
        <r>
          <rPr>
            <sz val="8"/>
            <color indexed="81"/>
            <rFont val="Tahoma"/>
            <family val="2"/>
          </rPr>
          <t>resated $1.604
excludes $5.444M Iridesse</t>
        </r>
      </text>
    </comment>
    <comment ref="AS173" authorId="1">
      <text>
        <r>
          <rPr>
            <b/>
            <sz val="8"/>
            <color indexed="81"/>
            <rFont val="Tahoma"/>
            <family val="2"/>
          </rPr>
          <t>mm98285:</t>
        </r>
        <r>
          <rPr>
            <sz val="8"/>
            <color indexed="81"/>
            <rFont val="Tahoma"/>
            <family val="2"/>
          </rPr>
          <t xml:space="preserve">
reduced wholesale sales of diamonds (temporarily reducing quantity of rough diamonds purchased in light of soft demand) partly offset by higher sales in soon-to-be-closed Iridesse stores</t>
        </r>
      </text>
    </comment>
    <comment ref="AT173" authorId="9">
      <text>
        <r>
          <rPr>
            <b/>
            <sz val="8"/>
            <color indexed="81"/>
            <rFont val="Tahoma"/>
            <family val="2"/>
          </rPr>
          <t>NS66486:</t>
        </r>
        <r>
          <rPr>
            <sz val="8"/>
            <color indexed="81"/>
            <rFont val="Tahoma"/>
            <family val="2"/>
          </rPr>
          <t xml:space="preserve">
restated from $-1.231</t>
        </r>
      </text>
    </comment>
    <comment ref="F174" authorId="1">
      <text>
        <r>
          <rPr>
            <b/>
            <sz val="8"/>
            <color indexed="81"/>
            <rFont val="Tahoma"/>
            <family val="2"/>
          </rPr>
          <t>mm98285:</t>
        </r>
        <r>
          <rPr>
            <sz val="8"/>
            <color indexed="81"/>
            <rFont val="Tahoma"/>
            <family val="2"/>
          </rPr>
          <t xml:space="preserve">
-22% constant exchange</t>
        </r>
      </text>
    </comment>
    <comment ref="L174" authorId="1">
      <text>
        <r>
          <rPr>
            <b/>
            <sz val="8"/>
            <color indexed="81"/>
            <rFont val="Tahoma"/>
            <family val="2"/>
          </rPr>
          <t>mm98285:</t>
        </r>
        <r>
          <rPr>
            <sz val="8"/>
            <color indexed="81"/>
            <rFont val="Tahoma"/>
            <family val="2"/>
          </rPr>
          <t xml:space="preserve">
internet and catalog -8%</t>
        </r>
      </text>
    </comment>
    <comment ref="M174" authorId="1">
      <text>
        <r>
          <rPr>
            <b/>
            <sz val="8"/>
            <color indexed="81"/>
            <rFont val="Tahoma"/>
            <family val="2"/>
          </rPr>
          <t>mm98285:</t>
        </r>
        <r>
          <rPr>
            <sz val="8"/>
            <color indexed="81"/>
            <rFont val="Tahoma"/>
            <family val="2"/>
          </rPr>
          <t xml:space="preserve">
May -31%; June -25%; July -24%
5/09: slight improvement vs. 1Q
3/09: expect down in each quarter</t>
        </r>
      </text>
    </comment>
    <comment ref="N174" authorId="1">
      <text>
        <r>
          <rPr>
            <b/>
            <sz val="8"/>
            <color indexed="81"/>
            <rFont val="Tahoma"/>
            <family val="2"/>
          </rPr>
          <t>mm98285:</t>
        </r>
        <r>
          <rPr>
            <sz val="8"/>
            <color indexed="81"/>
            <rFont val="Tahoma"/>
            <family val="2"/>
          </rPr>
          <t xml:space="preserve">
Wall Street store -30%; NY region -29%
disproportionate decline at NY stores given elevated sales to European visitors LY</t>
        </r>
      </text>
    </comment>
    <comment ref="Q174" authorId="6">
      <text>
        <r>
          <rPr>
            <b/>
            <sz val="8"/>
            <color indexed="81"/>
            <rFont val="Tahoma"/>
            <family val="2"/>
          </rPr>
          <t>ns66486:</t>
        </r>
        <r>
          <rPr>
            <sz val="8"/>
            <color indexed="81"/>
            <rFont val="Tahoma"/>
            <family val="2"/>
          </rPr>
          <t xml:space="preserve">
restated 211.923</t>
        </r>
      </text>
    </comment>
    <comment ref="R174" authorId="1">
      <text>
        <r>
          <rPr>
            <b/>
            <sz val="8"/>
            <color indexed="81"/>
            <rFont val="Tahoma"/>
            <family val="2"/>
          </rPr>
          <t>mm98285:</t>
        </r>
        <r>
          <rPr>
            <sz val="8"/>
            <color indexed="81"/>
            <rFont val="Tahoma"/>
            <family val="2"/>
          </rPr>
          <t xml:space="preserve">
-3% on constant exchange</t>
        </r>
      </text>
    </comment>
    <comment ref="S174" authorId="1">
      <text>
        <r>
          <rPr>
            <b/>
            <sz val="8"/>
            <color indexed="81"/>
            <rFont val="Tahoma"/>
            <family val="2"/>
          </rPr>
          <t>mm98285:</t>
        </r>
        <r>
          <rPr>
            <sz val="8"/>
            <color indexed="81"/>
            <rFont val="Tahoma"/>
            <family val="2"/>
          </rPr>
          <t xml:space="preserve">
total Asia-Pac comp -4% constant currency 
5/09: improvement vs. 1Q</t>
        </r>
      </text>
    </comment>
    <comment ref="T174" authorId="8">
      <text>
        <r>
          <rPr>
            <b/>
            <sz val="8"/>
            <color indexed="81"/>
            <rFont val="Tahoma"/>
            <family val="2"/>
          </rPr>
          <t>nicholjs:</t>
        </r>
        <r>
          <rPr>
            <sz val="8"/>
            <color indexed="81"/>
            <rFont val="Tahoma"/>
            <family val="2"/>
          </rPr>
          <t xml:space="preserve">
restated from 49.272</t>
        </r>
      </text>
    </comment>
    <comment ref="X174" authorId="1">
      <text>
        <r>
          <rPr>
            <b/>
            <sz val="8"/>
            <color indexed="81"/>
            <rFont val="Tahoma"/>
            <family val="2"/>
          </rPr>
          <t>mm98285:</t>
        </r>
        <r>
          <rPr>
            <sz val="8"/>
            <color indexed="81"/>
            <rFont val="Tahoma"/>
            <family val="2"/>
          </rPr>
          <t xml:space="preserve">
-13% constant exchange</t>
        </r>
      </text>
    </comment>
    <comment ref="Y174" authorId="1">
      <text>
        <r>
          <rPr>
            <b/>
            <sz val="8"/>
            <color indexed="81"/>
            <rFont val="Tahoma"/>
            <family val="2"/>
          </rPr>
          <t>mm98285:</t>
        </r>
        <r>
          <rPr>
            <sz val="8"/>
            <color indexed="81"/>
            <rFont val="Tahoma"/>
            <family val="2"/>
          </rPr>
          <t xml:space="preserve">
similar declines through quarter, affected by softness in Japan economy and consumer spending, plan for similar results for full year</t>
        </r>
      </text>
    </comment>
    <comment ref="AC174" authorId="1">
      <text>
        <r>
          <rPr>
            <b/>
            <sz val="8"/>
            <color indexed="81"/>
            <rFont val="Tahoma"/>
            <family val="2"/>
          </rPr>
          <t>mm98285:</t>
        </r>
        <r>
          <rPr>
            <sz val="8"/>
            <color indexed="81"/>
            <rFont val="Tahoma"/>
            <family val="2"/>
          </rPr>
          <t xml:space="preserve">
+14% constant exchange</t>
        </r>
      </text>
    </comment>
    <comment ref="AD174" authorId="1">
      <text>
        <r>
          <rPr>
            <b/>
            <sz val="8"/>
            <color indexed="81"/>
            <rFont val="Tahoma"/>
            <family val="2"/>
          </rPr>
          <t>mm98285:</t>
        </r>
        <r>
          <rPr>
            <sz val="8"/>
            <color indexed="81"/>
            <rFont val="Tahoma"/>
            <family val="2"/>
          </rPr>
          <t xml:space="preserve">
business remains strong in Australia and China and improved in HK, Taiwan, Singapore</t>
        </r>
      </text>
    </comment>
    <comment ref="AG174" authorId="6">
      <text>
        <r>
          <rPr>
            <b/>
            <sz val="8"/>
            <color indexed="81"/>
            <rFont val="Tahoma"/>
            <family val="2"/>
          </rPr>
          <t>ns66486:</t>
        </r>
        <r>
          <rPr>
            <sz val="8"/>
            <color indexed="81"/>
            <rFont val="Tahoma"/>
            <family val="2"/>
          </rPr>
          <t xml:space="preserve">
restated from $68.329</t>
        </r>
      </text>
    </comment>
    <comment ref="AH174" authorId="1">
      <text>
        <r>
          <rPr>
            <b/>
            <sz val="8"/>
            <color indexed="81"/>
            <rFont val="Tahoma"/>
            <family val="2"/>
          </rPr>
          <t>mm98285:</t>
        </r>
        <r>
          <rPr>
            <sz val="8"/>
            <color indexed="81"/>
            <rFont val="Tahoma"/>
            <family val="2"/>
          </rPr>
          <t xml:space="preserve">
+13% constant exchange</t>
        </r>
      </text>
    </comment>
    <comment ref="AI174" authorId="1">
      <text>
        <r>
          <rPr>
            <b/>
            <sz val="8"/>
            <color indexed="81"/>
            <rFont val="Tahoma"/>
            <family val="2"/>
          </rPr>
          <t>mm98285:</t>
        </r>
        <r>
          <rPr>
            <sz val="8"/>
            <color indexed="81"/>
            <rFont val="Tahoma"/>
            <family val="2"/>
          </rPr>
          <t xml:space="preserve">
-10% GAAP
positive comp in London and on the continent with largest increase in Italy
5/09: improvement vs. 1Q</t>
        </r>
      </text>
    </comment>
    <comment ref="AR174" authorId="1">
      <text>
        <r>
          <rPr>
            <sz val="8"/>
            <color indexed="81"/>
            <rFont val="Tahoma"/>
            <family val="2"/>
          </rPr>
          <t>restated $7.379
excludes Iridesse</t>
        </r>
      </text>
    </comment>
    <comment ref="AS174" authorId="1">
      <text>
        <r>
          <rPr>
            <b/>
            <sz val="8"/>
            <color indexed="81"/>
            <rFont val="Tahoma"/>
            <family val="2"/>
          </rPr>
          <t>mm98285:</t>
        </r>
        <r>
          <rPr>
            <sz val="8"/>
            <color indexed="81"/>
            <rFont val="Tahoma"/>
            <family val="2"/>
          </rPr>
          <t xml:space="preserve">
reduced demand for diamonds in the wholesale market</t>
        </r>
      </text>
    </comment>
    <comment ref="AT174" authorId="8">
      <text>
        <r>
          <rPr>
            <b/>
            <sz val="8"/>
            <color indexed="81"/>
            <rFont val="Tahoma"/>
            <family val="2"/>
          </rPr>
          <t>nicholjs:</t>
        </r>
        <r>
          <rPr>
            <sz val="8"/>
            <color indexed="81"/>
            <rFont val="Tahoma"/>
            <family val="2"/>
          </rPr>
          <t xml:space="preserve">
restated from -4.199</t>
        </r>
      </text>
    </comment>
    <comment ref="F175" authorId="1">
      <text>
        <r>
          <rPr>
            <b/>
            <sz val="8"/>
            <color indexed="81"/>
            <rFont val="Tahoma"/>
            <family val="2"/>
          </rPr>
          <t>mm98285:</t>
        </r>
        <r>
          <rPr>
            <sz val="8"/>
            <color indexed="81"/>
            <rFont val="Tahoma"/>
            <family val="2"/>
          </rPr>
          <t xml:space="preserve">
-8% constant exchange (-1% translation effect)</t>
        </r>
      </text>
    </comment>
    <comment ref="G175" authorId="1">
      <text>
        <r>
          <rPr>
            <b/>
            <sz val="8"/>
            <color indexed="81"/>
            <rFont val="Tahoma"/>
            <family val="2"/>
          </rPr>
          <t>mm98285:</t>
        </r>
        <r>
          <rPr>
            <sz val="8"/>
            <color indexed="81"/>
            <rFont val="Tahoma"/>
            <family val="2"/>
          </rPr>
          <t xml:space="preserve">
-10% GAAP
solid comp growth in Mexico and Brazil</t>
        </r>
      </text>
    </comment>
    <comment ref="I175" authorId="1">
      <text>
        <r>
          <rPr>
            <b/>
            <sz val="8"/>
            <color indexed="81"/>
            <rFont val="Tahoma"/>
            <family val="2"/>
          </rPr>
          <t>mm98285:</t>
        </r>
        <r>
          <rPr>
            <sz val="8"/>
            <color indexed="81"/>
            <rFont val="Tahoma"/>
            <family val="2"/>
          </rPr>
          <t xml:space="preserve">
decrease in GM due to higher product costs partly offset by reduced op  exp attributed to cost savings from initatives implemented at end of 2008</t>
        </r>
      </text>
    </comment>
    <comment ref="M175" authorId="1">
      <text>
        <r>
          <rPr>
            <b/>
            <sz val="8"/>
            <color indexed="81"/>
            <rFont val="Tahoma"/>
            <family val="2"/>
          </rPr>
          <t>mm98285:</t>
        </r>
        <r>
          <rPr>
            <sz val="8"/>
            <color indexed="81"/>
            <rFont val="Tahoma"/>
            <family val="2"/>
          </rPr>
          <t xml:space="preserve">
August -18%, September -7%, October comps -5%
CA softer, FL stronger, Hawaii &amp; Guam posted solid increase (~5% of U.S. sales)
3/09: expect down in each quarter</t>
        </r>
      </text>
    </comment>
    <comment ref="N175" authorId="1">
      <text>
        <r>
          <rPr>
            <b/>
            <sz val="8"/>
            <color indexed="81"/>
            <rFont val="Tahoma"/>
            <family val="2"/>
          </rPr>
          <t>mm98285:</t>
        </r>
        <r>
          <rPr>
            <sz val="8"/>
            <color indexed="81"/>
            <rFont val="Tahoma"/>
            <family val="2"/>
          </rPr>
          <t xml:space="preserve">
NY region -9%</t>
        </r>
      </text>
    </comment>
    <comment ref="Q175" authorId="6">
      <text>
        <r>
          <rPr>
            <b/>
            <sz val="8"/>
            <color indexed="81"/>
            <rFont val="Tahoma"/>
            <family val="2"/>
          </rPr>
          <t>ns66486:</t>
        </r>
        <r>
          <rPr>
            <sz val="8"/>
            <color indexed="81"/>
            <rFont val="Tahoma"/>
            <family val="2"/>
          </rPr>
          <t xml:space="preserve">
restated 225.84</t>
        </r>
      </text>
    </comment>
    <comment ref="R175" authorId="1">
      <text>
        <r>
          <rPr>
            <b/>
            <sz val="8"/>
            <color indexed="81"/>
            <rFont val="Tahoma"/>
            <family val="2"/>
          </rPr>
          <t>mm98285:</t>
        </r>
        <r>
          <rPr>
            <sz val="8"/>
            <color indexed="81"/>
            <rFont val="Tahoma"/>
            <family val="2"/>
          </rPr>
          <t xml:space="preserve">
+2% constant exchange (+8% translation)</t>
        </r>
      </text>
    </comment>
    <comment ref="S175" authorId="1">
      <text>
        <r>
          <rPr>
            <b/>
            <sz val="8"/>
            <color indexed="81"/>
            <rFont val="Tahoma"/>
            <family val="2"/>
          </rPr>
          <t>mm98285:</t>
        </r>
        <r>
          <rPr>
            <sz val="8"/>
            <color indexed="81"/>
            <rFont val="Tahoma"/>
            <family val="2"/>
          </rPr>
          <t xml:space="preserve">
total Asia-Pac comp -3% constant currency and +5% GAAP</t>
        </r>
      </text>
    </comment>
    <comment ref="U175" authorId="1">
      <text>
        <r>
          <rPr>
            <b/>
            <sz val="8"/>
            <color indexed="81"/>
            <rFont val="Tahoma"/>
            <family val="2"/>
          </rPr>
          <t>mm98285:</t>
        </r>
        <r>
          <rPr>
            <sz val="8"/>
            <color indexed="81"/>
            <rFont val="Tahoma"/>
            <family val="2"/>
          </rPr>
          <t xml:space="preserve">
leveraging of op. exp partly offset by decrease in GM due to higher product costs</t>
        </r>
      </text>
    </comment>
    <comment ref="X175" authorId="1">
      <text>
        <r>
          <rPr>
            <b/>
            <sz val="8"/>
            <color indexed="81"/>
            <rFont val="Tahoma"/>
            <family val="2"/>
          </rPr>
          <t>mm98285:</t>
        </r>
        <r>
          <rPr>
            <sz val="8"/>
            <color indexed="81"/>
            <rFont val="Tahoma"/>
            <family val="2"/>
          </rPr>
          <t xml:space="preserve">
-10% constant exchange (+13% translation)</t>
        </r>
      </text>
    </comment>
    <comment ref="Y175" authorId="1">
      <text>
        <r>
          <rPr>
            <b/>
            <sz val="8"/>
            <color indexed="81"/>
            <rFont val="Tahoma"/>
            <family val="2"/>
          </rPr>
          <t>mm98285:</t>
        </r>
        <r>
          <rPr>
            <sz val="8"/>
            <color indexed="81"/>
            <rFont val="Tahoma"/>
            <family val="2"/>
          </rPr>
          <t xml:space="preserve">
0% GAAP (+13% translation)
Comps declined thru 3Q w/ no improvement nor any meaningful difference within/outside Toyko</t>
        </r>
      </text>
    </comment>
    <comment ref="AC175" authorId="1">
      <text>
        <r>
          <rPr>
            <b/>
            <sz val="8"/>
            <color indexed="81"/>
            <rFont val="Tahoma"/>
            <family val="2"/>
          </rPr>
          <t>mm98285:</t>
        </r>
        <r>
          <rPr>
            <sz val="8"/>
            <color indexed="81"/>
            <rFont val="Tahoma"/>
            <family val="2"/>
          </rPr>
          <t xml:space="preserve">
+18% constant exchange (+2% translation)</t>
        </r>
      </text>
    </comment>
    <comment ref="AD175" authorId="1">
      <text>
        <r>
          <rPr>
            <b/>
            <sz val="8"/>
            <color indexed="81"/>
            <rFont val="Tahoma"/>
            <family val="2"/>
          </rPr>
          <t>mm98285:</t>
        </r>
        <r>
          <rPr>
            <sz val="8"/>
            <color indexed="81"/>
            <rFont val="Tahoma"/>
            <family val="2"/>
          </rPr>
          <t xml:space="preserve">
+10% GAAP (+1% translation)
improvement thru 3Q
Cont'd strength in China, Australia and Singapore &amp; noteworthy improvements from 2Q &amp; 3Q in Hong Kong, Korea and Malaysia</t>
        </r>
      </text>
    </comment>
    <comment ref="AG175" authorId="6">
      <text>
        <r>
          <rPr>
            <b/>
            <sz val="8"/>
            <color indexed="81"/>
            <rFont val="Tahoma"/>
            <family val="2"/>
          </rPr>
          <t>ns66486:</t>
        </r>
        <r>
          <rPr>
            <sz val="8"/>
            <color indexed="81"/>
            <rFont val="Tahoma"/>
            <family val="2"/>
          </rPr>
          <t xml:space="preserve">
restated from $64.994</t>
        </r>
      </text>
    </comment>
    <comment ref="AH175" authorId="1">
      <text>
        <r>
          <rPr>
            <b/>
            <sz val="8"/>
            <color indexed="81"/>
            <rFont val="Tahoma"/>
            <family val="2"/>
          </rPr>
          <t>mm98285:</t>
        </r>
        <r>
          <rPr>
            <sz val="8"/>
            <color indexed="81"/>
            <rFont val="Tahoma"/>
            <family val="2"/>
          </rPr>
          <t xml:space="preserve">
+16% constant exchange (-4% translation)</t>
        </r>
      </text>
    </comment>
    <comment ref="AI175" authorId="1">
      <text>
        <r>
          <rPr>
            <b/>
            <sz val="8"/>
            <color indexed="81"/>
            <rFont val="Tahoma"/>
            <family val="2"/>
          </rPr>
          <t>mm98285:</t>
        </r>
        <r>
          <rPr>
            <sz val="8"/>
            <color indexed="81"/>
            <rFont val="Tahoma"/>
            <family val="2"/>
          </rPr>
          <t xml:space="preserve">
+6% GAAP (-3% translation)
Sales on the continent rose in most countries with noteworthy growth in Italy</t>
        </r>
      </text>
    </comment>
    <comment ref="AJ175" authorId="8">
      <text>
        <r>
          <rPr>
            <b/>
            <sz val="8"/>
            <color indexed="81"/>
            <rFont val="Tahoma"/>
            <family val="2"/>
          </rPr>
          <t>nicholjs:</t>
        </r>
        <r>
          <rPr>
            <sz val="8"/>
            <color indexed="81"/>
            <rFont val="Tahoma"/>
            <family val="2"/>
          </rPr>
          <t xml:space="preserve">
restated from 9.382</t>
        </r>
      </text>
    </comment>
    <comment ref="AK175" authorId="1">
      <text>
        <r>
          <rPr>
            <b/>
            <sz val="8"/>
            <color indexed="81"/>
            <rFont val="Tahoma"/>
            <family val="2"/>
          </rPr>
          <t>mm98285:</t>
        </r>
        <r>
          <rPr>
            <sz val="8"/>
            <color indexed="81"/>
            <rFont val="Tahoma"/>
            <family val="2"/>
          </rPr>
          <t xml:space="preserve">
leveraging of op. exp partly offset by decrease in GM due to higher product costs</t>
        </r>
      </text>
    </comment>
    <comment ref="AR175" authorId="6">
      <text>
        <r>
          <rPr>
            <b/>
            <sz val="8"/>
            <color indexed="81"/>
            <rFont val="Tahoma"/>
            <family val="2"/>
          </rPr>
          <t>ns66486:</t>
        </r>
        <r>
          <rPr>
            <sz val="8"/>
            <color indexed="81"/>
            <rFont val="Tahoma"/>
            <family val="2"/>
          </rPr>
          <t xml:space="preserve">
restated 3.863</t>
        </r>
      </text>
    </comment>
    <comment ref="AT175" authorId="1">
      <text>
        <r>
          <rPr>
            <b/>
            <sz val="8"/>
            <color indexed="81"/>
            <rFont val="Tahoma"/>
            <family val="2"/>
          </rPr>
          <t>mm98285:</t>
        </r>
        <r>
          <rPr>
            <sz val="8"/>
            <color indexed="81"/>
            <rFont val="Tahoma"/>
            <family val="2"/>
          </rPr>
          <t xml:space="preserve">
restated from -1.836
attributable to lower wholesale sales of diamonds and the write down of wholesale diamond jewelry</t>
        </r>
      </text>
    </comment>
    <comment ref="BE175" authorId="1">
      <text>
        <r>
          <rPr>
            <b/>
            <sz val="8"/>
            <color indexed="81"/>
            <rFont val="Tahoma"/>
            <family val="2"/>
          </rPr>
          <t>mm98285:</t>
        </r>
        <r>
          <rPr>
            <sz val="8"/>
            <color indexed="81"/>
            <rFont val="Tahoma"/>
            <family val="2"/>
          </rPr>
          <t xml:space="preserve">
increase vs. LY given reduction in anticipated mgmt incentive comp LY which more than offset cost savings realized TY</t>
        </r>
      </text>
    </comment>
    <comment ref="E176" authorId="1">
      <text>
        <r>
          <rPr>
            <b/>
            <sz val="8"/>
            <color indexed="81"/>
            <rFont val="Tahoma"/>
            <family val="2"/>
          </rPr>
          <t>mm98285:</t>
        </r>
        <r>
          <rPr>
            <sz val="8"/>
            <color indexed="81"/>
            <rFont val="Tahoma"/>
            <family val="2"/>
          </rPr>
          <t xml:space="preserve">
1/10: holiday sales +15% (+14% constant currency) to $443.9M</t>
        </r>
      </text>
    </comment>
    <comment ref="F176" authorId="1">
      <text>
        <r>
          <rPr>
            <sz val="8"/>
            <color indexed="81"/>
            <rFont val="Tahoma"/>
            <family val="2"/>
          </rPr>
          <t>+13% constant exchange (+1% translation effect)</t>
        </r>
      </text>
    </comment>
    <comment ref="G176" authorId="1">
      <text>
        <r>
          <rPr>
            <sz val="8"/>
            <color indexed="81"/>
            <rFont val="Tahoma"/>
            <family val="2"/>
          </rPr>
          <t>+11% GAAP, +1% translation
1/10: holiday comps +11% (+12% GAAP)</t>
        </r>
      </text>
    </comment>
    <comment ref="M176" authorId="1">
      <text>
        <r>
          <rPr>
            <b/>
            <sz val="8"/>
            <color indexed="81"/>
            <rFont val="Tahoma"/>
            <family val="2"/>
          </rPr>
          <t>mm98285:</t>
        </r>
        <r>
          <rPr>
            <sz val="8"/>
            <color indexed="81"/>
            <rFont val="Tahoma"/>
            <family val="2"/>
          </rPr>
          <t xml:space="preserve">
Nov +16%, Dec +10%, Jan +6%
1/10: holiday comps +12% (+16% in Nov, +10% Dec.) with higher transactions to both local and foreign shoppers
3/09: expect down in each quarter</t>
        </r>
      </text>
    </comment>
    <comment ref="N176" authorId="1">
      <text>
        <r>
          <rPr>
            <b/>
            <sz val="8"/>
            <color indexed="81"/>
            <rFont val="Tahoma"/>
            <family val="2"/>
          </rPr>
          <t>mm98285:</t>
        </r>
        <r>
          <rPr>
            <sz val="8"/>
            <color indexed="81"/>
            <rFont val="Tahoma"/>
            <family val="2"/>
          </rPr>
          <t xml:space="preserve">
1/10: holiday comps +20%</t>
        </r>
      </text>
    </comment>
    <comment ref="O176" authorId="1">
      <text>
        <r>
          <rPr>
            <b/>
            <sz val="8"/>
            <color indexed="81"/>
            <rFont val="Tahoma"/>
            <family val="2"/>
          </rPr>
          <t>mm98285:</t>
        </r>
        <r>
          <rPr>
            <sz val="8"/>
            <color indexed="81"/>
            <rFont val="Tahoma"/>
            <family val="2"/>
          </rPr>
          <t xml:space="preserve">
1/10: holiday comps +10%</t>
        </r>
      </text>
    </comment>
    <comment ref="Q176" authorId="1">
      <text>
        <r>
          <rPr>
            <sz val="8"/>
            <color indexed="81"/>
            <rFont val="Tahoma"/>
            <family val="2"/>
          </rPr>
          <t>restated 318</t>
        </r>
        <r>
          <rPr>
            <b/>
            <sz val="8"/>
            <color indexed="81"/>
            <rFont val="Tahoma"/>
            <family val="2"/>
          </rPr>
          <t xml:space="preserve">
mm98285:</t>
        </r>
        <r>
          <rPr>
            <sz val="8"/>
            <color indexed="81"/>
            <rFont val="Tahoma"/>
            <family val="2"/>
          </rPr>
          <t xml:space="preserve">
1/10: holiday sales +11% to $240.8M (+4% on constant exchange)</t>
        </r>
      </text>
    </comment>
    <comment ref="S176" authorId="1">
      <text>
        <r>
          <rPr>
            <b/>
            <sz val="8"/>
            <color indexed="81"/>
            <rFont val="Tahoma"/>
            <family val="2"/>
          </rPr>
          <t>mm98285:</t>
        </r>
        <r>
          <rPr>
            <sz val="8"/>
            <color indexed="81"/>
            <rFont val="Tahoma"/>
            <family val="2"/>
          </rPr>
          <t xml:space="preserve">
total Asia-Pac comp +3% constant currency and +8% GAAP</t>
        </r>
      </text>
    </comment>
    <comment ref="T176" authorId="8">
      <text>
        <r>
          <rPr>
            <b/>
            <sz val="8"/>
            <color indexed="81"/>
            <rFont val="Tahoma"/>
            <family val="2"/>
          </rPr>
          <t>nicholjs:</t>
        </r>
        <r>
          <rPr>
            <sz val="8"/>
            <color indexed="81"/>
            <rFont val="Tahoma"/>
            <family val="2"/>
          </rPr>
          <t xml:space="preserve">
restated from $90.937</t>
        </r>
      </text>
    </comment>
    <comment ref="X176" authorId="1">
      <text>
        <r>
          <rPr>
            <b/>
            <sz val="8"/>
            <color indexed="81"/>
            <rFont val="Tahoma"/>
            <family val="2"/>
          </rPr>
          <t>mm98285:</t>
        </r>
        <r>
          <rPr>
            <sz val="8"/>
            <color indexed="81"/>
            <rFont val="Tahoma"/>
            <family val="2"/>
          </rPr>
          <t xml:space="preserve">
1/10: holiday sales -8% or  -11% on constant currency</t>
        </r>
      </text>
    </comment>
    <comment ref="Y176" authorId="1">
      <text>
        <r>
          <rPr>
            <b/>
            <sz val="8"/>
            <color indexed="81"/>
            <rFont val="Tahoma"/>
            <family val="2"/>
          </rPr>
          <t>(7%) GAAP
mm98285:</t>
        </r>
        <r>
          <rPr>
            <sz val="8"/>
            <color indexed="81"/>
            <rFont val="Tahoma"/>
            <family val="2"/>
          </rPr>
          <t xml:space="preserve">
1/10: holiday comps -12% (-9% GAAP)
reduced prices in Japan by ~5%</t>
        </r>
      </text>
    </comment>
    <comment ref="AC176" authorId="1">
      <text>
        <r>
          <rPr>
            <b/>
            <sz val="8"/>
            <color indexed="81"/>
            <rFont val="Tahoma"/>
            <family val="2"/>
          </rPr>
          <t>mm98285:</t>
        </r>
        <r>
          <rPr>
            <sz val="8"/>
            <color indexed="81"/>
            <rFont val="Tahoma"/>
            <family val="2"/>
          </rPr>
          <t xml:space="preserve">
1/10: holiday sales +54% or +40% on constant exchange</t>
        </r>
      </text>
    </comment>
    <comment ref="AD176" authorId="1">
      <text>
        <r>
          <rPr>
            <b/>
            <sz val="8"/>
            <color indexed="81"/>
            <rFont val="Tahoma"/>
            <family val="2"/>
          </rPr>
          <t>+36% GAAP
mm98285:</t>
        </r>
        <r>
          <rPr>
            <sz val="8"/>
            <color indexed="81"/>
            <rFont val="Tahoma"/>
            <family val="2"/>
          </rPr>
          <t xml:space="preserve">
1/10: holiday comps +26% (+39% GAAP)</t>
        </r>
      </text>
    </comment>
    <comment ref="AG176" authorId="1">
      <text>
        <r>
          <rPr>
            <sz val="8"/>
            <color indexed="81"/>
            <rFont val="Tahoma"/>
            <family val="2"/>
          </rPr>
          <t>restated from $122.9
1/10: holiday sales +30% to $103.0M (+19% on constant exchange)</t>
        </r>
      </text>
    </comment>
    <comment ref="AI176" authorId="1">
      <text>
        <r>
          <rPr>
            <b/>
            <sz val="8"/>
            <color indexed="81"/>
            <rFont val="Tahoma"/>
            <family val="2"/>
          </rPr>
          <t>+25% GAAP
mm98285:</t>
        </r>
        <r>
          <rPr>
            <sz val="8"/>
            <color indexed="81"/>
            <rFont val="Tahoma"/>
            <family val="2"/>
          </rPr>
          <t xml:space="preserve">
1/10: holiday comps +16% (+27% GAAP) 
+DD in U.K. and most other countries</t>
        </r>
      </text>
    </comment>
    <comment ref="AJ176" authorId="8">
      <text>
        <r>
          <rPr>
            <b/>
            <sz val="8"/>
            <color indexed="81"/>
            <rFont val="Tahoma"/>
            <family val="2"/>
          </rPr>
          <t>nicholjs:</t>
        </r>
        <r>
          <rPr>
            <sz val="8"/>
            <color indexed="81"/>
            <rFont val="Tahoma"/>
            <family val="2"/>
          </rPr>
          <t xml:space="preserve">
restated $36.183</t>
        </r>
      </text>
    </comment>
    <comment ref="AK176" authorId="1">
      <text>
        <r>
          <rPr>
            <b/>
            <sz val="8"/>
            <color indexed="81"/>
            <rFont val="Tahoma"/>
            <family val="2"/>
          </rPr>
          <t>mm98285:</t>
        </r>
        <r>
          <rPr>
            <sz val="8"/>
            <color indexed="81"/>
            <rFont val="Tahoma"/>
            <family val="2"/>
          </rPr>
          <t xml:space="preserve">
leveraging of op. exp partly offset by decrease in GM due to higher product costs</t>
        </r>
      </text>
    </comment>
    <comment ref="AR176" authorId="1">
      <text>
        <r>
          <rPr>
            <sz val="8"/>
            <color indexed="81"/>
            <rFont val="Tahoma"/>
            <family val="2"/>
          </rPr>
          <t>restated 17.1</t>
        </r>
        <r>
          <rPr>
            <b/>
            <sz val="8"/>
            <color indexed="81"/>
            <rFont val="Tahoma"/>
            <family val="2"/>
          </rPr>
          <t xml:space="preserve">
mm98285:</t>
        </r>
        <r>
          <rPr>
            <sz val="8"/>
            <color indexed="81"/>
            <rFont val="Tahoma"/>
            <family val="2"/>
          </rPr>
          <t xml:space="preserve">
1/10: holiday sales $11.5M vs. $3.4M LY (increased wholesale sales of rough diamonds)</t>
        </r>
      </text>
    </comment>
    <comment ref="AT176" authorId="8">
      <text>
        <r>
          <rPr>
            <b/>
            <sz val="8"/>
            <color indexed="81"/>
            <rFont val="Tahoma"/>
            <family val="2"/>
          </rPr>
          <t>nicholjs:</t>
        </r>
        <r>
          <rPr>
            <sz val="8"/>
            <color indexed="81"/>
            <rFont val="Tahoma"/>
            <family val="2"/>
          </rPr>
          <t xml:space="preserve">
restated from -5</t>
        </r>
      </text>
    </comment>
    <comment ref="E177" authorId="10">
      <text>
        <r>
          <rPr>
            <b/>
            <sz val="8"/>
            <color indexed="81"/>
            <rFont val="Tahoma"/>
            <family val="2"/>
          </rPr>
          <t>KG51925:</t>
        </r>
        <r>
          <rPr>
            <sz val="8"/>
            <color indexed="81"/>
            <rFont val="Tahoma"/>
            <family val="2"/>
          </rPr>
          <t xml:space="preserve">
52% of total sales, of which 91% is in the US
79 US
7 Mexico
3 Canada
2 Brazil</t>
        </r>
      </text>
    </comment>
    <comment ref="F177" authorId="1">
      <text>
        <r>
          <rPr>
            <b/>
            <sz val="8"/>
            <color indexed="81"/>
            <rFont val="Tahoma"/>
            <family val="2"/>
          </rPr>
          <t>mm98285:</t>
        </r>
        <r>
          <rPr>
            <sz val="8"/>
            <color indexed="81"/>
            <rFont val="Tahoma"/>
            <family val="2"/>
          </rPr>
          <t xml:space="preserve">
11/09: expect -Lteens
8/09, 5/09 &amp; 3/09: -Mteens (greater decline in 1H)</t>
        </r>
      </text>
    </comment>
    <comment ref="K177" authorId="11">
      <text>
        <r>
          <rPr>
            <b/>
            <sz val="8"/>
            <color indexed="81"/>
            <rFont val="Tahoma"/>
            <family val="2"/>
          </rPr>
          <t>marchant:</t>
        </r>
        <r>
          <rPr>
            <sz val="8"/>
            <color indexed="81"/>
            <rFont val="Tahoma"/>
            <family val="2"/>
          </rPr>
          <t xml:space="preserve">
sales to tourists = 15% of U.S. sales in 2009 vs. 16% in 2008 and 14% in 2007
U.S. represents 91% of Americas segment</t>
        </r>
      </text>
    </comment>
    <comment ref="M177" authorId="1">
      <text>
        <r>
          <rPr>
            <b/>
            <sz val="8"/>
            <color indexed="81"/>
            <rFont val="Tahoma"/>
            <family val="2"/>
          </rPr>
          <t>mm98285:</t>
        </r>
        <r>
          <rPr>
            <sz val="8"/>
            <color indexed="81"/>
            <rFont val="Tahoma"/>
            <family val="2"/>
          </rPr>
          <t xml:space="preserve">
11/09: expect US comps -Mteens
8/09: expect US comps -Hteens
3/09: expect down in each quarter</t>
        </r>
      </text>
    </comment>
    <comment ref="Q177" authorId="10">
      <text>
        <r>
          <rPr>
            <b/>
            <sz val="8"/>
            <color indexed="81"/>
            <rFont val="Tahoma"/>
            <family val="2"/>
          </rPr>
          <t>KG51925:</t>
        </r>
        <r>
          <rPr>
            <sz val="8"/>
            <color indexed="81"/>
            <rFont val="Tahoma"/>
            <family val="2"/>
          </rPr>
          <t xml:space="preserve">
35% of global sales in Asia-Pac, 54% of which is  in Japan
57 Japan
10 china
10 Korea
8 Hong Kong
5 Australia
5 Taiwan
3 Singapore
2 Macau
2 Malasia</t>
        </r>
      </text>
    </comment>
    <comment ref="R177" authorId="1">
      <text>
        <r>
          <rPr>
            <b/>
            <sz val="8"/>
            <color indexed="81"/>
            <rFont val="Tahoma"/>
            <family val="2"/>
          </rPr>
          <t>mm98285:</t>
        </r>
        <r>
          <rPr>
            <sz val="8"/>
            <color indexed="81"/>
            <rFont val="Tahoma"/>
            <family val="2"/>
          </rPr>
          <t xml:space="preserve">
11/09: flat to LY
8/09: -LSD
5/09 &amp; 3/09: -MSD</t>
        </r>
      </text>
    </comment>
    <comment ref="S177" authorId="1">
      <text>
        <r>
          <rPr>
            <b/>
            <sz val="8"/>
            <color indexed="81"/>
            <rFont val="Tahoma"/>
            <family val="2"/>
          </rPr>
          <t>mm98285:</t>
        </r>
        <r>
          <rPr>
            <sz val="8"/>
            <color indexed="81"/>
            <rFont val="Tahoma"/>
            <family val="2"/>
          </rPr>
          <t xml:space="preserve">
total Asia-Pac comp -3% constant currency 
11/09 &amp; 8/09: expect -MSD</t>
        </r>
      </text>
    </comment>
    <comment ref="Y177" authorId="1">
      <text>
        <r>
          <rPr>
            <b/>
            <sz val="8"/>
            <color indexed="81"/>
            <rFont val="Tahoma"/>
            <family val="2"/>
          </rPr>
          <t>mm98285:</t>
        </r>
        <r>
          <rPr>
            <sz val="8"/>
            <color indexed="81"/>
            <rFont val="Tahoma"/>
            <family val="2"/>
          </rPr>
          <t xml:space="preserve">
8/09: expect Japan below total Asia Pac comp -MSD
3/09: expect -10%</t>
        </r>
      </text>
    </comment>
    <comment ref="AD177" authorId="1">
      <text>
        <r>
          <rPr>
            <b/>
            <sz val="8"/>
            <color indexed="81"/>
            <rFont val="Tahoma"/>
            <family val="2"/>
          </rPr>
          <t>mm98285:</t>
        </r>
        <r>
          <rPr>
            <sz val="8"/>
            <color indexed="81"/>
            <rFont val="Tahoma"/>
            <family val="2"/>
          </rPr>
          <t xml:space="preserve">
3/09: expect -10%</t>
        </r>
      </text>
    </comment>
    <comment ref="AG177" authorId="10">
      <text>
        <r>
          <rPr>
            <b/>
            <sz val="8"/>
            <color indexed="81"/>
            <rFont val="Tahoma"/>
            <family val="2"/>
          </rPr>
          <t>KG51925:</t>
        </r>
        <r>
          <rPr>
            <sz val="8"/>
            <color indexed="81"/>
            <rFont val="Tahoma"/>
            <family val="2"/>
          </rPr>
          <t xml:space="preserve">
Europe = 12% of total sales, 51% of which is UK 
9 UK
5 Germany
4 Italy
3 France
1 Austria
1 Belgium
1 Ireland
1 Netherlands
1 Spain
1 Switzerland</t>
        </r>
      </text>
    </comment>
    <comment ref="AH177" authorId="1">
      <text>
        <r>
          <rPr>
            <b/>
            <sz val="8"/>
            <color indexed="81"/>
            <rFont val="Tahoma"/>
            <family val="2"/>
          </rPr>
          <t>mm98285:</t>
        </r>
        <r>
          <rPr>
            <sz val="8"/>
            <color indexed="81"/>
            <rFont val="Tahoma"/>
            <family val="2"/>
          </rPr>
          <t xml:space="preserve">
11/09: +LSD
8/09: -LSD
5/09 &amp; 3/09: expect -HSD (weaker pound and euro against dollar) </t>
        </r>
      </text>
    </comment>
    <comment ref="AI177" authorId="1">
      <text>
        <r>
          <rPr>
            <b/>
            <sz val="8"/>
            <color indexed="81"/>
            <rFont val="Tahoma"/>
            <family val="2"/>
          </rPr>
          <t>mm98285:</t>
        </r>
        <r>
          <rPr>
            <sz val="8"/>
            <color indexed="81"/>
            <rFont val="Tahoma"/>
            <family val="2"/>
          </rPr>
          <t xml:space="preserve">
11/09: expect +HSD
8/09: expect +LSD
3/09: expect flat</t>
        </r>
      </text>
    </comment>
    <comment ref="AJ177" authorId="8">
      <text>
        <r>
          <rPr>
            <b/>
            <sz val="8"/>
            <color indexed="81"/>
            <rFont val="Tahoma"/>
            <family val="2"/>
          </rPr>
          <t>nicholjs:</t>
        </r>
        <r>
          <rPr>
            <sz val="8"/>
            <color indexed="81"/>
            <rFont val="Tahoma"/>
            <family val="2"/>
          </rPr>
          <t xml:space="preserve">
restated $64.271</t>
        </r>
      </text>
    </comment>
    <comment ref="AM177" authorId="10">
      <text>
        <r>
          <rPr>
            <b/>
            <sz val="8"/>
            <color indexed="81"/>
            <rFont val="Tahoma"/>
            <family val="2"/>
          </rPr>
          <t>KG51925:</t>
        </r>
        <r>
          <rPr>
            <sz val="8"/>
            <color indexed="81"/>
            <rFont val="Tahoma"/>
            <family val="2"/>
          </rPr>
          <t xml:space="preserve">
e-comm sites in the US, Canada, UK, Japan, &amp; Australia. 4.2mm names on its US internet and catalog mailing list. Mailed ~12mm catalogs in 2009 (down 35% vs. 2008). We est $130mm of the $162 is U.S. direct revenue</t>
        </r>
      </text>
    </comment>
    <comment ref="AR177" authorId="10">
      <text>
        <r>
          <rPr>
            <b/>
            <sz val="8"/>
            <color indexed="81"/>
            <rFont val="Tahoma"/>
            <family val="2"/>
          </rPr>
          <t>KG51925:</t>
        </r>
        <r>
          <rPr>
            <sz val="8"/>
            <color indexed="81"/>
            <rFont val="Tahoma"/>
            <family val="2"/>
          </rPr>
          <t xml:space="preserve">
Primarily wholesale sales of diamonds. Also includes licensing revenue from Luxottica for eyewear and licensing revenue from Swatch "will be included when earned" for watches.</t>
        </r>
      </text>
    </comment>
    <comment ref="AS177" authorId="1">
      <text>
        <r>
          <rPr>
            <b/>
            <sz val="8"/>
            <color indexed="81"/>
            <rFont val="Tahoma"/>
            <family val="2"/>
          </rPr>
          <t>mm98285:</t>
        </r>
        <r>
          <rPr>
            <sz val="8"/>
            <color indexed="81"/>
            <rFont val="Tahoma"/>
            <family val="2"/>
          </rPr>
          <t xml:space="preserve">
11/09: -60%
8/09: -50%
5/09 &amp; 3/09: expect -20%</t>
        </r>
      </text>
    </comment>
    <comment ref="AW177" authorId="10">
      <text>
        <r>
          <rPr>
            <b/>
            <sz val="8"/>
            <color indexed="81"/>
            <rFont val="Tahoma"/>
            <family val="2"/>
          </rPr>
          <t>KG51925:</t>
        </r>
        <r>
          <rPr>
            <sz val="8"/>
            <color indexed="81"/>
            <rFont val="Tahoma"/>
            <family val="2"/>
          </rPr>
          <t xml:space="preserve">
Wholesale sales to independent distributors for resale (Central &amp; S. America, Canada &amp; Carribbean) comprised less than 1% of net sales in '09, '08, and '07.
Wholesale sales in Asia-Pac &amp; Mid East = 1% of total sales in '09, and 2% in '08 &amp; '07.
Wholesale sales in Russia &lt;1% of total sales in '09, '08, &amp; '07.
</t>
        </r>
      </text>
    </comment>
    <comment ref="BK177" authorId="10">
      <text>
        <r>
          <rPr>
            <b/>
            <sz val="8"/>
            <color indexed="81"/>
            <rFont val="Tahoma"/>
            <family val="2"/>
          </rPr>
          <t>KG51925:</t>
        </r>
        <r>
          <rPr>
            <sz val="8"/>
            <color indexed="81"/>
            <rFont val="Tahoma"/>
            <family val="2"/>
          </rPr>
          <t xml:space="preserve">
79% of sales in Japan are transacted in 53 boutiques within Japanese dept stores. Tiffany operates 4 stand alone stores in Japan, for 57 total loc's. of the 53 boutiques, 49 are "concession" (Tif staffs and risks inventory) and 4 are "standard" (dept store staffs and risks inventory). "Rent" expense (basic portion) = 14%-23% of sales in boutiques. We estimate most are nearer the lower end of the range.</t>
        </r>
      </text>
    </comment>
    <comment ref="F180" authorId="8">
      <text>
        <r>
          <rPr>
            <b/>
            <sz val="8"/>
            <color indexed="81"/>
            <rFont val="Tahoma"/>
            <family val="2"/>
          </rPr>
          <t>nicholjs:</t>
        </r>
        <r>
          <rPr>
            <sz val="8"/>
            <color indexed="81"/>
            <rFont val="Tahoma"/>
            <family val="2"/>
          </rPr>
          <t xml:space="preserve">
+20 constant currency, or +2% translation effect</t>
        </r>
      </text>
    </comment>
    <comment ref="G180" authorId="11">
      <text>
        <r>
          <rPr>
            <b/>
            <sz val="8"/>
            <color indexed="81"/>
            <rFont val="Tahoma"/>
            <family val="2"/>
          </rPr>
          <t>marchant:</t>
        </r>
        <r>
          <rPr>
            <sz val="8"/>
            <color indexed="81"/>
            <rFont val="Tahoma"/>
            <family val="2"/>
          </rPr>
          <t xml:space="preserve">
Feb: 18%, March: 21%, Apr: 7%; +units sold</t>
        </r>
      </text>
    </comment>
    <comment ref="O180" authorId="11">
      <text>
        <r>
          <rPr>
            <b/>
            <sz val="8"/>
            <color indexed="81"/>
            <rFont val="Tahoma"/>
            <family val="2"/>
          </rPr>
          <t>marchant:</t>
        </r>
        <r>
          <rPr>
            <sz val="8"/>
            <color indexed="81"/>
            <rFont val="Tahoma"/>
            <family val="2"/>
          </rPr>
          <t xml:space="preserve">
5/10: change in reporting methodology: represents American brand store (not just U.S.)</t>
        </r>
      </text>
    </comment>
    <comment ref="R180" authorId="8">
      <text>
        <r>
          <rPr>
            <b/>
            <sz val="8"/>
            <color indexed="81"/>
            <rFont val="Tahoma"/>
            <family val="2"/>
          </rPr>
          <t>nicholjs:</t>
        </r>
        <r>
          <rPr>
            <sz val="8"/>
            <color indexed="81"/>
            <rFont val="Tahoma"/>
            <family val="2"/>
          </rPr>
          <t xml:space="preserve">
constant currency +37%, due to growth in most countries, or +13% translation effect</t>
        </r>
      </text>
    </comment>
    <comment ref="S180" authorId="12">
      <text>
        <r>
          <rPr>
            <b/>
            <sz val="9"/>
            <color indexed="81"/>
            <rFont val="Tahoma"/>
            <family val="2"/>
          </rPr>
          <t>turleamb:</t>
        </r>
        <r>
          <rPr>
            <sz val="9"/>
            <color indexed="81"/>
            <rFont val="Tahoma"/>
            <family val="2"/>
          </rPr>
          <t xml:space="preserve">
+units sold</t>
        </r>
      </text>
    </comment>
    <comment ref="X180" authorId="8">
      <text>
        <r>
          <rPr>
            <b/>
            <sz val="8"/>
            <color indexed="81"/>
            <rFont val="Tahoma"/>
            <family val="2"/>
          </rPr>
          <t>nicholjs:</t>
        </r>
        <r>
          <rPr>
            <sz val="8"/>
            <color indexed="81"/>
            <rFont val="Tahoma"/>
            <family val="2"/>
          </rPr>
          <t xml:space="preserve">
constant currency sales -7%, or +5% translation effect</t>
        </r>
      </text>
    </comment>
    <comment ref="Y180" authorId="12">
      <text>
        <r>
          <rPr>
            <b/>
            <sz val="9"/>
            <color indexed="81"/>
            <rFont val="Tahoma"/>
            <family val="2"/>
          </rPr>
          <t>turleamb:</t>
        </r>
        <r>
          <rPr>
            <sz val="9"/>
            <color indexed="81"/>
            <rFont val="Tahoma"/>
            <family val="2"/>
          </rPr>
          <t xml:space="preserve">
decreased due to -AUR and - units sold</t>
        </r>
      </text>
    </comment>
    <comment ref="AH180" authorId="8">
      <text>
        <r>
          <rPr>
            <b/>
            <sz val="8"/>
            <color indexed="81"/>
            <rFont val="Tahoma"/>
            <family val="2"/>
          </rPr>
          <t>nicholjs:</t>
        </r>
        <r>
          <rPr>
            <sz val="8"/>
            <color indexed="81"/>
            <rFont val="Tahoma"/>
            <family val="2"/>
          </rPr>
          <t xml:space="preserve">
constant currency +19%, or +6% translation effect</t>
        </r>
      </text>
    </comment>
    <comment ref="AI180" authorId="12">
      <text>
        <r>
          <rPr>
            <b/>
            <sz val="9"/>
            <color indexed="81"/>
            <rFont val="Tahoma"/>
            <family val="2"/>
          </rPr>
          <t>turleamb:</t>
        </r>
        <r>
          <rPr>
            <sz val="9"/>
            <color indexed="81"/>
            <rFont val="Tahoma"/>
            <family val="2"/>
          </rPr>
          <t xml:space="preserve">
increase due to +units sold</t>
        </r>
      </text>
    </comment>
    <comment ref="AR180" authorId="11">
      <text>
        <r>
          <rPr>
            <b/>
            <sz val="8"/>
            <color indexed="81"/>
            <rFont val="Tahoma"/>
            <family val="2"/>
          </rPr>
          <t>marchant:</t>
        </r>
        <r>
          <rPr>
            <sz val="8"/>
            <color indexed="81"/>
            <rFont val="Tahoma"/>
            <family val="2"/>
          </rPr>
          <t xml:space="preserve">
5/10: other segment now includes wholesale sales of merchandise to third-party distributors in
emerging markets, which increased in 1Q10 along with wholesale sales of diamonds acq through rough diamond soucrcing program</t>
        </r>
      </text>
    </comment>
    <comment ref="BF180" authorId="8">
      <text>
        <r>
          <rPr>
            <b/>
            <sz val="8"/>
            <color indexed="81"/>
            <rFont val="Tahoma"/>
            <family val="2"/>
          </rPr>
          <t>nicholjs:</t>
        </r>
        <r>
          <rPr>
            <sz val="8"/>
            <color indexed="81"/>
            <rFont val="Tahoma"/>
            <family val="2"/>
          </rPr>
          <t xml:space="preserve">
add back 72,000 charge within cogs and 788,000 charge within sg&amp;a associated with company's NY HQ relocation (accelerated deprc)</t>
        </r>
      </text>
    </comment>
    <comment ref="F181" authorId="8">
      <text>
        <r>
          <rPr>
            <b/>
            <sz val="8"/>
            <color indexed="81"/>
            <rFont val="Tahoma"/>
            <family val="2"/>
          </rPr>
          <t>nicholjs:</t>
        </r>
        <r>
          <rPr>
            <sz val="8"/>
            <color indexed="81"/>
            <rFont val="Tahoma"/>
            <family val="2"/>
          </rPr>
          <t xml:space="preserve">
constant currency +7% or +1% translation effect</t>
        </r>
      </text>
    </comment>
    <comment ref="G181" authorId="11">
      <text>
        <r>
          <rPr>
            <b/>
            <sz val="8"/>
            <color indexed="81"/>
            <rFont val="Tahoma"/>
            <family val="2"/>
          </rPr>
          <t>marchant:</t>
        </r>
        <r>
          <rPr>
            <sz val="8"/>
            <color indexed="81"/>
            <rFont val="Tahoma"/>
            <family val="2"/>
          </rPr>
          <t xml:space="preserve">
May: +5%, June: +2%, July: +9%; sales increase due to +AUR</t>
        </r>
      </text>
    </comment>
    <comment ref="N181" authorId="8">
      <text>
        <r>
          <rPr>
            <b/>
            <sz val="8"/>
            <color indexed="81"/>
            <rFont val="Tahoma"/>
            <family val="2"/>
          </rPr>
          <t>nicholjs:</t>
        </r>
        <r>
          <rPr>
            <sz val="8"/>
            <color indexed="81"/>
            <rFont val="Tahoma"/>
            <family val="2"/>
          </rPr>
          <t xml:space="preserve">
entire increase in flagship store driven by higher tourists sales (~30% of flagship sales to tourist)
8 New York area branch stores posted a +12% comp increase</t>
        </r>
      </text>
    </comment>
    <comment ref="O181" authorId="8">
      <text>
        <r>
          <rPr>
            <b/>
            <sz val="8"/>
            <color indexed="81"/>
            <rFont val="Tahoma"/>
            <family val="2"/>
          </rPr>
          <t>nicholjs:</t>
        </r>
        <r>
          <rPr>
            <sz val="8"/>
            <color indexed="81"/>
            <rFont val="Tahoma"/>
            <family val="2"/>
          </rPr>
          <t xml:space="preserve">
no significant differences among most regions, except for continued/pronounced softness in Southwest US including Southern CA, AZ, and Las Vegas; on the other hand, Hawaii &amp; Guam were very strong</t>
        </r>
      </text>
    </comment>
    <comment ref="R181" authorId="8">
      <text>
        <r>
          <rPr>
            <b/>
            <sz val="8"/>
            <color indexed="81"/>
            <rFont val="Tahoma"/>
            <family val="2"/>
          </rPr>
          <t>nicholjs:</t>
        </r>
        <r>
          <rPr>
            <sz val="8"/>
            <color indexed="81"/>
            <rFont val="Tahoma"/>
            <family val="2"/>
          </rPr>
          <t xml:space="preserve">
constant currency +17% (with largest % growth in China, Hong Kong, Macau and Korea), or +4% translation effect</t>
        </r>
      </text>
    </comment>
    <comment ref="S181" authorId="12">
      <text>
        <r>
          <rPr>
            <b/>
            <sz val="9"/>
            <color indexed="81"/>
            <rFont val="Tahoma"/>
            <family val="2"/>
          </rPr>
          <t>turleamb:</t>
        </r>
        <r>
          <rPr>
            <sz val="9"/>
            <color indexed="81"/>
            <rFont val="Tahoma"/>
            <family val="2"/>
          </rPr>
          <t xml:space="preserve">
sales increase due to +AUR</t>
        </r>
      </text>
    </comment>
    <comment ref="X181" authorId="8">
      <text>
        <r>
          <rPr>
            <b/>
            <sz val="8"/>
            <color indexed="81"/>
            <rFont val="Tahoma"/>
            <family val="2"/>
          </rPr>
          <t>nicholjs:</t>
        </r>
        <r>
          <rPr>
            <sz val="8"/>
            <color indexed="81"/>
            <rFont val="Tahoma"/>
            <family val="2"/>
          </rPr>
          <t xml:space="preserve">
constant currency -2%, or +6% translation effect</t>
        </r>
      </text>
    </comment>
    <comment ref="Y181" authorId="12">
      <text>
        <r>
          <rPr>
            <b/>
            <sz val="9"/>
            <color indexed="81"/>
            <rFont val="Tahoma"/>
            <family val="2"/>
          </rPr>
          <t>turleamb:</t>
        </r>
        <r>
          <rPr>
            <sz val="9"/>
            <color indexed="81"/>
            <rFont val="Tahoma"/>
            <family val="2"/>
          </rPr>
          <t xml:space="preserve">
sales increase due to +AUR (primarily translation effect) which was partly offset by -units sold</t>
        </r>
      </text>
    </comment>
    <comment ref="AH181" authorId="8">
      <text>
        <r>
          <rPr>
            <b/>
            <sz val="8"/>
            <color indexed="81"/>
            <rFont val="Tahoma"/>
            <family val="2"/>
          </rPr>
          <t>nicholjs:</t>
        </r>
        <r>
          <rPr>
            <sz val="8"/>
            <color indexed="81"/>
            <rFont val="Tahoma"/>
            <family val="2"/>
          </rPr>
          <t xml:space="preserve">
constant currency +25% with similarly strong growth in the UK and continental Europe, or -9% translation effect</t>
        </r>
      </text>
    </comment>
    <comment ref="AI181" authorId="8">
      <text>
        <r>
          <rPr>
            <b/>
            <sz val="8"/>
            <color indexed="81"/>
            <rFont val="Tahoma"/>
            <family val="2"/>
          </rPr>
          <t>nicholjs:</t>
        </r>
        <r>
          <rPr>
            <sz val="8"/>
            <color indexed="81"/>
            <rFont val="Tahoma"/>
            <family val="2"/>
          </rPr>
          <t xml:space="preserve">
comps improved steadily throughout 2Q and rose by double-digit %'s in all three months; Europe sales increased due to +units sold</t>
        </r>
      </text>
    </comment>
    <comment ref="AN181" authorId="11">
      <text>
        <r>
          <rPr>
            <b/>
            <sz val="8"/>
            <color indexed="81"/>
            <rFont val="Tahoma"/>
            <family val="2"/>
          </rPr>
          <t>marchant:</t>
        </r>
        <r>
          <rPr>
            <sz val="8"/>
            <color indexed="81"/>
            <rFont val="Tahoma"/>
            <family val="2"/>
          </rPr>
          <t xml:space="preserve">
launched e-commin mid-june in 8 european countries</t>
        </r>
      </text>
    </comment>
    <comment ref="AR181" authorId="11">
      <text>
        <r>
          <rPr>
            <b/>
            <sz val="8"/>
            <color indexed="81"/>
            <rFont val="Tahoma"/>
            <family val="2"/>
          </rPr>
          <t>marchant:</t>
        </r>
        <r>
          <rPr>
            <sz val="8"/>
            <color indexed="81"/>
            <rFont val="Tahoma"/>
            <family val="2"/>
          </rPr>
          <t xml:space="preserve">
lower wholesale sales of roughdiamonds, while wholesale sales of merchandise to third-party distributors in emerging markets was flat. TIF more focused now on growing businesses in the Middle East and Russia</t>
        </r>
      </text>
    </comment>
    <comment ref="F182" authorId="8">
      <text>
        <r>
          <rPr>
            <b/>
            <sz val="8"/>
            <color indexed="81"/>
            <rFont val="Tahoma"/>
            <family val="2"/>
          </rPr>
          <t>nicholjs:</t>
        </r>
        <r>
          <rPr>
            <sz val="8"/>
            <color indexed="81"/>
            <rFont val="Tahoma"/>
            <family val="2"/>
          </rPr>
          <t xml:space="preserve">
constant currency also +9%.  Sales growth came from increased average price per unit sold.</t>
        </r>
      </text>
    </comment>
    <comment ref="G182" authorId="8">
      <text>
        <r>
          <rPr>
            <b/>
            <sz val="8"/>
            <color indexed="81"/>
            <rFont val="Tahoma"/>
            <family val="2"/>
          </rPr>
          <t>nicholjs:</t>
        </r>
        <r>
          <rPr>
            <sz val="8"/>
            <color indexed="81"/>
            <rFont val="Tahoma"/>
            <family val="2"/>
          </rPr>
          <t xml:space="preserve">
+6% GAAP, +1% translation effect; +AUR</t>
        </r>
      </text>
    </comment>
    <comment ref="N182" authorId="8">
      <text>
        <r>
          <rPr>
            <b/>
            <sz val="8"/>
            <color indexed="81"/>
            <rFont val="Tahoma"/>
            <family val="2"/>
          </rPr>
          <t>nicholjs:</t>
        </r>
        <r>
          <rPr>
            <sz val="8"/>
            <color indexed="81"/>
            <rFont val="Tahoma"/>
            <family val="2"/>
          </rPr>
          <t xml:space="preserve">
NY area branch stores +1%
annual blue book customer event occurred LY in October and this year in November</t>
        </r>
      </text>
    </comment>
    <comment ref="R182" authorId="8">
      <text>
        <r>
          <rPr>
            <b/>
            <sz val="8"/>
            <color indexed="81"/>
            <rFont val="Tahoma"/>
            <family val="2"/>
          </rPr>
          <t>nicholjs:</t>
        </r>
        <r>
          <rPr>
            <sz val="8"/>
            <color indexed="81"/>
            <rFont val="Tahoma"/>
            <family val="2"/>
          </rPr>
          <t xml:space="preserve">
constant exchange rate +20% or +4% translation effect</t>
        </r>
      </text>
    </comment>
    <comment ref="S182" authorId="12">
      <text>
        <r>
          <rPr>
            <b/>
            <sz val="9"/>
            <color indexed="81"/>
            <rFont val="Tahoma"/>
            <family val="2"/>
          </rPr>
          <t>turleamb:</t>
        </r>
        <r>
          <rPr>
            <sz val="9"/>
            <color indexed="81"/>
            <rFont val="Tahoma"/>
            <family val="2"/>
          </rPr>
          <t xml:space="preserve">
primarily due to +AUR</t>
        </r>
      </text>
    </comment>
    <comment ref="X182" authorId="8">
      <text>
        <r>
          <rPr>
            <b/>
            <sz val="8"/>
            <color indexed="81"/>
            <rFont val="Tahoma"/>
            <family val="2"/>
          </rPr>
          <t>nicholjs:</t>
        </r>
        <r>
          <rPr>
            <sz val="8"/>
            <color indexed="81"/>
            <rFont val="Tahoma"/>
            <family val="2"/>
          </rPr>
          <t xml:space="preserve">
constant currency +2% or +10% translation effect</t>
        </r>
      </text>
    </comment>
    <comment ref="Y182" authorId="12">
      <text>
        <r>
          <rPr>
            <b/>
            <sz val="9"/>
            <color indexed="81"/>
            <rFont val="Tahoma"/>
            <family val="2"/>
          </rPr>
          <t>turleamb:</t>
        </r>
        <r>
          <rPr>
            <sz val="9"/>
            <color indexed="81"/>
            <rFont val="Tahoma"/>
            <family val="2"/>
          </rPr>
          <t xml:space="preserve">
due to +AUR (partly reflecting translation of yen-denominated sales into US dollars), which was partly offset by -units sold</t>
        </r>
      </text>
    </comment>
    <comment ref="AH182" authorId="8">
      <text>
        <r>
          <rPr>
            <b/>
            <sz val="8"/>
            <color indexed="81"/>
            <rFont val="Tahoma"/>
            <family val="2"/>
          </rPr>
          <t>nicholjs:</t>
        </r>
        <r>
          <rPr>
            <sz val="8"/>
            <color indexed="81"/>
            <rFont val="Tahoma"/>
            <family val="2"/>
          </rPr>
          <t xml:space="preserve">
constant currency +29% or -7% translation effect</t>
        </r>
      </text>
    </comment>
    <comment ref="AI182" authorId="12">
      <text>
        <r>
          <rPr>
            <b/>
            <sz val="9"/>
            <color indexed="81"/>
            <rFont val="Tahoma"/>
            <family val="2"/>
          </rPr>
          <t>turleamb:</t>
        </r>
        <r>
          <rPr>
            <sz val="9"/>
            <color indexed="81"/>
            <rFont val="Tahoma"/>
            <family val="2"/>
          </rPr>
          <t xml:space="preserve">
largely due to +units sold as well as +AUR</t>
        </r>
      </text>
    </comment>
    <comment ref="E183" authorId="8">
      <text>
        <r>
          <rPr>
            <b/>
            <sz val="8"/>
            <color indexed="81"/>
            <rFont val="Tahoma"/>
            <family val="2"/>
          </rPr>
          <t>nicholjs:</t>
        </r>
        <r>
          <rPr>
            <sz val="8"/>
            <color indexed="81"/>
            <rFont val="Tahoma"/>
            <family val="2"/>
          </rPr>
          <t xml:space="preserve">
holiday sales +9% to $484.8mm.  Comps +7% w/ branchs store sales +8%, NY flagship +3%. internet and catalog +8%.</t>
        </r>
      </text>
    </comment>
    <comment ref="F183" authorId="8">
      <text>
        <r>
          <rPr>
            <b/>
            <sz val="8"/>
            <color indexed="81"/>
            <rFont val="Tahoma"/>
            <family val="2"/>
          </rPr>
          <t>nicholjs:</t>
        </r>
        <r>
          <rPr>
            <sz val="8"/>
            <color indexed="81"/>
            <rFont val="Tahoma"/>
            <family val="2"/>
          </rPr>
          <t xml:space="preserve">
no translation effect
11/10: implied dollars +HSD</t>
        </r>
      </text>
    </comment>
    <comment ref="G183" authorId="8">
      <text>
        <r>
          <rPr>
            <b/>
            <sz val="8"/>
            <color indexed="81"/>
            <rFont val="Tahoma"/>
            <family val="2"/>
          </rPr>
          <t>nicholjs:</t>
        </r>
        <r>
          <rPr>
            <sz val="8"/>
            <color indexed="81"/>
            <rFont val="Tahoma"/>
            <family val="2"/>
          </rPr>
          <t xml:space="preserve">
1/11: est +3.5%</t>
        </r>
      </text>
    </comment>
    <comment ref="Q183" authorId="8">
      <text>
        <r>
          <rPr>
            <b/>
            <sz val="8"/>
            <color indexed="81"/>
            <rFont val="Tahoma"/>
            <family val="2"/>
          </rPr>
          <t>nicholjs:</t>
        </r>
        <r>
          <rPr>
            <sz val="8"/>
            <color indexed="81"/>
            <rFont val="Tahoma"/>
            <family val="2"/>
          </rPr>
          <t xml:space="preserve">
holiday sales +23% to $138.9mm (+18% ex currency), comps +15%</t>
        </r>
      </text>
    </comment>
    <comment ref="R183" authorId="8">
      <text>
        <r>
          <rPr>
            <b/>
            <sz val="8"/>
            <color indexed="81"/>
            <rFont val="Tahoma"/>
            <family val="2"/>
          </rPr>
          <t>nicholjs:</t>
        </r>
        <r>
          <rPr>
            <sz val="8"/>
            <color indexed="81"/>
            <rFont val="Tahoma"/>
            <family val="2"/>
          </rPr>
          <t xml:space="preserve">
includes 4% translation effect or 21% constant currency
11/10: implied guidance low teens</t>
        </r>
      </text>
    </comment>
    <comment ref="W183" authorId="8">
      <text>
        <r>
          <rPr>
            <b/>
            <sz val="8"/>
            <color indexed="81"/>
            <rFont val="Tahoma"/>
            <family val="2"/>
          </rPr>
          <t>nicholjs:</t>
        </r>
        <r>
          <rPr>
            <sz val="8"/>
            <color indexed="81"/>
            <rFont val="Tahoma"/>
            <family val="2"/>
          </rPr>
          <t xml:space="preserve">
holiday sales +11% to $142.5 (+3% ex currency), and comps +2%</t>
        </r>
      </text>
    </comment>
    <comment ref="X183" authorId="8">
      <text>
        <r>
          <rPr>
            <b/>
            <sz val="8"/>
            <color indexed="81"/>
            <rFont val="Tahoma"/>
            <family val="2"/>
          </rPr>
          <t>nicholjs:</t>
        </r>
        <r>
          <rPr>
            <sz val="8"/>
            <color indexed="81"/>
            <rFont val="Tahoma"/>
            <family val="2"/>
          </rPr>
          <t xml:space="preserve">
includes 9% translation effect or 2% constant currency
11/10: implied guidance +slight increase</t>
        </r>
      </text>
    </comment>
    <comment ref="AG183" authorId="8">
      <text>
        <r>
          <rPr>
            <b/>
            <sz val="8"/>
            <color indexed="81"/>
            <rFont val="Tahoma"/>
            <family val="2"/>
          </rPr>
          <t>nicholjs:</t>
        </r>
        <r>
          <rPr>
            <sz val="8"/>
            <color indexed="81"/>
            <rFont val="Tahoma"/>
            <family val="2"/>
          </rPr>
          <t xml:space="preserve">
holiday sales +13% to $114.9mm (+21% ex currency), comps +15%</t>
        </r>
      </text>
    </comment>
    <comment ref="AH183" authorId="8">
      <text>
        <r>
          <rPr>
            <b/>
            <sz val="8"/>
            <color indexed="81"/>
            <rFont val="Tahoma"/>
            <family val="2"/>
          </rPr>
          <t>nicholjs:</t>
        </r>
        <r>
          <rPr>
            <sz val="8"/>
            <color indexed="81"/>
            <rFont val="Tahoma"/>
            <family val="2"/>
          </rPr>
          <t xml:space="preserve">
includes (7)% translation effect or 21% constant currency
11/10: implied guidance mid teens</t>
        </r>
      </text>
    </comment>
    <comment ref="AI183" authorId="8">
      <text>
        <r>
          <rPr>
            <b/>
            <sz val="8"/>
            <color indexed="81"/>
            <rFont val="Tahoma"/>
            <family val="2"/>
          </rPr>
          <t>nicholjs:</t>
        </r>
        <r>
          <rPr>
            <sz val="8"/>
            <color indexed="81"/>
            <rFont val="Tahoma"/>
            <family val="2"/>
          </rPr>
          <t xml:space="preserve">
we est +18%</t>
        </r>
      </text>
    </comment>
    <comment ref="AR183" authorId="8">
      <text>
        <r>
          <rPr>
            <b/>
            <sz val="8"/>
            <color indexed="81"/>
            <rFont val="Tahoma"/>
            <family val="2"/>
          </rPr>
          <t>nicholjs:</t>
        </r>
        <r>
          <rPr>
            <sz val="8"/>
            <color indexed="81"/>
            <rFont val="Tahoma"/>
            <family val="2"/>
          </rPr>
          <t xml:space="preserve">
during holiday period, declined -45% to $7.4mm</t>
        </r>
      </text>
    </comment>
    <comment ref="E184" authorId="8">
      <text>
        <r>
          <rPr>
            <b/>
            <sz val="8"/>
            <color indexed="81"/>
            <rFont val="Tahoma"/>
            <family val="2"/>
          </rPr>
          <t>nicholjs:</t>
        </r>
        <r>
          <rPr>
            <sz val="8"/>
            <color indexed="81"/>
            <rFont val="Tahoma"/>
            <family val="2"/>
          </rPr>
          <t xml:space="preserve">
increase primarily to increase in average price per unit sold
sales in the US represented 90% of net sales in the Americas
96 stores
84 US
7 Mexico
3 Canada
2 Brazil
NY flagship = 8% of total company sales</t>
        </r>
      </text>
    </comment>
    <comment ref="F184" authorId="6">
      <text>
        <r>
          <rPr>
            <sz val="8"/>
            <color indexed="81"/>
            <rFont val="Tahoma"/>
            <family val="2"/>
          </rPr>
          <t>11/10: expect ~10%
8/10: expect ~10%
5/10: expect +LDD % increase
3/10: expect +LDD % increase</t>
        </r>
      </text>
    </comment>
    <comment ref="G184" authorId="12">
      <text>
        <r>
          <rPr>
            <b/>
            <sz val="9"/>
            <color indexed="81"/>
            <rFont val="Tahoma"/>
            <family val="2"/>
          </rPr>
          <t>turleamb:</t>
        </r>
        <r>
          <rPr>
            <sz val="9"/>
            <color indexed="81"/>
            <rFont val="Tahoma"/>
            <family val="2"/>
          </rPr>
          <t xml:space="preserve">
increase primarily due to +AUR</t>
        </r>
      </text>
    </comment>
    <comment ref="I184" authorId="8">
      <text>
        <r>
          <rPr>
            <b/>
            <sz val="8"/>
            <color indexed="81"/>
            <rFont val="Tahoma"/>
            <family val="2"/>
          </rPr>
          <t>nicholjs:</t>
        </r>
        <r>
          <rPr>
            <sz val="8"/>
            <color indexed="81"/>
            <rFont val="Tahoma"/>
            <family val="2"/>
          </rPr>
          <t xml:space="preserve">
10K: primarily due to increase in gross margin, as well as opex leverage</t>
        </r>
      </text>
    </comment>
    <comment ref="M184" authorId="11">
      <text>
        <r>
          <rPr>
            <b/>
            <sz val="8"/>
            <color indexed="81"/>
            <rFont val="Tahoma"/>
            <family val="2"/>
          </rPr>
          <t>marchant:</t>
        </r>
        <r>
          <rPr>
            <sz val="8"/>
            <color indexed="81"/>
            <rFont val="Tahoma"/>
            <family val="2"/>
          </rPr>
          <t xml:space="preserve">
3/10: +HSD US comp</t>
        </r>
      </text>
    </comment>
    <comment ref="Q184" authorId="8">
      <text>
        <r>
          <rPr>
            <b/>
            <sz val="8"/>
            <color indexed="81"/>
            <rFont val="Tahoma"/>
            <family val="2"/>
          </rPr>
          <t>nicholjs:</t>
        </r>
        <r>
          <rPr>
            <sz val="8"/>
            <color indexed="81"/>
            <rFont val="Tahoma"/>
            <family val="2"/>
          </rPr>
          <t xml:space="preserve">
Greater China represented slightly more than half of Asia Pac sales while sales in mainland China alone represented about 10% of the region.
increase in average price per unit sold
Asia-Pac = 18% of worldwide net sales
52 stores
14 China
11 Korea
8 Hong Kong
6 Taiwan
5 Australia
4 Singapore
2 Macau
2 Malaysia</t>
        </r>
      </text>
    </comment>
    <comment ref="R184" authorId="6">
      <text>
        <r>
          <rPr>
            <sz val="8"/>
            <color indexed="81"/>
            <rFont val="Tahoma"/>
            <family val="2"/>
          </rPr>
          <t>11/10: increase by a mid-twenties % in Asia-Pacific
8/10: increase by a mid-twenties % in Asia-Pacific
5/10: increase by a mid-twenties % in Asia-Pacific
3/10: expect +HSD including (LSD) in Japan and at least +20% growth elsewhere</t>
        </r>
      </text>
    </comment>
    <comment ref="S184" authorId="12">
      <text>
        <r>
          <rPr>
            <b/>
            <sz val="9"/>
            <color indexed="81"/>
            <rFont val="Tahoma"/>
            <family val="2"/>
          </rPr>
          <t>turleamb:</t>
        </r>
        <r>
          <rPr>
            <sz val="9"/>
            <color indexed="81"/>
            <rFont val="Tahoma"/>
            <family val="2"/>
          </rPr>
          <t xml:space="preserve">
increase primarily due to +AUR</t>
        </r>
      </text>
    </comment>
    <comment ref="U184" authorId="8">
      <text>
        <r>
          <rPr>
            <b/>
            <sz val="8"/>
            <color indexed="81"/>
            <rFont val="Tahoma"/>
            <family val="2"/>
          </rPr>
          <t>nicholjs:</t>
        </r>
        <r>
          <rPr>
            <sz val="8"/>
            <color indexed="81"/>
            <rFont val="Tahoma"/>
            <family val="2"/>
          </rPr>
          <t xml:space="preserve">
increase in GM, partially offset by an increase in marketing expense associated w/ a major marketing and PR event held in Beijing</t>
        </r>
      </text>
    </comment>
    <comment ref="W184" authorId="8">
      <text>
        <r>
          <rPr>
            <b/>
            <sz val="8"/>
            <color indexed="81"/>
            <rFont val="Tahoma"/>
            <family val="2"/>
          </rPr>
          <t>nicholjs:</t>
        </r>
        <r>
          <rPr>
            <sz val="8"/>
            <color indexed="81"/>
            <rFont val="Tahoma"/>
            <family val="2"/>
          </rPr>
          <t xml:space="preserve">
note: in 2010 Japan represented 18% of sales and 27% of earnings from continuing operations
increase in average price per unit partly offset by decline in units sold
52 in Japanese department stores, 4 freestanding.
15 Isetan Mitsukoshi
10 J. Front Retailing Co.
9 Takashimaya
3 Millenium Retailing Co.
15 other
In 2010, 79% of Japan sales were transacted in boutiques within dept stores.  Tiffany-Japan provides retail staff and bears the risk of inventory loss in concession boutiques (49 locations) and, in limited circumstances, the department store operator provides retail staff and bears the risk of inventory loss in standard boutiques (3 locations).
In return for its services and use of its facilities, the department store operator retains a portion (the basic portion) of net retail salesmade in TIFFANY &amp; CO. boutiques. The basic portion varies depending on the type of boutique and the retail price of the merchandise involved, with the fees generally varying from store to store. The highest basic portion available to any department store is 23% and the lowest is 16%.</t>
        </r>
      </text>
    </comment>
    <comment ref="X184" authorId="6">
      <text>
        <r>
          <rPr>
            <b/>
            <sz val="8"/>
            <color indexed="81"/>
            <rFont val="Tahoma"/>
            <family val="2"/>
          </rPr>
          <t>ns66486:</t>
        </r>
        <r>
          <rPr>
            <sz val="8"/>
            <color indexed="81"/>
            <rFont val="Tahoma"/>
            <family val="2"/>
          </rPr>
          <t xml:space="preserve">
11/10: expect +LSD% in Japan
8/10: expect -LSD % in Japan
5/10: expect -LSD % in Japan</t>
        </r>
      </text>
    </comment>
    <comment ref="Y184" authorId="12">
      <text>
        <r>
          <rPr>
            <b/>
            <sz val="9"/>
            <color indexed="81"/>
            <rFont val="Tahoma"/>
            <family val="2"/>
          </rPr>
          <t>turleamb:</t>
        </r>
        <r>
          <rPr>
            <sz val="9"/>
            <color indexed="81"/>
            <rFont val="Tahoma"/>
            <family val="2"/>
          </rPr>
          <t xml:space="preserve">
increased due to +AUR partly offset by -units sold</t>
        </r>
      </text>
    </comment>
    <comment ref="AA184" authorId="8">
      <text>
        <r>
          <rPr>
            <b/>
            <sz val="8"/>
            <color indexed="81"/>
            <rFont val="Tahoma"/>
            <family val="2"/>
          </rPr>
          <t>nicholjs:</t>
        </r>
        <r>
          <rPr>
            <sz val="8"/>
            <color indexed="81"/>
            <rFont val="Tahoma"/>
            <family val="2"/>
          </rPr>
          <t xml:space="preserve">
increase in GM, partly offset by an increase in marketing expenses</t>
        </r>
      </text>
    </comment>
    <comment ref="AG184" authorId="8">
      <text>
        <r>
          <rPr>
            <b/>
            <sz val="8"/>
            <color indexed="81"/>
            <rFont val="Tahoma"/>
            <family val="2"/>
          </rPr>
          <t>nicholjs:</t>
        </r>
        <r>
          <rPr>
            <sz val="8"/>
            <color indexed="81"/>
            <rFont val="Tahoma"/>
            <family val="2"/>
          </rPr>
          <t xml:space="preserve">
increase in units sold
Europe = 12% of worldwide sales and UK = 1/2 of European net sales
10 United Kingdom
5 Germany
4 Italy
3 France
2 Spain
1 Austria
1 Belgium
1 Ireland
1 Netherlands
1 Switzerland
launched in e-comm in 8 Euro countries</t>
        </r>
      </text>
    </comment>
    <comment ref="AH184" authorId="6">
      <text>
        <r>
          <rPr>
            <sz val="8"/>
            <color indexed="81"/>
            <rFont val="Tahoma"/>
            <family val="2"/>
          </rPr>
          <t>11/10: expect +high-teens
8/10: expect +mid-teens
5/10: expect +HSD
3/10: expect +mid-teens</t>
        </r>
      </text>
    </comment>
    <comment ref="AI184" authorId="12">
      <text>
        <r>
          <rPr>
            <b/>
            <sz val="9"/>
            <color indexed="81"/>
            <rFont val="Tahoma"/>
            <family val="2"/>
          </rPr>
          <t>turleamb:</t>
        </r>
        <r>
          <rPr>
            <sz val="9"/>
            <color indexed="81"/>
            <rFont val="Tahoma"/>
            <family val="2"/>
          </rPr>
          <t xml:space="preserve">
increased primarily due to +units sold</t>
        </r>
      </text>
    </comment>
    <comment ref="AK184" authorId="8">
      <text>
        <r>
          <rPr>
            <b/>
            <sz val="8"/>
            <color indexed="81"/>
            <rFont val="Tahoma"/>
            <family val="2"/>
          </rPr>
          <t>nicholjs:</t>
        </r>
        <r>
          <rPr>
            <sz val="8"/>
            <color indexed="81"/>
            <rFont val="Tahoma"/>
            <family val="2"/>
          </rPr>
          <t xml:space="preserve">
leveraging of operating expenses, as well as an increase in GM</t>
        </r>
      </text>
    </comment>
    <comment ref="AM184" authorId="10">
      <text>
        <r>
          <rPr>
            <sz val="8"/>
            <color indexed="81"/>
            <rFont val="Tahoma"/>
            <family val="2"/>
          </rPr>
          <t>company mailed ~14mm catalogs (vs. ~12mm in 2009)
expect flat catalog circ in 2010
in 2010 plan to launch websites in Austria, Belgium, France, Germany, Ireland, Italy, Netherlands, and Spain</t>
        </r>
      </text>
    </comment>
    <comment ref="AN184" authorId="11">
      <text>
        <r>
          <rPr>
            <b/>
            <sz val="8"/>
            <color indexed="81"/>
            <rFont val="Tahoma"/>
            <family val="2"/>
          </rPr>
          <t>marchant:</t>
        </r>
        <r>
          <rPr>
            <sz val="8"/>
            <color indexed="81"/>
            <rFont val="Tahoma"/>
            <family val="2"/>
          </rPr>
          <t xml:space="preserve">
Internet and catalog sales in the Americas increased $14,142,000 or 8% due to an increase in average sales per order.
3/10: expect U.S. DTC +LDD</t>
        </r>
      </text>
    </comment>
    <comment ref="AR184" authorId="10">
      <text>
        <r>
          <rPr>
            <b/>
            <sz val="8"/>
            <color indexed="81"/>
            <rFont val="Tahoma"/>
            <family val="2"/>
          </rPr>
          <t>KG51925:</t>
        </r>
        <r>
          <rPr>
            <sz val="8"/>
            <color indexed="81"/>
            <rFont val="Tahoma"/>
            <family val="2"/>
          </rPr>
          <t xml:space="preserve">
Primarily wholesale sales of diamonds. Also includes licensing revenue from Luxottica for eyewear and from Swatch for watches.</t>
        </r>
      </text>
    </comment>
    <comment ref="AS184" authorId="6">
      <text>
        <r>
          <rPr>
            <sz val="8"/>
            <color indexed="81"/>
            <rFont val="Tahoma"/>
            <family val="2"/>
          </rPr>
          <t>11/10: expect modest/slight decline for the year
8/10: expect modest increase
5/10: expect ~equal
3/10: expect annual growth of 5%</t>
        </r>
      </text>
    </comment>
    <comment ref="AU184" authorId="8">
      <text>
        <r>
          <rPr>
            <b/>
            <sz val="8"/>
            <color indexed="81"/>
            <rFont val="Tahoma"/>
            <family val="2"/>
          </rPr>
          <t>nicholjs:</t>
        </r>
        <r>
          <rPr>
            <sz val="8"/>
            <color indexed="81"/>
            <rFont val="Tahoma"/>
            <family val="2"/>
          </rPr>
          <t xml:space="preserve">
prior period operating loss included a valuation adjustment related to the write-down of wholesale diamond inventory deemed not suitable for the Company's needs</t>
        </r>
      </text>
    </comment>
    <comment ref="F187" authorId="8">
      <text>
        <r>
          <rPr>
            <b/>
            <sz val="8"/>
            <color indexed="81"/>
            <rFont val="Tahoma"/>
            <family val="2"/>
          </rPr>
          <t>nicholjs:</t>
        </r>
        <r>
          <rPr>
            <sz val="8"/>
            <color indexed="81"/>
            <rFont val="Tahoma"/>
            <family val="2"/>
          </rPr>
          <t xml:space="preserve">
includes 1% translation effect or 18% constant currency</t>
        </r>
      </text>
    </comment>
    <comment ref="G187" authorId="8">
      <text>
        <r>
          <rPr>
            <b/>
            <sz val="8"/>
            <color indexed="81"/>
            <rFont val="Tahoma"/>
            <family val="2"/>
          </rPr>
          <t>nicholjs:</t>
        </r>
        <r>
          <rPr>
            <sz val="8"/>
            <color indexed="81"/>
            <rFont val="Tahoma"/>
            <family val="2"/>
          </rPr>
          <t xml:space="preserve">
*achieved double-digit comps in all three months and the trend strengthened as the quarter progressed
*primarily due to an increase in the average price per unit sold, as well as higher unit volume, especially in engagement jewelry and other high-end jewelry
*sales in the six-store Hawaii/Guam region rose more than 30%
*Americas sales increase came from higher spending by domestic customers and foreign visitors, which was also true in the New York flagship store</t>
        </r>
      </text>
    </comment>
    <comment ref="I187" authorId="8">
      <text>
        <r>
          <rPr>
            <b/>
            <sz val="8"/>
            <color indexed="81"/>
            <rFont val="Tahoma"/>
            <family val="2"/>
          </rPr>
          <t>nicholjs:</t>
        </r>
        <r>
          <rPr>
            <sz val="8"/>
            <color indexed="81"/>
            <rFont val="Tahoma"/>
            <family val="2"/>
          </rPr>
          <t xml:space="preserve">
10Q: primarily resulting from leverage of operating expenses</t>
        </r>
      </text>
    </comment>
    <comment ref="Q187" authorId="8">
      <text>
        <r>
          <rPr>
            <b/>
            <sz val="8"/>
            <color indexed="81"/>
            <rFont val="Tahoma"/>
            <family val="2"/>
          </rPr>
          <t>nicholjs:</t>
        </r>
        <r>
          <rPr>
            <sz val="8"/>
            <color indexed="81"/>
            <rFont val="Tahoma"/>
            <family val="2"/>
          </rPr>
          <t xml:space="preserve">
substantial growth in most countries and especially in the greater China region</t>
        </r>
      </text>
    </comment>
    <comment ref="R187" authorId="8">
      <text>
        <r>
          <rPr>
            <b/>
            <sz val="8"/>
            <color indexed="81"/>
            <rFont val="Tahoma"/>
            <family val="2"/>
          </rPr>
          <t>nicholjs:</t>
        </r>
        <r>
          <rPr>
            <sz val="8"/>
            <color indexed="81"/>
            <rFont val="Tahoma"/>
            <family val="2"/>
          </rPr>
          <t xml:space="preserve">
includes 6% translation effect, or 31% constant currency</t>
        </r>
      </text>
    </comment>
    <comment ref="S187" authorId="8">
      <text>
        <r>
          <rPr>
            <b/>
            <sz val="8"/>
            <color indexed="81"/>
            <rFont val="Tahoma"/>
            <family val="2"/>
          </rPr>
          <t>nicholjs:</t>
        </r>
        <r>
          <rPr>
            <sz val="8"/>
            <color indexed="81"/>
            <rFont val="Tahoma"/>
            <family val="2"/>
          </rPr>
          <t xml:space="preserve">
increases both in the average price per unit sold and in the number of jewelry units sold
Sales were consistently strong in most markets throughout the quarter with noteworthy strength in the greater China market, as well as in Korea</t>
        </r>
      </text>
    </comment>
    <comment ref="U187" authorId="8">
      <text>
        <r>
          <rPr>
            <b/>
            <sz val="8"/>
            <color indexed="81"/>
            <rFont val="Tahoma"/>
            <family val="2"/>
          </rPr>
          <t>nicholjs:</t>
        </r>
        <r>
          <rPr>
            <sz val="8"/>
            <color indexed="81"/>
            <rFont val="Tahoma"/>
            <family val="2"/>
          </rPr>
          <t xml:space="preserve">
10Q: primarily due to leveraging of operating expenses</t>
        </r>
      </text>
    </comment>
    <comment ref="W187" authorId="8">
      <text>
        <r>
          <rPr>
            <b/>
            <sz val="8"/>
            <color indexed="81"/>
            <rFont val="Tahoma"/>
            <family val="2"/>
          </rPr>
          <t>nicholjs:</t>
        </r>
        <r>
          <rPr>
            <sz val="8"/>
            <color indexed="81"/>
            <rFont val="Tahoma"/>
            <family val="2"/>
          </rPr>
          <t xml:space="preserve">
stores that had closed due to the earthquake have since re-opened. Comparable store sales on a constant exchange rate basis increased +3% in February, declined -16% in March, and rose +6% in April vs. -10%, -10%, and -9% LY.</t>
        </r>
      </text>
    </comment>
    <comment ref="X187" authorId="8">
      <text>
        <r>
          <rPr>
            <b/>
            <sz val="8"/>
            <color indexed="81"/>
            <rFont val="Tahoma"/>
            <family val="2"/>
          </rPr>
          <t>nicholjs:</t>
        </r>
        <r>
          <rPr>
            <sz val="8"/>
            <color indexed="81"/>
            <rFont val="Tahoma"/>
            <family val="2"/>
          </rPr>
          <t xml:space="preserve">
includes 10% translation or (3)% constant currency
3/2011: expect total Japan sales -15%</t>
        </r>
      </text>
    </comment>
    <comment ref="Y187" authorId="12">
      <text>
        <r>
          <rPr>
            <b/>
            <sz val="9"/>
            <color indexed="81"/>
            <rFont val="Tahoma"/>
            <family val="2"/>
          </rPr>
          <t>turleamb:</t>
        </r>
        <r>
          <rPr>
            <sz val="9"/>
            <color indexed="81"/>
            <rFont val="Tahoma"/>
            <family val="2"/>
          </rPr>
          <t xml:space="preserve">
due to +AUR partly offset by -units sold</t>
        </r>
      </text>
    </comment>
    <comment ref="AA187" authorId="8">
      <text>
        <r>
          <rPr>
            <b/>
            <sz val="8"/>
            <color indexed="81"/>
            <rFont val="Tahoma"/>
            <family val="2"/>
          </rPr>
          <t>nicholjs:</t>
        </r>
        <r>
          <rPr>
            <sz val="8"/>
            <color indexed="81"/>
            <rFont val="Tahoma"/>
            <family val="2"/>
          </rPr>
          <t xml:space="preserve">
10Q: primarily due to an increase in operating expenses, partly offset by an increase in GM</t>
        </r>
      </text>
    </comment>
    <comment ref="AG187" authorId="8">
      <text>
        <r>
          <rPr>
            <b/>
            <sz val="8"/>
            <color indexed="81"/>
            <rFont val="Tahoma"/>
            <family val="2"/>
          </rPr>
          <t>nicholjs:</t>
        </r>
        <r>
          <rPr>
            <sz val="8"/>
            <color indexed="81"/>
            <rFont val="Tahoma"/>
            <family val="2"/>
          </rPr>
          <t xml:space="preserve">
strong growth in Continental Europe and modest sales growth in the UK.  April strongest.  France, Germany, Italy all strong; while UK strengthened late in the quarter.</t>
        </r>
      </text>
    </comment>
    <comment ref="AH187" authorId="8">
      <text>
        <r>
          <rPr>
            <b/>
            <sz val="8"/>
            <color indexed="81"/>
            <rFont val="Tahoma"/>
            <family val="2"/>
          </rPr>
          <t>nicholjs:</t>
        </r>
        <r>
          <rPr>
            <sz val="8"/>
            <color indexed="81"/>
            <rFont val="Tahoma"/>
            <family val="2"/>
          </rPr>
          <t xml:space="preserve">
includes 6% translation effect or 19% constant currency</t>
        </r>
      </text>
    </comment>
    <comment ref="AI187" authorId="8">
      <text>
        <r>
          <rPr>
            <b/>
            <sz val="8"/>
            <color indexed="81"/>
            <rFont val="Tahoma"/>
            <family val="2"/>
          </rPr>
          <t>nicholjs:</t>
        </r>
        <r>
          <rPr>
            <sz val="8"/>
            <color indexed="81"/>
            <rFont val="Tahoma"/>
            <family val="2"/>
          </rPr>
          <t xml:space="preserve">
driven by +units sold as well as +AUR
strong unit volume growth that exceeded an increase in the average
price per unit sold</t>
        </r>
      </text>
    </comment>
    <comment ref="AK187" authorId="8">
      <text>
        <r>
          <rPr>
            <b/>
            <sz val="8"/>
            <color indexed="81"/>
            <rFont val="Tahoma"/>
            <family val="2"/>
          </rPr>
          <t>nicholjs:</t>
        </r>
        <r>
          <rPr>
            <sz val="8"/>
            <color indexed="81"/>
            <rFont val="Tahoma"/>
            <family val="2"/>
          </rPr>
          <t xml:space="preserve">
10Q: primarily due to the leveraging of operating expenses</t>
        </r>
      </text>
    </comment>
    <comment ref="AS187" authorId="8">
      <text>
        <r>
          <rPr>
            <b/>
            <sz val="8"/>
            <color indexed="81"/>
            <rFont val="Tahoma"/>
            <family val="2"/>
          </rPr>
          <t>nicholjs:</t>
        </r>
        <r>
          <rPr>
            <sz val="8"/>
            <color indexed="81"/>
            <rFont val="Tahoma"/>
            <family val="2"/>
          </rPr>
          <t xml:space="preserve">
decline as we expected in wholesale sales of rough diamonds.  However wholesale sales to independent distributors in emerging markets rose strongly in the quarter</t>
        </r>
      </text>
    </comment>
    <comment ref="F188" authorId="8">
      <text>
        <r>
          <rPr>
            <b/>
            <sz val="8"/>
            <color indexed="81"/>
            <rFont val="Tahoma"/>
            <family val="2"/>
          </rPr>
          <t>nicholjs:</t>
        </r>
        <r>
          <rPr>
            <sz val="8"/>
            <color indexed="81"/>
            <rFont val="Tahoma"/>
            <family val="2"/>
          </rPr>
          <t xml:space="preserve">
includes 1% translation effect or 24% constant currency</t>
        </r>
      </text>
    </comment>
    <comment ref="G188" authorId="8">
      <text>
        <r>
          <rPr>
            <b/>
            <sz val="8"/>
            <color indexed="81"/>
            <rFont val="Tahoma"/>
            <family val="2"/>
          </rPr>
          <t>nicholjs:</t>
        </r>
        <r>
          <rPr>
            <sz val="8"/>
            <color indexed="81"/>
            <rFont val="Tahoma"/>
            <family val="2"/>
          </rPr>
          <t xml:space="preserve">
*due to higher average price per unit sold as well as unit growth in most product categories (note: 10Q says primarily due to increase in average price per unit sold)
*sales increased in all price strata above $250, with notable strength in sales &gt;$20,000 and $50,000
*comps +double digit in all 3 months
*led by stores in US, but also had good growth in stores in Latin America and Canada
*US strength broad-based; although greater strength in Western half of US; Hawaii and Guam continued to show very strong growth due to Japanese tourist spending
*half of US sales increase came from higher spending by tourists, increasinly led by Chinese travelers (most meaningful in NY flagship, Florida, Las Vegas, CA)</t>
        </r>
      </text>
    </comment>
    <comment ref="I188" authorId="8">
      <text>
        <r>
          <rPr>
            <b/>
            <sz val="8"/>
            <color indexed="81"/>
            <rFont val="Tahoma"/>
            <family val="2"/>
          </rPr>
          <t>nicholjs:</t>
        </r>
        <r>
          <rPr>
            <sz val="8"/>
            <color indexed="81"/>
            <rFont val="Tahoma"/>
            <family val="2"/>
          </rPr>
          <t xml:space="preserve">
10Q: primarily resulting from the leveraging of operating expenses as well as an increase in gross margin</t>
        </r>
      </text>
    </comment>
    <comment ref="N188" authorId="8">
      <text>
        <r>
          <rPr>
            <b/>
            <sz val="8"/>
            <color indexed="81"/>
            <rFont val="Tahoma"/>
            <family val="2"/>
          </rPr>
          <t>nicholjs:</t>
        </r>
        <r>
          <rPr>
            <sz val="8"/>
            <color indexed="81"/>
            <rFont val="Tahoma"/>
            <family val="2"/>
          </rPr>
          <t xml:space="preserve">
substantial increase in sales to foreign tourists and the remaining portion of the increase was due to higher local customer sales. 41% comp wash higher than 8 other NY area stores.</t>
        </r>
      </text>
    </comment>
    <comment ref="R188" authorId="8">
      <text>
        <r>
          <rPr>
            <b/>
            <sz val="8"/>
            <color indexed="81"/>
            <rFont val="Tahoma"/>
            <family val="2"/>
          </rPr>
          <t>nicholjs:</t>
        </r>
        <r>
          <rPr>
            <sz val="8"/>
            <color indexed="81"/>
            <rFont val="Tahoma"/>
            <family val="2"/>
          </rPr>
          <t xml:space="preserve">
includes 10% translation effect, or 45% constant currency</t>
        </r>
      </text>
    </comment>
    <comment ref="S188" authorId="8">
      <text>
        <r>
          <rPr>
            <b/>
            <sz val="8"/>
            <color indexed="81"/>
            <rFont val="Tahoma"/>
            <family val="2"/>
          </rPr>
          <t>nicholjs:</t>
        </r>
        <r>
          <rPr>
            <sz val="8"/>
            <color indexed="81"/>
            <rFont val="Tahoma"/>
            <family val="2"/>
          </rPr>
          <t xml:space="preserve">
*roughly equal increases in both number of units sold and average price per unit sold
*sales strong throughout the quarter and in most coutnries, especially strong growth in greater China as well as Korea</t>
        </r>
      </text>
    </comment>
    <comment ref="U188" authorId="8">
      <text>
        <r>
          <rPr>
            <b/>
            <sz val="8"/>
            <color indexed="81"/>
            <rFont val="Tahoma"/>
            <family val="2"/>
          </rPr>
          <t>nicholjs:</t>
        </r>
        <r>
          <rPr>
            <sz val="8"/>
            <color indexed="81"/>
            <rFont val="Tahoma"/>
            <family val="2"/>
          </rPr>
          <t xml:space="preserve">
10Q: primarily due to the leveraging of operating expenses as well as an increase in gross margin</t>
        </r>
      </text>
    </comment>
    <comment ref="X188" authorId="8">
      <text>
        <r>
          <rPr>
            <b/>
            <sz val="8"/>
            <color indexed="81"/>
            <rFont val="Tahoma"/>
            <family val="2"/>
          </rPr>
          <t>nicholjs:</t>
        </r>
        <r>
          <rPr>
            <sz val="8"/>
            <color indexed="81"/>
            <rFont val="Tahoma"/>
            <family val="2"/>
          </rPr>
          <t xml:space="preserve">
includes 13% translation or 8% constant currency
</t>
        </r>
      </text>
    </comment>
    <comment ref="Y188" authorId="8">
      <text>
        <r>
          <rPr>
            <b/>
            <sz val="8"/>
            <color indexed="81"/>
            <rFont val="Tahoma"/>
            <family val="2"/>
          </rPr>
          <t>nicholjs:</t>
        </r>
        <r>
          <rPr>
            <sz val="8"/>
            <color indexed="81"/>
            <rFont val="Tahoma"/>
            <family val="2"/>
          </rPr>
          <t xml:space="preserve">
*increase in average price per unit sold, which benefited from strong yen.  (units flat to down slightly)</t>
        </r>
      </text>
    </comment>
    <comment ref="AA188" authorId="8">
      <text>
        <r>
          <rPr>
            <b/>
            <sz val="8"/>
            <color indexed="81"/>
            <rFont val="Tahoma"/>
            <family val="2"/>
          </rPr>
          <t>nicholjs:</t>
        </r>
        <r>
          <rPr>
            <sz val="8"/>
            <color indexed="81"/>
            <rFont val="Tahoma"/>
            <family val="2"/>
          </rPr>
          <t xml:space="preserve">
10Q: primarily due to an increase in gross margin</t>
        </r>
      </text>
    </comment>
    <comment ref="AG188" authorId="8">
      <text>
        <r>
          <rPr>
            <b/>
            <sz val="8"/>
            <color indexed="81"/>
            <rFont val="Tahoma"/>
            <family val="2"/>
          </rPr>
          <t>nicholjs:</t>
        </r>
        <r>
          <rPr>
            <sz val="8"/>
            <color indexed="81"/>
            <rFont val="Tahoma"/>
            <family val="2"/>
          </rPr>
          <t xml:space="preserve">
good growth in UK stores to even stronger growth on the continent.  While largest portion of sales growth was to local customers, the results have been a noticable increase in sales to foreign tourists, especially from China and Russia.</t>
        </r>
      </text>
    </comment>
    <comment ref="AH188" authorId="8">
      <text>
        <r>
          <rPr>
            <b/>
            <sz val="8"/>
            <color indexed="81"/>
            <rFont val="Tahoma"/>
            <family val="2"/>
          </rPr>
          <t>nicholjs:</t>
        </r>
        <r>
          <rPr>
            <sz val="8"/>
            <color indexed="81"/>
            <rFont val="Tahoma"/>
            <family val="2"/>
          </rPr>
          <t xml:space="preserve">
includes 15% translation effect or 17% constant currency</t>
        </r>
      </text>
    </comment>
    <comment ref="AI188" authorId="8">
      <text>
        <r>
          <rPr>
            <b/>
            <sz val="8"/>
            <color indexed="81"/>
            <rFont val="Tahoma"/>
            <family val="2"/>
          </rPr>
          <t>nicholjs:</t>
        </r>
        <r>
          <rPr>
            <sz val="8"/>
            <color indexed="81"/>
            <rFont val="Tahoma"/>
            <family val="2"/>
          </rPr>
          <t xml:space="preserve">
*unit growth in all categories, as well as smaller increase in average price per unit sold</t>
        </r>
      </text>
    </comment>
    <comment ref="AK188" authorId="8">
      <text>
        <r>
          <rPr>
            <b/>
            <sz val="8"/>
            <color indexed="81"/>
            <rFont val="Tahoma"/>
            <family val="2"/>
          </rPr>
          <t>nicholjs:</t>
        </r>
        <r>
          <rPr>
            <sz val="8"/>
            <color indexed="81"/>
            <rFont val="Tahoma"/>
            <family val="2"/>
          </rPr>
          <t xml:space="preserve">
10Q: primarily due to an increase in gross margin</t>
        </r>
      </text>
    </comment>
    <comment ref="AS188" authorId="8">
      <text>
        <r>
          <rPr>
            <b/>
            <sz val="8"/>
            <color indexed="81"/>
            <rFont val="Tahoma"/>
            <family val="2"/>
          </rPr>
          <t>nicholjs:</t>
        </r>
        <r>
          <rPr>
            <sz val="8"/>
            <color indexed="81"/>
            <rFont val="Tahoma"/>
            <family val="2"/>
          </rPr>
          <t xml:space="preserve">
due to similar growth in wholesale sales to independent distributors in emerging markets and wholesale sales of rough diamonds</t>
        </r>
      </text>
    </comment>
    <comment ref="F189" authorId="13">
      <text>
        <r>
          <rPr>
            <b/>
            <sz val="8"/>
            <color indexed="81"/>
            <rFont val="Tahoma"/>
            <family val="2"/>
          </rPr>
          <t>solejay:</t>
        </r>
        <r>
          <rPr>
            <sz val="8"/>
            <color indexed="81"/>
            <rFont val="Tahoma"/>
            <family val="2"/>
          </rPr>
          <t xml:space="preserve">
On a constant-exchange-rate basis, total sales and comparable store sales rose 17% and 15% in the third quarter. In the quarter and year-to-date, sales in the New York flagship store increased 24% and 30%, due to strong sales to foreign tourists, while comparable branch store sales in the Americas rose 13% and 16%. Combined Internet and catalog sales in the Americas increased 11% in the quarter and 14% in the year-to-date. 
In the Americas, total sales rose by a better than expected 17% due to an increase in the average price per unit sold. In addition, we continue to see unit sales growth in all price strata above $250 with notable increases at the highest price point.
 It is worth noting that geographically 13% brands store increase reflected much greater strength and the western half of the U.S. including markets like Texas and California as well as very strong sales growth in Hawaii and Guam driven by Japanese tourists spendin</t>
        </r>
      </text>
    </comment>
    <comment ref="G189" authorId="12">
      <text>
        <r>
          <rPr>
            <b/>
            <sz val="9"/>
            <color indexed="81"/>
            <rFont val="Tahoma"/>
            <family val="2"/>
          </rPr>
          <t>turleamb:</t>
        </r>
        <r>
          <rPr>
            <sz val="9"/>
            <color indexed="81"/>
            <rFont val="Tahoma"/>
            <family val="2"/>
          </rPr>
          <t xml:space="preserve">
sales increase primarily due to +AUR</t>
        </r>
      </text>
    </comment>
    <comment ref="N189" authorId="14">
      <text>
        <r>
          <rPr>
            <b/>
            <sz val="8"/>
            <color indexed="81"/>
            <rFont val="Tahoma"/>
            <family val="2"/>
          </rPr>
          <t>kahng:</t>
        </r>
        <r>
          <rPr>
            <sz val="8"/>
            <color indexed="81"/>
            <rFont val="Tahoma"/>
            <family val="2"/>
          </rPr>
          <t xml:space="preserve">
3Q11 cc: increase due to sales to foreign tourists</t>
        </r>
      </text>
    </comment>
    <comment ref="O189" authorId="14">
      <text>
        <r>
          <rPr>
            <b/>
            <sz val="8"/>
            <color indexed="81"/>
            <rFont val="Tahoma"/>
            <family val="2"/>
          </rPr>
          <t>kahng:</t>
        </r>
        <r>
          <rPr>
            <sz val="8"/>
            <color indexed="81"/>
            <rFont val="Tahoma"/>
            <family val="2"/>
          </rPr>
          <t xml:space="preserve">
3Q11 cc: greater strength in the western half of the US, includnig markets like TX and CA, as well as very strong sales growth in Hawaii and Guam driven by Japanese tourist spending.</t>
        </r>
      </text>
    </comment>
    <comment ref="R189" authorId="13">
      <text>
        <r>
          <rPr>
            <b/>
            <sz val="8"/>
            <color indexed="81"/>
            <rFont val="Tahoma"/>
            <family val="2"/>
          </rPr>
          <t>solejay:</t>
        </r>
        <r>
          <rPr>
            <sz val="8"/>
            <color indexed="81"/>
            <rFont val="Tahoma"/>
            <family val="2"/>
          </rPr>
          <t xml:space="preserve">
On a constant-exchange-rate basis, total sales and comparable store sales rose 40% and 36% in the quarter due to substantial increases in most countries led by growth in the greater China region.
 Total sales in the quarter surpassed expectations by surging 44% due to similar growth in both the number of units sold and average price per unit sold.
The Asia-Pacific sales growth was strong throughout the region. With a specially strong double-digit growth in the greater China market that also noteworthy increases in Australia and Singapore.</t>
        </r>
      </text>
    </comment>
    <comment ref="S189" authorId="12">
      <text>
        <r>
          <rPr>
            <b/>
            <sz val="9"/>
            <color indexed="81"/>
            <rFont val="Tahoma"/>
            <family val="2"/>
          </rPr>
          <t>turleamb:</t>
        </r>
        <r>
          <rPr>
            <sz val="9"/>
            <color indexed="81"/>
            <rFont val="Tahoma"/>
            <family val="2"/>
          </rPr>
          <t xml:space="preserve">
similar +AUR and +units sold</t>
        </r>
      </text>
    </comment>
    <comment ref="X189" authorId="13">
      <text>
        <r>
          <rPr>
            <b/>
            <sz val="8"/>
            <color indexed="81"/>
            <rFont val="Tahoma"/>
            <family val="2"/>
          </rPr>
          <t>solejay:</t>
        </r>
        <r>
          <rPr>
            <sz val="8"/>
            <color indexed="81"/>
            <rFont val="Tahoma"/>
            <family val="2"/>
          </rPr>
          <t xml:space="preserve">
"Our business in Japan perform better than we expected in the quarter. Total sales rose 3% due to 4% comp growth versus a 2% comp decline last year. When translated into dollars, during in the yen being 9% stronger than last year's third quarter, total sales in Japan increased 12% and higher league due to an increase in the average price per unit sold. Sales growth was pretty consistent between the Tokyo area and other regions."</t>
        </r>
      </text>
    </comment>
    <comment ref="Y189" authorId="12">
      <text>
        <r>
          <rPr>
            <b/>
            <sz val="9"/>
            <color indexed="81"/>
            <rFont val="Tahoma"/>
            <family val="2"/>
          </rPr>
          <t>turleamb:</t>
        </r>
        <r>
          <rPr>
            <sz val="9"/>
            <color indexed="81"/>
            <rFont val="Tahoma"/>
            <family val="2"/>
          </rPr>
          <t xml:space="preserve">
sales increase entirely due to +AUR which was partly offset by -units sold</t>
        </r>
      </text>
    </comment>
    <comment ref="AH189" authorId="13">
      <text>
        <r>
          <rPr>
            <b/>
            <sz val="8"/>
            <color indexed="81"/>
            <rFont val="Tahoma"/>
            <family val="2"/>
          </rPr>
          <t>solejay:</t>
        </r>
        <r>
          <rPr>
            <sz val="8"/>
            <color indexed="81"/>
            <rFont val="Tahoma"/>
            <family val="2"/>
          </rPr>
          <t xml:space="preserve">
On a constant-exchange-rate basis, total sales and comparable store sales rose 15% and 6% in the third quarter due to sales growth in Continental Europe.
In Europe, total sales on a constant exchange rate basis increased 15% in the quarter while comparable store sales rose 6% on top of the 24% comp increase last year. Including translation effects, total sales in Europe in dollars rose 19% in the quarter largely due to unit growth and a modest increase in the average guys per unit sold. </t>
        </r>
        <r>
          <rPr>
            <b/>
            <sz val="8"/>
            <color indexed="81"/>
            <rFont val="Tahoma"/>
            <family val="2"/>
          </rPr>
          <t>There was a noticeable difference in performance between continental Europe highlighted by double digit comps in France, Germany and Italy versus a modest decline in U.K. comp sales.</t>
        </r>
        <r>
          <rPr>
            <sz val="8"/>
            <color indexed="81"/>
            <rFont val="Tahoma"/>
            <family val="2"/>
          </rPr>
          <t xml:space="preserve">
While Europe is facing challenging conditions, we attributed to the ... better performance in some countries to our growing brand awareness and market penetration. Having said that, </t>
        </r>
        <r>
          <rPr>
            <b/>
            <sz val="8"/>
            <color indexed="81"/>
            <rFont val="Tahoma"/>
            <family val="2"/>
          </rPr>
          <t>we are certainly not implying that Tiffany will be insulated from the economic challenges</t>
        </r>
        <r>
          <rPr>
            <sz val="8"/>
            <color indexed="81"/>
            <rFont val="Tahoma"/>
            <family val="2"/>
          </rPr>
          <t>. In addition although a clear majority of sales in Europe to our customers European sales have been increasingly benefiting in a few countries from growing sales to foreign tours notably from China and Russia.</t>
        </r>
      </text>
    </comment>
    <comment ref="AI189" authorId="12">
      <text>
        <r>
          <rPr>
            <b/>
            <sz val="9"/>
            <color indexed="81"/>
            <rFont val="Tahoma"/>
            <family val="2"/>
          </rPr>
          <t>turleamb:</t>
        </r>
        <r>
          <rPr>
            <sz val="9"/>
            <color indexed="81"/>
            <rFont val="Tahoma"/>
            <family val="2"/>
          </rPr>
          <t xml:space="preserve">
primarily due to +units sold and some +AUR</t>
        </r>
      </text>
    </comment>
    <comment ref="AS189" authorId="13">
      <text>
        <r>
          <rPr>
            <b/>
            <sz val="8"/>
            <color indexed="81"/>
            <rFont val="Tahoma"/>
            <family val="2"/>
          </rPr>
          <t>solejay:</t>
        </r>
        <r>
          <rPr>
            <sz val="8"/>
            <color indexed="81"/>
            <rFont val="Tahoma"/>
            <family val="2"/>
          </rPr>
          <t xml:space="preserve">
Other sales declined 19% to $11.9 million in the third quarter due to lower wholesale sales of finished products to independent distributors within emerging markets and a decline in wholesale sales of rough diamonds.</t>
        </r>
      </text>
    </comment>
    <comment ref="E190" authorId="12">
      <text>
        <r>
          <rPr>
            <b/>
            <sz val="8"/>
            <color indexed="81"/>
            <rFont val="Tahoma"/>
            <family val="2"/>
          </rPr>
          <t>turleamb:</t>
        </r>
        <r>
          <rPr>
            <sz val="8"/>
            <color indexed="81"/>
            <rFont val="Tahoma"/>
            <family val="2"/>
          </rPr>
          <t xml:space="preserve">
1/10/12: holiday sales +4% to $503m; on constant F/X +4%. Higher sales to tourists from outside US were partly offset by weakness in spending by US customers. Internet/catalog sales -4%</t>
        </r>
      </text>
    </comment>
    <comment ref="F190" authorId="14">
      <text>
        <r>
          <rPr>
            <b/>
            <sz val="8"/>
            <color indexed="81"/>
            <rFont val="Tahoma"/>
            <family val="2"/>
          </rPr>
          <t>kahng:</t>
        </r>
        <r>
          <rPr>
            <sz val="8"/>
            <color indexed="81"/>
            <rFont val="Tahoma"/>
            <family val="2"/>
          </rPr>
          <t xml:space="preserve">
3/20/12: vs. +4% in Nov/Dec holiday
Sales increase from increase in the average price per unit sold. Cont'd sales and txn declines below $250, more than offset by sales growth in most of higher price categories. Slower 4Q sales from spending by customers in fin sector affecting Northeast and mid-Atlantic, substantial competitive discounting and particular softness at entry-level silver jewelry price point that could be tied to some resistance to price increases "among other factors"
NY Flagship rose +2% in the qtr (vs -1% in holiday period). 
Increase from sales to foreign tourists, but also increased sales to local customers. 
Comp branch stores rose 3%, skewed toward western region (strong growth in Hawaii and Guam by Japanese tourists). 
Canada and LatAm posted solid sales. 
</t>
        </r>
      </text>
    </comment>
    <comment ref="G190" authorId="13">
      <text>
        <r>
          <rPr>
            <b/>
            <sz val="8"/>
            <color indexed="81"/>
            <rFont val="Tahoma"/>
            <family val="2"/>
          </rPr>
          <t>solejay:</t>
        </r>
        <r>
          <rPr>
            <sz val="8"/>
            <color indexed="81"/>
            <rFont val="Tahoma"/>
            <family val="2"/>
          </rPr>
          <t xml:space="preserve">
1/10/12: holiday sales comp +2% (comparable branch stores +3% and NY flagship -1%)
11/2011: 4Q guidance: Total: +LDD, comp: +M-HSD
1/10/12: Nov/Dec Americas comp +2% and total sales +4%</t>
        </r>
      </text>
    </comment>
    <comment ref="I190" authorId="14">
      <text>
        <r>
          <rPr>
            <b/>
            <sz val="8"/>
            <color indexed="81"/>
            <rFont val="Tahoma"/>
            <family val="2"/>
          </rPr>
          <t>kahng:</t>
        </r>
        <r>
          <rPr>
            <sz val="8"/>
            <color indexed="81"/>
            <rFont val="Tahoma"/>
            <family val="2"/>
          </rPr>
          <t xml:space="preserve">
3/20/12: was 29</t>
        </r>
      </text>
    </comment>
    <comment ref="N190" authorId="15">
      <text>
        <r>
          <rPr>
            <b/>
            <sz val="8"/>
            <color indexed="81"/>
            <rFont val="Tahoma"/>
            <family val="2"/>
          </rPr>
          <t>kimberlg:</t>
        </r>
        <r>
          <rPr>
            <sz val="8"/>
            <color indexed="81"/>
            <rFont val="Tahoma"/>
            <family val="2"/>
          </rPr>
          <t xml:space="preserve">
Nov/Dec flagship -1%</t>
        </r>
      </text>
    </comment>
    <comment ref="O190" authorId="15">
      <text>
        <r>
          <rPr>
            <b/>
            <sz val="8"/>
            <color indexed="81"/>
            <rFont val="Tahoma"/>
            <family val="2"/>
          </rPr>
          <t>kimberlg:</t>
        </r>
        <r>
          <rPr>
            <sz val="8"/>
            <color indexed="81"/>
            <rFont val="Tahoma"/>
            <family val="2"/>
          </rPr>
          <t xml:space="preserve">
Nov/Dec branch stores +3%</t>
        </r>
      </text>
    </comment>
    <comment ref="Q190" authorId="12">
      <text>
        <r>
          <rPr>
            <b/>
            <sz val="8"/>
            <color indexed="81"/>
            <rFont val="Tahoma"/>
            <family val="2"/>
          </rPr>
          <t>turleamb:</t>
        </r>
        <r>
          <rPr>
            <sz val="8"/>
            <color indexed="81"/>
            <rFont val="Tahoma"/>
            <family val="2"/>
          </rPr>
          <t xml:space="preserve">
1/10/12: holiday sales +19% to $165m; on constant F/X +18% due to growth in most countries</t>
        </r>
      </text>
    </comment>
    <comment ref="R190" authorId="14">
      <text>
        <r>
          <rPr>
            <b/>
            <sz val="8"/>
            <color indexed="81"/>
            <rFont val="Tahoma"/>
            <family val="2"/>
          </rPr>
          <t>kahng:</t>
        </r>
        <r>
          <rPr>
            <sz val="8"/>
            <color indexed="81"/>
            <rFont val="Tahoma"/>
            <family val="2"/>
          </rPr>
          <t xml:space="preserve">
3/20/12: increased units sold and smaller incrase in avg price per units sold. Growth esp in Australia, HK and Macau. </t>
        </r>
      </text>
    </comment>
    <comment ref="S190" authorId="13">
      <text>
        <r>
          <rPr>
            <b/>
            <sz val="8"/>
            <color indexed="81"/>
            <rFont val="Tahoma"/>
            <family val="2"/>
          </rPr>
          <t>solejay:</t>
        </r>
        <r>
          <rPr>
            <sz val="8"/>
            <color indexed="81"/>
            <rFont val="Tahoma"/>
            <family val="2"/>
          </rPr>
          <t xml:space="preserve">
1/10/12: holiday sales comp +12%
11/2011: 4Q guidance: Total: +20, comp: 20
1/10/12: Nov/Dec: comp +12% and total sales +19%</t>
        </r>
      </text>
    </comment>
    <comment ref="U190" authorId="14">
      <text>
        <r>
          <rPr>
            <b/>
            <sz val="8"/>
            <color indexed="81"/>
            <rFont val="Tahoma"/>
            <family val="2"/>
          </rPr>
          <t>kahng:</t>
        </r>
        <r>
          <rPr>
            <sz val="8"/>
            <color indexed="81"/>
            <rFont val="Tahoma"/>
            <family val="2"/>
          </rPr>
          <t xml:space="preserve">
3/20/12: was 28</t>
        </r>
      </text>
    </comment>
    <comment ref="W190" authorId="12">
      <text>
        <r>
          <rPr>
            <b/>
            <sz val="8"/>
            <color indexed="81"/>
            <rFont val="Tahoma"/>
            <family val="2"/>
          </rPr>
          <t>turleamb:</t>
        </r>
        <r>
          <rPr>
            <sz val="8"/>
            <color indexed="81"/>
            <rFont val="Tahoma"/>
            <family val="2"/>
          </rPr>
          <t xml:space="preserve">
1/10/14: holiday sales +13% to $160m. Constant F/X +5%</t>
        </r>
      </text>
    </comment>
    <comment ref="X190" authorId="14">
      <text>
        <r>
          <rPr>
            <b/>
            <sz val="8"/>
            <color indexed="81"/>
            <rFont val="Tahoma"/>
            <family val="2"/>
          </rPr>
          <t>kahng:</t>
        </r>
        <r>
          <rPr>
            <sz val="8"/>
            <color indexed="81"/>
            <rFont val="Tahoma"/>
            <family val="2"/>
          </rPr>
          <t xml:space="preserve">
3/20/12: increase from avg price per unit sold. Yen strengthened 10% ag US dollar. 
Ginza and Tokyo flagships acct for 12% of total sales in Japan
17% of WW sales vs 18% in 2010</t>
        </r>
      </text>
    </comment>
    <comment ref="Y190" authorId="13">
      <text>
        <r>
          <rPr>
            <b/>
            <sz val="8"/>
            <color indexed="81"/>
            <rFont val="Tahoma"/>
            <family val="2"/>
          </rPr>
          <t>solejay:</t>
        </r>
        <r>
          <rPr>
            <sz val="8"/>
            <color indexed="81"/>
            <rFont val="Tahoma"/>
            <family val="2"/>
          </rPr>
          <t xml:space="preserve">
1/10/14: holiday sales comp +6%
11/2011: 4Q guidance: Total: +MSD, comp: +LSD
1/10/12: Nov/Dec: Total sales +13% (+5% const currency) and comps +6%</t>
        </r>
      </text>
    </comment>
    <comment ref="AA190" authorId="14">
      <text>
        <r>
          <rPr>
            <b/>
            <sz val="8"/>
            <color indexed="81"/>
            <rFont val="Tahoma"/>
            <family val="2"/>
          </rPr>
          <t>kahng:</t>
        </r>
        <r>
          <rPr>
            <sz val="8"/>
            <color indexed="81"/>
            <rFont val="Tahoma"/>
            <family val="2"/>
          </rPr>
          <t xml:space="preserve">
was 34</t>
        </r>
      </text>
    </comment>
    <comment ref="AG190" authorId="12">
      <text>
        <r>
          <rPr>
            <b/>
            <sz val="8"/>
            <color indexed="81"/>
            <rFont val="Tahoma"/>
            <family val="2"/>
          </rPr>
          <t>turleamb:</t>
        </r>
        <r>
          <rPr>
            <sz val="8"/>
            <color indexed="81"/>
            <rFont val="Tahoma"/>
            <family val="2"/>
          </rPr>
          <t xml:space="preserve">
1/10/12: holiday sales +1% to $117m; on a constant F/X basis +2%</t>
        </r>
      </text>
    </comment>
    <comment ref="AH190" authorId="14">
      <text>
        <r>
          <rPr>
            <b/>
            <sz val="8"/>
            <color indexed="81"/>
            <rFont val="Tahoma"/>
            <family val="2"/>
          </rPr>
          <t>kahng:</t>
        </r>
        <r>
          <rPr>
            <sz val="8"/>
            <color indexed="81"/>
            <rFont val="Tahoma"/>
            <family val="2"/>
          </rPr>
          <t xml:space="preserve">
3/20/12: increases in prices per units sold. 
-2% comp reflects mixed results from solid growth in continental Europe and highest growth in Germany and Austria to sales decline in UK. </t>
        </r>
      </text>
    </comment>
    <comment ref="AI190" authorId="13">
      <text>
        <r>
          <rPr>
            <b/>
            <sz val="8"/>
            <color indexed="81"/>
            <rFont val="Tahoma"/>
            <family val="2"/>
          </rPr>
          <t>solejay:</t>
        </r>
        <r>
          <rPr>
            <sz val="8"/>
            <color indexed="81"/>
            <rFont val="Tahoma"/>
            <family val="2"/>
          </rPr>
          <t xml:space="preserve">
1/10/12: holiday sales comp -4% reflecting modest sales growth in Continental Europe and lower sales in the UK
11/2011: 4Q guidance: Total: +mid-teens, comp: +LSD
1/10/12: comps -4% and total sales +1% (cons currency +2%</t>
        </r>
      </text>
    </comment>
    <comment ref="AK190" authorId="14">
      <text>
        <r>
          <rPr>
            <b/>
            <sz val="8"/>
            <color indexed="81"/>
            <rFont val="Tahoma"/>
            <family val="2"/>
          </rPr>
          <t>kahng:</t>
        </r>
        <r>
          <rPr>
            <sz val="8"/>
            <color indexed="81"/>
            <rFont val="Tahoma"/>
            <family val="2"/>
          </rPr>
          <t xml:space="preserve">
was 31.0</t>
        </r>
      </text>
    </comment>
    <comment ref="AN190" authorId="15">
      <text>
        <r>
          <rPr>
            <b/>
            <sz val="8"/>
            <color indexed="81"/>
            <rFont val="Tahoma"/>
            <family val="2"/>
          </rPr>
          <t>kimberlg:</t>
        </r>
        <r>
          <rPr>
            <sz val="8"/>
            <color indexed="81"/>
            <rFont val="Tahoma"/>
            <family val="2"/>
          </rPr>
          <t xml:space="preserve">
1/10/12: Nov/Dec -4%</t>
        </r>
      </text>
    </comment>
    <comment ref="AR190" authorId="12">
      <text>
        <r>
          <rPr>
            <b/>
            <sz val="8"/>
            <color indexed="81"/>
            <rFont val="Tahoma"/>
            <family val="2"/>
          </rPr>
          <t>turleamb:</t>
        </r>
        <r>
          <rPr>
            <sz val="8"/>
            <color indexed="81"/>
            <rFont val="Tahoma"/>
            <family val="2"/>
          </rPr>
          <t xml:space="preserve">
1/10/12: holiday sales +8% to $8m</t>
        </r>
      </text>
    </comment>
    <comment ref="AS190" authorId="13">
      <text>
        <r>
          <rPr>
            <b/>
            <sz val="8"/>
            <color indexed="81"/>
            <rFont val="Tahoma"/>
            <family val="2"/>
          </rPr>
          <t xml:space="preserve">solejay:
3/20/12: </t>
        </r>
        <r>
          <rPr>
            <sz val="8"/>
            <color indexed="81"/>
            <rFont val="Tahoma"/>
            <family val="2"/>
          </rPr>
          <t>decline in wholsale diamond sales and sales to independent 3rd party in Middle East and Russia.</t>
        </r>
        <r>
          <rPr>
            <sz val="8"/>
            <color indexed="81"/>
            <rFont val="Tahoma"/>
            <family val="2"/>
          </rPr>
          <t xml:space="preserve">
</t>
        </r>
        <r>
          <rPr>
            <b/>
            <sz val="8"/>
            <color indexed="81"/>
            <rFont val="Tahoma"/>
            <family val="2"/>
          </rPr>
          <t>1/10/12:</t>
        </r>
        <r>
          <rPr>
            <sz val="8"/>
            <color indexed="81"/>
            <rFont val="Tahoma"/>
            <family val="2"/>
          </rPr>
          <t xml:space="preserve"> Nov/Dec +8%
</t>
        </r>
        <r>
          <rPr>
            <b/>
            <sz val="8"/>
            <color indexed="81"/>
            <rFont val="Tahoma"/>
            <family val="2"/>
          </rPr>
          <t xml:space="preserve">11/2011: </t>
        </r>
        <r>
          <rPr>
            <sz val="8"/>
            <color indexed="81"/>
            <rFont val="Tahoma"/>
            <family val="2"/>
          </rPr>
          <t xml:space="preserve">4Q guidance: -10%.
</t>
        </r>
      </text>
    </comment>
    <comment ref="E191" authorId="0">
      <text>
        <r>
          <rPr>
            <b/>
            <sz val="8"/>
            <color indexed="81"/>
            <rFont val="Tahoma"/>
            <family val="2"/>
          </rPr>
          <t xml:space="preserve">10k: </t>
        </r>
        <r>
          <rPr>
            <sz val="8"/>
            <color indexed="81"/>
            <rFont val="Tahoma"/>
            <family val="2"/>
          </rPr>
          <t>increased primarily due to an increase in the avg price per unit sold. Increase in sales in all jewelry product categories with notable increases at the higher price piotns. 
Comps increased 13% (13% constant fx)
ny flagship 20% 
branch 12%
comp stores grew $175.179M
non-comp stores grew $47.743M</t>
        </r>
        <r>
          <rPr>
            <sz val="8"/>
            <color indexed="81"/>
            <rFont val="Tahoma"/>
            <family val="2"/>
          </rPr>
          <t xml:space="preserve">
</t>
        </r>
      </text>
    </comment>
    <comment ref="F191" authorId="8">
      <text>
        <r>
          <rPr>
            <sz val="8"/>
            <color indexed="81"/>
            <rFont val="Tahoma"/>
            <family val="2"/>
          </rPr>
          <t xml:space="preserve">
3/20/12: 
FY sales saw greatest strength in sales over $20K and $50K. For the full year sales in the Americas rose 15% due to an overall increase in the average units sold. Growth in jewelry units sold at higher price points offset declines in silver jewelry. 
Americas represented 50% of worldwide sales versus 51% in 2010. 
FY, New York flagship at 8% of worldwide sales. In 2011 more than 40% of flagship sales were to foreign tourists versus somewhat less than 40% in 2010. 
America's branch store comps rose 11% in 2011 on a constant exchange rate basis due to strong increases in most parts of the US as well as in Canada and Latin America. 
FY sales to foreign tourists represented an estd 23% of US sales in 2011 versus 17% and 15% in 2010 and 2009 . European, Japanese and Chinese tourists represented roughly similar amounts.
5 highest volume branch stores in the Americas include: South Coast Plaza (Costa Mesa, CA); San Francisco, Chicago, Vancouver and Toronto.
11/2011: expect +high-teens sales increase
8/2011: expect +high-teens sales increase, with comps +mid-teen
5/2011: expect +mid-teens sales increase, with comps +low double-digit
3/2011: expect +low double digit sales increase, with comps +HSD and internet/catalog sales +HSD</t>
        </r>
      </text>
    </comment>
    <comment ref="G191" authorId="12">
      <text>
        <r>
          <rPr>
            <b/>
            <sz val="9"/>
            <color indexed="81"/>
            <rFont val="Tahoma"/>
            <family val="2"/>
          </rPr>
          <t>turleamb:</t>
        </r>
        <r>
          <rPr>
            <sz val="9"/>
            <color indexed="81"/>
            <rFont val="Tahoma"/>
            <family val="2"/>
          </rPr>
          <t xml:space="preserve">
sales increase primarily due to +AUR. There was an increase in sales in all jewelry product categories with notable increases at the higher price points</t>
        </r>
      </text>
    </comment>
    <comment ref="R191" authorId="8">
      <text>
        <r>
          <rPr>
            <sz val="8"/>
            <color indexed="81"/>
            <rFont val="Tahoma"/>
            <family val="2"/>
          </rPr>
          <t>3/20/12: increase in units and avg price per units sold. rep 21% of WW sales vs 18% in 2010. greater china represents 12%.
11/2011: expect at least 35% sales increase
8/2011: expect at least 30% sales increase, with comps close to 25%
5/2011: expect mid-20's% sales increase, with comps +about 20%
3/2011: expect at least +20% sales increase, with comps +mid teens</t>
        </r>
      </text>
    </comment>
    <comment ref="S191" authorId="12">
      <text>
        <r>
          <rPr>
            <b/>
            <sz val="9"/>
            <color indexed="81"/>
            <rFont val="Tahoma"/>
            <family val="2"/>
          </rPr>
          <t>turleamb:</t>
        </r>
        <r>
          <rPr>
            <sz val="9"/>
            <color indexed="81"/>
            <rFont val="Tahoma"/>
            <family val="2"/>
          </rPr>
          <t xml:space="preserve">
increase due to similar +AUR and +units sold</t>
        </r>
      </text>
    </comment>
    <comment ref="X191" authorId="8">
      <text>
        <r>
          <rPr>
            <sz val="8"/>
            <color indexed="81"/>
            <rFont val="Tahoma"/>
            <family val="2"/>
          </rPr>
          <t>10k: sales increased due to increase in avg price per units sold which was partly offset by decline in number of units sold. growth was strong in both designer jewelry and engagement and wedding bands. comps +13% (+4% constant fx)
11/2011: expect at least 10% sales increase
8/2011: expect +high single digit sales increase, with comps +LSD
5/2011: modest total sales decline in dollars and a roughly similar decline in comps in yen with no significant variability in the second, third, and fourth quarters
3/2011: expect at least -mid single digit decline (inclusive of 1Q pressure but unchanged 2Q-4Q due to Earthquake, assumes flat in those Q's)</t>
        </r>
      </text>
    </comment>
    <comment ref="Y191" authorId="12">
      <text>
        <r>
          <rPr>
            <b/>
            <sz val="9"/>
            <color indexed="81"/>
            <rFont val="Tahoma"/>
            <family val="2"/>
          </rPr>
          <t>turleamb:</t>
        </r>
        <r>
          <rPr>
            <sz val="9"/>
            <color indexed="81"/>
            <rFont val="Tahoma"/>
            <family val="2"/>
          </rPr>
          <t xml:space="preserve">
increased due to +AUR, partly offset by -units sold</t>
        </r>
      </text>
    </comment>
    <comment ref="AG191" authorId="14">
      <text>
        <r>
          <rPr>
            <b/>
            <sz val="8"/>
            <color indexed="81"/>
            <rFont val="Tahoma"/>
            <family val="2"/>
          </rPr>
          <t>kahng:</t>
        </r>
        <r>
          <rPr>
            <sz val="8"/>
            <color indexed="81"/>
            <rFont val="Tahoma"/>
            <family val="2"/>
          </rPr>
          <t xml:space="preserve">
UK is slightly less than half of Europe sales</t>
        </r>
      </text>
    </comment>
    <comment ref="AH191" authorId="8">
      <text>
        <r>
          <rPr>
            <sz val="8"/>
            <color indexed="81"/>
            <rFont val="Tahoma"/>
            <family val="2"/>
          </rPr>
          <t>10k: comp 10% (+6% on constant fx)
3/12/12: increases in units sold and avg price per unit sold. rep 12% of WW sales
softness in London from restrained spending by financial industry and overall challenging economic conditions. Europe stores benefiting from non-european tourists. Highest percentage of sales in Paris. 
Web sales repr 10% of europe sales in 2011. 
11</t>
        </r>
        <r>
          <rPr>
            <sz val="8"/>
            <color indexed="81"/>
            <rFont val="Tahoma"/>
            <family val="2"/>
          </rPr>
          <t>/2011: expect at least a 20% sales increase in Europe
8/2011: expect at least a 20% sales increase in Europe, with comps +LDD
5/2011: expect sales to increase by a mid-20's%, with comps +low double digit
3/2011: expect sales to increase more than 20%, with comps +low double digit</t>
        </r>
      </text>
    </comment>
    <comment ref="AI191" authorId="12">
      <text>
        <r>
          <rPr>
            <b/>
            <sz val="9"/>
            <color indexed="81"/>
            <rFont val="Tahoma"/>
            <family val="2"/>
          </rPr>
          <t>turleamb:</t>
        </r>
        <r>
          <rPr>
            <sz val="9"/>
            <color indexed="81"/>
            <rFont val="Tahoma"/>
            <family val="2"/>
          </rPr>
          <t xml:space="preserve">
increased due to similar increases in +units sold and +AUR</t>
        </r>
      </text>
    </comment>
    <comment ref="AR191" authorId="8">
      <text>
        <r>
          <rPr>
            <b/>
            <sz val="8"/>
            <color indexed="81"/>
            <rFont val="Tahoma"/>
            <family val="2"/>
          </rPr>
          <t>nicholjs:</t>
        </r>
        <r>
          <rPr>
            <sz val="8"/>
            <color indexed="81"/>
            <rFont val="Tahoma"/>
            <family val="2"/>
          </rPr>
          <t xml:space="preserve">
10K: The Company will, from time to time, secure supplies of diamonds by agreeing to purchase a defined portion of a mine’s output at the current market prices. Under such arrangements, management anticipates that it will purchase approximately $90,000,000 of rough diamonds in 2011. The Company will also purchase rough diamonds from other suppliers, although there are no contractual obligations to do so.</t>
        </r>
      </text>
    </comment>
    <comment ref="AS191" authorId="8">
      <text>
        <r>
          <rPr>
            <sz val="8"/>
            <color indexed="81"/>
            <rFont val="Tahoma"/>
            <family val="2"/>
          </rPr>
          <t>11/2011: expect modest decline
5/2011: expect increase ~25%
3/2011: expect increase more than 30%</t>
        </r>
      </text>
    </comment>
    <comment ref="E194" authorId="0">
      <text>
        <r>
          <rPr>
            <sz val="8"/>
            <color indexed="81"/>
            <rFont val="Tahoma"/>
            <family val="2"/>
          </rPr>
          <t xml:space="preserve">increase in avg price/unit offset by decr in # of units sold. Increasei n sales in silver and gold jewelry, engagement and wedding bands and designer jewelry. 
NY flagship -4% comp, branch store comps were equal to ly. 
</t>
        </r>
        <r>
          <rPr>
            <b/>
            <sz val="8"/>
            <color indexed="81"/>
            <rFont val="Tahoma"/>
            <family val="2"/>
          </rPr>
          <t>P Kahng:</t>
        </r>
        <r>
          <rPr>
            <sz val="8"/>
            <color indexed="81"/>
            <rFont val="Tahoma"/>
            <family val="2"/>
          </rPr>
          <t xml:space="preserve">
est was 386.6</t>
        </r>
      </text>
    </comment>
    <comment ref="G194" authorId="14">
      <text>
        <r>
          <rPr>
            <b/>
            <sz val="8"/>
            <color indexed="81"/>
            <rFont val="Tahoma"/>
            <family val="2"/>
          </rPr>
          <t>6/4/12:</t>
        </r>
        <r>
          <rPr>
            <sz val="8"/>
            <color indexed="81"/>
            <rFont val="Tahoma"/>
            <family val="2"/>
          </rPr>
          <t xml:space="preserve"> -1% GAAP basis; +AUR partly offset by -units sold</t>
        </r>
        <r>
          <rPr>
            <b/>
            <sz val="8"/>
            <color indexed="81"/>
            <rFont val="Tahoma"/>
            <family val="2"/>
          </rPr>
          <t xml:space="preserve">
5/23/12: </t>
        </r>
        <r>
          <rPr>
            <sz val="8"/>
            <color indexed="81"/>
            <rFont val="Tahoma"/>
            <family val="2"/>
          </rPr>
          <t>est was at +1%</t>
        </r>
        <r>
          <rPr>
            <b/>
            <sz val="8"/>
            <color indexed="81"/>
            <rFont val="Tahoma"/>
            <family val="2"/>
          </rPr>
          <t xml:space="preserve">
5/21/12: </t>
        </r>
        <r>
          <rPr>
            <sz val="8"/>
            <color indexed="81"/>
            <rFont val="Tahoma"/>
            <family val="2"/>
          </rPr>
          <t>Adjusted down to 1% from 2%</t>
        </r>
        <r>
          <rPr>
            <b/>
            <sz val="8"/>
            <color indexed="81"/>
            <rFont val="Tahoma"/>
            <family val="2"/>
          </rPr>
          <t xml:space="preserve">
kahng: </t>
        </r>
        <r>
          <rPr>
            <sz val="8"/>
            <color indexed="81"/>
            <rFont val="Tahoma"/>
            <family val="2"/>
          </rPr>
          <t>was 1%</t>
        </r>
      </text>
    </comment>
    <comment ref="Q194" authorId="0">
      <text>
        <r>
          <rPr>
            <sz val="8"/>
            <color indexed="81"/>
            <rFont val="Tahoma"/>
            <family val="2"/>
          </rPr>
          <t>increase in # of units sold and some increase in avg price/unit. Sales and unit growth in all jewelry product categories.</t>
        </r>
        <r>
          <rPr>
            <b/>
            <sz val="8"/>
            <color indexed="81"/>
            <rFont val="Tahoma"/>
            <family val="2"/>
          </rPr>
          <t xml:space="preserve"> 
P Kahng: </t>
        </r>
        <r>
          <rPr>
            <sz val="8"/>
            <color indexed="81"/>
            <rFont val="Tahoma"/>
            <family val="2"/>
          </rPr>
          <t>est was $198.4</t>
        </r>
      </text>
    </comment>
    <comment ref="S194" authorId="14">
      <text>
        <r>
          <rPr>
            <b/>
            <sz val="8"/>
            <color indexed="81"/>
            <rFont val="Tahoma"/>
            <family val="2"/>
          </rPr>
          <t>6/4/12:</t>
        </r>
        <r>
          <rPr>
            <sz val="8"/>
            <color indexed="81"/>
            <rFont val="Tahoma"/>
            <family val="2"/>
          </rPr>
          <t xml:space="preserve"> 11% GAAP basis; +units sold and some +AUR</t>
        </r>
        <r>
          <rPr>
            <b/>
            <sz val="8"/>
            <color indexed="81"/>
            <rFont val="Tahoma"/>
            <family val="2"/>
          </rPr>
          <t xml:space="preserve">
5/24/12 pk:</t>
        </r>
        <r>
          <rPr>
            <sz val="8"/>
            <color indexed="81"/>
            <rFont val="Tahoma"/>
            <family val="2"/>
          </rPr>
          <t xml:space="preserve"> est was 10%</t>
        </r>
        <r>
          <rPr>
            <b/>
            <sz val="8"/>
            <color indexed="81"/>
            <rFont val="Tahoma"/>
            <family val="2"/>
          </rPr>
          <t xml:space="preserve">
</t>
        </r>
        <r>
          <rPr>
            <sz val="8"/>
            <color indexed="81"/>
            <rFont val="Tahoma"/>
            <family val="2"/>
          </rPr>
          <t>3/20/12: was 12%</t>
        </r>
      </text>
    </comment>
    <comment ref="W194" authorId="0">
      <text>
        <r>
          <rPr>
            <sz val="8"/>
            <color indexed="81"/>
            <rFont val="Tahoma"/>
            <family val="2"/>
          </rPr>
          <t>incr in avg price/unit as well as some increase in # of units sold. Sales gorwth in all jewelry produc tcategories.</t>
        </r>
        <r>
          <rPr>
            <b/>
            <sz val="8"/>
            <color indexed="81"/>
            <rFont val="Tahoma"/>
            <family val="2"/>
          </rPr>
          <t xml:space="preserve">
P Kahng:</t>
        </r>
        <r>
          <rPr>
            <sz val="8"/>
            <color indexed="81"/>
            <rFont val="Tahoma"/>
            <family val="2"/>
          </rPr>
          <t xml:space="preserve">
est was $130.8</t>
        </r>
      </text>
    </comment>
    <comment ref="Y194" authorId="14">
      <text>
        <r>
          <rPr>
            <b/>
            <sz val="8"/>
            <color indexed="81"/>
            <rFont val="Tahoma"/>
            <family val="2"/>
          </rPr>
          <t xml:space="preserve">6/4/12: </t>
        </r>
        <r>
          <rPr>
            <sz val="8"/>
            <color indexed="81"/>
            <rFont val="Tahoma"/>
            <family val="2"/>
          </rPr>
          <t>15% GAAP basis; +AUR and some +units sold</t>
        </r>
        <r>
          <rPr>
            <b/>
            <sz val="8"/>
            <color indexed="81"/>
            <rFont val="Tahoma"/>
            <family val="2"/>
          </rPr>
          <t xml:space="preserve">
5/24/12: est was +4%
kahng:</t>
        </r>
        <r>
          <rPr>
            <sz val="8"/>
            <color indexed="81"/>
            <rFont val="Tahoma"/>
            <family val="2"/>
          </rPr>
          <t xml:space="preserve">
5/21/12: was 5%, adjusted to 4%
3/20/12: was 5%</t>
        </r>
      </text>
    </comment>
    <comment ref="AG194" authorId="0">
      <text>
        <r>
          <rPr>
            <sz val="8"/>
            <color indexed="81"/>
            <rFont val="Tahoma"/>
            <family val="2"/>
          </rPr>
          <t xml:space="preserve">incr in avg price/unit sold partly offset by decr in number of units. Incr in sales in designer jewlery and silver and gold jewelry product categories. </t>
        </r>
        <r>
          <rPr>
            <b/>
            <sz val="8"/>
            <color indexed="81"/>
            <rFont val="Tahoma"/>
            <family val="2"/>
          </rPr>
          <t xml:space="preserve">
P Kahng:</t>
        </r>
        <r>
          <rPr>
            <sz val="8"/>
            <color indexed="81"/>
            <rFont val="Tahoma"/>
            <family val="2"/>
          </rPr>
          <t xml:space="preserve">
est was 85.8M</t>
        </r>
      </text>
    </comment>
    <comment ref="AI194" authorId="14">
      <text>
        <r>
          <rPr>
            <b/>
            <sz val="8"/>
            <color indexed="81"/>
            <rFont val="Tahoma"/>
            <family val="2"/>
          </rPr>
          <t xml:space="preserve">6/4/12: -4% GAAP basis; </t>
        </r>
        <r>
          <rPr>
            <sz val="8"/>
            <color indexed="81"/>
            <rFont val="Tahoma"/>
            <family val="2"/>
          </rPr>
          <t>+AUR partly offset by -units sold</t>
        </r>
        <r>
          <rPr>
            <b/>
            <sz val="8"/>
            <color indexed="81"/>
            <rFont val="Tahoma"/>
            <family val="2"/>
          </rPr>
          <t xml:space="preserve">
5/23/12: est was -2%
kahng:</t>
        </r>
        <r>
          <rPr>
            <sz val="8"/>
            <color indexed="81"/>
            <rFont val="Tahoma"/>
            <family val="2"/>
          </rPr>
          <t xml:space="preserve">
5/21/12: adjusted down to -2% from -1%
3/20/12: was -4%</t>
        </r>
      </text>
    </comment>
    <comment ref="AR194" authorId="0">
      <text>
        <r>
          <rPr>
            <b/>
            <sz val="8"/>
            <color indexed="81"/>
            <rFont val="Tahoma"/>
            <family val="2"/>
          </rPr>
          <t xml:space="preserve">5/24/12: </t>
        </r>
        <r>
          <rPr>
            <sz val="8"/>
            <color indexed="81"/>
            <rFont val="Tahoma"/>
            <family val="2"/>
          </rPr>
          <t>est was 11.1M. Declined 14% in qtr due to lower wholeslae sales to indep distributors as perapre to commenc operations of UAE stores.</t>
        </r>
      </text>
    </comment>
    <comment ref="E195" authorId="16">
      <text>
        <r>
          <rPr>
            <b/>
            <sz val="7"/>
            <color indexed="81"/>
            <rFont val="Tahoma"/>
            <family val="2"/>
          </rPr>
          <t>casselau:</t>
        </r>
        <r>
          <rPr>
            <sz val="7"/>
            <color indexed="81"/>
            <rFont val="Tahoma"/>
            <family val="2"/>
          </rPr>
          <t xml:space="preserve">
8/27/12: an increase in the avg price per unit sold was offset by a decline in unit volume; decline was entirely due to lower spending by local customers; higher sales to Japanese &amp; Chinese visitors were offset by a decline in European tourists; total sales rose in Canada, but comps decline; strong comp growth in LatAm; ecom and catalog sales +3% due to increase in avg sales per order</t>
        </r>
      </text>
    </comment>
    <comment ref="G195" authorId="14">
      <text>
        <r>
          <rPr>
            <b/>
            <sz val="8"/>
            <color indexed="81"/>
            <rFont val="Tahoma"/>
            <family val="2"/>
          </rPr>
          <t xml:space="preserve">8/27/12: </t>
        </r>
        <r>
          <rPr>
            <sz val="8"/>
            <color indexed="81"/>
            <rFont val="Tahoma"/>
            <family val="2"/>
          </rPr>
          <t>-units sold mostly offset by +AUR</t>
        </r>
        <r>
          <rPr>
            <b/>
            <sz val="8"/>
            <color indexed="81"/>
            <rFont val="Tahoma"/>
            <family val="2"/>
          </rPr>
          <t xml:space="preserve">
</t>
        </r>
        <r>
          <rPr>
            <sz val="8"/>
            <color indexed="81"/>
            <rFont val="Tahoma"/>
            <family val="2"/>
          </rPr>
          <t>NY flagship -9%; comparable branch stores -4%; solid growth in FL, TX, HI, Guam</t>
        </r>
        <r>
          <rPr>
            <b/>
            <sz val="8"/>
            <color indexed="81"/>
            <rFont val="Tahoma"/>
            <family val="2"/>
          </rPr>
          <t xml:space="preserve">
7/6/12: </t>
        </r>
        <r>
          <rPr>
            <sz val="8"/>
            <color indexed="81"/>
            <rFont val="Tahoma"/>
            <family val="2"/>
          </rPr>
          <t>Was -2.0%</t>
        </r>
        <r>
          <rPr>
            <b/>
            <sz val="8"/>
            <color indexed="81"/>
            <rFont val="Tahoma"/>
            <family val="2"/>
          </rPr>
          <t xml:space="preserve">
5/24/12: </t>
        </r>
        <r>
          <rPr>
            <sz val="8"/>
            <color indexed="81"/>
            <rFont val="Tahoma"/>
            <family val="2"/>
          </rPr>
          <t>Was +4%</t>
        </r>
        <r>
          <rPr>
            <b/>
            <sz val="8"/>
            <color indexed="81"/>
            <rFont val="Tahoma"/>
            <family val="2"/>
          </rPr>
          <t xml:space="preserve">
3/20/12: </t>
        </r>
        <r>
          <rPr>
            <sz val="8"/>
            <color indexed="81"/>
            <rFont val="Tahoma"/>
            <family val="2"/>
          </rPr>
          <t>was 2%</t>
        </r>
      </text>
    </comment>
    <comment ref="Q195" authorId="16">
      <text>
        <r>
          <rPr>
            <b/>
            <sz val="8"/>
            <color indexed="81"/>
            <rFont val="Tahoma"/>
            <family val="2"/>
          </rPr>
          <t>casselau:</t>
        </r>
        <r>
          <rPr>
            <sz val="8"/>
            <color indexed="81"/>
            <rFont val="Tahoma"/>
            <family val="2"/>
          </rPr>
          <t xml:space="preserve">
8/27/12: increase unit vol offset by decline in avg price per unit sold; Australia posted strongest growth in contrast to weakness in HK tied to restrained Chinese consumer spending and softness in Korea</t>
        </r>
      </text>
    </comment>
    <comment ref="S195" authorId="14">
      <text>
        <r>
          <rPr>
            <b/>
            <sz val="8"/>
            <color indexed="81"/>
            <rFont val="Tahoma"/>
            <family val="2"/>
          </rPr>
          <t>kahng:</t>
        </r>
        <r>
          <rPr>
            <sz val="8"/>
            <color indexed="81"/>
            <rFont val="Tahoma"/>
            <family val="2"/>
          </rPr>
          <t xml:space="preserve">
5/24/12: was 7%; +units sold mostly offset by -AUR
3/20/12: was 5%</t>
        </r>
      </text>
    </comment>
    <comment ref="W195" authorId="16">
      <text>
        <r>
          <rPr>
            <b/>
            <sz val="8"/>
            <color indexed="81"/>
            <rFont val="Tahoma"/>
            <family val="2"/>
          </rPr>
          <t>casselau:</t>
        </r>
        <r>
          <rPr>
            <sz val="8"/>
            <color indexed="81"/>
            <rFont val="Tahoma"/>
            <family val="2"/>
          </rPr>
          <t xml:space="preserve">
8/27/12: increase in jewelry unit volume and increase in avg price per unit sold; no significant variations by region</t>
        </r>
      </text>
    </comment>
    <comment ref="Y195" authorId="14">
      <text>
        <r>
          <rPr>
            <b/>
            <sz val="8"/>
            <color indexed="81"/>
            <rFont val="Tahoma"/>
            <family val="2"/>
          </rPr>
          <t>kahng:</t>
        </r>
        <r>
          <rPr>
            <sz val="8"/>
            <color indexed="81"/>
            <rFont val="Tahoma"/>
            <family val="2"/>
          </rPr>
          <t xml:space="preserve">
3/20/12: was 0%; +AUR and +units sold</t>
        </r>
      </text>
    </comment>
    <comment ref="AG195" authorId="16">
      <text>
        <r>
          <rPr>
            <b/>
            <sz val="8"/>
            <color indexed="81"/>
            <rFont val="Tahoma"/>
            <family val="2"/>
          </rPr>
          <t>casselau:</t>
        </r>
        <r>
          <rPr>
            <sz val="7"/>
            <color indexed="81"/>
            <rFont val="Tahoma"/>
            <family val="2"/>
          </rPr>
          <t xml:space="preserve">
8/27/12: modest decline in units, although mixed by category and a small increase in the avg price per unit sold; sales growth in overall continental Europe (Germany, France) was mostly offset by relative softness in the U.K. and Italy; sales are gettinga  boost from non-European tourists who are offsetting spending declines by local customers in some markets </t>
        </r>
      </text>
    </comment>
    <comment ref="AI195" authorId="14">
      <text>
        <r>
          <rPr>
            <b/>
            <sz val="8"/>
            <color indexed="81"/>
            <rFont val="Tahoma"/>
            <family val="2"/>
          </rPr>
          <t xml:space="preserve">kahng:
5/24/12: </t>
        </r>
        <r>
          <rPr>
            <sz val="8"/>
            <color indexed="81"/>
            <rFont val="Tahoma"/>
            <family val="2"/>
          </rPr>
          <t>Was -3%; -units sold mostly offset by +AUR</t>
        </r>
        <r>
          <rPr>
            <sz val="8"/>
            <color indexed="81"/>
            <rFont val="Tahoma"/>
            <family val="2"/>
          </rPr>
          <t xml:space="preserve">
3/20/12: Was -8%</t>
        </r>
      </text>
    </comment>
    <comment ref="AR195" authorId="16">
      <text>
        <r>
          <rPr>
            <b/>
            <sz val="8"/>
            <color indexed="81"/>
            <rFont val="Tahoma"/>
            <family val="2"/>
          </rPr>
          <t>casselau:</t>
        </r>
        <r>
          <rPr>
            <sz val="8"/>
            <color indexed="81"/>
            <rFont val="Tahoma"/>
            <family val="2"/>
          </rPr>
          <t xml:space="preserve">
8/27/12: increase wholesale sales to independent distributors in certain markets; five stores in UAE were converted from independently operated to company-operated</t>
        </r>
      </text>
    </comment>
    <comment ref="AS195" authorId="0">
      <text>
        <r>
          <rPr>
            <b/>
            <sz val="8"/>
            <color indexed="81"/>
            <rFont val="Tahoma"/>
            <family val="2"/>
          </rPr>
          <t>P Kahng:</t>
        </r>
        <r>
          <rPr>
            <sz val="8"/>
            <color indexed="81"/>
            <rFont val="Tahoma"/>
            <family val="2"/>
          </rPr>
          <t xml:space="preserve">
7/6/12: was -15%
Was -10%</t>
        </r>
      </text>
    </comment>
    <comment ref="G196" authorId="14">
      <text>
        <r>
          <rPr>
            <b/>
            <sz val="8"/>
            <color indexed="81"/>
            <rFont val="Tahoma"/>
            <family val="2"/>
          </rPr>
          <t xml:space="preserve">5/24/12: </t>
        </r>
        <r>
          <rPr>
            <sz val="8"/>
            <color indexed="81"/>
            <rFont val="Tahoma"/>
            <family val="2"/>
          </rPr>
          <t>Was 4% ; +AUR offset by -units sold</t>
        </r>
        <r>
          <rPr>
            <b/>
            <sz val="8"/>
            <color indexed="81"/>
            <rFont val="Tahoma"/>
            <family val="2"/>
          </rPr>
          <t xml:space="preserve">
3/20/12: </t>
        </r>
        <r>
          <rPr>
            <sz val="8"/>
            <color indexed="81"/>
            <rFont val="Tahoma"/>
            <family val="2"/>
          </rPr>
          <t>was 3%</t>
        </r>
      </text>
    </comment>
    <comment ref="S196" authorId="14">
      <text>
        <r>
          <rPr>
            <b/>
            <sz val="8"/>
            <color indexed="81"/>
            <rFont val="Tahoma"/>
            <family val="2"/>
          </rPr>
          <t>kahng:</t>
        </r>
        <r>
          <rPr>
            <sz val="8"/>
            <color indexed="81"/>
            <rFont val="Tahoma"/>
            <family val="2"/>
          </rPr>
          <t xml:space="preserve">
5/24/12: was 6%; +units sold partly offset by -AUR
3/20/12: was 6%</t>
        </r>
      </text>
    </comment>
    <comment ref="Y196" authorId="14">
      <text>
        <r>
          <rPr>
            <b/>
            <sz val="8"/>
            <color indexed="81"/>
            <rFont val="Tahoma"/>
            <family val="2"/>
          </rPr>
          <t>kahng:</t>
        </r>
        <r>
          <rPr>
            <sz val="8"/>
            <color indexed="81"/>
            <rFont val="Tahoma"/>
            <family val="2"/>
          </rPr>
          <t xml:space="preserve">
3/20/12: was 1%; +AUR largely offset by -units sold</t>
        </r>
      </text>
    </comment>
    <comment ref="AI196" authorId="14">
      <text>
        <r>
          <rPr>
            <b/>
            <sz val="8"/>
            <color indexed="81"/>
            <rFont val="Tahoma"/>
            <family val="2"/>
          </rPr>
          <t>kahng:</t>
        </r>
        <r>
          <rPr>
            <sz val="8"/>
            <color indexed="81"/>
            <rFont val="Tahoma"/>
            <family val="2"/>
          </rPr>
          <t xml:space="preserve">
5/24/12: Was -3%; +AUR and slight +units sold
3/20/12: was -7%</t>
        </r>
      </text>
    </comment>
    <comment ref="AS196" authorId="0">
      <text>
        <r>
          <rPr>
            <b/>
            <sz val="8"/>
            <color indexed="81"/>
            <rFont val="Tahoma"/>
            <family val="2"/>
          </rPr>
          <t>P Kahng:</t>
        </r>
        <r>
          <rPr>
            <sz val="8"/>
            <color indexed="81"/>
            <rFont val="Tahoma"/>
            <family val="2"/>
          </rPr>
          <t xml:space="preserve">
Was 5%</t>
        </r>
      </text>
    </comment>
    <comment ref="E197" authorId="16">
      <text>
        <r>
          <rPr>
            <b/>
            <sz val="8"/>
            <color indexed="81"/>
            <rFont val="Tahoma"/>
            <family val="2"/>
          </rPr>
          <t>casselau:</t>
        </r>
        <r>
          <rPr>
            <sz val="8"/>
            <color indexed="81"/>
            <rFont val="Tahoma"/>
            <family val="2"/>
          </rPr>
          <t xml:space="preserve">
1/10/13: holiday sales +3% to $516m, on a constant F/X basis +2%</t>
        </r>
      </text>
    </comment>
    <comment ref="G197" authorId="14">
      <text>
        <r>
          <rPr>
            <b/>
            <sz val="8"/>
            <color indexed="81"/>
            <rFont val="Tahoma"/>
            <family val="2"/>
          </rPr>
          <t xml:space="preserve">3/22/13: </t>
        </r>
        <r>
          <rPr>
            <sz val="8"/>
            <color indexed="81"/>
            <rFont val="Tahoma"/>
            <family val="2"/>
          </rPr>
          <t>NY flagship store sales -3% (4Q and FY); comparable branch store sales -2%; internet and catalog +6%</t>
        </r>
        <r>
          <rPr>
            <b/>
            <sz val="8"/>
            <color indexed="81"/>
            <rFont val="Tahoma"/>
            <family val="2"/>
          </rPr>
          <t xml:space="preserve">
1/10/13:</t>
        </r>
        <r>
          <rPr>
            <sz val="8"/>
            <color indexed="81"/>
            <rFont val="Tahoma"/>
            <family val="2"/>
          </rPr>
          <t xml:space="preserve"> holiday comp -2% in NY flagship and branch stores. Performance similar across much of the region. Internet and catalog +4%</t>
        </r>
        <r>
          <rPr>
            <b/>
            <sz val="8"/>
            <color indexed="81"/>
            <rFont val="Tahoma"/>
            <family val="2"/>
          </rPr>
          <t xml:space="preserve">
5/24/12: </t>
        </r>
        <r>
          <rPr>
            <sz val="8"/>
            <color indexed="81"/>
            <rFont val="Tahoma"/>
            <family val="2"/>
          </rPr>
          <t>Was 15%</t>
        </r>
        <r>
          <rPr>
            <b/>
            <sz val="8"/>
            <color indexed="81"/>
            <rFont val="Tahoma"/>
            <family val="2"/>
          </rPr>
          <t xml:space="preserve">
kahng: </t>
        </r>
        <r>
          <rPr>
            <sz val="8"/>
            <color indexed="81"/>
            <rFont val="Tahoma"/>
            <family val="2"/>
          </rPr>
          <t>was 12%</t>
        </r>
      </text>
    </comment>
    <comment ref="Q197" authorId="16">
      <text>
        <r>
          <rPr>
            <b/>
            <sz val="8"/>
            <color indexed="81"/>
            <rFont val="Tahoma"/>
            <family val="2"/>
          </rPr>
          <t>casselau:</t>
        </r>
        <r>
          <rPr>
            <sz val="8"/>
            <color indexed="81"/>
            <rFont val="Tahoma"/>
            <family val="2"/>
          </rPr>
          <t xml:space="preserve">
1/10/13: holiday sales +13% to $187m, on a constant F/X basis +11% due to growth in Greater China and most other markets</t>
        </r>
      </text>
    </comment>
    <comment ref="S197" authorId="14">
      <text>
        <r>
          <rPr>
            <b/>
            <sz val="8"/>
            <color indexed="81"/>
            <rFont val="Tahoma"/>
            <family val="2"/>
          </rPr>
          <t>1/10/13:</t>
        </r>
        <r>
          <rPr>
            <sz val="8"/>
            <color indexed="81"/>
            <rFont val="Tahoma"/>
            <family val="2"/>
          </rPr>
          <t xml:space="preserve"> holiday comp +7%</t>
        </r>
        <r>
          <rPr>
            <b/>
            <sz val="8"/>
            <color indexed="81"/>
            <rFont val="Tahoma"/>
            <family val="2"/>
          </rPr>
          <t xml:space="preserve">
kahng:</t>
        </r>
        <r>
          <rPr>
            <sz val="8"/>
            <color indexed="81"/>
            <rFont val="Tahoma"/>
            <family val="2"/>
          </rPr>
          <t xml:space="preserve">
5/24/12: Was 19%
3/20/12: was +13</t>
        </r>
      </text>
    </comment>
    <comment ref="U197" authorId="14">
      <text>
        <r>
          <rPr>
            <b/>
            <sz val="8"/>
            <color indexed="81"/>
            <rFont val="Tahoma"/>
            <family val="2"/>
          </rPr>
          <t>kahng:</t>
        </r>
        <r>
          <rPr>
            <sz val="8"/>
            <color indexed="81"/>
            <rFont val="Tahoma"/>
            <family val="2"/>
          </rPr>
          <t xml:space="preserve">
3/20/12: was 28</t>
        </r>
      </text>
    </comment>
    <comment ref="W197" authorId="16">
      <text>
        <r>
          <rPr>
            <b/>
            <sz val="8"/>
            <color indexed="81"/>
            <rFont val="Tahoma"/>
            <family val="2"/>
          </rPr>
          <t>casselau:</t>
        </r>
        <r>
          <rPr>
            <sz val="8"/>
            <color indexed="81"/>
            <rFont val="Tahoma"/>
            <family val="2"/>
          </rPr>
          <t xml:space="preserve">
1/10/13: holiday sales -5% to $153m. On a constant F/X basis -1%</t>
        </r>
      </text>
    </comment>
    <comment ref="X197" authorId="16">
      <text>
        <r>
          <rPr>
            <b/>
            <sz val="8"/>
            <color indexed="81"/>
            <rFont val="Tahoma"/>
            <family val="2"/>
          </rPr>
          <t>casselau:</t>
        </r>
        <r>
          <rPr>
            <sz val="8"/>
            <color indexed="81"/>
            <rFont val="Tahoma"/>
            <family val="2"/>
          </rPr>
          <t xml:space="preserve">
3/22/13: on a constant exchange basis, total sales +2%</t>
        </r>
      </text>
    </comment>
    <comment ref="Y197" authorId="14">
      <text>
        <r>
          <rPr>
            <b/>
            <sz val="8"/>
            <color indexed="81"/>
            <rFont val="Tahoma"/>
            <family val="2"/>
          </rPr>
          <t xml:space="preserve">1/10/13: </t>
        </r>
        <r>
          <rPr>
            <sz val="8"/>
            <color indexed="81"/>
            <rFont val="Tahoma"/>
            <family val="2"/>
          </rPr>
          <t>holiday comp +1%</t>
        </r>
        <r>
          <rPr>
            <b/>
            <sz val="8"/>
            <color indexed="81"/>
            <rFont val="Tahoma"/>
            <family val="2"/>
          </rPr>
          <t xml:space="preserve">
kahng:</t>
        </r>
        <r>
          <rPr>
            <sz val="8"/>
            <color indexed="81"/>
            <rFont val="Tahoma"/>
            <family val="2"/>
          </rPr>
          <t xml:space="preserve">
3/20/12: was 2%</t>
        </r>
      </text>
    </comment>
    <comment ref="AA197" authorId="14">
      <text>
        <r>
          <rPr>
            <b/>
            <sz val="8"/>
            <color indexed="81"/>
            <rFont val="Tahoma"/>
            <family val="2"/>
          </rPr>
          <t>kahng:</t>
        </r>
        <r>
          <rPr>
            <sz val="8"/>
            <color indexed="81"/>
            <rFont val="Tahoma"/>
            <family val="2"/>
          </rPr>
          <t xml:space="preserve">
was 34</t>
        </r>
      </text>
    </comment>
    <comment ref="AG197" authorId="16">
      <text>
        <r>
          <rPr>
            <b/>
            <sz val="8"/>
            <color indexed="81"/>
            <rFont val="Tahoma"/>
            <family val="2"/>
          </rPr>
          <t>casselau:</t>
        </r>
        <r>
          <rPr>
            <sz val="8"/>
            <color indexed="81"/>
            <rFont val="Tahoma"/>
            <family val="2"/>
          </rPr>
          <t xml:space="preserve">
1/10/13:  holiday sales +2% to $119m due to mixed performance by country. On constant F/X basis +2%</t>
        </r>
      </text>
    </comment>
    <comment ref="AH197" authorId="16">
      <text>
        <r>
          <rPr>
            <b/>
            <sz val="8"/>
            <color indexed="81"/>
            <rFont val="Tahoma"/>
            <family val="2"/>
          </rPr>
          <t>casselau:</t>
        </r>
        <r>
          <rPr>
            <sz val="8"/>
            <color indexed="81"/>
            <rFont val="Tahoma"/>
            <family val="2"/>
          </rPr>
          <t xml:space="preserve">
3/22/13: mixed peformance by country</t>
        </r>
      </text>
    </comment>
    <comment ref="AI197" authorId="14">
      <text>
        <r>
          <rPr>
            <b/>
            <sz val="8"/>
            <color indexed="81"/>
            <rFont val="Tahoma"/>
            <family val="2"/>
          </rPr>
          <t xml:space="preserve">1/10/13: </t>
        </r>
        <r>
          <rPr>
            <sz val="8"/>
            <color indexed="81"/>
            <rFont val="Tahoma"/>
            <family val="2"/>
          </rPr>
          <t>holiday comp flat</t>
        </r>
        <r>
          <rPr>
            <b/>
            <sz val="8"/>
            <color indexed="81"/>
            <rFont val="Tahoma"/>
            <family val="2"/>
          </rPr>
          <t xml:space="preserve">
kahng:</t>
        </r>
        <r>
          <rPr>
            <sz val="8"/>
            <color indexed="81"/>
            <rFont val="Tahoma"/>
            <family val="2"/>
          </rPr>
          <t xml:space="preserve">
5/23/12: Was +8%
3/20/12: was 5%</t>
        </r>
      </text>
    </comment>
    <comment ref="AK197" authorId="14">
      <text>
        <r>
          <rPr>
            <b/>
            <sz val="8"/>
            <color indexed="81"/>
            <rFont val="Tahoma"/>
            <family val="2"/>
          </rPr>
          <t>kahng:</t>
        </r>
        <r>
          <rPr>
            <sz val="8"/>
            <color indexed="81"/>
            <rFont val="Tahoma"/>
            <family val="2"/>
          </rPr>
          <t xml:space="preserve">
was 31.0</t>
        </r>
      </text>
    </comment>
    <comment ref="AM197" authorId="16">
      <text>
        <r>
          <rPr>
            <b/>
            <sz val="8"/>
            <color indexed="81"/>
            <rFont val="Tahoma"/>
            <family val="2"/>
          </rPr>
          <t>casselau:</t>
        </r>
        <r>
          <rPr>
            <sz val="8"/>
            <color indexed="81"/>
            <rFont val="Tahoma"/>
            <family val="2"/>
          </rPr>
          <t xml:space="preserve">
1/10/13: holiday internet and catalog sales +4%</t>
        </r>
      </text>
    </comment>
    <comment ref="AR197" authorId="12">
      <text>
        <r>
          <rPr>
            <b/>
            <sz val="8"/>
            <color indexed="81"/>
            <rFont val="Tahoma"/>
            <family val="2"/>
          </rPr>
          <t>turleamb:</t>
        </r>
        <r>
          <rPr>
            <sz val="8"/>
            <color indexed="81"/>
            <rFont val="Tahoma"/>
            <family val="2"/>
          </rPr>
          <t xml:space="preserve">
1/10/13: holiday sales +114% to $17m largely reflecting conversion in July of 5 TIF stores in the UAE from independently operated distribution to company owned retail stores</t>
        </r>
      </text>
    </comment>
    <comment ref="AS197" authorId="0">
      <text>
        <r>
          <rPr>
            <b/>
            <sz val="8"/>
            <color indexed="81"/>
            <rFont val="Tahoma"/>
            <family val="2"/>
          </rPr>
          <t xml:space="preserve">3/22/13: </t>
        </r>
        <r>
          <rPr>
            <sz val="8"/>
            <color indexed="81"/>
            <rFont val="Tahoma"/>
            <family val="2"/>
          </rPr>
          <t xml:space="preserve">the strong growth in both periods reflected the conversion in July of 5 TIF stores in the UAE </t>
        </r>
        <r>
          <rPr>
            <b/>
            <sz val="8"/>
            <color indexed="81"/>
            <rFont val="Tahoma"/>
            <family val="2"/>
          </rPr>
          <t xml:space="preserve">
P Kahng:</t>
        </r>
        <r>
          <rPr>
            <sz val="8"/>
            <color indexed="81"/>
            <rFont val="Tahoma"/>
            <family val="2"/>
          </rPr>
          <t xml:space="preserve">
Was 5%</t>
        </r>
      </text>
    </comment>
    <comment ref="G198" authorId="0">
      <text>
        <r>
          <rPr>
            <sz val="8"/>
            <color indexed="81"/>
            <rFont val="Tahoma"/>
            <family val="2"/>
          </rPr>
          <t>5/24/12: Was 7.1%; +AUR partly offset by -units sold</t>
        </r>
      </text>
    </comment>
    <comment ref="S198" authorId="12">
      <text>
        <r>
          <rPr>
            <b/>
            <sz val="9"/>
            <color indexed="81"/>
            <rFont val="Tahoma"/>
            <family val="2"/>
          </rPr>
          <t>turleamb:</t>
        </r>
        <r>
          <rPr>
            <sz val="9"/>
            <color indexed="81"/>
            <rFont val="Tahoma"/>
            <family val="2"/>
          </rPr>
          <t xml:space="preserve">
due to +units sold</t>
        </r>
      </text>
    </comment>
    <comment ref="X198" authorId="16">
      <text>
        <r>
          <rPr>
            <b/>
            <sz val="8"/>
            <color indexed="81"/>
            <rFont val="Tahoma"/>
            <family val="2"/>
          </rPr>
          <t>casselau:</t>
        </r>
        <r>
          <rPr>
            <sz val="8"/>
            <color indexed="81"/>
            <rFont val="Tahoma"/>
            <family val="2"/>
          </rPr>
          <t xml:space="preserve">
3/22/13: on a constant exchange basis, total sales +6%</t>
        </r>
      </text>
    </comment>
    <comment ref="Y198" authorId="0">
      <text>
        <r>
          <rPr>
            <b/>
            <sz val="8"/>
            <color indexed="81"/>
            <rFont val="Tahoma"/>
            <family val="2"/>
          </rPr>
          <t>P Kahng:</t>
        </r>
        <r>
          <rPr>
            <sz val="8"/>
            <color indexed="81"/>
            <rFont val="Tahoma"/>
            <family val="2"/>
          </rPr>
          <t xml:space="preserve">
5/24/12: Was +1.8%; +AUR partly offset by -units sold</t>
        </r>
      </text>
    </comment>
    <comment ref="AI198" authorId="0">
      <text>
        <r>
          <rPr>
            <b/>
            <sz val="8"/>
            <color indexed="81"/>
            <rFont val="Tahoma"/>
            <family val="2"/>
          </rPr>
          <t>P Kahng:</t>
        </r>
        <r>
          <rPr>
            <sz val="8"/>
            <color indexed="81"/>
            <rFont val="Tahoma"/>
            <family val="2"/>
          </rPr>
          <t xml:space="preserve">
5/24/12: Was +1.2%; +AUR partly offset by - units sold</t>
        </r>
      </text>
    </comment>
    <comment ref="G201" authorId="16">
      <text>
        <r>
          <rPr>
            <b/>
            <sz val="8"/>
            <color indexed="81"/>
            <rFont val="Tahoma"/>
            <family val="2"/>
          </rPr>
          <t xml:space="preserve">casselau:
+AUR partly offset by -units
</t>
        </r>
        <r>
          <rPr>
            <sz val="8"/>
            <color indexed="81"/>
            <rFont val="Tahoma"/>
            <family val="2"/>
          </rPr>
          <t>5/28/13: "relatively stronger growth in the NY flagship"; sales benefitted from Blue Book event</t>
        </r>
      </text>
    </comment>
    <comment ref="S201" authorId="16">
      <text>
        <r>
          <rPr>
            <b/>
            <sz val="8"/>
            <color indexed="81"/>
            <rFont val="Tahoma"/>
            <family val="2"/>
          </rPr>
          <t>casselau:</t>
        </r>
        <r>
          <rPr>
            <sz val="8"/>
            <color indexed="81"/>
            <rFont val="Tahoma"/>
            <family val="2"/>
          </rPr>
          <t xml:space="preserve">
+AUR and +units
5/28/13: strength in Greater china</t>
        </r>
      </text>
    </comment>
    <comment ref="X201" authorId="16">
      <text>
        <r>
          <rPr>
            <b/>
            <sz val="8"/>
            <color indexed="81"/>
            <rFont val="Tahoma"/>
            <family val="2"/>
          </rPr>
          <t>casselau:</t>
        </r>
        <r>
          <rPr>
            <sz val="8"/>
            <color indexed="81"/>
            <rFont val="Tahoma"/>
            <family val="2"/>
          </rPr>
          <t xml:space="preserve">
5/28/13: on a constant exchange rate basis, total sales increased 20%; particularly strong growth in engagement and higher-end jewelry</t>
        </r>
      </text>
    </comment>
    <comment ref="Y201" authorId="12">
      <text>
        <r>
          <rPr>
            <b/>
            <sz val="9"/>
            <color indexed="81"/>
            <rFont val="Tahoma"/>
            <family val="2"/>
          </rPr>
          <t>turleamb:</t>
        </r>
        <r>
          <rPr>
            <sz val="9"/>
            <color indexed="81"/>
            <rFont val="Tahoma"/>
            <family val="2"/>
          </rPr>
          <t xml:space="preserve">
+AUR and +units</t>
        </r>
      </text>
    </comment>
    <comment ref="AI201" authorId="12">
      <text>
        <r>
          <rPr>
            <b/>
            <sz val="9"/>
            <color indexed="81"/>
            <rFont val="Tahoma"/>
            <family val="2"/>
          </rPr>
          <t>turleamb:</t>
        </r>
        <r>
          <rPr>
            <sz val="9"/>
            <color indexed="81"/>
            <rFont val="Tahoma"/>
            <family val="2"/>
          </rPr>
          <t xml:space="preserve">
+AUR and +units</t>
        </r>
      </text>
    </comment>
    <comment ref="AS201" authorId="16">
      <text>
        <r>
          <rPr>
            <b/>
            <sz val="8"/>
            <color indexed="81"/>
            <rFont val="Tahoma"/>
            <family val="2"/>
          </rPr>
          <t>casselau:</t>
        </r>
        <r>
          <rPr>
            <sz val="8"/>
            <color indexed="81"/>
            <rFont val="Tahoma"/>
            <family val="2"/>
          </rPr>
          <t xml:space="preserve">
5/28/13: primarily reflects the conversion of five UAE stores</t>
        </r>
      </text>
    </comment>
    <comment ref="G202" authorId="12">
      <text>
        <r>
          <rPr>
            <b/>
            <sz val="8"/>
            <color indexed="81"/>
            <rFont val="Tahoma"/>
            <family val="2"/>
          </rPr>
          <t>turleamb:</t>
        </r>
        <r>
          <rPr>
            <sz val="8"/>
            <color indexed="81"/>
            <rFont val="Tahoma"/>
            <family val="2"/>
          </rPr>
          <t xml:space="preserve">
8/27/13: growth led by NYC flagshi. sales growth was entirely due to an increase in average price per jewelry units sold. A modest decline in jewelry units reflected softness in the moderate price point fashion jewelry category, which more than offset unit growth in higher-priced statement and fine jewelry; Comp store sales in the Americas were equal to last year and in line with our expectations. sales were soft in Canada, but we had reasonably good increases in Mexico and Brazil. Internet and catalog sales in the Americas mirrored store sales performance </t>
        </r>
      </text>
    </comment>
    <comment ref="Q202" authorId="12">
      <text>
        <r>
          <rPr>
            <b/>
            <sz val="8"/>
            <color indexed="81"/>
            <rFont val="Tahoma"/>
            <family val="2"/>
          </rPr>
          <t>turleamb:</t>
        </r>
        <r>
          <rPr>
            <sz val="8"/>
            <color indexed="81"/>
            <rFont val="Tahoma"/>
            <family val="2"/>
          </rPr>
          <t xml:space="preserve">
led by growth in Greater China</t>
        </r>
      </text>
    </comment>
    <comment ref="S202" authorId="12">
      <text>
        <r>
          <rPr>
            <b/>
            <sz val="8"/>
            <color indexed="81"/>
            <rFont val="Tahoma"/>
            <family val="2"/>
          </rPr>
          <t>turleamb:</t>
        </r>
        <r>
          <rPr>
            <sz val="8"/>
            <color indexed="81"/>
            <rFont val="Tahoma"/>
            <family val="2"/>
          </rPr>
          <t xml:space="preserve">
8/27/13: That 20% increase reflected unit growth across most jewelry categories and an increase in the average price per jewelry unit sold. Strongest comp growth was across Greater China. Management believes that expanding Tiffany's store presence in marketing, especially in China, increases brand awareness and stimulates local sales demand, but also is a catalyst to spending by Chinese customers when they travel to other regions.</t>
        </r>
      </text>
    </comment>
    <comment ref="W202" authorId="12">
      <text>
        <r>
          <rPr>
            <b/>
            <sz val="8"/>
            <color indexed="81"/>
            <rFont val="Tahoma"/>
            <family val="2"/>
          </rPr>
          <t>turleamb:</t>
        </r>
        <r>
          <rPr>
            <sz val="8"/>
            <color indexed="81"/>
            <rFont val="Tahoma"/>
            <family val="2"/>
          </rPr>
          <t xml:space="preserve">
impacted by weaker yen; strong growth in engagement and higher-end jewelry categories</t>
        </r>
      </text>
    </comment>
    <comment ref="Y202" authorId="12">
      <text>
        <r>
          <rPr>
            <b/>
            <sz val="8"/>
            <color indexed="81"/>
            <rFont val="Tahoma"/>
            <family val="2"/>
          </rPr>
          <t>turleamb:</t>
        </r>
        <r>
          <rPr>
            <sz val="8"/>
            <color indexed="81"/>
            <rFont val="Tahoma"/>
            <family val="2"/>
          </rPr>
          <t xml:space="preserve">
8/27/13: Implemented 2 separate price increases this year (early 2013 and again in 2Q) - have increased retail prices in Japan this year to address that weaker yen (drives the growth). overall unit decline in the quarter reflected declines in moderate priced fashion jewelry categories, it was partly offset by unit growth in engagement and higher-end jewelry.</t>
        </r>
      </text>
    </comment>
    <comment ref="AG202" authorId="12">
      <text>
        <r>
          <rPr>
            <b/>
            <sz val="8"/>
            <color indexed="81"/>
            <rFont val="Tahoma"/>
            <family val="2"/>
          </rPr>
          <t>turleamb:</t>
        </r>
        <r>
          <rPr>
            <sz val="8"/>
            <color indexed="81"/>
            <rFont val="Tahoma"/>
            <family val="2"/>
          </rPr>
          <t xml:space="preserve">
growth in UK and most of continental Europe</t>
        </r>
      </text>
    </comment>
    <comment ref="AI202" authorId="12">
      <text>
        <r>
          <rPr>
            <b/>
            <sz val="8"/>
            <color indexed="81"/>
            <rFont val="Tahoma"/>
            <family val="2"/>
          </rPr>
          <t>turleamb:</t>
        </r>
        <r>
          <rPr>
            <sz val="8"/>
            <color indexed="81"/>
            <rFont val="Tahoma"/>
            <family val="2"/>
          </rPr>
          <t xml:space="preserve">
8/27/13: growth from higher avg price and increase in units sold in most jewelry categories. Like for like sales accelerated in UK and exceeded modest comp more modest comp growth in Continental Europe. Sales to local European customers were up in the quarter.</t>
        </r>
      </text>
    </comment>
    <comment ref="AS202" authorId="0">
      <text>
        <r>
          <rPr>
            <b/>
            <sz val="8"/>
            <color indexed="81"/>
            <rFont val="Tahoma"/>
            <family val="2"/>
          </rPr>
          <t>turleamb:</t>
        </r>
        <r>
          <rPr>
            <sz val="8"/>
            <color indexed="81"/>
            <rFont val="Tahoma"/>
            <family val="2"/>
          </rPr>
          <t xml:space="preserve">
reflects conversion of 5 TIF stores in UAE from independently owned to company owned</t>
        </r>
        <r>
          <rPr>
            <b/>
            <sz val="8"/>
            <color indexed="81"/>
            <rFont val="Tahoma"/>
            <family val="2"/>
          </rPr>
          <t xml:space="preserve">
P Kahng:</t>
        </r>
        <r>
          <rPr>
            <sz val="8"/>
            <color indexed="81"/>
            <rFont val="Tahoma"/>
            <family val="2"/>
          </rPr>
          <t xml:space="preserve">
7/6/12: was -15%
Was -10%</t>
        </r>
      </text>
    </comment>
    <comment ref="G203" authorId="12">
      <text>
        <r>
          <rPr>
            <b/>
            <sz val="8"/>
            <color indexed="81"/>
            <rFont val="Tahoma"/>
            <family val="2"/>
          </rPr>
          <t>turleamb:</t>
        </r>
        <r>
          <rPr>
            <sz val="8"/>
            <color indexed="81"/>
            <rFont val="Tahoma"/>
            <family val="2"/>
          </rPr>
          <t xml:space="preserve">
+5% CC
+AUR, slight increase in units
growth due to
growth in Tiffany`s New York flagship store sales 
The New York flagship store posted a solid increase, primarily resulting from higher sales to foreign tourists from China and Europe, but also with modest growth in domestic spending. However, brand store sales were mixed by market. In the US, there was softness along much of the East Coast, strength along the West Coast and there were substantial sales declines in Hawaii and Guam due to lower
Japanese tourist sales, likely tied to the weaker yen. Elsewhere in the region, results were mixed in Canada, Mexico and Brazil. Increase due to higher avg price per units sold and small increase in units. Mostly due to increase in fine jewelry and to a smaller extent, fashion jewelry. </t>
        </r>
      </text>
    </comment>
    <comment ref="Q203" authorId="12">
      <text>
        <r>
          <rPr>
            <b/>
            <sz val="8"/>
            <color indexed="81"/>
            <rFont val="Tahoma"/>
            <family val="2"/>
          </rPr>
          <t>turleamb:</t>
        </r>
        <r>
          <rPr>
            <sz val="8"/>
            <color indexed="81"/>
            <rFont val="Tahoma"/>
            <family val="2"/>
          </rPr>
          <t xml:space="preserve">
China and most other markets +DD
Increase due to higher avg price per unit sold and units sold (contributing equally)</t>
        </r>
      </text>
    </comment>
    <comment ref="R203" authorId="12">
      <text>
        <r>
          <rPr>
            <b/>
            <sz val="8"/>
            <color indexed="81"/>
            <rFont val="Tahoma"/>
            <family val="2"/>
          </rPr>
          <t>turleamb:</t>
        </r>
        <r>
          <rPr>
            <sz val="8"/>
            <color indexed="81"/>
            <rFont val="Tahoma"/>
            <family val="2"/>
          </rPr>
          <t xml:space="preserve">
29% CC</t>
        </r>
      </text>
    </comment>
    <comment ref="S203" authorId="12">
      <text>
        <r>
          <rPr>
            <b/>
            <sz val="9"/>
            <color indexed="81"/>
            <rFont val="Tahoma"/>
            <family val="2"/>
          </rPr>
          <t>turleamb:</t>
        </r>
        <r>
          <rPr>
            <sz val="9"/>
            <color indexed="81"/>
            <rFont val="Tahoma"/>
            <family val="2"/>
          </rPr>
          <t xml:space="preserve">
+AUR, +units</t>
        </r>
      </text>
    </comment>
    <comment ref="W203" authorId="12">
      <text>
        <r>
          <rPr>
            <b/>
            <sz val="8"/>
            <color indexed="81"/>
            <rFont val="Tahoma"/>
            <family val="2"/>
          </rPr>
          <t>turleamb:</t>
        </r>
        <r>
          <rPr>
            <sz val="8"/>
            <color indexed="81"/>
            <rFont val="Tahoma"/>
            <family val="2"/>
          </rPr>
          <t xml:space="preserve">
+9% CC due to increased avg price per unit sold and unit growth in most categories but due to weak Yen translated into -13%. May benefiting from decline in Japanese tourism in US which may boost local sales</t>
        </r>
      </text>
    </comment>
    <comment ref="X203" authorId="12">
      <text>
        <r>
          <rPr>
            <b/>
            <sz val="8"/>
            <color indexed="81"/>
            <rFont val="Tahoma"/>
            <family val="2"/>
          </rPr>
          <t>turleamb:</t>
        </r>
        <r>
          <rPr>
            <sz val="8"/>
            <color indexed="81"/>
            <rFont val="Tahoma"/>
            <family val="2"/>
          </rPr>
          <t xml:space="preserve">
11/26/13: +9% CC
negative translation effect from a substantially weaker yen versus the U.S.
dollar caused total sales to decline </t>
        </r>
      </text>
    </comment>
    <comment ref="Y203" authorId="12">
      <text>
        <r>
          <rPr>
            <b/>
            <sz val="9"/>
            <color indexed="81"/>
            <rFont val="Tahoma"/>
            <family val="2"/>
          </rPr>
          <t>turleamb:</t>
        </r>
        <r>
          <rPr>
            <sz val="9"/>
            <color indexed="81"/>
            <rFont val="Tahoma"/>
            <family val="2"/>
          </rPr>
          <t xml:space="preserve">
+AUR</t>
        </r>
      </text>
    </comment>
    <comment ref="AG203" authorId="12">
      <text>
        <r>
          <rPr>
            <b/>
            <sz val="8"/>
            <color indexed="81"/>
            <rFont val="Tahoma"/>
            <family val="2"/>
          </rPr>
          <t>turleamb:</t>
        </r>
        <r>
          <rPr>
            <sz val="8"/>
            <color indexed="81"/>
            <rFont val="Tahoma"/>
            <family val="2"/>
          </rPr>
          <t xml:space="preserve">
Increase due to increase in avg price per unit sold and number of units sold. Results below expectation. Sales growth led by UK and more than offset weakness in continental Europe. </t>
        </r>
      </text>
    </comment>
    <comment ref="AH203" authorId="12">
      <text>
        <r>
          <rPr>
            <b/>
            <sz val="8"/>
            <color indexed="81"/>
            <rFont val="Tahoma"/>
            <family val="2"/>
          </rPr>
          <t>turleamb:</t>
        </r>
        <r>
          <rPr>
            <sz val="8"/>
            <color indexed="81"/>
            <rFont val="Tahoma"/>
            <family val="2"/>
          </rPr>
          <t xml:space="preserve">
11/26/13: +4% CC led by sales growth in the UK</t>
        </r>
      </text>
    </comment>
    <comment ref="AI203" authorId="12">
      <text>
        <r>
          <rPr>
            <b/>
            <sz val="9"/>
            <color indexed="81"/>
            <rFont val="Tahoma"/>
            <family val="2"/>
          </rPr>
          <t>turleamb:</t>
        </r>
        <r>
          <rPr>
            <sz val="9"/>
            <color indexed="81"/>
            <rFont val="Tahoma"/>
            <family val="2"/>
          </rPr>
          <t xml:space="preserve">
+AUR, +units</t>
        </r>
      </text>
    </comment>
    <comment ref="AS203" authorId="12">
      <text>
        <r>
          <rPr>
            <b/>
            <sz val="8"/>
            <color indexed="81"/>
            <rFont val="Tahoma"/>
            <family val="2"/>
          </rPr>
          <t>turleamb:</t>
        </r>
        <r>
          <rPr>
            <sz val="8"/>
            <color indexed="81"/>
            <rFont val="Tahoma"/>
            <family val="2"/>
          </rPr>
          <t xml:space="preserve">
+14% CC, comps =1%
growth largely due to an increase in wholesale sales of diamonds that we acquire and that
subsequently fail to meet our quality requirements.</t>
        </r>
      </text>
    </comment>
    <comment ref="E204" authorId="12">
      <text>
        <r>
          <rPr>
            <b/>
            <sz val="8"/>
            <color indexed="81"/>
            <rFont val="Tahoma"/>
            <family val="2"/>
          </rPr>
          <t>turleamb:</t>
        </r>
        <r>
          <rPr>
            <sz val="8"/>
            <color indexed="81"/>
            <rFont val="Tahoma"/>
            <family val="2"/>
          </rPr>
          <t xml:space="preserve">
3/21/14: driven by increase in avg price per jewelry unit sold. A decline in jewelry unit volume was limited to fashion jewelry category which occurred mostly at price points under $500
1/10: holiday sales +6% to $550m; broad based growth across the region. Americas stronger than expected, much due to selling initiatives taken by regional management focusing on 25 largest stores to better engage customers</t>
        </r>
      </text>
    </comment>
    <comment ref="F204" authorId="12">
      <text>
        <r>
          <rPr>
            <b/>
            <sz val="9"/>
            <color indexed="81"/>
            <rFont val="Tahoma"/>
            <family val="2"/>
          </rPr>
          <t>turleamb:</t>
        </r>
        <r>
          <rPr>
            <sz val="9"/>
            <color indexed="81"/>
            <rFont val="Tahoma"/>
            <family val="2"/>
          </rPr>
          <t xml:space="preserve">
+7% CC</t>
        </r>
      </text>
    </comment>
    <comment ref="G204" authorId="12">
      <text>
        <r>
          <rPr>
            <b/>
            <sz val="8"/>
            <color indexed="81"/>
            <rFont val="Tahoma"/>
            <family val="2"/>
          </rPr>
          <t>turleamb:</t>
        </r>
        <r>
          <rPr>
            <sz val="8"/>
            <color indexed="81"/>
            <rFont val="Tahoma"/>
            <family val="2"/>
          </rPr>
          <t xml:space="preserve">
3/21/14: "growth in most markets"
holiday comp +7%
</t>
        </r>
      </text>
    </comment>
    <comment ref="Q204" authorId="12">
      <text>
        <r>
          <rPr>
            <b/>
            <sz val="8"/>
            <color indexed="81"/>
            <rFont val="Tahoma"/>
            <family val="2"/>
          </rPr>
          <t>turleamb:</t>
        </r>
        <r>
          <rPr>
            <sz val="8"/>
            <color indexed="81"/>
            <rFont val="Tahoma"/>
            <family val="2"/>
          </rPr>
          <t xml:space="preserve">
3/21/14: sales increased due to jewelry unit volume. 
LY Jan accounted for 26% of Asia Sales vs. TY 29%, the early Chinese New Year could have accounted for the 3% differential ($7.5m difference). 
1/10/14: holiday sales +5% to $196m (+8% constant F/X)</t>
        </r>
      </text>
    </comment>
    <comment ref="R204" authorId="12">
      <text>
        <r>
          <rPr>
            <b/>
            <sz val="9"/>
            <color indexed="81"/>
            <rFont val="Tahoma"/>
            <family val="2"/>
          </rPr>
          <t>turleamb:</t>
        </r>
        <r>
          <rPr>
            <sz val="9"/>
            <color indexed="81"/>
            <rFont val="Tahoma"/>
            <family val="2"/>
          </rPr>
          <t xml:space="preserve">
3/21/14: +11% CC -growth in most countries; sales substantially better than holiday indicating substantial improvements in Jan that reflected strong growth throughout the region and possibly reflecting celebration of earlier Chinese New Year
holiday sales +5%</t>
        </r>
      </text>
    </comment>
    <comment ref="S204" authorId="12">
      <text>
        <r>
          <rPr>
            <b/>
            <sz val="8"/>
            <color indexed="81"/>
            <rFont val="Tahoma"/>
            <family val="2"/>
          </rPr>
          <t>turleamb:</t>
        </r>
        <r>
          <rPr>
            <sz val="8"/>
            <color indexed="81"/>
            <rFont val="Tahoma"/>
            <family val="2"/>
          </rPr>
          <t xml:space="preserve">
3/21/14: grew due to growth in Greater China and most other markets
1/10/14: holiday comp flat; Greater China sales were offset by declines in other markets</t>
        </r>
      </text>
    </comment>
    <comment ref="W204" authorId="12">
      <text>
        <r>
          <rPr>
            <b/>
            <sz val="8"/>
            <color indexed="81"/>
            <rFont val="Tahoma"/>
            <family val="2"/>
          </rPr>
          <t>turleamb:</t>
        </r>
        <r>
          <rPr>
            <sz val="8"/>
            <color indexed="81"/>
            <rFont val="Tahoma"/>
            <family val="2"/>
          </rPr>
          <t xml:space="preserve">
1/10/14: holiday sales declined 12% to $135m due to F/X (weaker yen vs. the US$), On a constant F/X basis +9%</t>
        </r>
      </text>
    </comment>
    <comment ref="X204" authorId="12">
      <text>
        <r>
          <rPr>
            <b/>
            <sz val="9"/>
            <color indexed="81"/>
            <rFont val="Tahoma"/>
            <family val="2"/>
          </rPr>
          <t>turleamb:</t>
        </r>
        <r>
          <rPr>
            <sz val="9"/>
            <color indexed="81"/>
            <rFont val="Tahoma"/>
            <family val="2"/>
          </rPr>
          <t xml:space="preserve">
3/21/14: +8% CC - rose in CC due to increased ASP with some declines in unit volume sold. </t>
        </r>
      </text>
    </comment>
    <comment ref="Y204" authorId="12">
      <text>
        <r>
          <rPr>
            <b/>
            <sz val="8"/>
            <color indexed="81"/>
            <rFont val="Tahoma"/>
            <family val="2"/>
          </rPr>
          <t>turleamb:</t>
        </r>
        <r>
          <rPr>
            <sz val="8"/>
            <color indexed="81"/>
            <rFont val="Tahoma"/>
            <family val="2"/>
          </rPr>
          <t xml:space="preserve">
1/10/14: holiday comp +10%</t>
        </r>
      </text>
    </comment>
    <comment ref="AG204" authorId="12">
      <text>
        <r>
          <rPr>
            <b/>
            <sz val="8"/>
            <color indexed="81"/>
            <rFont val="Tahoma"/>
            <family val="2"/>
          </rPr>
          <t>turleamb:</t>
        </r>
        <r>
          <rPr>
            <sz val="8"/>
            <color indexed="81"/>
            <rFont val="Tahoma"/>
            <family val="2"/>
          </rPr>
          <t xml:space="preserve">
1/10/14: holiday sales +11% to $131m, on a constant F/X basis +8% due to increased sales in the UK and most of continental Europe</t>
        </r>
      </text>
    </comment>
    <comment ref="AH204" authorId="12">
      <text>
        <r>
          <rPr>
            <b/>
            <sz val="9"/>
            <color indexed="81"/>
            <rFont val="Tahoma"/>
            <family val="2"/>
          </rPr>
          <t>turleamb:</t>
        </r>
        <r>
          <rPr>
            <sz val="9"/>
            <color indexed="81"/>
            <rFont val="Tahoma"/>
            <family val="2"/>
          </rPr>
          <t xml:space="preserve">
3/21/14: +7% CC; expanded brand awareness and underpenetration in region helped TIF achieve healthy performance. Sales fueled by increased jewelry unit volume and ASP</t>
        </r>
      </text>
    </comment>
    <comment ref="AI204" authorId="12">
      <text>
        <r>
          <rPr>
            <b/>
            <sz val="8"/>
            <color indexed="81"/>
            <rFont val="Tahoma"/>
            <family val="2"/>
          </rPr>
          <t>turleamb:</t>
        </r>
        <r>
          <rPr>
            <sz val="8"/>
            <color indexed="81"/>
            <rFont val="Tahoma"/>
            <family val="2"/>
          </rPr>
          <t xml:space="preserve">
3/21/14: growth in most countries
1/10/14: holiday comp +3%; increased sales in UK and most of continental Europe</t>
        </r>
      </text>
    </comment>
    <comment ref="AR204" authorId="12">
      <text>
        <r>
          <rPr>
            <b/>
            <sz val="8"/>
            <color indexed="81"/>
            <rFont val="Tahoma"/>
            <family val="2"/>
          </rPr>
          <t>turleamb:</t>
        </r>
        <r>
          <rPr>
            <sz val="8"/>
            <color indexed="81"/>
            <rFont val="Tahoma"/>
            <family val="2"/>
          </rPr>
          <t xml:space="preserve">
3/21/14: Other sales partly due to 5 stores in the UAW which were converted from independent to company owned as well as wholesale sales of diamonds
1/10/14: holiday sales +22% to $21m, on a constant F/X basis +16%</t>
        </r>
      </text>
    </comment>
    <comment ref="AS204" authorId="12">
      <text>
        <r>
          <rPr>
            <b/>
            <sz val="8"/>
            <color indexed="81"/>
            <rFont val="Tahoma"/>
            <family val="2"/>
          </rPr>
          <t>turleamb:</t>
        </r>
        <r>
          <rPr>
            <sz val="8"/>
            <color indexed="81"/>
            <rFont val="Tahoma"/>
            <family val="2"/>
          </rPr>
          <t xml:space="preserve">
1/10/14: holiday sales +16%</t>
        </r>
      </text>
    </comment>
    <comment ref="E205" authorId="12">
      <text>
        <r>
          <rPr>
            <b/>
            <sz val="9"/>
            <color indexed="81"/>
            <rFont val="Tahoma"/>
            <family val="2"/>
          </rPr>
          <t>turleamb:</t>
        </r>
        <r>
          <rPr>
            <sz val="9"/>
            <color indexed="81"/>
            <rFont val="Tahoma"/>
            <family val="2"/>
          </rPr>
          <t xml:space="preserve">
10-K: 5% growth driven by increase in average price per unit partly offset by fewer units sold
3/21/14: price and volume dynamics similar to 4Q. NY flagship outpaced modest growth in branch stores. Three largest branch stores by volume were South Coast Plaza, Union Square in SF and Michigan Ave in Chicago. NY flagship represented 8% worldwide sales (16% americas) sales to foreign tourists accounted for 45% of that stores sales - increase in spending came from Chinese visitors and higher spending by European visitors while the decline in Japanese tourist spending in NY likely reflected Yen's weakness</t>
        </r>
      </text>
    </comment>
    <comment ref="F205" authorId="12">
      <text>
        <r>
          <rPr>
            <b/>
            <sz val="9"/>
            <color indexed="81"/>
            <rFont val="Tahoma"/>
            <family val="2"/>
          </rPr>
          <t>turleamb:</t>
        </r>
        <r>
          <rPr>
            <sz val="9"/>
            <color indexed="81"/>
            <rFont val="Tahoma"/>
            <family val="2"/>
          </rPr>
          <t xml:space="preserve">
+5% CC
11/19/14 correspondance: In 2013, total sales in the Americas increased $86,895,000, or 5%, primarily due to a 10% increase in the average price per jewelry unit sold
partly offset by a 4% decrease in jewelry units sold. Management attributes the increase in average price primarily to a shift in sales mix toward
higher-priced products and the decrease in jewelry units sold to lower fashion jewelry unit sales. Included in the $86,895,000 increase is a
$43,393,000, or 3%, increase in comparable store sales, led by growth in New York Flagship store sales as well as modest growth in branch store
sales, and a $46,563,000 increase in non-comparable store sales. On a constant-exchange-rate basis, sales in the Americas increased 5%, and
comparable store sales increased 3%.</t>
        </r>
      </text>
    </comment>
    <comment ref="G205" authorId="12">
      <text>
        <r>
          <rPr>
            <b/>
            <sz val="8"/>
            <color indexed="81"/>
            <rFont val="Tahoma"/>
            <family val="2"/>
          </rPr>
          <t xml:space="preserve">turleamb:
</t>
        </r>
        <r>
          <rPr>
            <sz val="8"/>
            <color indexed="81"/>
            <rFont val="Tahoma"/>
            <family val="2"/>
          </rPr>
          <t>Correspondance 11/19/14: In 2013, total sales in the Americas increased $86,895,000, or 5%, primarily due to a 10% increase in the average price per jewelry unit sold
partly offset by a 4% decrease in jewelry units sold. Management attributes the increase in average price primarily to a shift in sales mix toward
higher-priced products and the decrease in jewelry units sold to lower fashion jewelry unit sales. Included in the $86,895,000 increase is a
$43,393,000, or 3%, increase in comparable store sales, led by growth in New York Flagship store sales as well as modest growth in branch store
sales, and a $46,563,000 increase in non-comparable store sales. On a constant-exchange-rate basis, sales in the Americas increased 5%, and
comparable store sales increased 3%.
3/21/14: growth led by NY flagship and modest growth in branch stores; increased due to +AUR partly offset by -units sold
11/26/13: expect +MSD</t>
        </r>
      </text>
    </comment>
    <comment ref="I205" authorId="12">
      <text>
        <r>
          <rPr>
            <b/>
            <sz val="9"/>
            <color indexed="81"/>
            <rFont val="Tahoma"/>
            <family val="2"/>
          </rPr>
          <t>turleamb:</t>
        </r>
        <r>
          <rPr>
            <sz val="9"/>
            <color indexed="81"/>
            <rFont val="Tahoma"/>
            <family val="2"/>
          </rPr>
          <t xml:space="preserve">
10-k:  the ratio increased 0.6 percentage point resulting from an improvement in gross margin as well as sales leveraging of operating expenses</t>
        </r>
      </text>
    </comment>
    <comment ref="Q205" authorId="12">
      <text>
        <r>
          <rPr>
            <b/>
            <sz val="9"/>
            <color indexed="81"/>
            <rFont val="Tahoma"/>
            <family val="2"/>
          </rPr>
          <t>turleamb:</t>
        </r>
        <r>
          <rPr>
            <sz val="9"/>
            <color indexed="81"/>
            <rFont val="Tahoma"/>
            <family val="2"/>
          </rPr>
          <t xml:space="preserve">
3/21/14: sales rose due to increases in jewelry unit volume and ASP</t>
        </r>
      </text>
    </comment>
    <comment ref="R205" authorId="16">
      <text>
        <r>
          <rPr>
            <b/>
            <sz val="8"/>
            <color indexed="81"/>
            <rFont val="Tahoma"/>
            <family val="2"/>
          </rPr>
          <t>casselau:</t>
        </r>
        <r>
          <rPr>
            <sz val="8"/>
            <color indexed="81"/>
            <rFont val="Tahoma"/>
            <family val="2"/>
          </rPr>
          <t xml:space="preserve">
3/21/14: +18% CC - growth in all countries
Prior guidnace: on a constant exchange basis, +mid-teens sales growth</t>
        </r>
      </text>
    </comment>
    <comment ref="S205" authorId="12">
      <text>
        <r>
          <rPr>
            <b/>
            <sz val="8"/>
            <color indexed="81"/>
            <rFont val="Tahoma"/>
            <family val="2"/>
          </rPr>
          <t>turleamb:</t>
        </r>
        <r>
          <rPr>
            <sz val="8"/>
            <color indexed="81"/>
            <rFont val="Tahoma"/>
            <family val="2"/>
          </rPr>
          <t xml:space="preserve">
11/26/13: expect in CC +LDD; +units sold and +AUR</t>
        </r>
      </text>
    </comment>
    <comment ref="W205" authorId="12">
      <text>
        <r>
          <rPr>
            <b/>
            <sz val="9"/>
            <color indexed="81"/>
            <rFont val="Tahoma"/>
            <family val="2"/>
          </rPr>
          <t>turleamb:</t>
        </r>
        <r>
          <rPr>
            <sz val="9"/>
            <color indexed="81"/>
            <rFont val="Tahoma"/>
            <family val="2"/>
          </rPr>
          <t xml:space="preserve">
on CC basis growth due to increase in avg price per unit partly offset by decrease in units sold</t>
        </r>
      </text>
    </comment>
    <comment ref="X205" authorId="16">
      <text>
        <r>
          <rPr>
            <b/>
            <sz val="8"/>
            <color indexed="81"/>
            <rFont val="Tahoma"/>
            <family val="2"/>
          </rPr>
          <t>casselau:</t>
        </r>
        <r>
          <rPr>
            <sz val="8"/>
            <color indexed="81"/>
            <rFont val="Tahoma"/>
            <family val="2"/>
          </rPr>
          <t xml:space="preserve">
3/21/14: +11% CC - rose in CC due to higher ASP with some declines in jewelry units sold (note this is likely due to price increases taken in 1H13)
prior guidance:
on a constant exchange basis, +LSD sales growth </t>
        </r>
      </text>
    </comment>
    <comment ref="Y205" authorId="12">
      <text>
        <r>
          <rPr>
            <b/>
            <sz val="8"/>
            <color indexed="81"/>
            <rFont val="Tahoma"/>
            <family val="2"/>
          </rPr>
          <t>turleamb:</t>
        </r>
        <r>
          <rPr>
            <sz val="8"/>
            <color indexed="81"/>
            <rFont val="Tahoma"/>
            <family val="2"/>
          </rPr>
          <t xml:space="preserve">
11/26/13: expect in CC +LDD; +AUR partly offset by -units sold</t>
        </r>
      </text>
    </comment>
    <comment ref="AG205" authorId="12">
      <text>
        <r>
          <rPr>
            <b/>
            <sz val="9"/>
            <color indexed="81"/>
            <rFont val="Tahoma"/>
            <family val="2"/>
          </rPr>
          <t>turleamb:</t>
        </r>
        <r>
          <rPr>
            <sz val="9"/>
            <color indexed="81"/>
            <rFont val="Tahoma"/>
            <family val="2"/>
          </rPr>
          <t xml:space="preserve">
10-K:Growth due to increase in units sold and in the avg price per unit. 
3/21/14: UK represented a little more than 40% of European sales and highest volume store in Europe is on Old Bond Street; Foreign tourist sales more than 25% of sales with store in France having the highest % of sales to foreign tourists with Chinese shoppers accounting for a significant portion</t>
        </r>
      </text>
    </comment>
    <comment ref="AH205" authorId="12">
      <text>
        <r>
          <rPr>
            <b/>
            <sz val="9"/>
            <color indexed="81"/>
            <rFont val="Tahoma"/>
            <family val="2"/>
          </rPr>
          <t>turleamb:</t>
        </r>
        <r>
          <rPr>
            <sz val="9"/>
            <color indexed="81"/>
            <rFont val="Tahoma"/>
            <family val="2"/>
          </rPr>
          <t xml:space="preserve">
3/21/14: +7% CC</t>
        </r>
      </text>
    </comment>
    <comment ref="AI205" authorId="12">
      <text>
        <r>
          <rPr>
            <b/>
            <sz val="8"/>
            <color indexed="81"/>
            <rFont val="Tahoma"/>
            <family val="2"/>
          </rPr>
          <t>turleamb:</t>
        </r>
        <r>
          <rPr>
            <sz val="8"/>
            <color indexed="81"/>
            <rFont val="Tahoma"/>
            <family val="2"/>
          </rPr>
          <t xml:space="preserve">
11/26/13: expect in CC +MSD; +units sold and +AUR</t>
        </r>
      </text>
    </comment>
    <comment ref="F208" authorId="12">
      <text>
        <r>
          <rPr>
            <b/>
            <sz val="9"/>
            <color indexed="81"/>
            <rFont val="Tahoma"/>
            <family val="2"/>
          </rPr>
          <t>turleamb:</t>
        </r>
        <r>
          <rPr>
            <sz val="9"/>
            <color indexed="81"/>
            <rFont val="Tahoma"/>
            <family val="2"/>
          </rPr>
          <t xml:space="preserve">
+9% CC - rose due to geographically broad-based growth across the US
Total sales in the Americas increased $30,991,000 , or 8% , due to an increase in the average price per jewelry unit sold. In addition, a modest unit decline in fashion jewelry was largely offset by growth in all other jewelry categories</t>
        </r>
      </text>
    </comment>
    <comment ref="G208" authorId="12">
      <text>
        <r>
          <rPr>
            <b/>
            <sz val="9"/>
            <color indexed="81"/>
            <rFont val="Tahoma"/>
            <family val="2"/>
          </rPr>
          <t>turleamb:</t>
        </r>
        <r>
          <rPr>
            <sz val="9"/>
            <color indexed="81"/>
            <rFont val="Tahoma"/>
            <family val="2"/>
          </rPr>
          <t xml:space="preserve">
5/20/14: increase due to increase in avg. price jewelry unit sold. About same units sold as last year. Healthy unit growth in fine solitaire and statements jewelry and engagement jewelry categories and improving trends in fashion jewelry. 
Sales growth in flagsihp and branches saw growth among both domestic and tourist customers. Good valentines day results despite snowstorms. Canada was weaker but Latin America stronger. </t>
        </r>
      </text>
    </comment>
    <comment ref="R208" authorId="12">
      <text>
        <r>
          <rPr>
            <b/>
            <sz val="9"/>
            <color indexed="81"/>
            <rFont val="Tahoma"/>
            <family val="2"/>
          </rPr>
          <t>turleamb:</t>
        </r>
        <r>
          <rPr>
            <sz val="9"/>
            <color indexed="81"/>
            <rFont val="Tahoma"/>
            <family val="2"/>
          </rPr>
          <t xml:space="preserve">
+19% CC with noteworthy growth throughout Greater China and in Australia</t>
        </r>
      </text>
    </comment>
    <comment ref="S208" authorId="12">
      <text>
        <r>
          <rPr>
            <b/>
            <sz val="9"/>
            <color indexed="81"/>
            <rFont val="Tahoma"/>
            <family val="2"/>
          </rPr>
          <t>turleamb:</t>
        </r>
        <r>
          <rPr>
            <sz val="9"/>
            <color indexed="81"/>
            <rFont val="Tahoma"/>
            <family val="2"/>
          </rPr>
          <t xml:space="preserve">
5/20/14: grew primarily due to increased units sold
**my notes : assumed 7% comp then adjusted downward to account for early Chinese New Year which shifted in Jan this year (4Q13 accounting for 3% or ~$7.5m sales)--&gt; gets us to 4% comp. Then assume 1% addition from 1Q price increases</t>
        </r>
      </text>
    </comment>
    <comment ref="X208" authorId="12">
      <text>
        <r>
          <rPr>
            <b/>
            <sz val="9"/>
            <color indexed="81"/>
            <rFont val="Tahoma"/>
            <family val="2"/>
          </rPr>
          <t>turleamb:</t>
        </r>
        <r>
          <rPr>
            <sz val="9"/>
            <color indexed="81"/>
            <rFont val="Tahoma"/>
            <family val="2"/>
          </rPr>
          <t xml:space="preserve">
+29% CC
Strong demand in March reflects demand pull forward from April consumption tax hike. Since the tax increase the company expereinced sales declines but mgmt still expects healthy rate of sales growth FY</t>
        </r>
      </text>
    </comment>
    <comment ref="Y208" authorId="12">
      <text>
        <r>
          <rPr>
            <b/>
            <sz val="9"/>
            <color indexed="81"/>
            <rFont val="Tahoma"/>
            <family val="2"/>
          </rPr>
          <t>turleamb:</t>
        </r>
        <r>
          <rPr>
            <sz val="9"/>
            <color indexed="81"/>
            <rFont val="Tahoma"/>
            <family val="2"/>
          </rPr>
          <t xml:space="preserve">
assume some pull forward of demand from Japan tax hike April 1st
5/20/14: growth from both units sold and avg price per unit sold. 
5/20/14: ***my notes: if we assume the underlying comp is about +8% then comp sales ~$156m but with Japan demand pull forward comp sales were ~$188m suggesting $32m pull forward and ~$14m F/X impact. </t>
        </r>
      </text>
    </comment>
    <comment ref="AH208" authorId="12">
      <text>
        <r>
          <rPr>
            <b/>
            <sz val="9"/>
            <color indexed="81"/>
            <rFont val="Tahoma"/>
            <family val="2"/>
          </rPr>
          <t>turleamb:</t>
        </r>
        <r>
          <rPr>
            <sz val="9"/>
            <color indexed="81"/>
            <rFont val="Tahoma"/>
            <family val="2"/>
          </rPr>
          <t xml:space="preserve">
+2% CC. Trends similar in the UK and Continental Europe
rose on higher units sold
-estimate that foreign tourist spending is ~25% of Europe sales</t>
        </r>
      </text>
    </comment>
    <comment ref="AS208" authorId="12">
      <text>
        <r>
          <rPr>
            <b/>
            <sz val="9"/>
            <color indexed="81"/>
            <rFont val="Tahoma"/>
            <family val="2"/>
          </rPr>
          <t>turleamb:</t>
        </r>
        <r>
          <rPr>
            <sz val="9"/>
            <color indexed="81"/>
            <rFont val="Tahoma"/>
            <family val="2"/>
          </rPr>
          <t xml:space="preserve">
growth primarily due to retail sales growth including 18% comp in UAE and opening of the 1st TIF store in Russia. Also benefitted from increase in wholesale sales of diamonds. 
Assuming 12% of the 21% spread between comp and sales is from the Russia store that would equate to $3.2m. Assume somewhere between $2.5-4m was from Russia store</t>
        </r>
      </text>
    </comment>
    <comment ref="E209" authorId="17">
      <text>
        <r>
          <rPr>
            <b/>
            <sz val="9"/>
            <color indexed="81"/>
            <rFont val="Tahoma"/>
            <family val="2"/>
          </rPr>
          <t>Turley, Amber (Research):</t>
        </r>
        <r>
          <rPr>
            <sz val="9"/>
            <color indexed="81"/>
            <rFont val="Tahoma"/>
            <family val="2"/>
          </rPr>
          <t xml:space="preserve">
10-Q pg. 24: Total sales in the Americas increased $39,739,000, or 9%, in the second quarter due to an increase in the average price per jewelry unit sold. In addition, a modest decline in jewelry units was entirely due to fashion jewelry, primarily in silver jewelry at price points below $500, while all other jewelry categories increased.</t>
        </r>
      </text>
    </comment>
    <comment ref="F209" authorId="17">
      <text>
        <r>
          <rPr>
            <b/>
            <sz val="9"/>
            <color indexed="81"/>
            <rFont val="Tahoma"/>
            <family val="2"/>
          </rPr>
          <t>Turley, Amber (Research):</t>
        </r>
        <r>
          <rPr>
            <sz val="9"/>
            <color indexed="81"/>
            <rFont val="Tahoma"/>
            <family val="2"/>
          </rPr>
          <t xml:space="preserve">
8/27/14: primarily due to increase in avg price per unit. No growth in jewelry units. Healthy unit growth in statement, fine and solitaire, enagement and wedding bands. Fashion jewelry unit sales benefitting from strength in gold jewelry but continued softness in silver jewelry unit sales, especially entry price points under $500 was the reason for no growth in total jewelry units in the Americas. Benefitting from compelling marketing but also new in store selling initatives focused on better enagement with customers. Benefitting from foreign tourist spending that is likely tied to growing brand awareness globally and perhaps currency fluctuations. Geographically most markets posted healthy growth. Solid increase in NYC flagship store sales due to higher domestic customer demand and higher sales to foreign tourists especialyl from China and Europe. +HSd to +LDD growth in Canada, Mexico and brazil.</t>
        </r>
      </text>
    </comment>
    <comment ref="G209" authorId="17">
      <text>
        <r>
          <rPr>
            <b/>
            <sz val="9"/>
            <color indexed="81"/>
            <rFont val="Tahoma"/>
            <family val="2"/>
          </rPr>
          <t>Turley, Amber (Research):</t>
        </r>
        <r>
          <rPr>
            <sz val="9"/>
            <color indexed="81"/>
            <rFont val="Tahoma"/>
            <family val="2"/>
          </rPr>
          <t xml:space="preserve">
8/27/14: primarily due to increase in avg price per unit. No growth in jewelry units. Healthy unit growth in statement, fine and solitaire, enagement and wedding bands. Fashion jewelry unit sales benefitting from strength in gold jewelry but continued softness in silver jewelry unit sales, especially entry price points under $500 was the reason for no growth in total jewelry units in the Americas. Benefitting from compelling marketing but also new in store selling initatives focused on better enagement with customers. Benefitting from foreign tourist spending that is likely tied to growing brand awareness globally and perhaps currency fluctuations. Geographically most markets posted healthy growth. Solid increase in NYC flagship store sales due to higher domestic customer demand and higher sales to foreign tourists especialyl from China and Europe. +HSd to +LDD growth in Canada, Mexico and brazil.</t>
        </r>
      </text>
    </comment>
    <comment ref="I209" authorId="17">
      <text>
        <r>
          <rPr>
            <b/>
            <sz val="9"/>
            <color indexed="81"/>
            <rFont val="Tahoma"/>
            <family val="2"/>
          </rPr>
          <t>Turley, Amber (Research):</t>
        </r>
        <r>
          <rPr>
            <sz val="9"/>
            <color indexed="81"/>
            <rFont val="Tahoma"/>
            <family val="2"/>
          </rPr>
          <t xml:space="preserve">
2Q 10-Q pg. 27: Americas – the ratio increased 2.9 percentage points due to an improvement in gross margin and sales leverage of operating expenses, which partly benefited from a shift in marketing spending to later in the year</t>
        </r>
      </text>
    </comment>
    <comment ref="Q209" authorId="17">
      <text>
        <r>
          <rPr>
            <b/>
            <sz val="9"/>
            <color indexed="81"/>
            <rFont val="Tahoma"/>
            <family val="2"/>
          </rPr>
          <t>Turley, Amber (Research):</t>
        </r>
        <r>
          <rPr>
            <sz val="9"/>
            <color indexed="81"/>
            <rFont val="Tahoma"/>
            <family val="2"/>
          </rPr>
          <t xml:space="preserve">
10-Q pg. 25:  Total sales in Asia-Pacific increased $28,480,000, or 14%, in the second quarter primarily due to increases in the average price per jewelry unit sold and in the number of jewelry units sold. Comparable store sales increased $14,037,000, or 7% and non-comparable store sales grew $9,889,000. On a constant-exchange-rate basis, Asia-Pacific sales increased 13% and comparable store sales increased 7% primarily due to strong growth in Greater China and Australia</t>
        </r>
      </text>
    </comment>
    <comment ref="R209" authorId="17">
      <text>
        <r>
          <rPr>
            <b/>
            <sz val="9"/>
            <color indexed="81"/>
            <rFont val="Tahoma"/>
            <family val="2"/>
          </rPr>
          <t>Turley, Amber (Research):</t>
        </r>
        <r>
          <rPr>
            <sz val="9"/>
            <color indexed="81"/>
            <rFont val="Tahoma"/>
            <family val="2"/>
          </rPr>
          <t xml:space="preserve">
8/27/14: growth due to increase in avg price per unit sold and jewelry unit volume. Strength in greater China and Austrialia. </t>
        </r>
      </text>
    </comment>
    <comment ref="S209" authorId="17">
      <text>
        <r>
          <rPr>
            <b/>
            <sz val="9"/>
            <color indexed="81"/>
            <rFont val="Tahoma"/>
            <family val="2"/>
          </rPr>
          <t>Turley, Amber (Research):</t>
        </r>
        <r>
          <rPr>
            <sz val="9"/>
            <color indexed="81"/>
            <rFont val="Tahoma"/>
            <family val="2"/>
          </rPr>
          <t xml:space="preserve">
8/27/14: growth due to increase in avg price per unit sold and jewelry unit volume. Strength in greater China and Austrialia. </t>
        </r>
      </text>
    </comment>
    <comment ref="U209" authorId="17">
      <text>
        <r>
          <rPr>
            <b/>
            <sz val="9"/>
            <color indexed="81"/>
            <rFont val="Tahoma"/>
            <family val="2"/>
          </rPr>
          <t>Turley, Amber (Research):</t>
        </r>
        <r>
          <rPr>
            <sz val="9"/>
            <color indexed="81"/>
            <rFont val="Tahoma"/>
            <family val="2"/>
          </rPr>
          <t xml:space="preserve">
2Q 10-Q pg. 27: the ratio increased 3.8 percentage points due to an improvement in gross margin partly offset by increased store-related operating expenses and marketing spending</t>
        </r>
      </text>
    </comment>
    <comment ref="W209" authorId="17">
      <text>
        <r>
          <rPr>
            <b/>
            <sz val="9"/>
            <color indexed="81"/>
            <rFont val="Tahoma"/>
            <family val="2"/>
          </rPr>
          <t>Turley, Amber (Research):</t>
        </r>
        <r>
          <rPr>
            <sz val="9"/>
            <color indexed="81"/>
            <rFont val="Tahoma"/>
            <family val="2"/>
          </rPr>
          <t xml:space="preserve">
10-Q pg. 25: Total sales in Japan decreased $17,310,000, or 13%, in the second quarter and comparable store sales decreased $19,010,000, or 15%, primarily due to a decrease in the number of jewelry units sold in all categories. The decline reflected a softening of customer demand throughout the second quarter, after exceptionally strong 20% total sales growth in the first quarter, or 29% on a constant-exchange-rate basis, when customers had accelerated their purchases in anticipation of an increase in Japan’s consumption tax on April 1, 2014. On a constant-exchange-rate basis, Japan sales decreased 10% and comparable store sales decreased 13%.</t>
        </r>
      </text>
    </comment>
    <comment ref="X209" authorId="17">
      <text>
        <r>
          <rPr>
            <b/>
            <sz val="9"/>
            <color indexed="81"/>
            <rFont val="Tahoma"/>
            <family val="2"/>
          </rPr>
          <t>Turley, Amber (Research):</t>
        </r>
        <r>
          <rPr>
            <sz val="9"/>
            <color indexed="81"/>
            <rFont val="Tahoma"/>
            <family val="2"/>
          </rPr>
          <t xml:space="preserve">
8/27/14: -10% CC
decline due to lower unit volume; expereinced surge in spending in 1Q related to consumption tax hike on April 1. Following substantial declines in April TIF saw a decelerating rate of sales decline each month however return to monthly sales growth is taking longer than expected. </t>
        </r>
      </text>
    </comment>
    <comment ref="Y209" authorId="12">
      <text>
        <r>
          <rPr>
            <b/>
            <sz val="9"/>
            <color indexed="81"/>
            <rFont val="Tahoma"/>
            <family val="2"/>
          </rPr>
          <t>turleamb:</t>
        </r>
        <r>
          <rPr>
            <sz val="9"/>
            <color indexed="81"/>
            <rFont val="Tahoma"/>
            <family val="2"/>
          </rPr>
          <t xml:space="preserve">
8/27/14: decline due to lower unit volume; expereinced surge in spending in 1Q related to consumption tax hike on April 1. Following substantial declines in April TIF saw a decelerating rate of sales decline each month however return to monthly sales growth is taking longer than expected. 
5/20/14: guidance Uncertainty about the timing of sales improvement in Japan, as well as higher marketing spending, are expected to result in the second quarter`s net earnings approximately equal to the prior year.
5/20/14: **my notes: if we assume the 1Q underlying comp is about +8% then comp sales ~$156m but with Japan demand pull forward comp sales were ~$188m suggesting $32m pull forward and ~$14m F/X impact from 1Q. For 2Q if we assume +8% comp underlying rate then comp sales would be ~$147m if we pull back the full $32m this gets us to $115m and we assume a 3% negative F/X imact gets us to ~$112m in sales and a -15% comp. </t>
        </r>
      </text>
    </comment>
    <comment ref="AA209" authorId="17">
      <text>
        <r>
          <rPr>
            <b/>
            <sz val="9"/>
            <color indexed="81"/>
            <rFont val="Tahoma"/>
            <family val="2"/>
          </rPr>
          <t>Turley, Amber (Research):</t>
        </r>
        <r>
          <rPr>
            <sz val="9"/>
            <color indexed="81"/>
            <rFont val="Tahoma"/>
            <family val="2"/>
          </rPr>
          <t xml:space="preserve">
2Q  10-Q  pg 27: the ratio decreased 2.5 percentage points due to decreased sales partly offset by an improvement in gross margin (which includes a benefit from the Company's ongoing program to utilize forward contracts for a portion of forecasted merchandise purchases)</t>
        </r>
      </text>
    </comment>
    <comment ref="AG209" authorId="17">
      <text>
        <r>
          <rPr>
            <b/>
            <sz val="9"/>
            <color indexed="81"/>
            <rFont val="Tahoma"/>
            <family val="2"/>
          </rPr>
          <t>Turley, Amber (Research):</t>
        </r>
        <r>
          <rPr>
            <sz val="9"/>
            <color indexed="81"/>
            <rFont val="Tahoma"/>
            <family val="2"/>
          </rPr>
          <t xml:space="preserve">
10-Q pg. 25: Total sales in Europe increased $8,786,000, or 8%, in the second quarter primarily due to the effect of currency translation and an increase in the number of jewelry units sold. Comparable store sales decreased $1,906,000, or 2%, and non-comparable store sales increased $8,716,000. On a constant-exchange-rate basis, sales in Europe increased 1% while comparable store sales decreased 8% due to declines in the United Kingdom ("U.K.") and in most of continental Europe.</t>
        </r>
      </text>
    </comment>
    <comment ref="AH209" authorId="17">
      <text>
        <r>
          <rPr>
            <b/>
            <sz val="9"/>
            <color indexed="81"/>
            <rFont val="Tahoma"/>
            <family val="2"/>
          </rPr>
          <t>Turley, Amber (Research):</t>
        </r>
        <r>
          <rPr>
            <sz val="9"/>
            <color indexed="81"/>
            <rFont val="Tahoma"/>
            <family val="2"/>
          </rPr>
          <t xml:space="preserve">
+1% CC; F/X had a +7% impact
8/27/14: higher unit volume offsetting lower avg price. Uks results weaker than continental Europe reflecting decline in tourist spending in London. Weakness in the UK and to some degree the continent could result fromt he strength of the British Pound and Euro which could entice Europeans to shop int he US and elsewhere. </t>
        </r>
      </text>
    </comment>
    <comment ref="AI209" authorId="17">
      <text>
        <r>
          <rPr>
            <b/>
            <sz val="9"/>
            <color indexed="81"/>
            <rFont val="Tahoma"/>
            <family val="2"/>
          </rPr>
          <t>Turley, Amber (Research):</t>
        </r>
        <r>
          <rPr>
            <sz val="9"/>
            <color indexed="81"/>
            <rFont val="Tahoma"/>
            <family val="2"/>
          </rPr>
          <t xml:space="preserve">
8/27/14: weak performance in UK and most of continental Europe. Softened more than expected</t>
        </r>
      </text>
    </comment>
    <comment ref="AK209" authorId="17">
      <text>
        <r>
          <rPr>
            <b/>
            <sz val="9"/>
            <color indexed="81"/>
            <rFont val="Tahoma"/>
            <family val="2"/>
          </rPr>
          <t>Turley, Amber (Research):</t>
        </r>
        <r>
          <rPr>
            <sz val="9"/>
            <color indexed="81"/>
            <rFont val="Tahoma"/>
            <family val="2"/>
          </rPr>
          <t xml:space="preserve">
2Q 10-Q pg. 27: the ratio increased 0.8 percentage point due to an improvement in gross margin largely offset by increased store-related operating expenses and marketing spending</t>
        </r>
      </text>
    </comment>
    <comment ref="AS209" authorId="17">
      <text>
        <r>
          <rPr>
            <b/>
            <sz val="9"/>
            <color indexed="81"/>
            <rFont val="Tahoma"/>
            <family val="2"/>
          </rPr>
          <t>Turley, Amber (Research):</t>
        </r>
        <r>
          <rPr>
            <sz val="9"/>
            <color indexed="81"/>
            <rFont val="Tahoma"/>
            <family val="2"/>
          </rPr>
          <t xml:space="preserve">
2% comp from UAE store. Emerging Markets (primarily first store opening in Russia) drove $3.738m incremental sales in 2Q and $9.686m sales in 1H. </t>
        </r>
      </text>
    </comment>
    <comment ref="AU209" authorId="17">
      <text>
        <r>
          <rPr>
            <b/>
            <sz val="9"/>
            <color indexed="81"/>
            <rFont val="Tahoma"/>
            <family val="2"/>
          </rPr>
          <t>Turley, Amber (Research):</t>
        </r>
        <r>
          <rPr>
            <sz val="9"/>
            <color indexed="81"/>
            <rFont val="Tahoma"/>
            <family val="2"/>
          </rPr>
          <t xml:space="preserve">
2Q 10-Q pg. 27:  the ratio increased 11.8 percentage points due to an improvement in gross margin from sales generated by retail operations in the Emerging Markets region and lower charges associated with the write-down of wholesale diamond inventory deemed not suitable for the Company's needs which were partly offset by increased store-related expenses.</t>
        </r>
      </text>
    </comment>
    <comment ref="G210" authorId="17">
      <text>
        <r>
          <rPr>
            <b/>
            <sz val="9"/>
            <color indexed="81"/>
            <rFont val="Tahoma"/>
            <family val="2"/>
          </rPr>
          <t>Turley, Amber (Research):</t>
        </r>
        <r>
          <rPr>
            <sz val="9"/>
            <color indexed="81"/>
            <rFont val="Tahoma"/>
            <family val="2"/>
          </rPr>
          <t xml:space="preserve">
+11% CC; grew due to overall increase in avg price per jewelry unit sold reflecting price increases taken in the Americas (and other regions) but also stronger demand for gold within fashion jewelry. Healthy unit growth in most categories but that was offset by continued unit decline at entry level price point silver jewelry. 
healthy growth rates in most markets of the US and sales growth in NY flagship benefited from increased local demand while foreign tourism was about equal to last year. </t>
        </r>
      </text>
    </comment>
    <comment ref="R210" authorId="17">
      <text>
        <r>
          <rPr>
            <b/>
            <sz val="9"/>
            <color indexed="81"/>
            <rFont val="Tahoma"/>
            <family val="2"/>
          </rPr>
          <t>Turley, Amber (Research):</t>
        </r>
        <r>
          <rPr>
            <sz val="9"/>
            <color indexed="81"/>
            <rFont val="Tahoma"/>
            <family val="2"/>
          </rPr>
          <t xml:space="preserve">
+2% CC; noteworthy sales growth in mainland China that was mostly offset by mixed performance across other markets. </t>
        </r>
      </text>
    </comment>
    <comment ref="S210" authorId="17">
      <text>
        <r>
          <rPr>
            <b/>
            <sz val="9"/>
            <color indexed="81"/>
            <rFont val="Tahoma"/>
            <family val="2"/>
          </rPr>
          <t>Turley, Amber (Research):</t>
        </r>
        <r>
          <rPr>
            <sz val="9"/>
            <color indexed="81"/>
            <rFont val="Tahoma"/>
            <family val="2"/>
          </rPr>
          <t xml:space="preserve">
We estimate HK is ~25% of Asia sales ($236m FY13)  (China 50+% and HK likely outsized - has 9 out oif China's 26 stores). MS Asia analyst estimates Golden Week = 2-4% FY revenue and Oct is 8-10% FY revenue. This would equate to $9.5m from Golden Week or $1.05m per store. 4 of HK 9 stores were in the protest path which could reflect ~$5m loss. We estimate $5-10m negative impact from Golden Week. 
The Hong Kong Retail Management Association sees a drop of 15-50% in retail sales for Golden Week, compared with the same period a year earlier. The sectors recording the largest declines: watches and jewelry, fashion and accessories.
MS Asia research est Oct represents 8-10% of FY sales and Golden Week 2-4% of FY sales (GW ~18% of 3Q). This would imply a $22-$43m Golden week across total Asia sales. </t>
        </r>
      </text>
    </comment>
    <comment ref="W210" authorId="17">
      <text>
        <r>
          <rPr>
            <b/>
            <sz val="9"/>
            <color indexed="81"/>
            <rFont val="Tahoma"/>
            <family val="2"/>
          </rPr>
          <t>Turley, Amber (Research):</t>
        </r>
        <r>
          <rPr>
            <sz val="9"/>
            <color indexed="81"/>
            <rFont val="Tahoma"/>
            <family val="2"/>
          </rPr>
          <t xml:space="preserve">
-5% CC</t>
        </r>
      </text>
    </comment>
    <comment ref="Y210" authorId="17">
      <text>
        <r>
          <rPr>
            <b/>
            <sz val="9"/>
            <color indexed="81"/>
            <rFont val="Tahoma"/>
            <family val="2"/>
          </rPr>
          <t>Turley, Amber (Research):</t>
        </r>
        <r>
          <rPr>
            <sz val="9"/>
            <color indexed="81"/>
            <rFont val="Tahoma"/>
            <family val="2"/>
          </rPr>
          <t xml:space="preserve">
11/25/14: Mgmt attributes soft dwemand to weaker economic conditions after a surge in consumer spending before an increase in japan's conumption tax ion April 1st. </t>
        </r>
      </text>
    </comment>
    <comment ref="AH210" authorId="17">
      <text>
        <r>
          <rPr>
            <b/>
            <sz val="9"/>
            <color indexed="81"/>
            <rFont val="Tahoma"/>
            <family val="2"/>
          </rPr>
          <t>Turley, Amber (Research):</t>
        </r>
        <r>
          <rPr>
            <sz val="9"/>
            <color indexed="81"/>
            <rFont val="Tahoma"/>
            <family val="2"/>
          </rPr>
          <t xml:space="preserve">
+10% CC</t>
        </r>
      </text>
    </comment>
    <comment ref="AI210" authorId="17">
      <text>
        <r>
          <rPr>
            <b/>
            <sz val="9"/>
            <color indexed="81"/>
            <rFont val="Tahoma"/>
            <family val="2"/>
          </rPr>
          <t>Turley, Amber (Research):</t>
        </r>
        <r>
          <rPr>
            <sz val="9"/>
            <color indexed="81"/>
            <rFont val="Tahoma"/>
            <family val="2"/>
          </rPr>
          <t xml:space="preserve">
11/25/14: Strength in Central Europe. </t>
        </r>
      </text>
    </comment>
    <comment ref="AS210" authorId="17">
      <text>
        <r>
          <rPr>
            <b/>
            <sz val="9"/>
            <color indexed="81"/>
            <rFont val="Tahoma"/>
            <family val="2"/>
          </rPr>
          <t>Turley, Amber (Research):</t>
        </r>
        <r>
          <rPr>
            <sz val="9"/>
            <color indexed="81"/>
            <rFont val="Tahoma"/>
            <family val="2"/>
          </rPr>
          <t xml:space="preserve">
11/25/14: Reflects comp growth of +35% and retail sales in Moscow (opened in February)
MS note: estimate Russia adds ~$2.5m incremental sales (~2/3 of 2Q due to worsening politics and lower volume Q). Assume ~$2.5m from other diamond wholesale (tyipcally $2-3m)</t>
        </r>
      </text>
    </comment>
    <comment ref="E211" authorId="17">
      <text>
        <r>
          <rPr>
            <b/>
            <sz val="9"/>
            <color indexed="81"/>
            <rFont val="Tahoma"/>
            <family val="2"/>
          </rPr>
          <t>Turley, Amber (Research):</t>
        </r>
        <r>
          <rPr>
            <sz val="9"/>
            <color indexed="81"/>
            <rFont val="Tahoma"/>
            <family val="2"/>
          </rPr>
          <t xml:space="preserve">
1/12/15: Holiday sales -1% to $544M. </t>
        </r>
      </text>
    </comment>
    <comment ref="F211" authorId="17">
      <text>
        <r>
          <rPr>
            <b/>
            <sz val="9"/>
            <color indexed="81"/>
            <rFont val="Tahoma"/>
            <family val="2"/>
          </rPr>
          <t>Turley, Amber (Research):</t>
        </r>
        <r>
          <rPr>
            <sz val="9"/>
            <color indexed="81"/>
            <rFont val="Tahoma"/>
            <family val="2"/>
          </rPr>
          <t xml:space="preserve">
lower units sold offset favorable avg price and mix</t>
        </r>
      </text>
    </comment>
    <comment ref="G211" authorId="17">
      <text>
        <r>
          <rPr>
            <b/>
            <sz val="9"/>
            <color indexed="81"/>
            <rFont val="Tahoma"/>
            <family val="2"/>
          </rPr>
          <t>Turley, Amber (Research):</t>
        </r>
        <r>
          <rPr>
            <sz val="9"/>
            <color indexed="81"/>
            <rFont val="Tahoma"/>
            <family val="2"/>
          </rPr>
          <t xml:space="preserve">
1/12/15: Holiday comp -1% reflecting mixed results around the region. </t>
        </r>
      </text>
    </comment>
    <comment ref="Q211" authorId="17">
      <text>
        <r>
          <rPr>
            <b/>
            <sz val="9"/>
            <color indexed="81"/>
            <rFont val="Tahoma"/>
            <family val="2"/>
          </rPr>
          <t>Turley, Amber (Research):</t>
        </r>
        <r>
          <rPr>
            <sz val="9"/>
            <color indexed="81"/>
            <rFont val="Tahoma"/>
            <family val="2"/>
          </rPr>
          <t xml:space="preserve">
1/12/15: Sales +7% to $210M</t>
        </r>
      </text>
    </comment>
    <comment ref="R211" authorId="17">
      <text>
        <r>
          <rPr>
            <b/>
            <sz val="9"/>
            <color indexed="81"/>
            <rFont val="Tahoma"/>
            <family val="2"/>
          </rPr>
          <t>Turley, Amber (Research):</t>
        </r>
        <r>
          <rPr>
            <sz val="9"/>
            <color indexed="81"/>
            <rFont val="Tahoma"/>
            <family val="2"/>
          </rPr>
          <t xml:space="preserve">
increased due to favorabl avg price/mix partially offset by lower units sold. Grew most in China, Australia and Singapore</t>
        </r>
      </text>
    </comment>
    <comment ref="S211" authorId="17">
      <text>
        <r>
          <rPr>
            <b/>
            <sz val="9"/>
            <color indexed="81"/>
            <rFont val="Tahoma"/>
            <family val="2"/>
          </rPr>
          <t>Turley, Amber (Research):</t>
        </r>
        <r>
          <rPr>
            <sz val="9"/>
            <color indexed="81"/>
            <rFont val="Tahoma"/>
            <family val="2"/>
          </rPr>
          <t xml:space="preserve">
1/12/15: Holiday comp +6% led by noteworthy growth in China and Singapore. 
note: deceleration on a 2 yr stack basis reflective of Chinese New Year falling on Feb 19th TY vs. late Jan LY shift of spend partly into 1Q15. </t>
        </r>
      </text>
    </comment>
    <comment ref="W211" authorId="17">
      <text>
        <r>
          <rPr>
            <b/>
            <sz val="9"/>
            <color indexed="81"/>
            <rFont val="Tahoma"/>
            <family val="2"/>
          </rPr>
          <t>Turley, Amber (Research):</t>
        </r>
        <r>
          <rPr>
            <sz val="9"/>
            <color indexed="81"/>
            <rFont val="Tahoma"/>
            <family val="2"/>
          </rPr>
          <t xml:space="preserve">
1/12/15: holiday sales -16% to $113M (F/X had a -13% impact). </t>
        </r>
      </text>
    </comment>
    <comment ref="X211" authorId="17">
      <text>
        <r>
          <rPr>
            <b/>
            <sz val="9"/>
            <color indexed="81"/>
            <rFont val="Tahoma"/>
            <family val="2"/>
          </rPr>
          <t>Turley, Amber (Research):</t>
        </r>
        <r>
          <rPr>
            <sz val="9"/>
            <color indexed="81"/>
            <rFont val="Tahoma"/>
            <family val="2"/>
          </rPr>
          <t xml:space="preserve">
favorable price and mix offset by jewelry units sold</t>
        </r>
      </text>
    </comment>
    <comment ref="Y211" authorId="17">
      <text>
        <r>
          <rPr>
            <b/>
            <sz val="9"/>
            <color indexed="81"/>
            <rFont val="Tahoma"/>
            <family val="2"/>
          </rPr>
          <t>Turley, Amber (Research):</t>
        </r>
        <r>
          <rPr>
            <sz val="9"/>
            <color indexed="81"/>
            <rFont val="Tahoma"/>
            <family val="2"/>
          </rPr>
          <t xml:space="preserve">
1/12/15: holiday comp -8% which mgmt attributes to weak economic conditions affecting consumer spending. 
note Dec 2014: WWD article cited Mike Kowalski commenting "We are starting to see a rebound [in sales], though slower than we would have hoped. On the other hand, sales prior to the increase [in sales tax] were astonishing. It certainly creates a challenge for planning," Kowalski said.</t>
        </r>
      </text>
    </comment>
    <comment ref="AG211" authorId="17">
      <text>
        <r>
          <rPr>
            <b/>
            <sz val="9"/>
            <color indexed="81"/>
            <rFont val="Tahoma"/>
            <family val="2"/>
          </rPr>
          <t>Turley, Amber (Research):</t>
        </r>
        <r>
          <rPr>
            <sz val="9"/>
            <color indexed="81"/>
            <rFont val="Tahoma"/>
            <family val="2"/>
          </rPr>
          <t xml:space="preserve">
1/12/15: holiday slaes +1% to $133M (F/X had a -8% impact). </t>
        </r>
      </text>
    </comment>
    <comment ref="AH211" authorId="17">
      <text>
        <r>
          <rPr>
            <b/>
            <sz val="9"/>
            <color indexed="81"/>
            <rFont val="Tahoma"/>
            <family val="2"/>
          </rPr>
          <t>Turley, Amber (Research):</t>
        </r>
        <r>
          <rPr>
            <sz val="9"/>
            <color indexed="81"/>
            <rFont val="Tahoma"/>
            <family val="2"/>
          </rPr>
          <t xml:space="preserve">
+9% in CC and grew in Continental Europe</t>
        </r>
      </text>
    </comment>
    <comment ref="AI211" authorId="17">
      <text>
        <r>
          <rPr>
            <b/>
            <sz val="9"/>
            <color indexed="81"/>
            <rFont val="Tahoma"/>
            <family val="2"/>
          </rPr>
          <t>Turley, Amber (Research):</t>
        </r>
        <r>
          <rPr>
            <sz val="9"/>
            <color indexed="81"/>
            <rFont val="Tahoma"/>
            <family val="2"/>
          </rPr>
          <t xml:space="preserve">
1/12/15: holiday comp +4%</t>
        </r>
      </text>
    </comment>
    <comment ref="AS211" authorId="17">
      <text>
        <r>
          <rPr>
            <b/>
            <sz val="9"/>
            <color indexed="81"/>
            <rFont val="Tahoma"/>
            <family val="2"/>
          </rPr>
          <t>Turley, Amber (Research):</t>
        </r>
        <r>
          <rPr>
            <sz val="9"/>
            <color indexed="81"/>
            <rFont val="Tahoma"/>
            <family val="2"/>
          </rPr>
          <t xml:space="preserve">
1/12/15: Holiday other sales +14% to $24M reflecting sales in TIF's new store in moscow which opened earlier in the year partly offset by -6% comp store sales decline. Wholesale sales of diamonds also increased. </t>
        </r>
      </text>
    </comment>
    <comment ref="F212" authorId="17">
      <text>
        <r>
          <rPr>
            <b/>
            <sz val="9"/>
            <color indexed="81"/>
            <rFont val="Tahoma"/>
            <family val="2"/>
          </rPr>
          <t>Turley, Amber (Research):</t>
        </r>
        <r>
          <rPr>
            <sz val="9"/>
            <color indexed="81"/>
            <rFont val="Tahoma"/>
            <family val="2"/>
          </rPr>
          <t xml:space="preserve">
10-K: sales increased 6% due to 11% increase in avg price per jewelry unit sold (attributed to price increases and shift in sales mix to higher priced products) and -5% decrease in units due entirely to soft demand for entry level price point silver jewelry. 
reflect favorable avg price/mix offset partially by jewelry unit decline in jewelry lwoer than $500</t>
        </r>
      </text>
    </comment>
    <comment ref="R212" authorId="17">
      <text>
        <r>
          <rPr>
            <b/>
            <sz val="9"/>
            <color indexed="81"/>
            <rFont val="Tahoma"/>
            <family val="2"/>
          </rPr>
          <t>Turley, Amber (Research):</t>
        </r>
        <r>
          <rPr>
            <sz val="9"/>
            <color indexed="81"/>
            <rFont val="Tahoma"/>
            <family val="2"/>
          </rPr>
          <t xml:space="preserve">
10-K:  9%   , due to a 5% increase in the average price per jewelry unit sold as well as a 4% increase in the number of jewelry units sold. Management attributes the increase in the average price to price increases and a shift in sales mix toward higher-priced products. The increase in the number of jewelry units sold reflected growth in all product categories.
broadbased growth with favorabl avg price/mix and increased units sold. </t>
        </r>
      </text>
    </comment>
    <comment ref="X212" authorId="17">
      <text>
        <r>
          <rPr>
            <b/>
            <sz val="9"/>
            <color indexed="81"/>
            <rFont val="Tahoma"/>
            <family val="2"/>
          </rPr>
          <t>Turley, Amber (Research):</t>
        </r>
        <r>
          <rPr>
            <sz val="9"/>
            <color indexed="81"/>
            <rFont val="Tahoma"/>
            <family val="2"/>
          </rPr>
          <t xml:space="preserve">
10-K: On a constant-exchange-rate basis, total sales increased   4%   due to a 9% increase in the average price per jewelry unit sold partly offset by a 5% decrease in the number of jewelry units sold due to decreases in all categories. Management attributes the increase in average price to price increases and a shift in sales mix toward higher-priced products within the fashion jewelry category.
favorable price and mix offset by jewelry units sold</t>
        </r>
      </text>
    </comment>
    <comment ref="AH212" authorId="17">
      <text>
        <r>
          <rPr>
            <b/>
            <sz val="9"/>
            <color indexed="81"/>
            <rFont val="Tahoma"/>
            <family val="2"/>
          </rPr>
          <t>Turley, Amber (Research):</t>
        </r>
        <r>
          <rPr>
            <sz val="9"/>
            <color indexed="81"/>
            <rFont val="Tahoma"/>
            <family val="2"/>
          </rPr>
          <t xml:space="preserve">
10-K: due to a 3% increase in both the number of jewelry units sold and in the average price per jewelry unit sold. Management attributes the increase in the number of jewelry units sold to fashion jewelry and the increase in average price to price increases and a shift in sales mix toward higher-priced products within the fashion jewelry category
favorable jewlery units sold, avg price and mix</t>
        </r>
      </text>
    </comment>
    <comment ref="F215" authorId="16">
      <text>
        <r>
          <rPr>
            <b/>
            <sz val="9"/>
            <color indexed="81"/>
            <rFont val="Tahoma"/>
            <family val="2"/>
          </rPr>
          <t>casselau:</t>
        </r>
        <r>
          <rPr>
            <sz val="9"/>
            <color indexed="81"/>
            <rFont val="Tahoma"/>
            <family val="2"/>
          </rPr>
          <t xml:space="preserve">
+3% constant currency</t>
        </r>
      </text>
    </comment>
    <comment ref="G215" authorId="17">
      <text>
        <r>
          <rPr>
            <b/>
            <sz val="9"/>
            <color indexed="81"/>
            <rFont val="Tahoma"/>
            <family val="2"/>
          </rPr>
          <t>5/27/15: reflects higher sales to US customers (statement jewelry) offset by lower foreign tourist spending in the US as well as healthy Canada and LatAM sales; driven by favorable AUR and mix, largely offset by lower entry-point silver sales</t>
        </r>
        <r>
          <rPr>
            <sz val="9"/>
            <color indexed="81"/>
            <rFont val="Tahoma"/>
            <family val="2"/>
          </rPr>
          <t xml:space="preserve">
MS note 1/12/15: Based upon Euro F/X forecasts dropping most heavily in 1/2Q to -LDD, reducing likely US tourism. </t>
        </r>
      </text>
    </comment>
    <comment ref="I215" authorId="16">
      <text>
        <r>
          <rPr>
            <b/>
            <sz val="9"/>
            <color indexed="81"/>
            <rFont val="Tahoma"/>
            <family val="2"/>
          </rPr>
          <t>casselau:</t>
        </r>
        <r>
          <rPr>
            <sz val="9"/>
            <color indexed="81"/>
            <rFont val="Tahoma"/>
            <family val="2"/>
          </rPr>
          <t xml:space="preserve">
6/4/15: decline due to increased marketing spending and labor-related expenses (which include the impact of increased costs for US pension and postretirement benefit plans) partly offset by an improvement in GM</t>
        </r>
      </text>
    </comment>
    <comment ref="R215" authorId="16">
      <text>
        <r>
          <rPr>
            <b/>
            <sz val="9"/>
            <color indexed="81"/>
            <rFont val="Tahoma"/>
            <family val="2"/>
          </rPr>
          <t>casselau:</t>
        </r>
        <r>
          <rPr>
            <sz val="9"/>
            <color indexed="81"/>
            <rFont val="Tahoma"/>
            <family val="2"/>
          </rPr>
          <t xml:space="preserve">
+4% constant currency</t>
        </r>
      </text>
    </comment>
    <comment ref="S215" authorId="17">
      <text>
        <r>
          <rPr>
            <b/>
            <sz val="9"/>
            <color indexed="81"/>
            <rFont val="Tahoma"/>
            <family val="2"/>
          </rPr>
          <t>5/27/15: noteworthy sales growth in China, Australia, and Singapore, but meaningful sales declines in Hong Kong and Macau; higher AUR and mix, which was outweighed by a decline in jewelry units sold in the region (Hong Kong, entry-level silver)</t>
        </r>
        <r>
          <rPr>
            <sz val="9"/>
            <color indexed="81"/>
            <rFont val="Tahoma"/>
            <family val="2"/>
          </rPr>
          <t xml:space="preserve">
Chinese New Year falling on Feb 19th TY vs. late Jan LY shift of spend partly into 1Q15. </t>
        </r>
      </text>
    </comment>
    <comment ref="U215" authorId="16">
      <text>
        <r>
          <rPr>
            <b/>
            <sz val="9"/>
            <color indexed="81"/>
            <rFont val="Tahoma"/>
            <family val="2"/>
          </rPr>
          <t>casselau:</t>
        </r>
        <r>
          <rPr>
            <sz val="9"/>
            <color indexed="81"/>
            <rFont val="Tahoma"/>
            <family val="2"/>
          </rPr>
          <t xml:space="preserve">
6/4/15: increase due to an improvement in gross margin partly offset by increased marketing spending and store-related operating expenses</t>
        </r>
      </text>
    </comment>
    <comment ref="X215" authorId="16">
      <text>
        <r>
          <rPr>
            <b/>
            <sz val="9"/>
            <color indexed="81"/>
            <rFont val="Tahoma"/>
            <family val="2"/>
          </rPr>
          <t>casselau:</t>
        </r>
        <r>
          <rPr>
            <sz val="9"/>
            <color indexed="81"/>
            <rFont val="Tahoma"/>
            <family val="2"/>
          </rPr>
          <t xml:space="preserve">
constant currency -18%; yen -12% weaker y/y; believe less Japanese tourist spending might be supporting some local spendin gin Japan; also benefitting from increasing foreign tourist spending (China)</t>
        </r>
      </text>
    </comment>
    <comment ref="Y215" authorId="16">
      <text>
        <r>
          <rPr>
            <b/>
            <sz val="9"/>
            <color indexed="81"/>
            <rFont val="Tahoma"/>
            <family val="2"/>
          </rPr>
          <t>casselau:</t>
        </r>
        <r>
          <rPr>
            <sz val="9"/>
            <color indexed="81"/>
            <rFont val="Tahoma"/>
            <family val="2"/>
          </rPr>
          <t xml:space="preserve">
5/27/15: reflects reversal of consumption tax benefit on April 1 , 2014</t>
        </r>
      </text>
    </comment>
    <comment ref="AA215" authorId="16">
      <text>
        <r>
          <rPr>
            <b/>
            <sz val="9"/>
            <color indexed="81"/>
            <rFont val="Tahoma"/>
            <family val="2"/>
          </rPr>
          <t>casselau:</t>
        </r>
        <r>
          <rPr>
            <sz val="9"/>
            <color indexed="81"/>
            <rFont val="Tahoma"/>
            <family val="2"/>
          </rPr>
          <t xml:space="preserve">
6/4/15: decline due to a decrease in sales (resulting in deleveraging of operating expenses which was only partially offset by lower variable occupancy costs), as well as a decrease in gross margin (primarily resulting from a reduced benefit from the Company's ongoing program to utilize Yen forward contracts for a portion of forecasted merchandise purchases);</t>
        </r>
      </text>
    </comment>
    <comment ref="AH215" authorId="16">
      <text>
        <r>
          <rPr>
            <b/>
            <sz val="9"/>
            <color indexed="81"/>
            <rFont val="Tahoma"/>
            <family val="2"/>
          </rPr>
          <t>casselau:</t>
        </r>
        <r>
          <rPr>
            <sz val="9"/>
            <color indexed="81"/>
            <rFont val="Tahoma"/>
            <family val="2"/>
          </rPr>
          <t xml:space="preserve">
constant currency +21%</t>
        </r>
      </text>
    </comment>
    <comment ref="AI215" authorId="16">
      <text>
        <r>
          <rPr>
            <b/>
            <sz val="9"/>
            <color indexed="81"/>
            <rFont val="Tahoma"/>
            <family val="2"/>
          </rPr>
          <t>casselau:</t>
        </r>
        <r>
          <rPr>
            <sz val="9"/>
            <color indexed="81"/>
            <rFont val="Tahoma"/>
            <family val="2"/>
          </rPr>
          <t xml:space="preserve">
5/27/15: increase due to growth across continental Europe reflecting robust spending by foreign tourists as well as higher sales to local customers</t>
        </r>
      </text>
    </comment>
    <comment ref="AK215" authorId="16">
      <text>
        <r>
          <rPr>
            <b/>
            <sz val="9"/>
            <color indexed="81"/>
            <rFont val="Tahoma"/>
            <family val="2"/>
          </rPr>
          <t>casselau:</t>
        </r>
        <r>
          <rPr>
            <sz val="9"/>
            <color indexed="81"/>
            <rFont val="Tahoma"/>
            <family val="2"/>
          </rPr>
          <t xml:space="preserve">
6/4/15: decline due to increased marketing spending and store-related operating expenses (for both recently opened stores and those expected to open later in fiscal 2015) partly offset by an improvement in gross margin</t>
        </r>
      </text>
    </comment>
    <comment ref="AS215" authorId="16">
      <text>
        <r>
          <rPr>
            <b/>
            <sz val="9"/>
            <color indexed="81"/>
            <rFont val="Tahoma"/>
            <family val="2"/>
          </rPr>
          <t>casselau:</t>
        </r>
        <r>
          <rPr>
            <sz val="9"/>
            <color indexed="81"/>
            <rFont val="Tahoma"/>
            <family val="2"/>
          </rPr>
          <t xml:space="preserve">
+1% constant currency, comp  flat;</t>
        </r>
      </text>
    </comment>
    <comment ref="AU215" authorId="16">
      <text>
        <r>
          <rPr>
            <b/>
            <sz val="9"/>
            <color indexed="81"/>
            <rFont val="Tahoma"/>
            <family val="2"/>
          </rPr>
          <t>casselau:</t>
        </r>
        <r>
          <rPr>
            <sz val="9"/>
            <color indexed="81"/>
            <rFont val="Tahoma"/>
            <family val="2"/>
          </rPr>
          <t xml:space="preserve">
6/4/15: increase due to an improvement in the performance of retail operations in the Emerging Markets region</t>
        </r>
      </text>
    </comment>
    <comment ref="E216" authorId="16">
      <text>
        <r>
          <rPr>
            <b/>
            <sz val="9"/>
            <color indexed="81"/>
            <rFont val="Tahoma"/>
            <family val="2"/>
          </rPr>
          <t>casselau:</t>
        </r>
        <r>
          <rPr>
            <sz val="9"/>
            <color indexed="81"/>
            <rFont val="Tahoma"/>
            <family val="2"/>
          </rPr>
          <t xml:space="preserve">
8/27/15: favorable price (+12%) and mix was offset by lower jewelry unit volume (-14%), largely tied to continued weakness at entry-level silver jewelry price points as well as a unit decline in fine jewelry.</t>
        </r>
      </text>
    </comment>
    <comment ref="F216" authorId="16">
      <text>
        <r>
          <rPr>
            <b/>
            <sz val="9"/>
            <color indexed="81"/>
            <rFont val="Tahoma"/>
            <family val="2"/>
          </rPr>
          <t>casselau:</t>
        </r>
        <r>
          <rPr>
            <sz val="9"/>
            <color indexed="81"/>
            <rFont val="Tahoma"/>
            <family val="2"/>
          </rPr>
          <t xml:space="preserve">
flat constant currency</t>
        </r>
      </text>
    </comment>
    <comment ref="G216" authorId="16">
      <text>
        <r>
          <rPr>
            <b/>
            <sz val="9"/>
            <color indexed="81"/>
            <rFont val="Tahoma"/>
            <family val="2"/>
          </rPr>
          <t>casselau:</t>
        </r>
        <r>
          <rPr>
            <sz val="9"/>
            <color indexed="81"/>
            <rFont val="Tahoma"/>
            <family val="2"/>
          </rPr>
          <t xml:space="preserve">
8/27/15: higher sales to U.S. customers (largely tied to strength in statement jewelry sales) contrasted with lower foreign tourist spending in NY/HI which management attributes to the strong USD, and there was healthy comparable store sales growth in Canada and Latin America; apart from the strength at the highest statement jewelry price points have reflected varying degrees of softness across much of the US</t>
        </r>
      </text>
    </comment>
    <comment ref="I216" authorId="16">
      <text>
        <r>
          <rPr>
            <b/>
            <sz val="9"/>
            <color indexed="81"/>
            <rFont val="Tahoma"/>
            <family val="2"/>
          </rPr>
          <t>casselau:</t>
        </r>
        <r>
          <rPr>
            <sz val="9"/>
            <color indexed="81"/>
            <rFont val="Tahoma"/>
            <family val="2"/>
          </rPr>
          <t xml:space="preserve">
the ratio decreased 2.5 percentage points due to a decrease in net sales resulting in deleveraging of operating expenses as well as increased marketing spending and labor-related expenses</t>
        </r>
      </text>
    </comment>
    <comment ref="R216" authorId="16">
      <text>
        <r>
          <rPr>
            <b/>
            <sz val="9"/>
            <color indexed="81"/>
            <rFont val="Tahoma"/>
            <family val="2"/>
          </rPr>
          <t>casselau:</t>
        </r>
        <r>
          <rPr>
            <sz val="9"/>
            <color indexed="81"/>
            <rFont val="Tahoma"/>
            <family val="2"/>
          </rPr>
          <t xml:space="preserve">
constant currency +9%; due to favorable price (+9%) and mix; units -4%</t>
        </r>
      </text>
    </comment>
    <comment ref="S216" authorId="16">
      <text>
        <r>
          <rPr>
            <b/>
            <sz val="9"/>
            <color indexed="81"/>
            <rFont val="Tahoma"/>
            <family val="2"/>
          </rPr>
          <t>casselau:</t>
        </r>
        <r>
          <rPr>
            <sz val="9"/>
            <color indexed="81"/>
            <rFont val="Tahoma"/>
            <family val="2"/>
          </rPr>
          <t xml:space="preserve">
8/27/15: +DD sales growth in China and Australia (led by fashion gold jewelry and statement jewelry sales) was combined with mixed performance in other markets; stores in Hong Kong and Macau continue to experience weakness that began in the second half of last year as we believe a number of Chinese tourists have shifted their traveling and shopping to other markets at least for the moment; In addition while our sales rose in Korea in the quarter we believe the rate of growth was constrained by foreign tourists who avoided traveling to Korea during the MERS outbreak. It is possible that an improvement in sales growth may be gradual as foreign tourist bookings take some time to
improve.</t>
        </r>
      </text>
    </comment>
    <comment ref="U216" authorId="16">
      <text>
        <r>
          <rPr>
            <b/>
            <sz val="9"/>
            <color indexed="81"/>
            <rFont val="Tahoma"/>
            <family val="2"/>
          </rPr>
          <t>casselau:</t>
        </r>
        <r>
          <rPr>
            <sz val="9"/>
            <color indexed="81"/>
            <rFont val="Tahoma"/>
            <family val="2"/>
          </rPr>
          <t xml:space="preserve">
the ratio decreased 1.9 percentage points due to increased marketing spending and store-related operating expenses partly offset by an improvement in gross margin attributable to favorable product input costs and price increases</t>
        </r>
      </text>
    </comment>
    <comment ref="X216" authorId="16">
      <text>
        <r>
          <rPr>
            <b/>
            <sz val="9"/>
            <color indexed="81"/>
            <rFont val="Tahoma"/>
            <family val="2"/>
          </rPr>
          <t>casselau:</t>
        </r>
        <r>
          <rPr>
            <sz val="9"/>
            <color indexed="81"/>
            <rFont val="Tahoma"/>
            <family val="2"/>
          </rPr>
          <t xml:space="preserve">
constant currency +27%; units +14%, +13% AUR</t>
        </r>
      </text>
    </comment>
    <comment ref="Y216" authorId="16">
      <text>
        <r>
          <rPr>
            <b/>
            <sz val="9"/>
            <color indexed="81"/>
            <rFont val="Tahoma"/>
            <family val="2"/>
          </rPr>
          <t>casselau:</t>
        </r>
        <r>
          <rPr>
            <sz val="9"/>
            <color indexed="81"/>
            <rFont val="Tahoma"/>
            <family val="2"/>
          </rPr>
          <t xml:space="preserve">
8/27/15: benefitted from higher sales to foreign tourists; Results this year have fluctuated compared with volatile sales trends in last year’s first half when comparable store sales on a constant-exchange-rate basis had increased 30% in the first quarter, reflecting a surge in consumer spending prior to an increase in Japan’s consumption tax on April 1, 2014, and then declined 13% in the second quarte; </t>
        </r>
        <r>
          <rPr>
            <b/>
            <sz val="9"/>
            <color indexed="81"/>
            <rFont val="Tahoma"/>
            <family val="2"/>
          </rPr>
          <t>we believe the weaker yen has affected spending by Japanese tourists when they travel but conversely
might be generating local sales demand in Japan.</t>
        </r>
      </text>
    </comment>
    <comment ref="AA216" authorId="16">
      <text>
        <r>
          <rPr>
            <b/>
            <sz val="9"/>
            <color indexed="81"/>
            <rFont val="Tahoma"/>
            <family val="2"/>
          </rPr>
          <t>casselau:</t>
        </r>
        <r>
          <rPr>
            <sz val="9"/>
            <color indexed="81"/>
            <rFont val="Tahoma"/>
            <family val="2"/>
          </rPr>
          <t xml:space="preserve">
the ratio decreased 1.5 percentage points primarily due to a decrease in gross margin (which includes a reduced benefit from the Company's ongoing program to utilize Yen forward contracts for a portion of forecasted merchandise purchases);</t>
        </r>
      </text>
    </comment>
    <comment ref="AH216" authorId="16">
      <text>
        <r>
          <rPr>
            <b/>
            <sz val="9"/>
            <color indexed="81"/>
            <rFont val="Tahoma"/>
            <family val="2"/>
          </rPr>
          <t>casselau:</t>
        </r>
        <r>
          <rPr>
            <sz val="9"/>
            <color indexed="81"/>
            <rFont val="Tahoma"/>
            <family val="2"/>
          </rPr>
          <t xml:space="preserve">
+19% constant currency;  due to favorable price and mix; +3% AUR</t>
        </r>
      </text>
    </comment>
    <comment ref="AI216" authorId="16">
      <text>
        <r>
          <rPr>
            <b/>
            <sz val="9"/>
            <color indexed="81"/>
            <rFont val="Tahoma"/>
            <family val="2"/>
          </rPr>
          <t>casselau:</t>
        </r>
        <r>
          <rPr>
            <sz val="9"/>
            <color indexed="81"/>
            <rFont val="Tahoma"/>
            <family val="2"/>
          </rPr>
          <t xml:space="preserve">
8/27/15: growth in the U.K. and across the continent largely benefitted from higher spending by foreign tourists and, to a lesser extent, an increase in spending by local customers; Engagement jewelry was the strongest category Europe in the quarter; weaker Pound and Euro attracted foreign tourists to shop in Europe while potentially discouraging some Europeans from shopping abroad and instead encouraging them to spend locally. Our performance in Europe reflects both phenomena.</t>
        </r>
      </text>
    </comment>
    <comment ref="AK216" authorId="16">
      <text>
        <r>
          <rPr>
            <b/>
            <sz val="9"/>
            <color indexed="81"/>
            <rFont val="Tahoma"/>
            <family val="2"/>
          </rPr>
          <t>casselau:</t>
        </r>
        <r>
          <rPr>
            <sz val="9"/>
            <color indexed="81"/>
            <rFont val="Tahoma"/>
            <family val="2"/>
          </rPr>
          <t xml:space="preserve">
the ratio decreased 2.6 percentage points resulting from increased marketing spending and store-related operating expenses</t>
        </r>
      </text>
    </comment>
    <comment ref="AS216" authorId="16">
      <text>
        <r>
          <rPr>
            <b/>
            <sz val="9"/>
            <color indexed="81"/>
            <rFont val="Tahoma"/>
            <family val="2"/>
          </rPr>
          <t xml:space="preserve">casselau:
</t>
        </r>
        <r>
          <rPr>
            <sz val="9"/>
            <color indexed="81"/>
            <rFont val="Tahoma"/>
            <family val="2"/>
          </rPr>
          <t xml:space="preserve">8/27/15: constant currency -27% due to lower wholesale of diamonds, but rose 8% on a comparable store sales basis 
</t>
        </r>
      </text>
    </comment>
    <comment ref="AU216" authorId="16">
      <text>
        <r>
          <rPr>
            <b/>
            <sz val="9"/>
            <color indexed="81"/>
            <rFont val="Tahoma"/>
            <family val="2"/>
          </rPr>
          <t>casselau:</t>
        </r>
        <r>
          <rPr>
            <sz val="9"/>
            <color indexed="81"/>
            <rFont val="Tahoma"/>
            <family val="2"/>
          </rPr>
          <t xml:space="preserve">
the ratio increased 2.7 percentage points primarily due to an improvement in gross margin offset by the deleveraging of operating expenses both of which were affected by the decrease in wholesale sales of diamonds. To a lesser extent, contributing to the increase is the improvement in the performance of retail operations in the Emerging Markets region</t>
        </r>
      </text>
    </comment>
    <comment ref="BE216" authorId="16">
      <text>
        <r>
          <rPr>
            <b/>
            <sz val="9"/>
            <color indexed="81"/>
            <rFont val="Tahoma"/>
            <family val="2"/>
          </rPr>
          <t>casselau:</t>
        </r>
        <r>
          <rPr>
            <sz val="9"/>
            <color indexed="81"/>
            <rFont val="Tahoma"/>
            <family val="2"/>
          </rPr>
          <t xml:space="preserve">
Unallocated corporate expenses increased by $6.6 million in the second quarter of 2015 and by $8.5 million in the first half of 2015 due to higher unallocated labor costs associated with changes in corporate management as well as increased costs associated with upgrades to the Company's information technology systems</t>
        </r>
      </text>
    </comment>
    <comment ref="F217" authorId="16">
      <text>
        <r>
          <rPr>
            <b/>
            <sz val="9"/>
            <color indexed="81"/>
            <rFont val="Tahoma"/>
            <family val="2"/>
          </rPr>
          <t>casselau:</t>
        </r>
        <r>
          <rPr>
            <sz val="9"/>
            <color indexed="81"/>
            <rFont val="Tahoma"/>
            <family val="2"/>
          </rPr>
          <t xml:space="preserve">
11/25/15: CC -5%</t>
        </r>
      </text>
    </comment>
    <comment ref="G217" authorId="16">
      <text>
        <r>
          <rPr>
            <b/>
            <sz val="9"/>
            <color indexed="81"/>
            <rFont val="Tahoma"/>
            <family val="2"/>
          </rPr>
          <t>casselau:</t>
        </r>
        <r>
          <rPr>
            <sz val="9"/>
            <color indexed="81"/>
            <rFont val="Tahoma"/>
            <family val="2"/>
          </rPr>
          <t xml:space="preserve">
11/24/15: declines reflect sharply lower foreign tourist spending in the US which mgmt attributes to the strong US dollar, while sales to US customers were roughly equal y/y; healthy comp growth in Canada and Latin America;</t>
        </r>
        <r>
          <rPr>
            <b/>
            <sz val="9"/>
            <color indexed="81"/>
            <rFont val="Tahoma"/>
            <family val="2"/>
          </rPr>
          <t xml:space="preserve"> 12% decrease in the number of jewelry units sold across all categories partly offset by a 6% increase in the average price per jewelry unit sold (attributed to price increases and a shift in sales mix toward statement jewelry); strong sales of statement jewelry</t>
        </r>
      </text>
    </comment>
    <comment ref="I217" authorId="16">
      <text>
        <r>
          <rPr>
            <b/>
            <sz val="9"/>
            <color indexed="81"/>
            <rFont val="Tahoma"/>
            <family val="2"/>
          </rPr>
          <t>casselau:</t>
        </r>
        <r>
          <rPr>
            <sz val="9"/>
            <color indexed="81"/>
            <rFont val="Tahoma"/>
            <family val="2"/>
          </rPr>
          <t xml:space="preserve">
11/24/15: due to a decrease in net sales resulting in deleveraging of operating expenses</t>
        </r>
      </text>
    </comment>
    <comment ref="R217" authorId="16">
      <text>
        <r>
          <rPr>
            <b/>
            <sz val="9"/>
            <color indexed="81"/>
            <rFont val="Tahoma"/>
            <family val="2"/>
          </rPr>
          <t>casselau:</t>
        </r>
        <r>
          <rPr>
            <sz val="9"/>
            <color indexed="81"/>
            <rFont val="Tahoma"/>
            <family val="2"/>
          </rPr>
          <t xml:space="preserve">
11/24/15: CC +6%</t>
        </r>
      </text>
    </comment>
    <comment ref="S217" authorId="16">
      <text>
        <r>
          <rPr>
            <b/>
            <sz val="9"/>
            <color indexed="81"/>
            <rFont val="Tahoma"/>
            <family val="2"/>
          </rPr>
          <t>casselau:</t>
        </r>
        <r>
          <rPr>
            <sz val="9"/>
            <color indexed="81"/>
            <rFont val="Tahoma"/>
            <family val="2"/>
          </rPr>
          <t xml:space="preserve">
11/25/15: continues to experience healthy sales frowth in China and Australia, while sales again declined in HK and Macau; largely due to a 4% decrease in the average price per jewelry unit sold. Management attributes this decrease in average price to the negative effect of currency translation which was partially offset by price increases and a shift in sales mix toward higher-priced products within the fashion jewelry category and to statement jewelry</t>
        </r>
      </text>
    </comment>
    <comment ref="U217" authorId="16">
      <text>
        <r>
          <rPr>
            <b/>
            <sz val="9"/>
            <color indexed="81"/>
            <rFont val="Tahoma"/>
            <family val="2"/>
          </rPr>
          <t>casselau:</t>
        </r>
        <r>
          <rPr>
            <sz val="9"/>
            <color indexed="81"/>
            <rFont val="Tahoma"/>
            <family val="2"/>
          </rPr>
          <t xml:space="preserve">
11/24/15; the ratio was unchanged from the prior year due to an increase in gross margin (attributable to favorable product input costs and price increases) which was offset by increased store-related operating expenses</t>
        </r>
      </text>
    </comment>
    <comment ref="X217" authorId="16">
      <text>
        <r>
          <rPr>
            <b/>
            <sz val="9"/>
            <color indexed="81"/>
            <rFont val="Tahoma"/>
            <family val="2"/>
          </rPr>
          <t>casselau:</t>
        </r>
        <r>
          <rPr>
            <sz val="9"/>
            <color indexed="81"/>
            <rFont val="Tahoma"/>
            <family val="2"/>
          </rPr>
          <t xml:space="preserve">
11/24/15: CC +34%; also affected by some timing shifts of some wholesale sales</t>
        </r>
      </text>
    </comment>
    <comment ref="Y217" authorId="16">
      <text>
        <r>
          <rPr>
            <b/>
            <sz val="9"/>
            <color indexed="81"/>
            <rFont val="Tahoma"/>
            <family val="2"/>
          </rPr>
          <t>casselau:</t>
        </r>
        <r>
          <rPr>
            <sz val="9"/>
            <color indexed="81"/>
            <rFont val="Tahoma"/>
            <family val="2"/>
          </rPr>
          <t xml:space="preserve">
11/24/15: largely reflect a continuation of considerably higher sales to foreign tourists as well as increased local customer demand; </t>
        </r>
        <r>
          <rPr>
            <b/>
            <sz val="9"/>
            <color indexed="81"/>
            <rFont val="Tahoma"/>
            <family val="2"/>
          </rPr>
          <t>due to a 19% increase in the average price per jewelry unit sold (which management attributes to price increases and a shift in sales mix toward higher-priced products) as well as a 16% increase in the number of jewelry units sold across all categories</t>
        </r>
      </text>
    </comment>
    <comment ref="AA217" authorId="16">
      <text>
        <r>
          <rPr>
            <b/>
            <sz val="9"/>
            <color indexed="81"/>
            <rFont val="Tahoma"/>
            <family val="2"/>
          </rPr>
          <t>casselau:</t>
        </r>
        <r>
          <rPr>
            <sz val="9"/>
            <color indexed="81"/>
            <rFont val="Tahoma"/>
            <family val="2"/>
          </rPr>
          <t xml:space="preserve">
11/24/15: the ratio increased 8.0 % due to an increase in net sales resulting in leverage on operating expenses as well as an increase in gross margin (which includes a benefit from the Company's ongoing program to utilize Yen forward contracts for a portion of forecasted merchandise purchases);</t>
        </r>
      </text>
    </comment>
    <comment ref="AH217" authorId="16">
      <text>
        <r>
          <rPr>
            <b/>
            <sz val="9"/>
            <color indexed="81"/>
            <rFont val="Tahoma"/>
            <family val="2"/>
          </rPr>
          <t>casselau:</t>
        </r>
        <r>
          <rPr>
            <sz val="9"/>
            <color indexed="81"/>
            <rFont val="Tahoma"/>
            <family val="2"/>
          </rPr>
          <t xml:space="preserve">
11/24/15: CC +9%; DUE TO SMALL VARIATIONS AMONG JEWELRY CATEGORIES IN UNIT VOLUME AND AVERAGE PRICE</t>
        </r>
      </text>
    </comment>
    <comment ref="AI217" authorId="16">
      <text>
        <r>
          <rPr>
            <b/>
            <sz val="9"/>
            <color indexed="81"/>
            <rFont val="Tahoma"/>
            <family val="2"/>
          </rPr>
          <t>casselau:</t>
        </r>
        <r>
          <rPr>
            <sz val="9"/>
            <color indexed="81"/>
            <rFont val="Tahoma"/>
            <family val="2"/>
          </rPr>
          <t xml:space="preserve">
11/24/15: due to broad based growth across the region tied to higher spending by foreign tourists and to a lesser extent, an increase in spending by local customers; engagement category strongest; </t>
        </r>
        <r>
          <rPr>
            <b/>
            <sz val="9"/>
            <color indexed="81"/>
            <rFont val="Tahoma"/>
            <family val="2"/>
          </rPr>
          <t>The decrease in total sales was the result of a 2% decrease in the number of jewelry units sold (attributed to soft demand for entry-level price point silver jewelry). The average price per jewelry unit sold was unchanged which management attributes to a shift in sales mix toward higher-priced products as well as the impact of price increases, which were offset by the negative effects of currency translation.</t>
        </r>
      </text>
    </comment>
    <comment ref="AK217" authorId="16">
      <text>
        <r>
          <rPr>
            <b/>
            <sz val="9"/>
            <color indexed="81"/>
            <rFont val="Tahoma"/>
            <family val="2"/>
          </rPr>
          <t>casselau:</t>
        </r>
        <r>
          <rPr>
            <sz val="9"/>
            <color indexed="81"/>
            <rFont val="Tahoma"/>
            <family val="2"/>
          </rPr>
          <t xml:space="preserve">
11/24/15: due to a decrease in net sales resulting in deleveraging of operating expenses, which includes operating expense growth tied to store expansion</t>
        </r>
      </text>
    </comment>
    <comment ref="AR217" authorId="16">
      <text>
        <r>
          <rPr>
            <b/>
            <sz val="9"/>
            <color indexed="81"/>
            <rFont val="Tahoma"/>
            <family val="2"/>
          </rPr>
          <t>casselau:</t>
        </r>
        <r>
          <rPr>
            <sz val="9"/>
            <color indexed="81"/>
            <rFont val="Tahoma"/>
            <family val="2"/>
          </rPr>
          <t xml:space="preserve">
Other sales decreased   $13.4M, or  13%, in the year-to-date primarily due to a decrease in wholesale sales of diamonds as well as the negative effects of currency translation.</t>
        </r>
      </text>
    </comment>
    <comment ref="AS217" authorId="16">
      <text>
        <r>
          <rPr>
            <b/>
            <sz val="9"/>
            <color indexed="81"/>
            <rFont val="Tahoma"/>
            <family val="2"/>
          </rPr>
          <t>casselau:</t>
        </r>
        <r>
          <rPr>
            <sz val="9"/>
            <color indexed="81"/>
            <rFont val="Tahoma"/>
            <family val="2"/>
          </rPr>
          <t xml:space="preserve">
11/24/15: CC +8%; comps -3%</t>
        </r>
      </text>
    </comment>
    <comment ref="AU217" authorId="16">
      <text>
        <r>
          <rPr>
            <b/>
            <sz val="9"/>
            <color indexed="81"/>
            <rFont val="Tahoma"/>
            <family val="2"/>
          </rPr>
          <t>casselau:</t>
        </r>
        <r>
          <rPr>
            <sz val="9"/>
            <color indexed="81"/>
            <rFont val="Tahoma"/>
            <family val="2"/>
          </rPr>
          <t xml:space="preserve">
11/14/15: due to a decrease in gross margin attributed to an increase in wholesale sales of diamonds partly offset by the leveraging of operating expenses as operating expenses decreased at a higher rate than sales</t>
        </r>
      </text>
    </comment>
    <comment ref="BE217" authorId="16">
      <text>
        <r>
          <rPr>
            <b/>
            <sz val="9"/>
            <color indexed="81"/>
            <rFont val="Tahoma"/>
            <family val="2"/>
          </rPr>
          <t>casselau:</t>
        </r>
        <r>
          <rPr>
            <sz val="9"/>
            <color indexed="81"/>
            <rFont val="Tahoma"/>
            <family val="2"/>
          </rPr>
          <t xml:space="preserve">
11/24/15: Unallocated corporate expenses increased by $2.7 million in the third quarter of 2015 primarily due to increased costs associated with upgrades to the Company's information technology systems</t>
        </r>
      </text>
    </comment>
    <comment ref="E218" authorId="16">
      <text>
        <r>
          <rPr>
            <b/>
            <sz val="9"/>
            <color indexed="81"/>
            <rFont val="Tahoma"/>
            <family val="2"/>
          </rPr>
          <t>casselau:</t>
        </r>
        <r>
          <rPr>
            <sz val="9"/>
            <color indexed="81"/>
            <rFont val="Tahoma"/>
            <family val="2"/>
          </rPr>
          <t xml:space="preserve">
1/19/16: Lower sales occurred across much of the U.S., exacerbated by lower foreign tourist spending in New York and certain other U.S. markets which management attributes to the strong U.S. dollar. Total sales rose in Canada and Latin America. Reported in U.S. dollars, total sales of $505M were 7% below the prior year. </t>
        </r>
      </text>
    </comment>
    <comment ref="F218" authorId="16">
      <text>
        <r>
          <rPr>
            <b/>
            <sz val="9"/>
            <color indexed="81"/>
            <rFont val="Tahoma"/>
            <family val="2"/>
          </rPr>
          <t>casselau:
3/18/16: CC -6%</t>
        </r>
        <r>
          <rPr>
            <sz val="9"/>
            <color indexed="81"/>
            <rFont val="Tahoma"/>
            <family val="2"/>
          </rPr>
          <t xml:space="preserve">
1/19/16: CC Holiday sales -5%</t>
        </r>
      </text>
    </comment>
    <comment ref="G218" authorId="16">
      <text>
        <r>
          <rPr>
            <b/>
            <sz val="9"/>
            <color indexed="81"/>
            <rFont val="Tahoma"/>
            <family val="2"/>
          </rPr>
          <t>casselau:</t>
        </r>
        <r>
          <rPr>
            <sz val="9"/>
            <color indexed="81"/>
            <rFont val="Tahoma"/>
            <family val="2"/>
          </rPr>
          <t xml:space="preserve">
1/19/16: Holiday comp -8% </t>
        </r>
      </text>
    </comment>
    <comment ref="Q218" authorId="16">
      <text>
        <r>
          <rPr>
            <b/>
            <sz val="9"/>
            <color indexed="81"/>
            <rFont val="Tahoma"/>
            <family val="2"/>
          </rPr>
          <t>casselau:
3/18/16: sales on a constant-exchange-rate basis rose in China and Australia, which contrasted with continued weakness in Hong Kong</t>
        </r>
        <r>
          <rPr>
            <sz val="9"/>
            <color indexed="81"/>
            <rFont val="Tahoma"/>
            <family val="2"/>
          </rPr>
          <t xml:space="preserve">
1/19/16: A continuation of strong sales growth in China was more than offset by significant weakness in Hong Kong and Singapore, with varying performance in other markets. Reported in U.S. dollars, total sales of $187 million were 11% below the prior year. </t>
        </r>
      </text>
    </comment>
    <comment ref="R218" authorId="16">
      <text>
        <r>
          <rPr>
            <b/>
            <sz val="9"/>
            <color indexed="81"/>
            <rFont val="Tahoma"/>
            <family val="2"/>
          </rPr>
          <t>casselau:
3/18/16: CC -3%; due to generally lower jewelry unit
volume in most categories, partly offset by higher average price and mix.</t>
        </r>
        <r>
          <rPr>
            <sz val="9"/>
            <color indexed="81"/>
            <rFont val="Tahoma"/>
            <family val="2"/>
          </rPr>
          <t xml:space="preserve">
1/19/16: CC Holiday sales -6%</t>
        </r>
      </text>
    </comment>
    <comment ref="S218" authorId="16">
      <text>
        <r>
          <rPr>
            <b/>
            <sz val="9"/>
            <color indexed="81"/>
            <rFont val="Tahoma"/>
            <family val="2"/>
          </rPr>
          <t>casselau:</t>
        </r>
        <r>
          <rPr>
            <sz val="9"/>
            <color indexed="81"/>
            <rFont val="Tahoma"/>
            <family val="2"/>
          </rPr>
          <t xml:space="preserve">
1/19/16: Holiday comp -9%</t>
        </r>
      </text>
    </comment>
    <comment ref="W218" authorId="16">
      <text>
        <r>
          <rPr>
            <b/>
            <sz val="9"/>
            <color indexed="81"/>
            <rFont val="Tahoma"/>
            <family val="2"/>
          </rPr>
          <t xml:space="preserve">casselau:
3/18/16: The majority of this sales growth in both periods reflected higher sales to foreign tourists. </t>
        </r>
        <r>
          <rPr>
            <sz val="9"/>
            <color indexed="81"/>
            <rFont val="Tahoma"/>
            <family val="2"/>
          </rPr>
          <t xml:space="preserve">
1/19/16: Holiday sales reflecting higher sales to local customers and foreign tourists. Reported in U.S. dollars, total sales rose 9% to $123 million. </t>
        </r>
      </text>
    </comment>
    <comment ref="X218" authorId="16">
      <text>
        <r>
          <rPr>
            <b/>
            <sz val="9"/>
            <color indexed="81"/>
            <rFont val="Tahoma"/>
            <family val="2"/>
          </rPr>
          <t>casselau:
3/18/16: +12% CC</t>
        </r>
        <r>
          <rPr>
            <sz val="9"/>
            <color indexed="81"/>
            <rFont val="Tahoma"/>
            <family val="2"/>
          </rPr>
          <t xml:space="preserve">
1/19/16: CC Holiday sales +12%</t>
        </r>
      </text>
    </comment>
    <comment ref="Y218" authorId="16">
      <text>
        <r>
          <rPr>
            <b/>
            <sz val="9"/>
            <color indexed="81"/>
            <rFont val="Tahoma"/>
            <family val="2"/>
          </rPr>
          <t>casselau:</t>
        </r>
        <r>
          <rPr>
            <sz val="9"/>
            <color indexed="81"/>
            <rFont val="Tahoma"/>
            <family val="2"/>
          </rPr>
          <t xml:space="preserve">
1/19/16: Holiday comp +10%</t>
        </r>
      </text>
    </comment>
    <comment ref="AG218" authorId="16">
      <text>
        <r>
          <rPr>
            <b/>
            <sz val="9"/>
            <color indexed="81"/>
            <rFont val="Tahoma"/>
            <family val="2"/>
          </rPr>
          <t>casselau:
3/18/16: due to varying performance across the region, including sales growth in the U.K. and a noteworthy decline in France</t>
        </r>
        <r>
          <rPr>
            <sz val="9"/>
            <color indexed="81"/>
            <rFont val="Tahoma"/>
            <family val="2"/>
          </rPr>
          <t xml:space="preserve">
1/19/16: Reported in U.S. dollars, total sales in Europe of $128 million were 4% below the prior year. </t>
        </r>
      </text>
    </comment>
    <comment ref="AH218" authorId="16">
      <text>
        <r>
          <rPr>
            <b/>
            <sz val="9"/>
            <color indexed="81"/>
            <rFont val="Tahoma"/>
            <family val="2"/>
          </rPr>
          <t>casselau:
3/18/16: +2% CC</t>
        </r>
        <r>
          <rPr>
            <sz val="9"/>
            <color indexed="81"/>
            <rFont val="Tahoma"/>
            <family val="2"/>
          </rPr>
          <t xml:space="preserve">
1/19/16: CC Holiday sales +4%</t>
        </r>
      </text>
    </comment>
    <comment ref="AI218" authorId="16">
      <text>
        <r>
          <rPr>
            <b/>
            <sz val="9"/>
            <color indexed="81"/>
            <rFont val="Tahoma"/>
            <family val="2"/>
          </rPr>
          <t>casselau:</t>
        </r>
        <r>
          <rPr>
            <sz val="9"/>
            <color indexed="81"/>
            <rFont val="Tahoma"/>
            <family val="2"/>
          </rPr>
          <t xml:space="preserve">
1/19/16: Holiday comp -2%; Sales rose in the U.K., but performance was mixed across continental Europe with a notable decline in France, all of which reflected varying levels of demand among local customers and foreign tourists.</t>
        </r>
      </text>
    </comment>
    <comment ref="AS218" authorId="16">
      <text>
        <r>
          <rPr>
            <b/>
            <sz val="9"/>
            <color indexed="81"/>
            <rFont val="Tahoma"/>
            <family val="2"/>
          </rPr>
          <t xml:space="preserve">casselau:
3/18/16: Comp -21% reflecting lower sales in the United Arab Emirates ("UAE") as well as lower wholesale sales of diamonds in the year. </t>
        </r>
        <r>
          <rPr>
            <sz val="9"/>
            <color indexed="81"/>
            <rFont val="Tahoma"/>
            <family val="2"/>
          </rPr>
          <t xml:space="preserve">
1/19/16:Other sales on a constant-exchange-rate basis declined 16% in total and comp -12%. Reported in U.S. dollars, sales of $19 million were 20% below the prior year. </t>
        </r>
      </text>
    </comment>
    <comment ref="E219" authorId="16">
      <text>
        <r>
          <rPr>
            <b/>
            <sz val="9"/>
            <color indexed="81"/>
            <rFont val="Tahoma"/>
            <family val="2"/>
          </rPr>
          <t>casselau:</t>
        </r>
        <r>
          <rPr>
            <sz val="9"/>
            <color indexed="81"/>
            <rFont val="Tahoma"/>
            <family val="2"/>
          </rPr>
          <t xml:space="preserve">
3/18/16: These declines in both periods reflected lower foreign tourist spending in the U.S., which management attributes to the strong U.S. dollar, as well as varying degrees of softness in sales to U.S. customers. Elsewhere in the region, total sales on a constant-exchange-rate basis rose in Canada and Latin America. </t>
        </r>
      </text>
    </comment>
    <comment ref="F219" authorId="16">
      <text>
        <r>
          <rPr>
            <b/>
            <sz val="9"/>
            <color indexed="81"/>
            <rFont val="Tahoma"/>
            <family val="2"/>
          </rPr>
          <t>casselau:</t>
        </r>
        <r>
          <rPr>
            <sz val="9"/>
            <color indexed="81"/>
            <rFont val="Tahoma"/>
            <family val="2"/>
          </rPr>
          <t xml:space="preserve">
-2% CC; reflects lower unit volume across categories especially in the silver jewelry under $500, partly offset by favorable price and mix;</t>
        </r>
        <r>
          <rPr>
            <b/>
            <sz val="9"/>
            <color indexed="81"/>
            <rFont val="Tahoma"/>
            <family val="2"/>
          </rPr>
          <t xml:space="preserve"> foreign tourist sales represent less than a quarter of US sales but roughly 40% of sales in the New York flagship store</t>
        </r>
      </text>
    </comment>
    <comment ref="I219" authorId="18">
      <text>
        <r>
          <rPr>
            <b/>
            <sz val="9"/>
            <color indexed="81"/>
            <rFont val="Tahoma"/>
            <family val="2"/>
          </rPr>
          <t>Cassel, Lauren (Research):</t>
        </r>
        <r>
          <rPr>
            <sz val="9"/>
            <color indexed="81"/>
            <rFont val="Tahoma"/>
            <family val="2"/>
          </rPr>
          <t xml:space="preserve">
 the ratio decreased 1.3 percentage points due to a decrease in net sales resulting in sales deleveraging of operating expenses partly offset by an improvement in gross margin</t>
        </r>
      </text>
    </comment>
    <comment ref="Q219" authorId="16">
      <text>
        <r>
          <rPr>
            <b/>
            <sz val="9"/>
            <color indexed="81"/>
            <rFont val="Tahoma"/>
            <family val="2"/>
          </rPr>
          <t>casselau:</t>
        </r>
        <r>
          <rPr>
            <sz val="9"/>
            <color indexed="81"/>
            <rFont val="Tahoma"/>
            <family val="2"/>
          </rPr>
          <t xml:space="preserve">
3/18/16: sales on a constant-exchange-rate basis rose in China and Australia, which contrasted with continued weakness in Hong Kong</t>
        </r>
      </text>
    </comment>
    <comment ref="R219" authorId="16">
      <text>
        <r>
          <rPr>
            <b/>
            <sz val="9"/>
            <color indexed="81"/>
            <rFont val="Tahoma"/>
            <family val="2"/>
          </rPr>
          <t>casselau:</t>
        </r>
        <r>
          <rPr>
            <sz val="9"/>
            <color indexed="81"/>
            <rFont val="Tahoma"/>
            <family val="2"/>
          </rPr>
          <t xml:space="preserve">
+3% CC; Within the region, greater China is comprised of the 51 total stores
we operate across China, Hong Kong, Taiwan and Macau and represents more than half of total sales for the region.</t>
        </r>
      </text>
    </comment>
    <comment ref="U219" authorId="18">
      <text>
        <r>
          <rPr>
            <b/>
            <sz val="9"/>
            <color indexed="81"/>
            <rFont val="Tahoma"/>
            <family val="2"/>
          </rPr>
          <t>Cassel, Lauren (Research):</t>
        </r>
        <r>
          <rPr>
            <sz val="9"/>
            <color indexed="81"/>
            <rFont val="Tahoma"/>
            <family val="2"/>
          </rPr>
          <t xml:space="preserve">
the ratio decreased 1.1 percentage points due to increased store-related operating expenses and marketing spending partly offset by an improvement in gross margin</t>
        </r>
      </text>
    </comment>
    <comment ref="W219" authorId="16">
      <text>
        <r>
          <rPr>
            <b/>
            <sz val="9"/>
            <color indexed="81"/>
            <rFont val="Tahoma"/>
            <family val="2"/>
          </rPr>
          <t>casselau:</t>
        </r>
        <r>
          <rPr>
            <sz val="9"/>
            <color indexed="81"/>
            <rFont val="Tahoma"/>
            <family val="2"/>
          </rPr>
          <t xml:space="preserve">
3/18/16: The majority of this sales growth in both periods reflected higher sales to foreign tourists. </t>
        </r>
      </text>
    </comment>
    <comment ref="X219" authorId="16">
      <text>
        <r>
          <rPr>
            <b/>
            <sz val="9"/>
            <color indexed="81"/>
            <rFont val="Tahoma"/>
            <family val="2"/>
          </rPr>
          <t>casselau:</t>
        </r>
        <r>
          <rPr>
            <sz val="9"/>
            <color indexed="81"/>
            <rFont val="Tahoma"/>
            <family val="2"/>
          </rPr>
          <t xml:space="preserve">
+10% CC; Throughout the year our results in Japan benefited from higher foreign tourist spending, predominantly Chinese, while domestic customer spending
fluctuated and was roughly unchanged for the full year.</t>
        </r>
      </text>
    </comment>
    <comment ref="AA219" authorId="18">
      <text>
        <r>
          <rPr>
            <b/>
            <sz val="9"/>
            <color indexed="81"/>
            <rFont val="Tahoma"/>
            <family val="2"/>
          </rPr>
          <t>Cassel, Lauren (Research):</t>
        </r>
        <r>
          <rPr>
            <sz val="9"/>
            <color indexed="81"/>
            <rFont val="Tahoma"/>
            <family val="2"/>
          </rPr>
          <t xml:space="preserve">
the ratio increased 1.5 percentage points due to leveraging of operating expenses (as operating expenses decreased at a higher rate than sales) partly offset by a decrease in gross margin attributable to currency translation</t>
        </r>
      </text>
    </comment>
    <comment ref="AG219" authorId="16">
      <text>
        <r>
          <rPr>
            <b/>
            <sz val="9"/>
            <color indexed="81"/>
            <rFont val="Tahoma"/>
            <family val="2"/>
          </rPr>
          <t>casselau:</t>
        </r>
        <r>
          <rPr>
            <sz val="9"/>
            <color indexed="81"/>
            <rFont val="Tahoma"/>
            <family val="2"/>
          </rPr>
          <t xml:space="preserve">
3/18/16: due to geographically broad-based sales growth that reflected higher spending by local customers and foreign tourists</t>
        </r>
      </text>
    </comment>
    <comment ref="AH219" authorId="16">
      <text>
        <r>
          <rPr>
            <b/>
            <sz val="9"/>
            <color indexed="81"/>
            <rFont val="Tahoma"/>
            <family val="2"/>
          </rPr>
          <t>casselau:</t>
        </r>
        <r>
          <rPr>
            <sz val="9"/>
            <color indexed="81"/>
            <rFont val="Tahoma"/>
            <family val="2"/>
          </rPr>
          <t xml:space="preserve">
+12% CC; UK = 40% of European sales</t>
        </r>
      </text>
    </comment>
    <comment ref="AK219" authorId="18">
      <text>
        <r>
          <rPr>
            <b/>
            <sz val="9"/>
            <color indexed="81"/>
            <rFont val="Tahoma"/>
            <family val="2"/>
          </rPr>
          <t>Cassel, Lauren (Research):</t>
        </r>
        <r>
          <rPr>
            <sz val="9"/>
            <color indexed="81"/>
            <rFont val="Tahoma"/>
            <family val="2"/>
          </rPr>
          <t xml:space="preserve">
the ratio decreased 2.2 percentage points resulting from increased store-related operating expenses and marketing spending, partly offset by an improvement in gross margin</t>
        </r>
      </text>
    </comment>
    <comment ref="AS219" authorId="16">
      <text>
        <r>
          <rPr>
            <b/>
            <sz val="9"/>
            <color indexed="81"/>
            <rFont val="Tahoma"/>
            <family val="2"/>
          </rPr>
          <t>casselau:</t>
        </r>
        <r>
          <rPr>
            <sz val="9"/>
            <color indexed="81"/>
            <rFont val="Tahoma"/>
            <family val="2"/>
          </rPr>
          <t xml:space="preserve">
3/18/16: Comp -15% reflecting lower sales in the United Arab Emirates ("UAE") as well as lower wholesale sales of diamonds in the year. </t>
        </r>
      </text>
    </comment>
    <comment ref="AU219" authorId="18">
      <text>
        <r>
          <rPr>
            <b/>
            <sz val="9"/>
            <color indexed="81"/>
            <rFont val="Tahoma"/>
            <family val="2"/>
          </rPr>
          <t>Cassel, Lauren (Research):</t>
        </r>
        <r>
          <rPr>
            <sz val="9"/>
            <color indexed="81"/>
            <rFont val="Tahoma"/>
            <family val="2"/>
          </rPr>
          <t xml:space="preserve">
the ratio increased 2.0 percentage points primarily due to an improvement in gross margin offset by the deleveraging of operating expenses both of which were affected by the decrease in wholesale sales of diamonds. To a lesser extent, contributing to the increase is the improvement in the performance of retail operations in the Emerging Markets region</t>
        </r>
      </text>
    </comment>
    <comment ref="F222" authorId="18">
      <text>
        <r>
          <rPr>
            <b/>
            <sz val="9"/>
            <color indexed="81"/>
            <rFont val="Tahoma"/>
            <family val="2"/>
          </rPr>
          <t>Cassel, Lauren (Research):</t>
        </r>
        <r>
          <rPr>
            <sz val="9"/>
            <color indexed="81"/>
            <rFont val="Tahoma"/>
            <family val="2"/>
          </rPr>
          <t xml:space="preserve">
-8% CC</t>
        </r>
      </text>
    </comment>
    <comment ref="G222" authorId="18">
      <text>
        <r>
          <rPr>
            <b/>
            <sz val="9"/>
            <color indexed="81"/>
            <rFont val="Tahoma"/>
            <family val="2"/>
          </rPr>
          <t>Cassel, Lauren (Research): management attributing the declines to varying degrees of softness in spending by U.S. customers and foreign tourists of many nationalities in New York and other tourism areas</t>
        </r>
        <r>
          <rPr>
            <sz val="9"/>
            <color indexed="81"/>
            <rFont val="Tahoma"/>
            <family val="2"/>
          </rPr>
          <t xml:space="preserve">
</t>
        </r>
        <r>
          <rPr>
            <b/>
            <sz val="9"/>
            <color indexed="81"/>
            <rFont val="Tahoma"/>
            <family val="2"/>
          </rPr>
          <t xml:space="preserve">Number of units sold -7%, </t>
        </r>
        <r>
          <rPr>
            <sz val="9"/>
            <color indexed="81"/>
            <rFont val="Tahoma"/>
            <family val="2"/>
          </rPr>
          <t xml:space="preserve">particularly in fashion sliver jewelry; average price per unit flat 
</t>
        </r>
      </text>
    </comment>
    <comment ref="I222" authorId="18">
      <text>
        <r>
          <rPr>
            <b/>
            <sz val="9"/>
            <color indexed="81"/>
            <rFont val="Tahoma"/>
            <family val="2"/>
          </rPr>
          <t>Cassel, Lauren (Research):</t>
        </r>
        <r>
          <rPr>
            <sz val="9"/>
            <color indexed="81"/>
            <rFont val="Tahoma"/>
            <family val="2"/>
          </rPr>
          <t xml:space="preserve">
the ratio decreased 1.8 percentage points due to a decrease in net sales resulting in a lack of sales leverage on operating expenses, partly offset by an improvement in gross margin</t>
        </r>
      </text>
    </comment>
    <comment ref="Q222" authorId="18">
      <text>
        <r>
          <rPr>
            <b/>
            <sz val="9"/>
            <color indexed="81"/>
            <rFont val="Tahoma"/>
            <family val="2"/>
          </rPr>
          <t>Cassel, Lauren (Research):</t>
        </r>
        <r>
          <rPr>
            <sz val="9"/>
            <color indexed="81"/>
            <rFont val="Tahoma"/>
            <family val="2"/>
          </rPr>
          <t xml:space="preserve">
total CC sales growth in China and Korea was offset by a continued significant decline in Hong Kong and more moderate declines in other markets. 
Very strong new stores in China may be affecting comp stores </t>
        </r>
      </text>
    </comment>
    <comment ref="R222" authorId="18">
      <text>
        <r>
          <rPr>
            <b/>
            <sz val="9"/>
            <color indexed="81"/>
            <rFont val="Tahoma"/>
            <family val="2"/>
          </rPr>
          <t>Cassel, Lauren (Research):</t>
        </r>
        <r>
          <rPr>
            <sz val="9"/>
            <color indexed="81"/>
            <rFont val="Tahoma"/>
            <family val="2"/>
          </rPr>
          <t xml:space="preserve">
-5% CC</t>
        </r>
      </text>
    </comment>
    <comment ref="S222" authorId="18">
      <text>
        <r>
          <rPr>
            <b/>
            <sz val="9"/>
            <color indexed="81"/>
            <rFont val="Tahoma"/>
            <family val="2"/>
          </rPr>
          <t>Cassel, Lauren (Research):</t>
        </r>
        <r>
          <rPr>
            <sz val="9"/>
            <color indexed="81"/>
            <rFont val="Tahoma"/>
            <family val="2"/>
          </rPr>
          <t xml:space="preserve">
average price per unit sold CC -1%; number of units sold -4%</t>
        </r>
      </text>
    </comment>
    <comment ref="U222" authorId="18">
      <text>
        <r>
          <rPr>
            <b/>
            <sz val="9"/>
            <color indexed="81"/>
            <rFont val="Tahoma"/>
            <family val="2"/>
          </rPr>
          <t>Cassel, Lauren (Research):</t>
        </r>
        <r>
          <rPr>
            <sz val="9"/>
            <color indexed="81"/>
            <rFont val="Tahoma"/>
            <family val="2"/>
          </rPr>
          <t xml:space="preserve">
the ratio decreased 2.9 percentage points due to a decrease in net sales resulting in a lack of sales leverage on operating expenses, partly offset by an improvement in gross margin</t>
        </r>
      </text>
    </comment>
    <comment ref="X222" authorId="18">
      <text>
        <r>
          <rPr>
            <b/>
            <sz val="9"/>
            <color indexed="81"/>
            <rFont val="Tahoma"/>
            <family val="2"/>
          </rPr>
          <t>Cassel, Lauren (Research):</t>
        </r>
        <r>
          <rPr>
            <sz val="9"/>
            <color indexed="81"/>
            <rFont val="Tahoma"/>
            <family val="2"/>
          </rPr>
          <t xml:space="preserve">
+1% CC</t>
        </r>
      </text>
    </comment>
    <comment ref="Y222" authorId="18">
      <text>
        <r>
          <rPr>
            <b/>
            <sz val="9"/>
            <color indexed="81"/>
            <rFont val="Tahoma"/>
            <family val="2"/>
          </rPr>
          <t xml:space="preserve">Cassel, Lauren (Research): Management attributed the sales growth to higher spending by local customers offset by lower wholesale sales - modestly positive three year run rate as they would expect
</t>
        </r>
        <r>
          <rPr>
            <sz val="9"/>
            <color indexed="81"/>
            <rFont val="Tahoma"/>
            <family val="2"/>
          </rPr>
          <t xml:space="preserve">average price per unit sold -8%; number of units sold +9%; The increase in number of jewelry units sold primarily reflected increases in the fashion jewelry category. Management attributed the decrease in the average price per jewelry unit sold, on a constant-exchange-rate basis, to a shift in sales mix within the fashion jewelry category.
</t>
        </r>
      </text>
    </comment>
    <comment ref="AA222" authorId="18">
      <text>
        <r>
          <rPr>
            <b/>
            <sz val="9"/>
            <color indexed="81"/>
            <rFont val="Tahoma"/>
            <family val="2"/>
          </rPr>
          <t>Cassel, Lauren (Research):</t>
        </r>
        <r>
          <rPr>
            <sz val="9"/>
            <color indexed="81"/>
            <rFont val="Tahoma"/>
            <family val="2"/>
          </rPr>
          <t xml:space="preserve">
the ratio decreased 2.0 percentage points primarily due to a decrease in gross margin attributable to currency translation</t>
        </r>
      </text>
    </comment>
    <comment ref="AH222" authorId="18">
      <text>
        <r>
          <rPr>
            <b/>
            <sz val="9"/>
            <color indexed="81"/>
            <rFont val="Tahoma"/>
            <family val="2"/>
          </rPr>
          <t>Cassel, Lauren (Research):</t>
        </r>
        <r>
          <rPr>
            <sz val="9"/>
            <color indexed="81"/>
            <rFont val="Tahoma"/>
            <family val="2"/>
          </rPr>
          <t xml:space="preserve">
-7% CC</t>
        </r>
      </text>
    </comment>
    <comment ref="AI222" authorId="18">
      <text>
        <r>
          <rPr>
            <b/>
            <sz val="9"/>
            <color indexed="81"/>
            <rFont val="Tahoma"/>
            <family val="2"/>
          </rPr>
          <t>Cassel, Lauren (Research):, due to softness in most countries, led by France, that management attributed largely to lower foreign tourist spending</t>
        </r>
        <r>
          <rPr>
            <sz val="9"/>
            <color indexed="81"/>
            <rFont val="Tahoma"/>
            <family val="2"/>
          </rPr>
          <t xml:space="preserve">
 average price per unit sold +3%, number of units sold -11%</t>
        </r>
      </text>
    </comment>
    <comment ref="AK222" authorId="18">
      <text>
        <r>
          <rPr>
            <b/>
            <sz val="9"/>
            <color indexed="81"/>
            <rFont val="Tahoma"/>
            <family val="2"/>
          </rPr>
          <t>Cassel, Lauren (Research):</t>
        </r>
        <r>
          <rPr>
            <sz val="9"/>
            <color indexed="81"/>
            <rFont val="Tahoma"/>
            <family val="2"/>
          </rPr>
          <t xml:space="preserve">
the ratio decreased 3.8 percentage points due to a decrease in net sales resulting in a lack of sales leverage on operating expenses, partly offset by an improvement in gross margin</t>
        </r>
      </text>
    </comment>
    <comment ref="AS222" authorId="18">
      <text>
        <r>
          <rPr>
            <b/>
            <sz val="9"/>
            <color indexed="81"/>
            <rFont val="Tahoma"/>
            <family val="2"/>
          </rPr>
          <t>Cassel, Lauren (Research):</t>
        </r>
        <r>
          <rPr>
            <sz val="9"/>
            <color indexed="81"/>
            <rFont val="Tahoma"/>
            <family val="2"/>
          </rPr>
          <t xml:space="preserve">
-21% comp; -30% CC total sales; reflecting lower retail sales in the United Arab Emirates ("UAE") and wholesale sales in other markets</t>
        </r>
      </text>
    </comment>
    <comment ref="AU222" authorId="18">
      <text>
        <r>
          <rPr>
            <b/>
            <sz val="9"/>
            <color indexed="81"/>
            <rFont val="Tahoma"/>
            <family val="2"/>
          </rPr>
          <t>Cassel, Lauren (Research):</t>
        </r>
        <r>
          <rPr>
            <sz val="9"/>
            <color indexed="81"/>
            <rFont val="Tahoma"/>
            <family val="2"/>
          </rPr>
          <t xml:space="preserve">
the ratio increased 1.6 percentage points primarily due to an improvement in gross margin offset by the lack of sales leverage on operating expenses</t>
        </r>
      </text>
    </comment>
    <comment ref="F223" authorId="18">
      <text>
        <r>
          <rPr>
            <b/>
            <sz val="9"/>
            <color indexed="81"/>
            <rFont val="Tahoma"/>
            <family val="2"/>
          </rPr>
          <t>Cassel, Lauren (Research):</t>
        </r>
        <r>
          <rPr>
            <sz val="9"/>
            <color indexed="81"/>
            <rFont val="Tahoma"/>
            <family val="2"/>
          </rPr>
          <t xml:space="preserve">
CC -8%</t>
        </r>
      </text>
    </comment>
    <comment ref="G223" authorId="18">
      <text>
        <r>
          <rPr>
            <b/>
            <sz val="9"/>
            <color indexed="81"/>
            <rFont val="Tahoma"/>
            <family val="2"/>
          </rPr>
          <t>Cassel, Lauren (Research):</t>
        </r>
        <r>
          <rPr>
            <sz val="9"/>
            <color indexed="81"/>
            <rFont val="Tahoma"/>
            <family val="2"/>
          </rPr>
          <t xml:space="preserve">
8/26/16: Management attributed the declines to lower spending by U.S. customers as well as by Chinese and other foreign tourists, especially in NY and other large tourism markets
Results mixed in Latam and Canada
</t>
        </r>
        <r>
          <rPr>
            <b/>
            <sz val="9"/>
            <color indexed="81"/>
            <rFont val="Tahoma"/>
            <family val="2"/>
          </rPr>
          <t>Units sold -6%,</t>
        </r>
        <r>
          <rPr>
            <sz val="9"/>
            <color indexed="81"/>
            <rFont val="Tahoma"/>
            <family val="2"/>
          </rPr>
          <t xml:space="preserve"> average price per unit sold flat on constant FX basis; softness across all jewelry categories</t>
        </r>
      </text>
    </comment>
    <comment ref="I223" authorId="18">
      <text>
        <r>
          <rPr>
            <b/>
            <sz val="9"/>
            <color indexed="81"/>
            <rFont val="Tahoma"/>
            <family val="2"/>
          </rPr>
          <t>Cassel, Lauren (Research):</t>
        </r>
        <r>
          <rPr>
            <sz val="9"/>
            <color indexed="81"/>
            <rFont val="Tahoma"/>
            <family val="2"/>
          </rPr>
          <t xml:space="preserve">
the ratio increased 1.2 percentage points due to an improvement in gross margin, partly offset by a lack of sales leverage on operating expenses resulting from a decrease in net sales;</t>
        </r>
      </text>
    </comment>
    <comment ref="R223" authorId="18">
      <text>
        <r>
          <rPr>
            <b/>
            <sz val="9"/>
            <color indexed="81"/>
            <rFont val="Tahoma"/>
            <family val="2"/>
          </rPr>
          <t>Cassel, Lauren (Research):</t>
        </r>
        <r>
          <rPr>
            <sz val="9"/>
            <color indexed="81"/>
            <rFont val="Tahoma"/>
            <family val="2"/>
          </rPr>
          <t xml:space="preserve">
CC -3%</t>
        </r>
      </text>
    </comment>
    <comment ref="S223" authorId="18">
      <text>
        <r>
          <rPr>
            <b/>
            <sz val="9"/>
            <color indexed="81"/>
            <rFont val="Tahoma"/>
            <family val="2"/>
          </rPr>
          <t>Cassel, Lauren (Research):</t>
        </r>
        <r>
          <rPr>
            <sz val="9"/>
            <color indexed="81"/>
            <rFont val="Tahoma"/>
            <family val="2"/>
          </rPr>
          <t xml:space="preserve">
8/26/16: Sales growth in China and Korea was offset by a continuation of significant declines in Hong Kong and more moderate declines in most other markets. We were pleased with healthy total and comparable store sales growth in China as well as in Korea. However, continued meaningful sales declines in Hong Kong, Taiwan, Macau, and Singapore contributed to the overall regional softness. 
Units sold -2%,  constant FX average price per unit sold -3%; The sales declines were due to a combination of lower average price, lower unit volume, and a shift in mix and reflected softness across much of the region
</t>
        </r>
      </text>
    </comment>
    <comment ref="U223" authorId="18">
      <text>
        <r>
          <rPr>
            <b/>
            <sz val="9"/>
            <color indexed="81"/>
            <rFont val="Tahoma"/>
            <family val="2"/>
          </rPr>
          <t>Cassel, Lauren (Research):</t>
        </r>
        <r>
          <rPr>
            <sz val="9"/>
            <color indexed="81"/>
            <rFont val="Tahoma"/>
            <family val="2"/>
          </rPr>
          <t xml:space="preserve">
the ratio increased 0.9 percentage point due to an improvement in gross margin, partly offset by a lack of sales leverage on operating expenses resulting from a decrease in net sales</t>
        </r>
      </text>
    </comment>
    <comment ref="X223" authorId="18">
      <text>
        <r>
          <rPr>
            <b/>
            <sz val="9"/>
            <color indexed="81"/>
            <rFont val="Tahoma"/>
            <family val="2"/>
          </rPr>
          <t>Cassel, Lauren (Research):</t>
        </r>
        <r>
          <rPr>
            <sz val="9"/>
            <color indexed="81"/>
            <rFont val="Tahoma"/>
            <family val="2"/>
          </rPr>
          <t xml:space="preserve">
CC -5%</t>
        </r>
      </text>
    </comment>
    <comment ref="Y223" authorId="18">
      <text>
        <r>
          <rPr>
            <b/>
            <sz val="9"/>
            <color indexed="81"/>
            <rFont val="Tahoma"/>
            <family val="2"/>
          </rPr>
          <t>Cassel, Lauren (Research):</t>
        </r>
        <r>
          <rPr>
            <sz val="9"/>
            <color indexed="81"/>
            <rFont val="Tahoma"/>
            <family val="2"/>
          </rPr>
          <t xml:space="preserve">
8/26/16: Management noted lower spending by Chinese tourists. Spending by locals held up reasonably well.
Units sold +4%, average price per unit sold constant FX -3%
Translation benefit more than offset lower spending from Chinese tourists. Wholesale sales also declined. </t>
        </r>
      </text>
    </comment>
    <comment ref="AA223" authorId="18">
      <text>
        <r>
          <rPr>
            <b/>
            <sz val="9"/>
            <color indexed="81"/>
            <rFont val="Tahoma"/>
            <family val="2"/>
          </rPr>
          <t>Cassel, Lauren (Research):</t>
        </r>
        <r>
          <rPr>
            <sz val="9"/>
            <color indexed="81"/>
            <rFont val="Tahoma"/>
            <family val="2"/>
          </rPr>
          <t xml:space="preserve">
the ratio decreased 4.0 percentage points primarily due to a decrease in gross margin, including an unfavorable impact from the Company's ongoing program to utilize Yen forward contracts for a portion of forecasted merchandise purchases, attributable to the strengthening of the Yen</t>
        </r>
      </text>
    </comment>
    <comment ref="AH223" authorId="18">
      <text>
        <r>
          <rPr>
            <b/>
            <sz val="9"/>
            <color indexed="81"/>
            <rFont val="Tahoma"/>
            <family val="2"/>
          </rPr>
          <t>Cassel, Lauren (Research):</t>
        </r>
        <r>
          <rPr>
            <sz val="9"/>
            <color indexed="81"/>
            <rFont val="Tahoma"/>
            <family val="2"/>
          </rPr>
          <t xml:space="preserve">
CC -8%</t>
        </r>
      </text>
    </comment>
    <comment ref="AI223" authorId="18">
      <text>
        <r>
          <rPr>
            <b/>
            <sz val="9"/>
            <color indexed="81"/>
            <rFont val="Tahoma"/>
            <family val="2"/>
          </rPr>
          <t>Cassel, Lauren (Research):</t>
        </r>
        <r>
          <rPr>
            <sz val="9"/>
            <color indexed="81"/>
            <rFont val="Tahoma"/>
            <family val="2"/>
          </rPr>
          <t xml:space="preserve">
8/26/16: Lower sales in continental Europe were attributed by management to weak demand by foreign tourists and local customers, in contrast to better performance in the United Kingdom. Local spending declined less than tourists. Strong sales growth in Russia and in the UK on CC basis. Saw uptrend in UK sales almost immediately after Brexit vote. 
Units sold -12%, average price per unit sold constant FX +2%
</t>
        </r>
      </text>
    </comment>
    <comment ref="AK223" authorId="18">
      <text>
        <r>
          <rPr>
            <b/>
            <sz val="9"/>
            <color indexed="81"/>
            <rFont val="Tahoma"/>
            <family val="2"/>
          </rPr>
          <t>Cassel, Lauren (Research):</t>
        </r>
        <r>
          <rPr>
            <sz val="9"/>
            <color indexed="81"/>
            <rFont val="Tahoma"/>
            <family val="2"/>
          </rPr>
          <t xml:space="preserve">
 the ratio decreased 2.3 percentage points due to a decrease in net sales resulting in a lack of sales leverage on operating expenses, which was only partly offset by an improvement in gross margin</t>
        </r>
      </text>
    </comment>
    <comment ref="AS223" authorId="18">
      <text>
        <r>
          <rPr>
            <b/>
            <sz val="9"/>
            <color indexed="81"/>
            <rFont val="Tahoma"/>
            <family val="2"/>
          </rPr>
          <t>Cassel, Lauren (Research):</t>
        </r>
        <r>
          <rPr>
            <sz val="9"/>
            <color indexed="81"/>
            <rFont val="Tahoma"/>
            <family val="2"/>
          </rPr>
          <t xml:space="preserve">
8/26/16: -22% comp; Management noted lower retail sales in the United Arab Emirates (“UAE”) offset by an increase in wholesale sales of diamonds. 
CC -3%</t>
        </r>
      </text>
    </comment>
    <comment ref="F224" authorId="18">
      <text>
        <r>
          <rPr>
            <b/>
            <sz val="9"/>
            <color indexed="81"/>
            <rFont val="Tahoma"/>
            <family val="2"/>
          </rPr>
          <t>Cassel, Lauren (Research):</t>
        </r>
        <r>
          <rPr>
            <sz val="9"/>
            <color indexed="81"/>
            <rFont val="Tahoma"/>
            <family val="2"/>
          </rPr>
          <t xml:space="preserve">
-2% CC</t>
        </r>
      </text>
    </comment>
    <comment ref="G224" authorId="18">
      <text>
        <r>
          <rPr>
            <b/>
            <sz val="9"/>
            <color indexed="81"/>
            <rFont val="Tahoma"/>
            <family val="2"/>
          </rPr>
          <t>Cassel, Lauren (Research):</t>
        </r>
        <r>
          <rPr>
            <sz val="9"/>
            <color indexed="81"/>
            <rFont val="Tahoma"/>
            <family val="2"/>
          </rPr>
          <t xml:space="preserve">
11/29/16: Management attributed the sales decline in the quarter to lower spending by U.S. customers which was largely offset by higher spending attributed to foreign tourists primarily from Japan; </t>
        </r>
        <r>
          <rPr>
            <b/>
            <sz val="9"/>
            <color indexed="81"/>
            <rFont val="Tahoma"/>
            <family val="2"/>
          </rPr>
          <t>units sold -3%</t>
        </r>
        <r>
          <rPr>
            <sz val="9"/>
            <color indexed="81"/>
            <rFont val="Tahoma"/>
            <family val="2"/>
          </rPr>
          <t xml:space="preserve"> (reflects declines across most categories, particularly in fashion silver jewelry), </t>
        </r>
        <r>
          <rPr>
            <b/>
            <sz val="9"/>
            <color indexed="81"/>
            <rFont val="Tahoma"/>
            <family val="2"/>
          </rPr>
          <t>average price per unit sold +2%</t>
        </r>
      </text>
    </comment>
    <comment ref="I224" authorId="18">
      <text>
        <r>
          <rPr>
            <b/>
            <sz val="9"/>
            <color indexed="81"/>
            <rFont val="Tahoma"/>
            <family val="2"/>
          </rPr>
          <t>Cassel, Lauren (Research):</t>
        </r>
        <r>
          <rPr>
            <sz val="9"/>
            <color indexed="81"/>
            <rFont val="Tahoma"/>
            <family val="2"/>
          </rPr>
          <t xml:space="preserve">
11/29/16: +100 bps due to an improvement in gross margin, partly offset by a lack of sales leverage on operating expenses resulting from a decrease in net sales; </t>
        </r>
      </text>
    </comment>
    <comment ref="R224" authorId="18">
      <text>
        <r>
          <rPr>
            <b/>
            <sz val="9"/>
            <color indexed="81"/>
            <rFont val="Tahoma"/>
            <family val="2"/>
          </rPr>
          <t>Cassel, Lauren (Research):</t>
        </r>
        <r>
          <rPr>
            <sz val="9"/>
            <color indexed="81"/>
            <rFont val="Tahoma"/>
            <family val="2"/>
          </rPr>
          <t xml:space="preserve">
+3% CC</t>
        </r>
      </text>
    </comment>
    <comment ref="S224" authorId="18">
      <text>
        <r>
          <rPr>
            <b/>
            <sz val="9"/>
            <color indexed="81"/>
            <rFont val="Tahoma"/>
            <family val="2"/>
          </rPr>
          <t>Cassel, Lauren (Research):</t>
        </r>
        <r>
          <rPr>
            <sz val="9"/>
            <color indexed="81"/>
            <rFont val="Tahoma"/>
            <family val="2"/>
          </rPr>
          <t xml:space="preserve">
11/29/16: management noted double-digit sales growth in China, solid retail and wholesale sales growth in Korea and a decelerating rate of sales decline in Hong Kong, as well as continued sales declines in Australia and Singapore; there was also an increase in wholesale sales in Korea; </t>
        </r>
        <r>
          <rPr>
            <b/>
            <sz val="9"/>
            <color indexed="81"/>
            <rFont val="Tahoma"/>
            <family val="2"/>
          </rPr>
          <t xml:space="preserve">number of units sold +12% </t>
        </r>
        <r>
          <rPr>
            <sz val="9"/>
            <color indexed="81"/>
            <rFont val="Tahoma"/>
            <family val="2"/>
          </rPr>
          <t>(primarily attributed to increases in fashion silver jewerly)</t>
        </r>
        <r>
          <rPr>
            <b/>
            <sz val="9"/>
            <color indexed="81"/>
            <rFont val="Tahoma"/>
            <family val="2"/>
          </rPr>
          <t xml:space="preserve">; average price -6% </t>
        </r>
        <r>
          <rPr>
            <sz val="9"/>
            <color indexed="81"/>
            <rFont val="Tahoma"/>
            <family val="2"/>
          </rPr>
          <t>(due to shift in mix to the fashion jewelry category as well as to lower price products within both the engagement jewelry and wedding band category and the fashion jewelry category)</t>
        </r>
      </text>
    </comment>
    <comment ref="U224" authorId="18">
      <text>
        <r>
          <rPr>
            <b/>
            <sz val="9"/>
            <color indexed="81"/>
            <rFont val="Tahoma"/>
            <family val="2"/>
          </rPr>
          <t>Cassel, Lauren (Research):</t>
        </r>
        <r>
          <rPr>
            <sz val="9"/>
            <color indexed="81"/>
            <rFont val="Tahoma"/>
            <family val="2"/>
          </rPr>
          <t xml:space="preserve">
11/29/16: -130 bps due to a lack of sales leverage on operating expenses, primarily attributable to increased store related expenses; </t>
        </r>
      </text>
    </comment>
    <comment ref="X224" authorId="18">
      <text>
        <r>
          <rPr>
            <b/>
            <sz val="9"/>
            <color indexed="81"/>
            <rFont val="Tahoma"/>
            <family val="2"/>
          </rPr>
          <t>Cassel, Lauren (Research):</t>
        </r>
        <r>
          <rPr>
            <sz val="9"/>
            <color indexed="81"/>
            <rFont val="Tahoma"/>
            <family val="2"/>
          </rPr>
          <t xml:space="preserve">
11/29/16: -4% CC; In Japan</t>
        </r>
      </text>
    </comment>
    <comment ref="Y224" authorId="18">
      <text>
        <r>
          <rPr>
            <b/>
            <sz val="9"/>
            <color indexed="81"/>
            <rFont val="Tahoma"/>
            <family val="2"/>
          </rPr>
          <t>Cassel, Lauren (Research):</t>
        </r>
        <r>
          <rPr>
            <sz val="9"/>
            <color indexed="81"/>
            <rFont val="Tahoma"/>
            <family val="2"/>
          </rPr>
          <t xml:space="preserve">
11/29/16: +20% on dollar basis;  sales benefited from the yen strengthening versus the U.S. dollar, but were negatively affected by lower wholesale sales; Management noted higher spending attributed to local customers in the quarter, along with lower spending attributed to Chinese tourists in both periods; </t>
        </r>
        <r>
          <rPr>
            <b/>
            <sz val="9"/>
            <color indexed="81"/>
            <rFont val="Tahoma"/>
            <family val="2"/>
          </rPr>
          <t xml:space="preserve">number of units sold +18% </t>
        </r>
        <r>
          <rPr>
            <sz val="9"/>
            <color indexed="81"/>
            <rFont val="Tahoma"/>
            <family val="2"/>
          </rPr>
          <t xml:space="preserve">(primarily reflects increases in fashion jewelery); </t>
        </r>
        <r>
          <rPr>
            <b/>
            <sz val="9"/>
            <color indexed="81"/>
            <rFont val="Tahoma"/>
            <family val="2"/>
          </rPr>
          <t>average price per unit sold flat</t>
        </r>
        <r>
          <rPr>
            <sz val="9"/>
            <color indexed="81"/>
            <rFont val="Tahoma"/>
            <family val="2"/>
          </rPr>
          <t xml:space="preserve"> (due to a shift in sales mix to the fashion jewelry category from the statement, fine, and solitaire jewelry category as well as a shift in sales mix within the fashion jewelry cateogry toward silver jewelry)</t>
        </r>
      </text>
    </comment>
    <comment ref="AA224" authorId="18">
      <text>
        <r>
          <rPr>
            <b/>
            <sz val="9"/>
            <color indexed="81"/>
            <rFont val="Tahoma"/>
            <family val="2"/>
          </rPr>
          <t>Cassel, Lauren (Research):</t>
        </r>
        <r>
          <rPr>
            <sz val="9"/>
            <color indexed="81"/>
            <rFont val="Tahoma"/>
            <family val="2"/>
          </rPr>
          <t xml:space="preserve">
11/29/16: -6 50 bps primarily due to a decrease in gross margin, including an unfavorable impact from the Company's ongoing program to utilize Yen forward contracts for a portion of forecasted merchandise purchases, attributable to the strengthening of the Yen</t>
        </r>
      </text>
    </comment>
    <comment ref="AH224" authorId="18">
      <text>
        <r>
          <rPr>
            <b/>
            <sz val="9"/>
            <color indexed="81"/>
            <rFont val="Tahoma"/>
            <family val="2"/>
          </rPr>
          <t>Cassel, Lauren (Research):</t>
        </r>
        <r>
          <rPr>
            <sz val="9"/>
            <color indexed="81"/>
            <rFont val="Tahoma"/>
            <family val="2"/>
          </rPr>
          <t xml:space="preserve">
-2% CC</t>
        </r>
      </text>
    </comment>
    <comment ref="AI224" authorId="18">
      <text>
        <r>
          <rPr>
            <b/>
            <sz val="9"/>
            <color indexed="81"/>
            <rFont val="Tahoma"/>
            <family val="2"/>
          </rPr>
          <t>Cassel, Lauren (Research):</t>
        </r>
        <r>
          <rPr>
            <sz val="9"/>
            <color indexed="81"/>
            <rFont val="Tahoma"/>
            <family val="2"/>
          </rPr>
          <t xml:space="preserve">
11/29/16: -14% on dollar basis; Mgmt attributed soft demand across continental Europe, especially in France, to both local customers and foreign tourists, while strong local-currency sales growth in the United Kingdom was primarily attributable to higher foreign tourist spending. </t>
        </r>
        <r>
          <rPr>
            <b/>
            <sz val="9"/>
            <color indexed="81"/>
            <rFont val="Tahoma"/>
            <family val="2"/>
          </rPr>
          <t>(recently took single digit price increase in the UK);  number of units sold -7% (</t>
        </r>
        <r>
          <rPr>
            <sz val="9"/>
            <color indexed="81"/>
            <rFont val="Tahoma"/>
            <family val="2"/>
          </rPr>
          <t>reflects decreases across all categories, especially in fashion silver jewelry);</t>
        </r>
        <r>
          <rPr>
            <b/>
            <sz val="9"/>
            <color indexed="81"/>
            <rFont val="Tahoma"/>
            <family val="2"/>
          </rPr>
          <t xml:space="preserve"> average price per unit sold +4% </t>
        </r>
        <r>
          <rPr>
            <sz val="9"/>
            <color indexed="81"/>
            <rFont val="Tahoma"/>
            <family val="2"/>
          </rPr>
          <t>(due to the negative effect of currency translation, which offset a favorable shift toward higher-priced products within the engagement jewlery and wedding bands category)</t>
        </r>
      </text>
    </comment>
    <comment ref="AK224" authorId="18">
      <text>
        <r>
          <rPr>
            <b/>
            <sz val="9"/>
            <color indexed="81"/>
            <rFont val="Tahoma"/>
            <family val="2"/>
          </rPr>
          <t>Cassel, Lauren (Research):</t>
        </r>
        <r>
          <rPr>
            <sz val="9"/>
            <color indexed="81"/>
            <rFont val="Tahoma"/>
            <family val="2"/>
          </rPr>
          <t xml:space="preserve">
11/29/16: -110 bps due to a decrease in net sales resulting in a lack of sales leverage on operating expenses, which was only partly offset by an improvement in gross margin. </t>
        </r>
      </text>
    </comment>
    <comment ref="AS224" authorId="18">
      <text>
        <r>
          <rPr>
            <b/>
            <sz val="9"/>
            <color indexed="81"/>
            <rFont val="Tahoma"/>
            <family val="2"/>
          </rPr>
          <t>Cassel, Lauren (Research):</t>
        </r>
        <r>
          <rPr>
            <sz val="9"/>
            <color indexed="81"/>
            <rFont val="Tahoma"/>
            <family val="2"/>
          </rPr>
          <t xml:space="preserve">
11/29/16: -12% comp; increase in wholesale sales of diamonds was offset by lower retail sales in the United Arab Emirates (“UAE”). </t>
        </r>
      </text>
    </comment>
    <comment ref="F225" authorId="18">
      <text>
        <r>
          <rPr>
            <b/>
            <sz val="9"/>
            <color indexed="81"/>
            <rFont val="Tahoma"/>
            <family val="2"/>
          </rPr>
          <t>Cassel, Lauren (Research):</t>
        </r>
        <r>
          <rPr>
            <sz val="9"/>
            <color indexed="81"/>
            <rFont val="Tahoma"/>
            <family val="2"/>
          </rPr>
          <t xml:space="preserve">
CC -3%</t>
        </r>
      </text>
    </comment>
    <comment ref="G225" authorId="18">
      <text>
        <r>
          <rPr>
            <b/>
            <sz val="9"/>
            <color indexed="81"/>
            <rFont val="Tahoma"/>
            <family val="2"/>
          </rPr>
          <t>Cassel, Lauren (Research):
3/17/17: flagship sales -7% (2H benefitted from Japenese tourist spending)</t>
        </r>
        <r>
          <rPr>
            <sz val="9"/>
            <color indexed="81"/>
            <rFont val="Tahoma"/>
            <family val="2"/>
          </rPr>
          <t xml:space="preserve">
1/17/17: Holiday comp -3% due to lower slaes to local customers and a -14% decline at the 5th ave store (~2.4% comp headwind)</t>
        </r>
      </text>
    </comment>
    <comment ref="R225" authorId="18">
      <text>
        <r>
          <rPr>
            <b/>
            <sz val="9"/>
            <color indexed="81"/>
            <rFont val="Tahoma"/>
            <family val="2"/>
          </rPr>
          <t>Cassel, Lauren (Research):</t>
        </r>
        <r>
          <rPr>
            <sz val="9"/>
            <color indexed="81"/>
            <rFont val="Tahoma"/>
            <family val="2"/>
          </rPr>
          <t xml:space="preserve">
CC +10%, helped by new stores</t>
        </r>
      </text>
    </comment>
    <comment ref="S225" authorId="18">
      <text>
        <r>
          <rPr>
            <b/>
            <sz val="9"/>
            <color indexed="81"/>
            <rFont val="Tahoma"/>
            <family val="2"/>
          </rPr>
          <t>Cassel, Lauren (Research):</t>
        </r>
        <r>
          <rPr>
            <sz val="9"/>
            <color indexed="81"/>
            <rFont val="Tahoma"/>
            <family val="2"/>
          </rPr>
          <t xml:space="preserve">
1/17/17: holiday comp -3%; strong growth in retail sales in mainland China and in wholesale stores in Korea, but softness in most other markets throughout the region. </t>
        </r>
      </text>
    </comment>
    <comment ref="X225" authorId="18">
      <text>
        <r>
          <rPr>
            <b/>
            <sz val="9"/>
            <color indexed="81"/>
            <rFont val="Tahoma"/>
            <family val="2"/>
          </rPr>
          <t>Cassel, Lauren (Research):</t>
        </r>
        <r>
          <rPr>
            <sz val="9"/>
            <color indexed="81"/>
            <rFont val="Tahoma"/>
            <family val="2"/>
          </rPr>
          <t xml:space="preserve">
CC +8%</t>
        </r>
      </text>
    </comment>
    <comment ref="Y225" authorId="18">
      <text>
        <r>
          <rPr>
            <b/>
            <sz val="9"/>
            <color indexed="81"/>
            <rFont val="Tahoma"/>
            <family val="2"/>
          </rPr>
          <t>Cassel, Lauren (Research):
3/17/17: growth due to higher spending by local customers, with declines in spending by Chinese tourists; also a decline in wholesale sales; TV show aired July-September</t>
        </r>
        <r>
          <rPr>
            <sz val="9"/>
            <color indexed="81"/>
            <rFont val="Tahoma"/>
            <family val="2"/>
          </rPr>
          <t xml:space="preserve">
1/17/17: Holiday comp +12%; higher spending by local customers partly offset by lower wholesale sales</t>
        </r>
      </text>
    </comment>
    <comment ref="AH225" authorId="18">
      <text>
        <r>
          <rPr>
            <b/>
            <sz val="9"/>
            <color indexed="81"/>
            <rFont val="Tahoma"/>
            <family val="2"/>
          </rPr>
          <t>Cassel, Lauren (Research):</t>
        </r>
        <r>
          <rPr>
            <sz val="9"/>
            <color indexed="81"/>
            <rFont val="Tahoma"/>
            <family val="2"/>
          </rPr>
          <t xml:space="preserve">
CC +1%</t>
        </r>
      </text>
    </comment>
    <comment ref="AI225" authorId="18">
      <text>
        <r>
          <rPr>
            <b/>
            <sz val="9"/>
            <color indexed="81"/>
            <rFont val="Tahoma"/>
            <family val="2"/>
          </rPr>
          <t>Cassel, Lauren (Research):</t>
        </r>
        <r>
          <rPr>
            <sz val="9"/>
            <color indexed="81"/>
            <rFont val="Tahoma"/>
            <family val="2"/>
          </rPr>
          <t xml:space="preserve">
3/17/17: due lower spending by local customers and foreign tourists across continental Europe, while constant-exchange-rate sales growth in the United Kingdom was largely attributed to higher foreign tourist spending in the second half of the year. 
1/17/17: -4% Holiday comp due to weak demand across continental Europe tied to domestic and foreign tourist spending and noted modest growth in local currency sales in the UK</t>
        </r>
      </text>
    </comment>
    <comment ref="AS225" authorId="18">
      <text>
        <r>
          <rPr>
            <b/>
            <sz val="9"/>
            <color indexed="81"/>
            <rFont val="Tahoma"/>
            <family val="2"/>
          </rPr>
          <t xml:space="preserve">Cassel, Lauren (Research):
317/17: comp -3% due to lower sales in the UAE; wholesale sales of diamonds unchanged in 4Q
</t>
        </r>
        <r>
          <rPr>
            <sz val="9"/>
            <color indexed="81"/>
            <rFont val="Tahoma"/>
            <family val="2"/>
          </rPr>
          <t xml:space="preserve">
Holiday sales +33% to $20M reflecting increased wholesale sales of diamonds, offset by lower retail sales in the UAE; comp -7%</t>
        </r>
      </text>
    </comment>
    <comment ref="E226" authorId="18">
      <text>
        <r>
          <rPr>
            <b/>
            <sz val="9"/>
            <color indexed="81"/>
            <rFont val="Tahoma"/>
            <family val="2"/>
          </rPr>
          <t>Cassel, Lauren (Research):</t>
        </r>
        <r>
          <rPr>
            <sz val="9"/>
            <color indexed="81"/>
            <rFont val="Tahoma"/>
            <family val="2"/>
          </rPr>
          <t xml:space="preserve">
Number of jewelry units sold -6%</t>
        </r>
      </text>
    </comment>
    <comment ref="F226" authorId="18">
      <text>
        <r>
          <rPr>
            <b/>
            <sz val="9"/>
            <color indexed="81"/>
            <rFont val="Tahoma"/>
            <family val="2"/>
          </rPr>
          <t>Cassel, Lauren (Research):</t>
        </r>
        <r>
          <rPr>
            <sz val="9"/>
            <color indexed="81"/>
            <rFont val="Tahoma"/>
            <family val="2"/>
          </rPr>
          <t xml:space="preserve">
CC -5%</t>
        </r>
      </text>
    </comment>
    <comment ref="G226" authorId="18">
      <text>
        <r>
          <rPr>
            <b/>
            <sz val="9"/>
            <color indexed="81"/>
            <rFont val="Tahoma"/>
            <family val="2"/>
          </rPr>
          <t>Cassel, Lauren (Research):</t>
        </r>
        <r>
          <rPr>
            <sz val="9"/>
            <color indexed="81"/>
            <rFont val="Tahoma"/>
            <family val="2"/>
          </rPr>
          <t xml:space="preserve">
3/17/17: due to lower spending by US customers and foreign tourists (Chinese); 2H benefitted from increase Japenese tourist spend; lower jewelry units sold; latin america grew; flagship sales -11%
**Tourist sales = 20% of North America sales and 40% of 5th ave flaghship store sales</t>
        </r>
      </text>
    </comment>
    <comment ref="Q226" authorId="18">
      <text>
        <r>
          <rPr>
            <b/>
            <sz val="9"/>
            <color indexed="81"/>
            <rFont val="Tahoma"/>
            <family val="2"/>
          </rPr>
          <t>Cassel, Lauren (Research):</t>
        </r>
        <r>
          <rPr>
            <sz val="9"/>
            <color indexed="81"/>
            <rFont val="Tahoma"/>
            <family val="2"/>
          </rPr>
          <t xml:space="preserve">
Number of jewelry units sold +4%</t>
        </r>
      </text>
    </comment>
    <comment ref="R226" authorId="18">
      <text>
        <r>
          <rPr>
            <b/>
            <sz val="9"/>
            <color indexed="81"/>
            <rFont val="Tahoma"/>
            <family val="2"/>
          </rPr>
          <t>Cassel, Lauren (Research):</t>
        </r>
        <r>
          <rPr>
            <sz val="9"/>
            <color indexed="81"/>
            <rFont val="Tahoma"/>
            <family val="2"/>
          </rPr>
          <t xml:space="preserve">
CC +1%</t>
        </r>
      </text>
    </comment>
    <comment ref="S226" authorId="18">
      <text>
        <r>
          <rPr>
            <b/>
            <sz val="9"/>
            <color indexed="81"/>
            <rFont val="Tahoma"/>
            <family val="2"/>
          </rPr>
          <t>Cassel, Lauren (Research):</t>
        </r>
        <r>
          <rPr>
            <sz val="9"/>
            <color indexed="81"/>
            <rFont val="Tahoma"/>
            <family val="2"/>
          </rPr>
          <t xml:space="preserve">
3/17/17: due to increased purchasing by local customers and declines in spending by foreign tourists. In addition, there was strong retail sales growth in Mainland China, increased wholesale sales in Korea, a decelerating rate of retail sales decline in Hong Kong and varying performance in other countries; Australia and Taiwan also very soft</t>
        </r>
      </text>
    </comment>
    <comment ref="W226" authorId="18">
      <text>
        <r>
          <rPr>
            <b/>
            <sz val="9"/>
            <color indexed="81"/>
            <rFont val="Tahoma"/>
            <family val="2"/>
          </rPr>
          <t>Cassel, Lauren (Research):</t>
        </r>
        <r>
          <rPr>
            <sz val="9"/>
            <color indexed="81"/>
            <rFont val="Tahoma"/>
            <family val="2"/>
          </rPr>
          <t xml:space="preserve">
Number of jewelry units sold +13%</t>
        </r>
      </text>
    </comment>
    <comment ref="X226" authorId="18">
      <text>
        <r>
          <rPr>
            <b/>
            <sz val="9"/>
            <color indexed="81"/>
            <rFont val="Tahoma"/>
            <family val="2"/>
          </rPr>
          <t>Cassel, Lauren (Research):</t>
        </r>
        <r>
          <rPr>
            <sz val="9"/>
            <color indexed="81"/>
            <rFont val="Tahoma"/>
            <family val="2"/>
          </rPr>
          <t xml:space="preserve">
CC flat</t>
        </r>
      </text>
    </comment>
    <comment ref="Y226" authorId="18">
      <text>
        <r>
          <rPr>
            <b/>
            <sz val="9"/>
            <color indexed="81"/>
            <rFont val="Tahoma"/>
            <family val="2"/>
          </rPr>
          <t>Cassel, Lauren (Research):</t>
        </r>
        <r>
          <rPr>
            <sz val="9"/>
            <color indexed="81"/>
            <rFont val="Tahoma"/>
            <family val="2"/>
          </rPr>
          <t xml:space="preserve">
3/17/17: growth due to higher spending by local customers, with declines in spending by Chinese tourists; also a decline in wholesale sales
In addition, we believe that the stronger yen has been a factor contributing to the increased purchasing attributed to Japanese tourist that we have experienced in other regions. Conversely, that stronger yen is likely been the reason for less tourist spending in Japan primarily attributed to Chinese visitors which reversed the trend which we saw in 2015. 
</t>
        </r>
        <r>
          <rPr>
            <b/>
            <sz val="9"/>
            <color indexed="81"/>
            <rFont val="Tahoma"/>
            <family val="2"/>
          </rPr>
          <t>we continue to estimate that spending by foreign tourists represented less than 10% of sales in Japan</t>
        </r>
      </text>
    </comment>
    <comment ref="AG226" authorId="18">
      <text>
        <r>
          <rPr>
            <b/>
            <sz val="9"/>
            <color indexed="81"/>
            <rFont val="Tahoma"/>
            <family val="2"/>
          </rPr>
          <t>Cassel, Lauren (Research):</t>
        </r>
        <r>
          <rPr>
            <sz val="9"/>
            <color indexed="81"/>
            <rFont val="Tahoma"/>
            <family val="2"/>
          </rPr>
          <t xml:space="preserve">
~40% of Europe sales is from the UK - then France, Germany, Italy are the three biggest  in continental Europe 
Number of jewelry units sold -9%</t>
        </r>
      </text>
    </comment>
    <comment ref="AH226" authorId="18">
      <text>
        <r>
          <rPr>
            <b/>
            <sz val="9"/>
            <color indexed="81"/>
            <rFont val="Tahoma"/>
            <family val="2"/>
          </rPr>
          <t>Cassel, Lauren (Research):</t>
        </r>
        <r>
          <rPr>
            <sz val="9"/>
            <color indexed="81"/>
            <rFont val="Tahoma"/>
            <family val="2"/>
          </rPr>
          <t xml:space="preserve">
CC -3%</t>
        </r>
      </text>
    </comment>
    <comment ref="AI226" authorId="18">
      <text>
        <r>
          <rPr>
            <b/>
            <sz val="9"/>
            <color indexed="81"/>
            <rFont val="Tahoma"/>
            <family val="2"/>
          </rPr>
          <t>Cassel, Lauren (Research):</t>
        </r>
        <r>
          <rPr>
            <sz val="9"/>
            <color indexed="81"/>
            <rFont val="Tahoma"/>
            <family val="2"/>
          </rPr>
          <t xml:space="preserve">
3/17/17: lower spending by local customers and foreign tourists across continental Europe, while constant-exchange-rate sales growth in the United Kingdom was largely attributed to higher foreign tourist spending in the second half of the year. 
UK = 40% of European sales 
We estimate the spending attributed to foreign tourists generally represents in the neighborhood of </t>
        </r>
        <r>
          <rPr>
            <b/>
            <sz val="9"/>
            <color indexed="81"/>
            <rFont val="Tahoma"/>
            <family val="2"/>
          </rPr>
          <t xml:space="preserve">one quarter to one-third of total European sales. </t>
        </r>
      </text>
    </comment>
    <comment ref="AS226" authorId="18">
      <text>
        <r>
          <rPr>
            <b/>
            <sz val="9"/>
            <color indexed="81"/>
            <rFont val="Tahoma"/>
            <family val="2"/>
          </rPr>
          <t>Cassel, Lauren (Research):</t>
        </r>
        <r>
          <rPr>
            <sz val="9"/>
            <color indexed="81"/>
            <rFont val="Tahoma"/>
            <family val="2"/>
          </rPr>
          <t xml:space="preserve">
3/17/17: comp -15% due to lower sales in the UAE; wholesale sales of diamonds increased in the full year</t>
        </r>
      </text>
    </comment>
    <comment ref="BE226" authorId="18">
      <text>
        <r>
          <rPr>
            <b/>
            <sz val="9"/>
            <color indexed="81"/>
            <rFont val="Tahoma"/>
            <family val="2"/>
          </rPr>
          <t xml:space="preserve">Cassel, Lauren (Research):
Unallocated corporate expenses increased by $9.8 million in 2016 and$15.0 million in 2015, primarily due to increased costs, including depreciation and amortization expense, associated with upgrades to the Company's information technology systems as well as increased incentive compensation expense in 2016.
</t>
        </r>
        <r>
          <rPr>
            <sz val="9"/>
            <color indexed="81"/>
            <rFont val="Tahoma"/>
            <family val="2"/>
          </rPr>
          <t xml:space="preserve">
Unallocated corporate expenses includes certain costs related to administrative support functions which the Company does not allocate to its segments. Such unallocated costs include those for centralized information technology, finance, legal and human resources departments.</t>
        </r>
      </text>
    </comment>
    <comment ref="F229" authorId="18">
      <text>
        <r>
          <rPr>
            <b/>
            <sz val="9"/>
            <color indexed="81"/>
            <rFont val="Tahoma"/>
            <family val="2"/>
          </rPr>
          <t>Cassel, Lauren (Research):</t>
        </r>
        <r>
          <rPr>
            <sz val="9"/>
            <color indexed="81"/>
            <rFont val="Tahoma"/>
            <family val="2"/>
          </rPr>
          <t xml:space="preserve">
-3% CC</t>
        </r>
      </text>
    </comment>
    <comment ref="G229" authorId="18">
      <text>
        <r>
          <rPr>
            <b/>
            <sz val="9"/>
            <color indexed="81"/>
            <rFont val="Tahoma"/>
            <family val="2"/>
          </rPr>
          <t>Cassel, Lauren (Research):</t>
        </r>
        <r>
          <rPr>
            <sz val="9"/>
            <color indexed="81"/>
            <rFont val="Tahoma"/>
            <family val="2"/>
          </rPr>
          <t xml:space="preserve">
5/24/17: Sales results were geographically mixed across the region, and mgmt attributed the overall US sales declines to lower spending by both foreign tourists and local customers: Canada was soft but pleased with Latin America Growth
</t>
        </r>
        <r>
          <rPr>
            <b/>
            <sz val="9"/>
            <color indexed="81"/>
            <rFont val="Tahoma"/>
            <family val="2"/>
          </rPr>
          <t xml:space="preserve">
Units sold -2%; </t>
        </r>
        <r>
          <rPr>
            <sz val="9"/>
            <color indexed="81"/>
            <rFont val="Tahoma"/>
            <family val="2"/>
          </rPr>
          <t xml:space="preserve">The decrease in the number of jewelry units sold reflected declines across most product categories. </t>
        </r>
      </text>
    </comment>
    <comment ref="I229" authorId="18">
      <text>
        <r>
          <rPr>
            <b/>
            <sz val="9"/>
            <color indexed="81"/>
            <rFont val="Tahoma"/>
            <family val="2"/>
          </rPr>
          <t>Cassel, Lauren (Research):</t>
        </r>
        <r>
          <rPr>
            <sz val="9"/>
            <color indexed="81"/>
            <rFont val="Tahoma"/>
            <family val="2"/>
          </rPr>
          <t xml:space="preserve">
5/24/17: due to an increase in gross margin partly offset by sales deleverage on operating expenses</t>
        </r>
      </text>
    </comment>
    <comment ref="R229" authorId="18">
      <text>
        <r>
          <rPr>
            <b/>
            <sz val="9"/>
            <color indexed="81"/>
            <rFont val="Tahoma"/>
            <family val="2"/>
          </rPr>
          <t>Cassel, Lauren (Research):</t>
        </r>
        <r>
          <rPr>
            <sz val="9"/>
            <color indexed="81"/>
            <rFont val="Tahoma"/>
            <family val="2"/>
          </rPr>
          <t xml:space="preserve">
+9% CC</t>
        </r>
      </text>
    </comment>
    <comment ref="S229" authorId="18">
      <text>
        <r>
          <rPr>
            <b/>
            <sz val="9"/>
            <color indexed="81"/>
            <rFont val="Tahoma"/>
            <family val="2"/>
          </rPr>
          <t>Cassel, Lauren (Research):</t>
        </r>
        <r>
          <rPr>
            <sz val="9"/>
            <color indexed="81"/>
            <rFont val="Tahoma"/>
            <family val="2"/>
          </rPr>
          <t xml:space="preserve">
5/24/17: Management attributed total sales growth to increased wholesale sales and the effect of stores opened in the past year, while comparable store sales were affected by strong growth in mainland China to local customers and varying degrees of softness in other markets; sales in HK continued to decline which they attribute to lower Chinese tourits spending, but the sales decline was only modest due to increased focus on local clientele in that market; 
</t>
        </r>
        <r>
          <rPr>
            <b/>
            <sz val="9"/>
            <color indexed="81"/>
            <rFont val="Tahoma"/>
            <family val="2"/>
          </rPr>
          <t>Units Sold +28%;</t>
        </r>
        <r>
          <rPr>
            <sz val="9"/>
            <color indexed="81"/>
            <rFont val="Tahoma"/>
            <family val="2"/>
          </rPr>
          <t xml:space="preserve"> The increase in the number of jewelry units sold was largely attributed to increases in the fashion jewelry category. Management attributed the decrease in the average price per jewelry unit sold to a shift in sales mix to the fashion jewelry category that resulted from a significant increase in wholesale sales.  
</t>
        </r>
      </text>
    </comment>
    <comment ref="U229" authorId="18">
      <text>
        <r>
          <rPr>
            <b/>
            <sz val="9"/>
            <color indexed="81"/>
            <rFont val="Tahoma"/>
            <family val="2"/>
          </rPr>
          <t>Cassel, Lauren (Research):</t>
        </r>
        <r>
          <rPr>
            <sz val="9"/>
            <color indexed="81"/>
            <rFont val="Tahoma"/>
            <family val="2"/>
          </rPr>
          <t xml:space="preserve">
5/24/17: due to an improvement in gross margin and sales leverage on operating expenses tied to the increase in wholesale sales</t>
        </r>
      </text>
    </comment>
    <comment ref="X229" authorId="18">
      <text>
        <r>
          <rPr>
            <b/>
            <sz val="9"/>
            <color indexed="81"/>
            <rFont val="Tahoma"/>
            <family val="2"/>
          </rPr>
          <t>Cassel, Lauren (Research):</t>
        </r>
        <r>
          <rPr>
            <sz val="9"/>
            <color indexed="81"/>
            <rFont val="Tahoma"/>
            <family val="2"/>
          </rPr>
          <t xml:space="preserve">
-3% CC</t>
        </r>
      </text>
    </comment>
    <comment ref="Y229" authorId="18">
      <text>
        <r>
          <rPr>
            <b/>
            <sz val="9"/>
            <color indexed="81"/>
            <rFont val="Tahoma"/>
            <family val="2"/>
          </rPr>
          <t>Cassel, Lauren (Research):</t>
        </r>
        <r>
          <rPr>
            <sz val="9"/>
            <color indexed="81"/>
            <rFont val="Tahoma"/>
            <family val="2"/>
          </rPr>
          <t xml:space="preserve">
5/24/17: Management attributed the sales declines to lower spending by Chinese tourists; also lower wholesale sales; saw higher spending attributed to local customers which represents 90% of sales in Japan
 Units Sold -3% primarily reflecing declines in fashion jewelry</t>
        </r>
      </text>
    </comment>
    <comment ref="AA229" authorId="18">
      <text>
        <r>
          <rPr>
            <b/>
            <sz val="9"/>
            <color indexed="81"/>
            <rFont val="Tahoma"/>
            <family val="2"/>
          </rPr>
          <t>Cassel, Lauren (Research):</t>
        </r>
        <r>
          <rPr>
            <sz val="9"/>
            <color indexed="81"/>
            <rFont val="Tahoma"/>
            <family val="2"/>
          </rPr>
          <t xml:space="preserve">
5/24/17: primarily due to a decrease in gross margin that reflected an unfavorable impact of the strengthening of the Yen, as a result of the Company's program to utilize Yen forward contracts for a portion of its forecasted merchandise purchases</t>
        </r>
      </text>
    </comment>
    <comment ref="AH229" authorId="18">
      <text>
        <r>
          <rPr>
            <b/>
            <sz val="9"/>
            <color indexed="81"/>
            <rFont val="Tahoma"/>
            <family val="2"/>
          </rPr>
          <t>Cassel, Lauren (Research):</t>
        </r>
        <r>
          <rPr>
            <sz val="9"/>
            <color indexed="81"/>
            <rFont val="Tahoma"/>
            <family val="2"/>
          </rPr>
          <t xml:space="preserve">
+4% CC</t>
        </r>
      </text>
    </comment>
    <comment ref="AI229" authorId="18">
      <text>
        <r>
          <rPr>
            <b/>
            <sz val="9"/>
            <color indexed="81"/>
            <rFont val="Tahoma"/>
            <family val="2"/>
          </rPr>
          <t>Cassel, Lauren (Research):</t>
        </r>
        <r>
          <rPr>
            <sz val="9"/>
            <color indexed="81"/>
            <rFont val="Tahoma"/>
            <family val="2"/>
          </rPr>
          <t xml:space="preserve">
5/24/17: Performance was generally soft in continental Europe, while management attributed sales growth in the United Kingdom on a constant-exchange-rate basis to spending by local customers and foreign tourists;</t>
        </r>
        <r>
          <rPr>
            <b/>
            <sz val="9"/>
            <color indexed="81"/>
            <rFont val="Tahoma"/>
            <family val="2"/>
          </rPr>
          <t xml:space="preserve"> </t>
        </r>
        <r>
          <rPr>
            <sz val="9"/>
            <color indexed="81"/>
            <rFont val="Tahoma"/>
            <family val="2"/>
          </rPr>
          <t xml:space="preserve">resumption of sales frowth in France; </t>
        </r>
        <r>
          <rPr>
            <b/>
            <sz val="9"/>
            <color indexed="81"/>
            <rFont val="Tahoma"/>
            <family val="2"/>
          </rPr>
          <t xml:space="preserve">
units sold -1%; </t>
        </r>
        <r>
          <rPr>
            <sz val="9"/>
            <color indexed="81"/>
            <rFont val="Tahoma"/>
            <family val="2"/>
          </rPr>
          <t xml:space="preserve">Management attributed the decrease in average price per jewelry unit sold to the negative effect of currency translation, which offset the favorable shift in sales mix towards higher-priced products within the fashion jewelry category. 
</t>
        </r>
      </text>
    </comment>
    <comment ref="AK229" authorId="18">
      <text>
        <r>
          <rPr>
            <b/>
            <sz val="9"/>
            <color indexed="81"/>
            <rFont val="Tahoma"/>
            <family val="2"/>
          </rPr>
          <t>Cassel, Lauren (Research):</t>
        </r>
        <r>
          <rPr>
            <sz val="9"/>
            <color indexed="81"/>
            <rFont val="Tahoma"/>
            <family val="2"/>
          </rPr>
          <t xml:space="preserve">
5/24/17: due to an improvement in gross margin and sales leverage on operating expenses</t>
        </r>
      </text>
    </comment>
    <comment ref="AS229" authorId="18">
      <text>
        <r>
          <rPr>
            <b/>
            <sz val="9"/>
            <color indexed="81"/>
            <rFont val="Tahoma"/>
            <family val="2"/>
          </rPr>
          <t>Cassel, Lauren (Research):</t>
        </r>
        <r>
          <rPr>
            <sz val="9"/>
            <color indexed="81"/>
            <rFont val="Tahoma"/>
            <family val="2"/>
          </rPr>
          <t xml:space="preserve">
+1% comp; +32% sales CC due to an increase in wholesale sales of diamonds</t>
        </r>
      </text>
    </comment>
    <comment ref="BE229" authorId="18">
      <text>
        <r>
          <rPr>
            <b/>
            <sz val="9"/>
            <color indexed="81"/>
            <rFont val="Tahoma"/>
            <family val="2"/>
          </rPr>
          <t>Cassel, Lauren (Research):</t>
        </r>
        <r>
          <rPr>
            <sz val="9"/>
            <color indexed="81"/>
            <rFont val="Tahoma"/>
            <family val="2"/>
          </rPr>
          <t xml:space="preserve">
5/24/17: Unallocated corporate expenses increased by $5.2 million in the first quarter of   2017   primarily due to higher severance costs associated with changes in corporate management.</t>
        </r>
      </text>
    </comment>
    <comment ref="F230" authorId="18">
      <text>
        <r>
          <rPr>
            <b/>
            <sz val="9"/>
            <color indexed="81"/>
            <rFont val="Tahoma"/>
            <family val="2"/>
          </rPr>
          <t>Cassel, Lauren (Research):</t>
        </r>
        <r>
          <rPr>
            <sz val="9"/>
            <color indexed="81"/>
            <rFont val="Tahoma"/>
            <family val="2"/>
          </rPr>
          <t xml:space="preserve">
8/24/17: CC +1%; We were pleased with the strong increase in e-commerce sales, which are not included in comps, and we were also pleased to see an increase in</t>
        </r>
        <r>
          <rPr>
            <b/>
            <sz val="9"/>
            <color indexed="81"/>
            <rFont val="Tahoma"/>
            <family val="2"/>
          </rPr>
          <t xml:space="preserve"> total jewelry unit volume</t>
        </r>
        <r>
          <rPr>
            <sz val="9"/>
            <color indexed="81"/>
            <rFont val="Tahoma"/>
            <family val="2"/>
          </rPr>
          <t xml:space="preserve"> </t>
        </r>
        <r>
          <rPr>
            <b/>
            <sz val="9"/>
            <color indexed="81"/>
            <rFont val="Tahoma"/>
            <family val="2"/>
          </rPr>
          <t>(+6%)</t>
        </r>
        <r>
          <rPr>
            <sz val="9"/>
            <color indexed="81"/>
            <rFont val="Tahoma"/>
            <family val="2"/>
          </rPr>
          <t xml:space="preserve"> propelled by increases in the fashion and designer jewelry categories even though there was a </t>
        </r>
        <r>
          <rPr>
            <b/>
            <sz val="9"/>
            <color indexed="81"/>
            <rFont val="Tahoma"/>
            <family val="2"/>
          </rPr>
          <t>decline in average price tied to a shift in sales mix toward those  categories (-6%)</t>
        </r>
      </text>
    </comment>
    <comment ref="G230" authorId="18">
      <text>
        <r>
          <rPr>
            <b/>
            <sz val="9"/>
            <color indexed="81"/>
            <rFont val="Tahoma"/>
            <family val="2"/>
          </rPr>
          <t>Cassel, Lauren (Research):</t>
        </r>
        <r>
          <rPr>
            <sz val="9"/>
            <color indexed="81"/>
            <rFont val="Tahoma"/>
            <family val="2"/>
          </rPr>
          <t xml:space="preserve">
8/24/17: Results were geographically mixed across the region (with no disruptive effect from the New York flagship store), and management attributed sales softness primarily to lower spending by foreign tourists; Canada down just slightly with reasonably good growth in Latin America</t>
        </r>
      </text>
    </comment>
    <comment ref="R230" authorId="18">
      <text>
        <r>
          <rPr>
            <b/>
            <sz val="9"/>
            <color indexed="81"/>
            <rFont val="Tahoma"/>
            <family val="2"/>
          </rPr>
          <t>Cassel, Lauren (Research):</t>
        </r>
        <r>
          <rPr>
            <sz val="9"/>
            <color indexed="81"/>
            <rFont val="Tahoma"/>
            <family val="2"/>
          </rPr>
          <t xml:space="preserve">
Constant currency +2%; total sales growth due to increased wholesale sales as well as new stores as
well as </t>
        </r>
        <r>
          <rPr>
            <b/>
            <sz val="9"/>
            <color indexed="81"/>
            <rFont val="Tahoma"/>
            <family val="2"/>
          </rPr>
          <t>higher jewelry units sold (+19%)</t>
        </r>
        <r>
          <rPr>
            <sz val="9"/>
            <color indexed="81"/>
            <rFont val="Tahoma"/>
            <family val="2"/>
          </rPr>
          <t xml:space="preserve">, primarily in the fashion and designer categories, though this </t>
        </r>
        <r>
          <rPr>
            <b/>
            <sz val="9"/>
            <color indexed="81"/>
            <rFont val="Tahoma"/>
            <family val="2"/>
          </rPr>
          <t>increase in units was mostly offset by lower average price per unit sold (-17%)</t>
        </r>
        <r>
          <rPr>
            <sz val="9"/>
            <color indexed="81"/>
            <rFont val="Tahoma"/>
            <family val="2"/>
          </rPr>
          <t xml:space="preserve">
</t>
        </r>
      </text>
    </comment>
    <comment ref="S230" authorId="18">
      <text>
        <r>
          <rPr>
            <b/>
            <sz val="9"/>
            <color indexed="81"/>
            <rFont val="Tahoma"/>
            <family val="2"/>
          </rPr>
          <t>Cassel, Lauren (Research):</t>
        </r>
        <r>
          <rPr>
            <sz val="9"/>
            <color indexed="81"/>
            <rFont val="Tahoma"/>
            <family val="2"/>
          </rPr>
          <t xml:space="preserve">
8/24/17: decline in comparable store sales included strong growth in mainland China that was more than offset by softness in other countries, which management attributed to lower Chinese tourist spending. We attribute the growth in Mainland China to local customer spending where we continue to build brand awareness.</t>
        </r>
      </text>
    </comment>
    <comment ref="X230" authorId="18">
      <text>
        <r>
          <rPr>
            <b/>
            <sz val="9"/>
            <color indexed="81"/>
            <rFont val="Tahoma"/>
            <family val="2"/>
          </rPr>
          <t>Cassel, Lauren (Research):</t>
        </r>
        <r>
          <rPr>
            <sz val="9"/>
            <color indexed="81"/>
            <rFont val="Tahoma"/>
            <family val="2"/>
          </rPr>
          <t xml:space="preserve">
8/24/17: Constant currency  +7%; Management attributed retail sales growth to spending by local customers in both periods, while wholesale sales declined.</t>
        </r>
      </text>
    </comment>
    <comment ref="Y230" authorId="18">
      <text>
        <r>
          <rPr>
            <b/>
            <sz val="9"/>
            <color indexed="81"/>
            <rFont val="Tahoma"/>
            <family val="2"/>
          </rPr>
          <t>Cassel, Lauren (Research):</t>
        </r>
        <r>
          <rPr>
            <sz val="9"/>
            <color indexed="81"/>
            <rFont val="Tahoma"/>
            <family val="2"/>
          </rPr>
          <t xml:space="preserve">
8/24/17: There was an </t>
        </r>
        <r>
          <rPr>
            <b/>
            <sz val="9"/>
            <color indexed="81"/>
            <rFont val="Tahoma"/>
            <family val="2"/>
          </rPr>
          <t xml:space="preserve">increase in jewelry units sold (+2%) </t>
        </r>
        <r>
          <rPr>
            <sz val="9"/>
            <color indexed="81"/>
            <rFont val="Tahoma"/>
            <family val="2"/>
          </rPr>
          <t xml:space="preserve">We also attribute the sales growth to increased spending by local customers who represent the vast majority of our sales in Japan while spending attributed to foreign tourists was roughly unchanged; </t>
        </r>
        <r>
          <rPr>
            <b/>
            <sz val="9"/>
            <color indexed="81"/>
            <rFont val="Tahoma"/>
            <family val="2"/>
          </rPr>
          <t>average price per unit sold +3% (-3% CC)</t>
        </r>
      </text>
    </comment>
    <comment ref="AH230" authorId="18">
      <text>
        <r>
          <rPr>
            <b/>
            <sz val="9"/>
            <color indexed="81"/>
            <rFont val="Tahoma"/>
            <family val="2"/>
          </rPr>
          <t>Cassel, Lauren (Research):</t>
        </r>
        <r>
          <rPr>
            <sz val="9"/>
            <color indexed="81"/>
            <rFont val="Tahoma"/>
            <family val="2"/>
          </rPr>
          <t xml:space="preserve">
8/24/17: Constant currency +5%; driven by wholesale sales and new stores</t>
        </r>
      </text>
    </comment>
    <comment ref="AI230" authorId="18">
      <text>
        <r>
          <rPr>
            <b/>
            <sz val="9"/>
            <color indexed="81"/>
            <rFont val="Tahoma"/>
            <family val="2"/>
          </rPr>
          <t>Cassel, Lauren (Research):</t>
        </r>
        <r>
          <rPr>
            <sz val="9"/>
            <color indexed="81"/>
            <rFont val="Tahoma"/>
            <family val="2"/>
          </rPr>
          <t xml:space="preserve">
8/24/17: Retail sales results were geographically mixed across the region; </t>
        </r>
        <r>
          <rPr>
            <b/>
            <sz val="9"/>
            <color indexed="81"/>
            <rFont val="Tahoma"/>
            <family val="2"/>
          </rPr>
          <t>growth in jewelry units sold across all categories (+7%)</t>
        </r>
        <r>
          <rPr>
            <sz val="9"/>
            <color indexed="81"/>
            <rFont val="Tahoma"/>
            <family val="2"/>
          </rPr>
          <t xml:space="preserve">. Comps were positive in several Continental European countries. However, total European comps were down slightly including modestly lower sales in the U.K., which we attribute at least partly to a difficult year-over-year comparison. Keep in mind the spending that we attribute to foreign tourists in London had begun to accelerate near the end of the second quarter last year following the Brexit vote and the drop in the value of the pound. </t>
        </r>
        <r>
          <rPr>
            <b/>
            <sz val="9"/>
            <color indexed="81"/>
            <rFont val="Tahoma"/>
            <family val="2"/>
          </rPr>
          <t>Average price per unit sold -3% as reported, -1% constant currency</t>
        </r>
      </text>
    </comment>
    <comment ref="AS230" authorId="18">
      <text>
        <r>
          <rPr>
            <b/>
            <sz val="9"/>
            <color indexed="81"/>
            <rFont val="Tahoma"/>
            <family val="2"/>
          </rPr>
          <t>Cassel, Lauren (Research):</t>
        </r>
        <r>
          <rPr>
            <sz val="9"/>
            <color indexed="81"/>
            <rFont val="Tahoma"/>
            <family val="2"/>
          </rPr>
          <t xml:space="preserve">
8/24/17: The increases were entirely due to increased wholesale sales of diamonds; Comp -8%</t>
        </r>
      </text>
    </comment>
    <comment ref="F231" authorId="18">
      <text>
        <r>
          <rPr>
            <b/>
            <sz val="9"/>
            <color indexed="81"/>
            <rFont val="Tahoma"/>
            <family val="2"/>
          </rPr>
          <t>Cassel, Lauren (Research):</t>
        </r>
        <r>
          <rPr>
            <sz val="9"/>
            <color indexed="81"/>
            <rFont val="Tahoma"/>
            <family val="2"/>
          </rPr>
          <t xml:space="preserve">
11/29/17: Management noted that there were no significant geographic variations across the region, and attributed the overall sales softness to lower spending by foreign tourists; CC +1%; </t>
        </r>
        <r>
          <rPr>
            <b/>
            <sz val="9"/>
            <color indexed="81"/>
            <rFont val="Tahoma"/>
            <family val="2"/>
          </rPr>
          <t xml:space="preserve">units sold +2%; AUR -3%; </t>
        </r>
        <r>
          <rPr>
            <sz val="9"/>
            <color indexed="81"/>
            <rFont val="Tahoma"/>
            <family val="2"/>
          </rPr>
          <t xml:space="preserve">The increase in the number of jewelry units sold in both the third quarter and year-to-date reflected increases in the fashion, designer and high, fine &amp; solitaire jewelry categories. Management attributed the decrease in the average price per jewelry unit sold in the third quarter to a shift in sales mix within the jewelry categories and, in the year-to-date, to a shift in sales mix to the fashion jewelry and designer jewelry categories. </t>
        </r>
      </text>
    </comment>
    <comment ref="I231" authorId="18">
      <text>
        <r>
          <rPr>
            <b/>
            <sz val="9"/>
            <color indexed="81"/>
            <rFont val="Tahoma"/>
            <family val="2"/>
          </rPr>
          <t>Cassel, Lauren (Research):</t>
        </r>
        <r>
          <rPr>
            <sz val="9"/>
            <color indexed="81"/>
            <rFont val="Tahoma"/>
            <family val="2"/>
          </rPr>
          <t xml:space="preserve">
11/29/17: due to sales leverage on operating expenses and an increase in gross margin</t>
        </r>
      </text>
    </comment>
    <comment ref="R231" authorId="18">
      <text>
        <r>
          <rPr>
            <b/>
            <sz val="9"/>
            <color indexed="81"/>
            <rFont val="Tahoma"/>
            <family val="2"/>
          </rPr>
          <t>Cassel, Lauren (Research):</t>
        </r>
        <r>
          <rPr>
            <sz val="9"/>
            <color indexed="81"/>
            <rFont val="Tahoma"/>
            <family val="2"/>
          </rPr>
          <t xml:space="preserve">
11/29/17: CC +14%; Total sales growth resulted from increased wholesale  (Korea) and retail sales; on a comparable store sales basis, strong growth in mainland China contrasted with declines in most other countries, which management attributed largely to lower Chinese tourist spending; </t>
        </r>
        <r>
          <rPr>
            <b/>
            <sz val="9"/>
            <color indexed="81"/>
            <rFont val="Tahoma"/>
            <family val="2"/>
          </rPr>
          <t xml:space="preserve">units sold +21%; AUR -5%; </t>
        </r>
        <r>
          <rPr>
            <sz val="9"/>
            <color indexed="81"/>
            <rFont val="Tahoma"/>
            <family val="2"/>
          </rPr>
          <t xml:space="preserve">The increase in the number of jewelry units sold in both the third quarter and year-to-date reflected increases in the fashion, designer and high, fine &amp; solitaire jewelry categories. Management attributed the decrease in the average price per jewelry unit sold in the third quarter to a shift in sales mix within the jewelry categories and, in the year-to-date, to a shift in sales mix to the fashion jewelry and designer jewelry categories. </t>
        </r>
      </text>
    </comment>
    <comment ref="S231" authorId="18">
      <text>
        <r>
          <rPr>
            <b/>
            <sz val="9"/>
            <color indexed="81"/>
            <rFont val="Tahoma"/>
            <family val="2"/>
          </rPr>
          <t>Cassel, Lauren (Research):</t>
        </r>
        <r>
          <rPr>
            <sz val="9"/>
            <color indexed="81"/>
            <rFont val="Tahoma"/>
            <family val="2"/>
          </rPr>
          <t xml:space="preserve">
11/29/17: While we were pleased with sales growth in Mainland China, we were also encouraged to see sales in Hong Kong almost flat with last year after 3 years of substantial declines. However, comp declines in some other countries, which we attribute at least in part to lower Chinese tourist spending, affected the region's overall results.</t>
        </r>
      </text>
    </comment>
    <comment ref="U231" authorId="18">
      <text>
        <r>
          <rPr>
            <b/>
            <sz val="9"/>
            <color indexed="81"/>
            <rFont val="Tahoma"/>
            <family val="2"/>
          </rPr>
          <t>Cassel, Lauren (Research):</t>
        </r>
        <r>
          <rPr>
            <sz val="9"/>
            <color indexed="81"/>
            <rFont val="Tahoma"/>
            <family val="2"/>
          </rPr>
          <t xml:space="preserve">
11/29/17: due to sales leverage on operating expenses, partly offset by a decrease in gross margin, both attributable to increased wholesale sales in the region</t>
        </r>
      </text>
    </comment>
    <comment ref="X231" authorId="18">
      <text>
        <r>
          <rPr>
            <b/>
            <sz val="9"/>
            <color indexed="81"/>
            <rFont val="Tahoma"/>
            <family val="2"/>
          </rPr>
          <t>Cassel, Lauren (Research):</t>
        </r>
        <r>
          <rPr>
            <sz val="9"/>
            <color indexed="81"/>
            <rFont val="Tahoma"/>
            <family val="2"/>
          </rPr>
          <t xml:space="preserve">
11/29/17: constant currency sales flat; Sales declines in both periods largely reflected the negative effect of a weaker yen versus the dollar; </t>
        </r>
        <r>
          <rPr>
            <b/>
            <sz val="9"/>
            <color indexed="81"/>
            <rFont val="Tahoma"/>
            <family val="2"/>
          </rPr>
          <t xml:space="preserve">Units sold -13%; AUR +12%; </t>
        </r>
        <r>
          <rPr>
            <sz val="9"/>
            <color indexed="81"/>
            <rFont val="Tahoma"/>
            <family val="2"/>
          </rPr>
          <t xml:space="preserve">The decrease in the number of jewelry units sold in both periods reflected decreases in the fashion and designer jewelry categories. Management attributed the increase in the average price per jewelry unit sold in the third quarter to a shift in sales mix to the engagement jewelry &amp; wedding bands and high, fine &amp; solitaire jewelry categories, partly offset by the negative effect of currency translation.  </t>
        </r>
        <r>
          <rPr>
            <b/>
            <sz val="9"/>
            <color indexed="81"/>
            <rFont val="Tahoma"/>
            <family val="2"/>
          </rPr>
          <t xml:space="preserve">
</t>
        </r>
      </text>
    </comment>
    <comment ref="AA231" authorId="18">
      <text>
        <r>
          <rPr>
            <b/>
            <sz val="9"/>
            <color indexed="81"/>
            <rFont val="Tahoma"/>
            <family val="2"/>
          </rPr>
          <t>Cassel, Lauren (Research):</t>
        </r>
        <r>
          <rPr>
            <sz val="9"/>
            <color indexed="81"/>
            <rFont val="Tahoma"/>
            <family val="2"/>
          </rPr>
          <t xml:space="preserve">
11/29/17: due to an increase in gross margin (which includes the effect of changes in exchange rates on inventory purchases), partly offset by sales deleverage on operating expenses</t>
        </r>
      </text>
    </comment>
    <comment ref="AH231" authorId="18">
      <text>
        <r>
          <rPr>
            <b/>
            <sz val="9"/>
            <color indexed="81"/>
            <rFont val="Tahoma"/>
            <family val="2"/>
          </rPr>
          <t>Cassel, Lauren (Research):</t>
        </r>
        <r>
          <rPr>
            <sz val="9"/>
            <color indexed="81"/>
            <rFont val="Tahoma"/>
            <family val="2"/>
          </rPr>
          <t xml:space="preserve">
11/29/17: Constant FX +1%; Management noted total retail sales growth across most of continental Europe, and a decline in sales in the U.K. (which had achieved strong growth in last year's third quarter following the weakening of the British pound); </t>
        </r>
        <r>
          <rPr>
            <b/>
            <sz val="9"/>
            <color indexed="81"/>
            <rFont val="Tahoma"/>
            <family val="2"/>
          </rPr>
          <t xml:space="preserve">units sold +1%; AUR flat; </t>
        </r>
        <r>
          <rPr>
            <sz val="9"/>
            <color indexed="81"/>
            <rFont val="Tahoma"/>
            <family val="2"/>
          </rPr>
          <t xml:space="preserve">Management attributed the increase in average price per jewelry unit sold in the third quarter to the positive effect of currency translation. The increase in the number of jewelry units sold in the year-to-date was attributed to increases in the fashion and designer jewelry categories. </t>
        </r>
      </text>
    </comment>
    <comment ref="AI231" authorId="18">
      <text>
        <r>
          <rPr>
            <b/>
            <sz val="9"/>
            <color indexed="81"/>
            <rFont val="Tahoma"/>
            <family val="2"/>
          </rPr>
          <t>Cassel, Lauren (Research):</t>
        </r>
        <r>
          <rPr>
            <sz val="9"/>
            <color indexed="81"/>
            <rFont val="Tahoma"/>
            <family val="2"/>
          </rPr>
          <t xml:space="preserve">
11/29/17: In Continental Europe, total sales rose in most countries. Sales declined in the U.K. but keep in mind that very strong growth at this time last year when spending that we attributed to foreign tourists in London was surging in reaction to the weaker pound (means UK has to be down -20%+)</t>
        </r>
      </text>
    </comment>
    <comment ref="AK231" authorId="18">
      <text>
        <r>
          <rPr>
            <b/>
            <sz val="9"/>
            <color indexed="81"/>
            <rFont val="Tahoma"/>
            <family val="2"/>
          </rPr>
          <t>Cassel, Lauren (Research):</t>
        </r>
        <r>
          <rPr>
            <sz val="9"/>
            <color indexed="81"/>
            <rFont val="Tahoma"/>
            <family val="2"/>
          </rPr>
          <t xml:space="preserve">
11/29/17: due to sales deleverage on operating expenses (partly attributable to increased store-related expenses), partly offset by an increase in gross margin</t>
        </r>
      </text>
    </comment>
    <comment ref="AS231" authorId="18">
      <text>
        <r>
          <rPr>
            <b/>
            <sz val="9"/>
            <color indexed="81"/>
            <rFont val="Tahoma"/>
            <family val="2"/>
          </rPr>
          <t>Cassel, Lauren (Research):</t>
        </r>
        <r>
          <rPr>
            <sz val="9"/>
            <color indexed="81"/>
            <rFont val="Tahoma"/>
            <family val="2"/>
          </rPr>
          <t xml:space="preserve">
11/29/17: UAE Comps +7%; primarily reflecting a decline in wholesale sales of diamonds in the quarter </t>
        </r>
      </text>
    </comment>
    <comment ref="F232" authorId="18">
      <text>
        <r>
          <rPr>
            <b/>
            <sz val="9"/>
            <color indexed="81"/>
            <rFont val="Tahoma"/>
            <family val="2"/>
          </rPr>
          <t>Cassel, Lauren (Research):
3/16/18: CC +5%</t>
        </r>
        <r>
          <rPr>
            <sz val="9"/>
            <color indexed="81"/>
            <rFont val="Tahoma"/>
            <family val="2"/>
          </rPr>
          <t xml:space="preserve">
1/17/18: Holiday: mgmt noted varying degrees of growth across most of the US, Canada, and Latin America with higher spending attributed primarily to local customers</t>
        </r>
      </text>
    </comment>
    <comment ref="G232" authorId="18">
      <text>
        <r>
          <rPr>
            <b/>
            <sz val="9"/>
            <color indexed="81"/>
            <rFont val="Tahoma"/>
            <family val="2"/>
          </rPr>
          <t xml:space="preserve">Cassel, Lauren (Research):
3/16.18: </t>
        </r>
        <r>
          <rPr>
            <sz val="9"/>
            <color indexed="81"/>
            <rFont val="Tahoma"/>
            <family val="2"/>
          </rPr>
          <t>Geographically broad-based across the U.S., Canada and Latin America and it was largely comprised of higher spending attributed to local customers. While spending attributed to foreign tourists in the quarter was unchanged from the prior year, that was nonetheless an improvement from the past couple of years when we faced the challenge of a strong U.S. dollar and its negative repercussions on tourist spending here</t>
        </r>
        <r>
          <rPr>
            <b/>
            <sz val="9"/>
            <color indexed="81"/>
            <rFont val="Tahoma"/>
            <family val="2"/>
          </rPr>
          <t xml:space="preserve">
1/17/18: Holiday comp +6%</t>
        </r>
        <r>
          <rPr>
            <sz val="9"/>
            <color indexed="81"/>
            <rFont val="Tahoma"/>
            <family val="2"/>
          </rPr>
          <t xml:space="preserve">
Flagship -7% LY and ~17% of Americas sales = 1.2% comp benefit</t>
        </r>
      </text>
    </comment>
    <comment ref="R232" authorId="18">
      <text>
        <r>
          <rPr>
            <b/>
            <sz val="9"/>
            <color indexed="81"/>
            <rFont val="Tahoma"/>
            <family val="2"/>
          </rPr>
          <t>Cassel, Lauren (Research):
3/16/18: CC +9%; benefitted from sales growth across Greater China</t>
        </r>
        <r>
          <rPr>
            <sz val="9"/>
            <color indexed="81"/>
            <rFont val="Tahoma"/>
            <family val="2"/>
          </rPr>
          <t xml:space="preserve">
1/17/18: mgmt attributed retail sales growth primarily to higher spending by local customers, and particularly noted growth in mainland China, Hong Kong, and Korea</t>
        </r>
      </text>
    </comment>
    <comment ref="S232" authorId="18">
      <text>
        <r>
          <rPr>
            <b/>
            <sz val="9"/>
            <color indexed="81"/>
            <rFont val="Tahoma"/>
            <family val="2"/>
          </rPr>
          <t xml:space="preserve">Cassel, Lauren (Research):
3/16/18: returned to growth in Hong Kong in 4Q after 3 years of declines
</t>
        </r>
        <r>
          <rPr>
            <sz val="9"/>
            <color indexed="81"/>
            <rFont val="Tahoma"/>
            <family val="2"/>
          </rPr>
          <t>1/17/18: Holiday comp +4%</t>
        </r>
      </text>
    </comment>
    <comment ref="X232" authorId="18">
      <text>
        <r>
          <rPr>
            <b/>
            <sz val="9"/>
            <color indexed="81"/>
            <rFont val="Tahoma"/>
            <family val="2"/>
          </rPr>
          <t>Cassel, Lauren (Research):
3/16/18: CC +1%</t>
        </r>
        <r>
          <rPr>
            <sz val="9"/>
            <color indexed="81"/>
            <rFont val="Tahoma"/>
            <family val="2"/>
          </rPr>
          <t xml:space="preserve">
1/18/17: mgmt noted a difficult comparison to exceptionally strong growth in spending attributed to local customers in last year's holiday period</t>
        </r>
      </text>
    </comment>
    <comment ref="Y232" authorId="18">
      <text>
        <r>
          <rPr>
            <b/>
            <sz val="9"/>
            <color indexed="81"/>
            <rFont val="Tahoma"/>
            <family val="2"/>
          </rPr>
          <t>Cassel, Lauren (Research):
1/17/18: Holiday comp flat</t>
        </r>
        <r>
          <rPr>
            <sz val="9"/>
            <color indexed="81"/>
            <rFont val="Tahoma"/>
            <family val="2"/>
          </rPr>
          <t xml:space="preserve">
11/29/17: We are planning for a tough comparison in the fourth quarter when we go up against the comp store sales increase last year
that we believe was at least partly tied to extensive favorable publicity from a popular television show.</t>
        </r>
      </text>
    </comment>
    <comment ref="AH232" authorId="18">
      <text>
        <r>
          <rPr>
            <b/>
            <sz val="9"/>
            <color indexed="81"/>
            <rFont val="Tahoma"/>
            <family val="2"/>
          </rPr>
          <t>Cassel, Lauren (Research):
3/16/18: CC +4%; reflects positive effects from currency translation, new stores, and eCommerce sales growth</t>
        </r>
        <r>
          <rPr>
            <sz val="9"/>
            <color indexed="81"/>
            <rFont val="Tahoma"/>
            <family val="2"/>
          </rPr>
          <t xml:space="preserve">
1/17/18: mgmt noted varying performance across the region with overall sales growth attributed to higher local customer spending</t>
        </r>
      </text>
    </comment>
    <comment ref="AI232" authorId="18">
      <text>
        <r>
          <rPr>
            <b/>
            <sz val="9"/>
            <color indexed="81"/>
            <rFont val="Tahoma"/>
            <family val="2"/>
          </rPr>
          <t>Cassel, Lauren (Research):
3/16/18: management attributes in part to softness across much of the region as well as negative effects from new stores (Milan, Moscow) on existing store sales</t>
        </r>
        <r>
          <rPr>
            <sz val="9"/>
            <color indexed="81"/>
            <rFont val="Tahoma"/>
            <family val="2"/>
          </rPr>
          <t xml:space="preserve">
1/17/18: Holiday comp -7%</t>
        </r>
      </text>
    </comment>
    <comment ref="AS232" authorId="18">
      <text>
        <r>
          <rPr>
            <b/>
            <sz val="9"/>
            <color indexed="81"/>
            <rFont val="Tahoma"/>
            <family val="2"/>
          </rPr>
          <t xml:space="preserve">Cassel, Lauren (Research):
3/15/18: +6% comp; reflects higher wholeale of diamonds </t>
        </r>
        <r>
          <rPr>
            <sz val="9"/>
            <color indexed="81"/>
            <rFont val="Tahoma"/>
            <family val="2"/>
          </rPr>
          <t xml:space="preserve">
1/17/18: Holiday comp  +14% offset by a decline in wholesale sales of diamonds</t>
        </r>
      </text>
    </comment>
    <comment ref="F233" authorId="18">
      <text>
        <r>
          <rPr>
            <b/>
            <sz val="9"/>
            <color indexed="81"/>
            <rFont val="Tahoma"/>
            <family val="2"/>
          </rPr>
          <t>Cassel, Lauren (Research):
Units sold +5%; AUR -4%</t>
        </r>
        <r>
          <rPr>
            <sz val="9"/>
            <color indexed="81"/>
            <rFont val="Tahoma"/>
            <family val="2"/>
          </rPr>
          <t xml:space="preserve">
3/16/18: CC+1%;  "no meaningful geographic differences acorss the region"</t>
        </r>
      </text>
    </comment>
    <comment ref="G233" authorId="18">
      <text>
        <r>
          <rPr>
            <b/>
            <sz val="9"/>
            <color indexed="81"/>
            <rFont val="Tahoma"/>
            <family val="2"/>
          </rPr>
          <t>Cassel, Lauren (Research):</t>
        </r>
        <r>
          <rPr>
            <sz val="9"/>
            <color indexed="81"/>
            <rFont val="Tahoma"/>
            <family val="2"/>
          </rPr>
          <t xml:space="preserve">
3/16/18: attributed to increased spending by local customerse; foreign tourist spending = a bit less than 20% of sales</t>
        </r>
      </text>
    </comment>
    <comment ref="I233" authorId="18">
      <text>
        <r>
          <rPr>
            <b/>
            <sz val="9"/>
            <color indexed="81"/>
            <rFont val="Tahoma"/>
            <family val="2"/>
          </rPr>
          <t>Cassel, Lauren (Research):</t>
        </r>
        <r>
          <rPr>
            <sz val="9"/>
            <color indexed="81"/>
            <rFont val="Tahoma"/>
            <family val="2"/>
          </rPr>
          <t xml:space="preserve">
3/16/18: the ratio increased 60 basis points due to an improvement in gross margin, partly offset by sales deleverage on operating expenses</t>
        </r>
      </text>
    </comment>
    <comment ref="R233" authorId="18">
      <text>
        <r>
          <rPr>
            <b/>
            <sz val="9"/>
            <color indexed="81"/>
            <rFont val="Tahoma"/>
            <family val="2"/>
          </rPr>
          <t>Cassel, Lauren (Research):
3/16/18: AUR -10%; Units sold +21%
60% of asia pac is greater china = mainland + Taiwan + HK + Macau</t>
        </r>
        <r>
          <rPr>
            <sz val="9"/>
            <color indexed="81"/>
            <rFont val="Tahoma"/>
            <family val="2"/>
          </rPr>
          <t xml:space="preserve">
3/16/18: CC +8%;  reflects higher wholesale (Korea) and retail sales</t>
        </r>
      </text>
    </comment>
    <comment ref="S233" authorId="18">
      <text>
        <r>
          <rPr>
            <b/>
            <sz val="9"/>
            <color indexed="81"/>
            <rFont val="Tahoma"/>
            <family val="2"/>
          </rPr>
          <t>Cassel, Lauren (Research):</t>
        </r>
        <r>
          <rPr>
            <sz val="9"/>
            <color indexed="81"/>
            <rFont val="Tahoma"/>
            <family val="2"/>
          </rPr>
          <t xml:space="preserve">
3/1618: the full year decline reflects strong sales growth in mainland China that was offset by lower sales in most other countries driven at least partly by lower spending by Chinese tourists; howveer it's worth noting very strong wholesale sales growth in Korea throughout the year, which were not included in our comp store sales, reflect duty-free sales demand that we attribute largely to Chinese tourists</t>
        </r>
      </text>
    </comment>
    <comment ref="U233" authorId="18">
      <text>
        <r>
          <rPr>
            <b/>
            <sz val="9"/>
            <color indexed="81"/>
            <rFont val="Tahoma"/>
            <family val="2"/>
          </rPr>
          <t>Cassel, Lauren (Research):</t>
        </r>
        <r>
          <rPr>
            <sz val="9"/>
            <color indexed="81"/>
            <rFont val="Tahoma"/>
            <family val="2"/>
          </rPr>
          <t xml:space="preserve">
3/16/18: the ratio increased 50 basis points due to sales leverage on operating expenses, partly offset by a decrease in gross margin, both attributable to increased wholesale sales in the region</t>
        </r>
      </text>
    </comment>
    <comment ref="X233" authorId="18">
      <text>
        <r>
          <rPr>
            <b/>
            <sz val="9"/>
            <color indexed="81"/>
            <rFont val="Tahoma"/>
            <family val="2"/>
          </rPr>
          <t>Cassel, Lauren (Research):
3/16/18:Japan AUR +3% CC, Units sold -3%; decrease in the number of jewelry units sold primarily reflected decreases in the Jewelry collections and the Designer jewelry categories, partly offset by increases in the Engagement jewelry category; Most spending in Japan is attributed to local customers and there was no discernible pattern to changes in unit volume
and price in the quarter or the year.</t>
        </r>
        <r>
          <rPr>
            <sz val="9"/>
            <color indexed="81"/>
            <rFont val="Tahoma"/>
            <family val="2"/>
          </rPr>
          <t xml:space="preserve">
3/16/18: +1% CC</t>
        </r>
      </text>
    </comment>
    <comment ref="AA233" authorId="18">
      <text>
        <r>
          <rPr>
            <b/>
            <sz val="9"/>
            <color indexed="81"/>
            <rFont val="Tahoma"/>
            <family val="2"/>
          </rPr>
          <t>Cassel, Lauren (Research):</t>
        </r>
        <r>
          <rPr>
            <sz val="9"/>
            <color indexed="81"/>
            <rFont val="Tahoma"/>
            <family val="2"/>
          </rPr>
          <t xml:space="preserve">
3/16/18:  the ratio increased 90 basis points due to an increase in gross margin (which includes the effect of changes in foreign currency exchange rates on inventory purchases), partly offset by sales deleverage on operating expenses</t>
        </r>
      </text>
    </comment>
    <comment ref="AH233" authorId="18">
      <text>
        <r>
          <rPr>
            <b/>
            <sz val="9"/>
            <color indexed="81"/>
            <rFont val="Tahoma"/>
            <family val="2"/>
          </rPr>
          <t>Cassel, Lauren (Research):
3/16/18: Performance was soft across much of the region and the U.K. continued to represent about 40% of European sales. In addition, the growth was largely generated by higher spending that we attribute to local customers, which we estimate represent about 3/4 of our European salesAUR flat, units sold +4%; increase in the number of jewelry units sold reflected increases across all categories. Management attributed the increase in average price per unit sold to the positive effect of currency translation</t>
        </r>
        <r>
          <rPr>
            <sz val="9"/>
            <color indexed="81"/>
            <rFont val="Tahoma"/>
            <family val="2"/>
          </rPr>
          <t xml:space="preserve">
3/16/18: +3% CC</t>
        </r>
      </text>
    </comment>
    <comment ref="AK233" authorId="18">
      <text>
        <r>
          <rPr>
            <b/>
            <sz val="9"/>
            <color indexed="81"/>
            <rFont val="Tahoma"/>
            <family val="2"/>
          </rPr>
          <t>Cassel, Lauren (Research):</t>
        </r>
        <r>
          <rPr>
            <sz val="9"/>
            <color indexed="81"/>
            <rFont val="Tahoma"/>
            <family val="2"/>
          </rPr>
          <t xml:space="preserve">
3/16/18: the ratio increased 10 basis points due to an increase in gross margin, largely offset by a sales deleverage on operating expenses</t>
        </r>
      </text>
    </comment>
    <comment ref="AS233" authorId="18">
      <text>
        <r>
          <rPr>
            <b/>
            <sz val="9"/>
            <color indexed="81"/>
            <rFont val="Tahoma"/>
            <family val="2"/>
          </rPr>
          <t>Cassel, Lauren (Research):</t>
        </r>
        <r>
          <rPr>
            <sz val="9"/>
            <color indexed="81"/>
            <rFont val="Tahoma"/>
            <family val="2"/>
          </rPr>
          <t xml:space="preserve">
3/16/18: +2% comp; reflects higher wholeale of diamonds</t>
        </r>
      </text>
    </comment>
    <comment ref="BE233" authorId="18">
      <text>
        <r>
          <rPr>
            <b/>
            <sz val="9"/>
            <color indexed="81"/>
            <rFont val="Tahoma"/>
            <family val="2"/>
          </rPr>
          <t>Cassel, Lauren (Research):</t>
        </r>
        <r>
          <rPr>
            <sz val="9"/>
            <color indexed="81"/>
            <rFont val="Tahoma"/>
            <family val="2"/>
          </rPr>
          <t xml:space="preserve">
3/16/18: Unallocated corporate expenses include costs related to administrative support functions which the Company does not allocate to its segments. Such unallocated costs include those for centralized information technology, finance, legal and human resources departments. U</t>
        </r>
        <r>
          <rPr>
            <b/>
            <sz val="9"/>
            <color indexed="81"/>
            <rFont val="Tahoma"/>
            <family val="2"/>
          </rPr>
          <t>nallocated corporate expenses increased by $19.9 million in 2017 due to an increase in charitable donations to the Tiffany &amp; Co. Foundation, a private foundation organized to support 501(c)(3) charitable organizations, increased costs associated with upgrades to the Company's information technology systems and higher severance costs associated with changes in corporate management.</t>
        </r>
        <r>
          <rPr>
            <sz val="9"/>
            <color indexed="81"/>
            <rFont val="Tahoma"/>
            <family val="2"/>
          </rPr>
          <t xml:space="preserve"> </t>
        </r>
      </text>
    </comment>
    <comment ref="S236" authorId="18">
      <text>
        <r>
          <rPr>
            <b/>
            <sz val="9"/>
            <color indexed="81"/>
            <rFont val="Tahoma"/>
            <family val="2"/>
          </rPr>
          <t>Cassel, Lauren (Research):</t>
        </r>
        <r>
          <rPr>
            <sz val="9"/>
            <color indexed="81"/>
            <rFont val="Tahoma"/>
            <family val="2"/>
          </rPr>
          <t xml:space="preserve">
3/16/18: Chinese new year shifted into Feb this year out of January LY</t>
        </r>
      </text>
    </comment>
  </commentList>
</comments>
</file>

<file path=xl/comments6.xml><?xml version="1.0" encoding="utf-8"?>
<comments xmlns="http://schemas.openxmlformats.org/spreadsheetml/2006/main">
  <authors>
    <author>Turley, Amber (Research)</author>
    <author>Morry Brown</author>
    <author>mm98285</author>
    <author>pw64212</author>
    <author>ns66486</author>
    <author>nicholjs</author>
    <author>P Kahng</author>
    <author>turleamb</author>
    <author>Cassel, Lauren (Research)</author>
    <author>SB</author>
    <author>casselau</author>
    <author>marchant</author>
    <author>NS66486</author>
    <author>kahng</author>
    <author>KG51925</author>
    <author>solejay</author>
    <author>oc48540</author>
    <author>kimberlg</author>
    <author>ol36766</author>
    <author>lr73192</author>
  </authors>
  <commentList>
    <comment ref="CH8" authorId="0">
      <text>
        <r>
          <rPr>
            <b/>
            <sz val="9"/>
            <color indexed="81"/>
            <rFont val="Tahoma"/>
            <family val="2"/>
          </rPr>
          <t>Turley, Amber (Research):</t>
        </r>
        <r>
          <rPr>
            <sz val="9"/>
            <color indexed="81"/>
            <rFont val="Tahoma"/>
            <family val="2"/>
          </rPr>
          <t xml:space="preserve">
per 10-K: Comparable store sales include only sales transacted in Company-operated stores open for more than 12 months. In markets other than Japan, sales for relocated stores are included in comparable store sales if the relocation occurs within the same geographical market. In Japan, sales for a new store are not included if the store was relocated from one department store to another or from a department store to a free-standing location. In all markets, the results of a store in which the square footage has been expanded or reduced remain in the comparable store base.</t>
        </r>
      </text>
    </comment>
    <comment ref="CO8" authorId="0">
      <text>
        <r>
          <rPr>
            <b/>
            <sz val="9"/>
            <color indexed="81"/>
            <rFont val="Tahoma"/>
            <family val="2"/>
          </rPr>
          <t>Turley, Amber (Research):</t>
        </r>
        <r>
          <rPr>
            <sz val="9"/>
            <color indexed="81"/>
            <rFont val="Tahoma"/>
            <family val="2"/>
          </rPr>
          <t xml:space="preserve">
per 10-K: Comparable store sales include only sales transacted in Company-operated stores open for more than 12 months. In markets other than Japan, sales for relocated stores are included in comparable store sales if the relocation occurs within the same geographical market. In Japan, sales for a new store are not included if the store was relocated from one department store to another or from a department store to a free-standing location. In all markets, the results of a store in which the square footage has been expanded or reduced remain in the comparable store base.</t>
        </r>
      </text>
    </comment>
    <comment ref="BP10" authorId="1">
      <text>
        <r>
          <rPr>
            <b/>
            <sz val="8"/>
            <color indexed="81"/>
            <rFont val="Tahoma"/>
            <family val="2"/>
          </rPr>
          <t>Morry Brown:</t>
        </r>
        <r>
          <rPr>
            <sz val="8"/>
            <color indexed="81"/>
            <rFont val="Tahoma"/>
            <family val="2"/>
          </rPr>
          <t xml:space="preserve">
+5 GAAP</t>
        </r>
      </text>
    </comment>
    <comment ref="BR10" authorId="2">
      <text>
        <r>
          <rPr>
            <b/>
            <sz val="8"/>
            <color indexed="81"/>
            <rFont val="Tahoma"/>
            <family val="2"/>
          </rPr>
          <t>mm98285:</t>
        </r>
        <r>
          <rPr>
            <sz val="8"/>
            <color indexed="81"/>
            <rFont val="Tahoma"/>
            <family val="2"/>
          </rPr>
          <t xml:space="preserve">
$539.241 prior to restatement
</t>
        </r>
      </text>
    </comment>
    <comment ref="BV10" authorId="3">
      <text>
        <r>
          <rPr>
            <b/>
            <sz val="8"/>
            <color indexed="81"/>
            <rFont val="Tahoma"/>
            <family val="2"/>
          </rPr>
          <t>pw64212:</t>
        </r>
        <r>
          <rPr>
            <sz val="8"/>
            <color indexed="81"/>
            <rFont val="Tahoma"/>
            <family val="2"/>
          </rPr>
          <t xml:space="preserve">
$620.875 prior to restatement
2007 1Q 10Q: Page 4more than half of the U.S. sales increase came from higher local customer spending.  However, in our NY flagship store, the larger part of its sales increase was due to higher foreign tourist spending, especially from European visitors who are likely taking advantage of their strong currencies.</t>
        </r>
      </text>
    </comment>
    <comment ref="BW10" authorId="3">
      <text>
        <r>
          <rPr>
            <b/>
            <sz val="8"/>
            <color indexed="81"/>
            <rFont val="Tahoma"/>
            <family val="2"/>
          </rPr>
          <t>pw64212:</t>
        </r>
        <r>
          <rPr>
            <sz val="8"/>
            <color indexed="81"/>
            <rFont val="Tahoma"/>
            <family val="2"/>
          </rPr>
          <t xml:space="preserve">
driven by an increase in the amount spent per transaction</t>
        </r>
      </text>
    </comment>
    <comment ref="BZ10" authorId="2">
      <text>
        <r>
          <rPr>
            <b/>
            <sz val="8"/>
            <color indexed="81"/>
            <rFont val="Tahoma"/>
            <family val="2"/>
          </rPr>
          <t>mm98285:</t>
        </r>
        <r>
          <rPr>
            <sz val="8"/>
            <color indexed="81"/>
            <rFont val="Tahoma"/>
            <family val="2"/>
          </rPr>
          <t xml:space="preserve">
8/09: excludes $2.669 Iridesse</t>
        </r>
      </text>
    </comment>
    <comment ref="CA10" authorId="2">
      <text>
        <r>
          <rPr>
            <b/>
            <sz val="8"/>
            <color indexed="81"/>
            <rFont val="Tahoma"/>
            <family val="2"/>
          </rPr>
          <t>mm98285:</t>
        </r>
        <r>
          <rPr>
            <sz val="8"/>
            <color indexed="81"/>
            <rFont val="Tahoma"/>
            <family val="2"/>
          </rPr>
          <t xml:space="preserve">
+4% translation effect
+8% constant exchange rate basis</t>
        </r>
      </text>
    </comment>
    <comment ref="CB10" authorId="2">
      <text>
        <r>
          <rPr>
            <b/>
            <sz val="8"/>
            <color indexed="81"/>
            <rFont val="Tahoma"/>
            <family val="2"/>
          </rPr>
          <t>mm98285:</t>
        </r>
        <r>
          <rPr>
            <sz val="8"/>
            <color indexed="81"/>
            <rFont val="Tahoma"/>
            <family val="2"/>
          </rPr>
          <t xml:space="preserve">
+4% translation effect
+7% GAAP reported</t>
        </r>
      </text>
    </comment>
    <comment ref="CD10" authorId="2">
      <text>
        <r>
          <rPr>
            <b/>
            <sz val="8"/>
            <color indexed="81"/>
            <rFont val="Tahoma"/>
            <family val="2"/>
          </rPr>
          <t>mm98285:</t>
        </r>
        <r>
          <rPr>
            <sz val="8"/>
            <color indexed="81"/>
            <rFont val="Tahoma"/>
            <family val="2"/>
          </rPr>
          <t xml:space="preserve">
8/09: exclude $5.444M Iridesse sales</t>
        </r>
      </text>
    </comment>
    <comment ref="CE10" authorId="2">
      <text>
        <r>
          <rPr>
            <b/>
            <sz val="8"/>
            <color indexed="81"/>
            <rFont val="Tahoma"/>
            <family val="2"/>
          </rPr>
          <t>mm98285:</t>
        </r>
        <r>
          <rPr>
            <sz val="8"/>
            <color indexed="81"/>
            <rFont val="Tahoma"/>
            <family val="2"/>
          </rPr>
          <t xml:space="preserve">
-18% constant currency
3/23/09: QTD down over 20% (no signs of improving sales trends)</t>
        </r>
      </text>
    </comment>
    <comment ref="CF10" authorId="2">
      <text>
        <r>
          <rPr>
            <b/>
            <sz val="8"/>
            <color indexed="81"/>
            <rFont val="Tahoma"/>
            <family val="2"/>
          </rPr>
          <t>mm98285:</t>
        </r>
        <r>
          <rPr>
            <sz val="8"/>
            <color indexed="81"/>
            <rFont val="Tahoma"/>
            <family val="2"/>
          </rPr>
          <t xml:space="preserve">
-24% GAAP reported
-3% translation</t>
        </r>
      </text>
    </comment>
    <comment ref="CI10" authorId="4">
      <text>
        <r>
          <rPr>
            <b/>
            <sz val="8"/>
            <color indexed="81"/>
            <rFont val="Tahoma"/>
            <family val="2"/>
          </rPr>
          <t>ns66486:</t>
        </r>
        <r>
          <rPr>
            <sz val="8"/>
            <color indexed="81"/>
            <rFont val="Tahoma"/>
            <family val="2"/>
          </rPr>
          <t xml:space="preserve">
3/10: QTD comps beating +high-teens plan (we est. 20%+)</t>
        </r>
      </text>
    </comment>
    <comment ref="CM10" authorId="5">
      <text>
        <r>
          <rPr>
            <b/>
            <sz val="8"/>
            <color indexed="81"/>
            <rFont val="Tahoma"/>
            <family val="2"/>
          </rPr>
          <t>nicholjs:</t>
        </r>
        <r>
          <rPr>
            <sz val="8"/>
            <color indexed="81"/>
            <rFont val="Tahoma"/>
            <family val="2"/>
          </rPr>
          <t xml:space="preserve">
worldwide sales increased 20% or 16% ex-currency
3/2011: expect +11% worldwide sales growth in 1Q
note from 3/2011 PR (for 2012 modeling):  financial expectations for 2011, we have assumed some continued periodic store closings or limited store hours in Japan through the end of the first quarter, resulting in worldwide sales growth of 11% in the first quarter, with total Japan sales declining 15%. This leads us to now expect that earnings in the first quarter will be reduced by approximately $0.05 per diluted share from our initial expectation of $0.62 per diluted share to a new expectation of approximately $0.57 per diluted share. 
</t>
        </r>
      </text>
    </comment>
    <comment ref="CR10" authorId="6">
      <text>
        <r>
          <rPr>
            <b/>
            <sz val="8"/>
            <color indexed="81"/>
            <rFont val="Tahoma"/>
            <family val="2"/>
          </rPr>
          <t xml:space="preserve">5/24/12: </t>
        </r>
        <r>
          <rPr>
            <sz val="8"/>
            <color indexed="81"/>
            <rFont val="Tahoma"/>
            <family val="2"/>
          </rPr>
          <t>estimate was 3.6%</t>
        </r>
      </text>
    </comment>
    <comment ref="CX10" authorId="7">
      <text>
        <r>
          <rPr>
            <b/>
            <sz val="9"/>
            <color indexed="81"/>
            <rFont val="Tahoma"/>
            <family val="2"/>
          </rPr>
          <t>turleamb:</t>
        </r>
        <r>
          <rPr>
            <sz val="9"/>
            <color indexed="81"/>
            <rFont val="Tahoma"/>
            <family val="2"/>
          </rPr>
          <t xml:space="preserve">
3/21/14: Already took some price increase, more to occur in April. Price increases across all geographies and categories and average out to single digit increase (although some items may increase 3% and others 12%). 
1Q14 10-Q pg. 22: In the three months ended April 30, 2014 , worldwide net sales increased $116,648,000 , or 13% , primarily driven by increases of $31,928,000 , or 16% , in the statement, fine &amp; solitaire jewelry category (reflecting growth throughout the category); $46,815,000 , or 16% , in the engagement jewelry &amp; wedding bands category (reflecting growth in solitaire diamond rings and wedding bands); and $36,426,000 , or 11% , in the fashion jewelry category (primarily due to sales growth in gold jewelry but also improvement in silver jewelry).</t>
        </r>
      </text>
    </comment>
    <comment ref="CY10" authorId="7">
      <text>
        <r>
          <rPr>
            <b/>
            <sz val="9"/>
            <color indexed="81"/>
            <rFont val="Tahoma"/>
            <family val="2"/>
          </rPr>
          <t>turleamb:</t>
        </r>
        <r>
          <rPr>
            <sz val="9"/>
            <color indexed="81"/>
            <rFont val="Tahoma"/>
            <family val="2"/>
          </rPr>
          <t xml:space="preserve">
+15% in CC</t>
        </r>
      </text>
    </comment>
    <comment ref="DC10" authorId="0">
      <text>
        <r>
          <rPr>
            <b/>
            <sz val="9"/>
            <color indexed="81"/>
            <rFont val="Tahoma"/>
            <family val="2"/>
          </rPr>
          <t>5/27/15: constant currency +1% (growth in all regions ex-Japan); driven by increased sales of fashion gold jewelry and statement jewelry</t>
        </r>
        <r>
          <rPr>
            <sz val="9"/>
            <color indexed="81"/>
            <rFont val="Tahoma"/>
            <family val="2"/>
          </rPr>
          <t xml:space="preserve">
3/20/15: Guidance: -10% in USD primarily due to a difficult comparison to strong sales growth achieved in Japan in last year's first quarter and continued softness currently being experienced in the Americas</t>
        </r>
      </text>
    </comment>
    <comment ref="DG10" authorId="8">
      <text>
        <r>
          <rPr>
            <b/>
            <sz val="9"/>
            <color indexed="81"/>
            <rFont val="Tahoma"/>
            <family val="2"/>
          </rPr>
          <t>Cassel, Lauren (Research):</t>
        </r>
        <r>
          <rPr>
            <sz val="9"/>
            <color indexed="81"/>
            <rFont val="Tahoma"/>
            <family val="2"/>
          </rPr>
          <t xml:space="preserve">
-7% CC; recently strengthening yen offset US dollar strength against other currencies</t>
        </r>
      </text>
    </comment>
    <comment ref="DH10" authorId="8">
      <text>
        <r>
          <rPr>
            <b/>
            <sz val="9"/>
            <color indexed="81"/>
            <rFont val="Tahoma"/>
            <family val="2"/>
          </rPr>
          <t>Cassel, Lauren (Research):</t>
        </r>
        <r>
          <rPr>
            <sz val="9"/>
            <color indexed="81"/>
            <rFont val="Tahoma"/>
            <family val="2"/>
          </rPr>
          <t xml:space="preserve">
Statement, fine &amp; solitaire jewelry -14%; fashion jewelry -6% (reflecting decreases across the category, led by silver jewelry); and the engagement jewelry &amp; wedding bands category -4% (reflecting a shift in sales mix to wedding bands). </t>
        </r>
      </text>
    </comment>
    <comment ref="DK10" authorId="8">
      <text>
        <r>
          <rPr>
            <b/>
            <sz val="9"/>
            <color indexed="81"/>
            <rFont val="Tahoma"/>
            <family val="2"/>
          </rPr>
          <t>Cassel, Lauren (Research):</t>
        </r>
        <r>
          <rPr>
            <sz val="9"/>
            <color indexed="81"/>
            <rFont val="Tahoma"/>
            <family val="2"/>
          </rPr>
          <t xml:space="preserve">
5/24/17: constant FX +2%; due to growth in Asia-Pacific and an increase in wholesale sale of diamonds (and Europe constant FX); higher fashion (+7%) and designer jewelry (+5%) sales contrasted with softness in other categories (white gold jewelry sales led fashion jewelry highlighted by Tiffany T collectoin; fashion silver jewelry sales were also modestly higher y/y riven by return to Tiffany collection and 1837); engagement jewelry and wedding bands continued to underperform (-7%); high fine and solitaire jewelry performance mixed (-2%); global eComm sales unchanged during the quarter</t>
        </r>
      </text>
    </comment>
    <comment ref="DP10" authorId="8">
      <text>
        <r>
          <rPr>
            <b/>
            <sz val="9"/>
            <color indexed="81"/>
            <rFont val="Tahoma"/>
            <family val="2"/>
          </rPr>
          <t>Cassel, Lauren (Research):</t>
        </r>
        <r>
          <rPr>
            <sz val="9"/>
            <color indexed="81"/>
            <rFont val="Tahoma"/>
            <family val="2"/>
          </rPr>
          <t xml:space="preserve">
3/16/18: eCommerce now included in comp = 7% of sales growing ~7% = 50 bps tailwind to comp </t>
        </r>
      </text>
    </comment>
    <comment ref="R11" authorId="9">
      <text>
        <r>
          <rPr>
            <b/>
            <sz val="8"/>
            <color indexed="81"/>
            <rFont val="Tahoma"/>
            <family val="2"/>
          </rPr>
          <t>SB:</t>
        </r>
        <r>
          <rPr>
            <sz val="8"/>
            <color indexed="81"/>
            <rFont val="Tahoma"/>
            <family val="2"/>
          </rPr>
          <t xml:space="preserve">
Includes product return for Japan realignment</t>
        </r>
      </text>
    </comment>
    <comment ref="BN11" authorId="1">
      <text>
        <r>
          <rPr>
            <b/>
            <sz val="8"/>
            <color indexed="81"/>
            <rFont val="Tahoma"/>
            <family val="2"/>
          </rPr>
          <t>Morry Brown:</t>
        </r>
        <r>
          <rPr>
            <sz val="8"/>
            <color indexed="81"/>
            <rFont val="Tahoma"/>
            <family val="2"/>
          </rPr>
          <t xml:space="preserve">
520.3</t>
        </r>
      </text>
    </comment>
    <comment ref="BR11" authorId="2">
      <text>
        <r>
          <rPr>
            <b/>
            <sz val="8"/>
            <color indexed="81"/>
            <rFont val="Tahoma"/>
            <family val="2"/>
          </rPr>
          <t>mm98285:</t>
        </r>
        <r>
          <rPr>
            <sz val="8"/>
            <color indexed="81"/>
            <rFont val="Tahoma"/>
            <family val="2"/>
          </rPr>
          <t xml:space="preserve">
$574.94 prior to restatement
</t>
        </r>
      </text>
    </comment>
    <comment ref="BZ11" authorId="2">
      <text>
        <r>
          <rPr>
            <b/>
            <sz val="8"/>
            <color indexed="81"/>
            <rFont val="Tahoma"/>
            <family val="2"/>
          </rPr>
          <t>mm98285:</t>
        </r>
        <r>
          <rPr>
            <sz val="8"/>
            <color indexed="81"/>
            <rFont val="Tahoma"/>
            <family val="2"/>
          </rPr>
          <t xml:space="preserve">
8/09: excludes $2.769 Iridesse</t>
        </r>
      </text>
    </comment>
    <comment ref="CA11" authorId="2">
      <text>
        <r>
          <rPr>
            <b/>
            <sz val="8"/>
            <color indexed="81"/>
            <rFont val="Tahoma"/>
            <family val="2"/>
          </rPr>
          <t>mm98285:</t>
        </r>
        <r>
          <rPr>
            <sz val="8"/>
            <color indexed="81"/>
            <rFont val="Tahoma"/>
            <family val="2"/>
          </rPr>
          <t xml:space="preserve">
+4% translation effect
+7% constant exchange rate basis</t>
        </r>
      </text>
    </comment>
    <comment ref="CB11" authorId="2">
      <text>
        <r>
          <rPr>
            <b/>
            <sz val="8"/>
            <color indexed="81"/>
            <rFont val="Tahoma"/>
            <family val="2"/>
          </rPr>
          <t>mm98285:</t>
        </r>
        <r>
          <rPr>
            <sz val="8"/>
            <color indexed="81"/>
            <rFont val="Tahoma"/>
            <family val="2"/>
          </rPr>
          <t xml:space="preserve">
+4% translation effect
+3% GAAP reported</t>
        </r>
      </text>
    </comment>
    <comment ref="CE11" authorId="2">
      <text>
        <r>
          <rPr>
            <b/>
            <sz val="8"/>
            <color indexed="81"/>
            <rFont val="Tahoma"/>
            <family val="2"/>
          </rPr>
          <t>mm98285:</t>
        </r>
        <r>
          <rPr>
            <sz val="8"/>
            <color indexed="81"/>
            <rFont val="Tahoma"/>
            <family val="2"/>
          </rPr>
          <t xml:space="preserve">
-14% constant exchange</t>
        </r>
      </text>
    </comment>
    <comment ref="CM11" authorId="5">
      <text>
        <r>
          <rPr>
            <b/>
            <sz val="8"/>
            <color indexed="81"/>
            <rFont val="Tahoma"/>
            <family val="2"/>
          </rPr>
          <t>nicholjs:</t>
        </r>
        <r>
          <rPr>
            <sz val="8"/>
            <color indexed="81"/>
            <rFont val="Tahoma"/>
            <family val="2"/>
          </rPr>
          <t xml:space="preserve">
worldwide sales rose 30% or 24% ex-currency.  Double-digit percentage increases in all jewelry categories.</t>
        </r>
      </text>
    </comment>
    <comment ref="CQ11" authorId="10">
      <text>
        <r>
          <rPr>
            <b/>
            <sz val="8"/>
            <color indexed="81"/>
            <rFont val="Tahoma"/>
            <family val="2"/>
          </rPr>
          <t>casselau:</t>
        </r>
        <r>
          <rPr>
            <sz val="8"/>
            <color indexed="81"/>
            <rFont val="Tahoma"/>
            <family val="2"/>
          </rPr>
          <t xml:space="preserve">
8/27/12: sales growth has been affected by economic weakness in a number of markets and by a very challenging comparison </t>
        </r>
      </text>
    </comment>
    <comment ref="CR11" authorId="6">
      <text>
        <r>
          <rPr>
            <b/>
            <sz val="8"/>
            <color indexed="81"/>
            <rFont val="Tahoma"/>
            <family val="2"/>
          </rPr>
          <t>7/6/12:</t>
        </r>
        <r>
          <rPr>
            <sz val="8"/>
            <color indexed="81"/>
            <rFont val="Tahoma"/>
            <family val="2"/>
          </rPr>
          <t xml:space="preserve"> prior est was 0%</t>
        </r>
        <r>
          <rPr>
            <b/>
            <sz val="8"/>
            <color indexed="81"/>
            <rFont val="Tahoma"/>
            <family val="2"/>
          </rPr>
          <t xml:space="preserve">
5/24/12: </t>
        </r>
        <r>
          <rPr>
            <sz val="8"/>
            <color indexed="81"/>
            <rFont val="Tahoma"/>
            <family val="2"/>
          </rPr>
          <t>prior estimate was 3.6%</t>
        </r>
        <r>
          <rPr>
            <sz val="8"/>
            <color indexed="81"/>
            <rFont val="Tahoma"/>
            <family val="2"/>
          </rPr>
          <t xml:space="preserve">
</t>
        </r>
      </text>
    </comment>
    <comment ref="CT11" authorId="7">
      <text>
        <r>
          <rPr>
            <b/>
            <sz val="8"/>
            <color indexed="81"/>
            <rFont val="Tahoma"/>
            <family val="2"/>
          </rPr>
          <t>turleamb:</t>
        </r>
        <r>
          <rPr>
            <sz val="8"/>
            <color indexed="81"/>
            <rFont val="Tahoma"/>
            <family val="2"/>
          </rPr>
          <t xml:space="preserve">
8/27/13: sales growth in fine and statement jewelry that outperformed modest growth in fashion jewelry sales.</t>
        </r>
      </text>
    </comment>
    <comment ref="CU11" authorId="10">
      <text>
        <r>
          <rPr>
            <b/>
            <sz val="8"/>
            <color indexed="81"/>
            <rFont val="Tahoma"/>
            <family val="2"/>
          </rPr>
          <t>casselau:</t>
        </r>
        <r>
          <rPr>
            <sz val="8"/>
            <color indexed="81"/>
            <rFont val="Tahoma"/>
            <family val="2"/>
          </rPr>
          <t xml:space="preserve">
5/28/13: expect +MSD sales increase</t>
        </r>
      </text>
    </comment>
    <comment ref="CY11" authorId="0">
      <text>
        <r>
          <rPr>
            <b/>
            <sz val="9"/>
            <color indexed="81"/>
            <rFont val="Tahoma"/>
            <family val="2"/>
          </rPr>
          <t>Turley, Amber (Research):</t>
        </r>
        <r>
          <rPr>
            <sz val="9"/>
            <color indexed="81"/>
            <rFont val="Tahoma"/>
            <family val="2"/>
          </rPr>
          <t xml:space="preserve">
per 10-Q pg. 25: In the second quarter, worldwide net sales increased $67,046,000, or 7%, primarily driven by increases of $25,698,000, or 7%, in the fashion jewelry category (primarily due to sales growth in gold jewelry), $20,260,000, or 10%, in the statement, fine &amp; solitaire jewelry category (reflecting growth throughout the category); and $15,587,000, or 6%, in the engagement jewelry &amp; wedding bands category (reflecting growth in solitaire diamond rings)</t>
        </r>
      </text>
    </comment>
    <comment ref="DC11" authorId="0">
      <text>
        <r>
          <rPr>
            <b/>
            <sz val="9"/>
            <color indexed="81"/>
            <rFont val="Tahoma"/>
            <family val="2"/>
          </rPr>
          <t xml:space="preserve">8/27/15: </t>
        </r>
        <r>
          <rPr>
            <sz val="9"/>
            <color indexed="81"/>
            <rFont val="Tahoma"/>
            <family val="2"/>
          </rPr>
          <t>+7% constant currency;  due to growth in Japan, Europe and Asia-Pacific; strongest performer was the fashion jewelry category (+2%) with a continued shift toward gold jewelry. Our statement, fine and solitaire category was mixed (+1%) with substantial growth in high-end statement jewelry but some softness in fine jewelry. There was a bit of softness in the engagement jewelry category as well (-1%)
3/20/15: Guidance +LSD in USD</t>
        </r>
      </text>
    </comment>
    <comment ref="DG11" authorId="8">
      <text>
        <r>
          <rPr>
            <b/>
            <sz val="9"/>
            <color indexed="81"/>
            <rFont val="Tahoma"/>
            <family val="2"/>
          </rPr>
          <t>Cassel, Lauren (Research):</t>
        </r>
        <r>
          <rPr>
            <sz val="9"/>
            <color indexed="81"/>
            <rFont val="Tahoma"/>
            <family val="2"/>
          </rPr>
          <t xml:space="preserve">
CC also -6%</t>
        </r>
      </text>
    </comment>
    <comment ref="DH11" authorId="8">
      <text>
        <r>
          <rPr>
            <b/>
            <sz val="9"/>
            <color indexed="81"/>
            <rFont val="Tahoma"/>
            <family val="2"/>
          </rPr>
          <t>Cassel, Lauren (Research):</t>
        </r>
        <r>
          <rPr>
            <sz val="9"/>
            <color indexed="81"/>
            <rFont val="Tahoma"/>
            <family val="2"/>
          </rPr>
          <t xml:space="preserve">
8/25/16: statement, fine &amp; solitaire jewelry -12%, engagement/wedding bands -3%, fashion jewelry -5%
we have increased the number of silver jewelry SKUs under $500 by a double-digit percentage versus a year ago</t>
        </r>
      </text>
    </comment>
    <comment ref="DK11" authorId="8">
      <text>
        <r>
          <rPr>
            <b/>
            <sz val="9"/>
            <color indexed="81"/>
            <rFont val="Tahoma"/>
            <family val="2"/>
          </rPr>
          <t>Cassel, Lauren (Research):</t>
        </r>
        <r>
          <rPr>
            <sz val="9"/>
            <color indexed="81"/>
            <rFont val="Tahoma"/>
            <family val="2"/>
          </rPr>
          <t xml:space="preserve">
8/23/17: constant FX +4%;  increase in wholesale sales of diamonds, increased wholesale sales in the Asia-Pacific region and strong e-commerce sales growth. Solid
sales growth in both the fashion jewelry (+10%) and designer jewelry (+7%) categories contrasted with lower sales in both the engagement jewelry (-8%) and the high fine and solitaire categories (-6%)</t>
        </r>
      </text>
    </comment>
    <comment ref="DP11" authorId="8">
      <text>
        <r>
          <rPr>
            <b/>
            <sz val="9"/>
            <color indexed="81"/>
            <rFont val="Tahoma"/>
            <family val="2"/>
          </rPr>
          <t>Cassel, Lauren (Research):</t>
        </r>
        <r>
          <rPr>
            <sz val="9"/>
            <color indexed="81"/>
            <rFont val="Tahoma"/>
            <family val="2"/>
          </rPr>
          <t xml:space="preserve">
3/16/18: eCommerce now included in comp = 7% of sales growing ~7% = 50 bps tailwind to comp </t>
        </r>
      </text>
    </comment>
    <comment ref="BR12" authorId="2">
      <text>
        <r>
          <rPr>
            <b/>
            <sz val="8"/>
            <color indexed="81"/>
            <rFont val="Tahoma"/>
            <family val="2"/>
          </rPr>
          <t>mm98285:</t>
        </r>
        <r>
          <rPr>
            <sz val="8"/>
            <color indexed="81"/>
            <rFont val="Tahoma"/>
            <family val="2"/>
          </rPr>
          <t xml:space="preserve">
$547.786 prior to restatement
</t>
        </r>
      </text>
    </comment>
    <comment ref="BZ12" authorId="4">
      <text>
        <r>
          <rPr>
            <b/>
            <sz val="8"/>
            <color indexed="81"/>
            <rFont val="Tahoma"/>
            <family val="2"/>
          </rPr>
          <t>ns66486:</t>
        </r>
        <r>
          <rPr>
            <sz val="8"/>
            <color indexed="81"/>
            <rFont val="Tahoma"/>
            <family val="2"/>
          </rPr>
          <t xml:space="preserve">
excludes Iridesse</t>
        </r>
      </text>
    </comment>
    <comment ref="CA12" authorId="2">
      <text>
        <r>
          <rPr>
            <b/>
            <sz val="8"/>
            <color indexed="81"/>
            <rFont val="Tahoma"/>
            <family val="2"/>
          </rPr>
          <t>mm98285:</t>
        </r>
        <r>
          <rPr>
            <sz val="8"/>
            <color indexed="81"/>
            <rFont val="Tahoma"/>
            <family val="2"/>
          </rPr>
          <t xml:space="preserve">
+1% translation effect
-2% constant exchange rate basis</t>
        </r>
      </text>
    </comment>
    <comment ref="CB12" authorId="2">
      <text>
        <r>
          <rPr>
            <b/>
            <sz val="8"/>
            <color indexed="81"/>
            <rFont val="Tahoma"/>
            <family val="2"/>
          </rPr>
          <t>mm98285:</t>
        </r>
        <r>
          <rPr>
            <sz val="8"/>
            <color indexed="81"/>
            <rFont val="Tahoma"/>
            <family val="2"/>
          </rPr>
          <t xml:space="preserve">
+1% translation effect
-6% GAAP reported</t>
        </r>
      </text>
    </comment>
    <comment ref="CE12" authorId="2">
      <text>
        <r>
          <rPr>
            <b/>
            <sz val="8"/>
            <color indexed="81"/>
            <rFont val="Tahoma"/>
            <family val="2"/>
          </rPr>
          <t>mm98285:</t>
        </r>
        <r>
          <rPr>
            <sz val="8"/>
            <color indexed="81"/>
            <rFont val="Tahoma"/>
            <family val="2"/>
          </rPr>
          <t xml:space="preserve">
-5% constant exchange</t>
        </r>
      </text>
    </comment>
    <comment ref="CF12" authorId="2">
      <text>
        <r>
          <rPr>
            <b/>
            <sz val="8"/>
            <color indexed="81"/>
            <rFont val="Tahoma"/>
            <family val="2"/>
          </rPr>
          <t>mm98285:</t>
        </r>
        <r>
          <rPr>
            <sz val="8"/>
            <color indexed="81"/>
            <rFont val="Tahoma"/>
            <family val="2"/>
          </rPr>
          <t xml:space="preserve">
-3% GAAP (+3% translation)</t>
        </r>
      </text>
    </comment>
    <comment ref="CI12" authorId="11">
      <text>
        <r>
          <rPr>
            <b/>
            <sz val="8"/>
            <color indexed="81"/>
            <rFont val="Tahoma"/>
            <family val="2"/>
          </rPr>
          <t>marchant:</t>
        </r>
        <r>
          <rPr>
            <sz val="8"/>
            <color indexed="81"/>
            <rFont val="Tahoma"/>
            <family val="2"/>
          </rPr>
          <t xml:space="preserve">
8/10: running +LDD QTD (2Q earnings call)</t>
        </r>
      </text>
    </comment>
    <comment ref="CR12" authorId="6">
      <text>
        <r>
          <rPr>
            <b/>
            <sz val="8"/>
            <color indexed="81"/>
            <rFont val="Tahoma"/>
            <family val="2"/>
          </rPr>
          <t xml:space="preserve">5/24/12: </t>
        </r>
        <r>
          <rPr>
            <sz val="8"/>
            <color indexed="81"/>
            <rFont val="Tahoma"/>
            <family val="2"/>
          </rPr>
          <t>prior estimate was 3.6%</t>
        </r>
        <r>
          <rPr>
            <sz val="8"/>
            <color indexed="81"/>
            <rFont val="Tahoma"/>
            <family val="2"/>
          </rPr>
          <t xml:space="preserve">
</t>
        </r>
      </text>
    </comment>
    <comment ref="CT12" authorId="7">
      <text>
        <r>
          <rPr>
            <b/>
            <sz val="8"/>
            <color indexed="81"/>
            <rFont val="Tahoma"/>
            <family val="2"/>
          </rPr>
          <t>turleamb:</t>
        </r>
        <r>
          <rPr>
            <sz val="8"/>
            <color indexed="81"/>
            <rFont val="Tahoma"/>
            <family val="2"/>
          </rPr>
          <t xml:space="preserve">
11/26/13: excellent customer response to expanded fashion jewelry designs highlighted by ATLAS collection, continued growth in fine jewelry (esp yellow diamond collection). Sales driven by an increase of $37,979,000, or 24%, in the statement, fine &amp; solitaire jewelry category and $23,485,000, or 10%, in the silver, gold &amp; RUBEDO® metal jewelry category.
YTD sales were primarily driven by increases of $124,642,000, or 28%, in the statement, fine &amp; solitaire jewelry category and $47,805,000, or 6%, in the engagement jewelry &amp; wedding bands category.
</t>
        </r>
      </text>
    </comment>
    <comment ref="CU12" authorId="7">
      <text>
        <r>
          <rPr>
            <b/>
            <sz val="8"/>
            <color indexed="81"/>
            <rFont val="Tahoma"/>
            <family val="2"/>
          </rPr>
          <t>turleamb:</t>
        </r>
        <r>
          <rPr>
            <sz val="8"/>
            <color indexed="81"/>
            <rFont val="Tahoma"/>
            <family val="2"/>
          </rPr>
          <t xml:space="preserve">
11% CC
-due to weaker Yen
</t>
        </r>
      </text>
    </comment>
    <comment ref="CY12" authorId="0">
      <text>
        <r>
          <rPr>
            <b/>
            <sz val="9"/>
            <color indexed="81"/>
            <rFont val="Tahoma"/>
            <family val="2"/>
          </rPr>
          <t>Turley, Amber (Research):</t>
        </r>
        <r>
          <rPr>
            <sz val="9"/>
            <color indexed="81"/>
            <rFont val="Tahoma"/>
            <family val="2"/>
          </rPr>
          <t xml:space="preserve">
+7% CC; largest growth in fashion jewelry</t>
        </r>
      </text>
    </comment>
    <comment ref="DC12" authorId="10">
      <text>
        <r>
          <rPr>
            <b/>
            <sz val="9"/>
            <color indexed="81"/>
            <rFont val="Tahoma"/>
            <family val="2"/>
          </rPr>
          <t>casselau:</t>
        </r>
        <r>
          <rPr>
            <sz val="9"/>
            <color indexed="81"/>
            <rFont val="Tahoma"/>
            <family val="2"/>
          </rPr>
          <t xml:space="preserve">
11/24/15: +4% CC; took price increases which moved TIF closer to resoring their global pricing structure </t>
        </r>
      </text>
    </comment>
    <comment ref="DD12" authorId="10">
      <text>
        <r>
          <rPr>
            <b/>
            <sz val="9"/>
            <color indexed="81"/>
            <rFont val="Tahoma"/>
            <family val="2"/>
          </rPr>
          <t>casselau:</t>
        </r>
        <r>
          <rPr>
            <sz val="9"/>
            <color indexed="81"/>
            <rFont val="Tahoma"/>
            <family val="2"/>
          </rPr>
          <t xml:space="preserve">
11/24/15: led by higher sales of fashion gold jewelry and statement jewelry; the engagement jewelry &amp; wedding bands category decreased   $11.5M, or   4%, from the prior year (reflecting decreases in both solitaire diamond rings and wedding bands); the fashion jewelry category decreased   $11.0M, or 3% (as growth in gold jewelry sales was entirely offset by a decline in entry-level price point silver jewelry sales); and the statement, fine &amp; solitaire jewelry category was approximately equal to the prior year (reflecting increases in statement jewelry which were offset by decreases in fine jewelry). </t>
        </r>
      </text>
    </comment>
    <comment ref="DG12" authorId="8">
      <text>
        <r>
          <rPr>
            <b/>
            <sz val="9"/>
            <color indexed="81"/>
            <rFont val="Tahoma"/>
            <family val="2"/>
          </rPr>
          <t>Cassel, Lauren (Research):</t>
        </r>
        <r>
          <rPr>
            <sz val="9"/>
            <color indexed="81"/>
            <rFont val="Tahoma"/>
            <family val="2"/>
          </rPr>
          <t xml:space="preserve">
11/29/16: CC sales flat</t>
        </r>
      </text>
    </comment>
    <comment ref="DH12" authorId="8">
      <text>
        <r>
          <rPr>
            <b/>
            <sz val="9"/>
            <color indexed="81"/>
            <rFont val="Tahoma"/>
            <family val="2"/>
          </rPr>
          <t>Cassel, Lauren (Research):</t>
        </r>
        <r>
          <rPr>
            <sz val="9"/>
            <color indexed="81"/>
            <rFont val="Tahoma"/>
            <family val="2"/>
          </rPr>
          <t xml:space="preserve">
11/29/16: A modest increase in fashion jewelry sales (+5%, due to both gold and silver jewelry) was offset by softness in other product categories (Statement, fine, solitaire -7%; engagement/wedding bands flat due to sales mix shift towards wedding bands); eCommerce growth in-line with overall sales growth</t>
        </r>
      </text>
    </comment>
    <comment ref="DK12" authorId="8">
      <text>
        <r>
          <rPr>
            <b/>
            <sz val="9"/>
            <color indexed="81"/>
            <rFont val="Tahoma"/>
            <family val="2"/>
          </rPr>
          <t>Cassel, Lauren (Research):</t>
        </r>
        <r>
          <rPr>
            <sz val="9"/>
            <color indexed="81"/>
            <rFont val="Tahoma"/>
            <family val="2"/>
          </rPr>
          <t xml:space="preserve">
11/29/17: CC +3%; reflecting sales growth in most regions, as well as increased sales in the Fashion Jewelry (+9%) and the High, Fine &amp; Solitaire Jewelry categories (+10%); engagement -6%; designer jewelry -2%</t>
        </r>
      </text>
    </comment>
    <comment ref="DP12" authorId="8">
      <text>
        <r>
          <rPr>
            <b/>
            <sz val="9"/>
            <color indexed="81"/>
            <rFont val="Tahoma"/>
            <family val="2"/>
          </rPr>
          <t>Cassel, Lauren (Research):</t>
        </r>
        <r>
          <rPr>
            <sz val="9"/>
            <color indexed="81"/>
            <rFont val="Tahoma"/>
            <family val="2"/>
          </rPr>
          <t xml:space="preserve">
3/16/18: eCommerce now included in comp = 7% of sales growing ~7% = 50 bps tailwind to comp </t>
        </r>
      </text>
    </comment>
    <comment ref="BR13" authorId="2">
      <text>
        <r>
          <rPr>
            <b/>
            <sz val="8"/>
            <color indexed="81"/>
            <rFont val="Tahoma"/>
            <family val="2"/>
          </rPr>
          <t>mm98285:</t>
        </r>
        <r>
          <rPr>
            <sz val="8"/>
            <color indexed="81"/>
            <rFont val="Tahoma"/>
            <family val="2"/>
          </rPr>
          <t xml:space="preserve">
3/08: 986.354 prior to restatement</t>
        </r>
      </text>
    </comment>
    <comment ref="BV13" authorId="2">
      <text>
        <r>
          <rPr>
            <b/>
            <sz val="8"/>
            <color indexed="81"/>
            <rFont val="Tahoma"/>
            <family val="2"/>
          </rPr>
          <t>mm98285:</t>
        </r>
        <r>
          <rPr>
            <sz val="8"/>
            <color indexed="81"/>
            <rFont val="Tahoma"/>
            <family val="2"/>
          </rPr>
          <t xml:space="preserve">
1/08: holiday sales: $867.262mm</t>
        </r>
      </text>
    </comment>
    <comment ref="BW13" authorId="2">
      <text>
        <r>
          <rPr>
            <b/>
            <sz val="8"/>
            <color indexed="81"/>
            <rFont val="Tahoma"/>
            <family val="2"/>
          </rPr>
          <t>mm98285:</t>
        </r>
        <r>
          <rPr>
            <sz val="8"/>
            <color indexed="81"/>
            <rFont val="Tahoma"/>
            <family val="2"/>
          </rPr>
          <t xml:space="preserve">
1/08: holiday sales +8%</t>
        </r>
      </text>
    </comment>
    <comment ref="BX13" authorId="2">
      <text>
        <r>
          <rPr>
            <b/>
            <sz val="8"/>
            <color indexed="81"/>
            <rFont val="Tahoma"/>
            <family val="2"/>
          </rPr>
          <t>mm98285:</t>
        </r>
        <r>
          <rPr>
            <sz val="8"/>
            <color indexed="81"/>
            <rFont val="Tahoma"/>
            <family val="2"/>
          </rPr>
          <t xml:space="preserve">
1/08: holiday comps +1%</t>
        </r>
      </text>
    </comment>
    <comment ref="BZ13" authorId="2">
      <text>
        <r>
          <rPr>
            <b/>
            <sz val="8"/>
            <color indexed="81"/>
            <rFont val="Tahoma"/>
            <family val="2"/>
          </rPr>
          <t>mm98285:</t>
        </r>
        <r>
          <rPr>
            <sz val="8"/>
            <color indexed="81"/>
            <rFont val="Tahoma"/>
            <family val="2"/>
          </rPr>
          <t xml:space="preserve">
holiday sales -21% to $687.4M (or -20% on constant exchange rate basis)</t>
        </r>
      </text>
    </comment>
    <comment ref="CA13" authorId="2">
      <text>
        <r>
          <rPr>
            <b/>
            <sz val="8"/>
            <color indexed="81"/>
            <rFont val="Tahoma"/>
            <family val="2"/>
          </rPr>
          <t>mm98285:</t>
        </r>
        <r>
          <rPr>
            <sz val="8"/>
            <color indexed="81"/>
            <rFont val="Tahoma"/>
            <family val="2"/>
          </rPr>
          <t xml:space="preserve">
-19% on constant currency basis 
11/08: expect down 13-20% in 4Q</t>
        </r>
      </text>
    </comment>
    <comment ref="CB13" authorId="2">
      <text>
        <r>
          <rPr>
            <b/>
            <sz val="8"/>
            <color indexed="81"/>
            <rFont val="Tahoma"/>
            <family val="2"/>
          </rPr>
          <t>mm98285:</t>
        </r>
        <r>
          <rPr>
            <sz val="8"/>
            <color indexed="81"/>
            <rFont val="Tahoma"/>
            <family val="2"/>
          </rPr>
          <t xml:space="preserve">
-23% GAAP (0% translation)
holiday comps -24% on constant exchange basis</t>
        </r>
      </text>
    </comment>
    <comment ref="CD13" authorId="2">
      <text>
        <r>
          <rPr>
            <b/>
            <sz val="8"/>
            <color indexed="81"/>
            <rFont val="Tahoma"/>
            <family val="2"/>
          </rPr>
          <t>mm98285:</t>
        </r>
        <r>
          <rPr>
            <sz val="8"/>
            <color indexed="81"/>
            <rFont val="Tahoma"/>
            <family val="2"/>
          </rPr>
          <t xml:space="preserve">
1/10: holiday sales +17% (+13% ex. F/X) to $799.1M</t>
        </r>
      </text>
    </comment>
    <comment ref="CE13" authorId="2">
      <text>
        <r>
          <rPr>
            <b/>
            <sz val="8"/>
            <color indexed="81"/>
            <rFont val="Tahoma"/>
            <family val="2"/>
          </rPr>
          <t>mm98285:</t>
        </r>
        <r>
          <rPr>
            <sz val="8"/>
            <color indexed="81"/>
            <rFont val="Tahoma"/>
            <family val="2"/>
          </rPr>
          <t xml:space="preserve">
11/25/09: expect +MSD
Nov. to date tracking favorably to mgmt's expectations</t>
        </r>
      </text>
    </comment>
    <comment ref="CF13" authorId="2">
      <text>
        <r>
          <rPr>
            <b/>
            <sz val="8"/>
            <color indexed="81"/>
            <rFont val="Tahoma"/>
            <family val="2"/>
          </rPr>
          <t>mm98285:</t>
        </r>
        <r>
          <rPr>
            <sz val="8"/>
            <color indexed="81"/>
            <rFont val="Tahoma"/>
            <family val="2"/>
          </rPr>
          <t xml:space="preserve">
holiday comps +8% (+12% GAAP)</t>
        </r>
      </text>
    </comment>
    <comment ref="CI13" authorId="5">
      <text>
        <r>
          <rPr>
            <b/>
            <sz val="8"/>
            <color indexed="81"/>
            <rFont val="Tahoma"/>
            <family val="2"/>
          </rPr>
          <t>nicholjs:</t>
        </r>
        <r>
          <rPr>
            <sz val="8"/>
            <color indexed="81"/>
            <rFont val="Tahoma"/>
            <family val="2"/>
          </rPr>
          <t xml:space="preserve">
1/11: holiday sales +11% to $888.5mm, and comps +8%
11/10: full year guidance implies +HSD in 4Q.  On 11/24, sales growth exceeding expectations</t>
        </r>
      </text>
    </comment>
    <comment ref="CL13" authorId="7">
      <text>
        <r>
          <rPr>
            <b/>
            <sz val="8"/>
            <color indexed="81"/>
            <rFont val="Tahoma"/>
            <family val="2"/>
          </rPr>
          <t>turleamb:</t>
        </r>
        <r>
          <rPr>
            <sz val="8"/>
            <color indexed="81"/>
            <rFont val="Tahoma"/>
            <family val="2"/>
          </rPr>
          <t xml:space="preserve">
1/10/12: holiday sales +7% to $952 due to +DD growth in Asia-Pac and Japan and smaller increases in Americas and Europe. Constant F/X +6%</t>
        </r>
      </text>
    </comment>
    <comment ref="CM13" authorId="5">
      <text>
        <r>
          <rPr>
            <sz val="8"/>
            <color indexed="81"/>
            <rFont val="Tahoma"/>
            <family val="2"/>
          </rPr>
          <t xml:space="preserve">11/2011: FY guidance implies a low-teens increase in 4Q
</t>
        </r>
      </text>
    </comment>
    <comment ref="CN13" authorId="7">
      <text>
        <r>
          <rPr>
            <b/>
            <sz val="8"/>
            <color indexed="81"/>
            <rFont val="Tahoma"/>
            <family val="2"/>
          </rPr>
          <t>turleamb:</t>
        </r>
        <r>
          <rPr>
            <sz val="8"/>
            <color indexed="81"/>
            <rFont val="Tahoma"/>
            <family val="2"/>
          </rPr>
          <t xml:space="preserve">
1/10/12: holiday sales comp +4%</t>
        </r>
      </text>
    </comment>
    <comment ref="CP13" authorId="10">
      <text>
        <r>
          <rPr>
            <b/>
            <sz val="8"/>
            <color indexed="81"/>
            <rFont val="Tahoma"/>
            <family val="2"/>
          </rPr>
          <t>casselau:</t>
        </r>
        <r>
          <rPr>
            <sz val="8"/>
            <color indexed="81"/>
            <rFont val="Tahoma"/>
            <family val="2"/>
          </rPr>
          <t xml:space="preserve">
1/10/12: holiday sales +4% to $992M</t>
        </r>
      </text>
    </comment>
    <comment ref="CQ13" authorId="10">
      <text>
        <r>
          <rPr>
            <b/>
            <sz val="8"/>
            <color indexed="81"/>
            <rFont val="Tahoma"/>
            <family val="2"/>
          </rPr>
          <t>casselau:</t>
        </r>
        <r>
          <rPr>
            <sz val="8"/>
            <color indexed="81"/>
            <rFont val="Tahoma"/>
            <family val="2"/>
          </rPr>
          <t xml:space="preserve">
3/22/13: constant-exchange rate rose 5%</t>
        </r>
      </text>
    </comment>
    <comment ref="CR13" authorId="6">
      <text>
        <r>
          <rPr>
            <b/>
            <sz val="8"/>
            <color indexed="81"/>
            <rFont val="Tahoma"/>
            <family val="2"/>
          </rPr>
          <t xml:space="preserve">1/10/13: </t>
        </r>
        <r>
          <rPr>
            <sz val="8"/>
            <color indexed="81"/>
            <rFont val="Tahoma"/>
            <family val="2"/>
          </rPr>
          <t>holiday comp flat</t>
        </r>
        <r>
          <rPr>
            <b/>
            <sz val="8"/>
            <color indexed="81"/>
            <rFont val="Tahoma"/>
            <family val="2"/>
          </rPr>
          <t xml:space="preserve">
5/24/12: </t>
        </r>
        <r>
          <rPr>
            <sz val="8"/>
            <color indexed="81"/>
            <rFont val="Tahoma"/>
            <family val="2"/>
          </rPr>
          <t>prior estimate was 12.1%</t>
        </r>
      </text>
    </comment>
    <comment ref="CT13" authorId="7">
      <text>
        <r>
          <rPr>
            <b/>
            <sz val="8"/>
            <color indexed="81"/>
            <rFont val="Tahoma"/>
            <family val="2"/>
          </rPr>
          <t>turleamb:</t>
        </r>
        <r>
          <rPr>
            <sz val="8"/>
            <color indexed="81"/>
            <rFont val="Tahoma"/>
            <family val="2"/>
          </rPr>
          <t xml:space="preserve">
1/10/14: holiday sales +4% to $1.03B</t>
        </r>
      </text>
    </comment>
    <comment ref="CU13" authorId="7">
      <text>
        <r>
          <rPr>
            <b/>
            <sz val="9"/>
            <color indexed="81"/>
            <rFont val="Tahoma"/>
            <family val="2"/>
          </rPr>
          <t>turleamb:</t>
        </r>
        <r>
          <rPr>
            <sz val="9"/>
            <color indexed="81"/>
            <rFont val="Tahoma"/>
            <family val="2"/>
          </rPr>
          <t xml:space="preserve">
3/21/14: +9% CC
holiday sales +4% (+8% CC)</t>
        </r>
      </text>
    </comment>
    <comment ref="CV13" authorId="7">
      <text>
        <r>
          <rPr>
            <b/>
            <sz val="8"/>
            <color indexed="81"/>
            <rFont val="Tahoma"/>
            <family val="2"/>
          </rPr>
          <t>turleamb:</t>
        </r>
        <r>
          <rPr>
            <sz val="8"/>
            <color indexed="81"/>
            <rFont val="Tahoma"/>
            <family val="2"/>
          </rPr>
          <t xml:space="preserve">
1/10/14: holiday sales comp + 6%</t>
        </r>
      </text>
    </comment>
    <comment ref="CX13" authorId="0">
      <text>
        <r>
          <rPr>
            <b/>
            <sz val="9"/>
            <color indexed="81"/>
            <rFont val="Tahoma"/>
            <family val="2"/>
          </rPr>
          <t>Turley, Amber (Research):</t>
        </r>
        <r>
          <rPr>
            <sz val="9"/>
            <color indexed="81"/>
            <rFont val="Tahoma"/>
            <family val="2"/>
          </rPr>
          <t xml:space="preserve">
1/12/15: Holiday sales $1.02B (-1% y/y) (F/X had a -4% impact - CC holiday sales +3%)
Note: Typically holiday sales represent ~79% of 4Q sales</t>
        </r>
      </text>
    </comment>
    <comment ref="CZ13" authorId="0">
      <text>
        <r>
          <rPr>
            <b/>
            <sz val="9"/>
            <color indexed="81"/>
            <rFont val="Tahoma"/>
            <family val="2"/>
          </rPr>
          <t>Turley, Amber (Research):</t>
        </r>
        <r>
          <rPr>
            <sz val="9"/>
            <color indexed="81"/>
            <rFont val="Tahoma"/>
            <family val="2"/>
          </rPr>
          <t xml:space="preserve">
1/12/15: Holiday comp flat</t>
        </r>
      </text>
    </comment>
    <comment ref="DC13" authorId="10">
      <text>
        <r>
          <rPr>
            <b/>
            <sz val="9"/>
            <color indexed="81"/>
            <rFont val="Tahoma"/>
            <family val="2"/>
          </rPr>
          <t>casselau:
3/18/16: CC -2%, reflecting lower sales in the Americas and Asia-Pac and growth in Europe and Japan</t>
        </r>
        <r>
          <rPr>
            <sz val="9"/>
            <color indexed="81"/>
            <rFont val="Tahoma"/>
            <family val="2"/>
          </rPr>
          <t xml:space="preserve">
1/19/16: Holiday sales -6% to $961M; -3% CC (due to declines in the Americas and Asia-Pac offsetting growth in Japan and Europe); no noteworthy differences in performance among jewelry categories</t>
        </r>
      </text>
    </comment>
    <comment ref="DD13" authorId="10">
      <text>
        <r>
          <rPr>
            <b/>
            <sz val="9"/>
            <color indexed="81"/>
            <rFont val="Tahoma"/>
            <family val="2"/>
          </rPr>
          <t>casselau:</t>
        </r>
        <r>
          <rPr>
            <sz val="9"/>
            <color indexed="81"/>
            <rFont val="Tahoma"/>
            <family val="2"/>
          </rPr>
          <t xml:space="preserve">
1/19/15: Holiday comp -5%</t>
        </r>
      </text>
    </comment>
    <comment ref="DF13" authorId="8">
      <text>
        <r>
          <rPr>
            <b/>
            <sz val="9"/>
            <color indexed="81"/>
            <rFont val="Tahoma"/>
            <family val="2"/>
          </rPr>
          <t>Cassel, Lauren (Research):</t>
        </r>
        <r>
          <rPr>
            <sz val="9"/>
            <color indexed="81"/>
            <rFont val="Tahoma"/>
            <family val="2"/>
          </rPr>
          <t xml:space="preserve">
1/17/17: Holiday sales $966M (+1% CC)</t>
        </r>
      </text>
    </comment>
    <comment ref="DG13" authorId="8">
      <text>
        <r>
          <rPr>
            <b/>
            <sz val="9"/>
            <color indexed="81"/>
            <rFont val="Tahoma"/>
            <family val="2"/>
          </rPr>
          <t>Cassel, Lauren (Research):
3/17/17: CC +2%</t>
        </r>
        <r>
          <rPr>
            <sz val="9"/>
            <color indexed="81"/>
            <rFont val="Tahoma"/>
            <family val="2"/>
          </rPr>
          <t xml:space="preserve">
1/17/17: Holiday sales $966M (+.5% dollar, +1% CC)</t>
        </r>
      </text>
    </comment>
    <comment ref="DH13" authorId="8">
      <text>
        <r>
          <rPr>
            <b/>
            <sz val="9"/>
            <color indexed="81"/>
            <rFont val="Tahoma"/>
            <family val="2"/>
          </rPr>
          <t>Cassel, Lauren (Research):</t>
        </r>
        <r>
          <rPr>
            <sz val="9"/>
            <color indexed="81"/>
            <rFont val="Tahoma"/>
            <family val="2"/>
          </rPr>
          <t xml:space="preserve">
1/17/16: Holiday comp -1%</t>
        </r>
      </text>
    </comment>
    <comment ref="DK13" authorId="8">
      <text>
        <r>
          <rPr>
            <b/>
            <sz val="9"/>
            <color indexed="81"/>
            <rFont val="Tahoma"/>
            <family val="2"/>
          </rPr>
          <t>Cassel, Lauren (Research):
3/16/18: constant FX +6%; all categories achieved varying degrees of sales growth</t>
        </r>
        <r>
          <rPr>
            <sz val="9"/>
            <color indexed="81"/>
            <rFont val="Tahoma"/>
            <family val="2"/>
          </rPr>
          <t xml:space="preserve">
1/17/18: Holiday sales +8% to $1.05B (CC +6%)</t>
        </r>
      </text>
    </comment>
    <comment ref="DL13" authorId="8">
      <text>
        <r>
          <rPr>
            <b/>
            <sz val="9"/>
            <color indexed="81"/>
            <rFont val="Tahoma"/>
            <family val="2"/>
          </rPr>
          <t>Cassel, Lauren (Research):</t>
        </r>
        <r>
          <rPr>
            <sz val="9"/>
            <color indexed="81"/>
            <rFont val="Tahoma"/>
            <family val="2"/>
          </rPr>
          <t xml:space="preserve">
1/17/18: Holiday comp +3%; strongest growth in the High, Fine and Solitaire and the Fashion jewelry categories; fractional growth in the Engagement Jewelry and Wedding Bands category</t>
        </r>
      </text>
    </comment>
    <comment ref="DP13" authorId="8">
      <text>
        <r>
          <rPr>
            <b/>
            <sz val="9"/>
            <color indexed="81"/>
            <rFont val="Tahoma"/>
            <family val="2"/>
          </rPr>
          <t>Cassel, Lauren (Research):</t>
        </r>
        <r>
          <rPr>
            <sz val="9"/>
            <color indexed="81"/>
            <rFont val="Tahoma"/>
            <family val="2"/>
          </rPr>
          <t xml:space="preserve">
3/16/18: eCommerce now included in comp = 7% of sales growing ~7% = 50 bps tailwind to comp </t>
        </r>
      </text>
    </comment>
    <comment ref="R14" authorId="9">
      <text>
        <r>
          <rPr>
            <b/>
            <sz val="8"/>
            <color indexed="81"/>
            <rFont val="Tahoma"/>
            <family val="2"/>
          </rPr>
          <t>SB:</t>
        </r>
        <r>
          <rPr>
            <sz val="8"/>
            <color indexed="81"/>
            <rFont val="Tahoma"/>
            <family val="2"/>
          </rPr>
          <t xml:space="preserve">
Includes product return for Japan realignment</t>
        </r>
      </text>
    </comment>
    <comment ref="AV14" authorId="9">
      <text>
        <r>
          <rPr>
            <b/>
            <sz val="8"/>
            <color indexed="81"/>
            <rFont val="Tahoma"/>
            <family val="2"/>
          </rPr>
          <t>SB:</t>
        </r>
        <r>
          <rPr>
            <sz val="8"/>
            <color indexed="81"/>
            <rFont val="Tahoma"/>
            <family val="2"/>
          </rPr>
          <t xml:space="preserve">
constant currency basis</t>
        </r>
      </text>
    </comment>
    <comment ref="BN14" authorId="1">
      <text>
        <r>
          <rPr>
            <b/>
            <sz val="8"/>
            <color indexed="81"/>
            <rFont val="Tahoma"/>
            <family val="2"/>
          </rPr>
          <t>Morry Brown:</t>
        </r>
        <r>
          <rPr>
            <sz val="8"/>
            <color indexed="81"/>
            <rFont val="Tahoma"/>
            <family val="2"/>
          </rPr>
          <t xml:space="preserve">
5/05: per 1Q release, expect sales growth of +8-10% for full year</t>
        </r>
      </text>
    </comment>
    <comment ref="BO14" authorId="2">
      <text>
        <r>
          <rPr>
            <b/>
            <sz val="8"/>
            <color indexed="81"/>
            <rFont val="Tahoma"/>
            <family val="2"/>
          </rPr>
          <t>mm98285:</t>
        </r>
        <r>
          <rPr>
            <sz val="8"/>
            <color indexed="81"/>
            <rFont val="Tahoma"/>
            <family val="2"/>
          </rPr>
          <t xml:space="preserve">
9% constant exchange</t>
        </r>
      </text>
    </comment>
    <comment ref="BS14" authorId="2">
      <text>
        <r>
          <rPr>
            <b/>
            <sz val="8"/>
            <color indexed="81"/>
            <rFont val="Tahoma"/>
            <family val="2"/>
          </rPr>
          <t>mm98285:</t>
        </r>
        <r>
          <rPr>
            <sz val="8"/>
            <color indexed="81"/>
            <rFont val="Tahoma"/>
            <family val="2"/>
          </rPr>
          <t xml:space="preserve">
0% translation</t>
        </r>
      </text>
    </comment>
    <comment ref="BW14" authorId="2">
      <text>
        <r>
          <rPr>
            <b/>
            <sz val="8"/>
            <color indexed="81"/>
            <rFont val="Tahoma"/>
            <family val="2"/>
          </rPr>
          <t>mm98285:</t>
        </r>
        <r>
          <rPr>
            <sz val="8"/>
            <color indexed="81"/>
            <rFont val="Tahoma"/>
            <family val="2"/>
          </rPr>
          <t xml:space="preserve">
+2% translation (+13% constant exch rate basis) 
1/08: expect +14%
11/07: expect +15%
8/30/07: +14% growth (includes +LDD comp in U.S. and +HSD comp internationally)
2H international: expect M-H-teens comp in Europe and Asia Pacific, and Japan comps +slightly
2006 10K: guided to 11-12% net sales growth assuming +HSD worldwide comp (+HSD U.S. and Int'l comps) and +17 new stores
</t>
        </r>
        <r>
          <rPr>
            <b/>
            <sz val="8"/>
            <color indexed="81"/>
            <rFont val="Tahoma"/>
            <family val="2"/>
          </rPr>
          <t>Ping Wang:</t>
        </r>
        <r>
          <rPr>
            <sz val="8"/>
            <color indexed="81"/>
            <rFont val="Tahoma"/>
            <family val="2"/>
          </rPr>
          <t xml:space="preserve">
20071Q first call: expect ~12% growth, (HSD comps in U.S., +M-HSD comp in international sales and the sales contribution from new stores)</t>
        </r>
      </text>
    </comment>
    <comment ref="BX14" authorId="2">
      <text>
        <r>
          <rPr>
            <b/>
            <sz val="8"/>
            <color indexed="81"/>
            <rFont val="Tahoma"/>
            <family val="2"/>
          </rPr>
          <t>mm98285:</t>
        </r>
        <r>
          <rPr>
            <sz val="8"/>
            <color indexed="81"/>
            <rFont val="Tahoma"/>
            <family val="2"/>
          </rPr>
          <t xml:space="preserve">
+1% translation (+8% GAAP)
8/30/07: +14% growth (includes +LDD comp in U.S. and +HSD comp internationally)
2H international: expect M-H-teens comp in Europe and Asia Pacific, and Japan comps +slightly
2006 10K: guided to +HSD worldwide comp (+HSD U.S. and Int'l comps)</t>
        </r>
      </text>
    </comment>
    <comment ref="BZ14" authorId="2">
      <text>
        <r>
          <rPr>
            <b/>
            <sz val="8"/>
            <color indexed="81"/>
            <rFont val="Tahoma"/>
            <family val="2"/>
          </rPr>
          <t>mm98285:</t>
        </r>
        <r>
          <rPr>
            <sz val="8"/>
            <color indexed="81"/>
            <rFont val="Tahoma"/>
            <family val="2"/>
          </rPr>
          <t xml:space="preserve">
1/09: expect $2.85BN</t>
        </r>
      </text>
    </comment>
    <comment ref="CA14" authorId="2">
      <text>
        <r>
          <rPr>
            <b/>
            <sz val="8"/>
            <color indexed="81"/>
            <rFont val="Tahoma"/>
            <family val="2"/>
          </rPr>
          <t>mm98285:</t>
        </r>
        <r>
          <rPr>
            <sz val="8"/>
            <color indexed="81"/>
            <rFont val="Tahoma"/>
            <family val="2"/>
          </rPr>
          <t xml:space="preserve">
-4% constant exchange basis
11/08: 0-(2)%
8/08: expect +9%
5/08 &amp; 3/08: expect 10% sales growth</t>
        </r>
      </text>
    </comment>
    <comment ref="CB14" authorId="2">
      <text>
        <r>
          <rPr>
            <b/>
            <sz val="8"/>
            <color indexed="81"/>
            <rFont val="Tahoma"/>
            <family val="2"/>
          </rPr>
          <t>mm98285:</t>
        </r>
        <r>
          <rPr>
            <sz val="8"/>
            <color indexed="81"/>
            <rFont val="Tahoma"/>
            <family val="2"/>
          </rPr>
          <t xml:space="preserve">
+2% translation (-7% GAAP)
3/08: expect +LSD in U.S. and +MSD intern'tl</t>
        </r>
      </text>
    </comment>
    <comment ref="CD14" authorId="2">
      <text>
        <r>
          <rPr>
            <b/>
            <sz val="8"/>
            <color indexed="81"/>
            <rFont val="Tahoma"/>
            <family val="2"/>
          </rPr>
          <t>mm98285:</t>
        </r>
        <r>
          <rPr>
            <sz val="8"/>
            <color indexed="81"/>
            <rFont val="Tahoma"/>
            <family val="2"/>
          </rPr>
          <t xml:space="preserve">
1/10: expect $2.7BN</t>
        </r>
      </text>
    </comment>
    <comment ref="CE14" authorId="2">
      <text>
        <r>
          <rPr>
            <b/>
            <sz val="8"/>
            <color indexed="81"/>
            <rFont val="Tahoma"/>
            <family val="2"/>
          </rPr>
          <t>mm98285:</t>
        </r>
        <r>
          <rPr>
            <sz val="8"/>
            <color indexed="81"/>
            <rFont val="Tahoma"/>
            <family val="2"/>
          </rPr>
          <t xml:space="preserve">
11/09: expect -8%
8/09: expect -10%
3/09: expect -11% growth to $2.6BN</t>
        </r>
      </text>
    </comment>
    <comment ref="CH14" authorId="5">
      <text>
        <r>
          <rPr>
            <b/>
            <sz val="8"/>
            <color indexed="81"/>
            <rFont val="Tahoma"/>
            <family val="2"/>
          </rPr>
          <t>nicholjs:</t>
        </r>
        <r>
          <rPr>
            <sz val="8"/>
            <color indexed="81"/>
            <rFont val="Tahoma"/>
            <family val="2"/>
          </rPr>
          <t xml:space="preserve">
 designs of Ms. Peretti accounted for 10% of the Company’s net sales in both 2010 and 2009 and 11% in 2008.
Royalty revenue (Swatch) was less than 1% of net sales in 2010. Watches sold in TIF stores constituted 1% of net sales in both 2010 and 2009 and 2% in 2008.</t>
        </r>
      </text>
    </comment>
    <comment ref="CI14" authorId="4">
      <text>
        <r>
          <rPr>
            <sz val="8"/>
            <color indexed="81"/>
            <rFont val="Tahoma"/>
            <family val="2"/>
          </rPr>
          <t>+12% on constant exchange rate basis
1/11: expect net sales of almost $3.1bn
11/10: expect 12% worldwide revenue growth for the yr
8/10: expect 11% worldwide revenue growth for the yr
5/10: expect 11% worldwide revenue growth for the yr
3/10: expect 11% worldwide revenue growth for the yr</t>
        </r>
      </text>
    </comment>
    <comment ref="CM14" authorId="5">
      <text>
        <r>
          <rPr>
            <sz val="8"/>
            <color indexed="81"/>
            <rFont val="Tahoma"/>
            <family val="2"/>
          </rPr>
          <t>11/2011: expect worldwide net sales to increase high-teens
8/2011: expect worldwide net sales to increase high-teens
5/2011: expect worldwide net sales to increase mid teens
3/2011: expect worldwide net sales to increase 12-14%</t>
        </r>
      </text>
    </comment>
    <comment ref="CP14" authorId="6">
      <text>
        <r>
          <rPr>
            <b/>
            <sz val="7"/>
            <color indexed="81"/>
            <rFont val="Tahoma"/>
            <family val="2"/>
          </rPr>
          <t xml:space="preserve">8/27/12: +6-7%; moderated 4Q sales growth in Asia and Americas; </t>
        </r>
        <r>
          <rPr>
            <sz val="7"/>
            <color indexed="81"/>
            <rFont val="Tahoma"/>
            <family val="2"/>
          </rPr>
          <t>prudent to maintain a cautious near-term outlook about global economic conditions and the effects on customer spending</t>
        </r>
        <r>
          <rPr>
            <b/>
            <sz val="7"/>
            <color indexed="81"/>
            <rFont val="Tahoma"/>
            <family val="2"/>
          </rPr>
          <t xml:space="preserve">
8/6/12: </t>
        </r>
        <r>
          <rPr>
            <sz val="7"/>
            <color indexed="81"/>
            <rFont val="Tahoma"/>
            <family val="2"/>
          </rPr>
          <t>target 7-8% FY2012 growth. 7% = $3.898BN
our est is $3.77 or $128M below
Co s/b able to save 20% of sales shortfall in SG&amp;A expense or $26M sg&amp;a exp savings</t>
        </r>
        <r>
          <rPr>
            <b/>
            <sz val="7"/>
            <color indexed="81"/>
            <rFont val="Tahoma"/>
            <family val="2"/>
          </rPr>
          <t xml:space="preserve">
P Kahng:</t>
        </r>
        <r>
          <rPr>
            <sz val="7"/>
            <color indexed="81"/>
            <rFont val="Tahoma"/>
            <family val="2"/>
          </rPr>
          <t xml:space="preserve">
4q call: 10% increase in WW sales driven by sales growth in Asia Pac and Americas</t>
        </r>
      </text>
    </comment>
    <comment ref="CQ14" authorId="6">
      <text>
        <r>
          <rPr>
            <sz val="8"/>
            <color indexed="81"/>
            <rFont val="Tahoma"/>
            <family val="2"/>
          </rPr>
          <t>3/22/13: constant exchange rate +5%
11/29/12: 5-6%
7/9/12: Was 7.2% and 3.9% comp
5/24/12 q1: 
guidance 7-8% growth for the year vs 10% expected previously.</t>
        </r>
        <r>
          <rPr>
            <sz val="8"/>
            <color indexed="81"/>
            <rFont val="Tahoma"/>
            <family val="2"/>
          </rPr>
          <t xml:space="preserve">
Prior estimate was 9.6%</t>
        </r>
      </text>
    </comment>
    <comment ref="CR14" authorId="6">
      <text>
        <r>
          <rPr>
            <b/>
            <sz val="8"/>
            <color indexed="81"/>
            <rFont val="Tahoma"/>
            <family val="2"/>
          </rPr>
          <t>7/9/12: Was 3.9% comp
P Kahng:</t>
        </r>
        <r>
          <rPr>
            <sz val="8"/>
            <color indexed="81"/>
            <rFont val="Tahoma"/>
            <family val="2"/>
          </rPr>
          <t xml:space="preserve">
4q call: 12% increase on constant fx and comp growth of 8%</t>
        </r>
      </text>
    </comment>
    <comment ref="CT14" authorId="7">
      <text>
        <r>
          <rPr>
            <b/>
            <sz val="9"/>
            <color indexed="81"/>
            <rFont val="Tahoma"/>
            <family val="2"/>
          </rPr>
          <t>turleamb:</t>
        </r>
        <r>
          <rPr>
            <sz val="9"/>
            <color indexed="81"/>
            <rFont val="Tahoma"/>
            <family val="2"/>
          </rPr>
          <t xml:space="preserve">
eComm is 6% of sales; 
</t>
        </r>
      </text>
    </comment>
    <comment ref="CU14" authorId="10">
      <text>
        <r>
          <rPr>
            <b/>
            <sz val="8"/>
            <color indexed="81"/>
            <rFont val="Tahoma"/>
            <family val="2"/>
          </rPr>
          <t xml:space="preserve">turleamb:
</t>
        </r>
        <r>
          <rPr>
            <sz val="8"/>
            <color indexed="81"/>
            <rFont val="Tahoma"/>
            <family val="2"/>
          </rPr>
          <t>3/21/14: +10% CC</t>
        </r>
        <r>
          <rPr>
            <b/>
            <sz val="8"/>
            <color indexed="81"/>
            <rFont val="Tahoma"/>
            <family val="2"/>
          </rPr>
          <t xml:space="preserve">
</t>
        </r>
        <r>
          <rPr>
            <sz val="8"/>
            <color indexed="81"/>
            <rFont val="Tahoma"/>
            <family val="2"/>
          </rPr>
          <t>11/26/13: +MSD in US$ (+HSD in CC); expect CC comps +LDD in Asia-Pac and Japan, +MSD in Europe, +LSD in Americas</t>
        </r>
        <r>
          <rPr>
            <b/>
            <sz val="8"/>
            <color indexed="81"/>
            <rFont val="Tahoma"/>
            <family val="2"/>
          </rPr>
          <t xml:space="preserve">
</t>
        </r>
        <r>
          <rPr>
            <sz val="8"/>
            <color indexed="81"/>
            <rFont val="Tahoma"/>
            <family val="2"/>
          </rPr>
          <t>8/27/13:+MSD in US$ (+HSD in CC)</t>
        </r>
        <r>
          <rPr>
            <b/>
            <sz val="8"/>
            <color indexed="81"/>
            <rFont val="Tahoma"/>
            <family val="2"/>
          </rPr>
          <t xml:space="preserve">
</t>
        </r>
        <r>
          <rPr>
            <sz val="8"/>
            <color indexed="81"/>
            <rFont val="Tahoma"/>
            <family val="2"/>
          </rPr>
          <t>5/28/13: +MSD in U.S. dollars (+HSD in constant currency)</t>
        </r>
        <r>
          <rPr>
            <sz val="8"/>
            <color indexed="81"/>
            <rFont val="Tahoma"/>
            <family val="2"/>
          </rPr>
          <t xml:space="preserve">
3/22/13: guidance 6-8%</t>
        </r>
      </text>
    </comment>
    <comment ref="CY14" authorId="7">
      <text>
        <r>
          <rPr>
            <b/>
            <sz val="9"/>
            <color indexed="81"/>
            <rFont val="Tahoma"/>
            <family val="2"/>
          </rPr>
          <t>turleamb:</t>
        </r>
        <r>
          <rPr>
            <sz val="9"/>
            <color indexed="81"/>
            <rFont val="Tahoma"/>
            <family val="2"/>
          </rPr>
          <t xml:space="preserve">
3/20/15: +7% in CC (2% F/X impact)
11/25/14: worldwide net sales +MSD to +HSD (vs. prior +HSD forecast)
8/27/14: reiterate +HSD sales growth
5/20/14: reiterated guidance: sales +HSD with all regions expected to achieve growth in total sales in US dollars and in comp store sales on a CC basis. 
3/21/14: guided net sales +HSD US$ (and CC). All regions expected to achieve growth in total sales and comp sales</t>
        </r>
      </text>
    </comment>
    <comment ref="CZ14" authorId="7">
      <text>
        <r>
          <rPr>
            <b/>
            <sz val="9"/>
            <color indexed="81"/>
            <rFont val="Tahoma"/>
            <family val="2"/>
          </rPr>
          <t>turleamb:</t>
        </r>
        <r>
          <rPr>
            <sz val="9"/>
            <color indexed="81"/>
            <rFont val="Tahoma"/>
            <family val="2"/>
          </rPr>
          <t xml:space="preserve">
5/20/14: Reiterated guidance: all regions expected to achieve growth in comp store sales on CC basis. 
3/21/14: Guided "All regions expected to achieve growth in total and comp store sales"</t>
        </r>
      </text>
    </comment>
    <comment ref="DC14" authorId="0">
      <text>
        <r>
          <rPr>
            <b/>
            <sz val="9"/>
            <color indexed="81"/>
            <rFont val="Tahoma"/>
            <family val="2"/>
          </rPr>
          <t>3/18/16: +2% CC due to higher sales in Asia-Pacific, Japan and Europe</t>
        </r>
        <r>
          <rPr>
            <sz val="9"/>
            <color indexed="81"/>
            <rFont val="Tahoma"/>
            <family val="2"/>
          </rPr>
          <t xml:space="preserve">
3/20/15: Guidance +MSD in CC and +LSD in USD
1/12/15: Likely planning for +LSD to +MSD sales growth in 2015</t>
        </r>
      </text>
    </comment>
    <comment ref="DD14" authorId="10">
      <text>
        <r>
          <rPr>
            <b/>
            <sz val="9"/>
            <color indexed="81"/>
            <rFont val="Tahoma"/>
            <family val="2"/>
          </rPr>
          <t>casselau:</t>
        </r>
        <r>
          <rPr>
            <sz val="9"/>
            <color indexed="81"/>
            <rFont val="Tahoma"/>
            <family val="2"/>
          </rPr>
          <t xml:space="preserve">
3/18/16: in-line performance relative to overall sales for the statement, fine and solitaire jewelry category, although with </t>
        </r>
        <r>
          <rPr>
            <b/>
            <sz val="9"/>
            <color indexed="81"/>
            <rFont val="Tahoma"/>
            <family val="2"/>
          </rPr>
          <t>strong sales growth of statement jewelry</t>
        </r>
        <r>
          <rPr>
            <sz val="9"/>
            <color indexed="81"/>
            <rFont val="Tahoma"/>
            <family val="2"/>
          </rPr>
          <t xml:space="preserve">; in-line relative performance for the fashion jewelry category, although with </t>
        </r>
        <r>
          <rPr>
            <b/>
            <sz val="9"/>
            <color indexed="81"/>
            <rFont val="Tahoma"/>
            <family val="2"/>
          </rPr>
          <t>continued strong gold jewelry sales</t>
        </r>
        <r>
          <rPr>
            <sz val="9"/>
            <color indexed="81"/>
            <rFont val="Tahoma"/>
            <family val="2"/>
          </rPr>
          <t>; and</t>
        </r>
        <r>
          <rPr>
            <b/>
            <sz val="9"/>
            <color indexed="81"/>
            <rFont val="Tahoma"/>
            <family val="2"/>
          </rPr>
          <t xml:space="preserve"> a slight relative underperformance in the engagement jewelry category,</t>
        </r>
        <r>
          <rPr>
            <sz val="9"/>
            <color indexed="81"/>
            <rFont val="Tahoma"/>
            <family val="2"/>
          </rPr>
          <t xml:space="preserve"> although a new marketing campaign that we launched last month is intended to address that engagement softness</t>
        </r>
      </text>
    </comment>
    <comment ref="DG14" authorId="10">
      <text>
        <r>
          <rPr>
            <b/>
            <sz val="9"/>
            <color indexed="81"/>
            <rFont val="Tahoma"/>
            <family val="2"/>
          </rPr>
          <t xml:space="preserve">casselau:
8/25/16; 11/29/16; 1/17/17: reiterated guidance
5/25/16: guidance: </t>
        </r>
        <r>
          <rPr>
            <sz val="9"/>
            <color indexed="81"/>
            <rFont val="Tahoma"/>
            <family val="2"/>
          </rPr>
          <t>worldwide net sales declining by a low-single-digit percentage from the prior year</t>
        </r>
        <r>
          <rPr>
            <b/>
            <sz val="9"/>
            <color indexed="81"/>
            <rFont val="Tahoma"/>
            <family val="2"/>
          </rPr>
          <t xml:space="preserve">
3/18/16: </t>
        </r>
        <r>
          <rPr>
            <sz val="9"/>
            <color indexed="81"/>
            <rFont val="Tahoma"/>
            <family val="2"/>
          </rPr>
          <t>guidance: worldwide net sales on a constant-exchange-rate basis increasing by a low-single-digit percentage, but approximately equal to the prior year when translated into U.S. dollars</t>
        </r>
        <r>
          <rPr>
            <sz val="9"/>
            <color indexed="81"/>
            <rFont val="Tahoma"/>
            <family val="2"/>
          </rPr>
          <t xml:space="preserve">
1/19/16: Mgmt currently believes that the strong dollar and global macro challenges will likely result in </t>
        </r>
        <r>
          <rPr>
            <b/>
            <sz val="9"/>
            <color indexed="81"/>
            <rFont val="Tahoma"/>
            <family val="2"/>
          </rPr>
          <t xml:space="preserve">minimal growth in net sales and net earnings, as reported in dollars </t>
        </r>
        <r>
          <rPr>
            <sz val="9"/>
            <color indexed="81"/>
            <rFont val="Tahoma"/>
            <family val="2"/>
          </rPr>
          <t>and excluding charges in 2015, for the year.</t>
        </r>
      </text>
    </comment>
    <comment ref="DH14" authorId="8">
      <text>
        <r>
          <rPr>
            <b/>
            <sz val="9"/>
            <color indexed="81"/>
            <rFont val="Tahoma"/>
            <family val="2"/>
          </rPr>
          <t>Cassel, Lauren (Research):</t>
        </r>
        <r>
          <rPr>
            <sz val="9"/>
            <color indexed="81"/>
            <rFont val="Tahoma"/>
            <family val="2"/>
          </rPr>
          <t xml:space="preserve">
3/17/17: CC -3%; Performance was generally soft across all jewelry categories
* silver jewelry sales approaching stabalization after years of declines; 
*Relative improvement we've seen in fashion jewelry sales can be attributed to higher gold jewelry sales; 
*grew the number of new items under $500 by more than 10%
*Relatively speaking the softest product category was high fine solitaire jewelry
eComm = 6% of sales, unchanged y/y (somewhat higher in NA)</t>
        </r>
      </text>
    </comment>
    <comment ref="DK14" authorId="8">
      <text>
        <r>
          <rPr>
            <b/>
            <sz val="9"/>
            <color indexed="81"/>
            <rFont val="Tahoma"/>
            <family val="2"/>
          </rPr>
          <t xml:space="preserve">Cassel, Lauren (Research):
3/16/18: </t>
        </r>
        <r>
          <rPr>
            <sz val="9"/>
            <color indexed="81"/>
            <rFont val="Tahoma"/>
            <family val="2"/>
          </rPr>
          <t>constant currency +4%; sales increased in the Jewelry Collections category (which now combines the previously-reported High, Fine and Solitaire Jewelry and the Fashion Jewelry categories), driven primarily by the Tiffany HardWear and Tiffany T collections, and the Designer Jewelry category and decreased in the Engagement Jewelry category</t>
        </r>
        <r>
          <rPr>
            <b/>
            <sz val="9"/>
            <color indexed="81"/>
            <rFont val="Tahoma"/>
            <family val="2"/>
          </rPr>
          <t xml:space="preserve">
1/17/18: guidance: +~4% as reported and CC
5/24/17: guidance: +LSD as reported and constant currency (reiterated in May and Nov)</t>
        </r>
        <r>
          <rPr>
            <sz val="9"/>
            <color indexed="81"/>
            <rFont val="Tahoma"/>
            <family val="2"/>
          </rPr>
          <t xml:space="preserve">
3/17/17: guidance: +LSD sales growth (+MSD constant currency)</t>
        </r>
      </text>
    </comment>
    <comment ref="DO14" authorId="8">
      <text>
        <r>
          <rPr>
            <b/>
            <sz val="9"/>
            <color indexed="81"/>
            <rFont val="Tahoma"/>
            <family val="2"/>
          </rPr>
          <t>Cassel, Lauren (Research):
3/16/18: guidance: +MSD on both reported and CC basis</t>
        </r>
        <r>
          <rPr>
            <sz val="9"/>
            <color indexed="81"/>
            <rFont val="Tahoma"/>
            <family val="2"/>
          </rPr>
          <t xml:space="preserve">
1/17/18: guidance +MSD increase in worldwide sales</t>
        </r>
      </text>
    </comment>
    <comment ref="DP14" authorId="8">
      <text>
        <r>
          <rPr>
            <b/>
            <sz val="9"/>
            <color indexed="81"/>
            <rFont val="Tahoma"/>
            <family val="2"/>
          </rPr>
          <t>Cassel, Lauren (Research):</t>
        </r>
        <r>
          <rPr>
            <sz val="9"/>
            <color indexed="81"/>
            <rFont val="Tahoma"/>
            <family val="2"/>
          </rPr>
          <t xml:space="preserve">
3/16/18: guidance: +L-MSD comps (beginning in 2018 will include stores, eCommerce, and catalog sales)</t>
        </r>
      </text>
    </comment>
    <comment ref="BV18" authorId="7">
      <text>
        <r>
          <rPr>
            <b/>
            <sz val="8"/>
            <color indexed="81"/>
            <rFont val="Tahoma"/>
            <family val="2"/>
          </rPr>
          <t>turleamb:</t>
        </r>
        <r>
          <rPr>
            <sz val="8"/>
            <color indexed="81"/>
            <rFont val="Tahoma"/>
            <family val="2"/>
          </rPr>
          <t xml:space="preserve">
Cost of sales includes costs related to the purchase of merchandise from third parties, the cost to internally manufacture merchandise (metal, gemstones, labor and overhead), inbound freight, purchasing and receiving, inspection, warehousing, internal transfers and other costs associated with distribution and merchandising. Cost of sales also includes royalty fees paid to outside designers and customer shipping and handling charges.</t>
        </r>
      </text>
    </comment>
    <comment ref="DB18" authorId="7">
      <text>
        <r>
          <rPr>
            <b/>
            <sz val="8"/>
            <color indexed="81"/>
            <rFont val="Tahoma"/>
            <family val="2"/>
          </rPr>
          <t>turleamb:</t>
        </r>
        <r>
          <rPr>
            <sz val="8"/>
            <color indexed="81"/>
            <rFont val="Tahoma"/>
            <family val="2"/>
          </rPr>
          <t xml:space="preserve">
Cost of sales includes costs related to the purchase of merchandise from third parties, the cost to internally manufacture merchandise (metal, gemstones, labor and overhead), inbound freight, purchasing and receiving, inspection, warehousing, internal transfers and other costs associated with distribution and merchandising. Cost of sales also includes royalty fees paid to outside designers and customer shipping and handling charges.</t>
        </r>
      </text>
    </comment>
    <comment ref="BK20" authorId="9">
      <text>
        <r>
          <rPr>
            <b/>
            <sz val="8"/>
            <color indexed="81"/>
            <rFont val="Tahoma"/>
            <family val="2"/>
          </rPr>
          <t>SB:</t>
        </r>
        <r>
          <rPr>
            <sz val="8"/>
            <color indexed="81"/>
            <rFont val="Tahoma"/>
            <family val="2"/>
          </rPr>
          <t xml:space="preserve">
Decline primarily reflected LIFO inv charge of $3.6mm vs $0.6mm LY due to higher precious metal costs. Also costs related to new DC opened in 3Q03</t>
        </r>
      </text>
    </comment>
    <comment ref="BR20" authorId="2">
      <text>
        <r>
          <rPr>
            <b/>
            <sz val="8"/>
            <color indexed="81"/>
            <rFont val="Tahoma"/>
            <family val="2"/>
          </rPr>
          <t>mm98285:</t>
        </r>
        <r>
          <rPr>
            <sz val="8"/>
            <color indexed="81"/>
            <rFont val="Tahoma"/>
            <family val="2"/>
          </rPr>
          <t xml:space="preserve">
$238.115 prior to restatement
</t>
        </r>
      </text>
    </comment>
    <comment ref="BV20" authorId="3">
      <text>
        <r>
          <rPr>
            <b/>
            <sz val="8"/>
            <color indexed="81"/>
            <rFont val="Tahoma"/>
            <family val="2"/>
          </rPr>
          <t>pw64212:</t>
        </r>
        <r>
          <rPr>
            <sz val="8"/>
            <color indexed="81"/>
            <rFont val="Tahoma"/>
            <family val="2"/>
          </rPr>
          <t xml:space="preserve">
$268.401mm prior to restatement for change in inventory accouting to avg cost method from LIFO method
$282.386 prior to restatement
20071Q 10Q Pg 4: higher product costs impact margin.  (LIFO inventory charge of $6.9M vs $1.4 M LY)</t>
        </r>
      </text>
    </comment>
    <comment ref="BW20" authorId="3">
      <text>
        <r>
          <rPr>
            <b/>
            <sz val="8"/>
            <color indexed="81"/>
            <rFont val="Tahoma"/>
            <family val="2"/>
          </rPr>
          <t>pw64212:</t>
        </r>
        <r>
          <rPr>
            <sz val="8"/>
            <color indexed="81"/>
            <rFont val="Tahoma"/>
            <family val="2"/>
          </rPr>
          <t xml:space="preserve">
high product costs &amp; mix shift towards sales of higher priced jewelry as well as incrased wholesale sales.</t>
        </r>
      </text>
    </comment>
    <comment ref="BX20" authorId="3">
      <text>
        <r>
          <rPr>
            <b/>
            <sz val="8"/>
            <color indexed="81"/>
            <rFont val="Tahoma"/>
            <family val="2"/>
          </rPr>
          <t>pw64212:  
20071Q 10Q</t>
        </r>
        <r>
          <rPr>
            <sz val="8"/>
            <color indexed="81"/>
            <rFont val="Tahoma"/>
            <family val="2"/>
          </rPr>
          <t xml:space="preserve">
-90 bps du to increased product costs and changes in sales mix.
-40 bps due to increased low-margin wholesale sales of diamonds</t>
        </r>
      </text>
    </comment>
    <comment ref="BZ20" authorId="2">
      <text>
        <r>
          <rPr>
            <b/>
            <sz val="8"/>
            <color indexed="81"/>
            <rFont val="Tahoma"/>
            <family val="2"/>
          </rPr>
          <t>mm98285:</t>
        </r>
        <r>
          <rPr>
            <sz val="8"/>
            <color indexed="81"/>
            <rFont val="Tahoma"/>
            <family val="2"/>
          </rPr>
          <t xml:space="preserve">
restated to exclude Iridesse</t>
        </r>
      </text>
    </comment>
    <comment ref="CA20" authorId="2">
      <text>
        <r>
          <rPr>
            <b/>
            <sz val="8"/>
            <color indexed="81"/>
            <rFont val="Tahoma"/>
            <family val="2"/>
          </rPr>
          <t>mm98285:</t>
        </r>
        <r>
          <rPr>
            <sz val="8"/>
            <color indexed="81"/>
            <rFont val="Tahoma"/>
            <family val="2"/>
          </rPr>
          <t xml:space="preserve">
+60 bps sales levg on fixed costs 
+40 bps from decline in whoesale sales of diamonds
1Q08 changed from LIFO to avg cost method of inventory accoutning and all prior year results have been revised for change</t>
        </r>
      </text>
    </comment>
    <comment ref="CD20" authorId="2">
      <text>
        <r>
          <rPr>
            <b/>
            <sz val="8"/>
            <color indexed="81"/>
            <rFont val="Tahoma"/>
            <family val="2"/>
          </rPr>
          <t>mm98285:</t>
        </r>
        <r>
          <rPr>
            <sz val="8"/>
            <color indexed="81"/>
            <rFont val="Tahoma"/>
            <family val="2"/>
          </rPr>
          <t xml:space="preserve">
restated to exclude Iridesse</t>
        </r>
      </text>
    </comment>
    <comment ref="CE20" authorId="2">
      <text>
        <r>
          <rPr>
            <b/>
            <sz val="8"/>
            <color indexed="81"/>
            <rFont val="Tahoma"/>
            <family val="2"/>
          </rPr>
          <t>mm98285:</t>
        </r>
        <r>
          <rPr>
            <sz val="8"/>
            <color indexed="81"/>
            <rFont val="Tahoma"/>
            <family val="2"/>
          </rPr>
          <t xml:space="preserve">
higher product costs partly offset by lower wholesale sales of diamonds</t>
        </r>
      </text>
    </comment>
    <comment ref="CH20" authorId="5">
      <text>
        <r>
          <rPr>
            <b/>
            <sz val="8"/>
            <color indexed="81"/>
            <rFont val="Tahoma"/>
            <family val="2"/>
          </rPr>
          <t>nicholjs:</t>
        </r>
        <r>
          <rPr>
            <sz val="8"/>
            <color indexed="81"/>
            <rFont val="Tahoma"/>
            <family val="2"/>
          </rPr>
          <t xml:space="preserve">
excludes $72,000 charge within cogs associated with company's plan to consolidate NY HQ staff within one location</t>
        </r>
      </text>
    </comment>
    <comment ref="CI20" authorId="12">
      <text>
        <r>
          <rPr>
            <b/>
            <sz val="8"/>
            <color indexed="81"/>
            <rFont val="Tahoma"/>
            <family val="2"/>
          </rPr>
          <t>NS66486:</t>
        </r>
        <r>
          <rPr>
            <sz val="8"/>
            <color indexed="81"/>
            <rFont val="Tahoma"/>
            <family val="2"/>
          </rPr>
          <t xml:space="preserve">
sales leverage on fixed costs and manufacturing efficiencies</t>
        </r>
      </text>
    </comment>
    <comment ref="CL20" authorId="5">
      <text>
        <r>
          <rPr>
            <b/>
            <sz val="8"/>
            <color indexed="81"/>
            <rFont val="Tahoma"/>
            <family val="2"/>
          </rPr>
          <t>nicholjs:</t>
        </r>
        <r>
          <rPr>
            <sz val="8"/>
            <color indexed="81"/>
            <rFont val="Tahoma"/>
            <family val="2"/>
          </rPr>
          <t xml:space="preserve">
excludes $0.213 associated with plans to consolidate NY headquarters staff within one location</t>
        </r>
      </text>
    </comment>
    <comment ref="CM20" authorId="5">
      <text>
        <r>
          <rPr>
            <b/>
            <sz val="8"/>
            <color indexed="81"/>
            <rFont val="Tahoma"/>
            <family val="2"/>
          </rPr>
          <t>nicholjs:</t>
        </r>
        <r>
          <rPr>
            <sz val="8"/>
            <color indexed="81"/>
            <rFont val="Tahoma"/>
            <family val="2"/>
          </rPr>
          <t xml:space="preserve">
primarily due to a decline in wholesale sales of diamonds and sales leverage on fixed costs.  Changes in product mix and higher product costs had an unfavorable impact on GM.</t>
        </r>
      </text>
    </comment>
    <comment ref="CQ20" authorId="13">
      <text>
        <r>
          <rPr>
            <b/>
            <sz val="8"/>
            <color indexed="81"/>
            <rFont val="Tahoma"/>
            <family val="2"/>
          </rPr>
          <t>kahng:</t>
        </r>
        <r>
          <rPr>
            <sz val="8"/>
            <color indexed="81"/>
            <rFont val="Tahoma"/>
            <family val="2"/>
          </rPr>
          <t xml:space="preserve">
3/20/12: Was 57.7</t>
        </r>
      </text>
    </comment>
    <comment ref="CU20" authorId="13">
      <text>
        <r>
          <rPr>
            <b/>
            <sz val="8"/>
            <color indexed="81"/>
            <rFont val="Tahoma"/>
            <family val="2"/>
          </rPr>
          <t xml:space="preserve">5/28/13: </t>
        </r>
        <r>
          <rPr>
            <sz val="8"/>
            <color indexed="81"/>
            <rFont val="Tahoma"/>
            <family val="2"/>
          </rPr>
          <t>reflects a shift in sales mix toward high-priced, lower gross margin products; but benefitted from diminished product cost pressure and recent price increases</t>
        </r>
      </text>
    </comment>
    <comment ref="CY20" authorId="7">
      <text>
        <r>
          <rPr>
            <b/>
            <sz val="9"/>
            <color indexed="81"/>
            <rFont val="Tahoma"/>
            <family val="2"/>
          </rPr>
          <t>turleamb:</t>
        </r>
        <r>
          <rPr>
            <sz val="9"/>
            <color indexed="81"/>
            <rFont val="Tahoma"/>
            <family val="2"/>
          </rPr>
          <t xml:space="preserve">
5/20/14: increase reflects favorable product costs and price increases across all product categories and regions as well as sales leverage on fixed costs resulting from strong increase in worldwide sales. Strong sales increase in Japan had a positive impact on GM. Improvement in fashion jewelry sales (narrowing gap in rate of sales growth of this category relative to other jewelry categories) led to inimal negative effect from sales mix on gross margin. </t>
        </r>
      </text>
    </comment>
    <comment ref="DC20" authorId="10">
      <text>
        <r>
          <rPr>
            <b/>
            <sz val="9"/>
            <color indexed="81"/>
            <rFont val="Tahoma"/>
            <family val="2"/>
          </rPr>
          <t>casselau:</t>
        </r>
        <r>
          <rPr>
            <sz val="9"/>
            <color indexed="81"/>
            <rFont val="Tahoma"/>
            <family val="2"/>
          </rPr>
          <t xml:space="preserve">
5/27/15: reflects benefits from favorable product input costs and +single-digit price increases, as well as the absence of a one-time charge in 1Q, partially offset by a negative effect from geographical sales mix; favorable effect from higher-margin fashion jewlery sales was offset by solid growth in much lower margin statement jewelry, as well as the sales decline in Japan which had a negative effect on gross margin</t>
        </r>
      </text>
    </comment>
    <comment ref="DH20" authorId="8">
      <text>
        <r>
          <rPr>
            <b/>
            <sz val="9"/>
            <color indexed="81"/>
            <rFont val="Tahoma"/>
            <family val="2"/>
          </rPr>
          <t>Cassel, Lauren (Research):</t>
        </r>
        <r>
          <rPr>
            <sz val="9"/>
            <color indexed="81"/>
            <rFont val="Tahoma"/>
            <family val="2"/>
          </rPr>
          <t xml:space="preserve">
5/25/16: the increase was due to favorable product input costs and the effect of a shift in sales mix towards higher-margin products, as well as price increases, partly offset by the effect of currency translation and a lack of sales leverage on fixed costs</t>
        </r>
      </text>
    </comment>
    <comment ref="DK20" authorId="8">
      <text>
        <r>
          <rPr>
            <b/>
            <sz val="9"/>
            <color indexed="81"/>
            <rFont val="Tahoma"/>
            <family val="2"/>
          </rPr>
          <t>Cassel, Lauren (Research):</t>
        </r>
        <r>
          <rPr>
            <sz val="9"/>
            <color indexed="81"/>
            <rFont val="Tahoma"/>
            <family val="2"/>
          </rPr>
          <t xml:space="preserve">
3/17/17: took modest +LSD price increases in February</t>
        </r>
      </text>
    </comment>
    <comment ref="DL20" authorId="8">
      <text>
        <r>
          <rPr>
            <b/>
            <sz val="9"/>
            <color indexed="81"/>
            <rFont val="Tahoma"/>
            <family val="2"/>
          </rPr>
          <t>Cassel, Lauren (Research):</t>
        </r>
        <r>
          <rPr>
            <sz val="9"/>
            <color indexed="81"/>
            <rFont val="Tahoma"/>
            <family val="2"/>
          </rPr>
          <t xml:space="preserve">
5/24/17: primarily reflecting favorable product input costs (primarily lower diamond acquisition costs) and a shift in sales mix toward higher margin fashion jewelry products, partly offset by increased wholesale sales of diamonds; also took a +LSD price increase during the quarter</t>
        </r>
      </text>
    </comment>
    <comment ref="BO21" authorId="1">
      <text>
        <r>
          <rPr>
            <b/>
            <sz val="8"/>
            <color indexed="81"/>
            <rFont val="Tahoma"/>
            <family val="2"/>
          </rPr>
          <t>Morry Brown:</t>
        </r>
        <r>
          <rPr>
            <sz val="8"/>
            <color indexed="81"/>
            <rFont val="Tahoma"/>
            <family val="2"/>
          </rPr>
          <t xml:space="preserve">
per 1Q05 release, expect a modest decline in gross margin for full year
55.0</t>
        </r>
      </text>
    </comment>
    <comment ref="BR21" authorId="2">
      <text>
        <r>
          <rPr>
            <b/>
            <sz val="8"/>
            <color indexed="81"/>
            <rFont val="Tahoma"/>
            <family val="2"/>
          </rPr>
          <t>mm98285:</t>
        </r>
        <r>
          <rPr>
            <sz val="8"/>
            <color indexed="81"/>
            <rFont val="Tahoma"/>
            <family val="2"/>
          </rPr>
          <t xml:space="preserve">
$257.962 prior to restatement
</t>
        </r>
      </text>
    </comment>
    <comment ref="BW21" authorId="2">
      <text>
        <r>
          <rPr>
            <b/>
            <sz val="8"/>
            <color indexed="81"/>
            <rFont val="Tahoma"/>
            <family val="2"/>
          </rPr>
          <t>mm98285:</t>
        </r>
        <r>
          <rPr>
            <sz val="8"/>
            <color indexed="81"/>
            <rFont val="Tahoma"/>
            <family val="2"/>
          </rPr>
          <t xml:space="preserve">
-100 bps due to increased wholesale sales of diamonds (+$10.1mm in 2Q), 
-40 bps shift in geographic mix
+60 bps leverage on fixed costs associated with merchandising and distribution from strong sales growth</t>
        </r>
      </text>
    </comment>
    <comment ref="BZ21" authorId="2">
      <text>
        <r>
          <rPr>
            <b/>
            <sz val="8"/>
            <color indexed="81"/>
            <rFont val="Tahoma"/>
            <family val="2"/>
          </rPr>
          <t>mm98285:</t>
        </r>
        <r>
          <rPr>
            <sz val="8"/>
            <color indexed="81"/>
            <rFont val="Tahoma"/>
            <family val="2"/>
          </rPr>
          <t xml:space="preserve">
restated to exclude Iridesse</t>
        </r>
      </text>
    </comment>
    <comment ref="CA21" authorId="2">
      <text>
        <r>
          <rPr>
            <b/>
            <sz val="8"/>
            <color indexed="81"/>
            <rFont val="Tahoma"/>
            <family val="2"/>
          </rPr>
          <t>mm98285:</t>
        </r>
        <r>
          <rPr>
            <sz val="8"/>
            <color indexed="81"/>
            <rFont val="Tahoma"/>
            <family val="2"/>
          </rPr>
          <t xml:space="preserve">
increase primarily given favorable changes in geographic and product sales mix as well as levg on fixed costs
precious metal costs higher (platinum &amp; silver +15% vs. LY) &amp; polished diamond costs +LDD esp. in bigger stones however TIF raising prices to address rising costs</t>
        </r>
      </text>
    </comment>
    <comment ref="CE21" authorId="2">
      <text>
        <r>
          <rPr>
            <b/>
            <sz val="8"/>
            <color indexed="81"/>
            <rFont val="Tahoma"/>
            <family val="2"/>
          </rPr>
          <t>mm98285:</t>
        </r>
        <r>
          <rPr>
            <sz val="8"/>
            <color indexed="81"/>
            <rFont val="Tahoma"/>
            <family val="2"/>
          </rPr>
          <t xml:space="preserve">
higher product costs</t>
        </r>
      </text>
    </comment>
    <comment ref="CH21" authorId="5">
      <text>
        <r>
          <rPr>
            <b/>
            <sz val="8"/>
            <color indexed="81"/>
            <rFont val="Tahoma"/>
            <family val="2"/>
          </rPr>
          <t>nicholjs:</t>
        </r>
        <r>
          <rPr>
            <sz val="8"/>
            <color indexed="81"/>
            <rFont val="Tahoma"/>
            <family val="2"/>
          </rPr>
          <t xml:space="preserve">
excludes $0.289mm charge within cogs associated with plans to consolidate NY HQ staff within one location</t>
        </r>
      </text>
    </comment>
    <comment ref="CI21" authorId="11">
      <text>
        <r>
          <rPr>
            <b/>
            <sz val="8"/>
            <color indexed="81"/>
            <rFont val="Tahoma"/>
            <family val="2"/>
          </rPr>
          <t>marchant:</t>
        </r>
        <r>
          <rPr>
            <sz val="8"/>
            <color indexed="81"/>
            <rFont val="Tahoma"/>
            <family val="2"/>
          </rPr>
          <t xml:space="preserve">
8/10: increased retail prices earlier in the year to offset higher product costs and recapture the lost margin.Also seeing manufacturing efficiencies. Lastly, benefited from lower wholesale sales of rough diamonds that earned minimal if any margin.</t>
        </r>
      </text>
    </comment>
    <comment ref="CJ21" authorId="14">
      <text>
        <r>
          <rPr>
            <b/>
            <sz val="8"/>
            <color indexed="81"/>
            <rFont val="Tahoma"/>
            <family val="2"/>
          </rPr>
          <t>KG51925:</t>
        </r>
        <r>
          <rPr>
            <sz val="8"/>
            <color indexed="81"/>
            <rFont val="Tahoma"/>
            <family val="2"/>
          </rPr>
          <t xml:space="preserve">
should have a really great increase in 2Q (could be similar to 1Q)</t>
        </r>
      </text>
    </comment>
    <comment ref="CM21" authorId="5">
      <text>
        <r>
          <rPr>
            <b/>
            <sz val="8"/>
            <color indexed="81"/>
            <rFont val="Tahoma"/>
            <family val="2"/>
          </rPr>
          <t>nicholjs:</t>
        </r>
        <r>
          <rPr>
            <sz val="8"/>
            <color indexed="81"/>
            <rFont val="Tahoma"/>
            <family val="2"/>
          </rPr>
          <t xml:space="preserve">
entirely due to sales leverage on fixed costs that are in cost of sales.  Merchandise margin was flat - so price increases fully offset higher costs they've seen.</t>
        </r>
      </text>
    </comment>
    <comment ref="CQ21" authorId="13">
      <text>
        <r>
          <rPr>
            <b/>
            <sz val="8"/>
            <color indexed="81"/>
            <rFont val="Tahoma"/>
            <family val="2"/>
          </rPr>
          <t xml:space="preserve">8/27/12: </t>
        </r>
        <r>
          <rPr>
            <sz val="8"/>
            <color indexed="81"/>
            <rFont val="Tahoma"/>
            <family val="2"/>
          </rPr>
          <t xml:space="preserve">y/y decline largely resulted from higher product and acquisition costs, as well as reduced sales leverage on fixed costs </t>
        </r>
        <r>
          <rPr>
            <b/>
            <sz val="8"/>
            <color indexed="81"/>
            <rFont val="Tahoma"/>
            <family val="2"/>
          </rPr>
          <t xml:space="preserve">
kahng:</t>
        </r>
        <r>
          <rPr>
            <sz val="8"/>
            <color indexed="81"/>
            <rFont val="Tahoma"/>
            <family val="2"/>
          </rPr>
          <t xml:space="preserve">
5/24/12: Was 57.8
3/20/12: Was 58.4
</t>
        </r>
      </text>
    </comment>
    <comment ref="CU21" authorId="7">
      <text>
        <r>
          <rPr>
            <b/>
            <sz val="8"/>
            <color indexed="81"/>
            <rFont val="Tahoma"/>
            <family val="2"/>
          </rPr>
          <t>turleamb:</t>
        </r>
        <r>
          <rPr>
            <sz val="8"/>
            <color indexed="81"/>
            <rFont val="Tahoma"/>
            <family val="2"/>
          </rPr>
          <t xml:space="preserve">
8/27/13: benefitted from diminishing product cost pressure and price increases taken earlier in the year. Downward pressure from a shift in sales mix toward higher-priced, lower GM products. The effect of foreign currency translation, primarily from a weaker yen, reduced SG&amp;A expense growth by about 3 percentage points.</t>
        </r>
      </text>
    </comment>
    <comment ref="CY21" authorId="7">
      <text>
        <r>
          <rPr>
            <b/>
            <sz val="9"/>
            <color indexed="81"/>
            <rFont val="Tahoma"/>
            <family val="2"/>
          </rPr>
          <t>turleamb:</t>
        </r>
        <r>
          <rPr>
            <sz val="9"/>
            <color indexed="81"/>
            <rFont val="Tahoma"/>
            <family val="2"/>
          </rPr>
          <t xml:space="preserve">
8/27/14: increase largely reflected favorable product costs and price increases taken across all product categories and regions, and , to a lesser expect, sales leverage on fixed costs resulting from increases in sales. Fashion jewelry sales grew in line with total company sales, contributing the GM exceeding expectations. GM also benefitted from lower than expected wholesale sales. </t>
        </r>
      </text>
    </comment>
    <comment ref="DC21" authorId="10">
      <text>
        <r>
          <rPr>
            <b/>
            <sz val="9"/>
            <color indexed="81"/>
            <rFont val="Tahoma"/>
            <family val="2"/>
          </rPr>
          <t>casselau:</t>
        </r>
        <r>
          <rPr>
            <sz val="9"/>
            <color indexed="81"/>
            <rFont val="Tahoma"/>
            <family val="2"/>
          </rPr>
          <t xml:space="preserve">
8/27/15: benefited from a decline in wholesale sales of diamonds and favorable product input costs, offset by a shift in sales mix to higher-priced, relatively lower-margin products. In addition, retail price increases have been offset by the negative effect of the strong U.S. dollar.</t>
        </r>
      </text>
    </comment>
    <comment ref="DH21" authorId="8">
      <text>
        <r>
          <rPr>
            <b/>
            <sz val="9"/>
            <color indexed="81"/>
            <rFont val="Tahoma"/>
            <family val="2"/>
          </rPr>
          <t>Cassel, Lauren (Research):</t>
        </r>
        <r>
          <rPr>
            <sz val="9"/>
            <color indexed="81"/>
            <rFont val="Tahoma"/>
            <family val="2"/>
          </rPr>
          <t xml:space="preserve">
8/25/16: The increases were due to lower product input costs, changes in product sales mix and price increases taken in the past year. Higher than mgmt expected largely due to sales mix (shift to fashion vs. lower statement) - sounds like a big piece of the improvement was product mix</t>
        </r>
      </text>
    </comment>
    <comment ref="DL21" authorId="8">
      <text>
        <r>
          <rPr>
            <b/>
            <sz val="9"/>
            <color indexed="81"/>
            <rFont val="Tahoma"/>
            <family val="2"/>
          </rPr>
          <t>Cassel, Lauren (Research):</t>
        </r>
        <r>
          <rPr>
            <sz val="9"/>
            <color indexed="81"/>
            <rFont val="Tahoma"/>
            <family val="2"/>
          </rPr>
          <t xml:space="preserve">
8/24/17: The increases reflected favorable product input costs (primarily from lower diamond acquisition costs), modest 1Q price adjustements (+LSD) and a shift in sales mix toward higher-margin jewelry, partly offset by the effect of increased wholesale sales of diamonds (which are gross margin dilutive) </t>
        </r>
      </text>
    </comment>
    <comment ref="BO22" authorId="1">
      <text>
        <r>
          <rPr>
            <b/>
            <sz val="8"/>
            <color indexed="81"/>
            <rFont val="Tahoma"/>
            <family val="2"/>
          </rPr>
          <t>Morry Brown:</t>
        </r>
        <r>
          <rPr>
            <sz val="8"/>
            <color indexed="81"/>
            <rFont val="Tahoma"/>
            <family val="2"/>
          </rPr>
          <t xml:space="preserve">
per 1Q05 release, expect a modest decline in gross margin for full year</t>
        </r>
      </text>
    </comment>
    <comment ref="BR22" authorId="2">
      <text>
        <r>
          <rPr>
            <b/>
            <sz val="8"/>
            <color indexed="81"/>
            <rFont val="Tahoma"/>
            <family val="2"/>
          </rPr>
          <t>mm98285:</t>
        </r>
        <r>
          <rPr>
            <sz val="8"/>
            <color indexed="81"/>
            <rFont val="Tahoma"/>
            <family val="2"/>
          </rPr>
          <t xml:space="preserve">
$254.311 prior to restatement
</t>
        </r>
      </text>
    </comment>
    <comment ref="BT22" authorId="3">
      <text>
        <r>
          <rPr>
            <b/>
            <sz val="8"/>
            <color indexed="81"/>
            <rFont val="Tahoma"/>
            <family val="2"/>
          </rPr>
          <t>pw64212:</t>
        </r>
        <r>
          <rPr>
            <sz val="8"/>
            <color indexed="81"/>
            <rFont val="Tahoma"/>
            <family val="2"/>
          </rPr>
          <t xml:space="preserve">
- 60bps due to increased low margin  wholesale sales of diamonds;  
- 60 bps due to changes in product sales mix and  increased  product  costs;  
+ 70 bpt due to the leverage  effect of fixed product-related  costs,  which includes costs associated with  merchandising and distribution.</t>
        </r>
      </text>
    </comment>
    <comment ref="BW22" authorId="2">
      <text>
        <r>
          <rPr>
            <b/>
            <sz val="8"/>
            <color indexed="81"/>
            <rFont val="Tahoma"/>
            <family val="2"/>
          </rPr>
          <t>mm98285:</t>
        </r>
        <r>
          <rPr>
            <sz val="8"/>
            <color indexed="81"/>
            <rFont val="Tahoma"/>
            <family val="2"/>
          </rPr>
          <t xml:space="preserve">
2/08: GM -30 bps given higher wholesale sales of diamonds, partly offset by reduced LIFO inventory charges (LIFO charge of $6.3mm vs. $10.4mm LY)</t>
        </r>
      </text>
    </comment>
    <comment ref="BZ22" authorId="2">
      <text>
        <r>
          <rPr>
            <b/>
            <sz val="8"/>
            <color indexed="81"/>
            <rFont val="Tahoma"/>
            <family val="2"/>
          </rPr>
          <t>mm98285:</t>
        </r>
        <r>
          <rPr>
            <sz val="8"/>
            <color indexed="81"/>
            <rFont val="Tahoma"/>
            <family val="2"/>
          </rPr>
          <t xml:space="preserve">
restated to exclude Iridesse</t>
        </r>
      </text>
    </comment>
    <comment ref="CA22" authorId="2">
      <text>
        <r>
          <rPr>
            <b/>
            <sz val="8"/>
            <color indexed="81"/>
            <rFont val="Tahoma"/>
            <family val="2"/>
          </rPr>
          <t>mm98285:</t>
        </r>
        <r>
          <rPr>
            <sz val="8"/>
            <color indexed="81"/>
            <rFont val="Tahoma"/>
            <family val="2"/>
          </rPr>
          <t xml:space="preserve">
favorable changes in product sales mix, benefit of precious metal hedging program and reduction in anticpated mgmt incentive comp
(increased retail prices in certain instances to address rising product costs)</t>
        </r>
      </text>
    </comment>
    <comment ref="CE22" authorId="2">
      <text>
        <r>
          <rPr>
            <b/>
            <sz val="8"/>
            <color indexed="81"/>
            <rFont val="Tahoma"/>
            <family val="2"/>
          </rPr>
          <t>mm98285:</t>
        </r>
        <r>
          <rPr>
            <sz val="8"/>
            <color indexed="81"/>
            <rFont val="Tahoma"/>
            <family val="2"/>
          </rPr>
          <t xml:space="preserve">
11/09: declines primarily due to higher product costs</t>
        </r>
      </text>
    </comment>
    <comment ref="CH22" authorId="5">
      <text>
        <r>
          <rPr>
            <b/>
            <sz val="8"/>
            <color indexed="81"/>
            <rFont val="Tahoma"/>
            <family val="2"/>
          </rPr>
          <t>nicholjs:</t>
        </r>
        <r>
          <rPr>
            <sz val="8"/>
            <color indexed="81"/>
            <rFont val="Tahoma"/>
            <family val="2"/>
          </rPr>
          <t xml:space="preserve">
excludes $0.326mm charge associated w/ NY HQ consolidation</t>
        </r>
      </text>
    </comment>
    <comment ref="CI22" authorId="5">
      <text>
        <r>
          <rPr>
            <b/>
            <sz val="8"/>
            <color indexed="81"/>
            <rFont val="Tahoma"/>
            <family val="2"/>
          </rPr>
          <t>nicholjs:</t>
        </r>
        <r>
          <rPr>
            <sz val="8"/>
            <color indexed="81"/>
            <rFont val="Tahoma"/>
            <family val="2"/>
          </rPr>
          <t xml:space="preserve">
increase reflecting recapture of higher product costs through retail price increases, manufacturing efficiencies and sales leverage on fixed costs</t>
        </r>
      </text>
    </comment>
    <comment ref="CM22" authorId="15">
      <text>
        <r>
          <rPr>
            <b/>
            <sz val="8"/>
            <color indexed="81"/>
            <rFont val="Tahoma"/>
            <family val="2"/>
          </rPr>
          <t>solejay:</t>
        </r>
        <r>
          <rPr>
            <sz val="8"/>
            <color indexed="81"/>
            <rFont val="Tahoma"/>
            <family val="2"/>
          </rPr>
          <t xml:space="preserve">
Gross margin (gross profit as a percentage of net sales) of 57.9% in the third quarter compared with 58.5% in the prior year, with the </t>
        </r>
        <r>
          <rPr>
            <b/>
            <sz val="8"/>
            <color indexed="81"/>
            <rFont val="Tahoma"/>
            <family val="2"/>
          </rPr>
          <t>decline primarily due to a shift in sales mix toward higher-priced jewelry that achieves a lower gross margin.  
Gross margin was also marginally reduced by higher commodity cost despite the price increases we have taken this year.</t>
        </r>
        <r>
          <rPr>
            <sz val="8"/>
            <color indexed="81"/>
            <rFont val="Tahoma"/>
            <family val="2"/>
          </rPr>
          <t xml:space="preserve">
"Precious metal and diamond cost of the are to have stabilized or slightly declined in recent months but we will not attempt to protect future near-term moves. Most importantly, we continue to believe and our competitive ability to pass along the higher cost without diminishing relative market position."</t>
        </r>
      </text>
    </comment>
    <comment ref="CQ22" authorId="13">
      <text>
        <r>
          <rPr>
            <b/>
            <sz val="8"/>
            <color indexed="81"/>
            <rFont val="Tahoma"/>
            <family val="2"/>
          </rPr>
          <t xml:space="preserve">8/27/12: y/y GM decline should be smaller in 3Q vs. 2Q
</t>
        </r>
        <r>
          <rPr>
            <sz val="8"/>
            <color indexed="81"/>
            <rFont val="Tahoma"/>
            <family val="2"/>
          </rPr>
          <t>5/24/12: Was 57.0. Expect Q3 GM to be the worse as silver prices peaked in 2Q11. We estimate 5 qtr delay in GM impact
3/20/12: Was 57.94</t>
        </r>
      </text>
    </comment>
    <comment ref="CR22" authorId="13">
      <text>
        <r>
          <rPr>
            <sz val="8"/>
            <color indexed="81"/>
            <rFont val="Tahoma"/>
            <family val="2"/>
          </rPr>
          <t>11/29/12: The declines largely resulted from continued high precious metal and diamond costs, sales mix favoring higher-priced, lower margin products, and reduced sales leverage on fixed costs. Sales mix was affected by, among other items, lower-than-expected sales of silver jewelry.</t>
        </r>
        <r>
          <rPr>
            <b/>
            <sz val="8"/>
            <color indexed="81"/>
            <rFont val="Tahoma"/>
            <family val="2"/>
          </rPr>
          <t xml:space="preserve">
8/27/12</t>
        </r>
        <r>
          <rPr>
            <sz val="8"/>
            <color indexed="81"/>
            <rFont val="Tahoma"/>
            <family val="2"/>
          </rPr>
          <t xml:space="preserve">: likely triple digit decline but not nearly as bad as 2Q's -270bps
</t>
        </r>
        <r>
          <rPr>
            <b/>
            <sz val="8"/>
            <color indexed="81"/>
            <rFont val="Tahoma"/>
            <family val="2"/>
          </rPr>
          <t xml:space="preserve">3/20/12: </t>
        </r>
        <r>
          <rPr>
            <sz val="8"/>
            <color indexed="81"/>
            <rFont val="Tahoma"/>
            <family val="2"/>
          </rPr>
          <t>Should see less GM pressue in the latter part of 2012</t>
        </r>
      </text>
    </comment>
    <comment ref="CU22" authorId="7">
      <text>
        <r>
          <rPr>
            <b/>
            <sz val="8"/>
            <color indexed="81"/>
            <rFont val="Tahoma"/>
            <family val="2"/>
          </rPr>
          <t>turleamb:</t>
        </r>
        <r>
          <rPr>
            <sz val="8"/>
            <color indexed="81"/>
            <rFont val="Tahoma"/>
            <family val="2"/>
          </rPr>
          <t xml:space="preserve">
11/26/13: benefited largely from reduced product cost pressures, as well as price increases taken earlier in the year. A shifting sales mix toward higher-priced, lower gross margin products has continued to offset a portion of these benefits. Now seeing some improvement in fashion jewlery sales growth but not growing as fast as the total company
</t>
        </r>
      </text>
    </comment>
    <comment ref="CY22" authorId="0">
      <text>
        <r>
          <rPr>
            <b/>
            <sz val="9"/>
            <color indexed="81"/>
            <rFont val="Tahoma"/>
            <family val="2"/>
          </rPr>
          <t>Turley, Amber (Research):</t>
        </r>
        <r>
          <rPr>
            <sz val="9"/>
            <color indexed="81"/>
            <rFont val="Tahoma"/>
            <family val="2"/>
          </rPr>
          <t xml:space="preserve">
11/25/14: Increases primarily due to favorable product costs and price increases taken across all categories and regions as well as shift in product sales mix toward higher margin fashion jewelry category. 
8/27/14: expect GM in 2H will be less than1H y/y </t>
        </r>
      </text>
    </comment>
    <comment ref="DC22" authorId="10">
      <text>
        <r>
          <rPr>
            <b/>
            <sz val="9"/>
            <color indexed="81"/>
            <rFont val="Tahoma"/>
            <family val="2"/>
          </rPr>
          <t>casselau:</t>
        </r>
        <r>
          <rPr>
            <sz val="9"/>
            <color indexed="81"/>
            <rFont val="Tahoma"/>
            <family val="2"/>
          </rPr>
          <t xml:space="preserve">
11/24/15: increase includes benefits from favorable product input costs as well as price increases partly necessitated by the strong US dollar, partially offset by a shift in sales mix to higher-priced, relatively lower-margin products and higher wholesale sales of diamonds
*Price increases taken in August/September 2015</t>
        </r>
      </text>
    </comment>
    <comment ref="DG22" authorId="8">
      <text>
        <r>
          <rPr>
            <b/>
            <sz val="9"/>
            <color indexed="81"/>
            <rFont val="Tahoma"/>
            <family val="2"/>
          </rPr>
          <t>Cassel, Lauren (Research):</t>
        </r>
        <r>
          <rPr>
            <sz val="9"/>
            <color indexed="81"/>
            <rFont val="Tahoma"/>
            <family val="2"/>
          </rPr>
          <t xml:space="preserve">
8/25/16: expect increase in gross margin (although at a considerably lesser rate in the second half than in the first half of the year) - smaller benefit from favorable product costs and anniversarying last year's price increases</t>
        </r>
      </text>
    </comment>
    <comment ref="DH22" authorId="8">
      <text>
        <r>
          <rPr>
            <b/>
            <sz val="9"/>
            <color indexed="81"/>
            <rFont val="Tahoma"/>
            <family val="2"/>
          </rPr>
          <t>Cassel, Lauren (Research):</t>
        </r>
        <r>
          <rPr>
            <sz val="9"/>
            <color indexed="81"/>
            <rFont val="Tahoma"/>
            <family val="2"/>
          </rPr>
          <t xml:space="preserve">
11/29/16: increases were due to lower product input costs, changes in product sales mix (towards fashion jewelry) and price increases taken in the past year, partly offset by the impact of increased wholesale sales of diamonds. </t>
        </r>
      </text>
    </comment>
    <comment ref="DL22" authorId="8">
      <text>
        <r>
          <rPr>
            <b/>
            <sz val="9"/>
            <color indexed="81"/>
            <rFont val="Tahoma"/>
            <family val="2"/>
          </rPr>
          <t>Cassel, Lauren (Research):</t>
        </r>
        <r>
          <rPr>
            <sz val="9"/>
            <color indexed="81"/>
            <rFont val="Tahoma"/>
            <family val="2"/>
          </rPr>
          <t xml:space="preserve">
11/29/17: due to favorable product input costs and the positive effect of a decrease in wholesale sales of diamonds (we estimate +20 bps benefit), largely offset by the negative effect of an increase in wholesale sales as well as increases in other product-related costs, including inventory reserves and distribution and logistics; product cost tailwind is waining; sales mix did not have an impact on GM</t>
        </r>
      </text>
    </comment>
    <comment ref="BO23" authorId="1">
      <text>
        <r>
          <rPr>
            <b/>
            <sz val="8"/>
            <color indexed="81"/>
            <rFont val="Tahoma"/>
            <family val="2"/>
          </rPr>
          <t>Morry Brown:</t>
        </r>
        <r>
          <rPr>
            <sz val="8"/>
            <color indexed="81"/>
            <rFont val="Tahoma"/>
            <family val="2"/>
          </rPr>
          <t xml:space="preserve">
per 1Q05 release, expect a modest decline in gross margin for full year</t>
        </r>
      </text>
    </comment>
    <comment ref="BR23" authorId="2">
      <text>
        <r>
          <rPr>
            <b/>
            <sz val="8"/>
            <color indexed="81"/>
            <rFont val="Tahoma"/>
            <family val="2"/>
          </rPr>
          <t>mm98285:</t>
        </r>
        <r>
          <rPr>
            <sz val="8"/>
            <color indexed="81"/>
            <rFont val="Tahoma"/>
            <family val="2"/>
          </rPr>
          <t xml:space="preserve">
3/08: 422.258 prior to restatement</t>
        </r>
      </text>
    </comment>
    <comment ref="BS23" authorId="16">
      <text>
        <r>
          <rPr>
            <b/>
            <sz val="8"/>
            <color indexed="81"/>
            <rFont val="Tahoma"/>
            <family val="2"/>
          </rPr>
          <t>Q4-06 Conf Call:</t>
        </r>
        <r>
          <rPr>
            <sz val="8"/>
            <color indexed="81"/>
            <rFont val="Tahoma"/>
            <family val="2"/>
          </rPr>
          <t xml:space="preserve"> GM% decline due to higher precious metal costs, increase in wholesale diamond sales, sales mix change, sales leverage on FC = partial offset</t>
        </r>
      </text>
    </comment>
    <comment ref="BT23" authorId="3">
      <text>
        <r>
          <rPr>
            <b/>
            <sz val="8"/>
            <color indexed="81"/>
            <rFont val="Tahoma"/>
            <family val="2"/>
          </rPr>
          <t>pw64212:</t>
        </r>
        <r>
          <rPr>
            <sz val="8"/>
            <color indexed="81"/>
            <rFont val="Tahoma"/>
            <family val="2"/>
          </rPr>
          <t xml:space="preserve">
higher precious metals costs, an increase in wholesale sales and changes in sales mix.  Sales leverage on fixed ocsts provided a partial offset to those factors</t>
        </r>
      </text>
    </comment>
    <comment ref="BV23" authorId="2">
      <text>
        <r>
          <rPr>
            <b/>
            <sz val="8"/>
            <color indexed="81"/>
            <rFont val="Tahoma"/>
            <family val="2"/>
          </rPr>
          <t>mm98285:</t>
        </r>
        <r>
          <rPr>
            <sz val="8"/>
            <color indexed="81"/>
            <rFont val="Tahoma"/>
            <family val="2"/>
          </rPr>
          <t xml:space="preserve">
excludes charge for product obsolescence related to discontinued watch models in anticipation of start-up of strategic alliance with Swatch</t>
        </r>
      </text>
    </comment>
    <comment ref="BW23" authorId="2">
      <text>
        <r>
          <rPr>
            <b/>
            <sz val="8"/>
            <color indexed="81"/>
            <rFont val="Tahoma"/>
            <family val="2"/>
          </rPr>
          <t>mm98285:</t>
        </r>
        <r>
          <rPr>
            <sz val="8"/>
            <color indexed="81"/>
            <rFont val="Tahoma"/>
            <family val="2"/>
          </rPr>
          <t xml:space="preserve">
2/08: expect up modestly in 4Q</t>
        </r>
      </text>
    </comment>
    <comment ref="BZ23" authorId="2">
      <text>
        <r>
          <rPr>
            <b/>
            <sz val="8"/>
            <color indexed="81"/>
            <rFont val="Tahoma"/>
            <family val="2"/>
          </rPr>
          <t>mm98285:</t>
        </r>
        <r>
          <rPr>
            <sz val="8"/>
            <color indexed="81"/>
            <rFont val="Tahoma"/>
            <family val="2"/>
          </rPr>
          <t xml:space="preserve">
restated to exclude Iridesse</t>
        </r>
      </text>
    </comment>
    <comment ref="CA23" authorId="2">
      <text>
        <r>
          <rPr>
            <b/>
            <sz val="8"/>
            <color indexed="81"/>
            <rFont val="Tahoma"/>
            <family val="2"/>
          </rPr>
          <t>mm98285:</t>
        </r>
        <r>
          <rPr>
            <sz val="8"/>
            <color indexed="81"/>
            <rFont val="Tahoma"/>
            <family val="2"/>
          </rPr>
          <t xml:space="preserve">
deleverge on fixed costs (distribution centers, internal manufacturing, merch &amp; diamond sourcing divs) partially offset by benefits from lower wholesale sales of diamonds and favorable product sales mix</t>
        </r>
      </text>
    </comment>
    <comment ref="CE23" authorId="4">
      <text>
        <r>
          <rPr>
            <b/>
            <sz val="8"/>
            <color indexed="81"/>
            <rFont val="Tahoma"/>
            <family val="2"/>
          </rPr>
          <t>ns66486:</t>
        </r>
        <r>
          <rPr>
            <sz val="8"/>
            <color indexed="81"/>
            <rFont val="Tahoma"/>
            <family val="2"/>
          </rPr>
          <t xml:space="preserve">
3/10: declines due to higher sales of wholesale diamonds (would have been ~flat without)</t>
        </r>
      </text>
    </comment>
    <comment ref="CH23" authorId="5">
      <text>
        <r>
          <rPr>
            <b/>
            <sz val="8"/>
            <color indexed="81"/>
            <rFont val="Tahoma"/>
            <family val="2"/>
          </rPr>
          <t>nicholjs:</t>
        </r>
        <r>
          <rPr>
            <sz val="8"/>
            <color indexed="81"/>
            <rFont val="Tahoma"/>
            <family val="2"/>
          </rPr>
          <t xml:space="preserve">
excludes $0.323mm charge associated w/ NY HQ consolidation</t>
        </r>
      </text>
    </comment>
    <comment ref="CI23" authorId="5">
      <text>
        <r>
          <rPr>
            <b/>
            <sz val="8"/>
            <color indexed="81"/>
            <rFont val="Tahoma"/>
            <family val="2"/>
          </rPr>
          <t>nicholjs:</t>
        </r>
        <r>
          <rPr>
            <sz val="8"/>
            <color indexed="81"/>
            <rFont val="Tahoma"/>
            <family val="2"/>
          </rPr>
          <t xml:space="preserve">
increase primarily reflecting the recapture of higher product costs through retail price increases, as well as manufacturing efficiencies and sales leverage on fixed costs
11/10: expect about a 2 point increase</t>
        </r>
      </text>
    </comment>
    <comment ref="CM23" authorId="13">
      <text>
        <r>
          <rPr>
            <b/>
            <sz val="8"/>
            <color indexed="81"/>
            <rFont val="Tahoma"/>
            <family val="2"/>
          </rPr>
          <t>kahng:</t>
        </r>
        <r>
          <rPr>
            <sz val="8"/>
            <color indexed="81"/>
            <rFont val="Tahoma"/>
            <family val="2"/>
          </rPr>
          <t xml:space="preserve">
3/20/12: high product cost, contniued mix to higher price product with lower margin and higher fixed costs. Higher product acq costs and shift in sales mix offset by sales leverage on fixed costs. 
1/10/12: 60.8%
</t>
        </r>
      </text>
    </comment>
    <comment ref="CQ23" authorId="13">
      <text>
        <r>
          <rPr>
            <b/>
            <sz val="8"/>
            <color indexed="81"/>
            <rFont val="Tahoma"/>
            <family val="2"/>
          </rPr>
          <t xml:space="preserve">3/22/13: </t>
        </r>
        <r>
          <rPr>
            <sz val="8"/>
            <color indexed="81"/>
            <rFont val="Tahoma"/>
            <family val="2"/>
          </rPr>
          <t>the declines largely reflected pressures from pressure metal and diamon costs; a shift in sales mix toward higher-priced, lower margin products; and reduced sales leverage on fixed costs</t>
        </r>
        <r>
          <rPr>
            <b/>
            <sz val="8"/>
            <color indexed="81"/>
            <rFont val="Tahoma"/>
            <family val="2"/>
          </rPr>
          <t xml:space="preserve">
8/27/12: </t>
        </r>
        <r>
          <rPr>
            <sz val="8"/>
            <color indexed="81"/>
            <rFont val="Tahoma"/>
            <family val="2"/>
          </rPr>
          <t>expect 4Q GM increase</t>
        </r>
        <r>
          <rPr>
            <b/>
            <sz val="8"/>
            <color indexed="81"/>
            <rFont val="Tahoma"/>
            <family val="2"/>
          </rPr>
          <t xml:space="preserve">
kahng:</t>
        </r>
        <r>
          <rPr>
            <sz val="8"/>
            <color indexed="81"/>
            <rFont val="Tahoma"/>
            <family val="2"/>
          </rPr>
          <t xml:space="preserve">
5/24/12: was 60.0
3/20/12: Was 60.3</t>
        </r>
      </text>
    </comment>
    <comment ref="CR23" authorId="13">
      <text>
        <r>
          <rPr>
            <b/>
            <sz val="8"/>
            <color indexed="81"/>
            <rFont val="Tahoma"/>
            <family val="2"/>
          </rPr>
          <t xml:space="preserve">5/24/12: </t>
        </r>
        <r>
          <rPr>
            <sz val="8"/>
            <color indexed="81"/>
            <rFont val="Tahoma"/>
            <family val="2"/>
          </rPr>
          <t xml:space="preserve">We estimate 30-50bps recovery on GM as cost inflation anniversaries and cost deflation flows thru on increased pricing
</t>
        </r>
        <r>
          <rPr>
            <b/>
            <sz val="8"/>
            <color indexed="81"/>
            <rFont val="Tahoma"/>
            <family val="2"/>
          </rPr>
          <t xml:space="preserve">3/20/12: </t>
        </r>
        <r>
          <rPr>
            <sz val="8"/>
            <color indexed="81"/>
            <rFont val="Tahoma"/>
            <family val="2"/>
          </rPr>
          <t>Should see less GM pressue in the latter part of 2012</t>
        </r>
      </text>
    </comment>
    <comment ref="CU23" authorId="7">
      <text>
        <r>
          <rPr>
            <b/>
            <sz val="9"/>
            <color indexed="81"/>
            <rFont val="Tahoma"/>
            <family val="2"/>
          </rPr>
          <t>turleamb:</t>
        </r>
        <r>
          <rPr>
            <sz val="9"/>
            <color indexed="81"/>
            <rFont val="Tahoma"/>
            <family val="2"/>
          </rPr>
          <t xml:space="preserve">
3/21/14: GM benefited from reduced product cost pressures as well as price increases taken earlier in the year. Sales mix shift to higher priced lower margin items partly offset those benefits. However those higher price point slaes provide substantial incremental gross profit that can be leveraged against fixed costs and ultimately  improve OM. Recent improvement in fashion jewelry helped in Q and should eventually provide additional GM upside</t>
        </r>
      </text>
    </comment>
    <comment ref="CV23" authorId="17">
      <text>
        <r>
          <rPr>
            <b/>
            <sz val="8"/>
            <color indexed="81"/>
            <rFont val="Tahoma"/>
            <family val="2"/>
          </rPr>
          <t>kimberlg:</t>
        </r>
        <r>
          <rPr>
            <sz val="8"/>
            <color indexed="81"/>
            <rFont val="Tahoma"/>
            <family val="2"/>
          </rPr>
          <t xml:space="preserve">
4Q relies more extensively on the silver/fashion jewelry category than any other quarter, so GM less predictable here</t>
        </r>
      </text>
    </comment>
    <comment ref="CY23" authorId="0">
      <text>
        <r>
          <rPr>
            <b/>
            <sz val="9"/>
            <color indexed="81"/>
            <rFont val="Tahoma"/>
            <family val="2"/>
          </rPr>
          <t>Turley, Amber (Research):</t>
        </r>
        <r>
          <rPr>
            <sz val="9"/>
            <color indexed="81"/>
            <rFont val="Tahoma"/>
            <family val="2"/>
          </rPr>
          <t xml:space="preserve">
3/20/15: The
increases in the quarter and year primarily reflected favorable product input
costs and price increases taken earlier in the year across all product
categories and regions, as well as a favorable shift in product sales mix toward
the higher-margin fashion jewelry category. 
8/27/14: expect GM in 2H will be less than1H y/y </t>
        </r>
      </text>
    </comment>
    <comment ref="DD23" authorId="10">
      <text>
        <r>
          <rPr>
            <b/>
            <sz val="9"/>
            <color indexed="81"/>
            <rFont val="Tahoma"/>
            <family val="2"/>
          </rPr>
          <t>casselau:</t>
        </r>
        <r>
          <rPr>
            <sz val="9"/>
            <color indexed="81"/>
            <rFont val="Tahoma"/>
            <family val="2"/>
          </rPr>
          <t xml:space="preserve">
3/18/16: due to favorable product input costs and price increases</t>
        </r>
      </text>
    </comment>
    <comment ref="DG23" authorId="8">
      <text>
        <r>
          <rPr>
            <b/>
            <sz val="9"/>
            <color indexed="81"/>
            <rFont val="Tahoma"/>
            <family val="2"/>
          </rPr>
          <t xml:space="preserve">Cassel, Lauren (Research):
3/17/17: due to favorable product input costs and price increases taken in the prior year, as well as favorable changes in product sales mix
</t>
        </r>
        <r>
          <rPr>
            <sz val="9"/>
            <color indexed="81"/>
            <rFont val="Tahoma"/>
            <family val="2"/>
          </rPr>
          <t xml:space="preserve">
8/25/16: expect increase in gross margin (although at a considerably lesser rate in the second half than in the first half of the year) </t>
        </r>
      </text>
    </comment>
    <comment ref="DL23" authorId="8">
      <text>
        <r>
          <rPr>
            <b/>
            <sz val="9"/>
            <color indexed="81"/>
            <rFont val="Tahoma"/>
            <family val="2"/>
          </rPr>
          <t>Cassel, Lauren (Research):</t>
        </r>
        <r>
          <rPr>
            <sz val="9"/>
            <color indexed="81"/>
            <rFont val="Tahoma"/>
            <family val="2"/>
          </rPr>
          <t xml:space="preserve">
3/16/18: favorable product input costs were completely offset by the dilutive effects from increased wholesale distribution and increased wholesale sales of diamonds</t>
        </r>
      </text>
    </comment>
    <comment ref="P24" authorId="3">
      <text>
        <r>
          <rPr>
            <b/>
            <sz val="8"/>
            <color indexed="81"/>
            <rFont val="Tahoma"/>
            <family val="2"/>
          </rPr>
          <t>pw64212:</t>
        </r>
        <r>
          <rPr>
            <sz val="8"/>
            <color indexed="81"/>
            <rFont val="Tahoma"/>
            <family val="2"/>
          </rPr>
          <t xml:space="preserve">
shifts in sales mix across product categories that achieve varying levels of gross margins. </t>
        </r>
      </text>
    </comment>
    <comment ref="T24" authorId="3">
      <text>
        <r>
          <rPr>
            <b/>
            <sz val="8"/>
            <color indexed="81"/>
            <rFont val="Tahoma"/>
            <family val="2"/>
          </rPr>
          <t>pw64212:</t>
        </r>
        <r>
          <rPr>
            <sz val="8"/>
            <color indexed="81"/>
            <rFont val="Tahoma"/>
            <family val="2"/>
          </rPr>
          <t xml:space="preserve">
the effect of recording higher revenues at
the retail level in Japan.</t>
        </r>
      </text>
    </comment>
    <comment ref="X24" authorId="3">
      <text>
        <r>
          <rPr>
            <b/>
            <sz val="8"/>
            <color indexed="81"/>
            <rFont val="Tahoma"/>
            <family val="2"/>
          </rPr>
          <t>pw64212:</t>
        </r>
        <r>
          <rPr>
            <sz val="8"/>
            <color indexed="81"/>
            <rFont val="Tahoma"/>
            <family val="2"/>
          </rPr>
          <t xml:space="preserve">
primarily due to favorable shifts in
sales mix, especially toward the Company's retail businesses that achieve gross
margins above the Company's average. </t>
        </r>
      </text>
    </comment>
    <comment ref="AB24" authorId="3">
      <text>
        <r>
          <rPr>
            <b/>
            <sz val="8"/>
            <color indexed="81"/>
            <rFont val="Tahoma"/>
            <family val="2"/>
          </rPr>
          <t>pw64212:</t>
        </r>
        <r>
          <rPr>
            <sz val="8"/>
            <color indexed="81"/>
            <rFont val="Tahoma"/>
            <family val="2"/>
          </rPr>
          <t xml:space="preserve">
favorable shifts in sales mix toward the Company's retail
businesses. </t>
        </r>
      </text>
    </comment>
    <comment ref="AF24" authorId="3">
      <text>
        <r>
          <rPr>
            <b/>
            <sz val="8"/>
            <color indexed="81"/>
            <rFont val="Tahoma"/>
            <family val="2"/>
          </rPr>
          <t>pw64212:</t>
        </r>
        <r>
          <rPr>
            <sz val="8"/>
            <color indexed="81"/>
            <rFont val="Tahoma"/>
            <family val="2"/>
          </rPr>
          <t xml:space="preserve">
favorable shifts in sales mix toward the Company's retail
businesses. </t>
        </r>
      </text>
    </comment>
    <comment ref="AJ24" authorId="3">
      <text>
        <r>
          <rPr>
            <b/>
            <sz val="8"/>
            <color indexed="81"/>
            <rFont val="Tahoma"/>
            <family val="2"/>
          </rPr>
          <t>pw64212:</t>
        </r>
        <r>
          <rPr>
            <sz val="8"/>
            <color indexed="81"/>
            <rFont val="Tahoma"/>
            <family val="2"/>
          </rPr>
          <t xml:space="preserve">
favorable shifts in sales mix toward the Company's retail
businesses. </t>
        </r>
      </text>
    </comment>
    <comment ref="AN24" authorId="3">
      <text>
        <r>
          <rPr>
            <b/>
            <sz val="8"/>
            <color indexed="81"/>
            <rFont val="Tahoma"/>
            <family val="2"/>
          </rPr>
          <t>pw64212:</t>
        </r>
        <r>
          <rPr>
            <sz val="8"/>
            <color indexed="81"/>
            <rFont val="Tahoma"/>
            <family val="2"/>
          </rPr>
          <t xml:space="preserve">
Management attributes the increases to favorable shifts in sales mix and the
leveraging of fixed costs, as well as product manufacturing/sourcing efficiencies and selective price increases.</t>
        </r>
      </text>
    </comment>
    <comment ref="AR24" authorId="3">
      <text>
        <r>
          <rPr>
            <b/>
            <sz val="8"/>
            <color indexed="81"/>
            <rFont val="Tahoma"/>
            <family val="2"/>
          </rPr>
          <t>pw64212:</t>
        </r>
        <r>
          <rPr>
            <sz val="8"/>
            <color indexed="81"/>
            <rFont val="Tahoma"/>
            <family val="2"/>
          </rPr>
          <t xml:space="preserve">
increases to favorable shifts in sales mix, the
leverage effect of increasedsales on fixed costs, selective price increases and product manufacturing/
sourcing efficiencies. </t>
        </r>
      </text>
    </comment>
    <comment ref="AV24" authorId="3">
      <text>
        <r>
          <rPr>
            <b/>
            <sz val="8"/>
            <color indexed="81"/>
            <rFont val="Tahoma"/>
            <family val="2"/>
          </rPr>
          <t>pw64212:</t>
        </r>
        <r>
          <rPr>
            <sz val="8"/>
            <color indexed="81"/>
            <rFont val="Tahoma"/>
            <family val="2"/>
          </rPr>
          <t xml:space="preserve">
increases to favorable shifts in sales mix, the
leverage effect of increasedsales on fixed costs, selective price increases and product manufacturing/
sourcing efficiencies. 
</t>
        </r>
      </text>
    </comment>
    <comment ref="AZ24" authorId="3">
      <text>
        <r>
          <rPr>
            <b/>
            <sz val="8"/>
            <color indexed="81"/>
            <rFont val="Tahoma"/>
            <family val="2"/>
          </rPr>
          <t>pw64212:</t>
        </r>
        <r>
          <rPr>
            <sz val="8"/>
            <color indexed="81"/>
            <rFont val="Tahoma"/>
            <family val="2"/>
          </rPr>
          <t xml:space="preserve">
pw64212:
Management attributes the increases in both years to favorable shifts in sales mix (sales of lower-priced silver items, which carry a gross margin higher than the Company's average, increased at a faster rate), as well as to improved efficiencies in product manufacturing and sourcing and selective price increases</t>
        </r>
      </text>
    </comment>
    <comment ref="BD24" authorId="3">
      <text>
        <r>
          <rPr>
            <b/>
            <sz val="8"/>
            <color indexed="81"/>
            <rFont val="Tahoma"/>
            <family val="2"/>
          </rPr>
          <t>pw64212:</t>
        </r>
        <r>
          <rPr>
            <sz val="8"/>
            <color indexed="81"/>
            <rFont val="Tahoma"/>
            <family val="2"/>
          </rPr>
          <t xml:space="preserve">
Management attributes the increases in both years to favorable shifts in sales mix (sales of lower-priced silver items, which carry a gross margin higher than the Company's average, increased at a faster rate), as well as to improved efficiencies in product manufacturing and sourcing and selective price increases
</t>
        </r>
      </text>
    </comment>
    <comment ref="BH24" authorId="3">
      <text>
        <r>
          <rPr>
            <b/>
            <sz val="8"/>
            <color indexed="81"/>
            <rFont val="Tahoma"/>
            <family val="2"/>
          </rPr>
          <t>pw64212:</t>
        </r>
        <r>
          <rPr>
            <sz val="8"/>
            <color indexed="81"/>
            <rFont val="Tahoma"/>
            <family val="2"/>
          </rPr>
          <t xml:space="preserve">
-60 bps sales mix
-50 bps higher inventory
costs due to an increase in precious metal prices
-50 bps the
consolidation of Little Switzerland (full year consolidation in 2003), which retails goods manufactured by others and achieves a gross margin below the Company's average</t>
        </r>
      </text>
    </comment>
    <comment ref="BL24" authorId="3">
      <text>
        <r>
          <rPr>
            <b/>
            <sz val="8"/>
            <color indexed="81"/>
            <rFont val="Tahoma"/>
            <family val="2"/>
          </rPr>
          <t>pw64212:</t>
        </r>
        <r>
          <rPr>
            <sz val="8"/>
            <color indexed="81"/>
            <rFont val="Tahoma"/>
            <family val="2"/>
          </rPr>
          <t xml:space="preserve">
2004 10K
-100 bps higher inventory costs due to increases in diamond and precious
metal prices 
-60 bps changes in geographic and product sales mix away from
Japan and silver jewelry and toward higher-priced, lower-margin diamond jewelry
-20 bps the early adoption, retroactive to February 1, 2004, of SFAS No.
123R 
and costs incurred to expand product distribution and sourcing/ manufacturing capacity</t>
        </r>
      </text>
    </comment>
    <comment ref="BO24" authorId="1">
      <text>
        <r>
          <rPr>
            <b/>
            <sz val="8"/>
            <color indexed="81"/>
            <rFont val="Tahoma"/>
            <family val="2"/>
          </rPr>
          <t>Morry Brown:</t>
        </r>
        <r>
          <rPr>
            <sz val="8"/>
            <color indexed="81"/>
            <rFont val="Tahoma"/>
            <family val="2"/>
          </rPr>
          <t xml:space="preserve">
per 1Q05 release, expect a modest decline in gross margin for full year</t>
        </r>
      </text>
    </comment>
    <comment ref="BP24" authorId="3">
      <text>
        <r>
          <rPr>
            <b/>
            <sz val="8"/>
            <color indexed="81"/>
            <rFont val="Tahoma"/>
            <family val="2"/>
          </rPr>
          <t>pw64212:</t>
        </r>
        <r>
          <rPr>
            <sz val="8"/>
            <color indexed="81"/>
            <rFont val="Tahoma"/>
            <family val="2"/>
          </rPr>
          <t xml:space="preserve">
2005 10K K31: 
+60bps changes in geographic and product sales mix and selective price increases
-50 bps partially offset by increased low margin wholesale sales of diamonds</t>
        </r>
      </text>
    </comment>
    <comment ref="BT24" authorId="3">
      <text>
        <r>
          <rPr>
            <b/>
            <sz val="8"/>
            <color indexed="81"/>
            <rFont val="Tahoma"/>
            <family val="2"/>
          </rPr>
          <t>pw64212:</t>
        </r>
        <r>
          <rPr>
            <sz val="8"/>
            <color indexed="81"/>
            <rFont val="Tahoma"/>
            <family val="2"/>
          </rPr>
          <t xml:space="preserve">
-40 bps increased low-margin wholesale sales 
-30 bps changes in product sales mix and increased product costs
+50 bps leverage effect of fixed product-related costs (merchandising and distribution)</t>
        </r>
      </text>
    </comment>
    <comment ref="BW24" authorId="2">
      <text>
        <r>
          <rPr>
            <b/>
            <sz val="8"/>
            <color indexed="81"/>
            <rFont val="Tahoma"/>
            <family val="2"/>
          </rPr>
          <t>mm98285:</t>
        </r>
        <r>
          <rPr>
            <sz val="8"/>
            <color indexed="81"/>
            <rFont val="Tahoma"/>
            <family val="2"/>
          </rPr>
          <t xml:space="preserve">
11/07: expect down a few tenths
8/07: decline a few tenths of a point given decline in 1H
2006 10K: guided to GM increase given stabilization of product costs, favorable sales mix and lev. of fixed costs</t>
        </r>
      </text>
    </comment>
    <comment ref="CE24" authorId="2">
      <text>
        <r>
          <rPr>
            <b/>
            <sz val="8"/>
            <color indexed="81"/>
            <rFont val="Tahoma"/>
            <family val="2"/>
          </rPr>
          <t>mm98285:</t>
        </r>
        <r>
          <rPr>
            <sz val="8"/>
            <color indexed="81"/>
            <rFont val="Tahoma"/>
            <family val="2"/>
          </rPr>
          <t xml:space="preserve">
11/09: expect down more than 1%
8/09: expect down</t>
        </r>
      </text>
    </comment>
    <comment ref="CF24" authorId="18">
      <text>
        <r>
          <rPr>
            <b/>
            <sz val="8"/>
            <color indexed="81"/>
            <rFont val="Tahoma"/>
            <family val="2"/>
          </rPr>
          <t>ol36766:</t>
        </r>
        <r>
          <rPr>
            <sz val="8"/>
            <color indexed="81"/>
            <rFont val="Tahoma"/>
            <family val="2"/>
          </rPr>
          <t xml:space="preserve">
8/09: expect down ~150 bps</t>
        </r>
      </text>
    </comment>
    <comment ref="CH24" authorId="5">
      <text>
        <r>
          <rPr>
            <b/>
            <sz val="8"/>
            <color indexed="81"/>
            <rFont val="Tahoma"/>
            <family val="2"/>
          </rPr>
          <t>nicholjs:</t>
        </r>
        <r>
          <rPr>
            <sz val="8"/>
            <color indexed="81"/>
            <rFont val="Tahoma"/>
            <family val="2"/>
          </rPr>
          <t xml:space="preserve">
Products containing one or more diamonds of varying sizes, including diamonds used as accents, side-stones and center-stones, accounted for approximately 52%, 48% and 46% of Tiffany’s net sales in 2010, 2009 and 2008. Products containing one or more diamonds of one carat or larger accounted for 12%, 11% and 10% of net sales in each of those years.</t>
        </r>
      </text>
    </comment>
    <comment ref="CI24" authorId="5">
      <text>
        <r>
          <rPr>
            <b/>
            <sz val="8"/>
            <color indexed="81"/>
            <rFont val="Tahoma"/>
            <family val="2"/>
          </rPr>
          <t>nicholjs:</t>
        </r>
        <r>
          <rPr>
            <sz val="8"/>
            <color indexed="81"/>
            <rFont val="Tahoma"/>
            <family val="2"/>
          </rPr>
          <t xml:space="preserve">
10K: primarily driven by recapture of higher product costs through price increases, as well as manufacturing efficiencies</t>
        </r>
      </text>
    </comment>
    <comment ref="CJ24" authorId="4">
      <text>
        <r>
          <rPr>
            <sz val="8"/>
            <color indexed="81"/>
            <rFont val="Tahoma"/>
            <family val="2"/>
          </rPr>
          <t>11/10: expect &gt; 200 basis point increase
8/10: expect GM to increase at least a point and a half (+150 bps)
5/10: expect increase in the operating margin primarily due to higher gross margin, as well as improved SG&amp;A rate (expect at least +100 bps GM)
3/10: expect up +100 bps</t>
        </r>
      </text>
    </comment>
    <comment ref="CM24" authorId="5">
      <text>
        <r>
          <rPr>
            <b/>
            <sz val="8"/>
            <color indexed="81"/>
            <rFont val="Tahoma"/>
            <family val="2"/>
          </rPr>
          <t>nicholjs:</t>
        </r>
        <r>
          <rPr>
            <sz val="8"/>
            <color indexed="81"/>
            <rFont val="Tahoma"/>
            <family val="2"/>
          </rPr>
          <t xml:space="preserve">
2Q 10-Q: As of July 31, 2011, there were approximately 14,600 ounces of platinum and 535,300 ounces of silver precious metal
derivative instruments outstanding.
5/2011: expect higher
3/2011: expect increase by a couple tenths of a point</t>
        </r>
      </text>
    </comment>
    <comment ref="CQ24" authorId="13">
      <text>
        <r>
          <rPr>
            <b/>
            <sz val="8"/>
            <color indexed="81"/>
            <rFont val="Tahoma"/>
            <family val="2"/>
          </rPr>
          <t xml:space="preserve">5/24/12: </t>
        </r>
        <r>
          <rPr>
            <sz val="8"/>
            <color indexed="81"/>
            <rFont val="Tahoma"/>
            <family val="2"/>
          </rPr>
          <t>1Q: GM decline to more than offset 0.5pt improvement in SGA rate, leading to op marg modestly lower than 20.6%</t>
        </r>
        <r>
          <rPr>
            <b/>
            <sz val="8"/>
            <color indexed="81"/>
            <rFont val="Tahoma"/>
            <family val="2"/>
          </rPr>
          <t xml:space="preserve">
kahng:</t>
        </r>
        <r>
          <rPr>
            <sz val="8"/>
            <color indexed="81"/>
            <rFont val="Tahoma"/>
            <family val="2"/>
          </rPr>
          <t xml:space="preserve">
3/20/12: Was 58.8</t>
        </r>
      </text>
    </comment>
    <comment ref="CU24" authorId="10">
      <text>
        <r>
          <rPr>
            <b/>
            <sz val="8"/>
            <color indexed="81"/>
            <rFont val="Tahoma"/>
            <family val="2"/>
          </rPr>
          <t xml:space="preserve">turleamb:
</t>
        </r>
        <r>
          <rPr>
            <sz val="8"/>
            <color indexed="81"/>
            <rFont val="Tahoma"/>
            <family val="2"/>
          </rPr>
          <t>3/21/14: benefited from reduced product cost pressure as well as price increases taken earlier in the year. Sales mix shift to higher price lower margin items partially offset some of those benefits</t>
        </r>
        <r>
          <rPr>
            <b/>
            <sz val="8"/>
            <color indexed="81"/>
            <rFont val="Tahoma"/>
            <family val="2"/>
          </rPr>
          <t xml:space="preserve">
</t>
        </r>
        <r>
          <rPr>
            <sz val="8"/>
            <color indexed="81"/>
            <rFont val="Tahoma"/>
            <family val="2"/>
          </rPr>
          <t>11/26/13: expect higher than 57% due to on-going benefit from reudced product costs (due to the lag time expereinced from slow inventory turn and longer lead time)</t>
        </r>
        <r>
          <rPr>
            <b/>
            <sz val="8"/>
            <color indexed="81"/>
            <rFont val="Tahoma"/>
            <family val="2"/>
          </rPr>
          <t xml:space="preserve">
</t>
        </r>
        <r>
          <rPr>
            <sz val="8"/>
            <color indexed="81"/>
            <rFont val="Tahoma"/>
            <family val="2"/>
          </rPr>
          <t>8/27/13: expect at least equal to last year (56.3%) benefitting from favorable product cost and retail price increases and offset by sales mix skew to higher priced lower margin product categories</t>
        </r>
        <r>
          <rPr>
            <b/>
            <sz val="8"/>
            <color indexed="81"/>
            <rFont val="Tahoma"/>
            <family val="2"/>
          </rPr>
          <t xml:space="preserve">
</t>
        </r>
        <r>
          <rPr>
            <sz val="8"/>
            <color indexed="81"/>
            <rFont val="Tahoma"/>
            <family val="2"/>
          </rPr>
          <t>5/28/13: expect slight decline largely tied to a sales mix skewed toward higher-priced, lower margin, product categories</t>
        </r>
        <r>
          <rPr>
            <sz val="8"/>
            <color indexed="81"/>
            <rFont val="Tahoma"/>
            <family val="2"/>
          </rPr>
          <t xml:space="preserve">
3/22/13: expect modestly lower gross margin largely tied to a product sales mix skewed toward higher-priced categories</t>
        </r>
      </text>
    </comment>
    <comment ref="CY24" authorId="7">
      <text>
        <r>
          <rPr>
            <b/>
            <sz val="9"/>
            <color indexed="81"/>
            <rFont val="Tahoma"/>
            <family val="2"/>
          </rPr>
          <t>turleamb:</t>
        </r>
        <r>
          <rPr>
            <sz val="9"/>
            <color indexed="81"/>
            <rFont val="Tahoma"/>
            <family val="2"/>
          </rPr>
          <t xml:space="preserve">
5/20/14: guidance: expect increase in GM for FY but not at 1Q's magnitude
expecting imrprovement due to single-digit price increase in products and lower product costs </t>
        </r>
      </text>
    </comment>
    <comment ref="DC24" authorId="0">
      <text>
        <r>
          <rPr>
            <sz val="9"/>
            <color indexed="81"/>
            <rFont val="Tahoma"/>
            <family val="2"/>
          </rPr>
          <t xml:space="preserve">11/24/15: continue to expect a modest increase in GM
8/27/15: continue to expect a modest increase in GM 
3/20/15: Guidance: expect modest GM growth y/y but at a lower magnitude than LY. Continuing to benefit from favorable product costs which should help GM. In light of magnitude of currency swings and local conditions only taking small price increases. </t>
        </r>
      </text>
    </comment>
    <comment ref="DD24" authorId="10">
      <text>
        <r>
          <rPr>
            <b/>
            <sz val="9"/>
            <color indexed="81"/>
            <rFont val="Tahoma"/>
            <family val="2"/>
          </rPr>
          <t>casselau:</t>
        </r>
        <r>
          <rPr>
            <sz val="9"/>
            <color indexed="81"/>
            <rFont val="Tahoma"/>
            <family val="2"/>
          </rPr>
          <t xml:space="preserve">
3/18/16: reflects favorable product input costs and price increases partly offset by sales mix; price increases have enabled them to restore to their global pricing structure pretty much back to normal levels</t>
        </r>
      </text>
    </comment>
    <comment ref="DG24" authorId="10">
      <text>
        <r>
          <rPr>
            <b/>
            <sz val="9"/>
            <color indexed="81"/>
            <rFont val="Tahoma"/>
            <family val="2"/>
          </rPr>
          <t xml:space="preserve">casselau:
3/17/17: due to favorable product input costs and price increases taken in the prior year, as well as favorable changes in product sales mix
</t>
        </r>
        <r>
          <rPr>
            <sz val="9"/>
            <color indexed="81"/>
            <rFont val="Tahoma"/>
            <family val="2"/>
          </rPr>
          <t xml:space="preserve">
8/25/16: guidance: Our forecast for gross margin in 2016 calls for some increase, primarily due to lower product input cost as well as benefits from price increases taken within the past year and anticipated modest increases in the coming year. But our expectation for minimal sales growth will continue to put some pressure on gross margin as it will be difficult to get sales leverage on fixed cost.</t>
        </r>
      </text>
    </comment>
    <comment ref="DK24" authorId="8">
      <text>
        <r>
          <rPr>
            <b/>
            <sz val="9"/>
            <color indexed="81"/>
            <rFont val="Tahoma"/>
            <family val="2"/>
          </rPr>
          <t xml:space="preserve">Cassel, Lauren (Research):
11/29/17: Expect gross margin unchanged vs. the prior year 
8/24/17: Expect modest y/y increase in gross margin for the full year
3/17/17: guidance: expect increase in gross margin </t>
        </r>
        <r>
          <rPr>
            <sz val="9"/>
            <color indexed="81"/>
            <rFont val="Tahoma"/>
            <family val="2"/>
          </rPr>
          <t xml:space="preserve">
11/29/16: Precious metal costs have moved up this year but on the other hand, we still have not gotten the benefit from lower diamond costs from last year, so we don’t know yet. We haven’t made any pricing decisions either. </t>
        </r>
      </text>
    </comment>
    <comment ref="DL24" authorId="8">
      <text>
        <r>
          <rPr>
            <b/>
            <sz val="9"/>
            <color indexed="81"/>
            <rFont val="Tahoma"/>
            <family val="2"/>
          </rPr>
          <t>Cassel, Lauren (Research):</t>
        </r>
        <r>
          <rPr>
            <sz val="9"/>
            <color indexed="81"/>
            <rFont val="Tahoma"/>
            <family val="2"/>
          </rPr>
          <t xml:space="preserve">
3/16/18: favorable product input costs were partly or completely offset by the dilutive effects from increased wholesale distribution and increased wholesale sales of diamonds</t>
        </r>
      </text>
    </comment>
    <comment ref="DO24" authorId="8">
      <text>
        <r>
          <rPr>
            <b/>
            <sz val="9"/>
            <color indexed="81"/>
            <rFont val="Tahoma"/>
            <family val="2"/>
          </rPr>
          <t>Cassel, Lauren (Research):</t>
        </r>
        <r>
          <rPr>
            <sz val="9"/>
            <color indexed="81"/>
            <rFont val="Tahoma"/>
            <family val="2"/>
          </rPr>
          <t xml:space="preserve">
3/16/18: guidance: higher gross margin y/y</t>
        </r>
      </text>
    </comment>
    <comment ref="DP24" authorId="8">
      <text>
        <r>
          <rPr>
            <b/>
            <sz val="9"/>
            <color indexed="81"/>
            <rFont val="Tahoma"/>
            <family val="2"/>
          </rPr>
          <t>Cassel, Lauren (Research):</t>
        </r>
        <r>
          <rPr>
            <sz val="9"/>
            <color indexed="81"/>
            <rFont val="Tahoma"/>
            <family val="2"/>
          </rPr>
          <t xml:space="preserve">
3/16/18: Gross margin should expand due to somewhat lower diamond input costs with the balance coming from product mix and pricing including a low single-digit price increase; We think metals will be roughly flat year-over-year. We do expect a little bit of help from lower diamond input costs.</t>
        </r>
      </text>
    </comment>
    <comment ref="DF28" authorId="0">
      <text>
        <r>
          <rPr>
            <b/>
            <sz val="9"/>
            <color indexed="81"/>
            <rFont val="Tahoma"/>
            <family val="2"/>
          </rPr>
          <t>Turley, Amber (Research):</t>
        </r>
        <r>
          <rPr>
            <sz val="9"/>
            <color indexed="81"/>
            <rFont val="Tahoma"/>
            <family val="2"/>
          </rPr>
          <t xml:space="preserve">
~80% of SG&amp;A fixed. Require +MSD comp increase to leverage SG&amp;A</t>
        </r>
      </text>
    </comment>
    <comment ref="AD30" authorId="9">
      <text>
        <r>
          <rPr>
            <b/>
            <sz val="8"/>
            <color indexed="81"/>
            <rFont val="Tahoma"/>
            <family val="2"/>
          </rPr>
          <t>SB:</t>
        </r>
        <r>
          <rPr>
            <sz val="8"/>
            <color indexed="81"/>
            <rFont val="Tahoma"/>
            <family val="2"/>
          </rPr>
          <t xml:space="preserve">
.348 is provision for uncollectible accounts</t>
        </r>
      </text>
    </comment>
    <comment ref="AH30" authorId="9">
      <text>
        <r>
          <rPr>
            <b/>
            <sz val="8"/>
            <color indexed="81"/>
            <rFont val="Tahoma"/>
            <family val="2"/>
          </rPr>
          <t>SB:</t>
        </r>
        <r>
          <rPr>
            <sz val="8"/>
            <color indexed="81"/>
            <rFont val="Tahoma"/>
            <family val="2"/>
          </rPr>
          <t xml:space="preserve">
.339 is provision for uncollectible accounts</t>
        </r>
      </text>
    </comment>
    <comment ref="BR30" authorId="2">
      <text>
        <r>
          <rPr>
            <b/>
            <sz val="8"/>
            <color indexed="81"/>
            <rFont val="Tahoma"/>
            <family val="2"/>
          </rPr>
          <t>mm98285:</t>
        </r>
        <r>
          <rPr>
            <sz val="8"/>
            <color indexed="81"/>
            <rFont val="Tahoma"/>
            <family val="2"/>
          </rPr>
          <t xml:space="preserve">
$226.879 prior to restatement
</t>
        </r>
      </text>
    </comment>
    <comment ref="BV30" authorId="3">
      <text>
        <r>
          <rPr>
            <b/>
            <sz val="8"/>
            <color indexed="81"/>
            <rFont val="Tahoma"/>
            <family val="2"/>
          </rPr>
          <t>pw64212:</t>
        </r>
        <r>
          <rPr>
            <sz val="8"/>
            <color indexed="81"/>
            <rFont val="Tahoma"/>
            <family val="2"/>
          </rPr>
          <t xml:space="preserve">
$257.035 prior to restatement
20071Q 10Q Page 4</t>
        </r>
      </text>
    </comment>
    <comment ref="BX30" authorId="3">
      <text>
        <r>
          <rPr>
            <b/>
            <sz val="8"/>
            <color indexed="81"/>
            <rFont val="Tahoma"/>
            <family val="2"/>
          </rPr>
          <t>pw64212:</t>
        </r>
        <r>
          <rPr>
            <sz val="8"/>
            <color indexed="81"/>
            <rFont val="Tahoma"/>
            <family val="2"/>
          </rPr>
          <t xml:space="preserve">
largely due to increased labor and benefit costs of $12,613,000 and increased  depreciation and occupancy  expenses  of  $7,963,000,  (both of which are  largely due to new and existing  stores),  as well as an increase of $5,027,000 in marketing  expenses.
</t>
        </r>
      </text>
    </comment>
    <comment ref="BZ30" authorId="2">
      <text>
        <r>
          <rPr>
            <b/>
            <sz val="8"/>
            <color indexed="81"/>
            <rFont val="Tahoma"/>
            <family val="2"/>
          </rPr>
          <t>mm98285:</t>
        </r>
        <r>
          <rPr>
            <sz val="8"/>
            <color indexed="81"/>
            <rFont val="Tahoma"/>
            <family val="2"/>
          </rPr>
          <t xml:space="preserve">
restated to exclude Iridesse</t>
        </r>
      </text>
    </comment>
    <comment ref="CA30" authorId="2">
      <text>
        <r>
          <rPr>
            <b/>
            <sz val="8"/>
            <color indexed="81"/>
            <rFont val="Tahoma"/>
            <family val="2"/>
          </rPr>
          <t>mm98285:</t>
        </r>
        <r>
          <rPr>
            <sz val="8"/>
            <color indexed="81"/>
            <rFont val="Tahoma"/>
            <family val="2"/>
          </rPr>
          <t xml:space="preserve">
+$10.415M higher labor and benefit costs 
+$8.693M higher depreciation and occupancy (related to new and existing stores) 
+$5.332 higher marketing exp
+$9M translation effect of stronger foreign currencies</t>
        </r>
      </text>
    </comment>
    <comment ref="CD30" authorId="2">
      <text>
        <r>
          <rPr>
            <b/>
            <sz val="8"/>
            <color indexed="81"/>
            <rFont val="Tahoma"/>
            <family val="2"/>
          </rPr>
          <t>mm98285:</t>
        </r>
        <r>
          <rPr>
            <sz val="8"/>
            <color indexed="81"/>
            <rFont val="Tahoma"/>
            <family val="2"/>
          </rPr>
          <t xml:space="preserve">
restated to exclude Iridesse</t>
        </r>
      </text>
    </comment>
    <comment ref="CE30" authorId="2">
      <text>
        <r>
          <rPr>
            <b/>
            <sz val="8"/>
            <color indexed="81"/>
            <rFont val="Tahoma"/>
            <family val="2"/>
          </rPr>
          <t>mm98285:</t>
        </r>
        <r>
          <rPr>
            <sz val="8"/>
            <color indexed="81"/>
            <rFont val="Tahoma"/>
            <family val="2"/>
          </rPr>
          <t xml:space="preserve">
3% of decline due to translation effect from stronger US dollar, also reduced staff and marketing costs as well as variable cost savings tied to lower sales levels</t>
        </r>
      </text>
    </comment>
    <comment ref="CH30" authorId="19">
      <text>
        <r>
          <rPr>
            <b/>
            <sz val="8"/>
            <color indexed="81"/>
            <rFont val="Tahoma"/>
            <family val="2"/>
          </rPr>
          <t>lr73192:</t>
        </r>
        <r>
          <rPr>
            <sz val="8"/>
            <color indexed="81"/>
            <rFont val="Tahoma"/>
            <family val="2"/>
          </rPr>
          <t xml:space="preserve">
$788,000 charge associated with plan to consolidate NY HQ staff within one location
4/29/20: TIF said $20 million in charges in 2010 as a result of new HQ space in NYC. Of the $20 million, ~55-60% is store rent, balance is depreciation. Some in Q1 rest spread out over Q2-Q4. 
Will be called separately going forward. We have excluded these charges from rent expense in 2010 since not store-rent-related. Anticipated $5 million in Q12011is the same type of expense. Another estimated $30 million expense (depends on mkt conditions) in 2011 as a result of non-cancelable leases.</t>
        </r>
      </text>
    </comment>
    <comment ref="CI30" authorId="12">
      <text>
        <r>
          <rPr>
            <b/>
            <sz val="8"/>
            <color indexed="81"/>
            <rFont val="Tahoma"/>
            <family val="2"/>
          </rPr>
          <t>NS66486:</t>
        </r>
        <r>
          <rPr>
            <sz val="8"/>
            <color indexed="81"/>
            <rFont val="Tahoma"/>
            <family val="2"/>
          </rPr>
          <t xml:space="preserve">
SG&amp;A expenses increased $30.856M or ~13% due primarily to increased labor and benefit costs of $9.298, depreciation/store occupancy of $7.756M and increased mkting of $4.685M. F/X had insigif. Effect. </t>
        </r>
      </text>
    </comment>
    <comment ref="CL30" authorId="5">
      <text>
        <r>
          <rPr>
            <b/>
            <sz val="8"/>
            <color indexed="81"/>
            <rFont val="Tahoma"/>
            <family val="2"/>
          </rPr>
          <t>nicholjs:</t>
        </r>
        <r>
          <rPr>
            <sz val="8"/>
            <color indexed="81"/>
            <rFont val="Tahoma"/>
            <family val="2"/>
          </rPr>
          <t xml:space="preserve">
excludes $8.008mm associated with plans to consolidate NY headquarters staff within one location
of $47.166mm (reported) increase, key drivers:
+$19.5mm new and existing stores
+$10.4mm labor and benefit costs
+$7.0mm marketing expenses</t>
        </r>
      </text>
    </comment>
    <comment ref="CQ30" authorId="13">
      <text>
        <r>
          <rPr>
            <b/>
            <sz val="8"/>
            <color indexed="81"/>
            <rFont val="Tahoma"/>
            <family val="2"/>
          </rPr>
          <t>kahng:</t>
        </r>
        <r>
          <rPr>
            <sz val="8"/>
            <color indexed="81"/>
            <rFont val="Tahoma"/>
            <family val="2"/>
          </rPr>
          <t xml:space="preserve">
3/20/12: was 39.8</t>
        </r>
      </text>
    </comment>
    <comment ref="CU30" authorId="13">
      <text>
        <r>
          <rPr>
            <b/>
            <sz val="8"/>
            <color indexed="81"/>
            <rFont val="Tahoma"/>
            <family val="2"/>
          </rPr>
          <t xml:space="preserve">5/28/13: </t>
        </r>
        <r>
          <rPr>
            <sz val="8"/>
            <color indexed="81"/>
            <rFont val="Tahoma"/>
            <family val="2"/>
          </rPr>
          <t>adjusted for cost reduction initatives related to staggic reductions as well as subleasing of office space at a loss (5c impact); excluding this, SG&amp;A increased due to new-store related costs and higher marketing spending for the Blue Book event</t>
        </r>
      </text>
    </comment>
    <comment ref="CY30" authorId="7">
      <text>
        <r>
          <rPr>
            <b/>
            <sz val="9"/>
            <color indexed="81"/>
            <rFont val="Tahoma"/>
            <family val="2"/>
          </rPr>
          <t>turleamb:</t>
        </r>
        <r>
          <rPr>
            <sz val="9"/>
            <color indexed="81"/>
            <rFont val="Tahoma"/>
            <family val="2"/>
          </rPr>
          <t xml:space="preserve">
increase largely reflecting higher store related expenses and labor costs. Marketing expenses were lower vs. LY and expect these to be considerably higher y/y for the remaining quarters of 2014. 
5/22/14 1Q14 10-Q pg. 23: SG&amp;A expenses increased $27,046,000, or 8%, primarily due to increased store occupancy and depreciation expenses of $12,230,000 related to new and existing stores and increased labor costs of $5,970,000.</t>
        </r>
      </text>
    </comment>
    <comment ref="DC30" authorId="10">
      <text>
        <r>
          <rPr>
            <b/>
            <sz val="9"/>
            <color indexed="81"/>
            <rFont val="Tahoma"/>
            <family val="2"/>
          </rPr>
          <t>casselau:</t>
        </r>
        <r>
          <rPr>
            <sz val="9"/>
            <color indexed="81"/>
            <rFont val="Tahoma"/>
            <family val="2"/>
          </rPr>
          <t xml:space="preserve">
5/27/15: increase driven primarily by higher marketing spend (+$16.3M) (bridal collection, watches) as well as incremental expenses related to the company's US pension and postretirement plans; rate of overall SG&amp;A expense growth was halved by the translation effect of the strong US dollar</t>
        </r>
      </text>
    </comment>
    <comment ref="DD30" authorId="10">
      <text>
        <r>
          <rPr>
            <b/>
            <sz val="9"/>
            <color indexed="81"/>
            <rFont val="Tahoma"/>
            <family val="2"/>
          </rPr>
          <t>casselau:</t>
        </r>
        <r>
          <rPr>
            <sz val="9"/>
            <color indexed="81"/>
            <rFont val="Tahoma"/>
            <family val="2"/>
          </rPr>
          <t xml:space="preserve">
rate of overall SG&amp;A expense growth was halved by the translation effect of the strong US dollar</t>
        </r>
      </text>
    </comment>
    <comment ref="DH30" authorId="8">
      <text>
        <r>
          <rPr>
            <b/>
            <sz val="9"/>
            <color indexed="81"/>
            <rFont val="Tahoma"/>
            <family val="2"/>
          </rPr>
          <t>Cassel, Lauren (Research):</t>
        </r>
        <r>
          <rPr>
            <sz val="9"/>
            <color indexed="81"/>
            <rFont val="Tahoma"/>
            <family val="2"/>
          </rPr>
          <t xml:space="preserve">
5/25/16: due to higher labor, occupancy and depreciation expenses, much of which was store-related</t>
        </r>
      </text>
    </comment>
    <comment ref="DL30" authorId="8">
      <text>
        <r>
          <rPr>
            <b/>
            <sz val="9"/>
            <color indexed="81"/>
            <rFont val="Tahoma"/>
            <family val="2"/>
          </rPr>
          <t>Cassel, Lauren (Research):</t>
        </r>
        <r>
          <rPr>
            <sz val="9"/>
            <color indexed="81"/>
            <rFont val="Tahoma"/>
            <family val="2"/>
          </rPr>
          <t xml:space="preserve">
5/24/17: virtually unchanged from the prior year despite higher severance costs</t>
        </r>
      </text>
    </comment>
    <comment ref="S31" authorId="9">
      <text>
        <r>
          <rPr>
            <b/>
            <sz val="8"/>
            <color indexed="81"/>
            <rFont val="Tahoma"/>
            <family val="2"/>
          </rPr>
          <t>SB:</t>
        </r>
        <r>
          <rPr>
            <sz val="8"/>
            <color indexed="81"/>
            <rFont val="Tahoma"/>
            <family val="2"/>
          </rPr>
          <t xml:space="preserve">
excludes effect from product return for Japan realignment</t>
        </r>
      </text>
    </comment>
    <comment ref="BO31" authorId="1">
      <text>
        <r>
          <rPr>
            <b/>
            <sz val="8"/>
            <color indexed="81"/>
            <rFont val="Tahoma"/>
            <family val="2"/>
          </rPr>
          <t>Morry Brown:</t>
        </r>
        <r>
          <rPr>
            <sz val="8"/>
            <color indexed="81"/>
            <rFont val="Tahoma"/>
            <family val="2"/>
          </rPr>
          <t xml:space="preserve">
42.0</t>
        </r>
      </text>
    </comment>
    <comment ref="BR31" authorId="2">
      <text>
        <r>
          <rPr>
            <b/>
            <sz val="8"/>
            <color indexed="81"/>
            <rFont val="Tahoma"/>
            <family val="2"/>
          </rPr>
          <t>mm98285:</t>
        </r>
        <r>
          <rPr>
            <sz val="8"/>
            <color indexed="81"/>
            <rFont val="Tahoma"/>
            <family val="2"/>
          </rPr>
          <t xml:space="preserve">
$244.342 prior to restatement
</t>
        </r>
      </text>
    </comment>
    <comment ref="BW31" authorId="2">
      <text>
        <r>
          <rPr>
            <b/>
            <sz val="8"/>
            <color indexed="81"/>
            <rFont val="Tahoma"/>
            <family val="2"/>
          </rPr>
          <t>mm98285:</t>
        </r>
        <r>
          <rPr>
            <sz val="8"/>
            <color indexed="81"/>
            <rFont val="Tahoma"/>
            <family val="2"/>
          </rPr>
          <t xml:space="preserve">
+$9.3mm increased labor &amp; benefit costs, +$7.5mm increased depreciation &amp; occup exp, +$3.2 increase in marketing exp
strong sales growth provided substantial leverage</t>
        </r>
      </text>
    </comment>
    <comment ref="BZ31" authorId="2">
      <text>
        <r>
          <rPr>
            <b/>
            <sz val="8"/>
            <color indexed="81"/>
            <rFont val="Tahoma"/>
            <family val="2"/>
          </rPr>
          <t>mm98285:</t>
        </r>
        <r>
          <rPr>
            <sz val="8"/>
            <color indexed="81"/>
            <rFont val="Tahoma"/>
            <family val="2"/>
          </rPr>
          <t xml:space="preserve">
restated to exclude Iridesse</t>
        </r>
      </text>
    </comment>
    <comment ref="CA31" authorId="2">
      <text>
        <r>
          <rPr>
            <b/>
            <sz val="8"/>
            <color indexed="81"/>
            <rFont val="Tahoma"/>
            <family val="2"/>
          </rPr>
          <t>mm98285:</t>
        </r>
        <r>
          <rPr>
            <sz val="8"/>
            <color indexed="81"/>
            <rFont val="Tahoma"/>
            <family val="2"/>
          </rPr>
          <t xml:space="preserve">
+$10.853M higher labor and benefit costs 
+$10.062M higher depreciation and occupancy (related to new and existing stores) 
+$5.393 higher marketing exp
+$8.0M translation effect of stronger foreign currencies</t>
        </r>
      </text>
    </comment>
    <comment ref="CD31" authorId="2">
      <text>
        <r>
          <rPr>
            <b/>
            <sz val="8"/>
            <color indexed="81"/>
            <rFont val="Tahoma"/>
            <family val="2"/>
          </rPr>
          <t>mm98285:</t>
        </r>
        <r>
          <rPr>
            <sz val="8"/>
            <color indexed="81"/>
            <rFont val="Tahoma"/>
            <family val="2"/>
          </rPr>
          <t xml:space="preserve">
excludes recovered $4.442M loan to Tahera Diamond Corp that had written off LY ($0.02 EPS)</t>
        </r>
      </text>
    </comment>
    <comment ref="CF31" authorId="2">
      <text>
        <r>
          <rPr>
            <b/>
            <sz val="8"/>
            <color indexed="81"/>
            <rFont val="Tahoma"/>
            <family val="2"/>
          </rPr>
          <t>mm98285:</t>
        </r>
        <r>
          <rPr>
            <sz val="8"/>
            <color indexed="81"/>
            <rFont val="Tahoma"/>
            <family val="2"/>
          </rPr>
          <t xml:space="preserve">
-12.3% excluding $4.4 gain
decline given reduced staffing and marketing costs as well as lower variable costs tied to sales decline</t>
        </r>
      </text>
    </comment>
    <comment ref="CH31" authorId="19">
      <text>
        <r>
          <rPr>
            <b/>
            <sz val="8"/>
            <color indexed="81"/>
            <rFont val="Tahoma"/>
            <family val="2"/>
          </rPr>
          <t>lr73192:</t>
        </r>
        <r>
          <rPr>
            <sz val="8"/>
            <color indexed="81"/>
            <rFont val="Tahoma"/>
            <family val="2"/>
          </rPr>
          <t xml:space="preserve">
excludes $3.656mm charge within SG&amp;A associate with plans to consolidate NY HQ staff within one location; ~+7% increase due to higher staffing, occupancy and marketing costs, along with increased variable costs
4/29/20: TIF said $20 million in charges in 2010 as a result of new HQ space in NYC. Of the $20 million, ~55-60% is store rent, balance is depreciation. Some in Q1 rest spread out over Q2-Q4. 
Will be called separately going forward. We have excluded these charges from rent expense in 2010 since not store-rent-related. Anticipated $5 million in Q12011is the same type of expense. Another estimated $30 million expense (depends on mkt conditions) in 2011 as a result of non-cancelable leases.</t>
        </r>
      </text>
    </comment>
    <comment ref="CI31" authorId="11">
      <text>
        <r>
          <rPr>
            <b/>
            <sz val="8"/>
            <color indexed="81"/>
            <rFont val="Tahoma"/>
            <family val="2"/>
          </rPr>
          <t>marchant:</t>
        </r>
        <r>
          <rPr>
            <sz val="8"/>
            <color indexed="81"/>
            <rFont val="Tahoma"/>
            <family val="2"/>
          </rPr>
          <t xml:space="preserve">
SG&amp;A exp +7% due to higher staffing, occupancy and marketing costs, along with increased variable costs due to the sales growth</t>
        </r>
      </text>
    </comment>
    <comment ref="CL31" authorId="5">
      <text>
        <r>
          <rPr>
            <b/>
            <sz val="8"/>
            <color indexed="81"/>
            <rFont val="Tahoma"/>
            <family val="2"/>
          </rPr>
          <t>nicholjs:</t>
        </r>
        <r>
          <rPr>
            <sz val="8"/>
            <color indexed="81"/>
            <rFont val="Tahoma"/>
            <family val="2"/>
          </rPr>
          <t xml:space="preserve">
7/12: consensus modeling SG&amp;A at $311.6</t>
        </r>
      </text>
    </comment>
    <comment ref="CQ31" authorId="13">
      <text>
        <r>
          <rPr>
            <b/>
            <sz val="8"/>
            <color indexed="81"/>
            <rFont val="Tahoma"/>
            <family val="2"/>
          </rPr>
          <t xml:space="preserve">8/27/12: </t>
        </r>
        <r>
          <rPr>
            <sz val="8"/>
            <color indexed="81"/>
            <rFont val="Tahoma"/>
            <family val="2"/>
          </rPr>
          <t xml:space="preserve">excluding LY's nonrecurring costs, SG&amp;A rose +1%, modestly below expectation and not indicative of future increases </t>
        </r>
        <r>
          <rPr>
            <b/>
            <sz val="8"/>
            <color indexed="81"/>
            <rFont val="Tahoma"/>
            <family val="2"/>
          </rPr>
          <t xml:space="preserve">
7/7/12: </t>
        </r>
        <r>
          <rPr>
            <sz val="8"/>
            <color indexed="81"/>
            <rFont val="Tahoma"/>
            <family val="2"/>
          </rPr>
          <t xml:space="preserve">was 37.9% and $341.3M. Planned for deleverage on 20% variable cost base. </t>
        </r>
        <r>
          <rPr>
            <b/>
            <sz val="8"/>
            <color indexed="81"/>
            <rFont val="Tahoma"/>
            <family val="2"/>
          </rPr>
          <t xml:space="preserve">
5/24/12:</t>
        </r>
        <r>
          <rPr>
            <sz val="8"/>
            <color indexed="81"/>
            <rFont val="Tahoma"/>
            <family val="2"/>
          </rPr>
          <t xml:space="preserve"> was 38.0%</t>
        </r>
        <r>
          <rPr>
            <sz val="8"/>
            <color indexed="81"/>
            <rFont val="Tahoma"/>
            <family val="2"/>
          </rPr>
          <t xml:space="preserve">
3/20/12: was 39.3
</t>
        </r>
      </text>
    </comment>
    <comment ref="CU31" authorId="7">
      <text>
        <r>
          <rPr>
            <b/>
            <sz val="8"/>
            <color indexed="81"/>
            <rFont val="Tahoma"/>
            <family val="2"/>
          </rPr>
          <t xml:space="preserve">turleamb:
</t>
        </r>
        <r>
          <rPr>
            <sz val="8"/>
            <color indexed="81"/>
            <rFont val="Tahoma"/>
            <family val="2"/>
          </rPr>
          <t>8/27/13:</t>
        </r>
        <r>
          <rPr>
            <sz val="8"/>
            <color indexed="81"/>
            <rFont val="Tahoma"/>
            <family val="2"/>
          </rPr>
          <t xml:space="preserve">
SG&amp;A expenses increased due to store-related costs and higher marketing spend, partly mitigated by translation effect from stronger US$. 
</t>
        </r>
      </text>
    </comment>
    <comment ref="CY31" authorId="7">
      <text>
        <r>
          <rPr>
            <b/>
            <sz val="9"/>
            <color indexed="81"/>
            <rFont val="Tahoma"/>
            <family val="2"/>
          </rPr>
          <t>turleamb:</t>
        </r>
        <r>
          <rPr>
            <sz val="9"/>
            <color indexed="81"/>
            <rFont val="Tahoma"/>
            <family val="2"/>
          </rPr>
          <t xml:space="preserve">
8/27/14:rose primarily due to increases in labor and other store related costs, as well as higher marketing spending. 
Per 2Q 10-Q pg. 26: SG&amp;A expenses increased $31,399,000, or 9%, in the second quarter primarily due to increased labor costs of $12,080,000 (primarily increased store-related labor costs), increased store occupancy and depreciation expenses of $5,692,000 (related to new and existing stores) and increased marketing expenses of $3,771,000. SG&amp;A expenses as a percentage of net sales increased 0.5 percentage point.SG&amp;A expenses increased $49,066,000, or 7%, in the first half. Excluding the expense noted in "Non-GAAP Measures" in the first quarter of 2013, SG&amp;A expenses increased $58,445,000, or 8%, largely reflecting increased labor costs of $18,050,000 (primarily increased store-related labor costs), increased store occupancy and depreciation expenses of $17,922,000 (related to new and existing stores). SG&amp;A expenses as a percentage of net sales decreased 1.2 percentage points and would have decreased 0.7 percentage point, when excluding the item noted in "Non-GAAP Measures", due to the leveraging effect of fixed costs
5/20/14: expect marketing expenses to be higher y/y for remaining quarters of 2014
</t>
        </r>
      </text>
    </comment>
    <comment ref="DC31" authorId="10">
      <text>
        <r>
          <rPr>
            <b/>
            <sz val="9"/>
            <color indexed="81"/>
            <rFont val="Tahoma"/>
            <family val="2"/>
          </rPr>
          <t>casselau:</t>
        </r>
        <r>
          <rPr>
            <sz val="9"/>
            <color indexed="81"/>
            <rFont val="Tahoma"/>
            <family val="2"/>
          </rPr>
          <t xml:space="preserve">
8/27/15: due to higher marketing expenses (+$9.6M) and increased costs related to store occupancy and depreciation (+$6.1M), as well as increased labor expenses (+$4.6M) (including costs related to the Company’s U.S. pension and postretirement plans); excludes an $9.6M impairment charge related to a loan to a diamond mining company; Excluding both that charge and the translation effect from the strong U.S. dollar, </t>
        </r>
        <r>
          <rPr>
            <b/>
            <sz val="9"/>
            <color indexed="81"/>
            <rFont val="Tahoma"/>
            <family val="2"/>
          </rPr>
          <t xml:space="preserve">SG&amp;A expenses would have increased 11% </t>
        </r>
        <r>
          <rPr>
            <sz val="9"/>
            <color indexed="81"/>
            <rFont val="Tahoma"/>
            <family val="2"/>
          </rPr>
          <t xml:space="preserve">in both the second quarter and first half. </t>
        </r>
      </text>
    </comment>
    <comment ref="DD31" authorId="10">
      <text>
        <r>
          <rPr>
            <b/>
            <sz val="9"/>
            <color indexed="81"/>
            <rFont val="Tahoma"/>
            <family val="2"/>
          </rPr>
          <t>casselau:</t>
        </r>
        <r>
          <rPr>
            <sz val="9"/>
            <color indexed="81"/>
            <rFont val="Tahoma"/>
            <family val="2"/>
          </rPr>
          <t xml:space="preserve">
 Excluding both that charge and the translation effect from the strong U.S. dollar, SG&amp;A expenses would have increased 11%</t>
        </r>
      </text>
    </comment>
    <comment ref="DH31" authorId="8">
      <text>
        <r>
          <rPr>
            <b/>
            <sz val="9"/>
            <color indexed="81"/>
            <rFont val="Tahoma"/>
            <family val="2"/>
          </rPr>
          <t>Cassel, Lauren (Research):</t>
        </r>
        <r>
          <rPr>
            <sz val="9"/>
            <color indexed="81"/>
            <rFont val="Tahoma"/>
            <family val="2"/>
          </rPr>
          <t xml:space="preserve">
8/25/16: reflecting lower variable labor-related costs, lower sales-related variable costs (commissions, rent, lower marketing expenses and higher store-related costs (occupancy, payroll, D&amp;A). lower benefit and incentive compensation expenses. *Some timing shift of marketing expense</t>
        </r>
      </text>
    </comment>
    <comment ref="DL31" authorId="8">
      <text>
        <r>
          <rPr>
            <b/>
            <sz val="9"/>
            <color indexed="81"/>
            <rFont val="Tahoma"/>
            <family val="2"/>
          </rPr>
          <t>Cassel, Lauren (Research):
8/24/17: due to increased labor and incentive compensation costs and increased marketing spending</t>
        </r>
        <r>
          <rPr>
            <sz val="9"/>
            <color indexed="81"/>
            <rFont val="Tahoma"/>
            <family val="2"/>
          </rPr>
          <t xml:space="preserve">
5/24/17: expect higher SG&amp;A dollar growth than 1Q throughout the remaining quarter as they invest in various growth initiatives</t>
        </r>
      </text>
    </comment>
    <comment ref="BR32" authorId="2">
      <text>
        <r>
          <rPr>
            <b/>
            <sz val="8"/>
            <color indexed="81"/>
            <rFont val="Tahoma"/>
            <family val="2"/>
          </rPr>
          <t>mm98285:</t>
        </r>
        <r>
          <rPr>
            <sz val="8"/>
            <color indexed="81"/>
            <rFont val="Tahoma"/>
            <family val="2"/>
          </rPr>
          <t xml:space="preserve">
$249.419 prior to restatement
</t>
        </r>
      </text>
    </comment>
    <comment ref="BV32" authorId="2">
      <text>
        <r>
          <rPr>
            <b/>
            <sz val="8"/>
            <color indexed="81"/>
            <rFont val="Tahoma"/>
            <family val="2"/>
          </rPr>
          <t>mm98285:</t>
        </r>
        <r>
          <rPr>
            <sz val="8"/>
            <color indexed="81"/>
            <rFont val="Tahoma"/>
            <family val="2"/>
          </rPr>
          <t xml:space="preserve">
2/08: excludes $10m (or $0.04) contribution to The Tiffany &amp; Co Foundation from proceeds of sale of Tokyo flagship store building</t>
        </r>
      </text>
    </comment>
    <comment ref="BW32" authorId="2">
      <text>
        <r>
          <rPr>
            <b/>
            <sz val="8"/>
            <color indexed="81"/>
            <rFont val="Tahoma"/>
            <family val="2"/>
          </rPr>
          <t>mm98285:</t>
        </r>
        <r>
          <rPr>
            <sz val="8"/>
            <color indexed="81"/>
            <rFont val="Tahoma"/>
            <family val="2"/>
          </rPr>
          <t xml:space="preserve">
2/08: Increase in SG&amp;A $s from labor and occupancy costs tied to new and existing stores and higher marketing expenses</t>
        </r>
      </text>
    </comment>
    <comment ref="BX32" authorId="2">
      <text>
        <r>
          <rPr>
            <b/>
            <sz val="8"/>
            <color indexed="81"/>
            <rFont val="Tahoma"/>
            <family val="2"/>
          </rPr>
          <t>mm98285:</t>
        </r>
        <r>
          <rPr>
            <sz val="8"/>
            <color indexed="81"/>
            <rFont val="Tahoma"/>
            <family val="2"/>
          </rPr>
          <t xml:space="preserve">
+20.3% incl $10mm contribution to TIF Foundation</t>
        </r>
      </text>
    </comment>
    <comment ref="BZ32" authorId="2">
      <text>
        <r>
          <rPr>
            <b/>
            <sz val="8"/>
            <color indexed="81"/>
            <rFont val="Tahoma"/>
            <family val="2"/>
          </rPr>
          <t>mm98285:</t>
        </r>
        <r>
          <rPr>
            <sz val="8"/>
            <color indexed="81"/>
            <rFont val="Tahoma"/>
            <family val="2"/>
          </rPr>
          <t xml:space="preserve">
restated to exclude Iridesse</t>
        </r>
      </text>
    </comment>
    <comment ref="CA32" authorId="2">
      <text>
        <r>
          <rPr>
            <b/>
            <sz val="8"/>
            <color indexed="81"/>
            <rFont val="Tahoma"/>
            <family val="2"/>
          </rPr>
          <t>mm98285:</t>
        </r>
        <r>
          <rPr>
            <sz val="8"/>
            <color indexed="81"/>
            <rFont val="Tahoma"/>
            <family val="2"/>
          </rPr>
          <t xml:space="preserve">
$8.108M decreased labor &amp; benefit costs as a result of reduction in anticipated mgmt incentive comp which more than offset costs related to new stores
$2.0M: translation effect from stronger foreign currencies was modest increasing SG&amp;A by ~1%</t>
        </r>
      </text>
    </comment>
    <comment ref="CD32" authorId="2">
      <text>
        <r>
          <rPr>
            <b/>
            <sz val="8"/>
            <color indexed="81"/>
            <rFont val="Tahoma"/>
            <family val="2"/>
          </rPr>
          <t>mm98285:</t>
        </r>
        <r>
          <rPr>
            <sz val="8"/>
            <color indexed="81"/>
            <rFont val="Tahoma"/>
            <family val="2"/>
          </rPr>
          <t xml:space="preserve">
11/09: excludes $4M charge ($3.44M after tax) related to a diamond sourcing agreement</t>
        </r>
      </text>
    </comment>
    <comment ref="CE32" authorId="2">
      <text>
        <r>
          <rPr>
            <b/>
            <sz val="8"/>
            <color indexed="81"/>
            <rFont val="Tahoma"/>
            <family val="2"/>
          </rPr>
          <t>mm98285:</t>
        </r>
        <r>
          <rPr>
            <sz val="8"/>
            <color indexed="81"/>
            <rFont val="Tahoma"/>
            <family val="2"/>
          </rPr>
          <t xml:space="preserve">
decreased marketing exp of $13.902M, partly offset by increased depreciation and store occupancy exp of $5.747M and increased labor and benefit costs of $3.044M</t>
        </r>
      </text>
    </comment>
    <comment ref="CF32" authorId="2">
      <text>
        <r>
          <rPr>
            <b/>
            <sz val="8"/>
            <color indexed="81"/>
            <rFont val="Tahoma"/>
            <family val="2"/>
          </rPr>
          <t>mm98285:</t>
        </r>
        <r>
          <rPr>
            <sz val="8"/>
            <color indexed="81"/>
            <rFont val="Tahoma"/>
            <family val="2"/>
          </rPr>
          <t xml:space="preserve">
11/09: substantial savings realized from reduced staffing and marketing costs as well as lower variable costs </t>
        </r>
      </text>
    </comment>
    <comment ref="CH32" authorId="19">
      <text>
        <r>
          <rPr>
            <b/>
            <sz val="8"/>
            <color indexed="81"/>
            <rFont val="Tahoma"/>
            <family val="2"/>
          </rPr>
          <t>lr73192:</t>
        </r>
        <r>
          <rPr>
            <sz val="8"/>
            <color indexed="81"/>
            <rFont val="Tahoma"/>
            <family val="2"/>
          </rPr>
          <t xml:space="preserve">
excludes $6.095mm charge associated with NY HQ consolidation
8/10: will be a significant step-up in marketing spending in 3Q, some of which will be tied to our hosting a major customer and media event in Beijing.  the rate of earnings growth in 3Q will be somewhat restrained by that increased marketing spending.
4/29/20: TIF said $20 million in charges in 2010 as a result of new HQ space in NYC. Of the $20 million, ~55-60% is store rent, balance is depreciation. Some in Q1 rest spread out over Q2-Q4. 
Will be called separately going forward. We have excluded these charges from rent expense in 2010 since not store-rent-related. Anticipated $5 million in Q12011is the same type of expense. Another estimated $30 million expense (depends on mkt conditions) in 2011 as a result of non-cancelable leases.</t>
        </r>
      </text>
    </comment>
    <comment ref="CN32" authorId="15">
      <text>
        <r>
          <rPr>
            <b/>
            <sz val="8"/>
            <color indexed="81"/>
            <rFont val="Tahoma"/>
            <family val="2"/>
          </rPr>
          <t>solejay:</t>
        </r>
        <r>
          <rPr>
            <sz val="8"/>
            <color indexed="81"/>
            <rFont val="Tahoma"/>
            <family val="2"/>
          </rPr>
          <t xml:space="preserve">
SG&amp;A expenses rose 12% in the quarter primarily due to increases in store occupancy, staffing and sales-related variable costs</t>
        </r>
      </text>
    </comment>
    <comment ref="CQ32" authorId="13">
      <text>
        <r>
          <rPr>
            <b/>
            <sz val="8"/>
            <color indexed="81"/>
            <rFont val="Tahoma"/>
            <family val="2"/>
          </rPr>
          <t xml:space="preserve">kahng:
7/9/12: </t>
        </r>
        <r>
          <rPr>
            <sz val="8"/>
            <color indexed="81"/>
            <rFont val="Tahoma"/>
            <family val="2"/>
          </rPr>
          <t>was 39.2% and $337.4M. Adjusted for deleverage on 20% variable cost base</t>
        </r>
        <r>
          <rPr>
            <b/>
            <sz val="8"/>
            <color indexed="81"/>
            <rFont val="Tahoma"/>
            <family val="2"/>
          </rPr>
          <t xml:space="preserve">
5/24/12: </t>
        </r>
        <r>
          <rPr>
            <sz val="8"/>
            <color indexed="81"/>
            <rFont val="Tahoma"/>
            <family val="2"/>
          </rPr>
          <t>was 39.6%</t>
        </r>
        <r>
          <rPr>
            <sz val="8"/>
            <color indexed="81"/>
            <rFont val="Tahoma"/>
            <family val="2"/>
          </rPr>
          <t xml:space="preserve">
3/20/12: was 40.4</t>
        </r>
      </text>
    </comment>
    <comment ref="CR32" authorId="15">
      <text>
        <r>
          <rPr>
            <sz val="8"/>
            <color indexed="81"/>
            <rFont val="Tahoma"/>
            <family val="2"/>
          </rPr>
          <t xml:space="preserve">11/29/12: In the third quarter, SG&amp;A (selling, general and administrative) expenses increased 5% largely due to higher store occupancy and marketing costs. In the year-to-date, SG&amp;A expenses rose 1%; however, if nonrecurring costs related to the 2011 relocation of Tiffany’s New York headquarters staff were excluded, SG&amp;A expense would have increased 6% in the year-to-date primarily due to higher store occupancy, labor and marketing costs. 
</t>
        </r>
      </text>
    </comment>
    <comment ref="CU32" authorId="7">
      <text>
        <r>
          <rPr>
            <b/>
            <sz val="8"/>
            <color indexed="81"/>
            <rFont val="Tahoma"/>
            <family val="2"/>
          </rPr>
          <t>turleamb:</t>
        </r>
        <r>
          <rPr>
            <sz val="8"/>
            <color indexed="81"/>
            <rFont val="Tahoma"/>
            <family val="2"/>
          </rPr>
          <t xml:space="preserve">
11/26/13: rose largely due to incremental labor and store-related costs. A translation effect from a stronger U.S. dollar reduced SG&amp;A expense growth by 3%. On a CC basis, improved ratio of SG&amp;A expenses to sales by leveraging fixed costs and TIF continues to forecast an improved SG&amp;A expenses ratio for FY</t>
        </r>
      </text>
    </comment>
    <comment ref="CY32" authorId="7">
      <text>
        <r>
          <rPr>
            <b/>
            <sz val="9"/>
            <color indexed="81"/>
            <rFont val="Tahoma"/>
            <family val="2"/>
          </rPr>
          <t>turleamb:</t>
        </r>
        <r>
          <rPr>
            <sz val="9"/>
            <color indexed="81"/>
            <rFont val="Tahoma"/>
            <family val="2"/>
          </rPr>
          <t xml:space="preserve">
11/25/14: rose primarily due to marketing spending as well as labor and other store related costs. 
8/27/14: Expect y/y growth to accelerate from 2Q levels in 2H and especially in 3Q tied to the launch of the Tiffany T collection. 
plan to substantially step up 3Q marketing to promote awareness of new Tiffany T collection. </t>
        </r>
      </text>
    </comment>
    <comment ref="DC32" authorId="10">
      <text>
        <r>
          <rPr>
            <b/>
            <sz val="9"/>
            <color indexed="81"/>
            <rFont val="Tahoma"/>
            <family val="2"/>
          </rPr>
          <t xml:space="preserve">casselau:
11/24/15: </t>
        </r>
        <r>
          <rPr>
            <sz val="9"/>
            <color indexed="81"/>
            <rFont val="Tahoma"/>
            <family val="2"/>
          </rPr>
          <t>higher store related (occupancy and depreciation) and pension costs were largely offset by the translation effect of the strong US dollar and lower variable labor costs (including incentive compensation and sales commissions, that were partly offset by increased costs for U.S. pension and postretirement benefit plans); excluding the translation effect, SG&amp;A expenses would have increased +6%
assume $11M y/y in incremental occupancy/depreciation/pension costs, similar to 2Q</t>
        </r>
      </text>
    </comment>
    <comment ref="DD32" authorId="10">
      <text>
        <r>
          <rPr>
            <b/>
            <sz val="9"/>
            <color indexed="81"/>
            <rFont val="Tahoma"/>
            <family val="2"/>
          </rPr>
          <t>casselau:</t>
        </r>
        <r>
          <rPr>
            <sz val="9"/>
            <color indexed="81"/>
            <rFont val="Tahoma"/>
            <family val="2"/>
          </rPr>
          <t xml:space="preserve">
excluding the translation effect, SG&amp;A expenses would have increased +6%</t>
        </r>
      </text>
    </comment>
    <comment ref="DH32" authorId="8">
      <text>
        <r>
          <rPr>
            <b/>
            <sz val="9"/>
            <color indexed="81"/>
            <rFont val="Tahoma"/>
            <family val="2"/>
          </rPr>
          <t>Cassel, Lauren (Research):</t>
        </r>
        <r>
          <rPr>
            <sz val="9"/>
            <color indexed="81"/>
            <rFont val="Tahoma"/>
            <family val="2"/>
          </rPr>
          <t xml:space="preserve">
11/29/16: primarily due to increases in store occupancy and depreciation expenses, marketing expenses, and labor and incentive compensation costs</t>
        </r>
      </text>
    </comment>
    <comment ref="DL32" authorId="8">
      <text>
        <r>
          <rPr>
            <b/>
            <sz val="9"/>
            <color indexed="81"/>
            <rFont val="Tahoma"/>
            <family val="2"/>
          </rPr>
          <t>Cassel, Lauren (Research):</t>
        </r>
        <r>
          <rPr>
            <sz val="9"/>
            <color indexed="81"/>
            <rFont val="Tahoma"/>
            <family val="2"/>
          </rPr>
          <t xml:space="preserve">
11/29/17: largely due to higher labor and incentive compensation costs and higher store occupancy and depreciation expenses, partially offset by ongoing cost savings initiatives</t>
        </r>
      </text>
    </comment>
    <comment ref="BR33" authorId="3">
      <text>
        <r>
          <rPr>
            <b/>
            <sz val="8"/>
            <color indexed="81"/>
            <rFont val="Tahoma"/>
            <family val="2"/>
            <charset val="186"/>
          </rPr>
          <t>mm98285:</t>
        </r>
        <r>
          <rPr>
            <sz val="8"/>
            <color indexed="81"/>
            <rFont val="Tahoma"/>
            <family val="2"/>
            <charset val="186"/>
          </rPr>
          <t xml:space="preserve">
3/08: 339.6 prior to restatement
</t>
        </r>
        <r>
          <rPr>
            <b/>
            <sz val="8"/>
            <color indexed="81"/>
            <rFont val="Tahoma"/>
            <family val="2"/>
          </rPr>
          <t xml:space="preserve">
pw64212:</t>
        </r>
        <r>
          <rPr>
            <sz val="8"/>
            <color indexed="81"/>
            <rFont val="Tahoma"/>
            <family val="2"/>
          </rPr>
          <t xml:space="preserve">
included $6.9M impairment charge for the write-off of goodwill related to LS</t>
        </r>
      </text>
    </comment>
    <comment ref="BV33" authorId="2">
      <text>
        <r>
          <rPr>
            <b/>
            <sz val="8"/>
            <color indexed="81"/>
            <rFont val="Tahoma"/>
            <family val="2"/>
          </rPr>
          <t>mm98285:</t>
        </r>
        <r>
          <rPr>
            <sz val="8"/>
            <color indexed="81"/>
            <rFont val="Tahoma"/>
            <family val="2"/>
          </rPr>
          <t xml:space="preserve">
excludes $15.5M impairment charge (lower than expected store perf for Iridesse) and $48M impairment charge (loans made to Tahera will not be repaid)</t>
        </r>
      </text>
    </comment>
    <comment ref="BX33" authorId="2">
      <text>
        <r>
          <rPr>
            <b/>
            <sz val="8"/>
            <color indexed="81"/>
            <rFont val="Tahoma"/>
            <family val="2"/>
          </rPr>
          <t>mm98285:</t>
        </r>
        <r>
          <rPr>
            <sz val="8"/>
            <color indexed="81"/>
            <rFont val="Tahoma"/>
            <family val="2"/>
          </rPr>
          <t xml:space="preserve">
11.3% growth excluding $6.9mm impairment charge in 4Q06</t>
        </r>
      </text>
    </comment>
    <comment ref="BZ33" authorId="2">
      <text>
        <r>
          <rPr>
            <b/>
            <sz val="8"/>
            <color indexed="81"/>
            <rFont val="Tahoma"/>
            <family val="2"/>
          </rPr>
          <t>mm98285:</t>
        </r>
        <r>
          <rPr>
            <sz val="8"/>
            <color indexed="81"/>
            <rFont val="Tahoma"/>
            <family val="2"/>
          </rPr>
          <t xml:space="preserve">
restated to exclude Iridesse</t>
        </r>
      </text>
    </comment>
    <comment ref="CA33" authorId="2">
      <text>
        <r>
          <rPr>
            <b/>
            <sz val="8"/>
            <color indexed="81"/>
            <rFont val="Tahoma"/>
            <family val="2"/>
          </rPr>
          <t>mm98285:</t>
        </r>
        <r>
          <rPr>
            <sz val="8"/>
            <color indexed="81"/>
            <rFont val="Tahoma"/>
            <family val="2"/>
          </rPr>
          <t xml:space="preserve">
lower management incentive comp and sales related to variable cost savings (i.e. commissions, variable rent, credit card fees)</t>
        </r>
      </text>
    </comment>
    <comment ref="CE33" authorId="4">
      <text>
        <r>
          <rPr>
            <b/>
            <sz val="8"/>
            <color indexed="81"/>
            <rFont val="Tahoma"/>
            <family val="2"/>
          </rPr>
          <t>ns66486:</t>
        </r>
        <r>
          <rPr>
            <sz val="8"/>
            <color indexed="81"/>
            <rFont val="Tahoma"/>
            <family val="2"/>
          </rPr>
          <t xml:space="preserve">
3/10: higher mgt incentive comp and increased variable expenses on improving sales trend</t>
        </r>
      </text>
    </comment>
    <comment ref="CH33" authorId="19">
      <text>
        <r>
          <rPr>
            <b/>
            <sz val="8"/>
            <color indexed="81"/>
            <rFont val="Tahoma"/>
            <family val="2"/>
          </rPr>
          <t>lr73192:</t>
        </r>
        <r>
          <rPr>
            <sz val="8"/>
            <color indexed="81"/>
            <rFont val="Tahoma"/>
            <family val="2"/>
          </rPr>
          <t xml:space="preserve">
excludes $6.086 charge associted w/ NY HQ consolidation
4/29/20: TIF said $20 million in charges in 2010 as a result of new HQ space in NYC. Of the $20 million, ~55-60% is store rent, balance is depreciation. Some in Q1 rest spread out over Q2-Q4. 
Will be called separately going forward. We have excluded these charges from rent expense in 2010 since not store-rent-related. Anticipated $5 million in Q12011is the same type of expense. Another estimated $30 million expense (depends on mkt conditions) in 2011 as a result of non-cancelable leases.</t>
        </r>
      </text>
    </comment>
    <comment ref="CM33" authorId="13">
      <text>
        <r>
          <rPr>
            <b/>
            <sz val="8"/>
            <color indexed="81"/>
            <rFont val="Tahoma"/>
            <family val="2"/>
          </rPr>
          <t>kahng:
3/20/12:</t>
        </r>
        <r>
          <rPr>
            <sz val="8"/>
            <color indexed="81"/>
            <rFont val="Tahoma"/>
            <family val="2"/>
          </rPr>
          <t xml:space="preserve"> growth in occupany, labor and marketing costs. </t>
        </r>
        <r>
          <rPr>
            <sz val="8"/>
            <color indexed="81"/>
            <rFont val="Tahoma"/>
            <family val="2"/>
          </rPr>
          <t xml:space="preserve">
prior: opex 34.9%</t>
        </r>
      </text>
    </comment>
    <comment ref="CQ33" authorId="13">
      <text>
        <r>
          <rPr>
            <b/>
            <sz val="8"/>
            <color indexed="81"/>
            <rFont val="Tahoma"/>
            <family val="2"/>
          </rPr>
          <t xml:space="preserve">kahng:
7/6/12: </t>
        </r>
        <r>
          <rPr>
            <sz val="8"/>
            <color indexed="81"/>
            <rFont val="Tahoma"/>
            <family val="2"/>
          </rPr>
          <t xml:space="preserve">Was 35.4% and $468.6M. Planned for delev on 20% variable cost base. </t>
        </r>
        <r>
          <rPr>
            <b/>
            <sz val="8"/>
            <color indexed="81"/>
            <rFont val="Tahoma"/>
            <family val="2"/>
          </rPr>
          <t xml:space="preserve">
5/24/12: </t>
        </r>
        <r>
          <rPr>
            <sz val="8"/>
            <color indexed="81"/>
            <rFont val="Tahoma"/>
            <family val="2"/>
          </rPr>
          <t>Was 35.4%</t>
        </r>
        <r>
          <rPr>
            <sz val="8"/>
            <color indexed="81"/>
            <rFont val="Tahoma"/>
            <family val="2"/>
          </rPr>
          <t xml:space="preserve">
3/20/12: was 36.2</t>
        </r>
      </text>
    </comment>
    <comment ref="CR33" authorId="13">
      <text>
        <r>
          <rPr>
            <b/>
            <sz val="8"/>
            <color indexed="81"/>
            <rFont val="Tahoma"/>
            <family val="2"/>
          </rPr>
          <t>kahng:</t>
        </r>
        <r>
          <rPr>
            <sz val="8"/>
            <color indexed="81"/>
            <rFont val="Tahoma"/>
            <family val="2"/>
          </rPr>
          <t xml:space="preserve">
</t>
        </r>
      </text>
    </comment>
    <comment ref="CT33" authorId="7">
      <text>
        <r>
          <rPr>
            <b/>
            <sz val="8"/>
            <color indexed="81"/>
            <rFont val="Tahoma"/>
            <family val="2"/>
          </rPr>
          <t>turleamb:</t>
        </r>
        <r>
          <rPr>
            <sz val="8"/>
            <color indexed="81"/>
            <rFont val="Tahoma"/>
            <family val="2"/>
          </rPr>
          <t xml:space="preserve">
press release 12/22/13: TIF will record a charge for the after-tax impact of the award ~ $295 - 305 million in 4Q</t>
        </r>
      </text>
    </comment>
    <comment ref="CU33" authorId="7">
      <text>
        <r>
          <rPr>
            <b/>
            <sz val="9"/>
            <color indexed="81"/>
            <rFont val="Tahoma"/>
            <family val="2"/>
          </rPr>
          <t>turleamb:</t>
        </r>
        <r>
          <rPr>
            <sz val="9"/>
            <color indexed="81"/>
            <rFont val="Tahoma"/>
            <family val="2"/>
          </rPr>
          <t xml:space="preserve">
3/21/14: rose due to incremental fixed and variable labor costs such as sales commissions and incentive compensation and higher store related expenes. </t>
        </r>
      </text>
    </comment>
    <comment ref="CV33" authorId="7">
      <text>
        <r>
          <rPr>
            <b/>
            <sz val="9"/>
            <color indexed="81"/>
            <rFont val="Tahoma"/>
            <family val="2"/>
          </rPr>
          <t>turleamb:</t>
        </r>
        <r>
          <rPr>
            <sz val="9"/>
            <color indexed="81"/>
            <rFont val="Tahoma"/>
            <family val="2"/>
          </rPr>
          <t xml:space="preserve">
+10% CC</t>
        </r>
      </text>
    </comment>
    <comment ref="CY33" authorId="0">
      <text>
        <r>
          <rPr>
            <b/>
            <sz val="9"/>
            <color indexed="81"/>
            <rFont val="Tahoma"/>
            <family val="2"/>
          </rPr>
          <t>Turley, Amber (Research):</t>
        </r>
        <r>
          <rPr>
            <sz val="9"/>
            <color indexed="81"/>
            <rFont val="Tahoma"/>
            <family val="2"/>
          </rPr>
          <t xml:space="preserve">
3/20/15: as higher marketing spending was mostly offset by the translation
effect of the strong U.S. dollar.</t>
        </r>
      </text>
    </comment>
    <comment ref="DB33" authorId="10">
      <text>
        <r>
          <rPr>
            <b/>
            <sz val="9"/>
            <color indexed="81"/>
            <rFont val="Tahoma"/>
            <family val="2"/>
          </rPr>
          <t>casselau:</t>
        </r>
        <r>
          <rPr>
            <sz val="9"/>
            <color indexed="81"/>
            <rFont val="Tahoma"/>
            <family val="2"/>
          </rPr>
          <t xml:space="preserve">
excluding pre-tax charges of $28.3 million for impairment of a loan made to a diamond mining company and $8.8 million for staffing and occupancy reductions</t>
        </r>
      </text>
    </comment>
    <comment ref="DC33" authorId="10">
      <text>
        <r>
          <rPr>
            <b/>
            <sz val="9"/>
            <color indexed="81"/>
            <rFont val="Tahoma"/>
            <family val="2"/>
          </rPr>
          <t>casselau:</t>
        </r>
        <r>
          <rPr>
            <sz val="9"/>
            <color indexed="81"/>
            <rFont val="Tahoma"/>
            <family val="2"/>
          </rPr>
          <t xml:space="preserve">
8/27/15: "While we expect the SG&amp;A expense ratio to increase in the full year
due to the lack of sales leverage we do expect some improvement in the ratio in the fourth quarter."</t>
        </r>
      </text>
    </comment>
    <comment ref="DD33" authorId="10">
      <text>
        <r>
          <rPr>
            <b/>
            <sz val="9"/>
            <color indexed="81"/>
            <rFont val="Tahoma"/>
            <family val="2"/>
          </rPr>
          <t>casselau:</t>
        </r>
        <r>
          <rPr>
            <sz val="9"/>
            <color indexed="81"/>
            <rFont val="Tahoma"/>
            <family val="2"/>
          </rPr>
          <t xml:space="preserve">
3/18/16: Excluding charges realted to Sierra Lione loan, SG&amp;A expenses declined 2% in the fourth quarter, benefitting from the strong U.S. dollar, as well as lower marketing and variable labor costs; marketing spending declined in the fourth quarter as we expected due to disproportionately high spending in the fourth quarter of 2014 tied to the launch of the Tiffany T collection</t>
        </r>
      </text>
    </comment>
    <comment ref="DF33" authorId="8">
      <text>
        <r>
          <rPr>
            <b/>
            <sz val="9"/>
            <color indexed="81"/>
            <rFont val="Tahoma"/>
            <family val="2"/>
          </rPr>
          <t>Cassel, Lauren (Research):</t>
        </r>
        <r>
          <rPr>
            <sz val="9"/>
            <color indexed="81"/>
            <rFont val="Tahoma"/>
            <family val="2"/>
          </rPr>
          <t xml:space="preserve">
3/17/17: excludes $38M of charts associated with an asset impairment charge related to software costs capitalized in connection with the development of a new finished goods inventory mgmt information system and impairment charges related to financing arrangements with diamond mining and exploration companies</t>
        </r>
      </text>
    </comment>
    <comment ref="DH33" authorId="8">
      <text>
        <r>
          <rPr>
            <b/>
            <sz val="9"/>
            <color indexed="81"/>
            <rFont val="Tahoma"/>
            <family val="2"/>
          </rPr>
          <t>Cassel, Lauren (Research):</t>
        </r>
        <r>
          <rPr>
            <sz val="9"/>
            <color indexed="81"/>
            <rFont val="Tahoma"/>
            <family val="2"/>
          </rPr>
          <t xml:space="preserve">
3/17/17: due to increased labor and incentive compensation costs as well as increased store occupancy and depreciation expenses </t>
        </r>
      </text>
    </comment>
    <comment ref="DL33" authorId="8">
      <text>
        <r>
          <rPr>
            <b/>
            <sz val="9"/>
            <color indexed="81"/>
            <rFont val="Tahoma"/>
            <family val="2"/>
          </rPr>
          <t>Cassel, Lauren (Research):</t>
        </r>
        <r>
          <rPr>
            <sz val="9"/>
            <color indexed="81"/>
            <rFont val="Tahoma"/>
            <family val="2"/>
          </rPr>
          <t xml:space="preserve">
3/16/18: result of higher labor and incentive compensation costs, higher store occupancy and depreciation expenses and increased marketing spending</t>
        </r>
      </text>
    </comment>
    <comment ref="T34" authorId="3">
      <text>
        <r>
          <rPr>
            <b/>
            <sz val="8"/>
            <color indexed="81"/>
            <rFont val="Tahoma"/>
            <family val="2"/>
          </rPr>
          <t>pw64212:</t>
        </r>
        <r>
          <rPr>
            <sz val="8"/>
            <color indexed="81"/>
            <rFont val="Tahoma"/>
            <family val="2"/>
          </rPr>
          <t xml:space="preserve">
staffing-related expenses due to the Japan business realignment. </t>
        </r>
      </text>
    </comment>
    <comment ref="X34" authorId="3">
      <text>
        <r>
          <rPr>
            <b/>
            <sz val="8"/>
            <color indexed="81"/>
            <rFont val="Tahoma"/>
            <family val="2"/>
          </rPr>
          <t>pw64212:</t>
        </r>
        <r>
          <rPr>
            <sz val="8"/>
            <color indexed="81"/>
            <rFont val="Tahoma"/>
            <family val="2"/>
          </rPr>
          <t xml:space="preserve">
The increases were largely due to the effect of the Japan realignment (staffing-related expenses and sales-related variable expenses--primarily fees
paid to department stores), the weakened U.S. dollar and its effect on translating foreign operating expenses into U.S. dollars, and incremental
occupancy, staffing and marketing expenses related to the Company's worldwide expansion program.</t>
        </r>
      </text>
    </comment>
    <comment ref="AB34" authorId="3">
      <text>
        <r>
          <rPr>
            <b/>
            <sz val="8"/>
            <color indexed="81"/>
            <rFont val="Tahoma"/>
            <family val="2"/>
          </rPr>
          <t>pw64212:</t>
        </r>
        <r>
          <rPr>
            <sz val="8"/>
            <color indexed="81"/>
            <rFont val="Tahoma"/>
            <family val="2"/>
          </rPr>
          <t xml:space="preserve">
The increases were largely due to incremental occupancy, staffing and marketing expenses related to
the Company's worldwide expansion program, as well as to sales-related variable expenses, particularly in Japan.</t>
        </r>
      </text>
    </comment>
    <comment ref="AF34" authorId="3">
      <text>
        <r>
          <rPr>
            <b/>
            <sz val="8"/>
            <color indexed="81"/>
            <rFont val="Tahoma"/>
            <family val="2"/>
          </rPr>
          <t>pw64212:</t>
        </r>
        <r>
          <rPr>
            <sz val="8"/>
            <color indexed="81"/>
            <rFont val="Tahoma"/>
            <family val="2"/>
          </rPr>
          <t xml:space="preserve">
The increases were primarily due to incremental occupancy, staffing and marketing expenses related to the Company's worldwide expansion program, sales-related variable expenses and costs related to operating the new Customer Service/Distribution Center which opened in Fiscal 1997.</t>
        </r>
      </text>
    </comment>
    <comment ref="AJ34" authorId="3">
      <text>
        <r>
          <rPr>
            <b/>
            <sz val="8"/>
            <color indexed="81"/>
            <rFont val="Tahoma"/>
            <family val="2"/>
          </rPr>
          <t>pw64212:</t>
        </r>
        <r>
          <rPr>
            <sz val="8"/>
            <color indexed="81"/>
            <rFont val="Tahoma"/>
            <family val="2"/>
          </rPr>
          <t xml:space="preserve">
incremental occupancy, staffing and marketing expenses related to the Company's expansion program, as
well as to sales-related variable expenses.</t>
        </r>
      </text>
    </comment>
    <comment ref="AN34" authorId="3">
      <text>
        <r>
          <rPr>
            <b/>
            <sz val="8"/>
            <color indexed="81"/>
            <rFont val="Tahoma"/>
            <family val="2"/>
          </rPr>
          <t>pw64212:</t>
        </r>
        <r>
          <rPr>
            <sz val="8"/>
            <color indexed="81"/>
            <rFont val="Tahoma"/>
            <family val="2"/>
          </rPr>
          <t xml:space="preserve">
primarily due to incremental occupancy, staffing and marketing expenses related to the Company's worldwide expansion program, as well as to sales-related variable expenses.</t>
        </r>
      </text>
    </comment>
    <comment ref="AR34" authorId="3">
      <text>
        <r>
          <rPr>
            <b/>
            <sz val="8"/>
            <color indexed="81"/>
            <rFont val="Tahoma"/>
            <family val="2"/>
          </rPr>
          <t>pw64212:</t>
        </r>
        <r>
          <rPr>
            <sz val="8"/>
            <color indexed="81"/>
            <rFont val="Tahoma"/>
            <family val="2"/>
          </rPr>
          <t xml:space="preserve">
incremental occupancy, staffing and marketing expenses related to the Company's worldwide expansion program, as well as sales-related variable expenses. In addition, changes in the yen/dollar relationship had the effect of increasing SG&amp;A growth in both 2000 and 1999 when translating yen-denominated expenses into U.S. dollars. </t>
        </r>
      </text>
    </comment>
    <comment ref="AV34" authorId="3">
      <text>
        <r>
          <rPr>
            <b/>
            <sz val="8"/>
            <color indexed="81"/>
            <rFont val="Tahoma"/>
            <family val="2"/>
          </rPr>
          <t>pw64212:</t>
        </r>
        <r>
          <rPr>
            <sz val="8"/>
            <color indexed="81"/>
            <rFont val="Tahoma"/>
            <family val="2"/>
          </rPr>
          <t xml:space="preserve">
incremental occupancy, staffing and marketing expenses related to the Company's worldwide expansion program, as well as sales-related variable expenses. In addition,
changes in the yen/dollar relationship had the effect of increasing SG&amp;A growth
in both 2000 and 1999 when translating yen-denominated expenses into U.S. dollars. </t>
        </r>
      </text>
    </comment>
    <comment ref="AY34" authorId="3">
      <text>
        <r>
          <rPr>
            <b/>
            <sz val="8"/>
            <color indexed="81"/>
            <rFont val="Tahoma"/>
            <family val="2"/>
          </rPr>
          <t>pw64212:</t>
        </r>
        <r>
          <rPr>
            <sz val="8"/>
            <color indexed="81"/>
            <rFont val="Tahoma"/>
            <family val="2"/>
          </rPr>
          <t xml:space="preserve">
insufficient sales growth to absorb the rate of increase in fixed
expenses.
</t>
        </r>
      </text>
    </comment>
    <comment ref="AZ34" authorId="3">
      <text>
        <r>
          <rPr>
            <b/>
            <sz val="8"/>
            <color indexed="81"/>
            <rFont val="Tahoma"/>
            <family val="2"/>
          </rPr>
          <t>pw64212:</t>
        </r>
        <r>
          <rPr>
            <sz val="8"/>
            <color indexed="81"/>
            <rFont val="Tahoma"/>
            <family val="2"/>
          </rPr>
          <t xml:space="preserve">
The increases were largely due to
incremental depreciation, staffing and occupancy expenses related to the
Company's overall worldwide expansion, as well as higher marketing expenses in
2002 to support the launch of a new collection of watches.</t>
        </r>
      </text>
    </comment>
    <comment ref="BC34" authorId="3">
      <text>
        <r>
          <rPr>
            <b/>
            <sz val="8"/>
            <color indexed="81"/>
            <rFont val="Tahoma"/>
            <family val="2"/>
          </rPr>
          <t>pw64212:</t>
        </r>
        <r>
          <rPr>
            <sz val="8"/>
            <color indexed="81"/>
            <rFont val="Tahoma"/>
            <family val="2"/>
          </rPr>
          <t xml:space="preserve">
insufficient sales growth to absorb the rate of increase in fixed
expenses.
</t>
        </r>
      </text>
    </comment>
    <comment ref="BD34" authorId="3">
      <text>
        <r>
          <rPr>
            <b/>
            <sz val="8"/>
            <color indexed="81"/>
            <rFont val="Tahoma"/>
            <family val="2"/>
          </rPr>
          <t>pw64212:</t>
        </r>
        <r>
          <rPr>
            <sz val="8"/>
            <color indexed="81"/>
            <rFont val="Tahoma"/>
            <family val="2"/>
          </rPr>
          <t xml:space="preserve">
The increases were largely due to
incremental depreciation, staffing and occupancy expenses related to the
Company's overall worldwide expansion, as well as higher marketing expenses in
2002 to support the launch of a new collection of watches.</t>
        </r>
      </text>
    </comment>
    <comment ref="BH34" authorId="3">
      <text>
        <r>
          <rPr>
            <b/>
            <sz val="8"/>
            <color indexed="81"/>
            <rFont val="Tahoma"/>
            <family val="2"/>
          </rPr>
          <t>pw64212:</t>
        </r>
        <r>
          <rPr>
            <sz val="8"/>
            <color indexed="81"/>
            <rFont val="Tahoma"/>
            <family val="2"/>
          </rPr>
          <t xml:space="preserve">
SG&amp;A expenses increased 16% in 2003 due to the following reasons: increase in labor and benefit costs (representing approximately 30% of the increase); a full year effect of consolidating Little Switzerland in 2003 (representing approximately 20% of the increase); increased marketing (representing approximately 15% of the increase); and increased occupancy and depreciation costs (representing approximately 10% of the increase).
</t>
        </r>
      </text>
    </comment>
    <comment ref="BL34" authorId="3">
      <text>
        <r>
          <rPr>
            <b/>
            <sz val="8"/>
            <color indexed="81"/>
            <rFont val="Tahoma"/>
            <family val="2"/>
          </rPr>
          <t>pw64212:</t>
        </r>
        <r>
          <rPr>
            <sz val="8"/>
            <color indexed="81"/>
            <rFont val="Tahoma"/>
            <family val="2"/>
          </rPr>
          <t xml:space="preserve">
•   $25,000,000 contribution to The Tiffany &amp; Co. Foundation.  
•   $19,006,000 due to the early adoption 
•   $12,193,000 impairment charge 
•   $2,932,000 of exit costs associated with discontinuing a specialty retail concept  
as well as higher labor and benefit cost, dep. occup exp and mkt exp.</t>
        </r>
      </text>
    </comment>
    <comment ref="BO34" authorId="3">
      <text>
        <r>
          <rPr>
            <b/>
            <sz val="8"/>
            <color indexed="81"/>
            <rFont val="Tahoma"/>
            <family val="2"/>
          </rPr>
          <t>pw64212:</t>
        </r>
        <r>
          <rPr>
            <sz val="8"/>
            <color indexed="81"/>
            <rFont val="Tahoma"/>
            <family val="2"/>
          </rPr>
          <t xml:space="preserve">
would have improved 0.5% excluding one-time costs in 2004</t>
        </r>
      </text>
    </comment>
    <comment ref="BP34" authorId="1">
      <text>
        <r>
          <rPr>
            <b/>
            <sz val="8"/>
            <color indexed="81"/>
            <rFont val="Tahoma"/>
            <family val="2"/>
          </rPr>
          <t>Ping Wang:</t>
        </r>
        <r>
          <rPr>
            <sz val="8"/>
            <color indexed="81"/>
            <rFont val="Tahoma"/>
            <family val="2"/>
          </rPr>
          <t xml:space="preserve">
2006 10K K31: excluding several one-time costs in 2004 (a contribution to The Tiffany &amp; Co. Foundation, an impairment charge and exit costs (see below for more details)), SG&amp;A expenses increased 7% in 2005 due to higher labor and benefit costs (representing approximately 50% of the increase) and higher depreciation and occupancy expenses attributable to new stores and variable rent (representing approximately 30% of the increase). </t>
        </r>
      </text>
    </comment>
    <comment ref="BT34" authorId="3">
      <text>
        <r>
          <rPr>
            <b/>
            <sz val="8"/>
            <color indexed="81"/>
            <rFont val="Tahoma"/>
            <family val="2"/>
          </rPr>
          <t>pw64212:</t>
        </r>
        <r>
          <rPr>
            <sz val="8"/>
            <color indexed="81"/>
            <rFont val="Tahoma"/>
            <family val="2"/>
          </rPr>
          <t xml:space="preserve">
largely due to increased labor and benefit costs of $31,400,000 and increased depreciation and occupancy expenses of $25,900,000, which is largely due to new and existing stores. In addition, marketing expenses increased $25,800,000, which included the launch of the Frank Gehry jewelry collection. In 2006, the Company recorded total charges of $6,893,000 related to the impairment of goodwill for its Little Switzerland business as a result of store performance and cash flow projections</t>
        </r>
      </text>
    </comment>
    <comment ref="BW34" authorId="2">
      <text>
        <r>
          <rPr>
            <b/>
            <sz val="8"/>
            <color indexed="81"/>
            <rFont val="Tahoma"/>
            <family val="2"/>
          </rPr>
          <t>mm98285:</t>
        </r>
        <r>
          <rPr>
            <sz val="8"/>
            <color indexed="81"/>
            <rFont val="Tahoma"/>
            <family val="2"/>
          </rPr>
          <t xml:space="preserve">
8/07: expect expense levge from con'td +LDD increase in SG&amp;A $
3/07: expect minimal improvement due to some initial expense pressure from an accelarated rate of store expansion</t>
        </r>
      </text>
    </comment>
    <comment ref="BX34" authorId="2">
      <text>
        <r>
          <rPr>
            <b/>
            <sz val="8"/>
            <color indexed="81"/>
            <rFont val="Tahoma"/>
            <family val="2"/>
          </rPr>
          <t>mm98285:</t>
        </r>
        <r>
          <rPr>
            <sz val="8"/>
            <color indexed="81"/>
            <rFont val="Tahoma"/>
            <family val="2"/>
          </rPr>
          <t xml:space="preserve">
11/07: expect +10%</t>
        </r>
      </text>
    </comment>
    <comment ref="CD34" authorId="2">
      <text>
        <r>
          <rPr>
            <b/>
            <sz val="8"/>
            <color indexed="81"/>
            <rFont val="Tahoma"/>
            <family val="2"/>
          </rPr>
          <t>mm98285:</t>
        </r>
        <r>
          <rPr>
            <sz val="8"/>
            <color indexed="81"/>
            <rFont val="Tahoma"/>
            <family val="2"/>
          </rPr>
          <t xml:space="preserve">
9/09: expect down HSD (given $60M savings from staff reduction taken at end of '08, reduced marketing spend &amp; variable/other fixed cost savings)
expect ~$1,055.3M or down (close to) 10% vs. LY's GAAP $1,172.592M</t>
        </r>
      </text>
    </comment>
    <comment ref="CE34" authorId="2">
      <text>
        <r>
          <rPr>
            <b/>
            <sz val="8"/>
            <color indexed="81"/>
            <rFont val="Tahoma"/>
            <family val="2"/>
          </rPr>
          <t>mm98285:</t>
        </r>
        <r>
          <rPr>
            <sz val="8"/>
            <color indexed="81"/>
            <rFont val="Tahoma"/>
            <family val="2"/>
          </rPr>
          <t xml:space="preserve">
8/09: expect ~+150 bps
8/09: expect deleverage on fixed costs partly offset by savings tied to staff reductions and other cost related initiatives</t>
        </r>
      </text>
    </comment>
    <comment ref="CF34" authorId="2">
      <text>
        <r>
          <rPr>
            <b/>
            <sz val="8"/>
            <color indexed="81"/>
            <rFont val="Tahoma"/>
            <family val="2"/>
          </rPr>
          <t>mm98285:</t>
        </r>
        <r>
          <rPr>
            <sz val="8"/>
            <color indexed="81"/>
            <rFont val="Tahoma"/>
            <family val="2"/>
          </rPr>
          <t xml:space="preserve">
11/09: -MSD
8/09: expect -HSD
3/09: expect 10% decline in SG&amp;A from GAAP reported number in 2008 ($1,172.592M)</t>
        </r>
      </text>
    </comment>
    <comment ref="CH34" authorId="5">
      <text>
        <r>
          <rPr>
            <b/>
            <sz val="8"/>
            <color indexed="81"/>
            <rFont val="Tahoma"/>
            <family val="2"/>
          </rPr>
          <t>nicholjs:</t>
        </r>
        <r>
          <rPr>
            <sz val="8"/>
            <color indexed="81"/>
            <rFont val="Tahoma"/>
            <family val="2"/>
          </rPr>
          <t xml:space="preserve">
largely due to:
+$37.706 increased marketing
+$30.323 increased labor and benefits costs
+$28.704 increased depreciation and store occupancy expense for new/existing stores</t>
        </r>
      </text>
    </comment>
    <comment ref="CI34" authorId="5">
      <text>
        <r>
          <rPr>
            <b/>
            <sz val="8"/>
            <color indexed="81"/>
            <rFont val="Tahoma"/>
            <family val="2"/>
          </rPr>
          <t>nicholjs:</t>
        </r>
        <r>
          <rPr>
            <sz val="8"/>
            <color indexed="81"/>
            <rFont val="Tahoma"/>
            <family val="2"/>
          </rPr>
          <t xml:space="preserve">
11/10: expect improved ratio of SG&amp;A expenses to sales</t>
        </r>
      </text>
    </comment>
    <comment ref="CJ34" authorId="4">
      <text>
        <r>
          <rPr>
            <sz val="8"/>
            <color indexed="81"/>
            <rFont val="Tahoma"/>
            <family val="2"/>
          </rPr>
          <t>11/10: expect SG&amp;A to increase 10-11% for the year or +HSD in 4Q
8/10: expect SG&amp;A to increase a bit less than 10% for the full year
5/10: expect increase in the operating margin primarily due to higher gross margin, as well as improved SG&amp;A rate
3/10: expect 10% dollar growth</t>
        </r>
      </text>
    </comment>
    <comment ref="CL34" authorId="5">
      <text>
        <r>
          <rPr>
            <b/>
            <sz val="8"/>
            <color indexed="81"/>
            <rFont val="Tahoma"/>
            <family val="2"/>
          </rPr>
          <t xml:space="preserve">
3/20/12: </t>
        </r>
        <r>
          <rPr>
            <sz val="8"/>
            <color indexed="81"/>
            <rFont val="Tahoma"/>
            <family val="2"/>
          </rPr>
          <t>excludes $43M in nonrecurring expses related to hq staff relocation. 
80% of SGA is fixed</t>
        </r>
        <r>
          <rPr>
            <sz val="8"/>
            <color indexed="81"/>
            <rFont val="Tahoma"/>
            <family val="2"/>
          </rPr>
          <t xml:space="preserve">
</t>
        </r>
        <r>
          <rPr>
            <b/>
            <sz val="8"/>
            <color indexed="81"/>
            <rFont val="Tahoma"/>
            <family val="2"/>
          </rPr>
          <t xml:space="preserve">2010 10K: </t>
        </r>
        <r>
          <rPr>
            <sz val="8"/>
            <color indexed="81"/>
            <rFont val="Tahoma"/>
            <family val="2"/>
          </rPr>
          <t>variable costs (which include items such as variable store rent, sales commissions and fees paid to CC companies) represent ~1/5 of total SG&amp;A</t>
        </r>
      </text>
    </comment>
    <comment ref="CN34" authorId="5">
      <text>
        <r>
          <rPr>
            <b/>
            <sz val="8"/>
            <color indexed="81"/>
            <rFont val="Tahoma"/>
            <family val="2"/>
          </rPr>
          <t>3/20/12:</t>
        </r>
        <r>
          <rPr>
            <sz val="8"/>
            <color indexed="81"/>
            <rFont val="Tahoma"/>
            <family val="2"/>
          </rPr>
          <t xml:space="preserve"> higher costs of store occupancy, labor adn marketnig</t>
        </r>
        <r>
          <rPr>
            <sz val="8"/>
            <color indexed="81"/>
            <rFont val="Tahoma"/>
            <family val="2"/>
          </rPr>
          <t xml:space="preserve">
prior: leverage SG&amp;A on a MSD comp
5/2011: expect improved ratio as a % of sales
3/2011: increase about 12-13% in total 2011, reflecting marketing spending that will increase somewhat faster than sales growth</t>
        </r>
      </text>
    </comment>
    <comment ref="CP34" authorId="13">
      <text>
        <r>
          <rPr>
            <b/>
            <sz val="8"/>
            <color indexed="81"/>
            <rFont val="Tahoma"/>
            <family val="2"/>
          </rPr>
          <t xml:space="preserve">3/20/12: </t>
        </r>
        <r>
          <rPr>
            <sz val="8"/>
            <color indexed="81"/>
            <rFont val="Tahoma"/>
            <family val="2"/>
          </rPr>
          <t xml:space="preserve">80% of SGA is fixed; also includes higher pension and post retirement costs due to asset performance a redution in discount rate. 
</t>
        </r>
        <r>
          <rPr>
            <b/>
            <sz val="8"/>
            <color indexed="81"/>
            <rFont val="Tahoma"/>
            <family val="2"/>
          </rPr>
          <t>8/6/12:</t>
        </r>
        <r>
          <rPr>
            <sz val="8"/>
            <color indexed="81"/>
            <rFont val="Tahoma"/>
            <family val="2"/>
          </rPr>
          <t xml:space="preserve"> SG&amp;A would be $1.478B if mgmt hits sales goal of 7% growth and 50bps SG&amp;A lvg</t>
        </r>
      </text>
    </comment>
    <comment ref="CQ34" authorId="13">
      <text>
        <r>
          <rPr>
            <b/>
            <sz val="8"/>
            <color indexed="81"/>
            <rFont val="Tahoma"/>
            <family val="2"/>
          </rPr>
          <t xml:space="preserve">3/22/13: </t>
        </r>
        <r>
          <rPr>
            <sz val="8"/>
            <color indexed="81"/>
            <rFont val="Tahoma"/>
            <family val="2"/>
          </rPr>
          <t>increase due to store occupancy costs related to new and existing stores, increased marketing spending, and higher labor costs</t>
        </r>
        <r>
          <rPr>
            <b/>
            <sz val="8"/>
            <color indexed="81"/>
            <rFont val="Tahoma"/>
            <family val="2"/>
          </rPr>
          <t xml:space="preserve">
5/24/12: </t>
        </r>
        <r>
          <rPr>
            <sz val="8"/>
            <color indexed="81"/>
            <rFont val="Tahoma"/>
            <family val="2"/>
          </rPr>
          <t>1Q: SGA expense growth somewhat below sales growth leading to 0.5 pt improvement</t>
        </r>
        <r>
          <rPr>
            <b/>
            <sz val="8"/>
            <color indexed="81"/>
            <rFont val="Tahoma"/>
            <family val="2"/>
          </rPr>
          <t xml:space="preserve">
3/21/12: </t>
        </r>
        <r>
          <rPr>
            <sz val="8"/>
            <color indexed="81"/>
            <rFont val="Tahoma"/>
            <family val="2"/>
          </rPr>
          <t xml:space="preserve">CFO: if can achieve HSD they would expect 50bps of annual EBIT improvement. need 5-6% comp to leverage
</t>
        </r>
        <r>
          <rPr>
            <sz val="8"/>
            <color indexed="81"/>
            <rFont val="Tahoma"/>
            <family val="2"/>
          </rPr>
          <t xml:space="preserve">
</t>
        </r>
        <r>
          <rPr>
            <b/>
            <sz val="8"/>
            <color indexed="81"/>
            <rFont val="Tahoma"/>
            <family val="2"/>
          </rPr>
          <t>3/20/12:</t>
        </r>
        <r>
          <rPr>
            <sz val="8"/>
            <color indexed="81"/>
            <rFont val="Tahoma"/>
            <family val="2"/>
          </rPr>
          <t xml:space="preserve"> Plan should improve expense ratio to be comparable or better than the 80 bps reduction achieved in 2011</t>
        </r>
      </text>
    </comment>
    <comment ref="CR34" authorId="13">
      <text>
        <r>
          <rPr>
            <b/>
            <sz val="8"/>
            <color indexed="81"/>
            <rFont val="Tahoma"/>
            <family val="2"/>
          </rPr>
          <t>kahng:</t>
        </r>
        <r>
          <rPr>
            <sz val="8"/>
            <color indexed="81"/>
            <rFont val="Tahoma"/>
            <family val="2"/>
          </rPr>
          <t xml:space="preserve">
3/20/12: HSD expense growth including increased spending for new stores, labor, occupancy and marketing. </t>
        </r>
      </text>
    </comment>
    <comment ref="CT34" authorId="7">
      <text>
        <r>
          <rPr>
            <b/>
            <sz val="9"/>
            <color indexed="81"/>
            <rFont val="Tahoma"/>
            <family val="2"/>
          </rPr>
          <t>turleamb:</t>
        </r>
        <r>
          <rPr>
            <sz val="9"/>
            <color indexed="81"/>
            <rFont val="Tahoma"/>
            <family val="2"/>
          </rPr>
          <t xml:space="preserve">
10-K: +$34,628,000 due to sales commissions and incentive compensation
+$32,577,000 related to new and existing stores. 
Changes in F/X decreased SG&amp;A expenses by 3%</t>
        </r>
      </text>
    </comment>
    <comment ref="CU34" authorId="10">
      <text>
        <r>
          <rPr>
            <b/>
            <sz val="8"/>
            <color indexed="81"/>
            <rFont val="Tahoma"/>
            <family val="2"/>
          </rPr>
          <t xml:space="preserve">turleamb:
</t>
        </r>
        <r>
          <rPr>
            <sz val="8"/>
            <color indexed="81"/>
            <rFont val="Tahoma"/>
            <family val="2"/>
          </rPr>
          <t>11/26/13: expect improved SG&amp;A expense ratio for the year</t>
        </r>
        <r>
          <rPr>
            <b/>
            <sz val="8"/>
            <color indexed="81"/>
            <rFont val="Tahoma"/>
            <family val="2"/>
          </rPr>
          <t xml:space="preserve">
</t>
        </r>
        <r>
          <rPr>
            <sz val="8"/>
            <color indexed="81"/>
            <rFont val="Tahoma"/>
            <family val="2"/>
          </rPr>
          <t>9/10/13 @ GS conference: 60% of SG&amp;A is fixed</t>
        </r>
        <r>
          <rPr>
            <b/>
            <sz val="8"/>
            <color indexed="81"/>
            <rFont val="Tahoma"/>
            <family val="2"/>
          </rPr>
          <t xml:space="preserve">
</t>
        </r>
        <r>
          <rPr>
            <sz val="8"/>
            <color indexed="81"/>
            <rFont val="Tahoma"/>
            <family val="2"/>
          </rPr>
          <t>8/27/13: expect SG&amp;A expense growth slightly less than sales growth; leverage on fixed costs.</t>
        </r>
        <r>
          <rPr>
            <b/>
            <sz val="8"/>
            <color indexed="81"/>
            <rFont val="Tahoma"/>
            <family val="2"/>
          </rPr>
          <t xml:space="preserve">
</t>
        </r>
        <r>
          <rPr>
            <sz val="8"/>
            <color indexed="81"/>
            <rFont val="Tahoma"/>
            <family val="2"/>
          </rPr>
          <t>5/28/13:</t>
        </r>
        <r>
          <rPr>
            <b/>
            <sz val="8"/>
            <color indexed="81"/>
            <rFont val="Tahoma"/>
            <family val="2"/>
          </rPr>
          <t xml:space="preserve"> </t>
        </r>
        <r>
          <rPr>
            <sz val="8"/>
            <color indexed="81"/>
            <rFont val="Tahoma"/>
            <family val="2"/>
          </rPr>
          <t>expect leverage on fixed costs</t>
        </r>
        <r>
          <rPr>
            <sz val="8"/>
            <color indexed="81"/>
            <rFont val="Tahoma"/>
            <family val="2"/>
          </rPr>
          <t xml:space="preserve">
3/22/13: expect a modest improvement in the SG&amp;A expense ratio, due to sales leverage on fixed costs,</t>
        </r>
      </text>
    </comment>
    <comment ref="CV34" authorId="7">
      <text>
        <r>
          <rPr>
            <b/>
            <sz val="9"/>
            <color indexed="81"/>
            <rFont val="Tahoma"/>
            <family val="2"/>
          </rPr>
          <t>turleamb:</t>
        </r>
        <r>
          <rPr>
            <sz val="9"/>
            <color indexed="81"/>
            <rFont val="Tahoma"/>
            <family val="2"/>
          </rPr>
          <t xml:space="preserve">
3/21/14: +9% CC</t>
        </r>
      </text>
    </comment>
    <comment ref="CY34" authorId="7">
      <text>
        <r>
          <rPr>
            <b/>
            <sz val="9"/>
            <color indexed="81"/>
            <rFont val="Tahoma"/>
            <family val="2"/>
          </rPr>
          <t>turleamb:</t>
        </r>
        <r>
          <rPr>
            <sz val="9"/>
            <color indexed="81"/>
            <rFont val="Tahoma"/>
            <family val="2"/>
          </rPr>
          <t xml:space="preserve">
8/27/14: Expect some improvement in SG&amp;A ratio FY despite  considerably higher marketing spending. 
5/20/14: reiterate guidance: expect SG&amp;A expense growth below the rate of sales growth
3/21/14: guidance: expecting some improvement in SG&amp;A expense ratio from sales leverage on fixed costs. </t>
        </r>
      </text>
    </comment>
    <comment ref="CZ34" authorId="7">
      <text>
        <r>
          <rPr>
            <b/>
            <sz val="9"/>
            <color indexed="81"/>
            <rFont val="Tahoma"/>
            <family val="2"/>
          </rPr>
          <t>turleamb:</t>
        </r>
        <r>
          <rPr>
            <sz val="9"/>
            <color indexed="81"/>
            <rFont val="Tahoma"/>
            <family val="2"/>
          </rPr>
          <t xml:space="preserve">
3/20/15: SG&amp;A expenses increased 6% in the full year
due to increased marketing spending as well as labor and other store-related
costs. 
8/27/14: continue to expect SG&amp;A expense growth will be less than sales growth
5/20/14: guidance: expect SG&amp;A growth to be below rate of sales growth</t>
        </r>
      </text>
    </comment>
    <comment ref="DB34" authorId="10">
      <text>
        <r>
          <rPr>
            <b/>
            <sz val="9"/>
            <color indexed="81"/>
            <rFont val="Tahoma"/>
            <family val="2"/>
          </rPr>
          <t>casselau:
11/24/15:</t>
        </r>
        <r>
          <rPr>
            <sz val="9"/>
            <color indexed="81"/>
            <rFont val="Tahoma"/>
            <family val="2"/>
          </rPr>
          <t xml:space="preserve"> YTD SG&amp;A expenses increased $48.9 million, or 4%, reflecting increased marketing expenses of $25.9 million, increased store occupancy and depreciation expenses of $10.7 million (related to new and existing stores) and increased labor costs of $2.9 million (which includes increased costs for U.S. pension and postretirement benefit plans partly offset by reduced variable labor costs, including incentive compensation and sales commissions).
5/27/15: expect $30M increase in pension expense</t>
        </r>
      </text>
    </comment>
    <comment ref="DC34" authorId="10">
      <text>
        <r>
          <rPr>
            <b/>
            <sz val="9"/>
            <color indexed="81"/>
            <rFont val="Tahoma"/>
            <family val="2"/>
          </rPr>
          <t>casselau:</t>
        </r>
        <r>
          <rPr>
            <sz val="9"/>
            <color indexed="81"/>
            <rFont val="Tahoma"/>
            <family val="2"/>
          </rPr>
          <t xml:space="preserve">
8/27/15: "While we expect the SG&amp;A expense ratio to increase in the full year
due to the lack of sales leverage we do expect some improvement in the ratio in the fourth quarter."</t>
        </r>
      </text>
    </comment>
    <comment ref="DD34" authorId="0">
      <text>
        <r>
          <rPr>
            <b/>
            <sz val="9"/>
            <color indexed="81"/>
            <rFont val="Tahoma"/>
            <family val="2"/>
          </rPr>
          <t>3/18/16: Excluding charges realted to Sierra Lione loan, SG&amp;A expenses rose 2% in the full year due to higher marketing spending and store-related and pension costs, partly offset by a benefit from the translation effect of the strong U.S. dollar. In addition, marketing spending rose in the full year to represent 7.4% of net sales from 6.7% in the prior year
5/27/15: continue to expect that SG&amp;A expenses will grow at a rate exceeding sales growth for the full year, but do expect some improvement in the ratio of SG&amp;A expenses to sales in 2H15</t>
        </r>
        <r>
          <rPr>
            <sz val="9"/>
            <color indexed="81"/>
            <rFont val="Tahoma"/>
            <family val="2"/>
          </rPr>
          <t xml:space="preserve">
3/31/15 mgmt meeting: Ad spend will be incrementally higher this year from the investment in advertising for wacthes. Spend will be weighted towards 1H. 
3/20/15: Guidance 4. Selling, general and administrative expenses increasing at a greater rate than sales growth, partly due to expansion and higher marketing expenses. In addition, overall expense growth includes the effect of a noncash increase in employee-benefit-related expenses of $30 million, or $0.15 per diluted share after-tax, tied to changes in actuarial assumptions for the Company's U.S. pension and postretirement benefit plans. </t>
        </r>
      </text>
    </comment>
    <comment ref="DG34" authorId="10">
      <text>
        <r>
          <rPr>
            <b/>
            <sz val="9"/>
            <color indexed="81"/>
            <rFont val="Tahoma"/>
            <family val="2"/>
          </rPr>
          <t>casselau:</t>
        </r>
        <r>
          <rPr>
            <sz val="9"/>
            <color indexed="81"/>
            <rFont val="Tahoma"/>
            <family val="2"/>
          </rPr>
          <t xml:space="preserve">
3/18/16: SG&amp;A expense growth (despite some benefit from lower pension costs) exceeding sales growth mostly due to higher store-related costs</t>
        </r>
      </text>
    </comment>
    <comment ref="DH34" authorId="8">
      <text>
        <r>
          <rPr>
            <b/>
            <sz val="9"/>
            <color indexed="81"/>
            <rFont val="Tahoma"/>
            <family val="2"/>
          </rPr>
          <t>Cassel, Lauren (Research):</t>
        </r>
        <r>
          <rPr>
            <sz val="9"/>
            <color indexed="81"/>
            <rFont val="Tahoma"/>
            <family val="2"/>
          </rPr>
          <t xml:space="preserve">
3/17/17: reflects increases in store occupancy and depreciation expesnes, labor and incentive compensation costs</t>
        </r>
      </text>
    </comment>
    <comment ref="DK34" authorId="8">
      <text>
        <r>
          <rPr>
            <b/>
            <sz val="9"/>
            <color indexed="81"/>
            <rFont val="Tahoma"/>
            <family val="2"/>
          </rPr>
          <t>Cassel, Lauren (Research):
8/24/17: Thus, for the full year, we continue to assume SG&amp;A expenses will increase at a slightly faster rate than sales growth as we invest behind our new signature women's fragrance, the launch of our new luxury accessories offerings and additional jewelry SKUs.</t>
        </r>
        <r>
          <rPr>
            <sz val="9"/>
            <color indexed="81"/>
            <rFont val="Tahoma"/>
            <family val="2"/>
          </rPr>
          <t xml:space="preserve">
3/17/17: guidance: SG&amp;A expenses increasing slightly faster than sales growth</t>
        </r>
      </text>
    </comment>
    <comment ref="DL34" authorId="8">
      <text>
        <r>
          <rPr>
            <b/>
            <sz val="9"/>
            <color indexed="81"/>
            <rFont val="Tahoma"/>
            <family val="2"/>
          </rPr>
          <t>Cassel, Lauren (Research):</t>
        </r>
        <r>
          <rPr>
            <sz val="9"/>
            <color indexed="81"/>
            <rFont val="Tahoma"/>
            <family val="2"/>
          </rPr>
          <t xml:space="preserve">
3/16/18: result of higher labor and incentive compensation costs, higher store occupancy and depreciation expenses and increased marketing spending</t>
        </r>
      </text>
    </comment>
    <comment ref="DP34" authorId="8">
      <text>
        <r>
          <rPr>
            <b/>
            <sz val="9"/>
            <color indexed="81"/>
            <rFont val="Tahoma"/>
            <family val="2"/>
          </rPr>
          <t>Cassel, Lauren (Research):</t>
        </r>
        <r>
          <rPr>
            <sz val="9"/>
            <color indexed="81"/>
            <rFont val="Tahoma"/>
            <family val="2"/>
          </rPr>
          <t xml:space="preserve">
1/17/18: Management also anticipates increased levels of spending in a number of areas, including technology, marketing communications, visual merchandising, digital, and store presentations, which it believes are necessary to achieve its longer term sales, margin and earnings growth objectives.</t>
        </r>
      </text>
    </comment>
    <comment ref="AT43" authorId="3">
      <text>
        <r>
          <rPr>
            <b/>
            <sz val="8"/>
            <color indexed="81"/>
            <rFont val="Tahoma"/>
            <family val="2"/>
          </rPr>
          <t>pw64212:</t>
        </r>
        <r>
          <rPr>
            <sz val="8"/>
            <color indexed="81"/>
            <rFont val="Tahoma"/>
            <family val="2"/>
          </rPr>
          <t xml:space="preserve">
factset states 13.4</t>
        </r>
      </text>
    </comment>
    <comment ref="CZ48" authorId="7">
      <text>
        <r>
          <rPr>
            <b/>
            <sz val="9"/>
            <color indexed="81"/>
            <rFont val="Tahoma"/>
            <family val="2"/>
          </rPr>
          <t>turleamb:</t>
        </r>
        <r>
          <rPr>
            <sz val="9"/>
            <color indexed="81"/>
            <rFont val="Tahoma"/>
            <family val="2"/>
          </rPr>
          <t xml:space="preserve">
5/20/14: m growth reflects sizable increases in sales and gross profit and leveraging SG&amp;A expenses which was partly driven by the timing of marketing spending. </t>
        </r>
      </text>
    </comment>
    <comment ref="CQ49" authorId="10">
      <text>
        <r>
          <rPr>
            <b/>
            <sz val="8"/>
            <color indexed="81"/>
            <rFont val="Tahoma"/>
            <family val="2"/>
          </rPr>
          <t>casselau:</t>
        </r>
        <r>
          <rPr>
            <sz val="8"/>
            <color indexed="81"/>
            <rFont val="Tahoma"/>
            <family val="2"/>
          </rPr>
          <t xml:space="preserve">
anticipated the reduced operating margin due to continued, but moderating, high product input costs and a lack of sales leverage on fixed costs</t>
        </r>
      </text>
    </comment>
    <comment ref="CM51" authorId="15">
      <text>
        <r>
          <rPr>
            <b/>
            <sz val="8"/>
            <color indexed="81"/>
            <rFont val="Tahoma"/>
            <family val="2"/>
          </rPr>
          <t>solejay:
1/2011: 25.8%</t>
        </r>
        <r>
          <rPr>
            <sz val="8"/>
            <color indexed="81"/>
            <rFont val="Tahoma"/>
            <family val="2"/>
          </rPr>
          <t xml:space="preserve">
11/2011: 4Q guidance: OM equal to LY</t>
        </r>
      </text>
    </comment>
    <comment ref="CU51" authorId="7">
      <text>
        <r>
          <rPr>
            <b/>
            <sz val="8"/>
            <color indexed="81"/>
            <rFont val="Tahoma"/>
            <family val="2"/>
          </rPr>
          <t>turleamb:</t>
        </r>
        <r>
          <rPr>
            <sz val="8"/>
            <color indexed="81"/>
            <rFont val="Tahoma"/>
            <family val="2"/>
          </rPr>
          <t xml:space="preserve">
11/26/13: implied expanded OM from guidance
9/10/13: GS Conference: With a decent sales increase (+HSD), it's very realistic they could see increases in operating margin next year (but not giving guidance). </t>
        </r>
      </text>
    </comment>
    <comment ref="BL52" authorId="3">
      <text>
        <r>
          <rPr>
            <b/>
            <sz val="8"/>
            <color indexed="81"/>
            <rFont val="Tahoma"/>
            <family val="2"/>
          </rPr>
          <t>pw64212:</t>
        </r>
        <r>
          <rPr>
            <sz val="8"/>
            <color indexed="81"/>
            <rFont val="Tahoma"/>
            <family val="2"/>
          </rPr>
          <t xml:space="preserve">
•   U.S. Retail – decreased 2 percentage points primarily due to shifts in product sales mix toward higher-priced, lower margin diamond jewelry and higher inventory costs; 
  •   International Retail – decreased 3 percentage points primarily due to product sales mix, higher inventory costs, increased import tariffs on U.S. manufactured products shipped to Europe and increased SG&amp;A expenses; 
•   Direct Marketing – decreased 2 percentage points primarily due to lower sales and higher fixed expenses, mostly associated with the Customer Fulfillment Center, a distribution facility    Other – increased loss of 14 percentage points primarily due to impairment and exit costs incurred in 2004, expenses associated with the start-up and development of new specialty retail concepts and sales of diamonds unsuitable for the Company’s production, which earn a minimal to no gross margin. </t>
        </r>
      </text>
    </comment>
    <comment ref="BP52" authorId="3">
      <text>
        <r>
          <rPr>
            <b/>
            <sz val="8"/>
            <color indexed="81"/>
            <rFont val="Tahoma"/>
            <family val="2"/>
          </rPr>
          <t>pw64212:</t>
        </r>
        <r>
          <rPr>
            <sz val="8"/>
            <color indexed="81"/>
            <rFont val="Tahoma"/>
            <family val="2"/>
          </rPr>
          <t xml:space="preserve">
U.S. Retail – increased 2 percentage points primarily due to increased sales and gross margin and the leveraging of fixed expenses; 
International Retail – decreased 1 percentage point primarily due to a decline in gross margin (due to increased product costs); 
Direct Marketing – increased 5 percentage points primarily due to increased sales and gross margin and the leveraging of fixed expenses; and 
Other – reduced loss of 10 percentage points primarily due to the absence of impairment and exit costs incurred in 2004.  
</t>
        </r>
      </text>
    </comment>
    <comment ref="BT52" authorId="3">
      <text>
        <r>
          <rPr>
            <b/>
            <sz val="8"/>
            <color indexed="81"/>
            <rFont val="Tahoma"/>
            <family val="2"/>
          </rPr>
          <t>pw64212:</t>
        </r>
        <r>
          <rPr>
            <sz val="8"/>
            <color indexed="81"/>
            <rFont val="Tahoma"/>
            <family val="2"/>
          </rPr>
          <t xml:space="preserve">
U.S. retail decreased 2% primarily due to a decline in GM and higher SG&amp;A;
International retail increased 2% primarily due to a improved GM and the leveraging of oper. Exp.
Direct Markeing decreased 1% due to decline in GM
Other: increased loss of 5% primarily due to continued inv. in speciality stores and greater than expected loss from Little Sw.</t>
        </r>
      </text>
    </comment>
    <comment ref="BW52" authorId="2">
      <text>
        <r>
          <rPr>
            <b/>
            <sz val="8"/>
            <color indexed="81"/>
            <rFont val="Tahoma"/>
            <family val="2"/>
          </rPr>
          <t>mm98285:</t>
        </r>
        <r>
          <rPr>
            <sz val="8"/>
            <color indexed="81"/>
            <rFont val="Tahoma"/>
            <family val="2"/>
          </rPr>
          <t xml:space="preserve">
3/07: expect OM to increase 50 bps
</t>
        </r>
        <r>
          <rPr>
            <b/>
            <sz val="8"/>
            <color indexed="81"/>
            <rFont val="Tahoma"/>
            <family val="2"/>
          </rPr>
          <t xml:space="preserve">Ping Wang:
</t>
        </r>
        <r>
          <rPr>
            <sz val="8"/>
            <color indexed="81"/>
            <rFont val="Tahoma"/>
            <family val="2"/>
          </rPr>
          <t>improve 50 bps through a combination of a higher gross margin and SG&amp;A leverage</t>
        </r>
      </text>
    </comment>
    <comment ref="CA52" authorId="2">
      <text>
        <r>
          <rPr>
            <b/>
            <sz val="8"/>
            <color indexed="81"/>
            <rFont val="Tahoma"/>
            <family val="2"/>
          </rPr>
          <t>mm98285:</t>
        </r>
        <r>
          <rPr>
            <sz val="8"/>
            <color indexed="81"/>
            <rFont val="Tahoma"/>
            <family val="2"/>
          </rPr>
          <t xml:space="preserve">
11/08: expect 17-18%
8/08: expect to be up</t>
        </r>
      </text>
    </comment>
    <comment ref="CE52" authorId="2">
      <text>
        <r>
          <rPr>
            <b/>
            <sz val="8"/>
            <color indexed="81"/>
            <rFont val="Tahoma"/>
            <family val="2"/>
          </rPr>
          <t>mm98285:</t>
        </r>
        <r>
          <rPr>
            <sz val="8"/>
            <color indexed="81"/>
            <rFont val="Tahoma"/>
            <family val="2"/>
          </rPr>
          <t xml:space="preserve">
11/09: expect down vs. LY's 17.8% but down less than originally thought
9/09: Look for 14-15%
8/09: expect down with even contribution from GM and SG&amp;A
3/09: expect down a few points (~3) on lower GM &amp; higher SG&amp;A</t>
        </r>
      </text>
    </comment>
    <comment ref="CI52" authorId="4">
      <text>
        <r>
          <rPr>
            <b/>
            <sz val="8"/>
            <color indexed="81"/>
            <rFont val="Tahoma"/>
            <family val="2"/>
          </rPr>
          <t>ns66486:</t>
        </r>
        <r>
          <rPr>
            <sz val="8"/>
            <color indexed="81"/>
            <rFont val="Tahoma"/>
            <family val="2"/>
          </rPr>
          <t xml:space="preserve">
5/10: expect increase in the operating margin primarily due to higher gross margin, as well as improved SG&amp;A rate</t>
        </r>
      </text>
    </comment>
    <comment ref="CM52" authorId="5">
      <text>
        <r>
          <rPr>
            <sz val="8"/>
            <color indexed="81"/>
            <rFont val="Tahoma"/>
            <family val="2"/>
          </rPr>
          <t>11/2011: expect to increase more than one full point primarily due to an improved ratio of SG&amp;A expenses (excluding nonrecurring items) to sales
8/2011: expect to increase more than one full point due to an improved SG&amp;A expense ratio and a higher gross margin
5/2011: expect to increase roughly 50 bps due to an improved ratio of SG&amp;A expenses to sales and a higher gross margin
3/2011: expect to increase roughly 50 bps</t>
        </r>
      </text>
    </comment>
    <comment ref="CQ52" authorId="13">
      <text>
        <r>
          <rPr>
            <b/>
            <sz val="8"/>
            <color indexed="81"/>
            <rFont val="Tahoma"/>
            <family val="2"/>
          </rPr>
          <t xml:space="preserve">11/29/12: </t>
        </r>
        <r>
          <rPr>
            <sz val="8"/>
            <color indexed="81"/>
            <rFont val="Tahoma"/>
            <family val="2"/>
          </rPr>
          <t>below LY  due to a decline in GM</t>
        </r>
        <r>
          <rPr>
            <b/>
            <sz val="8"/>
            <color indexed="81"/>
            <rFont val="Tahoma"/>
            <family val="2"/>
          </rPr>
          <t xml:space="preserve">
8/27/12: </t>
        </r>
        <r>
          <rPr>
            <sz val="8"/>
            <color indexed="81"/>
            <rFont val="Tahoma"/>
            <family val="2"/>
          </rPr>
          <t>below 20.6% LY  due to a decline in GM and SG&amp;A expense growth</t>
        </r>
        <r>
          <rPr>
            <b/>
            <sz val="8"/>
            <color indexed="81"/>
            <rFont val="Tahoma"/>
            <family val="2"/>
          </rPr>
          <t xml:space="preserve">
5/24/12: </t>
        </r>
        <r>
          <rPr>
            <sz val="8"/>
            <color indexed="81"/>
            <rFont val="Tahoma"/>
            <family val="2"/>
          </rPr>
          <t>Q1: op marg to be modestly lower than LY 20.6%</t>
        </r>
        <r>
          <rPr>
            <b/>
            <sz val="8"/>
            <color indexed="81"/>
            <rFont val="Tahoma"/>
            <family val="2"/>
          </rPr>
          <t xml:space="preserve">
3/21/12: </t>
        </r>
        <r>
          <rPr>
            <sz val="8"/>
            <color indexed="81"/>
            <rFont val="Tahoma"/>
            <family val="2"/>
          </rPr>
          <t>CFO: if can achieve HSD they would expect 50bps of annual EBIT improvement. need 5-6% comp to leverage</t>
        </r>
        <r>
          <rPr>
            <b/>
            <sz val="8"/>
            <color indexed="81"/>
            <rFont val="Tahoma"/>
            <family val="2"/>
          </rPr>
          <t xml:space="preserve">
3/20/12: </t>
        </r>
        <r>
          <rPr>
            <sz val="8"/>
            <color indexed="81"/>
            <rFont val="Tahoma"/>
            <family val="2"/>
          </rPr>
          <t xml:space="preserve">expected decline in GM and improvement in SGA expense ratio will likely result in the operating margin being unchanged from 2011 20.6% excluding nonrecurring itmes </t>
        </r>
      </text>
    </comment>
    <comment ref="CU52" authorId="7">
      <text>
        <r>
          <rPr>
            <b/>
            <sz val="8"/>
            <color indexed="81"/>
            <rFont val="Tahoma"/>
            <family val="2"/>
          </rPr>
          <t>turleamb:</t>
        </r>
        <r>
          <rPr>
            <sz val="8"/>
            <color indexed="81"/>
            <rFont val="Tahoma"/>
            <family val="2"/>
          </rPr>
          <t xml:space="preserve">
11/26/13: Guidance: growing at a higher rate than sales growth due to improvements in GM and SG&amp;A expense ratio</t>
        </r>
      </text>
    </comment>
    <comment ref="CY52" authorId="7">
      <text>
        <r>
          <rPr>
            <b/>
            <sz val="9"/>
            <color indexed="81"/>
            <rFont val="Tahoma"/>
            <family val="2"/>
          </rPr>
          <t>turleamb:</t>
        </r>
        <r>
          <rPr>
            <sz val="9"/>
            <color indexed="81"/>
            <rFont val="Tahoma"/>
            <family val="2"/>
          </rPr>
          <t xml:space="preserve">
11/25/14: Higher operating margin y/y due to higher GM. 
8/27/14: reiterated guidance of OM increasing due to higher GM and SG&amp;A expense leverage. 
5/20/14: reiterated guidance OM increasing due to higher GM and SG&amp;A growth less than sales growth
3/21/14: guided OM increasing due to higher GM and SG&amp;A growth less than sales growth</t>
        </r>
      </text>
    </comment>
    <comment ref="DC52" authorId="0">
      <text>
        <r>
          <rPr>
            <b/>
            <sz val="9"/>
            <color indexed="81"/>
            <rFont val="Tahoma"/>
            <family val="2"/>
          </rPr>
          <t>Turley, Amber (Research):</t>
        </r>
        <r>
          <rPr>
            <sz val="9"/>
            <color indexed="81"/>
            <rFont val="Tahoma"/>
            <family val="2"/>
          </rPr>
          <t xml:space="preserve">
3/20/15: Guidance: earnings from operations flat y/y</t>
        </r>
      </text>
    </comment>
    <comment ref="DG52" authorId="10">
      <text>
        <r>
          <rPr>
            <b/>
            <sz val="9"/>
            <color indexed="81"/>
            <rFont val="Tahoma"/>
            <family val="2"/>
          </rPr>
          <t xml:space="preserve">casselau:
8/25/16; 11/29/16: reiterated guidance
5/25/16: guidance: </t>
        </r>
        <r>
          <rPr>
            <sz val="9"/>
            <color indexed="81"/>
            <rFont val="Tahoma"/>
            <family val="2"/>
          </rPr>
          <t>operating margin below the prior year's 19.7% due to an expected increase in gross margin more than offset by SG&amp;A expense growth
3/18/16: operating margin below the prior year's 19.7% (excluding the prior year's charges) due to an expected increase in gross margin but with SG&amp;A expense growth (despite some benefit from lower pension costs) exceeding sales growth</t>
        </r>
      </text>
    </comment>
    <comment ref="DK52" authorId="8">
      <text>
        <r>
          <rPr>
            <b/>
            <sz val="9"/>
            <color indexed="81"/>
            <rFont val="Tahoma"/>
            <family val="2"/>
          </rPr>
          <t xml:space="preserve">Cassel, Lauren (Research):
1/17/18: guidance: </t>
        </r>
        <r>
          <rPr>
            <sz val="9"/>
            <color indexed="81"/>
            <rFont val="Tahoma"/>
            <family val="2"/>
          </rPr>
          <t xml:space="preserve">operating margin above the prior year </t>
        </r>
        <r>
          <rPr>
            <b/>
            <sz val="9"/>
            <color indexed="81"/>
            <rFont val="Tahoma"/>
            <family val="2"/>
          </rPr>
          <t xml:space="preserve">
11/29/17: guidance: </t>
        </r>
        <r>
          <rPr>
            <sz val="9"/>
            <color indexed="81"/>
            <rFont val="Tahoma"/>
            <family val="2"/>
          </rPr>
          <t xml:space="preserve">operating margin in line with gross margin unchanged y/y
</t>
        </r>
        <r>
          <rPr>
            <b/>
            <sz val="9"/>
            <color indexed="81"/>
            <rFont val="Tahoma"/>
            <family val="2"/>
          </rPr>
          <t xml:space="preserve">
8/24/17: </t>
        </r>
        <r>
          <rPr>
            <sz val="9"/>
            <color indexed="81"/>
            <rFont val="Tahoma"/>
            <family val="2"/>
          </rPr>
          <t xml:space="preserve">operating margin </t>
        </r>
        <r>
          <rPr>
            <b/>
            <sz val="9"/>
            <color indexed="81"/>
            <rFont val="Tahoma"/>
            <family val="2"/>
          </rPr>
          <t>in line</t>
        </r>
        <r>
          <rPr>
            <sz val="9"/>
            <color indexed="81"/>
            <rFont val="Tahoma"/>
            <family val="2"/>
          </rPr>
          <t xml:space="preserve"> with the prior year due to an expected increase in gross margin offset by SG&amp;A expense growth higher than sales growth
3/17/17: guidance: EBIT margin </t>
        </r>
        <r>
          <rPr>
            <b/>
            <sz val="9"/>
            <color indexed="81"/>
            <rFont val="Tahoma"/>
            <family val="2"/>
          </rPr>
          <t>above</t>
        </r>
        <r>
          <rPr>
            <sz val="9"/>
            <color indexed="81"/>
            <rFont val="Tahoma"/>
            <family val="2"/>
          </rPr>
          <t xml:space="preserve"> LY entirely due to an expected increase in GM, with SG&amp;A expenses increasing slightly faster than sales growth </t>
        </r>
      </text>
    </comment>
    <comment ref="DN52" authorId="8">
      <text>
        <r>
          <rPr>
            <b/>
            <sz val="9"/>
            <color indexed="81"/>
            <rFont val="Tahoma"/>
            <family val="2"/>
          </rPr>
          <t>Cassel, Lauren (Research):</t>
        </r>
        <r>
          <rPr>
            <sz val="9"/>
            <color indexed="81"/>
            <rFont val="Tahoma"/>
            <family val="2"/>
          </rPr>
          <t xml:space="preserve">
3/16/18: guidance: EBIT equal to or slightly below the prior year</t>
        </r>
      </text>
    </comment>
    <comment ref="DO52" authorId="8">
      <text>
        <r>
          <rPr>
            <b/>
            <sz val="9"/>
            <color indexed="81"/>
            <rFont val="Tahoma"/>
            <family val="2"/>
          </rPr>
          <t>Cassel, Lauren (Research):</t>
        </r>
        <r>
          <rPr>
            <sz val="9"/>
            <color indexed="81"/>
            <rFont val="Tahoma"/>
            <family val="2"/>
          </rPr>
          <t xml:space="preserve">
3/16/18: operating margin </t>
        </r>
        <r>
          <rPr>
            <b/>
            <sz val="9"/>
            <color indexed="81"/>
            <rFont val="Tahoma"/>
            <family val="2"/>
          </rPr>
          <t xml:space="preserve">below the prior year </t>
        </r>
        <r>
          <rPr>
            <sz val="9"/>
            <color indexed="81"/>
            <rFont val="Tahoma"/>
            <family val="2"/>
          </rPr>
          <t xml:space="preserve">as a result of SG&amp;A expense growth (affected by higher investment spending in technology, marketing communications, visual merchandising, digital and store presentations) at a higher rate than sales growth, partly offset by a </t>
        </r>
        <r>
          <rPr>
            <b/>
            <sz val="9"/>
            <color indexed="81"/>
            <rFont val="Tahoma"/>
            <family val="2"/>
          </rPr>
          <t>higher gross margin</t>
        </r>
      </text>
    </comment>
    <comment ref="DP52" authorId="8">
      <text>
        <r>
          <rPr>
            <b/>
            <sz val="9"/>
            <color indexed="81"/>
            <rFont val="Tahoma"/>
            <family val="2"/>
          </rPr>
          <t>Cassel, Lauren (Research):</t>
        </r>
        <r>
          <rPr>
            <sz val="9"/>
            <color indexed="81"/>
            <rFont val="Tahoma"/>
            <family val="2"/>
          </rPr>
          <t xml:space="preserve">
3/16/18: guidance: EBIT equal to or slightly below the prior year</t>
        </r>
      </text>
    </comment>
    <comment ref="BN56" authorId="2">
      <text>
        <r>
          <rPr>
            <b/>
            <sz val="8"/>
            <color indexed="81"/>
            <rFont val="Tahoma"/>
            <family val="2"/>
          </rPr>
          <t>mm98285:</t>
        </r>
        <r>
          <rPr>
            <sz val="8"/>
            <color indexed="81"/>
            <rFont val="Tahoma"/>
            <family val="2"/>
          </rPr>
          <t xml:space="preserve">
interest income, gains/losses on investment activities and foreign currency transactions and minority interest income/exp</t>
        </r>
      </text>
    </comment>
    <comment ref="BR58" authorId="2">
      <text>
        <r>
          <rPr>
            <b/>
            <sz val="8"/>
            <color indexed="81"/>
            <rFont val="Tahoma"/>
            <family val="2"/>
          </rPr>
          <t>mm98285:</t>
        </r>
        <r>
          <rPr>
            <sz val="8"/>
            <color indexed="81"/>
            <rFont val="Tahoma"/>
            <family val="2"/>
          </rPr>
          <t xml:space="preserve">
$3.975 prior to restatement
</t>
        </r>
      </text>
    </comment>
    <comment ref="BV58" authorId="3">
      <text>
        <r>
          <rPr>
            <b/>
            <sz val="8"/>
            <color indexed="81"/>
            <rFont val="Tahoma"/>
            <family val="2"/>
          </rPr>
          <t>pw64212:</t>
        </r>
        <r>
          <rPr>
            <sz val="8"/>
            <color indexed="81"/>
            <rFont val="Tahoma"/>
            <family val="2"/>
          </rPr>
          <t xml:space="preserve">
$3.216 prior to restatement
2007Q1: pg4</t>
        </r>
      </text>
    </comment>
    <comment ref="CD58" authorId="2">
      <text>
        <r>
          <rPr>
            <b/>
            <sz val="8"/>
            <color indexed="81"/>
            <rFont val="Tahoma"/>
            <family val="2"/>
          </rPr>
          <t>mm98285:</t>
        </r>
        <r>
          <rPr>
            <sz val="8"/>
            <color indexed="81"/>
            <rFont val="Tahoma"/>
            <family val="2"/>
          </rPr>
          <t xml:space="preserve">
increased interest exp related to recent issuances of LT debt</t>
        </r>
      </text>
    </comment>
    <comment ref="CL58" authorId="17">
      <text>
        <r>
          <rPr>
            <b/>
            <sz val="8"/>
            <color indexed="81"/>
            <rFont val="Tahoma"/>
            <family val="2"/>
          </rPr>
          <t>kimberlg:</t>
        </r>
        <r>
          <rPr>
            <sz val="8"/>
            <color indexed="81"/>
            <rFont val="Tahoma"/>
            <family val="2"/>
          </rPr>
          <t xml:space="preserve">
see debt calculation in column CQ
</t>
        </r>
      </text>
    </comment>
    <comment ref="CT58" authorId="10">
      <text>
        <r>
          <rPr>
            <b/>
            <sz val="8"/>
            <color indexed="81"/>
            <rFont val="Tahoma"/>
            <family val="2"/>
          </rPr>
          <t>casselau:</t>
        </r>
        <r>
          <rPr>
            <sz val="8"/>
            <color indexed="81"/>
            <rFont val="Tahoma"/>
            <family val="2"/>
          </rPr>
          <t xml:space="preserve">
5/28/13: increase primarily due to higher interest expense related to higher average borrowing levels </t>
        </r>
      </text>
    </comment>
    <comment ref="DB58" authorId="10">
      <text>
        <r>
          <rPr>
            <b/>
            <sz val="9"/>
            <color indexed="81"/>
            <rFont val="Tahoma"/>
            <family val="2"/>
          </rPr>
          <t>casselau:</t>
        </r>
        <r>
          <rPr>
            <sz val="9"/>
            <color indexed="81"/>
            <rFont val="Tahoma"/>
            <family val="2"/>
          </rPr>
          <t xml:space="preserve">
5/27/15: decline partly due to lower interest expense resulting from the redemption of LT debt in October 2014; to a lesser extent, also declined due to changes in FX gains/losses; had some transaction gains in 1Q - few million dollars; 2Q-4Q should be a few million higher than 1Q </t>
        </r>
      </text>
    </comment>
    <comment ref="BR59" authorId="2">
      <text>
        <r>
          <rPr>
            <b/>
            <sz val="8"/>
            <color indexed="81"/>
            <rFont val="Tahoma"/>
            <family val="2"/>
          </rPr>
          <t>mm98285:</t>
        </r>
        <r>
          <rPr>
            <sz val="8"/>
            <color indexed="81"/>
            <rFont val="Tahoma"/>
            <family val="2"/>
          </rPr>
          <t xml:space="preserve">
$5.307 prior to restatement
</t>
        </r>
      </text>
    </comment>
    <comment ref="CD59" authorId="2">
      <text>
        <r>
          <rPr>
            <b/>
            <sz val="8"/>
            <color indexed="81"/>
            <rFont val="Tahoma"/>
            <family val="2"/>
          </rPr>
          <t>mm98285:</t>
        </r>
        <r>
          <rPr>
            <sz val="8"/>
            <color indexed="81"/>
            <rFont val="Tahoma"/>
            <family val="2"/>
          </rPr>
          <t xml:space="preserve">
increased exp related to issuances of LT debt</t>
        </r>
      </text>
    </comment>
    <comment ref="CP59" authorId="6">
      <text>
        <r>
          <rPr>
            <b/>
            <sz val="8"/>
            <color indexed="81"/>
            <rFont val="Tahoma"/>
            <family val="2"/>
          </rPr>
          <t xml:space="preserve">8/27/12: </t>
        </r>
        <r>
          <rPr>
            <sz val="8"/>
            <color indexed="81"/>
            <rFont val="Tahoma"/>
            <family val="2"/>
          </rPr>
          <t>largest increase related to higher interest expense</t>
        </r>
        <r>
          <rPr>
            <b/>
            <sz val="8"/>
            <color indexed="81"/>
            <rFont val="Tahoma"/>
            <family val="2"/>
          </rPr>
          <t xml:space="preserve">
P Kahng:</t>
        </r>
        <r>
          <rPr>
            <sz val="8"/>
            <color indexed="81"/>
            <rFont val="Tahoma"/>
            <family val="2"/>
          </rPr>
          <t xml:space="preserve">
5/24/12: est was 10.0M</t>
        </r>
      </text>
    </comment>
    <comment ref="DB59" authorId="10">
      <text>
        <r>
          <rPr>
            <b/>
            <sz val="9"/>
            <color indexed="81"/>
            <rFont val="Tahoma"/>
            <family val="2"/>
          </rPr>
          <t xml:space="preserve">casselau:
8/27/15: </t>
        </r>
        <r>
          <rPr>
            <sz val="9"/>
            <color indexed="81"/>
            <rFont val="Tahoma"/>
            <family val="2"/>
          </rPr>
          <t xml:space="preserve">Declines reflected lower interest expense resulting from the redemption of long-term debt in October 2014 by using proceeds from the issuance of lower-rate long-term debt. In addition, the second quarter was affected by foreign currency transaction losses. 
5/27/15: per Mark: 2Q-4Q should be a few million higher than 1Q </t>
        </r>
      </text>
    </comment>
    <comment ref="DJ59" authorId="8">
      <text>
        <r>
          <rPr>
            <b/>
            <sz val="9"/>
            <color indexed="81"/>
            <rFont val="Tahoma"/>
            <family val="2"/>
          </rPr>
          <t>Cassel, Lauren (Research):</t>
        </r>
        <r>
          <rPr>
            <sz val="9"/>
            <color indexed="81"/>
            <rFont val="Tahoma"/>
            <family val="2"/>
          </rPr>
          <t xml:space="preserve">
8/24/17: Interest and other expenses, net declined in both the second quarter and first half due to lower interest expense and a reduction in foreign currency transaction losses. </t>
        </r>
      </text>
    </comment>
    <comment ref="BR60" authorId="2">
      <text>
        <r>
          <rPr>
            <b/>
            <sz val="8"/>
            <color indexed="81"/>
            <rFont val="Tahoma"/>
            <family val="2"/>
          </rPr>
          <t>mm98285:</t>
        </r>
        <r>
          <rPr>
            <sz val="8"/>
            <color indexed="81"/>
            <rFont val="Tahoma"/>
            <family val="2"/>
          </rPr>
          <t xml:space="preserve">
$(1.225) prior to restatement
2/08: $6.8mm gain (~$0.03 per share) from pre-tax gains associated with the sale of equity investments and marketable securities; ex gains, other expense net would have been $5.5mm</t>
        </r>
      </text>
    </comment>
    <comment ref="BZ60" authorId="2">
      <text>
        <r>
          <rPr>
            <b/>
            <sz val="8"/>
            <color indexed="81"/>
            <rFont val="Tahoma"/>
            <family val="2"/>
          </rPr>
          <t>mm98285:</t>
        </r>
        <r>
          <rPr>
            <sz val="8"/>
            <color indexed="81"/>
            <rFont val="Tahoma"/>
            <family val="2"/>
          </rPr>
          <t xml:space="preserve">
excludes $4.3M write-off of an interest-rate swap that TIF had entered into with Lehman Brothers Specil Financing Inc., as well as foreign currency transaction losses</t>
        </r>
      </text>
    </comment>
    <comment ref="CP60" authorId="6">
      <text>
        <r>
          <rPr>
            <b/>
            <sz val="8"/>
            <color indexed="81"/>
            <rFont val="Tahoma"/>
            <family val="2"/>
          </rPr>
          <t>P Kahng:</t>
        </r>
        <r>
          <rPr>
            <sz val="8"/>
            <color indexed="81"/>
            <rFont val="Tahoma"/>
            <family val="2"/>
          </rPr>
          <t xml:space="preserve">
5/24/12: est was 10.0M</t>
        </r>
      </text>
    </comment>
    <comment ref="CX60" authorId="0">
      <text>
        <r>
          <rPr>
            <b/>
            <sz val="9"/>
            <color indexed="81"/>
            <rFont val="Tahoma"/>
            <family val="2"/>
          </rPr>
          <t>Turley, Amber (Research):</t>
        </r>
        <r>
          <rPr>
            <sz val="9"/>
            <color indexed="81"/>
            <rFont val="Tahoma"/>
            <family val="2"/>
          </rPr>
          <t xml:space="preserve">
11/25/14: Company issued $550 million of long-term debt ($250
million at a 3.8% interest rate maturing in 2024 and $300 million at a 4.9%
interest rate maturing in 2044). The proceeds were primarily applied toward
prepayment of $400 million of existing long-term debt (with a weighted-average
interest rate of 9.8% and maturities ranging from 2015-2019), and the related
prepayment costs. 
MS note: based upon $14.85m interest savings annually - priced debt ~50% through the quarter.</t>
        </r>
      </text>
    </comment>
    <comment ref="DB60" authorId="10">
      <text>
        <r>
          <rPr>
            <b/>
            <sz val="9"/>
            <color indexed="81"/>
            <rFont val="Tahoma"/>
            <family val="2"/>
          </rPr>
          <t>casselau:</t>
        </r>
        <r>
          <rPr>
            <sz val="9"/>
            <color indexed="81"/>
            <rFont val="Tahoma"/>
            <family val="2"/>
          </rPr>
          <t xml:space="preserve">
11/24/15: affected by foreign currency transaction losses</t>
        </r>
      </text>
    </comment>
    <comment ref="DF60" authorId="8">
      <text>
        <r>
          <rPr>
            <b/>
            <sz val="9"/>
            <color indexed="81"/>
            <rFont val="Tahoma"/>
            <family val="2"/>
          </rPr>
          <t>Cassel, Lauren (Research):</t>
        </r>
        <r>
          <rPr>
            <sz val="9"/>
            <color indexed="81"/>
            <rFont val="Tahoma"/>
            <family val="2"/>
          </rPr>
          <t xml:space="preserve">
11/29/16: due to a combination to reduce foreign currency transaction losses and lower interest expense</t>
        </r>
      </text>
    </comment>
    <comment ref="BR61" authorId="2">
      <text>
        <r>
          <rPr>
            <b/>
            <sz val="8"/>
            <color indexed="81"/>
            <rFont val="Tahoma"/>
            <family val="2"/>
          </rPr>
          <t>mm98285:</t>
        </r>
        <r>
          <rPr>
            <sz val="8"/>
            <color indexed="81"/>
            <rFont val="Tahoma"/>
            <family val="2"/>
          </rPr>
          <t xml:space="preserve">
3/08: 2.943 prior to restatement</t>
        </r>
      </text>
    </comment>
    <comment ref="CP61" authorId="6">
      <text>
        <r>
          <rPr>
            <b/>
            <sz val="8"/>
            <color indexed="81"/>
            <rFont val="Tahoma"/>
            <family val="2"/>
          </rPr>
          <t xml:space="preserve">3/22/13: </t>
        </r>
        <r>
          <rPr>
            <sz val="8"/>
            <color indexed="81"/>
            <rFont val="Tahoma"/>
            <family val="2"/>
          </rPr>
          <t xml:space="preserve">increased avg borrowing levels have resulted in higher interest expense in both periods </t>
        </r>
        <r>
          <rPr>
            <b/>
            <sz val="8"/>
            <color indexed="81"/>
            <rFont val="Tahoma"/>
            <family val="2"/>
          </rPr>
          <t xml:space="preserve">
P Kahng:</t>
        </r>
        <r>
          <rPr>
            <sz val="8"/>
            <color indexed="81"/>
            <rFont val="Tahoma"/>
            <family val="2"/>
          </rPr>
          <t xml:space="preserve">
5/24/12: est was 10.0M</t>
        </r>
      </text>
    </comment>
    <comment ref="CT61" authorId="7">
      <text>
        <r>
          <rPr>
            <b/>
            <sz val="9"/>
            <color indexed="81"/>
            <rFont val="Tahoma"/>
            <family val="2"/>
          </rPr>
          <t>turleamb:</t>
        </r>
        <r>
          <rPr>
            <sz val="9"/>
            <color indexed="81"/>
            <rFont val="Tahoma"/>
            <family val="2"/>
          </rPr>
          <t xml:space="preserve">
3/21/14: GAAP is $8m but included $7m associated with F/X transaction gain related to the payment of the arbitration award. </t>
        </r>
      </text>
    </comment>
    <comment ref="CX61" authorId="0">
      <text>
        <r>
          <rPr>
            <b/>
            <sz val="9"/>
            <color indexed="81"/>
            <rFont val="Tahoma"/>
            <family val="2"/>
          </rPr>
          <t>Turley, Amber (Research):</t>
        </r>
        <r>
          <rPr>
            <sz val="9"/>
            <color indexed="81"/>
            <rFont val="Tahoma"/>
            <family val="2"/>
          </rPr>
          <t xml:space="preserve">
based upon $14.85m annual interest savings from new debt offering. </t>
        </r>
      </text>
    </comment>
    <comment ref="BJ62" authorId="3">
      <text>
        <r>
          <rPr>
            <b/>
            <sz val="8"/>
            <color indexed="81"/>
            <rFont val="Tahoma"/>
            <family val="2"/>
          </rPr>
          <t>pw64212:</t>
        </r>
        <r>
          <rPr>
            <sz val="8"/>
            <color indexed="81"/>
            <rFont val="Tahoma"/>
            <family val="2"/>
          </rPr>
          <t xml:space="preserve">
higher level of borrowings, higher average interest rate and lower capitalized interest rate on capex</t>
        </r>
      </text>
    </comment>
    <comment ref="BN62" authorId="1">
      <text>
        <r>
          <rPr>
            <b/>
            <sz val="8"/>
            <color indexed="81"/>
            <rFont val="Tahoma"/>
            <family val="2"/>
          </rPr>
          <t>Morry Brown:</t>
        </r>
        <r>
          <rPr>
            <sz val="8"/>
            <color indexed="81"/>
            <rFont val="Tahoma"/>
            <family val="2"/>
          </rPr>
          <t xml:space="preserve">
Per 1Q release, expect LSD increase in other expenses, net of $20mm???</t>
        </r>
      </text>
    </comment>
    <comment ref="BR62" authorId="3">
      <text>
        <r>
          <rPr>
            <b/>
            <sz val="8"/>
            <color indexed="81"/>
            <rFont val="Tahoma"/>
            <family val="2"/>
          </rPr>
          <t>pw64212:</t>
        </r>
        <r>
          <rPr>
            <sz val="8"/>
            <color indexed="81"/>
            <rFont val="Tahoma"/>
            <family val="2"/>
          </rPr>
          <t xml:space="preserve">
higher exp than 05 due to increased interest exp to support inv growth and share repo
increased other income associated with the sales of equity inv and mkt securities, increased int income, partially offset by foreign currency trans. loss</t>
        </r>
      </text>
    </comment>
    <comment ref="BV62" authorId="2">
      <text>
        <r>
          <rPr>
            <b/>
            <sz val="8"/>
            <color indexed="81"/>
            <rFont val="Tahoma"/>
            <family val="2"/>
          </rPr>
          <t>mm98285:</t>
        </r>
        <r>
          <rPr>
            <sz val="8"/>
            <color indexed="81"/>
            <rFont val="Tahoma"/>
            <family val="2"/>
          </rPr>
          <t xml:space="preserve">
8/07: lowered expectation to ~$10mm as cash proceeds from asset sales result in higher interest income and lower interest exp.
2006 10K: guided to $21-$23mm</t>
        </r>
      </text>
    </comment>
    <comment ref="BZ62" authorId="2">
      <text>
        <r>
          <rPr>
            <b/>
            <sz val="8"/>
            <color indexed="81"/>
            <rFont val="Tahoma"/>
            <family val="2"/>
          </rPr>
          <t>mm98285:</t>
        </r>
        <r>
          <rPr>
            <sz val="8"/>
            <color indexed="81"/>
            <rFont val="Tahoma"/>
            <family val="2"/>
          </rPr>
          <t xml:space="preserve">
11/08: expect $25-$27
3/08: other expenses of $20mm</t>
        </r>
      </text>
    </comment>
    <comment ref="CD62" authorId="2">
      <text>
        <r>
          <rPr>
            <b/>
            <sz val="8"/>
            <color indexed="81"/>
            <rFont val="Tahoma"/>
            <family val="2"/>
          </rPr>
          <t>mm98285:</t>
        </r>
        <r>
          <rPr>
            <sz val="8"/>
            <color indexed="81"/>
            <rFont val="Tahoma"/>
            <family val="2"/>
          </rPr>
          <t xml:space="preserve">
11/09: $48M ( due to higher interest from recent LT debt issuances)
8/09 &amp; 3/09: $50M on higher interest exp</t>
        </r>
      </text>
    </comment>
    <comment ref="CH62" authorId="4">
      <text>
        <r>
          <rPr>
            <sz val="8"/>
            <color indexed="81"/>
            <rFont val="Tahoma"/>
            <family val="2"/>
          </rPr>
          <t>11/10: expect ~$50M
8/10: expect ~$50M
5/10: expect ~$50M
3/10: expect ~flat at $50M</t>
        </r>
      </text>
    </comment>
    <comment ref="CL62" authorId="5">
      <text>
        <r>
          <rPr>
            <sz val="8"/>
            <color indexed="81"/>
            <rFont val="Tahoma"/>
            <family val="2"/>
          </rPr>
          <t>3/20/12: lower due to lower interest expense
11/2011: expect ~$43mm
8/2011: expect ~$45mm
5/2011: expect ~$45mm
3/2011: expect ~$46mm</t>
        </r>
      </text>
    </comment>
    <comment ref="CP62" authorId="13">
      <text>
        <r>
          <rPr>
            <b/>
            <sz val="8"/>
            <color indexed="81"/>
            <rFont val="Tahoma"/>
            <family val="2"/>
          </rPr>
          <t xml:space="preserve">11/29/12: </t>
        </r>
        <r>
          <rPr>
            <sz val="8"/>
            <color indexed="81"/>
            <rFont val="Tahoma"/>
            <family val="2"/>
          </rPr>
          <t xml:space="preserve">expect 53-55M
</t>
        </r>
        <r>
          <rPr>
            <b/>
            <sz val="8"/>
            <color indexed="81"/>
            <rFont val="Tahoma"/>
            <family val="2"/>
          </rPr>
          <t xml:space="preserve">8/27/12: </t>
        </r>
        <r>
          <rPr>
            <sz val="8"/>
            <color indexed="81"/>
            <rFont val="Tahoma"/>
            <family val="2"/>
          </rPr>
          <t>expect 52-54M</t>
        </r>
        <r>
          <rPr>
            <b/>
            <sz val="8"/>
            <color indexed="81"/>
            <rFont val="Tahoma"/>
            <family val="2"/>
          </rPr>
          <t xml:space="preserve">
5/24/12: </t>
        </r>
        <r>
          <rPr>
            <sz val="8"/>
            <color indexed="81"/>
            <rFont val="Tahoma"/>
            <family val="2"/>
          </rPr>
          <t>q1: interset and other expenses apprxo $55M. Includes expected cost of addtiional debt incurrence for working cap, repayment fo maturing debt and general corporate purposes</t>
        </r>
        <r>
          <rPr>
            <b/>
            <sz val="8"/>
            <color indexed="81"/>
            <rFont val="Tahoma"/>
            <family val="2"/>
          </rPr>
          <t xml:space="preserve">
kahng:</t>
        </r>
        <r>
          <rPr>
            <sz val="8"/>
            <color indexed="81"/>
            <rFont val="Tahoma"/>
            <family val="2"/>
          </rPr>
          <t xml:space="preserve">
Other expenses are to be roughly unchanged from 2011.</t>
        </r>
      </text>
    </comment>
    <comment ref="CT62" authorId="10">
      <text>
        <r>
          <rPr>
            <b/>
            <sz val="8"/>
            <color indexed="81"/>
            <rFont val="Tahoma"/>
            <family val="2"/>
          </rPr>
          <t>casselau:</t>
        </r>
        <r>
          <rPr>
            <sz val="8"/>
            <color indexed="81"/>
            <rFont val="Tahoma"/>
            <family val="2"/>
          </rPr>
          <t xml:space="preserve">
11/26/13: expect $58M
8/27/13: expect $58M
3/22/13: guidance $58M</t>
        </r>
      </text>
    </comment>
    <comment ref="CX62" authorId="7">
      <text>
        <r>
          <rPr>
            <b/>
            <sz val="9"/>
            <color indexed="81"/>
            <rFont val="Tahoma"/>
            <family val="2"/>
          </rPr>
          <t>turleamb:</t>
        </r>
        <r>
          <rPr>
            <sz val="9"/>
            <color indexed="81"/>
            <rFont val="Tahoma"/>
            <family val="2"/>
          </rPr>
          <t xml:space="preserve">
11/25/14: $60M (excluding debt charges)
8/27/14: guidance $65m with the increase y/y reflecting the interest cost on higher avg levels of net debt. 
9/23/14:TIF upsized debt offering to $550m from $500m and priced $250m at 3.8% and $300m at 4.9%. Net interest savings of $14.85m. TIF’s debt extinguishment charge will reduce FY net earnings by ~$55m-$70m and EPS  by ~ $0.43-$0.53. 
Interest = $250m*3.8% = $9.5m 
+ $300m*4.9%=$14.7
=$24.2m
Vs. prior
$100m*9.05% =$9.05m
$125m*10.0% =$12.5m
$50m*10.0%=$5m
$125m*10.0% =$12.5m
Total = $39.05m
5/20/14: reiterated guidance of $65-$70m due to interest cost on higher avg levels of net debt
3/21/14: guided Interest net of $65-70m with the increase over 2013 reflecting the interest cost on higher avg levels of net debt</t>
        </r>
      </text>
    </comment>
    <comment ref="DB62" authorId="0">
      <text>
        <r>
          <rPr>
            <b/>
            <sz val="9"/>
            <color indexed="81"/>
            <rFont val="Tahoma"/>
            <family val="2"/>
          </rPr>
          <t>3/18/16: Interest and other expenses, net declined in the full year as a result of lower interest expense on long-term debt (reflecting the October 2014 redemption of long-term debt using proceeds from the issuance of lower-rate long-term debt in September 2014) as well as lower average credit facility borrowings. Interest and other expenses, net were virtually unchanged in the fourth quarter. Both periods were also affected by increased foreign currency transaction losses. 
5/27/15: expect $50M</t>
        </r>
        <r>
          <rPr>
            <sz val="9"/>
            <color indexed="81"/>
            <rFont val="Tahoma"/>
            <family val="2"/>
          </rPr>
          <t xml:space="preserve">
3/20/15 guidance:  Interest and other expenses, net of $50 million.</t>
        </r>
      </text>
    </comment>
    <comment ref="DG62" authorId="10">
      <text>
        <r>
          <rPr>
            <b/>
            <sz val="9"/>
            <color indexed="81"/>
            <rFont val="Tahoma"/>
            <family val="2"/>
          </rPr>
          <t>casselau:
1/17/17:  interest and other expenses, net lower than 2015</t>
        </r>
        <r>
          <rPr>
            <sz val="9"/>
            <color indexed="81"/>
            <rFont val="Tahoma"/>
            <family val="2"/>
          </rPr>
          <t xml:space="preserve">
3/18/16: guidance: interest and other expenses, net unchanged from 2015</t>
        </r>
      </text>
    </comment>
    <comment ref="DJ62" authorId="8">
      <text>
        <r>
          <rPr>
            <b/>
            <sz val="9"/>
            <color indexed="81"/>
            <rFont val="Tahoma"/>
            <family val="2"/>
          </rPr>
          <t>Cassel, Lauren (Research):
11/29/17: guidance $35-37M, decline due to lower interest expense and gains on sales of marketable securities
8/24/17: guidance: interest and other expenses, net of $35-$40 million</t>
        </r>
        <r>
          <rPr>
            <sz val="9"/>
            <color indexed="81"/>
            <rFont val="Tahoma"/>
            <family val="2"/>
          </rPr>
          <t xml:space="preserve">
3/17/17: expect interest and other expenses of ~$40M</t>
        </r>
      </text>
    </comment>
    <comment ref="DN62" authorId="8">
      <text>
        <r>
          <rPr>
            <b/>
            <sz val="9"/>
            <color indexed="81"/>
            <rFont val="Tahoma"/>
            <family val="2"/>
          </rPr>
          <t>Cassel, Lauren (Research):</t>
        </r>
        <r>
          <rPr>
            <sz val="9"/>
            <color indexed="81"/>
            <rFont val="Tahoma"/>
            <family val="2"/>
          </rPr>
          <t xml:space="preserve">
3/16/18: guidance: net in line with the prior year</t>
        </r>
      </text>
    </comment>
    <comment ref="BN66" authorId="2">
      <text>
        <r>
          <rPr>
            <b/>
            <sz val="8"/>
            <color indexed="81"/>
            <rFont val="Tahoma"/>
            <family val="2"/>
          </rPr>
          <t>mm98285:</t>
        </r>
        <r>
          <rPr>
            <sz val="8"/>
            <color indexed="81"/>
            <rFont val="Tahoma"/>
            <family val="2"/>
          </rPr>
          <t xml:space="preserve">
interest income, gains/losses on investment activities and foreign currency transactions and minority interest income/exp</t>
        </r>
      </text>
    </comment>
    <comment ref="CX70" authorId="0">
      <text>
        <r>
          <rPr>
            <b/>
            <sz val="9"/>
            <color indexed="81"/>
            <rFont val="Tahoma"/>
            <family val="2"/>
          </rPr>
          <t>Turley, Amber (Research):</t>
        </r>
        <r>
          <rPr>
            <sz val="9"/>
            <color indexed="81"/>
            <rFont val="Tahoma"/>
            <family val="2"/>
          </rPr>
          <t xml:space="preserve">
11/25/14: Company issued $550 million of long-term debt ($250
million at a 3.8% interest rate maturing in 2024 and $300 million at a 4.9%
interest rate maturing in 2044). The proceeds were primarily applied toward
prepayment of $400 million of existing long-term debt (with a weighted-average
interest rate of 9.8% and maturities ranging from 2015-2019), and the related
prepayment costs. 
MS note: based upon $14.85m interest savings annually - priced debt ~50% through the quarter.</t>
        </r>
      </text>
    </comment>
    <comment ref="J88" authorId="9">
      <text>
        <r>
          <rPr>
            <b/>
            <sz val="8"/>
            <color indexed="81"/>
            <rFont val="Tahoma"/>
            <family val="2"/>
          </rPr>
          <t>SB:</t>
        </r>
        <r>
          <rPr>
            <sz val="8"/>
            <color indexed="81"/>
            <rFont val="Tahoma"/>
            <family val="2"/>
          </rPr>
          <t xml:space="preserve">
Cumulative effect of accounting chg for postretirment benefits other than pensions, net of taxes</t>
        </r>
      </text>
    </comment>
    <comment ref="BV90" authorId="2">
      <text>
        <r>
          <rPr>
            <b/>
            <sz val="8"/>
            <color indexed="81"/>
            <rFont val="Tahoma"/>
            <family val="2"/>
          </rPr>
          <t>mm98285:</t>
        </r>
        <r>
          <rPr>
            <sz val="8"/>
            <color indexed="81"/>
            <rFont val="Tahoma"/>
            <family val="2"/>
          </rPr>
          <t xml:space="preserve">
2/08: recorded other operating income given pre-tax of $105.051mm from sale-leaseback of the multi-tenant building housing Tokyo flagship (or $0.48 per share after tax)
2/08: $10mm contribution to The Tif Foundation</t>
        </r>
      </text>
    </comment>
    <comment ref="BJ91" authorId="1">
      <text>
        <r>
          <rPr>
            <b/>
            <sz val="8"/>
            <color indexed="81"/>
            <rFont val="Tahoma"/>
            <family val="2"/>
          </rPr>
          <t>Morry Brown:</t>
        </r>
        <r>
          <rPr>
            <sz val="8"/>
            <color indexed="81"/>
            <rFont val="Tahoma"/>
            <family val="2"/>
          </rPr>
          <t xml:space="preserve">
Gain on sale of its Aber shares
should it be included in net income?</t>
        </r>
      </text>
    </comment>
    <comment ref="BZ91" authorId="2">
      <text>
        <r>
          <rPr>
            <b/>
            <sz val="8"/>
            <color indexed="81"/>
            <rFont val="Tahoma"/>
            <family val="2"/>
          </rPr>
          <t>mm98285:</t>
        </r>
        <r>
          <rPr>
            <sz val="8"/>
            <color indexed="81"/>
            <rFont val="Tahoma"/>
            <family val="2"/>
          </rPr>
          <t xml:space="preserve">
$97.8M restructuring charges ($59.006M after-tax)
$7.5M Iridesse charges ($4.702M after-tax)
$12.4M Impairment of investm'ts &amp; loans ($8.335M after-tax)
$3.4M diamond facility closing charge ($2.198M after-tax)</t>
        </r>
      </text>
    </comment>
    <comment ref="BR98" authorId="2">
      <text>
        <r>
          <rPr>
            <b/>
            <sz val="8"/>
            <color indexed="81"/>
            <rFont val="Tahoma"/>
            <family val="2"/>
          </rPr>
          <t>mm98285:</t>
        </r>
        <r>
          <rPr>
            <sz val="8"/>
            <color indexed="81"/>
            <rFont val="Tahoma"/>
            <family val="2"/>
          </rPr>
          <t xml:space="preserve">
$27.13 prior to restatement
</t>
        </r>
      </text>
    </comment>
    <comment ref="BV98" authorId="3">
      <text>
        <r>
          <rPr>
            <b/>
            <sz val="8"/>
            <color indexed="81"/>
            <rFont val="Tahoma"/>
            <family val="2"/>
          </rPr>
          <t>pw64212:</t>
        </r>
        <r>
          <rPr>
            <sz val="8"/>
            <color indexed="81"/>
            <rFont val="Tahoma"/>
            <family val="2"/>
          </rPr>
          <t xml:space="preserve">
5/30/08: $28.797mm prior to inv. accting change
$28.579 prior to restatement
20071Q 10Q: pg 4 IS</t>
        </r>
      </text>
    </comment>
    <comment ref="BZ98" authorId="2">
      <text>
        <r>
          <rPr>
            <b/>
            <sz val="8"/>
            <color indexed="81"/>
            <rFont val="Tahoma"/>
            <family val="2"/>
          </rPr>
          <t>mm98285:</t>
        </r>
        <r>
          <rPr>
            <sz val="8"/>
            <color indexed="81"/>
            <rFont val="Tahoma"/>
            <family val="2"/>
          </rPr>
          <t xml:space="preserve">
restated to exclude Iridesse</t>
        </r>
      </text>
    </comment>
    <comment ref="CD98" authorId="2">
      <text>
        <r>
          <rPr>
            <b/>
            <sz val="8"/>
            <color indexed="81"/>
            <rFont val="Tahoma"/>
            <family val="2"/>
          </rPr>
          <t>mm98285:</t>
        </r>
        <r>
          <rPr>
            <sz val="8"/>
            <color indexed="81"/>
            <rFont val="Tahoma"/>
            <family val="2"/>
          </rPr>
          <t xml:space="preserve">
restated to exclude Iridesse</t>
        </r>
      </text>
    </comment>
    <comment ref="CE98" authorId="2">
      <text>
        <r>
          <rPr>
            <b/>
            <sz val="8"/>
            <color indexed="81"/>
            <rFont val="Tahoma"/>
            <family val="2"/>
          </rPr>
          <t>mm98285:</t>
        </r>
        <r>
          <rPr>
            <sz val="8"/>
            <color indexed="81"/>
            <rFont val="Tahoma"/>
            <family val="2"/>
          </rPr>
          <t xml:space="preserve">
shift in geographical mix of earnings</t>
        </r>
      </text>
    </comment>
    <comment ref="CH98" authorId="12">
      <text>
        <r>
          <rPr>
            <b/>
            <sz val="8"/>
            <color indexed="81"/>
            <rFont val="Tahoma"/>
            <family val="2"/>
          </rPr>
          <t>NS66486:</t>
        </r>
        <r>
          <rPr>
            <sz val="8"/>
            <color indexed="81"/>
            <rFont val="Tahoma"/>
            <family val="2"/>
          </rPr>
          <t xml:space="preserve">
decrease in the effective tax rate in 2010 was due to an unfavorable geographical mix of earnings LY and non-recurring items recorded in 1Q10 (non-recurring benefit of $5,006,000 due to a change in tax status of certain subsidiaries associated with the acquisition in 2009 of additional equity interests in diamond sourcing and polishing operations); partially offset by a $1,910,000 charge as a result of recent healthcare reform legislation, which eliminated the tax benefit associated with the Medicare Part D subsidy.</t>
        </r>
      </text>
    </comment>
    <comment ref="CQ98" authorId="13">
      <text>
        <r>
          <rPr>
            <b/>
            <sz val="8"/>
            <color indexed="81"/>
            <rFont val="Tahoma"/>
            <family val="2"/>
          </rPr>
          <t>kahng:</t>
        </r>
        <r>
          <rPr>
            <sz val="8"/>
            <color indexed="81"/>
            <rFont val="Tahoma"/>
            <family val="2"/>
          </rPr>
          <t xml:space="preserve">
3/20/12: Was 33.95% previously. Guidance is now 34-35%</t>
        </r>
      </text>
    </comment>
    <comment ref="CU98" authorId="13">
      <text>
        <r>
          <rPr>
            <b/>
            <sz val="8"/>
            <color indexed="81"/>
            <rFont val="Tahoma"/>
            <family val="2"/>
          </rPr>
          <t>kahng:</t>
        </r>
        <r>
          <rPr>
            <sz val="8"/>
            <color indexed="81"/>
            <rFont val="Tahoma"/>
            <family val="2"/>
          </rPr>
          <t xml:space="preserve">
3/20/12: Was 33.95% previously. Guidance is now 34-35%</t>
        </r>
      </text>
    </comment>
    <comment ref="CY98" authorId="7">
      <text>
        <r>
          <rPr>
            <b/>
            <sz val="9"/>
            <color indexed="81"/>
            <rFont val="Tahoma"/>
            <family val="2"/>
          </rPr>
          <t>turleamb:</t>
        </r>
        <r>
          <rPr>
            <sz val="9"/>
            <color indexed="81"/>
            <rFont val="Tahoma"/>
            <family val="2"/>
          </rPr>
          <t xml:space="preserve">
5/22/14 10-Q: The effective income tax rate for the three months ended April 30, 2014 includes an increase of 2.0 percentage points due to the one-time impact of changes in tax legislation offset by the favorable impact of a valuation allowance release of 1.3 percentage points</t>
        </r>
      </text>
    </comment>
    <comment ref="DG98" authorId="8">
      <text>
        <r>
          <rPr>
            <b/>
            <sz val="9"/>
            <color indexed="81"/>
            <rFont val="Tahoma"/>
            <family val="2"/>
          </rPr>
          <t>Cassel, Lauren (Research):</t>
        </r>
        <r>
          <rPr>
            <sz val="9"/>
            <color indexed="81"/>
            <rFont val="Tahoma"/>
            <family val="2"/>
          </rPr>
          <t xml:space="preserve">
5/25/16: The decline was due to a benefit related to the conclusion of a tax examination</t>
        </r>
      </text>
    </comment>
    <comment ref="DK98" authorId="8">
      <text>
        <r>
          <rPr>
            <b/>
            <sz val="9"/>
            <color indexed="81"/>
            <rFont val="Tahoma"/>
            <family val="2"/>
          </rPr>
          <t>Cassel, Lauren (Research):</t>
        </r>
        <r>
          <rPr>
            <sz val="9"/>
            <color indexed="81"/>
            <rFont val="Tahoma"/>
            <family val="2"/>
          </rPr>
          <t xml:space="preserve">
5/24/17: reflecting a benefit of $0.02 per diluted share from the implementation of a new accounting standard related to the treatment of excess tax benefits from the vesting or exercise of share-based compensation</t>
        </r>
      </text>
    </comment>
    <comment ref="BR99" authorId="2">
      <text>
        <r>
          <rPr>
            <b/>
            <sz val="8"/>
            <color indexed="81"/>
            <rFont val="Tahoma"/>
            <family val="2"/>
          </rPr>
          <t>mm98285:</t>
        </r>
        <r>
          <rPr>
            <sz val="8"/>
            <color indexed="81"/>
            <rFont val="Tahoma"/>
            <family val="2"/>
          </rPr>
          <t xml:space="preserve">
$26.185 prior to restatement
</t>
        </r>
      </text>
    </comment>
    <comment ref="BW99" authorId="3">
      <text>
        <r>
          <rPr>
            <b/>
            <sz val="8"/>
            <color indexed="81"/>
            <rFont val="Tahoma"/>
            <family val="2"/>
          </rPr>
          <t>pw64212:</t>
        </r>
        <r>
          <rPr>
            <sz val="8"/>
            <color indexed="81"/>
            <rFont val="Tahoma"/>
            <family val="2"/>
          </rPr>
          <t xml:space="preserve">
200610K: page K-34.  2007 Outlook: an increase in the effective tax rate to 38%
20071Q first call: expect the tax rate to be in the range of 40-43% in the 2nd and 3rd quarter followed by appr. 37% in the 4th, due to the geographic mix of earnings.</t>
        </r>
      </text>
    </comment>
    <comment ref="BZ99" authorId="2">
      <text>
        <r>
          <rPr>
            <b/>
            <sz val="8"/>
            <color indexed="81"/>
            <rFont val="Tahoma"/>
            <family val="2"/>
          </rPr>
          <t>mm98285:</t>
        </r>
        <r>
          <rPr>
            <sz val="8"/>
            <color indexed="81"/>
            <rFont val="Tahoma"/>
            <family val="2"/>
          </rPr>
          <t xml:space="preserve">
restated to exclude Iridesse</t>
        </r>
      </text>
    </comment>
    <comment ref="CD99" authorId="2">
      <text>
        <r>
          <rPr>
            <b/>
            <sz val="8"/>
            <color indexed="81"/>
            <rFont val="Tahoma"/>
            <family val="2"/>
          </rPr>
          <t>mm98285:</t>
        </r>
        <r>
          <rPr>
            <sz val="8"/>
            <color indexed="81"/>
            <rFont val="Tahoma"/>
            <family val="2"/>
          </rPr>
          <t xml:space="preserve">
excludes $5.662 tax benefit</t>
        </r>
      </text>
    </comment>
    <comment ref="CE99" authorId="2">
      <text>
        <r>
          <rPr>
            <b/>
            <sz val="8"/>
            <color indexed="81"/>
            <rFont val="Tahoma"/>
            <family val="2"/>
          </rPr>
          <t>mm98285:</t>
        </r>
        <r>
          <rPr>
            <sz val="8"/>
            <color indexed="81"/>
            <rFont val="Tahoma"/>
            <family val="2"/>
          </rPr>
          <t xml:space="preserve">
lower due to favorable reserve adjustments tied to the conslusion of some tax audits</t>
        </r>
      </text>
    </comment>
    <comment ref="CH99" authorId="5">
      <text>
        <r>
          <rPr>
            <b/>
            <sz val="8"/>
            <color indexed="81"/>
            <rFont val="Tahoma"/>
            <family val="2"/>
          </rPr>
          <t>nicholjs:</t>
        </r>
        <r>
          <rPr>
            <sz val="8"/>
            <color indexed="81"/>
            <rFont val="Tahoma"/>
            <family val="2"/>
          </rPr>
          <t xml:space="preserve">
adds back excluded charges (NY HQ consolidation, in both cogs and sg&amp;a) which = $2.392 after tax or $1.553 of taxes.  Impact: $0.02/shr</t>
        </r>
      </text>
    </comment>
    <comment ref="CQ99" authorId="13">
      <text>
        <r>
          <rPr>
            <b/>
            <sz val="8"/>
            <color indexed="81"/>
            <rFont val="Tahoma"/>
            <family val="2"/>
          </rPr>
          <t>kahng:</t>
        </r>
        <r>
          <rPr>
            <sz val="8"/>
            <color indexed="81"/>
            <rFont val="Tahoma"/>
            <family val="2"/>
          </rPr>
          <t xml:space="preserve">
3/20/12: Was 34% previously. Guidance is now 34-35%</t>
        </r>
      </text>
    </comment>
    <comment ref="CU99" authorId="0">
      <text>
        <r>
          <rPr>
            <b/>
            <sz val="9"/>
            <color indexed="81"/>
            <rFont val="Tahoma"/>
            <family val="2"/>
          </rPr>
          <t>Turley, Amber (Research):</t>
        </r>
        <r>
          <rPr>
            <sz val="9"/>
            <color indexed="81"/>
            <rFont val="Tahoma"/>
            <family val="2"/>
          </rPr>
          <t xml:space="preserve">
low tax rate due to one time effect of a change in certain state tax legislation. </t>
        </r>
      </text>
    </comment>
    <comment ref="DC99" authorId="10">
      <text>
        <r>
          <rPr>
            <b/>
            <sz val="9"/>
            <color indexed="81"/>
            <rFont val="Tahoma"/>
            <family val="2"/>
          </rPr>
          <t>casselau:</t>
        </r>
        <r>
          <rPr>
            <sz val="9"/>
            <color indexed="81"/>
            <rFont val="Tahoma"/>
            <family val="2"/>
          </rPr>
          <t xml:space="preserve">
Last year's rate was somewhat inflated by changes in tax legislation while this year's great benefit from a reduction in a tax valuation allowance.</t>
        </r>
      </text>
    </comment>
    <comment ref="DK99" authorId="8">
      <text>
        <r>
          <rPr>
            <b/>
            <sz val="9"/>
            <color indexed="81"/>
            <rFont val="Tahoma"/>
            <family val="2"/>
          </rPr>
          <t>Cassel, Lauren (Research):</t>
        </r>
        <r>
          <rPr>
            <sz val="9"/>
            <color indexed="81"/>
            <rFont val="Tahoma"/>
            <family val="2"/>
          </rPr>
          <t xml:space="preserve">
8/24/17: The rate in both periods of the current year included a benefit from the implementation of a new accounting standard related to the treatment of excess tax benefits from the vesting or exercise of share-based compensation. </t>
        </r>
      </text>
    </comment>
    <comment ref="BB100" authorId="9">
      <text>
        <r>
          <rPr>
            <b/>
            <sz val="8"/>
            <color indexed="81"/>
            <rFont val="Tahoma"/>
            <family val="2"/>
          </rPr>
          <t>SB:</t>
        </r>
        <r>
          <rPr>
            <sz val="8"/>
            <color indexed="81"/>
            <rFont val="Tahoma"/>
            <family val="2"/>
          </rPr>
          <t xml:space="preserve">
Added back one-time nonrecurring tax benefit of $0.05 ($8.015 million)</t>
        </r>
      </text>
    </comment>
    <comment ref="BO100" authorId="1">
      <text>
        <r>
          <rPr>
            <b/>
            <sz val="8"/>
            <color indexed="81"/>
            <rFont val="Tahoma"/>
            <family val="2"/>
          </rPr>
          <t>Morry Brown:</t>
        </r>
        <r>
          <rPr>
            <sz val="8"/>
            <color indexed="81"/>
            <rFont val="Tahoma"/>
            <family val="2"/>
          </rPr>
          <t xml:space="preserve">
tax rate should return to 38% for 2H05, and end year at 36%</t>
        </r>
      </text>
    </comment>
    <comment ref="BR100" authorId="2">
      <text>
        <r>
          <rPr>
            <b/>
            <sz val="8"/>
            <color indexed="81"/>
            <rFont val="Tahoma"/>
            <family val="2"/>
          </rPr>
          <t>mm98285:</t>
        </r>
        <r>
          <rPr>
            <sz val="8"/>
            <color indexed="81"/>
            <rFont val="Tahoma"/>
            <family val="2"/>
          </rPr>
          <t xml:space="preserve">
$16.139 prior to restatement
</t>
        </r>
      </text>
    </comment>
    <comment ref="BZ100" authorId="2">
      <text>
        <r>
          <rPr>
            <b/>
            <sz val="8"/>
            <color indexed="81"/>
            <rFont val="Tahoma"/>
            <family val="2"/>
          </rPr>
          <t>mm98285:</t>
        </r>
        <r>
          <rPr>
            <sz val="8"/>
            <color indexed="81"/>
            <rFont val="Tahoma"/>
            <family val="2"/>
          </rPr>
          <t xml:space="preserve">
includes tax from excl. write-off of interest rate swap</t>
        </r>
      </text>
    </comment>
    <comment ref="CD100" authorId="2">
      <text>
        <r>
          <rPr>
            <b/>
            <sz val="8"/>
            <color indexed="81"/>
            <rFont val="Tahoma"/>
            <family val="2"/>
          </rPr>
          <t>mm98285:</t>
        </r>
        <r>
          <rPr>
            <sz val="8"/>
            <color indexed="81"/>
            <rFont val="Tahoma"/>
            <family val="2"/>
          </rPr>
          <t xml:space="preserve">
11/09: excludes $5.558M tax benefit or +4c and add back tax from charge</t>
        </r>
      </text>
    </comment>
    <comment ref="CQ100" authorId="13">
      <text>
        <r>
          <rPr>
            <sz val="8"/>
            <color indexed="81"/>
            <rFont val="Tahoma"/>
            <family val="2"/>
          </rPr>
          <t xml:space="preserve">11/29/12: The effective income tax rate was 38.4% in the third quarter, versus 33.9% a year ago. This increase was primarily due to the true-up of the prior year’s tax provision upon filing tax returns, as well as differences in the geographical mix of earnings. In the year-to-date, the rate was 35.6%, versus 33.6% a year ago when the tax rate benefitted from the reversal of a valuation allowance for certain deferred tax assets. </t>
        </r>
        <r>
          <rPr>
            <b/>
            <sz val="8"/>
            <color indexed="81"/>
            <rFont val="Tahoma"/>
            <family val="2"/>
          </rPr>
          <t xml:space="preserve">
kahng:</t>
        </r>
        <r>
          <rPr>
            <sz val="8"/>
            <color indexed="81"/>
            <rFont val="Tahoma"/>
            <family val="2"/>
          </rPr>
          <t xml:space="preserve">
3/20/12: Was 34% previously. Guidance is now 34-35%</t>
        </r>
      </text>
    </comment>
    <comment ref="CU100" authorId="7">
      <text>
        <r>
          <rPr>
            <b/>
            <sz val="8"/>
            <color indexed="81"/>
            <rFont val="Tahoma"/>
            <family val="2"/>
          </rPr>
          <t>turleamb:</t>
        </r>
        <r>
          <rPr>
            <sz val="8"/>
            <color indexed="81"/>
            <rFont val="Tahoma"/>
            <family val="2"/>
          </rPr>
          <t xml:space="preserve">
11/26/13: benefited from a
one-time favorable impact of tax regulations as well as differences in the
geographical mix of earnings.</t>
        </r>
      </text>
    </comment>
    <comment ref="DK100" authorId="8">
      <text>
        <r>
          <rPr>
            <b/>
            <sz val="9"/>
            <color indexed="81"/>
            <rFont val="Tahoma"/>
            <family val="2"/>
          </rPr>
          <t>Cassel, Lauren (Research):</t>
        </r>
        <r>
          <rPr>
            <sz val="9"/>
            <color indexed="81"/>
            <rFont val="Tahoma"/>
            <family val="2"/>
          </rPr>
          <t xml:space="preserve">
11/29/17: driven by result of the true-up of the Company's prior year tax provision in conjunction with the filing of its 2016 tax return partly offset by the impact of a change in federal tax legislation</t>
        </r>
      </text>
    </comment>
    <comment ref="BO101" authorId="1">
      <text>
        <r>
          <rPr>
            <b/>
            <sz val="8"/>
            <color indexed="81"/>
            <rFont val="Tahoma"/>
            <family val="2"/>
          </rPr>
          <t>Morry Brown:</t>
        </r>
        <r>
          <rPr>
            <sz val="8"/>
            <color indexed="81"/>
            <rFont val="Tahoma"/>
            <family val="2"/>
          </rPr>
          <t xml:space="preserve">
tax rate should return to 38% for 2H05, and end year at 36%</t>
        </r>
      </text>
    </comment>
    <comment ref="BR101" authorId="2">
      <text>
        <r>
          <rPr>
            <b/>
            <sz val="8"/>
            <color indexed="81"/>
            <rFont val="Tahoma"/>
            <family val="2"/>
          </rPr>
          <t>mm98285:</t>
        </r>
        <r>
          <rPr>
            <sz val="8"/>
            <color indexed="81"/>
            <rFont val="Tahoma"/>
            <family val="2"/>
          </rPr>
          <t xml:space="preserve">
3/08: 81.054 prior to restatement</t>
        </r>
      </text>
    </comment>
    <comment ref="BZ101" authorId="4">
      <text>
        <r>
          <rPr>
            <b/>
            <sz val="8"/>
            <color indexed="81"/>
            <rFont val="Tahoma"/>
            <family val="2"/>
          </rPr>
          <t>ns66486:</t>
        </r>
        <r>
          <rPr>
            <sz val="8"/>
            <color indexed="81"/>
            <rFont val="Tahoma"/>
            <family val="2"/>
          </rPr>
          <t xml:space="preserve">
excludes 97.8m in restructuring charges</t>
        </r>
      </text>
    </comment>
    <comment ref="CH101" authorId="5">
      <text>
        <r>
          <rPr>
            <b/>
            <sz val="8"/>
            <color indexed="81"/>
            <rFont val="Tahoma"/>
            <family val="2"/>
          </rPr>
          <t>nicholjs:</t>
        </r>
        <r>
          <rPr>
            <sz val="8"/>
            <color indexed="81"/>
            <rFont val="Tahoma"/>
            <family val="2"/>
          </rPr>
          <t xml:space="preserve">
adjustment for NY HQ relocation, which was $3.887 after tax or $0.03 EPS impact</t>
        </r>
      </text>
    </comment>
    <comment ref="CQ101" authorId="13">
      <text>
        <r>
          <rPr>
            <b/>
            <sz val="8"/>
            <color indexed="81"/>
            <rFont val="Tahoma"/>
            <family val="2"/>
          </rPr>
          <t>kahng:</t>
        </r>
        <r>
          <rPr>
            <sz val="8"/>
            <color indexed="81"/>
            <rFont val="Tahoma"/>
            <family val="2"/>
          </rPr>
          <t xml:space="preserve">
3/20/12: Was 34% previously. Guidance is now 34-35%</t>
        </r>
      </text>
    </comment>
    <comment ref="DJ101" authorId="8">
      <text>
        <r>
          <rPr>
            <b/>
            <sz val="9"/>
            <color indexed="81"/>
            <rFont val="Tahoma"/>
            <family val="2"/>
          </rPr>
          <t>Cassel, Lauren (Research):</t>
        </r>
        <r>
          <rPr>
            <sz val="9"/>
            <color indexed="81"/>
            <rFont val="Tahoma"/>
            <family val="2"/>
          </rPr>
          <t xml:space="preserve">
3/16/18: excludes $146.2M charge related to tax reform; Estimated tax expense of $94.8 million, or $0.76 per diluted share, for the impact of the reduction in the U.S. tax rate on the Company’s deferred tax assets and liabilities; 
• Estimated tax expense of $56.0 million, or $0.45 per diluted share, for the one-time transition tax effected via a mandatory deemed repatriation of post-1986 undistributed foreign earnings and profits; and 
• A tax benefit of $4.6 million, or $0.04 per diluted share, resulting from the effect of the 21% statutory tax rate for the month of January 2018 on the Company’s annual statutory tax rate for the year ended January 31, 2018. Because the Company’s fiscal year ended on January 31, 2018, the Company’s statutory tax rate for fiscal 2017 is 33.8%, rather than 35.0%. 
</t>
        </r>
      </text>
    </comment>
    <comment ref="DK101" authorId="8">
      <text>
        <r>
          <rPr>
            <b/>
            <sz val="9"/>
            <color indexed="81"/>
            <rFont val="Tahoma"/>
            <family val="2"/>
          </rPr>
          <t>Cassel, Lauren (Research):</t>
        </r>
        <r>
          <rPr>
            <sz val="9"/>
            <color indexed="81"/>
            <rFont val="Tahoma"/>
            <family val="2"/>
          </rPr>
          <t xml:space="preserve">
3/16/18: In addition to the impact of this new legislation, the effective income tax rate in the full year and fourth quarter was reduced by an increase in the domestic manufacturing deduction, lower state taxes and a benefit from the implementation of a new accounting standard related to the treatment of excess tax benefits from the vesting or exercise of share-based compensation</t>
        </r>
      </text>
    </comment>
    <comment ref="BO102" authorId="1">
      <text>
        <r>
          <rPr>
            <b/>
            <sz val="8"/>
            <color indexed="81"/>
            <rFont val="Tahoma"/>
            <family val="2"/>
          </rPr>
          <t>Ping Wang:</t>
        </r>
        <r>
          <rPr>
            <sz val="8"/>
            <color indexed="81"/>
            <rFont val="Tahoma"/>
            <family val="2"/>
          </rPr>
          <t xml:space="preserve">
lower tax rate reflected tax benefits from AJCA</t>
        </r>
      </text>
    </comment>
    <comment ref="BW102" authorId="2">
      <text>
        <r>
          <rPr>
            <b/>
            <sz val="8"/>
            <color indexed="81"/>
            <rFont val="Tahoma"/>
            <family val="2"/>
          </rPr>
          <t>mm98285:</t>
        </r>
        <r>
          <rPr>
            <sz val="8"/>
            <color indexed="81"/>
            <rFont val="Tahoma"/>
            <family val="2"/>
          </rPr>
          <t xml:space="preserve">
8/07: expect 37% for full year
2006 10K: guided to 38%</t>
        </r>
      </text>
    </comment>
    <comment ref="CA102" authorId="2">
      <text>
        <r>
          <rPr>
            <b/>
            <sz val="8"/>
            <color indexed="81"/>
            <rFont val="Tahoma"/>
            <family val="2"/>
          </rPr>
          <t>mm98285:</t>
        </r>
        <r>
          <rPr>
            <sz val="8"/>
            <color indexed="81"/>
            <rFont val="Tahoma"/>
            <family val="2"/>
          </rPr>
          <t xml:space="preserve">
11/08: expect 36%
3/08: expect effective tax rate of ~36-37%</t>
        </r>
      </text>
    </comment>
    <comment ref="CE102" authorId="2">
      <text>
        <r>
          <rPr>
            <b/>
            <sz val="8"/>
            <color indexed="81"/>
            <rFont val="Tahoma"/>
            <family val="2"/>
          </rPr>
          <t>mm98285:</t>
        </r>
        <r>
          <rPr>
            <sz val="8"/>
            <color indexed="81"/>
            <rFont val="Tahoma"/>
            <family val="2"/>
          </rPr>
          <t xml:space="preserve">
11/09: expect ~31% (includes various 1-time tax benefits)
8/09: expects 34%
3/09: expect 37%</t>
        </r>
      </text>
    </comment>
    <comment ref="CI102" authorId="4">
      <text>
        <r>
          <rPr>
            <sz val="8"/>
            <color indexed="81"/>
            <rFont val="Tahoma"/>
            <family val="2"/>
          </rPr>
          <t>11/10: expect tax rate ~34%
8/10: expect tax rate at 34-35%
5/10: expect tax rate at 35%
3/10: expect tax rate at 35%</t>
        </r>
      </text>
    </comment>
    <comment ref="CM102" authorId="5">
      <text>
        <r>
          <rPr>
            <sz val="8"/>
            <color indexed="81"/>
            <rFont val="Tahoma"/>
            <family val="2"/>
          </rPr>
          <t>3/20/12: was higher than expected
11/2011: expect ~34%
8/2011: expect ~34%
5/2011: expect ~34%
3/2011: expect ~34%</t>
        </r>
      </text>
    </comment>
    <comment ref="CQ102" authorId="6">
      <text>
        <r>
          <rPr>
            <b/>
            <sz val="8"/>
            <color indexed="81"/>
            <rFont val="Tahoma"/>
            <family val="2"/>
          </rPr>
          <t xml:space="preserve">11/29/12: </t>
        </r>
        <r>
          <rPr>
            <sz val="8"/>
            <color indexed="81"/>
            <rFont val="Tahoma"/>
            <family val="2"/>
          </rPr>
          <t>approx. 35%</t>
        </r>
        <r>
          <rPr>
            <b/>
            <sz val="8"/>
            <color indexed="81"/>
            <rFont val="Tahoma"/>
            <family val="2"/>
          </rPr>
          <t xml:space="preserve">
8/27/12: </t>
        </r>
        <r>
          <rPr>
            <sz val="8"/>
            <color indexed="81"/>
            <rFont val="Tahoma"/>
            <family val="2"/>
          </rPr>
          <t>reit 34-35%</t>
        </r>
        <r>
          <rPr>
            <b/>
            <sz val="8"/>
            <color indexed="81"/>
            <rFont val="Tahoma"/>
            <family val="2"/>
          </rPr>
          <t xml:space="preserve">
P Kahng:</t>
        </r>
        <r>
          <rPr>
            <sz val="8"/>
            <color indexed="81"/>
            <rFont val="Tahoma"/>
            <family val="2"/>
          </rPr>
          <t xml:space="preserve">
5/24/12: effective tax rate 34-35%</t>
        </r>
      </text>
    </comment>
    <comment ref="CU102" authorId="10">
      <text>
        <r>
          <rPr>
            <b/>
            <sz val="8"/>
            <color indexed="81"/>
            <rFont val="Tahoma"/>
            <family val="2"/>
          </rPr>
          <t>casselau:</t>
        </r>
        <r>
          <rPr>
            <sz val="8"/>
            <color indexed="81"/>
            <rFont val="Tahoma"/>
            <family val="2"/>
          </rPr>
          <t xml:space="preserve">
11/26/13: guidance 34-35%. This year's rate benefited from a one-time favorable impact of tax regulations related to the tax basis of fixed assets and differences in geographical mix of earnings
8/27/13: guidance 35%
3/22/13: guidance 35%</t>
        </r>
      </text>
    </comment>
    <comment ref="CY102" authorId="7">
      <text>
        <r>
          <rPr>
            <b/>
            <sz val="9"/>
            <color indexed="81"/>
            <rFont val="Tahoma"/>
            <family val="2"/>
          </rPr>
          <t>turleamb:</t>
        </r>
        <r>
          <rPr>
            <sz val="9"/>
            <color indexed="81"/>
            <rFont val="Tahoma"/>
            <family val="2"/>
          </rPr>
          <t xml:space="preserve">
3/20/15:The effective tax rate was 32.9% in the fourth quarter and 34.4% in the full
year. The effective tax rates in the prior year were 36.1% in the fourth quarter
and 34.8% in the full year when excluding the charge for the adverse arbitration
ruling.
11/25/14: reiterated 35%
8/27/14: reiterested 35%
5/20/14: reiterated ~35%
3/21/14: guided ~35%</t>
        </r>
      </text>
    </comment>
    <comment ref="DC102" authorId="0">
      <text>
        <r>
          <rPr>
            <b/>
            <sz val="9"/>
            <color indexed="81"/>
            <rFont val="Tahoma"/>
            <family val="2"/>
          </rPr>
          <t>Turley, Amber (Research):</t>
        </r>
        <r>
          <rPr>
            <sz val="9"/>
            <color indexed="81"/>
            <rFont val="Tahoma"/>
            <family val="2"/>
          </rPr>
          <t xml:space="preserve">
3/20/15: Tax rate similar to LY (~34.4% ex charges)</t>
        </r>
      </text>
    </comment>
    <comment ref="DG102" authorId="10">
      <text>
        <r>
          <rPr>
            <b/>
            <sz val="9"/>
            <color indexed="81"/>
            <rFont val="Tahoma"/>
            <family val="2"/>
          </rPr>
          <t>casselau:
3/17/17: rate in 2016 includes a benefit of $6.6 million, or $0.05 per diluted share, resulting from the favorable effect of the conclusion of a tax examination in the first quarter
1/17/17: guidance: tax rate consistent with last year
11/29/16: guidance: an effective income tax rate lower than the prior year</t>
        </r>
        <r>
          <rPr>
            <sz val="9"/>
            <color indexed="81"/>
            <rFont val="Tahoma"/>
            <family val="2"/>
          </rPr>
          <t xml:space="preserve">
3/18/16: guidance: an effective tax rate slightly lower than the prior year</t>
        </r>
      </text>
    </comment>
    <comment ref="DK102" authorId="8">
      <text>
        <r>
          <rPr>
            <b/>
            <sz val="9"/>
            <color indexed="81"/>
            <rFont val="Tahoma"/>
            <family val="2"/>
          </rPr>
          <t>Cassel, Lauren (Research):
8/24/17: guidance ~33%</t>
        </r>
        <r>
          <rPr>
            <sz val="9"/>
            <color indexed="81"/>
            <rFont val="Tahoma"/>
            <family val="2"/>
          </rPr>
          <t xml:space="preserve">
3/17/17: guidance: tax rate in-line with LY</t>
        </r>
      </text>
    </comment>
    <comment ref="DO102" authorId="8">
      <text>
        <r>
          <rPr>
            <b/>
            <sz val="9"/>
            <color indexed="81"/>
            <rFont val="Tahoma"/>
            <family val="2"/>
          </rPr>
          <t>Cassel, Lauren (Research):</t>
        </r>
        <r>
          <rPr>
            <sz val="9"/>
            <color indexed="81"/>
            <rFont val="Tahoma"/>
            <family val="2"/>
          </rPr>
          <t xml:space="preserve">
3/16/18: guidance: effective income tax rate in the high 20s</t>
        </r>
      </text>
    </comment>
    <comment ref="DB108" authorId="0">
      <text>
        <r>
          <rPr>
            <b/>
            <sz val="9"/>
            <color indexed="81"/>
            <rFont val="Tahoma"/>
            <family val="2"/>
          </rPr>
          <t>Turley, Amber (Research):</t>
        </r>
        <r>
          <rPr>
            <sz val="9"/>
            <color indexed="81"/>
            <rFont val="Tahoma"/>
            <family val="2"/>
          </rPr>
          <t xml:space="preserve">
3/20/15: Guidance 30% decline in net earnings. 8. The assumptions for declines in net earnings in the first and second quarters are tied to the sales expectations noted above, and the related effects on gross margin, along with higher marketing spending tied to the launch of the watch collection.</t>
        </r>
      </text>
    </comment>
    <comment ref="DF108" authorId="0">
      <text>
        <r>
          <rPr>
            <b/>
            <sz val="9"/>
            <color indexed="81"/>
            <rFont val="Tahoma"/>
            <family val="2"/>
          </rPr>
          <t>Turley, Amber (Research):</t>
        </r>
        <r>
          <rPr>
            <sz val="9"/>
            <color indexed="81"/>
            <rFont val="Tahoma"/>
            <family val="2"/>
          </rPr>
          <t xml:space="preserve">
3/20/15: Guidance 30% decline in net earnings. 8. The assumptions for declines in net earnings in the first and second quarters are tied to the sales expectations noted above, and the related effects on gross margin, along with higher marketing spending tied to the launch of the watch collection.</t>
        </r>
      </text>
    </comment>
    <comment ref="CY109" authorId="7">
      <text>
        <r>
          <rPr>
            <b/>
            <sz val="9"/>
            <color indexed="81"/>
            <rFont val="Tahoma"/>
            <family val="2"/>
          </rPr>
          <t>turleamb:</t>
        </r>
        <r>
          <rPr>
            <sz val="9"/>
            <color indexed="81"/>
            <rFont val="Tahoma"/>
            <family val="2"/>
          </rPr>
          <t xml:space="preserve">
5/20/14: guidance: Uncertainty about the timing of sales improvement in Japan, as well as higher marketing spending, are expected to result in the second quarter`s net earnings approximately equal to the prior year.</t>
        </r>
      </text>
    </comment>
    <comment ref="DB109" authorId="0">
      <text>
        <r>
          <rPr>
            <b/>
            <sz val="9"/>
            <color indexed="81"/>
            <rFont val="Tahoma"/>
            <family val="2"/>
          </rPr>
          <t>Turley, Amber (Research):</t>
        </r>
        <r>
          <rPr>
            <sz val="9"/>
            <color indexed="81"/>
            <rFont val="Tahoma"/>
            <family val="2"/>
          </rPr>
          <t xml:space="preserve">
3/20/15: Guidance: more modest decline in net earnings than 1Q's -30%. 8. The assumptions for declines in net earnings in the first and second quarters are tied to the sales expectations noted above, and the related effects on gross margin, along with higher marketing spending tied to the launch of the watch collection.</t>
        </r>
      </text>
    </comment>
    <comment ref="DF109" authorId="0">
      <text>
        <r>
          <rPr>
            <b/>
            <sz val="9"/>
            <color indexed="81"/>
            <rFont val="Tahoma"/>
            <family val="2"/>
          </rPr>
          <t>Turley, Amber (Research):</t>
        </r>
        <r>
          <rPr>
            <sz val="9"/>
            <color indexed="81"/>
            <rFont val="Tahoma"/>
            <family val="2"/>
          </rPr>
          <t xml:space="preserve">
3/20/15: Guidance: more modest decline in net earnings than 1Q's -30%. 8. The assumptions for declines in net earnings in the first and second quarters are tied to the sales expectations noted above, and the related effects on gross margin, along with higher marketing spending tied to the launch of the watch collection.</t>
        </r>
      </text>
    </comment>
    <comment ref="DB110" authorId="0">
      <text>
        <r>
          <rPr>
            <b/>
            <sz val="9"/>
            <color indexed="81"/>
            <rFont val="Tahoma"/>
            <family val="2"/>
          </rPr>
          <t>Turley, Amber (Research):</t>
        </r>
        <r>
          <rPr>
            <sz val="9"/>
            <color indexed="81"/>
            <rFont val="Tahoma"/>
            <family val="2"/>
          </rPr>
          <t xml:space="preserve">
3/20/15: Guidance: +DD% net earnings growth</t>
        </r>
      </text>
    </comment>
    <comment ref="DF110" authorId="0">
      <text>
        <r>
          <rPr>
            <b/>
            <sz val="9"/>
            <color indexed="81"/>
            <rFont val="Tahoma"/>
            <family val="2"/>
          </rPr>
          <t>Turley, Amber (Research):</t>
        </r>
        <r>
          <rPr>
            <sz val="9"/>
            <color indexed="81"/>
            <rFont val="Tahoma"/>
            <family val="2"/>
          </rPr>
          <t xml:space="preserve">
3/20/15: Guidance: +DD% net earnings growth</t>
        </r>
      </text>
    </comment>
    <comment ref="BR111" authorId="16">
      <text>
        <r>
          <rPr>
            <b/>
            <sz val="8"/>
            <color indexed="81"/>
            <rFont val="Tahoma"/>
            <family val="2"/>
          </rPr>
          <t>oc48540:</t>
        </r>
        <r>
          <rPr>
            <sz val="8"/>
            <color indexed="81"/>
            <rFont val="Tahoma"/>
            <family val="2"/>
          </rPr>
          <t xml:space="preserve">
Add back of $0.05 impairment charge related to Little Switzerland Inc. to tie to FC</t>
        </r>
      </text>
    </comment>
    <comment ref="DB111" authorId="0">
      <text>
        <r>
          <rPr>
            <b/>
            <sz val="9"/>
            <color indexed="81"/>
            <rFont val="Tahoma"/>
            <family val="2"/>
          </rPr>
          <t>Turley, Amber (Research):</t>
        </r>
        <r>
          <rPr>
            <sz val="9"/>
            <color indexed="81"/>
            <rFont val="Tahoma"/>
            <family val="2"/>
          </rPr>
          <t xml:space="preserve">
3/20/15: Guidance: +DD% net earnings growth</t>
        </r>
      </text>
    </comment>
    <comment ref="DF111" authorId="0">
      <text>
        <r>
          <rPr>
            <b/>
            <sz val="9"/>
            <color indexed="81"/>
            <rFont val="Tahoma"/>
            <family val="2"/>
          </rPr>
          <t>Turley, Amber (Research):</t>
        </r>
        <r>
          <rPr>
            <sz val="9"/>
            <color indexed="81"/>
            <rFont val="Tahoma"/>
            <family val="2"/>
          </rPr>
          <t xml:space="preserve">
3/20/15: Guidance: +DD% net earnings growth</t>
        </r>
      </text>
    </comment>
    <comment ref="CP112" authorId="10">
      <text>
        <r>
          <rPr>
            <sz val="8"/>
            <color indexed="81"/>
            <rFont val="Tahoma"/>
            <family val="2"/>
          </rPr>
          <t>11/29/12: expects 409-435
8/27/12: expects 454-473</t>
        </r>
      </text>
    </comment>
    <comment ref="CT112" authorId="7">
      <text>
        <r>
          <rPr>
            <b/>
            <sz val="8"/>
            <color indexed="81"/>
            <rFont val="Tahoma"/>
            <family val="2"/>
          </rPr>
          <t>turleamb:</t>
        </r>
        <r>
          <rPr>
            <sz val="8"/>
            <color indexed="81"/>
            <rFont val="Tahoma"/>
            <family val="2"/>
          </rPr>
          <t xml:space="preserve">
8/27/13: EPS guidance excludes $0.05 per diluted share expenses tied to cost-reduction efforts recorded in 1Q</t>
        </r>
      </text>
    </comment>
    <comment ref="V121" authorId="9">
      <text>
        <r>
          <rPr>
            <b/>
            <sz val="8"/>
            <color indexed="81"/>
            <rFont val="Tahoma"/>
            <family val="2"/>
          </rPr>
          <t>SB:</t>
        </r>
        <r>
          <rPr>
            <sz val="8"/>
            <color indexed="81"/>
            <rFont val="Tahoma"/>
            <family val="2"/>
          </rPr>
          <t xml:space="preserve">
estimate</t>
        </r>
      </text>
    </comment>
    <comment ref="Z121" authorId="9">
      <text>
        <r>
          <rPr>
            <b/>
            <sz val="8"/>
            <color indexed="81"/>
            <rFont val="Tahoma"/>
            <family val="2"/>
          </rPr>
          <t>SB:</t>
        </r>
        <r>
          <rPr>
            <sz val="8"/>
            <color indexed="81"/>
            <rFont val="Tahoma"/>
            <family val="2"/>
          </rPr>
          <t xml:space="preserve">
estimate</t>
        </r>
      </text>
    </comment>
    <comment ref="BZ138" authorId="2">
      <text>
        <r>
          <rPr>
            <b/>
            <sz val="8"/>
            <color indexed="81"/>
            <rFont val="Tahoma"/>
            <family val="2"/>
          </rPr>
          <t>mm98285:</t>
        </r>
        <r>
          <rPr>
            <sz val="8"/>
            <color indexed="81"/>
            <rFont val="Tahoma"/>
            <family val="2"/>
          </rPr>
          <t xml:space="preserve">
$0.02 benefit from FX</t>
        </r>
      </text>
    </comment>
    <comment ref="CH138" authorId="11">
      <text>
        <r>
          <rPr>
            <b/>
            <sz val="8"/>
            <color indexed="81"/>
            <rFont val="Tahoma"/>
            <family val="2"/>
          </rPr>
          <t>marchant:</t>
        </r>
        <r>
          <rPr>
            <sz val="8"/>
            <color indexed="81"/>
            <rFont val="Tahoma"/>
            <family val="2"/>
          </rPr>
          <t xml:space="preserve">
excludes 2c tax benefit </t>
        </r>
      </text>
    </comment>
    <comment ref="CL138" authorId="5">
      <text>
        <r>
          <rPr>
            <b/>
            <sz val="8"/>
            <color indexed="81"/>
            <rFont val="Tahoma"/>
            <family val="2"/>
          </rPr>
          <t>nicholjs:</t>
        </r>
        <r>
          <rPr>
            <sz val="8"/>
            <color indexed="81"/>
            <rFont val="Tahoma"/>
            <family val="2"/>
          </rPr>
          <t xml:space="preserve">
2/2011: expect $0.57
note from 3/2011 PR (for 2012 modeling):  financial expectations for 2011, we have assumed some continued periodic store closings or limited store hours in Japan through the end of the first quarter, resulting in worldwide sales growth of 11% in the first quarter, with total Japan sales declining 15%. This leads us to now expect that earnings in the first quarter will be reduced by approximately $0.05 per diluted share from our initial expectation of $0.62 per diluted share to a new expectation of approximately $0.57 per diluted share. </t>
        </r>
      </text>
    </comment>
    <comment ref="CQ138" authorId="13">
      <text>
        <r>
          <rPr>
            <b/>
            <sz val="8"/>
            <color indexed="81"/>
            <rFont val="Tahoma"/>
            <family val="2"/>
          </rPr>
          <t>kahng:</t>
        </r>
        <r>
          <rPr>
            <sz val="8"/>
            <color indexed="81"/>
            <rFont val="Tahoma"/>
            <family val="2"/>
          </rPr>
          <t xml:space="preserve">
3/20/12: very slight EPS growth in Q1-Q3</t>
        </r>
      </text>
    </comment>
    <comment ref="CU138" authorId="10">
      <text>
        <r>
          <rPr>
            <b/>
            <sz val="8"/>
            <color indexed="81"/>
            <rFont val="Tahoma"/>
            <family val="2"/>
          </rPr>
          <t>casselau:</t>
        </r>
        <r>
          <rPr>
            <sz val="8"/>
            <color indexed="81"/>
            <rFont val="Tahoma"/>
            <family val="2"/>
          </rPr>
          <t xml:space="preserve">
3/22/13: expect negative 15-20% growth due to gross margin pressure and higher marketing-related costs, to be followed by earnings growth in all subsequent quarters; In addition, this forecast excludes $0.05 per diluted share of expected first quarter charges for staffing and occupancy adjustments</t>
        </r>
      </text>
    </comment>
    <comment ref="DB138" authorId="0">
      <text>
        <r>
          <rPr>
            <b/>
            <sz val="9"/>
            <color indexed="81"/>
            <rFont val="Tahoma"/>
            <family val="2"/>
          </rPr>
          <t>Turley, Amber (Research):</t>
        </r>
        <r>
          <rPr>
            <sz val="9"/>
            <color indexed="81"/>
            <rFont val="Tahoma"/>
            <family val="2"/>
          </rPr>
          <t xml:space="preserve">
3/20/15: Guidance 30% decline in net earnings</t>
        </r>
      </text>
    </comment>
    <comment ref="DF138" authorId="10">
      <text>
        <r>
          <rPr>
            <b/>
            <sz val="9"/>
            <color indexed="81"/>
            <rFont val="Tahoma"/>
            <family val="2"/>
          </rPr>
          <t xml:space="preserve">casselau:
5/15/16: </t>
        </r>
        <r>
          <rPr>
            <sz val="9"/>
            <color indexed="81"/>
            <rFont val="Tahoma"/>
            <family val="2"/>
          </rPr>
          <t xml:space="preserve">includes a tax benefit of $0.05 per diluted share related to the settlement of a tax examination (-21% EPS decline ex benefit) 
3/18/16: Based on QTD sales trends an assumption of gradual improvement over the course of the year, mgmt expects 1Q EPS </t>
        </r>
        <r>
          <rPr>
            <b/>
            <sz val="9"/>
            <color indexed="81"/>
            <rFont val="Tahoma"/>
            <family val="2"/>
          </rPr>
          <t>may decline by 15-20%</t>
        </r>
      </text>
    </comment>
    <comment ref="BZ139" authorId="2">
      <text>
        <r>
          <rPr>
            <b/>
            <sz val="8"/>
            <color indexed="81"/>
            <rFont val="Tahoma"/>
            <family val="2"/>
          </rPr>
          <t>mm98285:</t>
        </r>
        <r>
          <rPr>
            <sz val="8"/>
            <color indexed="81"/>
            <rFont val="Tahoma"/>
            <family val="2"/>
          </rPr>
          <t xml:space="preserve">
$0.02 benefit from FX</t>
        </r>
      </text>
    </comment>
    <comment ref="CD139" authorId="2">
      <text>
        <r>
          <rPr>
            <b/>
            <sz val="8"/>
            <color indexed="81"/>
            <rFont val="Tahoma"/>
            <family val="2"/>
          </rPr>
          <t>mm98285:</t>
        </r>
        <r>
          <rPr>
            <sz val="8"/>
            <color indexed="81"/>
            <rFont val="Tahoma"/>
            <family val="2"/>
          </rPr>
          <t xml:space="preserve">
excludes $0.02 from Tahera gain and $0.05 from lower tax rate</t>
        </r>
      </text>
    </comment>
    <comment ref="CH139" authorId="11">
      <text>
        <r>
          <rPr>
            <b/>
            <sz val="8"/>
            <color indexed="81"/>
            <rFont val="Tahoma"/>
            <family val="2"/>
          </rPr>
          <t>marchant:</t>
        </r>
        <r>
          <rPr>
            <sz val="8"/>
            <color indexed="81"/>
            <rFont val="Tahoma"/>
            <family val="2"/>
          </rPr>
          <t xml:space="preserve">
excludes 2c non recurring expenses</t>
        </r>
      </text>
    </comment>
    <comment ref="CL139" authorId="5">
      <text>
        <r>
          <rPr>
            <b/>
            <sz val="8"/>
            <color indexed="81"/>
            <rFont val="Tahoma"/>
            <family val="2"/>
          </rPr>
          <t>nicholjs:</t>
        </r>
        <r>
          <rPr>
            <sz val="8"/>
            <color indexed="81"/>
            <rFont val="Tahoma"/>
            <family val="2"/>
          </rPr>
          <t xml:space="preserve">
excludes $0.16 of expenses related to relocation of NY headquarters staff</t>
        </r>
      </text>
    </comment>
    <comment ref="CP139" authorId="6">
      <text>
        <r>
          <rPr>
            <b/>
            <sz val="8"/>
            <color indexed="81"/>
            <rFont val="Tahoma"/>
            <family val="2"/>
          </rPr>
          <t>P Kahng:</t>
        </r>
        <r>
          <rPr>
            <sz val="8"/>
            <color indexed="81"/>
            <rFont val="Tahoma"/>
            <family val="2"/>
          </rPr>
          <t xml:space="preserve">
7/6/12: Prior est was 82c</t>
        </r>
      </text>
    </comment>
    <comment ref="CQ139" authorId="13">
      <text>
        <r>
          <rPr>
            <b/>
            <sz val="8"/>
            <color indexed="81"/>
            <rFont val="Tahoma"/>
            <family val="2"/>
          </rPr>
          <t>kahng:</t>
        </r>
        <r>
          <rPr>
            <sz val="8"/>
            <color indexed="81"/>
            <rFont val="Tahoma"/>
            <family val="2"/>
          </rPr>
          <t xml:space="preserve">
3/20/12: very slight EPS growth in Q1-Q3</t>
        </r>
      </text>
    </comment>
    <comment ref="CT139" authorId="10">
      <text>
        <r>
          <rPr>
            <b/>
            <sz val="8"/>
            <color indexed="81"/>
            <rFont val="Tahoma"/>
            <family val="2"/>
          </rPr>
          <t>casselau:</t>
        </r>
        <r>
          <rPr>
            <sz val="8"/>
            <color indexed="81"/>
            <rFont val="Tahoma"/>
            <family val="2"/>
          </rPr>
          <t xml:space="preserve">
5/28/13: expect net earnings to be equal with prior year</t>
        </r>
      </text>
    </comment>
    <comment ref="CU139" authorId="10">
      <text>
        <r>
          <rPr>
            <b/>
            <sz val="8"/>
            <color indexed="81"/>
            <rFont val="Tahoma"/>
            <family val="2"/>
          </rPr>
          <t>casselau:</t>
        </r>
        <r>
          <rPr>
            <sz val="8"/>
            <color indexed="81"/>
            <rFont val="Tahoma"/>
            <family val="2"/>
          </rPr>
          <t xml:space="preserve">
5/28/13: expect net earnings to be equal with prior year</t>
        </r>
      </text>
    </comment>
    <comment ref="DB139" authorId="0">
      <text>
        <r>
          <rPr>
            <b/>
            <sz val="9"/>
            <color indexed="81"/>
            <rFont val="Tahoma"/>
            <family val="2"/>
          </rPr>
          <t>5/27/15: expect "more moderate rate of decline" than 1Q</t>
        </r>
        <r>
          <rPr>
            <sz val="9"/>
            <color indexed="81"/>
            <rFont val="Tahoma"/>
            <family val="2"/>
          </rPr>
          <t xml:space="preserve">
3/20/15: Guidance: more modest decline in net earnings than 1Q's -30%</t>
        </r>
      </text>
    </comment>
    <comment ref="DF139" authorId="10">
      <text>
        <r>
          <rPr>
            <b/>
            <sz val="9"/>
            <color indexed="81"/>
            <rFont val="Tahoma"/>
            <family val="2"/>
          </rPr>
          <t>casselau:
5/25/16: now expect 2Q EPS to decline by a similar rate as 1Q</t>
        </r>
        <r>
          <rPr>
            <sz val="9"/>
            <color indexed="81"/>
            <rFont val="Tahoma"/>
            <family val="2"/>
          </rPr>
          <t xml:space="preserve">
3/18/16: guidance -5% to -10% decline</t>
        </r>
      </text>
    </comment>
    <comment ref="BR140" authorId="2">
      <text>
        <r>
          <rPr>
            <b/>
            <sz val="8"/>
            <color indexed="81"/>
            <rFont val="Tahoma"/>
            <family val="2"/>
          </rPr>
          <t>mm98285:</t>
        </r>
        <r>
          <rPr>
            <sz val="8"/>
            <color indexed="81"/>
            <rFont val="Tahoma"/>
            <family val="2"/>
          </rPr>
          <t xml:space="preserve">
2/08: includes $0.03 from gain from sales of investments/securities</t>
        </r>
      </text>
    </comment>
    <comment ref="BV140" authorId="2">
      <text>
        <r>
          <rPr>
            <b/>
            <sz val="8"/>
            <color indexed="81"/>
            <rFont val="Tahoma"/>
            <family val="2"/>
          </rPr>
          <t>mm98285:</t>
        </r>
        <r>
          <rPr>
            <sz val="8"/>
            <color indexed="81"/>
            <rFont val="Tahoma"/>
            <family val="2"/>
          </rPr>
          <t xml:space="preserve">
11/07: excludes $0.48 gain from sale of Tokyo store and $0.04 exp for the contribution to the Tif Foundation</t>
        </r>
      </text>
    </comment>
    <comment ref="BZ140" authorId="2">
      <text>
        <r>
          <rPr>
            <b/>
            <sz val="8"/>
            <color indexed="81"/>
            <rFont val="Tahoma"/>
            <family val="2"/>
          </rPr>
          <t>mm98285:</t>
        </r>
        <r>
          <rPr>
            <sz val="8"/>
            <color indexed="81"/>
            <rFont val="Tahoma"/>
            <family val="2"/>
          </rPr>
          <t xml:space="preserve">
$0.39 excludes 3c write off from interest rate swap</t>
        </r>
      </text>
    </comment>
    <comment ref="CD140" authorId="2">
      <text>
        <r>
          <rPr>
            <b/>
            <sz val="8"/>
            <color indexed="81"/>
            <rFont val="Tahoma"/>
            <family val="2"/>
          </rPr>
          <t>mm98285:</t>
        </r>
        <r>
          <rPr>
            <sz val="8"/>
            <color indexed="81"/>
            <rFont val="Tahoma"/>
            <family val="2"/>
          </rPr>
          <t xml:space="preserve">
11/09: excludes net 1c benefit (3c sourcing charge &amp; 4c tax benefit)</t>
        </r>
      </text>
    </comment>
    <comment ref="CP140" authorId="6">
      <text>
        <r>
          <rPr>
            <b/>
            <sz val="8"/>
            <color indexed="81"/>
            <rFont val="Tahoma"/>
            <family val="2"/>
          </rPr>
          <t xml:space="preserve">8/27/12: </t>
        </r>
        <r>
          <rPr>
            <sz val="8"/>
            <color indexed="81"/>
            <rFont val="Tahoma"/>
            <family val="2"/>
          </rPr>
          <t>continue to expect an earnings decline in 3Q</t>
        </r>
        <r>
          <rPr>
            <b/>
            <sz val="8"/>
            <color indexed="81"/>
            <rFont val="Tahoma"/>
            <family val="2"/>
          </rPr>
          <t xml:space="preserve">
P Kahng:</t>
        </r>
        <r>
          <rPr>
            <sz val="8"/>
            <color indexed="81"/>
            <rFont val="Tahoma"/>
            <family val="2"/>
          </rPr>
          <t xml:space="preserve">
7/6/12: prior est 67c</t>
        </r>
      </text>
    </comment>
    <comment ref="CQ140" authorId="13">
      <text>
        <r>
          <rPr>
            <b/>
            <sz val="8"/>
            <color indexed="81"/>
            <rFont val="Tahoma"/>
            <family val="2"/>
          </rPr>
          <t>kahng:</t>
        </r>
        <r>
          <rPr>
            <sz val="8"/>
            <color indexed="81"/>
            <rFont val="Tahoma"/>
            <family val="2"/>
          </rPr>
          <t xml:space="preserve">
3/20/12: very slight EPS growth in Q1-Q3</t>
        </r>
      </text>
    </comment>
    <comment ref="DB140" authorId="0">
      <text>
        <r>
          <rPr>
            <b/>
            <sz val="9"/>
            <color indexed="81"/>
            <rFont val="Tahoma"/>
            <family val="2"/>
          </rPr>
          <t xml:space="preserve">8/27/15: expect no earnings growth in 3Q
</t>
        </r>
        <r>
          <rPr>
            <sz val="9"/>
            <color indexed="81"/>
            <rFont val="Tahoma"/>
            <family val="2"/>
          </rPr>
          <t xml:space="preserve">
3/20/15: Guidance: +DD% net earnings growth</t>
        </r>
      </text>
    </comment>
    <comment ref="DF140" authorId="10">
      <text>
        <r>
          <rPr>
            <b/>
            <sz val="9"/>
            <color indexed="81"/>
            <rFont val="Tahoma"/>
            <family val="2"/>
          </rPr>
          <t>casselau:</t>
        </r>
        <r>
          <rPr>
            <sz val="9"/>
            <color indexed="81"/>
            <rFont val="Tahoma"/>
            <family val="2"/>
          </rPr>
          <t xml:space="preserve">
3/18/16: expect resumption to EPS growth in 2H</t>
        </r>
      </text>
    </comment>
    <comment ref="BZ141" authorId="2">
      <text>
        <r>
          <rPr>
            <b/>
            <sz val="8"/>
            <color indexed="81"/>
            <rFont val="Tahoma"/>
            <family val="2"/>
          </rPr>
          <t>mm98285:</t>
        </r>
        <r>
          <rPr>
            <sz val="8"/>
            <color indexed="81"/>
            <rFont val="Tahoma"/>
            <family val="2"/>
          </rPr>
          <t xml:space="preserve">
1/09: $0.76-$0.81</t>
        </r>
      </text>
    </comment>
    <comment ref="CD141" authorId="2">
      <text>
        <r>
          <rPr>
            <b/>
            <sz val="8"/>
            <color indexed="81"/>
            <rFont val="Tahoma"/>
            <family val="2"/>
          </rPr>
          <t>mm98285:</t>
        </r>
        <r>
          <rPr>
            <sz val="8"/>
            <color indexed="81"/>
            <rFont val="Tahoma"/>
            <family val="2"/>
          </rPr>
          <t xml:space="preserve">
11/09: full year guidance implies $0.86-$0.96</t>
        </r>
      </text>
    </comment>
    <comment ref="CL141" authorId="15">
      <text>
        <r>
          <rPr>
            <b/>
            <sz val="8"/>
            <color indexed="81"/>
            <rFont val="Tahoma"/>
            <family val="2"/>
          </rPr>
          <t>solejay:
1/10/2012</t>
        </r>
        <r>
          <rPr>
            <sz val="8"/>
            <color indexed="81"/>
            <rFont val="Tahoma"/>
            <family val="2"/>
          </rPr>
          <t>: $1.54 prior est - updated implied guidance $1.37-1.42 (full year $3.60-3.65)</t>
        </r>
        <r>
          <rPr>
            <b/>
            <sz val="8"/>
            <color indexed="81"/>
            <rFont val="Tahoma"/>
            <family val="2"/>
          </rPr>
          <t xml:space="preserve">
</t>
        </r>
        <r>
          <rPr>
            <sz val="8"/>
            <color indexed="81"/>
            <rFont val="Tahoma"/>
            <family val="2"/>
          </rPr>
          <t>11/2011: implied $1.48-1.58</t>
        </r>
        <r>
          <rPr>
            <sz val="8"/>
            <color indexed="81"/>
            <rFont val="Tahoma"/>
            <family val="2"/>
          </rPr>
          <t xml:space="preserve">
11/29/11: Mr. Kowalski added, “Tiffany is extremely well-positioned to serve growing numbers of discerning customers around the world with extraordinary product offerings and superior shopping experiences. </t>
        </r>
        <r>
          <rPr>
            <b/>
            <sz val="8"/>
            <color indexed="81"/>
            <rFont val="Tahoma"/>
            <family val="2"/>
          </rPr>
          <t xml:space="preserve">We are, of course, mindful of continued short-term economic challenges and uncertainties in some markets. Worldwide sales-to-date at this relatively early stage of our November-December holiday season are tracking in-line with our current expectations despite recent sales weaknesses in Europe and in the eastern part of the U.S. </t>
        </r>
        <r>
          <rPr>
            <sz val="8"/>
            <color indexed="81"/>
            <rFont val="Tahoma"/>
            <family val="2"/>
          </rPr>
          <t xml:space="preserve">
CFO added - "we believe we have factored a reasonable degree of caution into our latest forecast."</t>
        </r>
      </text>
    </comment>
    <comment ref="CP141" authorId="6">
      <text>
        <r>
          <rPr>
            <sz val="8"/>
            <color indexed="81"/>
            <rFont val="Tahoma"/>
            <family val="2"/>
          </rPr>
          <t>1/10/13: holiday: now expect to be at lower end of implied 1.35-1.55 guidance</t>
        </r>
        <r>
          <rPr>
            <b/>
            <sz val="8"/>
            <color indexed="81"/>
            <rFont val="Tahoma"/>
            <family val="2"/>
          </rPr>
          <t xml:space="preserve">
P Kahng:</t>
        </r>
        <r>
          <rPr>
            <sz val="8"/>
            <color indexed="81"/>
            <rFont val="Tahoma"/>
            <family val="2"/>
          </rPr>
          <t xml:space="preserve">
7/6/12: prior est 1.61</t>
        </r>
      </text>
    </comment>
    <comment ref="DB141" authorId="0">
      <text>
        <r>
          <rPr>
            <b/>
            <sz val="9"/>
            <color indexed="81"/>
            <rFont val="Tahoma"/>
            <family val="2"/>
          </rPr>
          <t>Turley, Amber (Research):</t>
        </r>
        <r>
          <rPr>
            <sz val="9"/>
            <color indexed="81"/>
            <rFont val="Tahoma"/>
            <family val="2"/>
          </rPr>
          <t xml:space="preserve">
3/20/15: Guidance: +DD% net earnings growth</t>
        </r>
      </text>
    </comment>
    <comment ref="BB142" authorId="2">
      <text>
        <r>
          <rPr>
            <b/>
            <sz val="8"/>
            <color indexed="81"/>
            <rFont val="Tahoma"/>
            <family val="2"/>
          </rPr>
          <t>mm98285:</t>
        </r>
        <r>
          <rPr>
            <sz val="8"/>
            <color indexed="81"/>
            <rFont val="Tahoma"/>
            <family val="2"/>
          </rPr>
          <t xml:space="preserve">
2006 10K says $1.28</t>
        </r>
      </text>
    </comment>
    <comment ref="BJ142" authorId="9">
      <text>
        <r>
          <rPr>
            <b/>
            <sz val="8"/>
            <color indexed="81"/>
            <rFont val="Tahoma"/>
            <family val="2"/>
          </rPr>
          <t>SB:</t>
        </r>
        <r>
          <rPr>
            <sz val="8"/>
            <color indexed="81"/>
            <rFont val="Tahoma"/>
            <family val="2"/>
          </rPr>
          <t xml:space="preserve">
2006 10K says $2.05
End of 1Q, expected $1.60 EPS</t>
        </r>
      </text>
    </comment>
    <comment ref="BN142" authorId="1">
      <text>
        <r>
          <rPr>
            <b/>
            <sz val="8"/>
            <color indexed="81"/>
            <rFont val="Tahoma"/>
            <family val="2"/>
          </rPr>
          <t>Morry Brown:</t>
        </r>
        <r>
          <rPr>
            <sz val="8"/>
            <color indexed="81"/>
            <rFont val="Tahoma"/>
            <family val="2"/>
          </rPr>
          <t xml:space="preserve">
per 1Q release, guided to $1.45-$1.55… mentioned that if japan comps declined LSD, EPS could come in at the low end of the range (expecting +LSD in japan--in yen)</t>
        </r>
      </text>
    </comment>
    <comment ref="BR142" authorId="2">
      <text>
        <r>
          <rPr>
            <b/>
            <sz val="8"/>
            <color indexed="81"/>
            <rFont val="Tahoma"/>
            <family val="2"/>
          </rPr>
          <t>mm98285:</t>
        </r>
        <r>
          <rPr>
            <sz val="8"/>
            <color indexed="81"/>
            <rFont val="Tahoma"/>
            <family val="2"/>
          </rPr>
          <t xml:space="preserve">
2/08: 3Q EPS guide to $2.69-$2.74 including $0.48 after-tax gian and $0.04 after-tax contribution to Tiffany Foundation (ex those 2 items, expect EPS of $2.25-$.30 vs. prior expectation of $2.22-$2.27)
10K says $1.80
</t>
        </r>
        <r>
          <rPr>
            <b/>
            <sz val="8"/>
            <color indexed="81"/>
            <rFont val="Tahoma"/>
            <family val="2"/>
          </rPr>
          <t xml:space="preserve">Ping Wang:
</t>
        </r>
        <r>
          <rPr>
            <sz val="8"/>
            <color indexed="81"/>
            <rFont val="Tahoma"/>
            <family val="2"/>
          </rPr>
          <t>4Q first call: Earnings for the year rose to $1.80 per diluted share,….excluding the impairment charge of 0.05 per diluted share…EPS would have also been at the high end of the most recent guidance of $1.82-1.85.</t>
        </r>
      </text>
    </comment>
    <comment ref="BV142" authorId="2">
      <text>
        <r>
          <rPr>
            <b/>
            <sz val="8"/>
            <color indexed="81"/>
            <rFont val="Tahoma"/>
            <family val="2"/>
          </rPr>
          <t>mm98285:</t>
        </r>
        <r>
          <rPr>
            <sz val="8"/>
            <color indexed="81"/>
            <rFont val="Tahoma"/>
            <family val="2"/>
          </rPr>
          <t xml:space="preserve">
1/08: expect $2.25-$2.28 (ex $0.48 gain from sale of Tokyo store, $0.04 contribution to Tif Foundation, and $0.09 charge related to dicon't of certain watches)
11/07: expect $2.25-$2.30 ex $0.48 gain from sale of Tokyo store and $0.04 contribution to Tif Foundation
8/30/07: $2.22-$2.27 vs. prior expectation of $2.10-$2.15
2006 10K: guided to 15% EPS growth or $2.07 off of $1.80</t>
        </r>
      </text>
    </comment>
    <comment ref="BW142" authorId="2">
      <text>
        <r>
          <rPr>
            <b/>
            <sz val="8"/>
            <color indexed="81"/>
            <rFont val="Tahoma"/>
            <family val="2"/>
          </rPr>
          <t>mm98285:</t>
        </r>
        <r>
          <rPr>
            <sz val="8"/>
            <color indexed="81"/>
            <rFont val="Tahoma"/>
            <family val="2"/>
          </rPr>
          <t xml:space="preserve">
2006 10K: guided to 15% EPS growth</t>
        </r>
      </text>
    </comment>
    <comment ref="BZ142" authorId="2">
      <text>
        <r>
          <rPr>
            <b/>
            <sz val="8"/>
            <color indexed="81"/>
            <rFont val="Tahoma"/>
            <family val="2"/>
          </rPr>
          <t>mm98285:</t>
        </r>
        <r>
          <rPr>
            <sz val="8"/>
            <color indexed="81"/>
            <rFont val="Tahoma"/>
            <family val="2"/>
          </rPr>
          <t xml:space="preserve">
1/09: $2.25-$2.30
11/08: $2.30-$2.50
8/08: $2.82-$2.92
5/08: $2.80-$2.90 vs. $2.47 LY
3/08: guided to $2.75-$2.85</t>
        </r>
      </text>
    </comment>
    <comment ref="CD142" authorId="2">
      <text>
        <r>
          <rPr>
            <b/>
            <sz val="8"/>
            <color indexed="81"/>
            <rFont val="Tahoma"/>
            <family val="2"/>
          </rPr>
          <t>mm98285:</t>
        </r>
        <r>
          <rPr>
            <sz val="8"/>
            <color indexed="81"/>
            <rFont val="Tahoma"/>
            <family val="2"/>
          </rPr>
          <t xml:space="preserve">
1/10: expect $1.99-$2.04 ex 1-time items or $2.07-$2.12 incl. 1-time
11/09: $1.80-$1.90 or $1.88-$1.98 (incl. 1-time items)
8/09: $1.65-$1.75
5/09 &amp; 3/09: expect $1.50-$1.60</t>
        </r>
      </text>
    </comment>
    <comment ref="CH142" authorId="4">
      <text>
        <r>
          <rPr>
            <sz val="8"/>
            <color indexed="81"/>
            <rFont val="Tahoma"/>
            <family val="2"/>
          </rPr>
          <t>1/11: expect EPS $2.83-$2.88
11/10: expect EPS $2.72-$2.77
8/10: expect EPS $2.60-$2.65
5/10: expect EPS $2.55-$2.60
3/10: expect EPS $2.45-$2.50</t>
        </r>
      </text>
    </comment>
    <comment ref="CL142" authorId="5">
      <text>
        <r>
          <rPr>
            <sz val="8"/>
            <color indexed="81"/>
            <rFont val="Tahoma"/>
            <family val="2"/>
          </rPr>
          <t>1/10/12: updated guidance $3.60-3.65
11/2011: expect $3.70-3.80
8/2011: expect $3.65-3.75
5/2011: expect $3.45-3.55 (not including nonrecurring expenses). Noncurring expenses are related to the pending relocation of the NY HQ staff and are expected to reduce net earnings by $0.19per share (with most of that expense to be incurred in 2Q).
3/2011: expect $3.35-3.45 (inclusive of Japan impact in 1Q, but no adjustments 2Q-4Q)</t>
        </r>
      </text>
    </comment>
    <comment ref="CP142" authorId="13">
      <text>
        <r>
          <rPr>
            <b/>
            <sz val="8"/>
            <color indexed="81"/>
            <rFont val="Tahoma"/>
            <family val="2"/>
          </rPr>
          <t xml:space="preserve">1/10/13: </t>
        </r>
        <r>
          <rPr>
            <sz val="8"/>
            <color indexed="81"/>
            <rFont val="Tahoma"/>
            <family val="2"/>
          </rPr>
          <t>holiday: now expect to be at lower end of 3.20-3.40 guidance</t>
        </r>
        <r>
          <rPr>
            <b/>
            <sz val="8"/>
            <color indexed="81"/>
            <rFont val="Tahoma"/>
            <family val="2"/>
          </rPr>
          <t xml:space="preserve">
11/29/12: </t>
        </r>
        <r>
          <rPr>
            <sz val="8"/>
            <color indexed="81"/>
            <rFont val="Tahoma"/>
            <family val="2"/>
          </rPr>
          <t>3.20-3.40</t>
        </r>
        <r>
          <rPr>
            <b/>
            <sz val="8"/>
            <color indexed="81"/>
            <rFont val="Tahoma"/>
            <family val="2"/>
          </rPr>
          <t xml:space="preserve">
8/27/12: </t>
        </r>
        <r>
          <rPr>
            <sz val="8"/>
            <color indexed="81"/>
            <rFont val="Tahoma"/>
            <family val="2"/>
          </rPr>
          <t>3.55-3.70</t>
        </r>
        <r>
          <rPr>
            <b/>
            <sz val="8"/>
            <color indexed="81"/>
            <rFont val="Tahoma"/>
            <family val="2"/>
          </rPr>
          <t xml:space="preserve">
kahng:
7/6/12:</t>
        </r>
        <r>
          <rPr>
            <sz val="8"/>
            <color indexed="81"/>
            <rFont val="Tahoma"/>
            <family val="2"/>
          </rPr>
          <t xml:space="preserve"> prior est $3.75</t>
        </r>
        <r>
          <rPr>
            <b/>
            <sz val="8"/>
            <color indexed="81"/>
            <rFont val="Tahoma"/>
            <family val="2"/>
          </rPr>
          <t xml:space="preserve">
5/24/12: $3.70 - $3.80</t>
        </r>
        <r>
          <rPr>
            <sz val="8"/>
            <color indexed="81"/>
            <rFont val="Tahoma"/>
            <family val="2"/>
          </rPr>
          <t xml:space="preserve">
3/20/12: $3.95 to $4.05</t>
        </r>
      </text>
    </comment>
    <comment ref="CT142" authorId="10">
      <text>
        <r>
          <rPr>
            <b/>
            <sz val="8"/>
            <color indexed="81"/>
            <rFont val="Tahoma"/>
            <family val="2"/>
          </rPr>
          <t>11/26/13:</t>
        </r>
        <r>
          <rPr>
            <sz val="8"/>
            <color indexed="81"/>
            <rFont val="Tahoma"/>
            <family val="2"/>
          </rPr>
          <t xml:space="preserve"> Guidance: $3.65-$3.75</t>
        </r>
        <r>
          <rPr>
            <b/>
            <sz val="8"/>
            <color indexed="81"/>
            <rFont val="Tahoma"/>
            <family val="2"/>
          </rPr>
          <t xml:space="preserve">
8/27/13: </t>
        </r>
        <r>
          <rPr>
            <sz val="8"/>
            <color indexed="81"/>
            <rFont val="Tahoma"/>
            <family val="2"/>
          </rPr>
          <t>raised to $3.50-3.60</t>
        </r>
        <r>
          <rPr>
            <b/>
            <sz val="8"/>
            <color indexed="81"/>
            <rFont val="Tahoma"/>
            <family val="2"/>
          </rPr>
          <t xml:space="preserve">
5/28/13: </t>
        </r>
        <r>
          <rPr>
            <sz val="8"/>
            <color indexed="81"/>
            <rFont val="Tahoma"/>
            <family val="2"/>
          </rPr>
          <t>reit $3.43-$3.53 (excludes 5c of expenses in 2Q)</t>
        </r>
        <r>
          <rPr>
            <b/>
            <sz val="8"/>
            <color indexed="81"/>
            <rFont val="Tahoma"/>
            <family val="2"/>
          </rPr>
          <t xml:space="preserve">
3/22/13: $3.43-$3.53
casselau:</t>
        </r>
        <r>
          <rPr>
            <sz val="8"/>
            <color indexed="81"/>
            <rFont val="Tahoma"/>
            <family val="2"/>
          </rPr>
          <t xml:space="preserve">
1/10/13: expect net earnings growth of 6-9% </t>
        </r>
      </text>
    </comment>
    <comment ref="CU142" authorId="10">
      <text>
        <r>
          <rPr>
            <b/>
            <sz val="8"/>
            <color indexed="81"/>
            <rFont val="Tahoma"/>
            <family val="2"/>
          </rPr>
          <t xml:space="preserve">casselau:
</t>
        </r>
        <r>
          <rPr>
            <sz val="8"/>
            <color indexed="81"/>
            <rFont val="Tahoma"/>
            <family val="2"/>
          </rPr>
          <t>5/28/13: operating earnings increasing in-line with sales growth</t>
        </r>
        <r>
          <rPr>
            <sz val="8"/>
            <color indexed="81"/>
            <rFont val="Tahoma"/>
            <family val="2"/>
          </rPr>
          <t xml:space="preserve">
1/10/13: expect net earnings growth of 6-9%</t>
        </r>
      </text>
    </comment>
    <comment ref="CX142" authorId="7">
      <text>
        <r>
          <rPr>
            <b/>
            <sz val="9"/>
            <color indexed="81"/>
            <rFont val="Tahoma"/>
            <family val="2"/>
          </rPr>
          <t>turleamb:</t>
        </r>
        <r>
          <rPr>
            <sz val="9"/>
            <color indexed="81"/>
            <rFont val="Tahoma"/>
            <family val="2"/>
          </rPr>
          <t xml:space="preserve">
1/12/15: Lowered guidance to $4.15-$4.20
8/27/14: Raised guidance to $4.20-$4.30. Didn't roll the full 11c beat into guidance due to tempered macro uncertainties and specifically continued softness in Europe and lingering sales declines in Japan. 
5/20/14: raised guidance $4.15-$4.25. 
3/21/14: guided $4.05-$4.15</t>
        </r>
      </text>
    </comment>
    <comment ref="DB142" authorId="0">
      <text>
        <r>
          <rPr>
            <b/>
            <sz val="9"/>
            <color indexed="81"/>
            <rFont val="Tahoma"/>
            <family val="2"/>
          </rPr>
          <t xml:space="preserve">1/19/16: now expects net earnings to decline -10% (ex. 4c charge for staff and occupancy reductions) 
11/24/15: now expect net earnings 5-10% below last year
</t>
        </r>
        <r>
          <rPr>
            <sz val="9"/>
            <color indexed="81"/>
            <rFont val="Tahoma"/>
            <family val="2"/>
          </rPr>
          <t>8/27/15: now expect net earnings 2-5% below last year
5/27/15: reiterate minimal growth from LY's $4.20 (ex. FX and pension +HSD)
3/20/15: Guideance: minimal growth from LY's $4.20</t>
        </r>
      </text>
    </comment>
    <comment ref="DF142" authorId="10">
      <text>
        <r>
          <rPr>
            <b/>
            <sz val="9"/>
            <color indexed="81"/>
            <rFont val="Tahoma"/>
            <family val="2"/>
          </rPr>
          <t xml:space="preserve">casselau:
1/17/17: expect EPS to decline by "no more" than a -MSD% on an GAAP basis 
11/29/16: maintaining full year outlook for -MSD% EPS decline
8/25/16: maintaining full year outlook for -MSD EPS decline
</t>
        </r>
        <r>
          <rPr>
            <b/>
            <sz val="9"/>
            <color indexed="81"/>
            <rFont val="Tahoma"/>
            <family val="2"/>
          </rPr>
          <t>5/25/16:</t>
        </r>
        <r>
          <rPr>
            <sz val="9"/>
            <color indexed="81"/>
            <rFont val="Tahoma"/>
            <family val="2"/>
          </rPr>
          <t xml:space="preserve"> Now expect full year EPS to decline by a -MSD %</t>
        </r>
        <r>
          <rPr>
            <b/>
            <sz val="9"/>
            <color indexed="81"/>
            <rFont val="Tahoma"/>
            <family val="2"/>
          </rPr>
          <t xml:space="preserve">
3/18/16: </t>
        </r>
        <r>
          <rPr>
            <sz val="9"/>
            <color indexed="81"/>
            <rFont val="Tahoma"/>
            <family val="2"/>
          </rPr>
          <t xml:space="preserve">guidance: unchanged to a mid-single-digit decline compared with 2015's $3.83 per diluted share 
</t>
        </r>
        <r>
          <rPr>
            <sz val="9"/>
            <color indexed="81"/>
            <rFont val="Tahoma"/>
            <family val="2"/>
          </rPr>
          <t xml:space="preserve">
1/19/16: Mgmt currently believes that the strong dollar and global macro challenges will likely result in </t>
        </r>
        <r>
          <rPr>
            <b/>
            <sz val="9"/>
            <color indexed="81"/>
            <rFont val="Tahoma"/>
            <family val="2"/>
          </rPr>
          <t xml:space="preserve">minimal growth in net sales and net earnings, as reported in dollars </t>
        </r>
        <r>
          <rPr>
            <sz val="9"/>
            <color indexed="81"/>
            <rFont val="Tahoma"/>
            <family val="2"/>
          </rPr>
          <t>and excluding charges in 2015, for the year.</t>
        </r>
      </text>
    </comment>
    <comment ref="DJ142" authorId="8">
      <text>
        <r>
          <rPr>
            <b/>
            <sz val="9"/>
            <color indexed="81"/>
            <rFont val="Tahoma"/>
            <family val="2"/>
          </rPr>
          <t xml:space="preserve">Cassel, Lauren (Research):
1/17/18: guidance: "at least +HSD EPS growth"
3/17/17: guidance: +MSD EPS growth (reiterated in May, August, and November)
</t>
        </r>
        <r>
          <rPr>
            <sz val="9"/>
            <color indexed="81"/>
            <rFont val="Tahoma"/>
            <family val="2"/>
          </rPr>
          <t xml:space="preserve">
1/17/17: "Although we do not anticipate any significant improvement in 2017 to the macroeconomic challenges that we faced this year…"</t>
        </r>
      </text>
    </comment>
    <comment ref="DN142" authorId="8">
      <text>
        <r>
          <rPr>
            <b/>
            <sz val="9"/>
            <color indexed="81"/>
            <rFont val="Tahoma"/>
            <family val="2"/>
          </rPr>
          <t>Cassel, Lauren (Research):</t>
        </r>
        <r>
          <rPr>
            <sz val="9"/>
            <color indexed="81"/>
            <rFont val="Tahoma"/>
            <family val="2"/>
          </rPr>
          <t xml:space="preserve">
</t>
        </r>
        <r>
          <rPr>
            <b/>
            <sz val="9"/>
            <color indexed="81"/>
            <rFont val="Tahoma"/>
            <family val="2"/>
          </rPr>
          <t>1/17/18: guidance: EPS flat to down slightly ex. tax reform</t>
        </r>
      </text>
    </comment>
    <comment ref="DO142" authorId="8">
      <text>
        <r>
          <rPr>
            <b/>
            <sz val="9"/>
            <color indexed="81"/>
            <rFont val="Tahoma"/>
            <family val="2"/>
          </rPr>
          <t>Cassel, Lauren (Research):</t>
        </r>
        <r>
          <rPr>
            <sz val="9"/>
            <color indexed="81"/>
            <rFont val="Tahoma"/>
            <family val="2"/>
          </rPr>
          <t xml:space="preserve">
</t>
        </r>
        <r>
          <rPr>
            <b/>
            <sz val="9"/>
            <color indexed="81"/>
            <rFont val="Tahoma"/>
            <family val="2"/>
          </rPr>
          <t>1/17/18: guidance: EPS flat to down slightly ex. tax reform</t>
        </r>
      </text>
    </comment>
    <comment ref="CT151" authorId="7">
      <text>
        <r>
          <rPr>
            <b/>
            <sz val="9"/>
            <color indexed="81"/>
            <rFont val="Tahoma"/>
            <family val="2"/>
          </rPr>
          <t>turleamb:</t>
        </r>
        <r>
          <rPr>
            <sz val="9"/>
            <color indexed="81"/>
            <rFont val="Tahoma"/>
            <family val="2"/>
          </rPr>
          <t xml:space="preserve">
$480.211 arbitration award expense
$8.135 interest benefit
$71.869 tax benefit</t>
        </r>
      </text>
    </comment>
    <comment ref="DO158" authorId="8">
      <text>
        <r>
          <rPr>
            <b/>
            <sz val="9"/>
            <color indexed="81"/>
            <rFont val="Tahoma"/>
            <family val="2"/>
          </rPr>
          <t>Cassel, Lauren (Research):</t>
        </r>
        <r>
          <rPr>
            <sz val="9"/>
            <color indexed="81"/>
            <rFont val="Tahoma"/>
            <family val="2"/>
          </rPr>
          <t xml:space="preserve">
3/16/18: guidance: net earnings and EPS</t>
        </r>
        <r>
          <rPr>
            <b/>
            <sz val="9"/>
            <color indexed="81"/>
            <rFont val="Tahoma"/>
            <family val="2"/>
          </rPr>
          <t xml:space="preserve"> increasing in the first quarter</t>
        </r>
        <r>
          <rPr>
            <sz val="9"/>
            <color indexed="81"/>
            <rFont val="Tahoma"/>
            <family val="2"/>
          </rPr>
          <t xml:space="preserve"> with subsequent quarters’ earnings over the balance of the year affected by the amount and timing of anticipated higher investment spending</t>
        </r>
      </text>
    </comment>
    <comment ref="DO159" authorId="8">
      <text>
        <r>
          <rPr>
            <b/>
            <sz val="9"/>
            <color indexed="81"/>
            <rFont val="Tahoma"/>
            <family val="2"/>
          </rPr>
          <t>Cassel, Lauren (Research):</t>
        </r>
        <r>
          <rPr>
            <sz val="9"/>
            <color indexed="81"/>
            <rFont val="Tahoma"/>
            <family val="2"/>
          </rPr>
          <t xml:space="preserve">
3/16/18: guidance: net earnings and EPS</t>
        </r>
        <r>
          <rPr>
            <b/>
            <sz val="9"/>
            <color indexed="81"/>
            <rFont val="Tahoma"/>
            <family val="2"/>
          </rPr>
          <t xml:space="preserve"> increasing in the first quarter</t>
        </r>
        <r>
          <rPr>
            <sz val="9"/>
            <color indexed="81"/>
            <rFont val="Tahoma"/>
            <family val="2"/>
          </rPr>
          <t xml:space="preserve"> with subsequent quarters’ earnings over the balance of the year affected by the amount and timing of anticipated higher investment spending</t>
        </r>
      </text>
    </comment>
    <comment ref="BR160" authorId="2">
      <text>
        <r>
          <rPr>
            <b/>
            <sz val="8"/>
            <color indexed="81"/>
            <rFont val="Tahoma"/>
            <family val="2"/>
          </rPr>
          <t>mm98285:</t>
        </r>
        <r>
          <rPr>
            <sz val="8"/>
            <color indexed="81"/>
            <rFont val="Tahoma"/>
            <family val="2"/>
          </rPr>
          <t xml:space="preserve">
2/08: includes $0.03 from gain from sales of investments/securities</t>
        </r>
      </text>
    </comment>
    <comment ref="DK160" authorId="8">
      <text>
        <r>
          <rPr>
            <b/>
            <sz val="9"/>
            <color indexed="81"/>
            <rFont val="Tahoma"/>
            <family val="2"/>
          </rPr>
          <t>Cassel, Lauren (Research):</t>
        </r>
        <r>
          <rPr>
            <sz val="9"/>
            <color indexed="81"/>
            <rFont val="Tahoma"/>
            <family val="2"/>
          </rPr>
          <t xml:space="preserve">
8/24/17: guidance: 2H EPS growth with the growth occurring in the fourth quarter. </t>
        </r>
      </text>
    </comment>
    <comment ref="DO160" authorId="8">
      <text>
        <r>
          <rPr>
            <b/>
            <sz val="9"/>
            <color indexed="81"/>
            <rFont val="Tahoma"/>
            <family val="2"/>
          </rPr>
          <t>Cassel, Lauren (Research):</t>
        </r>
        <r>
          <rPr>
            <sz val="9"/>
            <color indexed="81"/>
            <rFont val="Tahoma"/>
            <family val="2"/>
          </rPr>
          <t xml:space="preserve">
3/16/18: guidance: net earnings and EPS</t>
        </r>
        <r>
          <rPr>
            <b/>
            <sz val="9"/>
            <color indexed="81"/>
            <rFont val="Tahoma"/>
            <family val="2"/>
          </rPr>
          <t xml:space="preserve"> increasing in the first quarter</t>
        </r>
        <r>
          <rPr>
            <sz val="9"/>
            <color indexed="81"/>
            <rFont val="Tahoma"/>
            <family val="2"/>
          </rPr>
          <t xml:space="preserve"> with subsequent quarters’ earnings over the balance of the year affected by the amount and timing of anticipated higher investment spending</t>
        </r>
      </text>
    </comment>
    <comment ref="CT161" authorId="7">
      <text>
        <r>
          <rPr>
            <b/>
            <sz val="9"/>
            <color indexed="81"/>
            <rFont val="Tahoma"/>
            <family val="2"/>
          </rPr>
          <t>turleamb:</t>
        </r>
        <r>
          <rPr>
            <sz val="9"/>
            <color indexed="81"/>
            <rFont val="Tahoma"/>
            <family val="2"/>
          </rPr>
          <t xml:space="preserve">
Different weighted avg shares in GAAP  b/c adjusted calculated avg weighted diluted shares of 129.283,000 including 1,091,000 of incremental shares based on assumed exercise of stock options and unvested restricted stock</t>
        </r>
      </text>
    </comment>
    <comment ref="DK161" authorId="8">
      <text>
        <r>
          <rPr>
            <b/>
            <sz val="9"/>
            <color indexed="81"/>
            <rFont val="Tahoma"/>
            <family val="2"/>
          </rPr>
          <t>Cassel, Lauren (Research):</t>
        </r>
        <r>
          <rPr>
            <sz val="9"/>
            <color indexed="81"/>
            <rFont val="Tahoma"/>
            <family val="2"/>
          </rPr>
          <t xml:space="preserve">
8/24/17: guidance: 2H EPS growth with the growth occurring in the fourth quarter. </t>
        </r>
      </text>
    </comment>
    <comment ref="DO161" authorId="8">
      <text>
        <r>
          <rPr>
            <b/>
            <sz val="9"/>
            <color indexed="81"/>
            <rFont val="Tahoma"/>
            <family val="2"/>
          </rPr>
          <t>Cassel, Lauren (Research):</t>
        </r>
        <r>
          <rPr>
            <sz val="9"/>
            <color indexed="81"/>
            <rFont val="Tahoma"/>
            <family val="2"/>
          </rPr>
          <t xml:space="preserve">
3/16/18: guidance: net earnings and EPS</t>
        </r>
        <r>
          <rPr>
            <b/>
            <sz val="9"/>
            <color indexed="81"/>
            <rFont val="Tahoma"/>
            <family val="2"/>
          </rPr>
          <t xml:space="preserve"> increasing in the first quarter</t>
        </r>
        <r>
          <rPr>
            <sz val="9"/>
            <color indexed="81"/>
            <rFont val="Tahoma"/>
            <family val="2"/>
          </rPr>
          <t xml:space="preserve"> with subsequent quarters’ earnings over the balance of the year affected by the amount and timing of anticipated higher investment spending</t>
        </r>
      </text>
    </comment>
    <comment ref="BR162" authorId="2">
      <text>
        <r>
          <rPr>
            <b/>
            <sz val="8"/>
            <color indexed="81"/>
            <rFont val="Tahoma"/>
            <family val="2"/>
          </rPr>
          <t>mm98285:</t>
        </r>
        <r>
          <rPr>
            <sz val="8"/>
            <color indexed="81"/>
            <rFont val="Tahoma"/>
            <family val="2"/>
          </rPr>
          <t xml:space="preserve">
2/08: 3Q EPS guide to $2.49-$2.54 including the charge related to sale of Little Switzerland and losses from ops</t>
        </r>
      </text>
    </comment>
    <comment ref="CT162" authorId="7">
      <text>
        <r>
          <rPr>
            <b/>
            <sz val="8"/>
            <color indexed="81"/>
            <rFont val="Tahoma"/>
            <family val="2"/>
          </rPr>
          <t>turleamb:</t>
        </r>
        <r>
          <rPr>
            <sz val="8"/>
            <color indexed="81"/>
            <rFont val="Tahoma"/>
            <family val="2"/>
          </rPr>
          <t xml:space="preserve">
1/10/14: Reiterated Guidance $3.65-$3.75 (ex Swatch Settlemens of $2.30-$2.35 and $0.05 from 1Q cost reduction initiatives)
11/26/13: Guidance: $3.65-$3.75 (ex $2.30 - $2.35 due to Swatch settlement charge)
8/27/13: $3.50-$3.60 (excludes $0.05 of expenses tie to specific cost reduction initiatives that were recorded in 1Q)</t>
        </r>
      </text>
    </comment>
    <comment ref="CX162" authorId="0">
      <text>
        <r>
          <rPr>
            <b/>
            <sz val="9"/>
            <color indexed="81"/>
            <rFont val="Tahoma"/>
            <family val="2"/>
          </rPr>
          <t>Turley, Amber (Research):</t>
        </r>
        <r>
          <rPr>
            <sz val="9"/>
            <color indexed="81"/>
            <rFont val="Tahoma"/>
            <family val="2"/>
          </rPr>
          <t xml:space="preserve">
per 8-K 9/22/14. 
TIF upsized debt offering to $550m from $500m and priced $250m at 3.8% and $300m at 4.9%. Net interest savings of $14.85m. TIF’s debt extinguishment charge will reduce FY net earnings by ~$55m-$70m and EPS  by ~ $0.43-$0.53. </t>
        </r>
      </text>
    </comment>
    <comment ref="DJ162" authorId="8">
      <text>
        <r>
          <rPr>
            <b/>
            <sz val="9"/>
            <color indexed="81"/>
            <rFont val="Tahoma"/>
            <family val="2"/>
          </rPr>
          <t>Cassel, Lauren (Research):
1/17/18: guidance: "at least +HSD EPS growth"</t>
        </r>
        <r>
          <rPr>
            <sz val="9"/>
            <color indexed="81"/>
            <rFont val="Tahoma"/>
            <family val="2"/>
          </rPr>
          <t xml:space="preserve">
3/17/17: guidance: +MSD EPS growth (reiterated in May, August, and November)</t>
        </r>
      </text>
    </comment>
    <comment ref="DN162" authorId="8">
      <text>
        <r>
          <rPr>
            <b/>
            <sz val="9"/>
            <color indexed="81"/>
            <rFont val="Tahoma"/>
            <family val="2"/>
          </rPr>
          <t>Cassel, Lauren (Research):</t>
        </r>
        <r>
          <rPr>
            <sz val="9"/>
            <color indexed="81"/>
            <rFont val="Tahoma"/>
            <family val="2"/>
          </rPr>
          <t xml:space="preserve">
</t>
        </r>
        <r>
          <rPr>
            <b/>
            <sz val="9"/>
            <color indexed="81"/>
            <rFont val="Tahoma"/>
            <family val="2"/>
          </rPr>
          <t>3/16/18: guidance: $4.25-4.45</t>
        </r>
      </text>
    </comment>
    <comment ref="BF168" authorId="9">
      <text>
        <r>
          <rPr>
            <b/>
            <sz val="8"/>
            <color indexed="81"/>
            <rFont val="Tahoma"/>
            <family val="2"/>
          </rPr>
          <t>SB:</t>
        </r>
        <r>
          <rPr>
            <sz val="8"/>
            <color indexed="81"/>
            <rFont val="Tahoma"/>
            <family val="2"/>
          </rPr>
          <t xml:space="preserve">
Repurchased 200,000 shares at avg cost of $23.05</t>
        </r>
      </text>
    </comment>
    <comment ref="BJ168" authorId="9">
      <text>
        <r>
          <rPr>
            <b/>
            <sz val="8"/>
            <color indexed="81"/>
            <rFont val="Tahoma"/>
            <family val="2"/>
          </rPr>
          <t>SB:</t>
        </r>
        <r>
          <rPr>
            <sz val="8"/>
            <color indexed="81"/>
            <rFont val="Tahoma"/>
            <family val="2"/>
          </rPr>
          <t xml:space="preserve">
repurchased 110,000 shares at avg cost of $37.54/sh.  $112mm remains on current plan</t>
        </r>
      </text>
    </comment>
    <comment ref="BV168" authorId="3">
      <text>
        <r>
          <rPr>
            <b/>
            <sz val="8"/>
            <color indexed="81"/>
            <rFont val="Tahoma"/>
            <family val="2"/>
          </rPr>
          <t>pw64212:</t>
        </r>
        <r>
          <rPr>
            <sz val="8"/>
            <color indexed="81"/>
            <rFont val="Tahoma"/>
            <family val="2"/>
          </rPr>
          <t xml:space="preserve">
20071Q 10Q: pg 4 IS
20011Q 10Q: pg 11.  Highlights: The company repurchased and retired 520,618 shares of its Common Stock during the three months ended in April 30, 2007 for $24.997M (avg. cost per share of $48.01)</t>
        </r>
      </text>
    </comment>
    <comment ref="BZ168" authorId="2">
      <text>
        <r>
          <rPr>
            <b/>
            <sz val="8"/>
            <color indexed="81"/>
            <rFont val="Tahoma"/>
            <family val="2"/>
          </rPr>
          <t>mm98285:</t>
        </r>
        <r>
          <rPr>
            <sz val="8"/>
            <color indexed="81"/>
            <rFont val="Tahoma"/>
            <family val="2"/>
          </rPr>
          <t xml:space="preserve">
5/30/08: spent ~$54.8mm to repo 1.3826mm shares at avg cost of $39.66 ($566mm remaining at end of 1Q under auth through Jan 2011)</t>
        </r>
      </text>
    </comment>
    <comment ref="CH168" authorId="2">
      <text>
        <r>
          <rPr>
            <sz val="8"/>
            <color indexed="81"/>
            <rFont val="Tahoma"/>
            <family val="2"/>
          </rPr>
          <t>5/10: repo'ed .319500 shares at avg cost of $44.62 for $14.3mm</t>
        </r>
        <r>
          <rPr>
            <sz val="8"/>
            <color indexed="81"/>
            <rFont val="Tahoma"/>
            <family val="2"/>
          </rPr>
          <t xml:space="preserve">
1/21/10: assume ~$50M repo per quarter</t>
        </r>
      </text>
    </comment>
    <comment ref="CL168" authorId="5">
      <text>
        <r>
          <rPr>
            <b/>
            <sz val="8"/>
            <color indexed="81"/>
            <rFont val="Tahoma"/>
            <family val="2"/>
          </rPr>
          <t>nicholjs:</t>
        </r>
        <r>
          <rPr>
            <sz val="8"/>
            <color indexed="81"/>
            <rFont val="Tahoma"/>
            <family val="2"/>
          </rPr>
          <t xml:space="preserve">
repo'ed 0.453mm shares for $27.939mm
As of March 22, 2011, the registrant had outstanding 127,484,760 shares of its common stock, $.01 par value per share.</t>
        </r>
      </text>
    </comment>
    <comment ref="CX168" authorId="7">
      <text>
        <r>
          <rPr>
            <b/>
            <sz val="9"/>
            <color indexed="81"/>
            <rFont val="Tahoma"/>
            <family val="2"/>
          </rPr>
          <t>turleamb:</t>
        </r>
        <r>
          <rPr>
            <sz val="9"/>
            <color indexed="81"/>
            <rFont val="Tahoma"/>
            <family val="2"/>
          </rPr>
          <t xml:space="preserve">
5/20/14: Board approved new share repo program for up to $300m expiring 3/17. TIF spent $7.1m in 1Q and repurchased 82K shares at $86.95. $293m remains available for future repurchases. </t>
        </r>
      </text>
    </comment>
    <comment ref="DB168" authorId="10">
      <text>
        <r>
          <rPr>
            <b/>
            <sz val="9"/>
            <color indexed="81"/>
            <rFont val="Tahoma"/>
            <family val="2"/>
          </rPr>
          <t>casselau:</t>
        </r>
        <r>
          <rPr>
            <sz val="9"/>
            <color indexed="81"/>
            <rFont val="Tahoma"/>
            <family val="2"/>
          </rPr>
          <t xml:space="preserve">
5/27/15: repurchased 380k shares for $33M ($87.16/share); $240M remaining under repurchase authorization</t>
        </r>
      </text>
    </comment>
    <comment ref="DF168" authorId="10">
      <text>
        <r>
          <rPr>
            <b/>
            <sz val="9"/>
            <color indexed="81"/>
            <rFont val="Tahoma"/>
            <family val="2"/>
          </rPr>
          <t xml:space="preserve">casselau:
5/25/16: Spent $78M in 1Q (at an average cost of $66 per share) to repurchase shares of its Common Stock. At April 30, 2016, $416M remained available for repurchases under a program that authorizes the repurchase of up to $500 million of the Company's Common Stock and that expires on January 31, 2019. </t>
        </r>
        <r>
          <rPr>
            <sz val="9"/>
            <color indexed="81"/>
            <rFont val="Tahoma"/>
            <family val="2"/>
          </rPr>
          <t xml:space="preserve">
3/18/16: At January 31, 2016, $494 million remained available for repurchases under the new program that expires on January 31, 2019. </t>
        </r>
      </text>
    </comment>
    <comment ref="DJ168" authorId="8">
      <text>
        <r>
          <rPr>
            <b/>
            <sz val="9"/>
            <color indexed="81"/>
            <rFont val="Tahoma"/>
            <family val="2"/>
          </rPr>
          <t>Cassel, Lauren (Research):</t>
        </r>
        <r>
          <rPr>
            <sz val="9"/>
            <color indexed="81"/>
            <rFont val="Tahoma"/>
            <family val="2"/>
          </rPr>
          <t xml:space="preserve">
5/24/17: repurchased 123k shares for ~$93/share = total cost of $11.5M; $299M remains available for repurchase</t>
        </r>
      </text>
    </comment>
    <comment ref="BB169" authorId="9">
      <text>
        <r>
          <rPr>
            <b/>
            <sz val="8"/>
            <color indexed="81"/>
            <rFont val="Tahoma"/>
            <family val="2"/>
          </rPr>
          <t>SB:</t>
        </r>
        <r>
          <rPr>
            <sz val="8"/>
            <color indexed="81"/>
            <rFont val="Tahoma"/>
            <family val="2"/>
          </rPr>
          <t xml:space="preserve">
Repurchased 600,000 shares at avg cost of $28.71</t>
        </r>
      </text>
    </comment>
    <comment ref="BN169" authorId="1">
      <text>
        <r>
          <rPr>
            <b/>
            <sz val="8"/>
            <color indexed="81"/>
            <rFont val="Tahoma"/>
            <family val="2"/>
          </rPr>
          <t>Morry Brown:</t>
        </r>
        <r>
          <rPr>
            <sz val="8"/>
            <color indexed="81"/>
            <rFont val="Tahoma"/>
            <family val="2"/>
          </rPr>
          <t xml:space="preserve">
In march of 05, authorized a 2-yr, $400mm share repo</t>
        </r>
      </text>
    </comment>
    <comment ref="BV169" authorId="2">
      <text>
        <r>
          <rPr>
            <b/>
            <sz val="8"/>
            <color indexed="81"/>
            <rFont val="Tahoma"/>
            <family val="2"/>
          </rPr>
          <t>mm98285:</t>
        </r>
        <r>
          <rPr>
            <sz val="8"/>
            <color indexed="81"/>
            <rFont val="Tahoma"/>
            <family val="2"/>
          </rPr>
          <t xml:space="preserve">
6/07:$700mm auth. thru Dec. 2009. Assumes $230/yr or 4.4mm shares/ yr &amp; 2mm option dilution </t>
        </r>
      </text>
    </comment>
    <comment ref="BZ169" authorId="2">
      <text>
        <r>
          <rPr>
            <b/>
            <sz val="8"/>
            <color indexed="81"/>
            <rFont val="Tahoma"/>
            <family val="2"/>
          </rPr>
          <t>mm98285:</t>
        </r>
        <r>
          <rPr>
            <sz val="8"/>
            <color indexed="81"/>
            <rFont val="Tahoma"/>
            <family val="2"/>
          </rPr>
          <t xml:space="preserve">
repo'd 1,723,201 shares for $73.7M (avg. cost of $42.75); $492M remains under auth. thru 1/11</t>
        </r>
      </text>
    </comment>
    <comment ref="CH169" authorId="2">
      <text>
        <r>
          <rPr>
            <b/>
            <sz val="8"/>
            <color indexed="81"/>
            <rFont val="Tahoma"/>
            <family val="2"/>
          </rPr>
          <t>mm98285:</t>
        </r>
        <r>
          <rPr>
            <sz val="8"/>
            <color indexed="81"/>
            <rFont val="Tahoma"/>
            <family val="2"/>
          </rPr>
          <t xml:space="preserve">
repo'ed 798,900 shares for total cost $32.9mm (avg cost $41.16/shr); $355mm remains on plan which expires Jan 2011
5/10: assume ~$45M repo per quarter</t>
        </r>
      </text>
    </comment>
    <comment ref="CL169" authorId="5">
      <text>
        <r>
          <rPr>
            <b/>
            <sz val="8"/>
            <color indexed="81"/>
            <rFont val="Tahoma"/>
            <family val="2"/>
          </rPr>
          <t>nicholjs:</t>
        </r>
        <r>
          <rPr>
            <sz val="8"/>
            <color indexed="81"/>
            <rFont val="Tahoma"/>
            <family val="2"/>
          </rPr>
          <t xml:space="preserve">
repurchase 0.330mm shares for a total cost of $24.548mm. At July 31, $339mm authorization for future repurchases under the program.</t>
        </r>
      </text>
    </comment>
    <comment ref="CP169" authorId="6">
      <text>
        <r>
          <rPr>
            <b/>
            <sz val="8"/>
            <color indexed="81"/>
            <rFont val="Tahoma"/>
            <family val="2"/>
          </rPr>
          <t>P Kahng:</t>
        </r>
        <r>
          <rPr>
            <sz val="8"/>
            <color indexed="81"/>
            <rFont val="Tahoma"/>
            <family val="2"/>
          </rPr>
          <t xml:space="preserve">
Assumed company spends &lt;$50M/qtr to buyback stock (out of $171M in repurchase plan expiring Jan 2013) Share dilution at about 400-500K shares/qtr</t>
        </r>
      </text>
    </comment>
    <comment ref="CX169" authorId="0">
      <text>
        <r>
          <rPr>
            <b/>
            <sz val="9"/>
            <color indexed="81"/>
            <rFont val="Tahoma"/>
            <family val="2"/>
          </rPr>
          <t>Turley, Amber (Research):</t>
        </r>
        <r>
          <rPr>
            <sz val="9"/>
            <color indexed="81"/>
            <rFont val="Tahoma"/>
            <family val="2"/>
          </rPr>
          <t xml:space="preserve">
8/27/14: TIF repo'd 102K shares ($9m) at avg cost of $90.98. $284m remains in authorization for future share repos</t>
        </r>
      </text>
    </comment>
    <comment ref="DB169" authorId="10">
      <text>
        <r>
          <rPr>
            <b/>
            <sz val="9"/>
            <color indexed="81"/>
            <rFont val="Tahoma"/>
            <family val="2"/>
          </rPr>
          <t>casselau:</t>
        </r>
        <r>
          <rPr>
            <sz val="9"/>
            <color indexed="81"/>
            <rFont val="Tahoma"/>
            <family val="2"/>
          </rPr>
          <t xml:space="preserve">
8/27/15: repurchased $23M of stock (average cost of $90 per share); ~$217M remains authorized for repurchases under a $300 million, three-year program that expires in March 2017. </t>
        </r>
      </text>
    </comment>
    <comment ref="DF169" authorId="8">
      <text>
        <r>
          <rPr>
            <b/>
            <sz val="9"/>
            <color indexed="81"/>
            <rFont val="Tahoma"/>
            <family val="2"/>
          </rPr>
          <t>Cassel, Lauren (Research):</t>
        </r>
        <r>
          <rPr>
            <sz val="9"/>
            <color indexed="81"/>
            <rFont val="Tahoma"/>
            <family val="2"/>
          </rPr>
          <t xml:space="preserve">
8/25/16: repurchased 1.1M shares at $63 avg price; $344M remained abailable for repurchase</t>
        </r>
      </text>
    </comment>
    <comment ref="DJ169" authorId="8">
      <text>
        <r>
          <rPr>
            <b/>
            <sz val="9"/>
            <color indexed="81"/>
            <rFont val="Tahoma"/>
            <family val="2"/>
          </rPr>
          <t>Cassel, Lauren (Research):</t>
        </r>
        <r>
          <rPr>
            <sz val="9"/>
            <color indexed="81"/>
            <rFont val="Tahoma"/>
            <family val="2"/>
          </rPr>
          <t xml:space="preserve">
8/24/17: repurchased ~230k share at $91/share for $21M ($278M remains)</t>
        </r>
      </text>
    </comment>
    <comment ref="AX170" authorId="9">
      <text>
        <r>
          <rPr>
            <b/>
            <sz val="8"/>
            <color indexed="81"/>
            <rFont val="Tahoma"/>
            <family val="2"/>
          </rPr>
          <t>SB:</t>
        </r>
        <r>
          <rPr>
            <sz val="8"/>
            <color indexed="81"/>
            <rFont val="Tahoma"/>
            <family val="2"/>
          </rPr>
          <t xml:space="preserve">
Repurchased 1.25 mil shares @ avg cost of $22.39</t>
        </r>
      </text>
    </comment>
    <comment ref="BN170" authorId="1">
      <text>
        <r>
          <rPr>
            <b/>
            <sz val="8"/>
            <color indexed="81"/>
            <rFont val="Tahoma"/>
            <family val="2"/>
          </rPr>
          <t>Morry Brown:</t>
        </r>
        <r>
          <rPr>
            <sz val="8"/>
            <color indexed="81"/>
            <rFont val="Tahoma"/>
            <family val="2"/>
          </rPr>
          <t xml:space="preserve">
In march of 05, authorized a 2-yr, $400mm share repo</t>
        </r>
      </text>
    </comment>
    <comment ref="BV170" authorId="2">
      <text>
        <r>
          <rPr>
            <b/>
            <sz val="8"/>
            <color indexed="81"/>
            <rFont val="Tahoma"/>
            <family val="2"/>
          </rPr>
          <t>mm98285:</t>
        </r>
        <r>
          <rPr>
            <sz val="8"/>
            <color indexed="81"/>
            <rFont val="Tahoma"/>
            <family val="2"/>
          </rPr>
          <t xml:space="preserve">
11/07: repo'd 1,892,290 shares in 3Q for $97.037mm 
6/07:$700mm auth. thru Dec. 2009. Assumes $230/yr or 4.4mm shares/ yr &amp; 2mm option dilution </t>
        </r>
      </text>
    </comment>
    <comment ref="BZ170" authorId="2">
      <text>
        <r>
          <rPr>
            <b/>
            <sz val="8"/>
            <color indexed="81"/>
            <rFont val="Tahoma"/>
            <family val="2"/>
          </rPr>
          <t>mm98285:</t>
        </r>
        <r>
          <rPr>
            <sz val="8"/>
            <color indexed="81"/>
            <rFont val="Tahoma"/>
            <family val="2"/>
          </rPr>
          <t xml:space="preserve">
repo'd 2,269,225 shares for $89.9M ($39.61 per share). Purchases were temporarily suspended in latter part of 3Q to conserve cash (YTD spent $218.4M to repo 5,375,026 shares at avg cost of $40.63 per share). $402.427M remains under auth thru 1/11</t>
        </r>
      </text>
    </comment>
    <comment ref="CH170" authorId="2">
      <text>
        <r>
          <rPr>
            <b/>
            <sz val="8"/>
            <color indexed="81"/>
            <rFont val="Tahoma"/>
            <family val="2"/>
          </rPr>
          <t>mm98285:</t>
        </r>
        <r>
          <rPr>
            <sz val="8"/>
            <color indexed="81"/>
            <rFont val="Tahoma"/>
            <family val="2"/>
          </rPr>
          <t xml:space="preserve">
spent $26mm to buy back 588,000 shares at avg cost of $43.68
5/10: assume ~$45M repo per quarter</t>
        </r>
      </text>
    </comment>
    <comment ref="CL170" authorId="15">
      <text>
        <r>
          <rPr>
            <b/>
            <sz val="8"/>
            <color indexed="81"/>
            <rFont val="Tahoma"/>
            <family val="2"/>
          </rPr>
          <t>solejay:</t>
        </r>
        <r>
          <rPr>
            <sz val="8"/>
            <color indexed="81"/>
            <rFont val="Tahoma"/>
            <family val="2"/>
          </rPr>
          <t xml:space="preserve">
The Company repurchased approximately 1.3 million shares of its Common Stock in the third quarter at a total cost of $86.3 million, or an average cost of $65.37 per share. Year-to-date, the Company has spent $138.8 million to repurchase approximately 2.1 million shares at an average cost of $65.97 per share. At October 31st, approximately $253 million was available for future repurchases under the currently authorized plan. That plan expires in January 2013. 
</t>
        </r>
      </text>
    </comment>
    <comment ref="CP170" authorId="6">
      <text>
        <r>
          <rPr>
            <b/>
            <sz val="8"/>
            <color indexed="81"/>
            <rFont val="Tahoma"/>
            <family val="2"/>
          </rPr>
          <t>P Kahng:</t>
        </r>
        <r>
          <rPr>
            <sz val="8"/>
            <color indexed="81"/>
            <rFont val="Tahoma"/>
            <family val="2"/>
          </rPr>
          <t xml:space="preserve">
Assumed company spends &lt;$50M/qtr to buyback stock (out of $171M in repurchase plan expiring Jan 2013) Share dilution at about 400-500K shares/qtr</t>
        </r>
      </text>
    </comment>
    <comment ref="CX170" authorId="0">
      <text>
        <r>
          <rPr>
            <b/>
            <sz val="9"/>
            <color indexed="81"/>
            <rFont val="Tahoma"/>
            <family val="2"/>
          </rPr>
          <t>Turley, Amber (Research):</t>
        </r>
        <r>
          <rPr>
            <sz val="9"/>
            <color indexed="81"/>
            <rFont val="Tahoma"/>
            <family val="2"/>
          </rPr>
          <t xml:space="preserve">
11/25/14: company repo'd 63K shares for $5.8M at an avg cost of $92.02 per share. YTD repo'd 247K shares at $22M avg cost of $89.91 per share. As of 10/31/14 $278M remains on share repo authorization. </t>
        </r>
      </text>
    </comment>
    <comment ref="DB170" authorId="10">
      <text>
        <r>
          <rPr>
            <b/>
            <sz val="9"/>
            <color indexed="81"/>
            <rFont val="Tahoma"/>
            <family val="2"/>
          </rPr>
          <t>casselau:</t>
        </r>
        <r>
          <rPr>
            <sz val="9"/>
            <color indexed="81"/>
            <rFont val="Tahoma"/>
            <family val="2"/>
          </rPr>
          <t xml:space="preserve">
11/25/15: repurchased $60M of stock at an average cost of $80/share; YTD spent $116M at an avg cost of $84/share; $157 remains authorized for repurchases</t>
        </r>
      </text>
    </comment>
    <comment ref="DF170" authorId="8">
      <text>
        <r>
          <rPr>
            <b/>
            <sz val="9"/>
            <color indexed="81"/>
            <rFont val="Tahoma"/>
            <family val="2"/>
          </rPr>
          <t>Cassel, Lauren (Research):</t>
        </r>
        <r>
          <rPr>
            <sz val="9"/>
            <color indexed="81"/>
            <rFont val="Tahoma"/>
            <family val="2"/>
          </rPr>
          <t xml:space="preserve">
11/29/16: The Company repurchased approximately 455,000 shares of its Common Stock in the third quarter at an average cost of approximately $68 per share (~$31M); At October 31, 2016, approximately </t>
        </r>
        <r>
          <rPr>
            <b/>
            <sz val="9"/>
            <color indexed="81"/>
            <rFont val="Tahoma"/>
            <family val="2"/>
          </rPr>
          <t>$313 million remained available</t>
        </r>
        <r>
          <rPr>
            <sz val="9"/>
            <color indexed="81"/>
            <rFont val="Tahoma"/>
            <family val="2"/>
          </rPr>
          <t xml:space="preserve"> for repurchases </t>
        </r>
      </text>
    </comment>
    <comment ref="DJ170" authorId="8">
      <text>
        <r>
          <rPr>
            <b/>
            <sz val="9"/>
            <color indexed="81"/>
            <rFont val="Tahoma"/>
            <family val="2"/>
          </rPr>
          <t>Cassel, Lauren (Research):</t>
        </r>
        <r>
          <rPr>
            <sz val="9"/>
            <color indexed="81"/>
            <rFont val="Tahoma"/>
            <family val="2"/>
          </rPr>
          <t xml:space="preserve">
11/29/17: repurchased $28M of stock (300k shares) at average price of $92; $250M remains for repurchase </t>
        </r>
      </text>
    </comment>
    <comment ref="BB171" authorId="9">
      <text>
        <r>
          <rPr>
            <b/>
            <sz val="8"/>
            <color indexed="81"/>
            <rFont val="Tahoma"/>
            <family val="2"/>
          </rPr>
          <t>SB:</t>
        </r>
        <r>
          <rPr>
            <sz val="8"/>
            <color indexed="81"/>
            <rFont val="Tahoma"/>
            <family val="2"/>
          </rPr>
          <t xml:space="preserve">
Repurchased 400,000 shares at avg cost of $28.33</t>
        </r>
      </text>
    </comment>
    <comment ref="BN171" authorId="1">
      <text>
        <r>
          <rPr>
            <b/>
            <sz val="8"/>
            <color indexed="81"/>
            <rFont val="Tahoma"/>
            <family val="2"/>
          </rPr>
          <t>Morry Brown:</t>
        </r>
        <r>
          <rPr>
            <sz val="8"/>
            <color indexed="81"/>
            <rFont val="Tahoma"/>
            <family val="2"/>
          </rPr>
          <t xml:space="preserve">
In march of 05, authorized a 2-yr, $400mm share repo</t>
        </r>
      </text>
    </comment>
    <comment ref="BV171" authorId="2">
      <text>
        <r>
          <rPr>
            <b/>
            <sz val="8"/>
            <color indexed="81"/>
            <rFont val="Tahoma"/>
            <family val="2"/>
          </rPr>
          <t>mm98285:</t>
        </r>
        <r>
          <rPr>
            <sz val="8"/>
            <color indexed="81"/>
            <rFont val="Tahoma"/>
            <family val="2"/>
          </rPr>
          <t xml:space="preserve">
3/08: repo'd 9.299491 shares in 4Q for $418.374mm (avg cost of $44.99 per share)
1/08: repo'd $321mm for 6.9mm shares thru Dec 31
11/07: repo'd $208.217mm to repo 4,440,691 shares at avg cost of $46.89
6/07:$700mm auth. thru Dec. 2009. Assumes $230/yr or 4.4mm shares/ yr &amp; 2mm option dilution </t>
        </r>
      </text>
    </comment>
    <comment ref="BZ171" authorId="2">
      <text>
        <r>
          <rPr>
            <b/>
            <sz val="8"/>
            <color indexed="81"/>
            <rFont val="Tahoma"/>
            <family val="2"/>
          </rPr>
          <t>mm98285:</t>
        </r>
        <r>
          <rPr>
            <sz val="8"/>
            <color indexed="81"/>
            <rFont val="Tahoma"/>
            <family val="2"/>
          </rPr>
          <t xml:space="preserve">
no share repurchase activity in 4Q ($402.427M remains thru Jan 2011)</t>
        </r>
      </text>
    </comment>
    <comment ref="CH171" authorId="2">
      <text>
        <r>
          <rPr>
            <b/>
            <sz val="8"/>
            <color indexed="81"/>
            <rFont val="Tahoma"/>
            <family val="2"/>
          </rPr>
          <t>mm98285:</t>
        </r>
        <r>
          <rPr>
            <sz val="8"/>
            <color indexed="81"/>
            <rFont val="Tahoma"/>
            <family val="2"/>
          </rPr>
          <t xml:space="preserve">
repo'ed 137,000 shares for a total cost of $8mm.
5/10: assume ~$45M repo per quarter</t>
        </r>
      </text>
    </comment>
    <comment ref="CP171" authorId="6">
      <text>
        <r>
          <rPr>
            <b/>
            <sz val="8"/>
            <color indexed="81"/>
            <rFont val="Tahoma"/>
            <family val="2"/>
          </rPr>
          <t xml:space="preserve">3/22/13: </t>
        </r>
        <r>
          <rPr>
            <sz val="8"/>
            <color indexed="81"/>
            <rFont val="Tahoma"/>
            <family val="2"/>
          </rPr>
          <t>did not repurchase any shares in 4Q</t>
        </r>
        <r>
          <rPr>
            <b/>
            <sz val="8"/>
            <color indexed="81"/>
            <rFont val="Tahoma"/>
            <family val="2"/>
          </rPr>
          <t xml:space="preserve">
P Kahng:</t>
        </r>
        <r>
          <rPr>
            <sz val="8"/>
            <color indexed="81"/>
            <rFont val="Tahoma"/>
            <family val="2"/>
          </rPr>
          <t xml:space="preserve">
Assumed company spends &lt;$50M/qtr to buyback stock (out of $171M in repurchase plan expiring Jan 2013) Share dilution at about 400-500K shares/qtr</t>
        </r>
      </text>
    </comment>
    <comment ref="CT171" authorId="7">
      <text>
        <r>
          <rPr>
            <b/>
            <sz val="9"/>
            <color indexed="81"/>
            <rFont val="Tahoma"/>
            <family val="2"/>
          </rPr>
          <t>turleamb:</t>
        </r>
        <r>
          <rPr>
            <sz val="9"/>
            <color indexed="81"/>
            <rFont val="Tahoma"/>
            <family val="2"/>
          </rPr>
          <t xml:space="preserve">
Calculated using weighted-average diluted shares of 129,283,000 which includes
1,091,000 of incremental shares based upon the assumed exercise of stock options
and unvested restricted stock units.</t>
        </r>
      </text>
    </comment>
    <comment ref="CX171" authorId="0">
      <text>
        <r>
          <rPr>
            <b/>
            <sz val="9"/>
            <color indexed="81"/>
            <rFont val="Tahoma"/>
            <family val="2"/>
          </rPr>
          <t>Turley, Amber (Research):</t>
        </r>
        <r>
          <rPr>
            <sz val="9"/>
            <color indexed="81"/>
            <rFont val="Tahoma"/>
            <family val="2"/>
          </rPr>
          <t xml:space="preserve">
11/26/14: As of 10/31 129,353,842 shares outstanding</t>
        </r>
      </text>
    </comment>
    <comment ref="DB171" authorId="10">
      <text>
        <r>
          <rPr>
            <b/>
            <sz val="9"/>
            <color indexed="81"/>
            <rFont val="Tahoma"/>
            <family val="2"/>
          </rPr>
          <t xml:space="preserve">casselau:
3/28/16: bought back $104 million in the fourth quarter (at an average cost of $73 per share) </t>
        </r>
        <r>
          <rPr>
            <sz val="9"/>
            <color indexed="81"/>
            <rFont val="Tahoma"/>
            <family val="2"/>
          </rPr>
          <t xml:space="preserve">
1/21/16: approved a new stock $500M  repurchase program; expires on January 31, 2019; replaces existing stock repurchase program announced in March 2014 ($300M); As of 1/20/16, approximately $61M remained available for stock repurchases under this prior authorization. </t>
        </r>
      </text>
    </comment>
    <comment ref="DF171" authorId="8">
      <text>
        <r>
          <rPr>
            <b/>
            <sz val="9"/>
            <color indexed="81"/>
            <rFont val="Tahoma"/>
            <family val="2"/>
          </rPr>
          <t>Cassel, Lauren (Research):</t>
        </r>
        <r>
          <rPr>
            <sz val="9"/>
            <color indexed="81"/>
            <rFont val="Tahoma"/>
            <family val="2"/>
          </rPr>
          <t xml:space="preserve">
3/17/17: repurchased 39k shares for ~$3M (avg total cost of $73/share)</t>
        </r>
      </text>
    </comment>
    <comment ref="DJ171" authorId="8">
      <text>
        <r>
          <rPr>
            <b/>
            <sz val="9"/>
            <color indexed="81"/>
            <rFont val="Tahoma"/>
            <family val="2"/>
          </rPr>
          <t>Cassel, Lauren (Research):</t>
        </r>
        <r>
          <rPr>
            <sz val="9"/>
            <color indexed="81"/>
            <rFont val="Tahoma"/>
            <family val="2"/>
          </rPr>
          <t xml:space="preserve">
3/16/18: the company repurchased $39M/400k shares of stock representing an average price of $99; $211M remains</t>
        </r>
      </text>
    </comment>
    <comment ref="BJ172" authorId="3">
      <text>
        <r>
          <rPr>
            <b/>
            <sz val="8"/>
            <color indexed="81"/>
            <rFont val="Tahoma"/>
            <family val="2"/>
          </rPr>
          <t>pw64212:</t>
        </r>
        <r>
          <rPr>
            <sz val="8"/>
            <color indexed="81"/>
            <rFont val="Tahoma"/>
            <family val="2"/>
          </rPr>
          <t xml:space="preserve">
2006 10K: K-55 under Earnings Per Share</t>
        </r>
      </text>
    </comment>
    <comment ref="BN172" authorId="3">
      <text>
        <r>
          <rPr>
            <b/>
            <sz val="8"/>
            <color indexed="81"/>
            <rFont val="Tahoma"/>
            <family val="2"/>
          </rPr>
          <t>pw64212:</t>
        </r>
        <r>
          <rPr>
            <sz val="8"/>
            <color indexed="81"/>
            <rFont val="Tahoma"/>
            <family val="2"/>
          </rPr>
          <t xml:space="preserve">
2006 10K: K-55 under Earnings Per Share</t>
        </r>
      </text>
    </comment>
    <comment ref="BR172" authorId="16">
      <text>
        <r>
          <rPr>
            <b/>
            <sz val="8"/>
            <color indexed="81"/>
            <rFont val="Tahoma"/>
            <family val="2"/>
          </rPr>
          <t>pw
2006 10K K-47 IS</t>
        </r>
      </text>
    </comment>
    <comment ref="BV172" authorId="2">
      <text>
        <r>
          <rPr>
            <b/>
            <sz val="8"/>
            <color indexed="81"/>
            <rFont val="Tahoma"/>
            <family val="2"/>
          </rPr>
          <t>mm98285:</t>
        </r>
        <r>
          <rPr>
            <sz val="8"/>
            <color indexed="81"/>
            <rFont val="Tahoma"/>
            <family val="2"/>
          </rPr>
          <t xml:space="preserve">
3/08: for year repo'd 12.374mm shares for $574.608mm at avg cost of $46.44 per share</t>
        </r>
      </text>
    </comment>
    <comment ref="BZ172" authorId="5">
      <text>
        <r>
          <rPr>
            <b/>
            <sz val="8"/>
            <color indexed="81"/>
            <rFont val="Tahoma"/>
            <family val="2"/>
          </rPr>
          <t>nicholjs:</t>
        </r>
        <r>
          <rPr>
            <sz val="8"/>
            <color indexed="81"/>
            <rFont val="Tahoma"/>
            <family val="2"/>
          </rPr>
          <t xml:space="preserve">
repo'ed 5.375mm shares for $218.379mm</t>
        </r>
      </text>
    </comment>
    <comment ref="CD172" authorId="5">
      <text>
        <r>
          <rPr>
            <b/>
            <sz val="8"/>
            <color indexed="81"/>
            <rFont val="Tahoma"/>
            <family val="2"/>
          </rPr>
          <t>nicholjs:</t>
        </r>
        <r>
          <rPr>
            <sz val="8"/>
            <color indexed="81"/>
            <rFont val="Tahoma"/>
            <family val="2"/>
          </rPr>
          <t xml:space="preserve">
repored 0.011mm shares for total cost $467</t>
        </r>
      </text>
    </comment>
    <comment ref="CH172" authorId="2">
      <text>
        <r>
          <rPr>
            <b/>
            <sz val="8"/>
            <color indexed="81"/>
            <rFont val="Tahoma"/>
            <family val="2"/>
          </rPr>
          <t>mm98285:</t>
        </r>
        <r>
          <rPr>
            <sz val="8"/>
            <color indexed="81"/>
            <rFont val="Tahoma"/>
            <family val="2"/>
          </rPr>
          <t xml:space="preserve">
repo'ed 1.843mm shares for total cost of $80.8mm.
1/21/10: TIF announced will resume share repurchase activity (previously suspended since 3Q08). Remains $402M available under current authorized program which expires in January 2011.
</t>
        </r>
      </text>
    </comment>
    <comment ref="CP172" authorId="10">
      <text>
        <r>
          <rPr>
            <b/>
            <sz val="8"/>
            <color indexed="81"/>
            <rFont val="Tahoma"/>
            <family val="2"/>
          </rPr>
          <t>casselau:</t>
        </r>
        <r>
          <rPr>
            <sz val="8"/>
            <color indexed="81"/>
            <rFont val="Tahoma"/>
            <family val="2"/>
          </rPr>
          <t xml:space="preserve">
3/22/13: in the full year, the company spent $54M to repurchase 813k shares at an avg cost of $66.54/share; $164M remains available for repurchases under authorization expiring in Jan 2014</t>
        </r>
      </text>
    </comment>
    <comment ref="CT172" authorId="7">
      <text>
        <r>
          <rPr>
            <b/>
            <sz val="8"/>
            <color indexed="81"/>
            <rFont val="Tahoma"/>
            <family val="2"/>
          </rPr>
          <t>turleamb:</t>
        </r>
        <r>
          <rPr>
            <sz val="8"/>
            <color indexed="81"/>
            <rFont val="Tahoma"/>
            <family val="2"/>
          </rPr>
          <t xml:space="preserve">
$164M remains available for repurchases under authorization expiring in Jan 2014 - at a share price of $78, TIF could buy back 2.2m shares</t>
        </r>
      </text>
    </comment>
    <comment ref="CX172" authorId="7">
      <text>
        <r>
          <rPr>
            <b/>
            <sz val="9"/>
            <color indexed="81"/>
            <rFont val="Tahoma"/>
            <family val="2"/>
          </rPr>
          <t>turleamb:</t>
        </r>
        <r>
          <rPr>
            <sz val="9"/>
            <color indexed="81"/>
            <rFont val="Tahoma"/>
            <family val="2"/>
          </rPr>
          <t xml:space="preserve">
3/21/14: Board authorized $300m in share repos expiring in 3/2017</t>
        </r>
      </text>
    </comment>
    <comment ref="DB172" authorId="10">
      <text>
        <r>
          <rPr>
            <b/>
            <sz val="9"/>
            <color indexed="81"/>
            <rFont val="Tahoma"/>
            <family val="2"/>
          </rPr>
          <t>casselau:</t>
        </r>
        <r>
          <rPr>
            <sz val="9"/>
            <color indexed="81"/>
            <rFont val="Tahoma"/>
            <family val="2"/>
          </rPr>
          <t xml:space="preserve">
3/18/16: bought back $220 million in the full year (at an average cost of $78 per share)</t>
        </r>
      </text>
    </comment>
    <comment ref="DF172" authorId="8">
      <text>
        <r>
          <rPr>
            <b/>
            <sz val="9"/>
            <color indexed="81"/>
            <rFont val="Tahoma"/>
            <family val="2"/>
          </rPr>
          <t xml:space="preserve">Cassel, Lauren (Research):
3/17/17: repurchase $184M to repurchase 2.8M shares ($65/share); $310M remains available for repurchases as of 1/31/17
1/17/17: guidance: </t>
        </r>
        <r>
          <rPr>
            <sz val="9"/>
            <color indexed="81"/>
            <rFont val="Tahoma"/>
            <family val="2"/>
          </rPr>
          <t>weighted average diluted shares outstanding lower than in fiscal 2015
8/25/16: guidance assumes average diluted shares outstanding modestly lower than LY</t>
        </r>
      </text>
    </comment>
    <comment ref="DJ172" authorId="8">
      <text>
        <r>
          <rPr>
            <b/>
            <sz val="9"/>
            <color indexed="81"/>
            <rFont val="Tahoma"/>
            <family val="2"/>
          </rPr>
          <t xml:space="preserve">Cassel, Lauren (Research):
3/16/18: The Company repurchased more than 1M shares at a total cost of $99M, representing an average price of $95 in the year; At January 31, 2018, $211M remained available for repurchases under the program that authorizes the repurchase of up to $500 million of the Company’s Common Stock and that expires on January 31, 2019. </t>
        </r>
        <r>
          <rPr>
            <sz val="9"/>
            <color indexed="81"/>
            <rFont val="Tahoma"/>
            <family val="2"/>
          </rPr>
          <t xml:space="preserve">
3/17/17: guidance: minimal benefit to net earnings per diluted share from share repurchases </t>
        </r>
      </text>
    </comment>
    <comment ref="DN172" authorId="8">
      <text>
        <r>
          <rPr>
            <b/>
            <sz val="9"/>
            <color indexed="81"/>
            <rFont val="Tahoma"/>
            <family val="2"/>
          </rPr>
          <t>Cassel, Lauren (Research):</t>
        </r>
        <r>
          <rPr>
            <sz val="9"/>
            <color indexed="81"/>
            <rFont val="Tahoma"/>
            <family val="2"/>
          </rPr>
          <t xml:space="preserve">
3/16/18: guidance: minimal benefit to net earnings per diluted share from share repurchases. </t>
        </r>
      </text>
    </comment>
    <comment ref="CP178" authorId="6">
      <text>
        <r>
          <rPr>
            <b/>
            <sz val="8"/>
            <color indexed="81"/>
            <rFont val="Tahoma"/>
            <family val="2"/>
          </rPr>
          <t>P Kahng:</t>
        </r>
        <r>
          <rPr>
            <sz val="8"/>
            <color indexed="81"/>
            <rFont val="Tahoma"/>
            <family val="2"/>
          </rPr>
          <t xml:space="preserve">
company spent $46M in 1Q to repurchase apprxo 700K sahres at avg cost of $66.42. At April 30, 2012, there was $171M available for future repurchases under current plan which expires Jan 2013</t>
        </r>
      </text>
    </comment>
    <comment ref="CX178" authorId="7">
      <text>
        <r>
          <rPr>
            <b/>
            <sz val="9"/>
            <color indexed="81"/>
            <rFont val="Tahoma"/>
            <family val="2"/>
          </rPr>
          <t>turleamb:</t>
        </r>
        <r>
          <rPr>
            <sz val="9"/>
            <color indexed="81"/>
            <rFont val="Tahoma"/>
            <family val="2"/>
          </rPr>
          <t xml:space="preserve">
10-K: 128,845,017 shares outstanding as of 3/24/14</t>
        </r>
      </text>
    </comment>
    <comment ref="CL179" authorId="5">
      <text>
        <r>
          <rPr>
            <b/>
            <sz val="8"/>
            <color indexed="81"/>
            <rFont val="Tahoma"/>
            <family val="2"/>
          </rPr>
          <t>nicholjs:</t>
        </r>
        <r>
          <rPr>
            <sz val="8"/>
            <color indexed="81"/>
            <rFont val="Tahoma"/>
            <family val="2"/>
          </rPr>
          <t xml:space="preserve">
Common Stock, $.01 par value,
127,713,112 shares outstanding at the close of business on April 29, 2011.</t>
        </r>
      </text>
    </comment>
    <comment ref="CX179" authorId="7">
      <text>
        <r>
          <rPr>
            <b/>
            <sz val="9"/>
            <color indexed="81"/>
            <rFont val="Tahoma"/>
            <family val="2"/>
          </rPr>
          <t>turleamb:</t>
        </r>
        <r>
          <rPr>
            <sz val="9"/>
            <color indexed="81"/>
            <rFont val="Tahoma"/>
            <family val="2"/>
          </rPr>
          <t xml:space="preserve">
5/22/14: 129,044,397 shares outstanding as of 4/30/14. </t>
        </r>
      </text>
    </comment>
    <comment ref="CL180" authorId="5">
      <text>
        <r>
          <rPr>
            <b/>
            <sz val="8"/>
            <color indexed="81"/>
            <rFont val="Tahoma"/>
            <family val="2"/>
          </rPr>
          <t>nicholjs:</t>
        </r>
        <r>
          <rPr>
            <sz val="8"/>
            <color indexed="81"/>
            <rFont val="Tahoma"/>
            <family val="2"/>
          </rPr>
          <t xml:space="preserve">
Common Stock, $.01 par value, 127,275,827 shares outstanding at the close of business on August 31, 2011.</t>
        </r>
      </text>
    </comment>
    <comment ref="CP181" authorId="10">
      <text>
        <r>
          <rPr>
            <sz val="8"/>
            <color indexed="81"/>
            <rFont val="Tahoma"/>
            <family val="2"/>
          </rPr>
          <t>1/17/13: share repurchase program was supposed to expire on 1/31/2013, now extended to 1/31/2014; $164M left under $400M plan</t>
        </r>
      </text>
    </comment>
    <comment ref="CX181" authorId="0">
      <text>
        <r>
          <rPr>
            <b/>
            <sz val="9"/>
            <color indexed="81"/>
            <rFont val="Tahoma"/>
            <family val="2"/>
          </rPr>
          <t>Turley, Amber (Research):</t>
        </r>
        <r>
          <rPr>
            <sz val="9"/>
            <color indexed="81"/>
            <rFont val="Tahoma"/>
            <family val="2"/>
          </rPr>
          <t xml:space="preserve">
11/26/14: As of 10/31 129,353,842 shares outstanding</t>
        </r>
      </text>
    </comment>
    <comment ref="AP188" authorId="3">
      <text>
        <r>
          <rPr>
            <b/>
            <sz val="8"/>
            <color indexed="81"/>
            <rFont val="Tahoma"/>
            <family val="2"/>
          </rPr>
          <t>pw64212:</t>
        </r>
        <r>
          <rPr>
            <sz val="8"/>
            <color indexed="81"/>
            <rFont val="Tahoma"/>
            <family val="2"/>
          </rPr>
          <t xml:space="preserve">
adjusted for  two for one stock split in July 1999</t>
        </r>
      </text>
    </comment>
    <comment ref="AT188" authorId="3">
      <text>
        <r>
          <rPr>
            <b/>
            <sz val="8"/>
            <color indexed="81"/>
            <rFont val="Tahoma"/>
            <family val="2"/>
          </rPr>
          <t>pw64212:</t>
        </r>
        <r>
          <rPr>
            <sz val="8"/>
            <color indexed="81"/>
            <rFont val="Tahoma"/>
            <family val="2"/>
          </rPr>
          <t xml:space="preserve">
adjusted for two for one stock split in July 2000</t>
        </r>
      </text>
    </comment>
    <comment ref="CH188" authorId="2">
      <text>
        <r>
          <rPr>
            <b/>
            <sz val="8"/>
            <color indexed="81"/>
            <rFont val="Tahoma"/>
            <family val="2"/>
          </rPr>
          <t>mm98285:</t>
        </r>
        <r>
          <rPr>
            <sz val="8"/>
            <color indexed="81"/>
            <rFont val="Tahoma"/>
            <family val="2"/>
          </rPr>
          <t xml:space="preserve">
1/10: regular quarterly dividend rate will be increased, effective with the next payment in April, to 20 cents per share on its Common Stock from the current 17 cents per share</t>
        </r>
      </text>
    </comment>
    <comment ref="CL188" authorId="5">
      <text>
        <r>
          <rPr>
            <b/>
            <sz val="8"/>
            <color indexed="81"/>
            <rFont val="Tahoma"/>
            <family val="2"/>
          </rPr>
          <t>nicholjs:</t>
        </r>
        <r>
          <rPr>
            <sz val="8"/>
            <color indexed="81"/>
            <rFont val="Tahoma"/>
            <family val="2"/>
          </rPr>
          <t xml:space="preserve">
2/17:  declared a regular quarterly dividend of $0.25 per share of Common Stock. This dividend will be paid on April 11, 2011 to stockholders of record on March 21, 2011. Future dividends are subject to declaration by the directors.
</t>
        </r>
      </text>
    </comment>
    <comment ref="CP188" authorId="10">
      <text>
        <r>
          <rPr>
            <b/>
            <sz val="8"/>
            <color indexed="81"/>
            <rFont val="Tahoma"/>
            <family val="2"/>
          </rPr>
          <t>casselau:</t>
        </r>
        <r>
          <rPr>
            <sz val="8"/>
            <color indexed="81"/>
            <rFont val="Tahoma"/>
            <family val="2"/>
          </rPr>
          <t xml:space="preserve">
10/31/12: BOD approved quarterly dividend of $0.32</t>
        </r>
      </text>
    </comment>
    <comment ref="CT188" authorId="7">
      <text>
        <r>
          <rPr>
            <b/>
            <sz val="8"/>
            <color indexed="81"/>
            <rFont val="Tahoma"/>
            <family val="2"/>
          </rPr>
          <t>turleamb:</t>
        </r>
        <r>
          <rPr>
            <sz val="8"/>
            <color indexed="81"/>
            <rFont val="Tahoma"/>
            <family val="2"/>
          </rPr>
          <t xml:space="preserve">
4/30/13: BOD approved 6% increase for quarterly dividend to 0.34</t>
        </r>
      </text>
    </comment>
    <comment ref="BV189" authorId="2">
      <text>
        <r>
          <rPr>
            <b/>
            <sz val="8"/>
            <color indexed="81"/>
            <rFont val="Tahoma"/>
            <family val="2"/>
          </rPr>
          <t>mm98285:</t>
        </r>
        <r>
          <rPr>
            <sz val="8"/>
            <color indexed="81"/>
            <rFont val="Tahoma"/>
            <family val="2"/>
          </rPr>
          <t xml:space="preserve">
5/17/07: BoD declared a 20% increase in the quarterly dividend rate ($0.12). The dividend will be paid on July 10, 2007 to stockholders of record on June 20, 2007.</t>
        </r>
      </text>
    </comment>
    <comment ref="BZ189" authorId="2">
      <text>
        <r>
          <rPr>
            <b/>
            <sz val="8"/>
            <color indexed="81"/>
            <rFont val="Tahoma"/>
            <family val="2"/>
          </rPr>
          <t>mm98285:</t>
        </r>
        <r>
          <rPr>
            <sz val="8"/>
            <color indexed="81"/>
            <rFont val="Tahoma"/>
            <family val="2"/>
          </rPr>
          <t xml:space="preserve">
5/15/08: BOD declared 13% increase in quarterly dividend rate to $0.17 from $0.15 paid on 7/10/08 to stockholders of record 6/20/08</t>
        </r>
      </text>
    </comment>
    <comment ref="CH189" authorId="2">
      <text>
        <r>
          <rPr>
            <sz val="8"/>
            <color indexed="81"/>
            <rFont val="Tahoma"/>
            <family val="2"/>
          </rPr>
          <t xml:space="preserve">5/20/10: declared a regular quarterly dividend of $0.25 (raised from $0.20). The dividend will be paid on July 12, 2010 to stockholders of record on June 21, 2010.
</t>
        </r>
      </text>
    </comment>
    <comment ref="CL189" authorId="5">
      <text>
        <r>
          <rPr>
            <b/>
            <sz val="8"/>
            <color indexed="81"/>
            <rFont val="Tahoma"/>
            <family val="2"/>
          </rPr>
          <t>nicholjs:</t>
        </r>
        <r>
          <rPr>
            <sz val="8"/>
            <color indexed="81"/>
            <rFont val="Tahoma"/>
            <family val="2"/>
          </rPr>
          <t xml:space="preserve">
New York, May 19, 2011 -The Board of Directors of Tiffany &amp; Co. (NYSE - TIF) today declared a dividend of $0.29 per share of Common Stock, reflecting a 16% increase in the quarterly rate. This action increases the quarterly dividend from $0.25 per share (or $1.00 annually) to a new rate of $0.29 per share (or $1.16 per share annually). 
Michael J. Kowalski, chairman and chief executive officer, announced the increase at the Company's Annual Meeting of Stockholders and said, "Today's increase acknowledges Tiffany's financial performance last year and the strength of our balance sheet, and reflects the Board's confidence in our outlook. This represents the ninth dividend increase in the past nine years."  
The dividend declared today will be paid on July 11, 2011 to stockholders of record on June 20, 2011. Future dividends are subject to declaration by the directors.
</t>
        </r>
      </text>
    </comment>
    <comment ref="DB189" authorId="10">
      <text>
        <r>
          <rPr>
            <b/>
            <sz val="9"/>
            <color indexed="81"/>
            <rFont val="Tahoma"/>
            <family val="2"/>
          </rPr>
          <t>casselau:</t>
        </r>
        <r>
          <rPr>
            <sz val="9"/>
            <color indexed="81"/>
            <rFont val="Tahoma"/>
            <family val="2"/>
          </rPr>
          <t xml:space="preserve">
May 28, 2015 -- The Board of Directors of Tiffany &amp; Co. (NYSE - TIF) has declared a regular quarterly dividend of $0.40 per share of Common Stock, representing a 5% increase in the quarterly rate. This action increases the quarterly dividend from $0.38 per share (or $1.52 annually) to the new rate of $0.40 per share (or $1.60 annually).</t>
        </r>
      </text>
    </comment>
    <comment ref="DF189" authorId="8">
      <text>
        <r>
          <rPr>
            <b/>
            <sz val="9"/>
            <color indexed="81"/>
            <rFont val="Tahoma"/>
            <family val="2"/>
          </rPr>
          <t>Cassel, Lauren (Research):</t>
        </r>
        <r>
          <rPr>
            <sz val="9"/>
            <color indexed="81"/>
            <rFont val="Tahoma"/>
            <family val="2"/>
          </rPr>
          <t xml:space="preserve">
5/26/16: TIF Tiffany &amp; Company increases quarterly dividend by 12.5% to $0.45 from $0.40</t>
        </r>
      </text>
    </comment>
    <comment ref="DJ189" authorId="8">
      <text>
        <r>
          <rPr>
            <b/>
            <sz val="9"/>
            <color indexed="81"/>
            <rFont val="Tahoma"/>
            <family val="2"/>
          </rPr>
          <t>Cassel, Lauren (Research):</t>
        </r>
        <r>
          <rPr>
            <sz val="9"/>
            <color indexed="81"/>
            <rFont val="Tahoma"/>
            <family val="2"/>
          </rPr>
          <t xml:space="preserve">
The Board of Directors of Tiffany &amp; Co. (NYSE: TIF) has declared a regular quarterly dividend of $0.50 per share of Common Stock, representing an 11% increase in the quarterly rate. This declaration increases the quarterly dividend from $0.45 per share (or $1.80 annually) to the new rate of $0.50 per share (or $2.00 annually). </t>
        </r>
      </text>
    </comment>
    <comment ref="BV190" authorId="2">
      <text>
        <r>
          <rPr>
            <b/>
            <sz val="8"/>
            <color indexed="81"/>
            <rFont val="Tahoma"/>
            <family val="2"/>
          </rPr>
          <t>mm98285:</t>
        </r>
        <r>
          <rPr>
            <sz val="8"/>
            <color indexed="81"/>
            <rFont val="Tahoma"/>
            <family val="2"/>
          </rPr>
          <t xml:space="preserve">
8/16/07: BoD declared a 25% increase in the quarterly dividend rate ($0.15). The dividend will be paid on October 10, 2007 to stockholders of record on September 20, 2007.</t>
        </r>
      </text>
    </comment>
    <comment ref="CD190" authorId="18">
      <text>
        <r>
          <rPr>
            <b/>
            <sz val="8"/>
            <color indexed="81"/>
            <rFont val="Tahoma"/>
            <family val="2"/>
          </rPr>
          <t>ol36766:</t>
        </r>
        <r>
          <rPr>
            <sz val="8"/>
            <color indexed="81"/>
            <rFont val="Tahoma"/>
            <family val="2"/>
          </rPr>
          <t xml:space="preserve">
declared quarterly dividend of $0.17 per share paid on Oct 12, 2009 to stockholders of record on Sept 21, 2009</t>
        </r>
      </text>
    </comment>
    <comment ref="CH190" authorId="5">
      <text>
        <r>
          <rPr>
            <b/>
            <sz val="8"/>
            <color indexed="81"/>
            <rFont val="Tahoma"/>
            <family val="2"/>
          </rPr>
          <t>nicholjs:</t>
        </r>
        <r>
          <rPr>
            <sz val="8"/>
            <color indexed="81"/>
            <rFont val="Tahoma"/>
            <family val="2"/>
          </rPr>
          <t xml:space="preserve">
8/19/2010: declared a regular quarterly dividend of $0.25 per share of Common Stock. The dividend declared today will be paid on October 11, 2010 to stockholders of record on September 20, 2010. </t>
        </r>
      </text>
    </comment>
    <comment ref="CL190" authorId="5">
      <text>
        <r>
          <rPr>
            <b/>
            <sz val="8"/>
            <color indexed="81"/>
            <rFont val="Tahoma"/>
            <family val="2"/>
          </rPr>
          <t>nicholjs:</t>
        </r>
        <r>
          <rPr>
            <sz val="8"/>
            <color indexed="81"/>
            <rFont val="Tahoma"/>
            <family val="2"/>
          </rPr>
          <t xml:space="preserve">
August 18, 2011 -- The Board of Directors of Tiffany &amp; Co. (NYSE - TIF) has declared a regular quarterly dividend of $0.29 per share of Common Stock. This dividend will be paid on October 11, 2011 to stockholders of record on September 20, 2011. Future dividends are subject to declaration by the directors.
</t>
        </r>
      </text>
    </comment>
    <comment ref="CD191" authorId="2">
      <text>
        <r>
          <rPr>
            <b/>
            <sz val="8"/>
            <color indexed="81"/>
            <rFont val="Tahoma"/>
            <family val="2"/>
          </rPr>
          <t>mm98285:</t>
        </r>
        <r>
          <rPr>
            <sz val="8"/>
            <color indexed="81"/>
            <rFont val="Tahoma"/>
            <family val="2"/>
          </rPr>
          <t xml:space="preserve">
The Board of Directors has declared a regular quarterly dividend of 17c per share on its Common Stock. The div will be paid on 1/11/10 to stockholders of record on December 21, 2009
</t>
        </r>
      </text>
    </comment>
    <comment ref="CH191" authorId="5">
      <text>
        <r>
          <rPr>
            <b/>
            <sz val="8"/>
            <color indexed="81"/>
            <rFont val="Tahoma"/>
            <family val="2"/>
          </rPr>
          <t>nicholjs:</t>
        </r>
        <r>
          <rPr>
            <sz val="8"/>
            <color indexed="81"/>
            <rFont val="Tahoma"/>
            <family val="2"/>
          </rPr>
          <t xml:space="preserve">
11/18/2010: today declared a regular quarterly dividend of $0.25 per share of Common Stock. This dividend will be paid on January 10, 2011 to stockholders of record on December 20, 2010. Future dividends are subject to declaration by the directors. 
</t>
        </r>
      </text>
    </comment>
    <comment ref="CP192" authorId="13">
      <text>
        <r>
          <rPr>
            <b/>
            <sz val="8"/>
            <color indexed="81"/>
            <rFont val="Tahoma"/>
            <family val="2"/>
          </rPr>
          <t xml:space="preserve">3/21/12: </t>
        </r>
        <r>
          <rPr>
            <sz val="8"/>
            <color indexed="81"/>
            <rFont val="Tahoma"/>
            <family val="2"/>
          </rPr>
          <t>CFO: Div payout ratio targeted at 35% (assuming on GAAP EPS)</t>
        </r>
      </text>
    </comment>
    <comment ref="CH196" authorId="5">
      <text>
        <r>
          <rPr>
            <b/>
            <sz val="8"/>
            <color indexed="81"/>
            <rFont val="Tahoma"/>
            <family val="2"/>
          </rPr>
          <t>nicholjs:</t>
        </r>
        <r>
          <rPr>
            <sz val="8"/>
            <color indexed="81"/>
            <rFont val="Tahoma"/>
            <family val="2"/>
          </rPr>
          <t xml:space="preserve">
Adjustments to continuing (reversing these to get to GAAP):
*On a pre-tax basis includes a $72,000 charge within cost of sales and $788,000 charge within SG&amp;A for the three months ended April 30, 2010 associated with the Company’s plan to consolidate its New York headquarters’ staff within one location.  
*Includes a $5,006,000 benefit related to a change in tax status of certain subsidiaries and a $1,910,000 charge related to the new health care reform legislation, both recorded within the provision for income taxes for the three months ended April 30, 2010.  
</t>
        </r>
      </text>
    </comment>
    <comment ref="CL196" authorId="6">
      <text>
        <r>
          <rPr>
            <b/>
            <sz val="8"/>
            <color indexed="81"/>
            <rFont val="Tahoma"/>
            <family val="2"/>
          </rPr>
          <t>P Kahng:</t>
        </r>
        <r>
          <rPr>
            <sz val="8"/>
            <color indexed="81"/>
            <rFont val="Tahoma"/>
            <family val="2"/>
          </rPr>
          <t xml:space="preserve">
Headquarters relocations. $0.213 in COGS and $8.008 in SG&amp;A</t>
        </r>
      </text>
    </comment>
    <comment ref="BV197" authorId="2">
      <text>
        <r>
          <rPr>
            <b/>
            <sz val="8"/>
            <color indexed="81"/>
            <rFont val="Tahoma"/>
            <family val="2"/>
          </rPr>
          <t>mm98285:</t>
        </r>
        <r>
          <rPr>
            <sz val="8"/>
            <color indexed="81"/>
            <rFont val="Tahoma"/>
            <family val="2"/>
          </rPr>
          <t xml:space="preserve">
includes after-tax charge of $23.583 mm related to the sale of Little Switzerland or $0.17 per share</t>
        </r>
      </text>
    </comment>
    <comment ref="CH197" authorId="5">
      <text>
        <r>
          <rPr>
            <b/>
            <sz val="8"/>
            <color indexed="81"/>
            <rFont val="Tahoma"/>
            <family val="2"/>
          </rPr>
          <t>nicholjs:</t>
        </r>
        <r>
          <rPr>
            <sz val="8"/>
            <color indexed="81"/>
            <rFont val="Tahoma"/>
            <family val="2"/>
          </rPr>
          <t xml:space="preserve">
Adjustments to continuing (reversing these to get to GAAP):
a    On a pre-tax basis includes a $289,000 charge within cost of sales and $3,656,000 charge within SG&amp;A for the three months ended July 31, 2010 associated with Tiffany’s plan to consolidate its New York headquarters staff within one location.  
 b  Includes $5,662,000 of tax benefits as a result of favorable reserve adjustments relating to the settlement of certain tax audits within the provision for income taxes for the three months ended July 31, 2009.  
 c  On a pre-tax basis includes a benefit of $4,442,000 within SG&amp;A from a loan recovery for the three months ended July 31, 2009.  
</t>
        </r>
      </text>
    </comment>
    <comment ref="BV198" authorId="2">
      <text>
        <r>
          <rPr>
            <b/>
            <sz val="8"/>
            <color indexed="81"/>
            <rFont val="Tahoma"/>
            <family val="2"/>
          </rPr>
          <t>mm98285:</t>
        </r>
        <r>
          <rPr>
            <sz val="8"/>
            <color indexed="81"/>
            <rFont val="Tahoma"/>
            <family val="2"/>
          </rPr>
          <t xml:space="preserve">
2/08: reported net losses of $(1.555)mm in 3Q related to Little Switzerland</t>
        </r>
      </text>
    </comment>
    <comment ref="CH198" authorId="5">
      <text>
        <r>
          <rPr>
            <b/>
            <sz val="8"/>
            <color indexed="81"/>
            <rFont val="Tahoma"/>
            <family val="2"/>
          </rPr>
          <t>nicholjs:</t>
        </r>
        <r>
          <rPr>
            <sz val="8"/>
            <color indexed="81"/>
            <rFont val="Tahoma"/>
            <family val="2"/>
          </rPr>
          <t xml:space="preserve">
Adjustments to continuing (reversing these to get to GAAP):
a    On a pre-tax basis includes a $326,000 charge within cost of sales and $6,095,000 charge within SG&amp;A for the three months ended October 31, 2010 associated with Tiffany’s plan to consolidate its New York headquarters staff within one location.  
b  Includes $5,558,000 of tax benefits as a result of favorable reserve adjustments relating to the expiration of statutory periods within the provision for income taxes for the three months ended October 31, 2009.  
c  On a pre-tax basis includes a charge of $4,000,000 within SG&amp;A associated with the termination of a diamond sourcing agreement for the three months ended October 31, 2009. 
</t>
        </r>
      </text>
    </comment>
    <comment ref="CH199" authorId="5">
      <text>
        <r>
          <rPr>
            <b/>
            <sz val="8"/>
            <color indexed="81"/>
            <rFont val="Tahoma"/>
            <family val="2"/>
          </rPr>
          <t>nicholjs:</t>
        </r>
        <r>
          <rPr>
            <sz val="8"/>
            <color indexed="81"/>
            <rFont val="Tahoma"/>
            <family val="2"/>
          </rPr>
          <t xml:space="preserve">
Adjustments to continuing (reversing these to get to GAAP):
a    On a pre-tax basis includes a $323,000 charge within cost of sales and $6,086,000 charge within SG&amp;A expenses for the three months ended January 31, 2011 associated with Tiffany’s plan to consolidate its New York headquarters staff within one location.  
</t>
        </r>
      </text>
    </comment>
    <comment ref="CX208" authorId="0">
      <text>
        <r>
          <rPr>
            <b/>
            <sz val="9"/>
            <color indexed="81"/>
            <rFont val="Tahoma"/>
            <family val="2"/>
          </rPr>
          <t>Turley, Amber (Research):</t>
        </r>
        <r>
          <rPr>
            <sz val="9"/>
            <color indexed="81"/>
            <rFont val="Tahoma"/>
            <family val="2"/>
          </rPr>
          <t xml:space="preserve">
11/26/14: As of 10/31 129,353,842 shares outstanding</t>
        </r>
      </text>
    </comment>
  </commentList>
</comments>
</file>

<file path=xl/comments7.xml><?xml version="1.0" encoding="utf-8"?>
<comments xmlns="http://schemas.openxmlformats.org/spreadsheetml/2006/main">
  <authors>
    <author>sancfa</author>
  </authors>
  <commentList>
    <comment ref="A1" authorId="0">
      <text>
        <r>
          <rPr>
            <b/>
            <sz val="8"/>
            <color indexed="81"/>
            <rFont val="Tahoma"/>
            <family val="2"/>
          </rPr>
          <t>卟䙄_x0001_＀＀䳭_x001A_䥔ⵆ单坞当奆⡃⤰䍀彁奆⡃⤰_x0018_＀＀_x0018_＀＀_x0008_＀＀_x0001_＀＀_x0008_＀＀㄰㈯㄰0蘜伹0䥔幆噁⡇彐塅䡃剟呁⡅单ⱄ䅃ⱄ〲㤰㈯⭆䐱㈬〰⼹䘳⤩_x0018_＀＀_x0018_＀＀_x0008_＀＀_x0001_＀＀_x0001_＀＀䙆᳂酃㿱蘜伹0䥔幆噁⡇彐塅䡃剟呁⡅䉇ⱐ单ⱄ〲㠰㌯⭆䐱㈬〰⼸䘴⤩_x0018_＀＀_x0018_＀＀_x0008_＀＀_x0001_＀＀_x0001_＀＀˵攺⌳㿹Ǆ䳮_x001E_䥔ⵆ单䙞彇剐䍉⡅㄰㌯⼱〲㄰Ⱜ⥄_x0018_＀＀_x0018_＀＀_x0008_＀＀_x0001_＀＀_x0001_＀＀਽ꏗ뵰䁂蘜伹,啄䵍幙噁⡇彐塅䡃剟呁⡅䉇ⱐ单ⱄ〲㠰ㄫⱄ〲㤰⤩_x0018_＀＀_x0018_＀＀_x0008_＀＀_x0001_＀＀_x0001_＀＀统箘ೇ㿹蘜伹0䥔幆噁⡇彐塅䡃剟呁⡅单ⱄ䅃ⱄ〲㜰㐯⭆䐱㈬〰⼸䘱⤩_x0018_＀＀_x0018_＀＀_x0008_＀＀_x0001_＀＀_x0001_＀＀噻碆ዒ㿰蘜伹0䥔幆噁⡇彐塅䡃剟呁⡅单ⱄ䅃ⱄ〲㜰ㄯ⭆䐱㈬〰⼷䘲⤩_x0018_＀＀_x0018_＀＀_x0008_＀＀_x0001_＀＀_x0001_＀＀᠚_xDA50_郡㿱蘜伹0䥔幆噁⡇彐塅䡃剟呁⡅单ⱄ偊ⱙ〲㜰㐯⭆䐱㈬〰⼸䘱⤩_x0018_＀＀_x0018_＀＀_x0008_＀＀_x0001_＀＀_x0001_＀＀_xDC65_떣呦䁚蘜伹0䥔幆噁⡇彐塅䡃剟呁⡅䉇ⱐ单ⱄ〲㠰㐯⭆䐱㈬〰⼹䘱⤩_x0018_＀＀_x0018_＀＀_x0008_＀＀_x0001_＀＀_x0001_＀＀䂒䶃㿶蘜伹0䥔幆噁⡇彐塅䡃剟呁⡅单ⱄ偊ⱙ〲㜰ㄯ⭆䐱㈬〰⼷䘲⤩_x0018_＀＀_x0018_＀＀_x0008_＀＀_x0001_＀＀_x0001_＀＀㪲뮇㈦䁞蘜伹0䥔幆噁⡇彐塅䡃剟呁⡅䉇ⱐ单ⱄ〲㠰ㄯ⭆䐱㈬〰⼸䘲⤩_x0018_＀＀_x0018_＀＀_x0008_＀＀_x0001_＀＀_x0001_＀＀覐솂褋㿿藲伹0䥔幆噁⡇彐塅䡃剟呁⡅单ⱄ剋ⱗ〲㠰㈯⭆䐱㈬〰⼸䘳⤩_x0018_＀＀_x0018_＀＀_x0008_＀＀_x0001_＀＀_x0001_＀＀ឌ쪧ꥹ䂐藲伹,啄䵍幙噁⡇彐塅䡃剟呁⡅单ⱄ剋ⱗ〲㜰ㄫⱄ〲㠰⤩_x0018_＀＀_x0018_＀＀_x0008_＀＀_x0001_＀＀_x0001_＀＀⩗䵨㌷䂑藲伹0䥔幆噁⡇彐塅䡃剟呁⡅单ⱄ乃ⱙ〲㤰㌯⭆䐱㈬〰⼹䘴⤩_x0018_＀＀_x0018_＀＀_x0008_＀＀_x0001_＀＀_x0001_＀＀ᚒꌻ佃䀛贊䴣0䥔幆噁⡇彐塅䡃剟呁⡅啅ⱒ单ⱄ〲〱ㄯ⭆䐱㈬㄰⼰䘳⤩_x0018_＀＀_x0018_＀＀_x0008_＀＀_x0001_＀＀_x0001_＀＀諧蝚㿴藲伹2啄䵍幙噁⡇彐塅䡃剟呁⡅单ⱄ乃ⱙ〲〱㈯⭃䐱㈬㄰⼰䌳⤩_x0018_＀＀_x0018_＀＀_x0008_＀＀_x0001_＀＀_x0001_＀＀⼹鑢Ꭷ䀛貯䴣2啄䵍幙噁⡇彐塅䡃剟呁⡅单ⱄ剋ⱗ〲〱ㄯ⭃䐱㈬㄰⼰䌳⤩_x0018_＀＀_x0018_＀＀_x0008_＀＀_x0001_＀＀_x0001_＀＀曎_xD9B3_埬䂒蘜伹0䥔幆噁⡇彐塅䡃剟呁⡅单ⱄ䅃ⱄ〲ㄱ㈯⭆䐱㈬㄰⼱䘳⤩_x0018_＀＀_x0018_＀＀_x0008_＀＀_x0001_＀＀_x0001_＀＀気䮋悺㿯蘜伹0䥔幆噁⡇彐塅䡃剟呁⡅单ⱄ䅃ⱄ〲㤰㐯⭆䐱㈬㄰⼰䘱⤩_x0018_＀＀_x0018_＀＀_x0008_＀＀_x0001_＀＀_x0001_＀＀㱪ꓑ㿰蘜伹2啄䵍幙噁⡇彐塅䡃剟呁⡅单ⱄ偊ⱙ〲ㄱ㈯⭃䐱㈬㄰⼱䌳⤩_x0018_＀＀_x0018_＀＀_x0008_＀＀_x0001_＀＀_x0001_＀＀䦋颫檴䁓藲伹*䥔幆噁⡇彐塅䡃剟呁⡅单ⱄ剋ⱗ〲㘰ㄫⱄ〲㜰⤩_x0018_＀＀_x0018_＀＀_x0008_＀＀_x0001_＀＀_x0001_＀＀泦䔻ঠ䂍蘜伹0䥔幆噁⡇彐塅䡃剟呁⡅啅ⱒ单ⱄ〲㠰㈯⭆䐱㈬〰⼸䘳⤩_x0018_＀＀_x0018_＀＀_x0008_＀＀_x0001_＀＀_x0001_＀＀萍ཽ㿸Ǆ䳮_x001E_䥔ⵆ单䙞彇剐䍉⡅㄰㌯⼱〲〱Ⱜ⥄_x0018_＀＀_x0018_＀＀_x0008_＀＀_x0001_＀＀_x0001_＀＀䞮竡且䁄蘜伹,啄䵍幙噁⡇彐塅䡃剟呁⡅单ⱄ偊ⱙ〲㠰ㄫⱄ〲㤰⤩_x0018_＀＀_x0018_＀＀_x0008_＀＀_x0001_＀＀_x0001_＀＀ﰅ傇杔䁗Ǆ䳮_x001E_䥔ⵆ单䙞彇剐䍉⡅㄰㌯⼱〲㔰Ⱜ⥄_x0018_＀＀_x0018_＀＀_x0008_＀＀_x0001_＀＀_x0001_＀＀䞮竡渔䀿藲伹0䥔幆噁⡇彐塅䡃剟呁⡅单ⱄ剋ⱗ〲㘰㐯⭆䐱㈬〰⼷䘱⤩_x0018_＀＀_x0018_＀＀_x0008_＀＀_x0001_＀＀_x0001_＀＀塄荇垬䂍蘜伹0䥔幆噁⡇彐塅䡃剟呁⡅䉇ⱐ单ⱄ〲〱㌯⭆䐱㈬㄰⼰䘴⤩_x0018_＀＀_x0018_＀＀_x0008_＀＀_x0001_＀＀_x0001_＀＀횭㼨䛑㿹藲伹0䥔幆噁⡇彐塅䡃剟呁⡅单ⱄ乃ⱙ〲㜰㈯⭆䐱㈬〰⼷䘳⤩_x0018_＀＀_x0018_＀＀_x0008_＀＀_x0001_＀＀_x0001_＀＀⡭㮨䀞蘜伹2啄䵍幙噁⡇彐塅䡃剟呁⡅单ⱄ偊ⱙ〲㤰㐯⭃䐱㈬㄰⼰䌱⤩_x0018_＀＀_x0018_＀＀_x0008_＀＀_x0001_＀＀_x0001_＀＀鳽嶻꺏䁖藲伹0䥔幆噁⡇彐塅䡃剟呁⡅单ⱄ乃ⱙ〲㤰ㄯ⭆䐱㈬〰⼹䘲⤩_x0018_＀＀_x0018_＀＀_x0008_＀＀_x0001_＀＀_x0001_＀＀䂙ᒔ刈䀛蘜伹0䥔幆噁⡇彐塅䡃剟呁⡅单ⱄ偊ⱙ〲㠰㈯⭆䐱㈬〰⼸䘳⤩_x0018_＀＀_x0018_＀＀_x0008_＀＀_x0001_＀＀_x0001_＀＀࿉컟䁚蘜伹0䥔幆噁⡇彐塅䡃剟呁⡅䉇ⱐ单ⱄ〲〱㐯⭆䐱㈬㄰⼱䘱⤩_x0018_＀＀_x0018_＀＀_x0008_＀＀_x0001_＀＀_x0001_＀＀_xDCA6_蹽ꐏ㿹蘜伹0䥔幆噁⡇彐塅䡃剟呁⡅䉇ⱐ单ⱄ〲〱ㄯ⭆䐱㈬㄰⼰䘲⤩_x0018_＀＀_x0018_＀＀_x0008_＀＀_x0001_＀＀_x0001_＀＀蓒_xDF17_㿷蘜伹0䥔幆噁⡇彐塅䡃剟呁⡅啅ⱒ单ⱄ〲㘰㐯⭆䐱㈬〰⼷䘱⤩_x0018_＀＀_x0018_＀＀_x0008_＀＀_x0001_＀＀_x0001_＀＀㥧㿴蘜伹0䥔幆噁⡇彐塅䡃剟呁⡅啅ⱒ单ⱄ〲〱㈯⭆䐱㈬㄰⼰䘳⤩_x0018_＀＀_x0018_＀＀_x0008_＀＀_x0001_＀＀_x0001_＀＀啈풋꾉㿴谨䴣0䥔幆噁⡇彐塅䡃剟呁⡅单ⱄ䅃ⱄ〲〱ㄯ⭆䐱㈬㄰⼰䘳⤩_x0018_＀＀_x0018_＀＀_x0008_＀＀_x0001_＀＀_x0001_＀＀즮御觇㿰Ǆ䳮_x001E_䥔ⵆ单䙞彇剐䍉⡅㄰㌯⼱〲〰Ⱜ⥄_x0018_＀＀_x0018_＀＀_x0008_＀＀_x0001_＀＀_x0001_＀＀＀＀＀＀耀䁂藲伹%单䍄奎坞前䙟剏䅗䑒剟呁彅䥍⡄ⰰⰬㄢ≙착_x0018_＀＀_x0018_＀＀_x0008_＀＀_x0001_＀＀_x0001_＀＀巍졋㴇䀙蘜伹0䥔幆噁⡇彐塅䡃剟呁⡅单ⱄ䅃ⱄ〲㠰㈯⭆䐱㈬〰⼸䘳⤩_x0018_＀＀_x0018_＀＀_x0008_＀＀_x0001_＀＀_x0001_＀＀语ꢆ㿰蘜伹0䥔幆噁⡇彐塅䡃剟呁⡅䉇ⱐ单ⱄ〲㤰㈯⭆䐱㈬〰⼹䘳⤩_x0018_＀＀_x0018_＀＀_x0008_＀＀_x0001_＀＀_x0001_＀＀沉ὗ㽆㿺藲伹%单䭄坒坞前䙟剏䅗䑒剟呁彅䥍⡄ⰰⰬㄢ≙착_x0018_＀＀_x0018_＀＀_x0008_＀＀_x0001_＀＀_x0001_＀＀香香횙䂑藲伹0䥔幆噁⡇彐塅䡃剟呁⡅单ⱄ剋ⱗ〲㤰㌯⭆䐱㈬〰⼹䘴⤩_x0018_＀＀_x0018_＀＀_x0008_＀＀_x0001_＀＀_x0001_＀＀攴郆䃰䂒蘜伹0䥔幆噁⡇彐塅䡃剟呁⡅单ⱄ偊ⱙ〲㘰㐯⭆䐱㈬〰⼷䘱⤩_x0018_＀＀_x0018_＀＀_x0008_＀＀_x0001_＀＀_x0001_＀＀ᚍ냆힀䁝藲伹2啄䵍幙噁⡇彐塅䡃剟呁⡅单ⱄ剋ⱗ〲〱㈯⭃䐱㈬㄰⼰䌳⤩_x0018_＀＀_x0018_＀＀_x0008_＀＀_x0001_＀＀_x0001_＀＀輐穸䂒藲伹%单䍄奎坞前䙟剏䅗䑒剟呁彅䥍⡄ⰰⰬ㤢≍착_x0018_＀＀_x0018_＀＀_x0008_＀＀_x0001_＀＀_x0001_＀＀殐앃㼸䀙貯䴣2啄䵍幙噁⡇彐塅䡃剟呁⡅单ⱄ偊ⱙ〲〱ㄯ⭃䐱㈬㄰⼰䌳⤩_x0018_＀＀_x0018_＀＀_x0008_＀＀_x0001_＀＀_x0001_＀＀詇簫㢤䁖Ǆ䳮_x001E_䥔ⵆ单䙞彇剐䍉⡅㄰㌯⼱〲㤰Ⱜ⥄_x0018_＀＀_x0018_＀＀_x0008_＀＀_x0001_＀＀_x0001_＀＀＀＀＀＀쀀䀴藲伹%单䍄奎坞前䙟剏䅗䑒剟呁彅䥍⡄ⰰⰬ㘢≍착_x0018_＀＀_x0018_＀＀_x0008_＀＀_x0001_＀＀_x0001_＀＀艁쟢㮘䀙藲伹0䥔幆噁⡇彐塅䡃剟呁⡅单ⱄ剋ⱗ〲㜰㈯⭆䐱㈬〰⼷䘳⤩_x0018_＀＀_x0018_＀＀_x0008_＀＀_x0001_＀＀_x0001_＀＀ㄭ˄ﵙ䂌藲伹%单䭄坒坞前䙟剏䅗䑒剟呁彅䥍⡄ⰰⰬ㤢≍착_x0018_＀＀_x0018_＀＀_x0008_＀＀_x0001_＀＀_x0001_＀＀＀＀＀＀씀䂑蘜伹0䥔幆噁⡇彐塅䡃剟呁⡅䉇ⱐ单ⱄ〲㜰㌯⭆䐱㈬〰⼷䘴⤩_x0018_＀＀_x0018_＀＀_x0008_＀＀_x0001_＀＀_x0001_＀＀굟䤩夸䀀藲伹0䥔幆噁⡇彐塅䡃剟呁⡅单ⱄ剋ⱗ〲㤰ㄯ⭆䐱㈬〰⼹䘲⤩_x0018_＀＀_x0018_＀＀_x0008_＀＀_x0001_＀＀_x0001_＀＀뻷쮠ᛦ䂔藲伹%单䍄奎坞前䙟剏䅗䑒剟呁彅䥍⡄ⰰⰬ㌢≍착_x0018_＀＀_x0018_＀＀_x0008_＀＀_x0001_＀＀_x0001_＀＀⥟჋㫇䀙藲伹%单䭄坒坞前䙟剏䅗䑒剟呁彅䥍⡄ⰰⰬ㘢≍착_x0018_＀＀_x0018_＀＀_x0008_＀＀_x0001_＀＀_x0001_＀＀㌳㌳밳䂑蘜伹0䥔幆噁⡇彐塅䡃剟呁⡅啅ⱒ单ⱄ〲㤰㌯⭆䐱㈬〰⼹䘴⤩_x0018_＀＀_x0018_＀＀_x0008_＀＀_x0001_＀＀_x0001_＀＀顺疙ꂢ㿷蘜伹0䥔幆噁⡇彐塅䡃剟呁⡅单ⱄ䅃ⱄ〲㘰㐯⭆䐱㈬〰⼷䘱⤩_x0018_＀＀_x0018_＀＀_x0008_＀＀_x0001_＀＀_x0001_＀＀邮뽐㿲藲伹2啄䵍幙噁⡇彐塅䡃剟呁⡅单ⱄ乃ⱙ〲ㄱㄯ⭃䐱㈬㄰⼱䌲⤩_x0018_＀＀_x0018_＀＀_x0008_＀＀_x0001_＀＀_x0001_＀＀궩멾_xFFFF_ﾥ䀙藲伹%单䭄坒坞前䙟剏䅗䑒剟呁彅䥍⡄ⰰⰬ㌢≍착_x0018_＀＀_x0018_＀＀_x0008_＀＀_x0001_＀＀_x0001_＀＀㌳㌳ꨳ䂑蘜伹0䥔幆噁⡇彐塅䡃剟呁⡅䉇ⱐ单ⱄ〲㜰㐯⭆䐱㈬〰⼸䘱⤩_x0018_＀＀_x0018_＀＀_x0008_＀＀_x0001_＀＀_x0001_＀＀揰ꝳ㿿藲伹,啄䵍幙噁⡇彐塅䡃剟呁⡅单ⱄ乃ⱙ〲㜰ㄫⱄ〲㠰⤩_x0018_＀＀_x0018_＀＀_x0008_＀＀_x0001_＀＀_x0001_＀＀ைḆ쳅䀛蘜伹0䥔幆噁⡇彐塅䡃剟呁⡅䉇ⱐ单ⱄ〲㜰ㄯ⭆䐱㈬〰⼷䘲⤩_x0018_＀＀_x0018_＀＀_x0008_＀＀_x0001_＀＀_x0001_＀＀唆젮㿿Ǆ䳮_x001E_䥔ⵆ单䙞彇剐䍉⡅㄰㌯⼱〲㐰Ⱜ⥄_x0018_＀＀_x0018_＀＀_x0008_＀＀_x0001_＀＀_x0001_＀＀롒蔞퇫䁃蘜伹0䥔幆噁⡇彐塅䡃剟呁⡅啅ⱒ单ⱄ〲㤰ㄯ⭆䐱㈬〰⼹䘲⤩_x0018_＀＀_x0018_＀＀_x0008_＀＀_x0001_＀＀_x0001_＀＀飝쭺㿵蘜伹,啄䵍幙噁⡇彐塅䡃剟呁⡅单ⱄ䅃ⱄ〲㠰ㄫⱄ〲㤰⤩_x0018_＀＀_x0018_＀＀_x0008_＀＀_x0001_＀＀_x0001_＀＀ᆌგ䃂㿲藲伹0䥔幆噁⡇彐塅䡃剟呁⡅单ⱄ乃ⱙ〲㠰㌯⭆䐱㈬〰⼸䘴⤩_x0018_＀＀_x0018_＀＀_x0008_＀＀_x0001_＀＀_x0001_＀＀∑좤峓䀛蘜伹0䥔幆噁⡇彐塅䡃剟呁⡅单ⱄ䅃ⱄ〲〱㈯⭆䐱㈬㄰⼰䘳⤩_x0018_＀＀_x0018_＀＀_x0008_＀＀_x0001_＀＀_x0001_＀＀둜ꇭꅪ㿰蘜伹0䥔幆噁⡇彐塅䡃剟呁⡅单ⱄ偊ⱙ〲㤰㌯⭆䐱㈬〰⼹䘴⤩_x0018_＀＀_x0018_＀＀_x0008_＀＀_x0001_＀＀_x0001_＀＀飺辫皹䁖蘜伹2啄䵍幙噁⡇彐塅䡃剟呁⡅单ⱄ偊ⱙ〲〱㈯⭃䐱㈬㄰⼰䌳⤩_x0018_＀＀_x0018_＀＀_x0008_＀＀_x0001_＀＀_x0001_＀＀艓┼濈䁕蘜伹0䥔幆噁⡇彐塅䡃剟呁⡅䉇ⱐ单ⱄ〲ㄱ㈯⭆䐱㈬㄰⼱䘳⤩_x0018_＀＀_x0018_＀＀_x0008_＀＀_x0001_＀＀_x0001_＀＀⼃ꧼ삺㿹蘜伹0䥔幆噁⡇彐塅䡃剟呁⡅䉇ⱐ单ⱄ〲㤰㐯⭆䐱㈬㄰⼰䘱⤩_x0018_＀＀_x0018_＀＀_x0008_＀＀_x0001_＀＀_x0001_＀＀ꎞń㿸蘜伹0䥔幆噁⡇彐塅䡃剟呁⡅啅ⱒ单ⱄ〲㜰㈯⭆䐱㈬〰⼷䘳⤩_x0018_＀＀_x0018_＀＀_x0008_＀＀_x0001_＀＀_x0001_＀＀臠Რﶫ㿵藲伹0䥔幆噁⡇彐塅䡃剟呁⡅单ⱄ乃ⱙ〲㠰㐯⭆䐱㈬〰⼹䘱⤩_x0018_＀＀_x0018_＀＀_x0008_＀＀_x0001_＀＀_x0001_＀＀謠㟙堼䀛藲伹0䥔幆噁⡇彐塅䡃剟呁⡅单ⱄ乃ⱙ〲㠰ㄯ⭆䐱㈬〰⼸䘲⤩_x0018_＀＀_x0018_＀＀_x0008_＀＀_x0001_＀＀_x0001_＀＀카샨풳䀛蘜伹0䥔幆噁⡇彐塅䡃剟呁⡅单ⱄ偊ⱙ〲㤰ㄯ⭆䐱㈬〰⼹䘲⤩_x0018_＀＀_x0018_＀＀_x0008_＀＀_x0001_＀＀_x0001_＀＀祖䭓婨䁘蘜伹,啄䵍幙噁⡇彐塅䡃剟呁⡅䉇ⱐ单ⱄ〲㜰ㄫⱄ〲㠰⤩_x0018_＀＀_x0018_＀＀_x0008_＀＀_x0001_＀＀_x0001_＀＀Ꜷꍙ㿽蘜伹0䥔幆噁⡇彐塅䡃剟呁⡅单ⱄ䅃ⱄ〲㤰㌯⭆䐱㈬〰⼹䘴⤩_x0018_＀＀_x0018_＀＀_x0008_＀＀_x0001_＀＀_x0001_＀＀㖸묀㿰藲伹*䥔幆噁⡇彐塅䡃剟呁⡅单ⱄ乃ⱙ〲㘰ㄫⱄ〲㜰⤩_x0018_＀＀_x0018_＀＀_x0008_＀＀_x0001_＀＀_x0001_＀＀殱᭛泶䀞蘜伹0䥔幆噁⡇彐塅䡃剟呁⡅啅ⱒ单ⱄ〲ㄱㄯ⭆䐱㈬㄰⼱䘲⤩_x0018_＀＀_x0018_＀＀_x0008_＀＀_x0001_＀＀_x0001_＀＀ﴐ㢋࡭㿷蘜伹0䥔幆噁⡇彐塅䡃剟呁⡅单ⱄ偊ⱙ〲㜰㈯⭆䐱㈬〰⼷䘳⤩_x0018_＀＀_x0018_＀＀_x0008_＀＀_x0001_＀＀_x0001_＀＀몀⷟獭䁝蘜伹%单䩄奐坞前䙟剏䅗䑒剟呁彅䥍⡄ⰰⰬㄢ≙착_x0018_＀＀_x0018_＀＀_x0008_＀＀_x0001_＀＀_x0001_＀＀恂탥䬢䁓蘜伹0䥔幆噁⡇彐塅䡃剟呁⡅单ⱄ䅃ⱄ〲㤰ㄯ⭆䐱㈬〰⼹䘲⤩_x0018_＀＀_x0018_＀＀_x0008_＀＀_x0001_＀＀_x0001_＀＀ූ阄낖㿲蘜伹*䥔幆噁⡇彐塅䡃剟呁⡅䉇ⱐ单ⱄ〲㘰ㄫⱄ〲㜰⤩_x0018_＀＀_x0018_＀＀_x0008_＀＀_x0001_＀＀_x0001_＀＀ȍ_xD873_̫䀀Ǆ䳮_x001E_䥔ⵆ单䙞彇剐䍉⡅㄰㌯⼱〲㠰Ⱜ⥄_x0018_＀＀_x0018_＀＀_x0008_＀＀_x0001_＀＀_x0001_＀＀롑䁃藲伹0䥔幆噁⡇彐塅䡃剟呁⡅单ⱄ剋ⱗ〲㠰㌯⭆䐱㈬〰⼸䘴⤩_x0018_＀＀_x0018_＀＀_x0008_＀＀_x0001_＀＀_x0001_＀＀눗ʴ㾦䂕贊䴣0䥔幆噁⡇彐塅䡃剟呁⡅䉇ⱐ单ⱄ〲〱ㄯ⭆䐱㈬㄰⼰䘳⤩_x0018_＀＀_x0018_＀＀_x0008_＀＀_x0001_＀＀_x0001_＀＀褾蛱媅㿸藲伹2啄䵍幙噁⡇彐塅䡃剟呁⡅单ⱄ剋ⱗ〲ㄱㄯ⭃䐱㈬㄰⼱䌲⤩_x0018_＀＀_x0018_＀＀_x0008_＀＀_x0001_＀＀_x0001_＀＀팙聤䂐蘜伹%单䩄奐坞前䙟剏䅗䑒剟呁彅䥍⡄ⰰⰬ㤢≍착_x0018_＀＀_x0018_＀＀_x0008_＀＀_x0001_＀＀_x0001_＀＀⣶轜嗂䁓蘜伹0䥔幆噁⡇彐塅䡃剟呁⡅单ⱄ䅃ⱄ〲㜰㈯⭆䐱㈬〰⼷䘳⤩_x0018_＀＀_x0018_＀＀_x0008_＀＀_x0001_＀＀_x0001_＀＀焺믁㿰蘜伹%啅啒䑓坞前䙟剏䅗䑒剟呁彅䥍⡄ⰰⰬㄢ≙착_x0018_＀＀_x0018_＀＀_x0008_＀＀_x0001_＀＀_x0001_＀＀鍎큒◭㿵蘜伹%单䩄奐坞前䙟剏䅗䑒剟呁彅䥍⡄ⰰⰬ㘢≍착_x0018_＀＀_x0018_＀＀_x0008_＀＀_x0001_＀＀_x0001_＀＀沋ﯧ嶩䁓蘜伹,啄䵍幙噁⡇彐塅䡃剟呁⡅单ⱄ偊ⱙ〲㜰ㄫⱄ〲㠰⤩_x0018_＀＀_x0018_＀＀_x0008_＀＀_x0001_＀＀_x0001_＀＀烃롄흝䁙蘜伹0䥔幆噁⡇彐塅䡃剟呁⡅䉇ⱐ单ⱄ〲㠰㈯⭆䐱㈬〰⼸䘳⤩_x0018_＀＀_x0018_＀＀_x0008_＀＀_x0001_＀＀_x0001_＀＀趻᠀䣣㿾蘜伹%单䍄䑁坞前䙟剏䅗䑒剟呁彅䥍⡄ⰰⰬㄢ≙착_x0018_＀＀_x0018_＀＀_x0008_＀＀_x0001_＀＀_x0001_＀＀_xD97F_礽⡘㿰蘜伹,啄䵍幙噁⡇彐塅䡃剟呁⡅啅ⱒ单ⱄ〲㠰ㄫⱄ〲㤰⤩_x0018_＀＀_x0018_＀＀_x0008_＀＀_x0001_＀＀_x0001_＀＀듪_xD987_亀㿶蘜伹0䥔幆噁⡇彐塅䡃剟呁⡅啅ⱒ单ⱄ〲㠰㌯⭆䐱㈬〰⼸䘴⤩_x0018_＀＀_x0018_＀＀_x0008_＀＀_x0001_＀＀_x0001_＀＀⠏紎‵㿵蘜伹%单䩄奐坞前䙟剏䅗䑒剟呁彅䥍⡄ⰰⰬ㌢≍착_x0018_＀＀_x0018_＀＀_x0008_＀＀_x0001_＀＀_x0001_＀＀ᾊ摚䁓Ǆ䳮_x001E_䥔ⵆ单䙞彇剐䍉⡅㄰㌯⼱〲㌰Ⱜ⥄_x0018_＀＀_x0018_＀＀_x0008_＀＀_x0001_＀＀_x0001_＀＀＀＀＀＀䀀䀷蘜伹%啅啒䑓坞前䙟剏䅗䑒剟呁彅䥍⡄ⰰⰬ㤢≍착_x0018_＀＀_x0018_＀＀_x0008_＀＀_x0001_＀＀_x0001_＀＀괜ꪣ∉㿵藲伹2啄䵍幙噁⡇彐塅䡃剟呁⡅单ⱄ乃ⱙ〲〱㌯⭃䐱㈬㄰⼰䌴⤩_x0018_＀＀_x0018_＀＀_x0008_＀＀_x0001_＀＀_x0001_＀＀㭒ઙ齐䀚蘜伹%单䍄䑁坞前䙟剏䅗䑒剟呁彅䥍⡄ⰰⰬ㤢≍착_x0018_＀＀_x0018_＀＀_x0008_＀＀_x0001_＀＀_x0001_＀＀蔟凫Ẹ㿰蘜伹*䥔幆噁⡇彐塅䡃剟呁⡅单ⱄ偊ⱙ〲㘰ㄫⱄ〲㜰⤩_x0018_＀＀_x0018_＀＀_x0008_＀＀_x0001_＀＀_x0001_＀＀_xDAB2_ዟ烛䁝藲伹0䥔幆噁⡇彐塅䡃剟呁⡅单ⱄ剋ⱗ〲㠰㐯⭆䐱㈬〰⼹䘱⤩_x0018_＀＀_x0018_＀＀_x0008_＀＀_x0001_＀＀_x0001_＀＀쳎쳌ᯘ䂖蘜伹%啅啒䑓坞前䙟剏䅗䑒剟呁彅䥍⡄ⰰⰬ㘢≍착_x0018_＀＀_x0018_＀＀_x0008_＀＀_x0001_＀＀_x0001_＀＀롦ἁ㿵藲伹0䥔幆噁⡇彐塅䡃剟呁⡅单ⱄ剋ⱗ〲㠰ㄯ⭆䐱㈬〰⼸䘲⤩_x0018_＀＀_x0018_＀＀_x0008_＀＀_x0001_＀＀_x0001_＀＀໾_xDB80_쯼䂏蘜伹%单䍄䑁坞前䙟剏䅗䑒剟呁彅䥍⡄ⰰⰬ㘢≍착_x0018_＀＀_x0018_＀＀_x0008_＀＀_x0001_＀＀_x0001_＀＀忙佶ᘞ㿰蘜伹%啅啒䑓坞前䙟剏䅗䑒剟呁彅䥍⡄ⰰⰬ㌢≍착_x0018_＀＀_x0018_＀＀_x0008_＀＀_x0001_＀＀_x0001_＀＀ꑃ뻟ᰎ㿵藲伹0䥔幆噁⡇彐塅䡃剟呁⡅单ⱄ乃ⱙ〲㤰㈯⭆䐱㈬〰⼹䘳⤩_x0018_＀＀_x0018_＀＀_x0008_＀＀_x0001_＀＀_x0001_＀＀䪯䠣勒䀛藲伹2啄䵍幙噁⡇彐塅䡃剟呁⡅单ⱄ乃ⱙ〲〱㐯⭃䐱㈬㄰⼱䌱⤩_x0018_＀＀_x0018_＀＀_x0008_＀＀_x0001_＀＀_x0001_＀＀壮آ哰䀚藲伹2啄䵍幙噁⡇彐塅䡃剟呁⡅单ⱄ乃ⱙ〲〱ㄯ⭃䐱㈬㄰⼰䌲⤩_x0018_＀＀_x0018_＀＀_x0008_＀＀_x0001_＀＀_x0001_＀＀鉯箝䯞䀛藲伹,啄䵍幙噁⡇彐塅䡃剟呁⡅单ⱄ剋ⱗ〲㠰ㄫⱄ〲㤰⤩_x0018_＀＀_x0018_＀＀_x0008_＀＀_x0001_＀＀_x0001_＀＀황롬䂓蘜伹%单䍄䑁坞前䙟剏䅗䑒剟呁彅䥍⡄ⰰⰬ㌢≍착_x0018_＀＀_x0018_＀＀_x0008_＀＀_x0001_＀＀_x0001_＀＀⣌宖൚㿰蘜伹0䥔幆噁⡇彐塅䡃剟呁⡅䉇ⱐ单ⱄ〲㘰㐯⭆䐱㈬〰⼷䘱⤩_x0018_＀＀_x0018_＀＀_x0008_＀＀_x0001_＀＀_x0001_＀＀좽ᑿ䗂㿿蘜伹0䥔幆噁⡇彐塅䡃剟呁⡅单ⱄ䅃ⱄ〲ㄱㄯ⭆䐱㈬㄰⼱䘲⤩_x0018_＀＀_x0018_＀＀_x0008_＀＀_x0001_＀＀_x0001_＀＀_xDBC0_愈㿮蘜伹0䥔幆噁⡇彐塅䡃剟呁⡅䉇ⱐ单ⱄ〲〱㈯⭆䐱㈬㄰⼰䘳⤩_x0018_＀＀_x0018_＀＀_x0008_＀＀_x0001_＀＀_x0001_＀＀ꉇ㙕킨㿸蘜伹2啄䵍幙噁⡇彐塅䡃剟呁⡅单ⱄ偊ⱙ〲ㄱㄯ⭃䐱㈬㄰⼱䌲⤩_x0018_＀＀_x0018_＀＀_x0008_＀＀_x0001_＀＀_x0001_＀＀ꧥ䖥捚䁔嗂乞&amp;单䍄䑁坞前䙟剏䅗䑒剟呁彅䥍⡄ⰰⰬㄢ䴵⤢_x0018_＀＀_x0018_＀＀_x0008_＀＀_x0001_＀＀_x0001_＀＀豀碵꼝쐕蘜伹0䥔幆噁⡇彐塅䡃剟呁⡅啅ⱒ单ⱄ〲㠰㐯⭆䐱㈬〰⼹䘱⤩_x0018_＀＀_x0018_＀＀_x0008_＀＀_x0001_＀＀_x0001_＀＀퐂凉_xDEC2_㿴蘜伹0䥔幆噁⡇彐塅䡃剟呁⡅啅ⱒ单ⱄ〲㠰ㄯ⭆䐱㈬〰⼸䘲⤩_x0018_＀＀_x0018_＀＀_x0008_＀＀_x0001_＀＀_x0001_＀＀ⴅ籦_xFFFF_ｆ㿸喨乞&amp;单䍄䑁坞前䙟剏䅗䑒剟呁彅䥍⡄ⰰⰬㄢ䴲⤢_x0018_＀＀_x0018_＀＀_x0008_＀＀_x0001_＀＀_x0001_＀＀豀碵꼝쐕藲伹0䥔幆噁⡇彐塅䡃剟呁⡅单ⱄ乃ⱙ〲㜰㌯⭆䐱㈬〰⼷䘴⤩_x0018_＀＀_x0018_＀＀_x0008_＀＀_x0001_＀＀_x0001_＀＀䓸묒䀝겮䳙&amp;单䩄奐坞前䙟剏䅗䑒剟呁彅䥍⡄ⰰⰬㄢ䴸⤢_x0018_＀＀_x0018_＀＀_x0008_＀＀_x0001_＀＀_x0001_＀＀豀碵꼝쐕蘜伹0䥔幆噁⡇彐塅䡃剟呁⡅单ⱄ偊ⱙ〲㠰㌯⭆䐱㈬〰⼸䘴⤩_x0018_＀＀_x0018_＀＀_x0008_＀＀_x0001_＀＀_x0001_＀＀贳ē䁘겮䳙&amp;单䩄奐坞前䙟剏䅗䑒剟呁彅䥍⡄ⰰⰬㄢ䴵⤢_x0018_＀＀_x0018_＀＀_x0008_＀＀_x0001_＀＀_x0001_＀＀豀碵꼝쐕Ǆ䳮_x001E_䥔ⵆ单䙞彇剐䍉⡅㄰㌯⼱〲㜰Ⱜ⥄_x0018_＀＀_x0018_＀＀_x0008_＀＀_x0001_＀＀_x0001_＀＀竡긔ꅇ䁃蘜伹0䥔幆噁⡇彐塅䡃剟呁⡅啅ⱒ单ⱄ〲〱㌯⭆䐱㈬㄰⼰䘴⤩_x0018_＀＀_x0018_＀＀_x0008_＀＀_x0001_＀＀_x0001_＀＀谜彅뢂㿵藲伹0䥔幆噁⡇彐塅䡃剟呁⡅单ⱄ乃ⱙ〲㜰㐯⭆䐱㈬〰⼸䘱⤩_x0018_＀＀_x0018_＀＀_x0008_＀＀_x0001_＀＀_x0001_＀＀뙦ﱬ꛱䀜곳䳙(单䩄奐坞前䙟剏䅗䑒剟呁彅䥍⡄ⰰⰬㄢ㈮夵⤢_x0018_＀＀_x0018_＀＀_x0008_＀＀_x0001_＀＀_x0001_＀＀豀碵꼝쐕藲伹0䥔幆噁⡇彐塅䡃剟呁⡅单ⱄ乃ⱙ〲㜰ㄯ⭆䐱㈬〰⼷䘲⤩_x0018_＀＀_x0018_＀＀_x0008_＀＀_x0001_＀＀_x0001_＀＀⟖ﰽ뗊䀞藲伹2啄䵍幙噁⡇彐塅䡃剟呁⡅单ⱄ剋ⱗ〲〱㌯⭃䐱㈬㄰⼰䌴⤩_x0018_＀＀_x0018_＀＀_x0008_＀＀_x0001_＀＀_x0001_＀＀혛憾녭䂑겮䳙&amp;单䩄奐坞前䙟剏䅗䑒剟呁彅䥍⡄ⰰⰬㄢ䴲⤢_x0018_＀＀_x0018_＀＀_x0008_＀＀_x0001_＀＀_x0001_＀＀豀碵꼝쐕蘜伹0䥔幆噁⡇彐塅䡃剟呁⡅单ⱄ偊ⱙ〲㠰㐯⭆䐱㈬〰⼹䘱⤩_x0018_＀＀_x0018_＀＀_x0008_＀＀_x0001_＀＀_x0001_＀＀׵싴欵䁗蘜伹0䥔幆噁⡇彐塅䡃剟呁⡅单ⱄ偊ⱙ〲㠰ㄯ⭆䐱㈬〰⼸䘲⤩_x0018_＀＀_x0018_＀＀_x0008_＀＀_x0001_＀＀_x0001_＀＀ᔍ裇⚴䁚蘜伹0䥔幆噁⡇彐塅䡃剟呁⡅单ⱄ䅃ⱄ〲㠰㌯⭆䐱㈬〰⼸䘴⤩_x0018_＀＀_x0018_＀＀_x0008_＀＀_x0001_＀＀_x0001_＀＀ꀄ樢憱㿳蘜伹0䥔幆噁⡇彐塅䡃剟呁⡅啅ⱒ单ⱄ〲〱㐯⭆䐱㈬㄰⼱䘱⤩_x0018_＀＀_x0018_＀＀_x0008_＀＀_x0001_＀＀_x0001_＀＀셁ﵻ㿵藲伹0䥔幆噁⡇彐塅䡃剟呁⡅单ⱄ剋ⱗ〲㤰㈯⭆䐱㈬〰⼹䘳⤩_x0018_＀＀_x0018_＀＀_x0008_＀＀_x0001_＀＀_x0001_＀＀̚ㆦ峠䂓蘜伹0䥔幆噁⡇彐塅䡃剟呁⡅啅ⱒ单ⱄ〲〱ㄯ⭆䐱㈬㄰⼰䘲⤩_x0018_＀＀_x0018_＀＀_x0008_＀＀_x0001_＀＀_x0001_＀＀桴܇巧㿴藲伹2啄䵍幙噁⡇彐塅䡃剟呁⡅单ⱄ剋ⱗ〲〱㐯⭃䐱㈬㄰⼱䌱⤩_x0018_＀＀_x0018_＀＀_x0008_＀＀_x0001_＀＀_x0001_＀＀＀＀＀＀罔䂑蘜伹0䥔幆噁⡇彐塅䡃剟呁⡅䉇ⱐ单ⱄ〲㤰㌯⭆䐱㈬〰⼹䘴⤩_x0018_＀＀_x0018_＀＀_x0008_＀＀_x0001_＀＀_x0001_＀＀጑깆ℬ㿺藲伹2啄䵍幙噁⡇彐塅䡃剟呁⡅单ⱄ剋ⱗ〲〱ㄯ⭃䐱㈬㄰⼰䌲⤩_x0018_＀＀_x0018_＀＀_x0008_＀＀_x0001_＀＀_x0001_＀＀ꦪ雃㙻䂒蘜伹0䥔幆噁⡇彐塅䡃剟呁⡅单ⱄ䅃ⱄ〲㠰㐯⭆䐱㈬〰⼹䘱⤩_x0018_＀＀_x0018_＀＀_x0008_＀＀_x0001_＀＀_x0001_＀＀ơּ㿳蘜伹%䉇啐䑓坞前䙟剏䅗䑒剟呁彅䥍⡄ⰰⰬㄢ≙착_x0018_＀＀_x0018_＀＀_x0008_＀＀_x0001_＀＀_x0001_＀＀㉳䨸ᵞ㿹Ǆ䳮_x001E_䥔ⵆ单䙞彇剐䍉⡅㄰㌯⼱〲㈰Ⱜ⥄_x0018_＀＀_x0018_＀＀_x0008_＀＀_x0001_＀＀_x0001_＀＀馚香_xD999_䁁蘜伹0䥔幆噁⡇彐塅䡃剟呁⡅单ⱄ䅃ⱄ〲㠰ㄯ⭆䐱㈬〰⼸䘲⤩_x0018_＀＀_x0018_＀＀_x0008_＀＀_x0001_＀＀_x0001_＀＀橫ቸ⥥㿰蘜伹0䥔幆噁⡇彐塅䡃剟呁⡅䉇ⱐ单ⱄ〲㜰㈯⭆䐱㈬〰⼷䘳⤩_x0018_＀＀_x0018_＀＀_x0008_＀＀_x0001_＀＀_x0001_＀＀찥ﶴ⬫䀀蘜伹,啄䵍幙噁⡇彐塅䡃剟呁⡅单ⱄ䅃ⱄ〲㜰ㄫⱄ〲㠰⤩_x0018_＀＀_x0018_＀＀_x0008_＀＀_x0001_＀＀_x0001_＀＀ꔂ륢፷㿱蘜伹0䥔幆噁⡇彐塅䡃剟呁⡅䉇ⱐ单ⱄ〲㤰ㄯ⭆䐱㈬〰⼹䘲⤩_x0018_＀＀_x0018_＀＀_x0008_＀＀_x0001_＀＀_x0001_＀＀쨎頛컎㿸藲伹0䥔幆噁⡇彐塅䡃剟呁⡅单ⱄ剋ⱗ〲㜰㌯⭆䐱㈬〰⼷䘴⤩_x0018_＀＀_x0018_＀＀_x0008_＀＀_x0001_＀＀_x0001_＀＀Ő䐼쪽䂌蘜伹0䥔幆噁⡇彐塅䡃剟呁⡅啅ⱒ单ⱄ〲㤰㈯⭆䐱㈬〰⼹䘳⤩_x0018_＀＀_x0018_＀＀_x0008_＀＀_x0001_＀＀_x0001_＀＀硍帪㿶蘜伹%䉇啐䑓坞前䙟剏䅗䑒剟呁彅䥍⡄ⰰⰬ㤢≍착_x0018_＀＀_x0018_＀＀_x0008_＀＀_x0001_＀＀_x0001_＀＀袢ꬌ⍸㿹蘜伹0䥔幆噁⡇彐塅䡃剟呁⡅单ⱄ䅃ⱄ〲〱㌯⭆䐱㈬㄰⼰䘴⤩_x0018_＀＀_x0018_＀＀_x0008_＀＀_x0001_＀＀_x0001_＀＀筲㍃㿰藲伹0䥔幆噁⡇彐塅䡃剟呁⡅单ⱄ剋ⱗ〲㜰㐯⭆䐱㈬〰⼸䘱⤩_x0018_＀＀_x0018_＀＀_x0008_＀＀_x0001_＀＀_x0001_＀＀졓ܬ_xDFD7_䂍藲伹2啄䵍幙噁⡇彐塅䡃剟呁⡅单ⱄ乃ⱙ〲ㄱ㈯⭃䐱㈬㄰⼱䌳⤩_x0018_＀＀_x0018_＀＀_x0008_＀＀_x0001_＀＀_x0001_＀＀䬳℃ꪆ䀙蘜伹%䉇啐䑓坞前䙟剏䅗䑒剟呁彅䥍⡄ⰰⰬ㘢≍착_x0018_＀＀_x0018_＀＀_x0008_＀＀_x0001_＀＀_x0001_＀＀ᩝ辆⦈㿹藲伹0䥔幆噁⡇彐塅䡃剟呁⡅单ⱄ剋ⱗ〲㜰ㄯ⭆䐱㈬〰⼷䘲⤩_x0018_＀＀_x0018_＀＀_x0008_＀＀_x0001_＀＀_x0001_＀＀޵䂍蘜伹*䥔幆噁⡇彐塅䡃剟呁⡅单ⱄ䅃ⱄ〲㘰ㄫⱄ〲㜰⤩_x0018_＀＀_x0018_＀＀_x0008_＀＀_x0001_＀＀_x0001_＀＀ꑴⷻ㿱蘜伹2啄䵍幙噁⡇彐塅䡃剟呁⡅单ⱄ偊ⱙ〲〱㌯⭃䐱㈬㄰⼰䌴⤩_x0018_＀＀_x0018_＀＀_x0008_＀＀_x0001_＀＀_x0001_＀＀蓐䳴ꍈ䁔藲伹2啄䵍幙噁⡇彐塅䡃剟呁⡅单ⱄ乃ⱙ〲㤰㐯⭃䐱㈬㄰⼰䌱⤩_x0018_＀＀_x0018_＀＀_x0008_＀＀_x0001_＀＀_x0001_＀＀䢲低䀛䳭_x0015_䥔ⵆ单坞当卉彏佃䕄〨착_x0014_＀＀_x0018_＀＀_x0004_＀＀_x0001_＀＀_x0008_＀＀单D蘜伹0䥔幆噁⡇彐塅䡃剟呁⡅啅ⱒ单ⱄ〲㜰㌯⭆䐱㈬〰⼷䘴⤩_x0018_＀＀_x0018_＀＀_x0008_＀＀_x0001_＀＀_x0001_＀＀씷률⬃㿷蘜伹%䉇啐䑓坞前䙟剏䅗䑒剟呁彅䥍⡄ⰰⰬ㌢≍착_x0018_＀＀_x0018_＀＀_x0008_＀＀_x0001_＀＀_x0001_＀＀헠ع⽤㿹蘜伹0䥔幆噁⡇彐塅䡃剟呁⡅单ⱄ䅃ⱄ〲〱㐯⭆䐱㈬㄰⼱䘱⤩_x0018_＀＀_x0018_＀＀_x0008_＀＀_x0001_＀＀_x0001_＀＀顠ㆎ詞㿯蘜伹0䥔幆噁⡇彐塅䡃剟呁⡅单ⱄ䅃ⱄ〲〱ㄯ⭆䐱㈬㄰⼰䘲⤩_x0018_＀＀_x0018_＀＀_x0008_＀＀_x0001_＀＀_x0001_＀＀㓞䓢獨㿰蘜伹0䥔幆噁⡇彐塅䡃剟呁⡅䉇ⱐ单ⱄ〲ㄱㄯ⭆䐱㈬㄰⼱䘲⤩_x0018_＀＀_x0018_＀＀_x0008_＀＀_x0001_＀＀_x0001_＀＀枮䐘័㿺蘜伹0䥔幆噁⡇彐塅䡃剟呁⡅啅ⱒ单ⱄ〲㜰㐯⭆䐱㈬〰⼸䘱⤩_x0018_＀＀_x0018_＀＀_x0008_＀＀_x0001_＀＀_x0001_＀＀藞褐㿷蘜伹0䥔幆噁⡇彐塅䡃剟呁⡅啅ⱒ单ⱄ〲㜰ㄯ⭆䐱㈬〰⼷䘲⤩_x0018_＀＀_x0018_＀＀_x0008_＀＀_x0001_＀＀_x0001_＀＀㫼꓀鎧㿵蘜伹,啄䵍幙噁⡇彐塅䡃剟呁⡅啅ⱒ单ⱄ〲㜰ㄫⱄ〲㠰⤩_x0018_＀＀_x0018_＀＀_x0008_＀＀_x0001_＀＀_x0001_＀＀橰ꈐ衼㿷Ǆ䳮_x001E_䥔ⵆ单䙞彇剐䍉⡅㄰㌯⼱〲㘰Ⱜ⥄_x0018_＀＀_x0018_＀＀_x0008_＀＀_x0001_＀＀_x0001_＀＀馚香_xD999_䁂藲伹0䥔幆噁⡇彐塅䡃剟呁⡅单ⱄ乃ⱙ〲㠰㈯⭆䐱㈬〰⼸䘳⤩_x0018_＀＀_x0018_＀＀_x0008_＀＀_x0001_＀＀_x0001_＀＀賓帇䀛蘜伹0䥔幆噁⡇彐塅䡃剟呁⡅单ⱄ偊ⱙ〲㜰㌯⭆䐱㈬〰⼷䘴⤩_x0018_＀＀_x0018_＀＀_x0008_＀＀_x0001_＀＀_x0001_＀＀ޱ迤䫝䁜蘜伹0䥔幆噁⡇彐塅䡃剟呁⡅单ⱄ偊ⱙ〲㤰㈯⭆䐱㈬〰⼹䘳⤩_x0018_＀＀_x0018_＀＀_x0008_＀＀_x0001_＀＀_x0001_＀＀榁頌擆䁗蘜伹2啄䵍幙噁⡇彐塅䡃剟呁⡅单ⱄ偊ⱙ〲〱㐯⭃䐱㈬㄰⼱䌱⤩_x0018_＀＀_x0018_＀＀_x0008_＀＀_x0001_＀＀_x0001_＀＀㌳㌳釳䁔蘜伹2啄䵍幙噁⡇彐塅䡃剟呁⡅单ⱄ偊ⱙ〲〱ㄯ⭃䐱㈬㄰⼰䌲⤩_x0018_＀＀_x0018_＀＀_x0008_＀＀_x0001_＀＀_x0001_＀＀柷鍌؁䁗藲伹0䥔幆噁⡇彐塅䡃剟呁⡅单ⱄ乃ⱙ〲㘰㐯⭆䐱㈬〰⼷䘱⤩_x0018_＀＀_x0018_＀＀_x0008_＀＀_x0001_＀＀_x0001_＀＀鰐䔬਎䀟賕䴣2啄䵍幙噁⡇彐塅䡃剟呁⡅单ⱄ乃ⱙ〲〱ㄯ⭃䐱㈬㄰⼰䌳⤩_x0018_＀＀_x0018_＀＀_x0008_＀＀_x0001_＀＀_x0001_＀＀疑머⽊䀛蘜伹0䥔幆噁⡇彐塅䡃剟呁⡅啅ⱒ单ⱄ〲ㄱ㈯⭆䐱㈬㄰⼱䘳⤩_x0018_＀＀_x0018_＀＀_x0008_＀＀_x0001_＀＀_x0001_＀＀Ꚑ롿韻㿶蘜伹*䥔幆噁⡇彐塅䡃剟呁⡅啅ⱒ单ⱄ〲㘰ㄫⱄ〲㜰⤩_x0018_＀＀_x0018_＀＀_x0008_＀＀_x0001_＀＀_x0001_＀＀瀭嬛㿵藲伹2啄䵍幙噁⡇彐塅䡃剟呁⡅单ⱄ剋ⱗ〲ㄱ㈯⭃䐱㈬㄰⼱䌳⤩_x0018_＀＀_x0018_＀＀_x0008_＀＀_x0001_＀＀_x0001_＀＀㫶꽒䂐贊䴣%啅啒䑓坞前䙟剏䅗䑒剟呁彅䥍⡄ⰰⰬㄢ≍착_x0018_＀＀_x0018_＀＀_x0008_＀＀_x0001_＀＀_x0001_＀＀৿嘮惔㿵蘜伹0䥔幆噁⡇彐塅䡃剟呁⡅啅ⱒ单ⱄ〲㤰㐯⭆䐱㈬㄰⼰䘱⤩_x0018_＀＀_x0018_＀＀_x0008_＀＀_x0001_＀＀_x0001_＀＀茊⌍㿶藲伹,啄䵍幙噁⡇彐塅䡃剟呁⡅单ⱄ乃ⱙ〲㠰ㄫⱄ〲㤰⤩_x0018_＀＀_x0018_＀＀_x0008_＀＀_x0001_＀＀_x0001_＀＀屯繦匍䀛藲伹2啄䵍幙噁⡇彐塅䡃剟呁⡅单ⱄ剋ⱗ〲㤰㐯⭃䐱㈬㄰⼰䌱⤩_x0018_＀＀_x0018_＀＀_x0008_＀＀_x0001_＀＀_x0001_＀＀늗焌䂑蘜伹0䥔幆噁⡇彐塅䡃剟呁⡅单ⱄ䅃ⱄ〲㜰㌯⭆䐱㈬〰⼷䘴⤩_x0018_＀＀_x0018_＀＀_x0008_＀＀_x0001_＀＀_x0001_＀＀扰掦㿯</t>
        </r>
      </text>
    </comment>
    <comment ref="B1" authorId="0">
      <text>
        <r>
          <rPr>
            <b/>
            <sz val="8"/>
            <color indexed="81"/>
            <rFont val="Tahoma"/>
            <family val="2"/>
          </rPr>
          <t>8092</t>
        </r>
      </text>
    </comment>
  </commentList>
</comments>
</file>

<file path=xl/comments8.xml><?xml version="1.0" encoding="utf-8"?>
<comments xmlns="http://schemas.openxmlformats.org/spreadsheetml/2006/main">
  <authors>
    <author>pw64212</author>
    <author>mm98285</author>
    <author>kahng</author>
    <author>nicholjs</author>
    <author>ns66486</author>
    <author>Turley, Amber (Research)</author>
    <author>casselau</author>
    <author>turleamb</author>
    <author>lr73192</author>
    <author>marchant</author>
    <author>P Kahng</author>
    <author>Morry Brown</author>
  </authors>
  <commentList>
    <comment ref="A7" authorId="0">
      <text>
        <r>
          <rPr>
            <b/>
            <sz val="8"/>
            <color indexed="81"/>
            <rFont val="Tahoma"/>
            <family val="2"/>
          </rPr>
          <t>pw64212:</t>
        </r>
        <r>
          <rPr>
            <sz val="8"/>
            <color indexed="81"/>
            <rFont val="Tahoma"/>
            <family val="2"/>
          </rPr>
          <t xml:space="preserve">
incl. U.S. and International</t>
        </r>
      </text>
    </comment>
    <comment ref="S10" authorId="1">
      <text>
        <r>
          <rPr>
            <b/>
            <sz val="8"/>
            <color indexed="81"/>
            <rFont val="Tahoma"/>
            <family val="2"/>
          </rPr>
          <t>mm98285:</t>
        </r>
        <r>
          <rPr>
            <sz val="8"/>
            <color indexed="81"/>
            <rFont val="Tahoma"/>
            <family val="2"/>
          </rPr>
          <t xml:space="preserve">
now included in retail sales</t>
        </r>
      </text>
    </comment>
    <comment ref="S18" authorId="1">
      <text>
        <r>
          <rPr>
            <b/>
            <sz val="8"/>
            <color indexed="81"/>
            <rFont val="Tahoma"/>
            <family val="2"/>
          </rPr>
          <t>mm98285:</t>
        </r>
        <r>
          <rPr>
            <sz val="8"/>
            <color indexed="81"/>
            <rFont val="Tahoma"/>
            <family val="2"/>
          </rPr>
          <t xml:space="preserve">
2006 10K: 17 stores in 2007 
(expect to open 5-7 stores in U.S. and 10 Internationally going forward)</t>
        </r>
      </text>
    </comment>
    <comment ref="A19" authorId="1">
      <text>
        <r>
          <rPr>
            <b/>
            <sz val="8"/>
            <color indexed="81"/>
            <rFont val="Tahoma"/>
            <family val="2"/>
          </rPr>
          <t>mm98285:</t>
        </r>
        <r>
          <rPr>
            <sz val="8"/>
            <color indexed="81"/>
            <rFont val="Tahoma"/>
            <family val="2"/>
          </rPr>
          <t xml:space="preserve">
2008: expect to have ~300stores by 2012</t>
        </r>
      </text>
    </comment>
    <comment ref="Y19" authorId="2">
      <text>
        <r>
          <rPr>
            <b/>
            <sz val="8"/>
            <color indexed="81"/>
            <rFont val="Tahoma"/>
            <family val="2"/>
          </rPr>
          <t>3/21/12:</t>
        </r>
        <r>
          <rPr>
            <sz val="8"/>
            <color indexed="81"/>
            <rFont val="Tahoma"/>
            <family val="2"/>
          </rPr>
          <t xml:space="preserve"> CFO: expect 20+ store growth per year</t>
        </r>
        <r>
          <rPr>
            <sz val="8"/>
            <color indexed="81"/>
            <rFont val="Tahoma"/>
            <family val="2"/>
          </rPr>
          <t xml:space="preserve">
</t>
        </r>
      </text>
    </comment>
    <comment ref="X21" authorId="3">
      <text>
        <r>
          <rPr>
            <b/>
            <sz val="8"/>
            <color indexed="81"/>
            <rFont val="Tahoma"/>
            <family val="2"/>
          </rPr>
          <t>nicholjs:</t>
        </r>
        <r>
          <rPr>
            <sz val="8"/>
            <color indexed="81"/>
            <rFont val="Tahoma"/>
            <family val="2"/>
          </rPr>
          <t xml:space="preserve">
6/2011 meeting: 8-10% new store growth goal</t>
        </r>
      </text>
    </comment>
    <comment ref="U22" authorId="1">
      <text>
        <r>
          <rPr>
            <b/>
            <sz val="8"/>
            <color indexed="81"/>
            <rFont val="Tahoma"/>
            <family val="2"/>
          </rPr>
          <t>mm98285:</t>
        </r>
        <r>
          <rPr>
            <sz val="8"/>
            <color indexed="81"/>
            <rFont val="Tahoma"/>
            <family val="2"/>
          </rPr>
          <t xml:space="preserve">
8/09: expect 6% store growth</t>
        </r>
      </text>
    </comment>
    <comment ref="V28" authorId="4">
      <text>
        <r>
          <rPr>
            <b/>
            <sz val="8"/>
            <color indexed="81"/>
            <rFont val="Tahoma"/>
            <family val="2"/>
          </rPr>
          <t>ns66486:</t>
        </r>
        <r>
          <rPr>
            <sz val="8"/>
            <color indexed="81"/>
            <rFont val="Tahoma"/>
            <family val="2"/>
          </rPr>
          <t xml:space="preserve">
3/10: expect 5% sq ft growth, 8% store growth</t>
        </r>
      </text>
    </comment>
    <comment ref="Z28" authorId="5">
      <text>
        <r>
          <rPr>
            <b/>
            <sz val="9"/>
            <color indexed="81"/>
            <rFont val="Tahoma"/>
            <family val="2"/>
          </rPr>
          <t>Turley, Amber (Research):</t>
        </r>
        <r>
          <rPr>
            <sz val="9"/>
            <color indexed="81"/>
            <rFont val="Tahoma"/>
            <family val="2"/>
          </rPr>
          <t xml:space="preserve">
8/27/14: expect ~3% square footage growth</t>
        </r>
      </text>
    </comment>
    <comment ref="AA28" authorId="5">
      <text>
        <r>
          <rPr>
            <b/>
            <sz val="9"/>
            <color indexed="81"/>
            <rFont val="Tahoma"/>
            <family val="2"/>
          </rPr>
          <t>3/18/16:  For the full year we opened 16 stores and closed four, representing a 4% increase in the number of Company-operated stores and a corresponding
4% increase in worldwide gross square footage.</t>
        </r>
        <r>
          <rPr>
            <sz val="9"/>
            <color indexed="81"/>
            <rFont val="Tahoma"/>
            <family val="2"/>
          </rPr>
          <t xml:space="preserve">
3/20/15: Guidance 4-5% sw.ft. growth</t>
        </r>
      </text>
    </comment>
    <comment ref="AB28" authorId="6">
      <text>
        <r>
          <rPr>
            <b/>
            <sz val="9"/>
            <color indexed="81"/>
            <rFont val="Tahoma"/>
            <family val="2"/>
          </rPr>
          <t>casselau:</t>
        </r>
        <r>
          <rPr>
            <sz val="9"/>
            <color indexed="81"/>
            <rFont val="Tahoma"/>
            <family val="2"/>
          </rPr>
          <t xml:space="preserve">
11/24/15: longer term ~2% sqftge growth</t>
        </r>
      </text>
    </comment>
    <comment ref="AC28" authorId="6">
      <text>
        <r>
          <rPr>
            <b/>
            <sz val="9"/>
            <color indexed="81"/>
            <rFont val="Tahoma"/>
            <family val="2"/>
          </rPr>
          <t>casselau:</t>
        </r>
        <r>
          <rPr>
            <sz val="9"/>
            <color indexed="81"/>
            <rFont val="Tahoma"/>
            <family val="2"/>
          </rPr>
          <t xml:space="preserve">
11/24/15: longer term ~2% sqftge growth</t>
        </r>
      </text>
    </comment>
    <comment ref="AD28" authorId="6">
      <text>
        <r>
          <rPr>
            <b/>
            <sz val="9"/>
            <color indexed="81"/>
            <rFont val="Tahoma"/>
            <family val="2"/>
          </rPr>
          <t>casselau:</t>
        </r>
        <r>
          <rPr>
            <sz val="9"/>
            <color indexed="81"/>
            <rFont val="Tahoma"/>
            <family val="2"/>
          </rPr>
          <t xml:space="preserve">
11/24/15: longer term ~2% sqftge growth</t>
        </r>
      </text>
    </comment>
    <comment ref="AE28" authorId="6">
      <text>
        <r>
          <rPr>
            <b/>
            <sz val="9"/>
            <color indexed="81"/>
            <rFont val="Tahoma"/>
            <family val="2"/>
          </rPr>
          <t>casselau:</t>
        </r>
        <r>
          <rPr>
            <sz val="9"/>
            <color indexed="81"/>
            <rFont val="Tahoma"/>
            <family val="2"/>
          </rPr>
          <t xml:space="preserve">
11/24/15: longer term ~2% sqftge growth</t>
        </r>
      </text>
    </comment>
    <comment ref="AF28" authorId="6">
      <text>
        <r>
          <rPr>
            <b/>
            <sz val="9"/>
            <color indexed="81"/>
            <rFont val="Tahoma"/>
            <family val="2"/>
          </rPr>
          <t>casselau:</t>
        </r>
        <r>
          <rPr>
            <sz val="9"/>
            <color indexed="81"/>
            <rFont val="Tahoma"/>
            <family val="2"/>
          </rPr>
          <t xml:space="preserve">
11/24/15: longer term ~2% sqftge growth</t>
        </r>
      </text>
    </comment>
    <comment ref="AG28" authorId="6">
      <text>
        <r>
          <rPr>
            <b/>
            <sz val="9"/>
            <color indexed="81"/>
            <rFont val="Tahoma"/>
            <family val="2"/>
          </rPr>
          <t>casselau:</t>
        </r>
        <r>
          <rPr>
            <sz val="9"/>
            <color indexed="81"/>
            <rFont val="Tahoma"/>
            <family val="2"/>
          </rPr>
          <t xml:space="preserve">
11/24/15: longer term ~2% sqftge growth</t>
        </r>
      </text>
    </comment>
    <comment ref="AH28" authorId="6">
      <text>
        <r>
          <rPr>
            <b/>
            <sz val="9"/>
            <color indexed="81"/>
            <rFont val="Tahoma"/>
            <family val="2"/>
          </rPr>
          <t>casselau:</t>
        </r>
        <r>
          <rPr>
            <sz val="9"/>
            <color indexed="81"/>
            <rFont val="Tahoma"/>
            <family val="2"/>
          </rPr>
          <t xml:space="preserve">
11/24/15: longer term ~2% sqftge growth</t>
        </r>
      </text>
    </comment>
    <comment ref="A30" authorId="0">
      <text>
        <r>
          <rPr>
            <b/>
            <sz val="8"/>
            <color indexed="81"/>
            <rFont val="Tahoma"/>
            <family val="2"/>
          </rPr>
          <t>pw64212:</t>
        </r>
        <r>
          <rPr>
            <sz val="8"/>
            <color indexed="81"/>
            <rFont val="Tahoma"/>
            <family val="2"/>
          </rPr>
          <t xml:space="preserve">
excludes specialty stores</t>
        </r>
      </text>
    </comment>
    <comment ref="R30" authorId="1">
      <text>
        <r>
          <rPr>
            <b/>
            <sz val="8"/>
            <color indexed="81"/>
            <rFont val="Tahoma"/>
            <family val="2"/>
          </rPr>
          <t>mm98285:</t>
        </r>
        <r>
          <rPr>
            <sz val="8"/>
            <color indexed="81"/>
            <rFont val="Tahoma"/>
            <family val="2"/>
          </rPr>
          <t xml:space="preserve">
2006 10K:
US branch stores 446K sq ft
US flagship 40K sq ft
Int'l 306K sq ft</t>
        </r>
      </text>
    </comment>
    <comment ref="W36" authorId="7">
      <text>
        <r>
          <rPr>
            <b/>
            <sz val="9"/>
            <color indexed="81"/>
            <rFont val="Tahoma"/>
            <family val="2"/>
          </rPr>
          <t>turleamb:</t>
        </r>
        <r>
          <rPr>
            <sz val="9"/>
            <color indexed="81"/>
            <rFont val="Tahoma"/>
            <family val="2"/>
          </rPr>
          <t xml:space="preserve">
10-K: Sales/gross sq. ft. $3000</t>
        </r>
      </text>
    </comment>
    <comment ref="X36" authorId="7">
      <text>
        <r>
          <rPr>
            <b/>
            <sz val="9"/>
            <color indexed="81"/>
            <rFont val="Tahoma"/>
            <family val="2"/>
          </rPr>
          <t>turleamb:</t>
        </r>
        <r>
          <rPr>
            <sz val="9"/>
            <color indexed="81"/>
            <rFont val="Tahoma"/>
            <family val="2"/>
          </rPr>
          <t xml:space="preserve">
10-K: sales/gross sq.ft. $3000</t>
        </r>
      </text>
    </comment>
    <comment ref="Y36" authorId="7">
      <text>
        <r>
          <rPr>
            <b/>
            <sz val="9"/>
            <color indexed="81"/>
            <rFont val="Tahoma"/>
            <family val="2"/>
          </rPr>
          <t>turleamb:</t>
        </r>
        <r>
          <rPr>
            <sz val="9"/>
            <color indexed="81"/>
            <rFont val="Tahoma"/>
            <family val="2"/>
          </rPr>
          <t xml:space="preserve">
10-K: Sales/gross sq.ft. $3100</t>
        </r>
      </text>
    </comment>
    <comment ref="AA36" authorId="6">
      <text>
        <r>
          <rPr>
            <b/>
            <sz val="9"/>
            <color indexed="81"/>
            <rFont val="Tahoma"/>
            <family val="2"/>
          </rPr>
          <t>casselau:</t>
        </r>
        <r>
          <rPr>
            <sz val="9"/>
            <color indexed="81"/>
            <rFont val="Tahoma"/>
            <family val="2"/>
          </rPr>
          <t xml:space="preserve">
3/18/16:  In terms of store productivity, worldwide sales per gross square foot for Company-operated stores declined slightly $2,900 compared with $3,100
per foot in 2014 resulting from the 4% increase in worldwide square footage but lesser growth in sales. By region, sales productivity in 2015 ranged
from $4,300 and Asia-Pacific to $3,100 in Japan to $2,900 in Europe, to $2,300 in the Americas region. Of course, keep in mind that the negative
translation effect on sales from the strong dollar had a meaningful effect on any declines in productivity.</t>
        </r>
      </text>
    </comment>
    <comment ref="S61" authorId="1">
      <text>
        <r>
          <rPr>
            <b/>
            <sz val="8"/>
            <color indexed="81"/>
            <rFont val="Tahoma"/>
            <family val="2"/>
          </rPr>
          <t>mm98285:</t>
        </r>
        <r>
          <rPr>
            <sz val="8"/>
            <color indexed="81"/>
            <rFont val="Tahoma"/>
            <family val="2"/>
          </rPr>
          <t xml:space="preserve">
10/07: TIF plans to open 3-5 per year on top of the 5-7 US openings per year for full-line stores. Management now believes it has the potential for 170 Tiffany locations in the US, up from ~100 previously.</t>
        </r>
      </text>
    </comment>
    <comment ref="A62" authorId="1">
      <text>
        <r>
          <rPr>
            <b/>
            <sz val="8"/>
            <color indexed="81"/>
            <rFont val="Tahoma"/>
            <family val="2"/>
          </rPr>
          <t>mm98285:</t>
        </r>
        <r>
          <rPr>
            <sz val="8"/>
            <color indexed="81"/>
            <rFont val="Tahoma"/>
            <family val="2"/>
          </rPr>
          <t xml:space="preserve">
7/08: US and Americas can have 170 total (vs. 100 previously believed) given new smaller format, but will take 8-10 years to reach 170 store count</t>
        </r>
      </text>
    </comment>
    <comment ref="V79" authorId="2">
      <text>
        <r>
          <rPr>
            <b/>
            <sz val="8"/>
            <color indexed="81"/>
            <rFont val="Tahoma"/>
            <family val="2"/>
          </rPr>
          <t>kahng:</t>
        </r>
        <r>
          <rPr>
            <sz val="8"/>
            <color indexed="81"/>
            <rFont val="Tahoma"/>
            <family val="2"/>
          </rPr>
          <t xml:space="preserve">
3/20/12: $2100</t>
        </r>
      </text>
    </comment>
    <comment ref="W79" authorId="2">
      <text>
        <r>
          <rPr>
            <b/>
            <sz val="8"/>
            <color indexed="81"/>
            <rFont val="Tahoma"/>
            <family val="2"/>
          </rPr>
          <t>kahng:</t>
        </r>
        <r>
          <rPr>
            <sz val="8"/>
            <color indexed="81"/>
            <rFont val="Tahoma"/>
            <family val="2"/>
          </rPr>
          <t xml:space="preserve">
3/20/12: $2300</t>
        </r>
      </text>
    </comment>
    <comment ref="U85" authorId="1">
      <text>
        <r>
          <rPr>
            <b/>
            <sz val="8"/>
            <color indexed="81"/>
            <rFont val="Tahoma"/>
            <family val="2"/>
          </rPr>
          <t>mm98285:</t>
        </r>
        <r>
          <rPr>
            <sz val="8"/>
            <color indexed="81"/>
            <rFont val="Tahoma"/>
            <family val="2"/>
          </rPr>
          <t xml:space="preserve">
2007 10K Most new branch stores opened since Fiscal 2001 are approximately 5,000 to 6,000 gross square feet,</t>
        </r>
      </text>
    </comment>
    <comment ref="V100" authorId="8">
      <text>
        <r>
          <rPr>
            <b/>
            <sz val="8"/>
            <color indexed="81"/>
            <rFont val="Tahoma"/>
            <family val="2"/>
          </rPr>
          <t xml:space="preserve">lr73192:
</t>
        </r>
        <r>
          <rPr>
            <sz val="8"/>
            <color indexed="81"/>
            <rFont val="Tahoma"/>
            <family val="2"/>
          </rPr>
          <t xml:space="preserve">4.29.10 New store in Hong Kong Plaza In Shanghai </t>
        </r>
        <r>
          <rPr>
            <sz val="8"/>
            <color indexed="81"/>
            <rFont val="Tahoma"/>
            <family val="2"/>
          </rPr>
          <t xml:space="preserve">
5.6.10 New store in the New IFC Mall In Shanghai</t>
        </r>
      </text>
    </comment>
    <comment ref="A101" authorId="1">
      <text>
        <r>
          <rPr>
            <b/>
            <sz val="8"/>
            <color indexed="81"/>
            <rFont val="Tahoma"/>
            <family val="2"/>
          </rPr>
          <t>mm98285:</t>
        </r>
        <r>
          <rPr>
            <sz val="8"/>
            <color indexed="81"/>
            <rFont val="Tahoma"/>
            <family val="2"/>
          </rPr>
          <t xml:space="preserve">
7/08: believes can have 25-30 stores in China in next 5 years</t>
        </r>
      </text>
    </comment>
    <comment ref="T101" authorId="1">
      <text>
        <r>
          <rPr>
            <b/>
            <sz val="8"/>
            <color indexed="81"/>
            <rFont val="Tahoma"/>
            <family val="2"/>
          </rPr>
          <t>mm98285:</t>
        </r>
        <r>
          <rPr>
            <sz val="8"/>
            <color indexed="81"/>
            <rFont val="Tahoma"/>
            <family val="2"/>
          </rPr>
          <t xml:space="preserve">
57 Japan (53 dept store boutiques &amp; 4 free standing stores)
8 China
8 Korea
7 HK
5 Taiwan
4 Australia
3 Singapore
2 Macau
2 Malaysia</t>
        </r>
      </text>
    </comment>
    <comment ref="U112" authorId="9">
      <text>
        <r>
          <rPr>
            <b/>
            <sz val="8"/>
            <color indexed="81"/>
            <rFont val="Tahoma"/>
            <family val="2"/>
          </rPr>
          <t>marchant:</t>
        </r>
        <r>
          <rPr>
            <sz val="8"/>
            <color indexed="81"/>
            <rFont val="Tahoma"/>
            <family val="2"/>
          </rPr>
          <t xml:space="preserve">
11/10: 255K = total asia pac</t>
        </r>
      </text>
    </comment>
    <comment ref="V118" authorId="2">
      <text>
        <r>
          <rPr>
            <b/>
            <sz val="8"/>
            <color indexed="81"/>
            <rFont val="Tahoma"/>
            <family val="2"/>
          </rPr>
          <t>kahng:</t>
        </r>
        <r>
          <rPr>
            <sz val="8"/>
            <color indexed="81"/>
            <rFont val="Tahoma"/>
            <family val="2"/>
          </rPr>
          <t xml:space="preserve">
3/20/12: $4000</t>
        </r>
      </text>
    </comment>
    <comment ref="W118" authorId="2">
      <text>
        <r>
          <rPr>
            <b/>
            <sz val="8"/>
            <color indexed="81"/>
            <rFont val="Tahoma"/>
            <family val="2"/>
          </rPr>
          <t>kahng:</t>
        </r>
        <r>
          <rPr>
            <sz val="8"/>
            <color indexed="81"/>
            <rFont val="Tahoma"/>
            <family val="2"/>
          </rPr>
          <t xml:space="preserve">
3/20/12: $4700</t>
        </r>
      </text>
    </comment>
    <comment ref="V121" authorId="1">
      <text>
        <r>
          <rPr>
            <b/>
            <sz val="8"/>
            <color indexed="81"/>
            <rFont val="Tahoma"/>
            <family val="2"/>
          </rPr>
          <t>mm98285:</t>
        </r>
        <r>
          <rPr>
            <sz val="8"/>
            <color indexed="81"/>
            <rFont val="Tahoma"/>
            <family val="2"/>
          </rPr>
          <t xml:space="preserve">
9/09: assume ~44% asia ex Japan and ~56% Japan</t>
        </r>
      </text>
    </comment>
    <comment ref="V138" authorId="8">
      <text>
        <r>
          <rPr>
            <b/>
            <sz val="8"/>
            <color indexed="81"/>
            <rFont val="Tahoma"/>
            <family val="2"/>
          </rPr>
          <t xml:space="preserve">lr73192:
</t>
        </r>
        <r>
          <rPr>
            <sz val="8"/>
            <color indexed="81"/>
            <rFont val="Tahoma"/>
            <family val="2"/>
          </rPr>
          <t xml:space="preserve">4.29.10 New store in Hong Kong Plaza In Shanghai </t>
        </r>
        <r>
          <rPr>
            <sz val="8"/>
            <color indexed="81"/>
            <rFont val="Tahoma"/>
            <family val="2"/>
          </rPr>
          <t xml:space="preserve">
5.6.10 New store in the New IFC Mall In Shanghai</t>
        </r>
      </text>
    </comment>
    <comment ref="A139" authorId="1">
      <text>
        <r>
          <rPr>
            <b/>
            <sz val="8"/>
            <color indexed="81"/>
            <rFont val="Tahoma"/>
            <family val="2"/>
          </rPr>
          <t>mm98285:</t>
        </r>
        <r>
          <rPr>
            <sz val="8"/>
            <color indexed="81"/>
            <rFont val="Tahoma"/>
            <family val="2"/>
          </rPr>
          <t xml:space="preserve">
7/08: believes can have 25-30 stores in China in next 5 years</t>
        </r>
      </text>
    </comment>
    <comment ref="T139" authorId="1">
      <text>
        <r>
          <rPr>
            <b/>
            <sz val="8"/>
            <color indexed="81"/>
            <rFont val="Tahoma"/>
            <family val="2"/>
          </rPr>
          <t>mm98285:</t>
        </r>
        <r>
          <rPr>
            <sz val="8"/>
            <color indexed="81"/>
            <rFont val="Tahoma"/>
            <family val="2"/>
          </rPr>
          <t xml:space="preserve">
57 Japan (53 dept store boutiques &amp; 4 free standing stores)
8 China
8 Korea
7 HK
5 Taiwan
4 Australia
3 Singapore
2 Macau
2 Malaysia</t>
        </r>
      </text>
    </comment>
    <comment ref="V156" authorId="2">
      <text>
        <r>
          <rPr>
            <b/>
            <sz val="8"/>
            <color indexed="81"/>
            <rFont val="Tahoma"/>
            <family val="2"/>
          </rPr>
          <t>kahng:</t>
        </r>
        <r>
          <rPr>
            <sz val="8"/>
            <color indexed="81"/>
            <rFont val="Tahoma"/>
            <family val="2"/>
          </rPr>
          <t xml:space="preserve">
3/20/12: $3500</t>
        </r>
      </text>
    </comment>
    <comment ref="W156" authorId="2">
      <text>
        <r>
          <rPr>
            <b/>
            <sz val="8"/>
            <color indexed="81"/>
            <rFont val="Tahoma"/>
            <family val="2"/>
          </rPr>
          <t>kahng:</t>
        </r>
        <r>
          <rPr>
            <sz val="8"/>
            <color indexed="81"/>
            <rFont val="Tahoma"/>
            <family val="2"/>
          </rPr>
          <t xml:space="preserve">
3/20/12: $4100</t>
        </r>
      </text>
    </comment>
    <comment ref="V159" authorId="1">
      <text>
        <r>
          <rPr>
            <b/>
            <sz val="8"/>
            <color indexed="81"/>
            <rFont val="Tahoma"/>
            <family val="2"/>
          </rPr>
          <t>mm98285:</t>
        </r>
        <r>
          <rPr>
            <sz val="8"/>
            <color indexed="81"/>
            <rFont val="Tahoma"/>
            <family val="2"/>
          </rPr>
          <t xml:space="preserve">
9/09: assume ~44% asia ex Japan and ~56% Japan</t>
        </r>
      </text>
    </comment>
    <comment ref="A177" authorId="1">
      <text>
        <r>
          <rPr>
            <b/>
            <sz val="8"/>
            <color indexed="81"/>
            <rFont val="Tahoma"/>
            <family val="2"/>
          </rPr>
          <t>mm98285:</t>
        </r>
        <r>
          <rPr>
            <sz val="8"/>
            <color indexed="81"/>
            <rFont val="Tahoma"/>
            <family val="2"/>
          </rPr>
          <t xml:space="preserve">
9/09: 45-50 store potential
7/08: believes Europe can have 40+ stores</t>
        </r>
      </text>
    </comment>
    <comment ref="T177" authorId="1">
      <text>
        <r>
          <rPr>
            <b/>
            <sz val="8"/>
            <color indexed="81"/>
            <rFont val="Tahoma"/>
            <family val="2"/>
          </rPr>
          <t>mm98285:</t>
        </r>
        <r>
          <rPr>
            <sz val="8"/>
            <color indexed="81"/>
            <rFont val="Tahoma"/>
            <family val="2"/>
          </rPr>
          <t xml:space="preserve">
7 UK
5 Germany
4 Italy
3 France
1 Austria
1 Switzerland
1 Belgium
1 Spain
1 Ireland</t>
        </r>
      </text>
    </comment>
    <comment ref="V194" authorId="2">
      <text>
        <r>
          <rPr>
            <b/>
            <sz val="8"/>
            <color indexed="81"/>
            <rFont val="Tahoma"/>
            <family val="2"/>
          </rPr>
          <t>kahng:</t>
        </r>
        <r>
          <rPr>
            <sz val="8"/>
            <color indexed="81"/>
            <rFont val="Tahoma"/>
            <family val="2"/>
          </rPr>
          <t xml:space="preserve">
3/20/12: $3000</t>
        </r>
      </text>
    </comment>
    <comment ref="W194" authorId="2">
      <text>
        <r>
          <rPr>
            <b/>
            <sz val="8"/>
            <color indexed="81"/>
            <rFont val="Tahoma"/>
            <family val="2"/>
          </rPr>
          <t>kahng:</t>
        </r>
        <r>
          <rPr>
            <sz val="8"/>
            <color indexed="81"/>
            <rFont val="Tahoma"/>
            <family val="2"/>
          </rPr>
          <t xml:space="preserve">
3/20/12: $3400</t>
        </r>
      </text>
    </comment>
    <comment ref="X213" authorId="10">
      <text>
        <r>
          <rPr>
            <b/>
            <sz val="8"/>
            <color indexed="81"/>
            <rFont val="Tahoma"/>
            <family val="2"/>
          </rPr>
          <t>P Kahng:</t>
        </r>
        <r>
          <rPr>
            <sz val="8"/>
            <color indexed="81"/>
            <rFont val="Tahoma"/>
            <family val="2"/>
          </rPr>
          <t xml:space="preserve">
5 stores in the middle east</t>
        </r>
      </text>
    </comment>
    <comment ref="S251" authorId="1">
      <text>
        <r>
          <rPr>
            <b/>
            <sz val="8"/>
            <color indexed="81"/>
            <rFont val="Tahoma"/>
            <family val="2"/>
          </rPr>
          <t>mm98285:</t>
        </r>
        <r>
          <rPr>
            <sz val="8"/>
            <color indexed="81"/>
            <rFont val="Tahoma"/>
            <family val="2"/>
          </rPr>
          <t xml:space="preserve">
expect to open 7 stores in 2007</t>
        </r>
      </text>
    </comment>
    <comment ref="A252" authorId="1">
      <text>
        <r>
          <rPr>
            <b/>
            <sz val="8"/>
            <color indexed="81"/>
            <rFont val="Tahoma"/>
            <family val="2"/>
          </rPr>
          <t>mm98285:</t>
        </r>
        <r>
          <rPr>
            <sz val="8"/>
            <color indexed="81"/>
            <rFont val="Tahoma"/>
            <family val="2"/>
          </rPr>
          <t xml:space="preserve">
US and Americas can have 170 total (vs. 100 previously believed) given new smaller format</t>
        </r>
      </text>
    </comment>
    <comment ref="Q252" authorId="11">
      <text>
        <r>
          <rPr>
            <b/>
            <sz val="8"/>
            <color indexed="81"/>
            <rFont val="Tahoma"/>
            <family val="2"/>
          </rPr>
          <t>Morry Brown:</t>
        </r>
        <r>
          <rPr>
            <sz val="8"/>
            <color indexed="81"/>
            <rFont val="Tahoma"/>
            <family val="2"/>
          </rPr>
          <t xml:space="preserve">
Company believes it can reach 80-100 stores in the U.S.</t>
        </r>
      </text>
    </comment>
    <comment ref="R252" authorId="11">
      <text>
        <r>
          <rPr>
            <b/>
            <sz val="8"/>
            <color indexed="81"/>
            <rFont val="Tahoma"/>
            <family val="2"/>
          </rPr>
          <t>Morry Brown:</t>
        </r>
        <r>
          <rPr>
            <sz val="8"/>
            <color indexed="81"/>
            <rFont val="Tahoma"/>
            <family val="2"/>
          </rPr>
          <t xml:space="preserve">
Company believes it can reach 80-100 stores in the U.S.</t>
        </r>
      </text>
    </comment>
    <comment ref="S252" authorId="11">
      <text>
        <r>
          <rPr>
            <b/>
            <sz val="8"/>
            <color indexed="81"/>
            <rFont val="Tahoma"/>
            <family val="2"/>
          </rPr>
          <t>Morry Brown:</t>
        </r>
        <r>
          <rPr>
            <sz val="8"/>
            <color indexed="81"/>
            <rFont val="Tahoma"/>
            <family val="2"/>
          </rPr>
          <t xml:space="preserve">
Company believes it can reach 80-100 stores in the U.S.</t>
        </r>
      </text>
    </comment>
    <comment ref="T252" authorId="11">
      <text>
        <r>
          <rPr>
            <b/>
            <sz val="8"/>
            <color indexed="81"/>
            <rFont val="Tahoma"/>
            <family val="2"/>
          </rPr>
          <t>Morry Brown:</t>
        </r>
        <r>
          <rPr>
            <sz val="8"/>
            <color indexed="81"/>
            <rFont val="Tahoma"/>
            <family val="2"/>
          </rPr>
          <t xml:space="preserve">
Company believes it can reach 80-100 stores in the U.S.</t>
        </r>
      </text>
    </comment>
    <comment ref="U252" authorId="11">
      <text>
        <r>
          <rPr>
            <b/>
            <sz val="8"/>
            <color indexed="81"/>
            <rFont val="Tahoma"/>
            <family val="2"/>
          </rPr>
          <t>Morry Brown:</t>
        </r>
        <r>
          <rPr>
            <sz val="8"/>
            <color indexed="81"/>
            <rFont val="Tahoma"/>
            <family val="2"/>
          </rPr>
          <t xml:space="preserve">
Company believes it can reach 80-100 stores in the U.S.</t>
        </r>
      </text>
    </comment>
    <comment ref="A290" authorId="1">
      <text>
        <r>
          <rPr>
            <b/>
            <sz val="8"/>
            <color indexed="81"/>
            <rFont val="Tahoma"/>
            <family val="2"/>
          </rPr>
          <t>mm98285:</t>
        </r>
        <r>
          <rPr>
            <sz val="8"/>
            <color indexed="81"/>
            <rFont val="Tahoma"/>
            <family val="2"/>
          </rPr>
          <t xml:space="preserve">
2008: China can have 25-30 stores in 5 years vs. 9 currently</t>
        </r>
      </text>
    </comment>
    <comment ref="A291" authorId="1">
      <text>
        <r>
          <rPr>
            <b/>
            <sz val="8"/>
            <color indexed="81"/>
            <rFont val="Tahoma"/>
            <family val="2"/>
          </rPr>
          <t>mm98285:</t>
        </r>
        <r>
          <rPr>
            <sz val="8"/>
            <color indexed="81"/>
            <rFont val="Tahoma"/>
            <family val="2"/>
          </rPr>
          <t xml:space="preserve">
2008: Europe can have 40+ stores vs. 19 currently</t>
        </r>
      </text>
    </comment>
    <comment ref="S341" authorId="1">
      <text>
        <r>
          <rPr>
            <b/>
            <sz val="8"/>
            <color indexed="81"/>
            <rFont val="Tahoma"/>
            <family val="2"/>
          </rPr>
          <t>mm98285:</t>
        </r>
        <r>
          <rPr>
            <sz val="8"/>
            <color indexed="81"/>
            <rFont val="Tahoma"/>
            <family val="2"/>
          </rPr>
          <t xml:space="preserve">
1,600-2,700</t>
        </r>
      </text>
    </comment>
    <comment ref="S342" authorId="1">
      <text>
        <r>
          <rPr>
            <b/>
            <sz val="8"/>
            <color indexed="81"/>
            <rFont val="Tahoma"/>
            <family val="2"/>
          </rPr>
          <t>mm98285:</t>
        </r>
        <r>
          <rPr>
            <sz val="8"/>
            <color indexed="81"/>
            <rFont val="Tahoma"/>
            <family val="2"/>
          </rPr>
          <t xml:space="preserve">
1,100-1,500</t>
        </r>
      </text>
    </comment>
    <comment ref="A343" authorId="0">
      <text>
        <r>
          <rPr>
            <b/>
            <sz val="8"/>
            <color indexed="81"/>
            <rFont val="Tahoma"/>
            <family val="2"/>
          </rPr>
          <t>pw64212:</t>
        </r>
        <r>
          <rPr>
            <sz val="8"/>
            <color indexed="81"/>
            <rFont val="Tahoma"/>
            <family val="2"/>
          </rPr>
          <t xml:space="preserve">
looks like it should be Europe and Americas instead of Asia.</t>
        </r>
      </text>
    </comment>
  </commentList>
</comments>
</file>

<file path=xl/comments9.xml><?xml version="1.0" encoding="utf-8"?>
<comments xmlns="http://schemas.openxmlformats.org/spreadsheetml/2006/main">
  <authors>
    <author>P Kahng</author>
    <author>Cassel, Lauren (Research)</author>
    <author>kg51925</author>
    <author>KG51925</author>
    <author>solejay</author>
    <author>lr73192</author>
    <author>lauraro</author>
    <author>jwyatt</author>
    <author>casselau</author>
    <author>DL</author>
    <author>turleamb</author>
    <author>Turley, Amber (Research)</author>
    <author>pw64212</author>
    <author>nicholjs</author>
    <author>kimberlg</author>
    <author>ol36766</author>
    <author>mm98285</author>
    <author>oc48540</author>
    <author>Morry Brown</author>
  </authors>
  <commentList>
    <comment ref="X8" authorId="0">
      <text>
        <r>
          <rPr>
            <b/>
            <sz val="8"/>
            <color indexed="81"/>
            <rFont val="Tahoma"/>
            <family val="2"/>
          </rPr>
          <t>P Kahng:</t>
        </r>
        <r>
          <rPr>
            <sz val="8"/>
            <color indexed="81"/>
            <rFont val="Tahoma"/>
            <family val="2"/>
          </rPr>
          <t xml:space="preserve">
5/24/12 q1: 
guidance 7-8% growth for the year vs 10% expected previously.</t>
        </r>
      </text>
    </comment>
    <comment ref="AC8" authorId="1">
      <text>
        <r>
          <rPr>
            <b/>
            <sz val="9"/>
            <color indexed="81"/>
            <rFont val="Tahoma"/>
            <family val="2"/>
          </rPr>
          <t>Cassel, Lauren (Research):</t>
        </r>
        <r>
          <rPr>
            <sz val="9"/>
            <color indexed="81"/>
            <rFont val="Tahoma"/>
            <family val="2"/>
          </rPr>
          <t xml:space="preserve">
4/12/16: Analyst Day: ~5% sales growth (3-4% comps) </t>
        </r>
      </text>
    </comment>
    <comment ref="AD8" authorId="1">
      <text>
        <r>
          <rPr>
            <b/>
            <sz val="9"/>
            <color indexed="81"/>
            <rFont val="Tahoma"/>
            <family val="2"/>
          </rPr>
          <t>Cassel, Lauren (Research):</t>
        </r>
        <r>
          <rPr>
            <sz val="9"/>
            <color indexed="81"/>
            <rFont val="Tahoma"/>
            <family val="2"/>
          </rPr>
          <t xml:space="preserve">
4/12/16: Analyst Day: ~5% sales growth (3-4% comps) </t>
        </r>
      </text>
    </comment>
    <comment ref="AE8" authorId="1">
      <text>
        <r>
          <rPr>
            <b/>
            <sz val="9"/>
            <color indexed="81"/>
            <rFont val="Tahoma"/>
            <family val="2"/>
          </rPr>
          <t>Cassel, Lauren (Research):</t>
        </r>
        <r>
          <rPr>
            <sz val="9"/>
            <color indexed="81"/>
            <rFont val="Tahoma"/>
            <family val="2"/>
          </rPr>
          <t xml:space="preserve">
4/12/16: Analyst Day: ~5% sales growth (3-4% comps) </t>
        </r>
      </text>
    </comment>
    <comment ref="AC9" authorId="1">
      <text>
        <r>
          <rPr>
            <b/>
            <sz val="9"/>
            <color indexed="81"/>
            <rFont val="Tahoma"/>
            <family val="2"/>
          </rPr>
          <t>Cassel, Lauren (Research):</t>
        </r>
        <r>
          <rPr>
            <sz val="9"/>
            <color indexed="81"/>
            <rFont val="Tahoma"/>
            <family val="2"/>
          </rPr>
          <t xml:space="preserve">
4/12/16: Analyst Day: ~5% total sales growth (3-4% comps) </t>
        </r>
      </text>
    </comment>
    <comment ref="AD9" authorId="1">
      <text>
        <r>
          <rPr>
            <b/>
            <sz val="9"/>
            <color indexed="81"/>
            <rFont val="Tahoma"/>
            <family val="2"/>
          </rPr>
          <t>Cassel, Lauren (Research):</t>
        </r>
        <r>
          <rPr>
            <sz val="9"/>
            <color indexed="81"/>
            <rFont val="Tahoma"/>
            <family val="2"/>
          </rPr>
          <t xml:space="preserve">
4/12/16: Analyst Day: ~5% total sales growth (3-4% comps) </t>
        </r>
      </text>
    </comment>
    <comment ref="AE9" authorId="1">
      <text>
        <r>
          <rPr>
            <b/>
            <sz val="9"/>
            <color indexed="81"/>
            <rFont val="Tahoma"/>
            <family val="2"/>
          </rPr>
          <t>Cassel, Lauren (Research):</t>
        </r>
        <r>
          <rPr>
            <sz val="9"/>
            <color indexed="81"/>
            <rFont val="Tahoma"/>
            <family val="2"/>
          </rPr>
          <t xml:space="preserve">
4/12/16: Analyst Day: ~5% total sales growth (3-4% comps) </t>
        </r>
      </text>
    </comment>
    <comment ref="V12" authorId="2">
      <text>
        <r>
          <rPr>
            <b/>
            <sz val="8"/>
            <color indexed="81"/>
            <rFont val="Tahoma"/>
            <family val="2"/>
          </rPr>
          <t>kg51925:</t>
        </r>
        <r>
          <rPr>
            <sz val="8"/>
            <color indexed="81"/>
            <rFont val="Tahoma"/>
            <family val="2"/>
          </rPr>
          <t xml:space="preserve">
per Mark ~30% of GM is fixed cost (per Cameron)</t>
        </r>
      </text>
    </comment>
    <comment ref="W12" authorId="3">
      <text>
        <r>
          <rPr>
            <b/>
            <sz val="8"/>
            <color indexed="81"/>
            <rFont val="Tahoma"/>
            <family val="2"/>
          </rPr>
          <t>KG51925:</t>
        </r>
        <r>
          <rPr>
            <sz val="8"/>
            <color indexed="81"/>
            <rFont val="Tahoma"/>
            <family val="2"/>
          </rPr>
          <t xml:space="preserve">
expecting inflation in metals/diamond prices to pressure GM beginning in 2011</t>
        </r>
      </text>
    </comment>
    <comment ref="Y12" authorId="4">
      <text>
        <r>
          <rPr>
            <b/>
            <sz val="8"/>
            <color indexed="81"/>
            <rFont val="Tahoma"/>
            <family val="2"/>
          </rPr>
          <t>solejay:</t>
        </r>
        <r>
          <rPr>
            <sz val="8"/>
            <color indexed="81"/>
            <rFont val="Tahoma"/>
            <family val="2"/>
          </rPr>
          <t xml:space="preserve">
At $4.00, GM is 58.52%</t>
        </r>
      </text>
    </comment>
    <comment ref="AC12" authorId="1">
      <text>
        <r>
          <rPr>
            <b/>
            <sz val="9"/>
            <color indexed="81"/>
            <rFont val="Tahoma"/>
            <family val="2"/>
          </rPr>
          <t>Cassel, Lauren (Research):</t>
        </r>
        <r>
          <rPr>
            <sz val="9"/>
            <color indexed="81"/>
            <rFont val="Tahoma"/>
            <family val="2"/>
          </rPr>
          <t xml:space="preserve">
11/29/16: Precious metal costs have moved up this year but on the other hand, we still have not gotten the benefit from lower diamond costs from last year, so we don’t know yet. We haven’t made any pricing decisions either. </t>
        </r>
      </text>
    </comment>
    <comment ref="V14" authorId="5">
      <text>
        <r>
          <rPr>
            <b/>
            <sz val="8"/>
            <color indexed="81"/>
            <rFont val="Tahoma"/>
            <family val="2"/>
          </rPr>
          <t>lr73192:</t>
        </r>
        <r>
          <rPr>
            <sz val="8"/>
            <color indexed="81"/>
            <rFont val="Tahoma"/>
            <family val="2"/>
          </rPr>
          <t xml:space="preserve">
4/29/20: TIF said $20 million in charges in 2010 as a result of new HQ space in NYC. Of the $20 million, ~55-60% is store rent, balance is depreciation. Some in Q1 rest spread out over Q2-Q4. 
Will be called separately going forward. We have excluded these charges from rent expense in 2010 since not store-rent-related. Anticipated $5 million in Q12011is the same type of expense. Another estimated $30 million expense (depends on mkt conditions) in 2011 as a result of non-cancelable leases.</t>
        </r>
      </text>
    </comment>
    <comment ref="W14" authorId="5">
      <text>
        <r>
          <rPr>
            <b/>
            <sz val="8"/>
            <color indexed="81"/>
            <rFont val="Tahoma"/>
            <family val="2"/>
          </rPr>
          <t>lr73192:</t>
        </r>
        <r>
          <rPr>
            <sz val="8"/>
            <color indexed="81"/>
            <rFont val="Tahoma"/>
            <family val="2"/>
          </rPr>
          <t xml:space="preserve">
4/29/20: TIF said $20 million in charges in 2010 as a result of new HQ space in NYC. Of the $20 million, ~55-60% is store rent, balance is depreciation. Some in Q1 rest spread out over Q2-Q4. 
Will be called separately going forward. We have excluded these charges from rent expense in 2010 since not store-rent-related. Anticipated $5 million in Q12011is the same type of expense. Another estimated $30 million expense (depends on mkt conditions) in 2011 as a result of non-cancelable leases.</t>
        </r>
      </text>
    </comment>
    <comment ref="S15" authorId="5">
      <text>
        <r>
          <rPr>
            <b/>
            <sz val="8"/>
            <color indexed="81"/>
            <rFont val="Tahoma"/>
            <family val="2"/>
          </rPr>
          <t>lr73192:</t>
        </r>
        <r>
          <rPr>
            <sz val="8"/>
            <color indexed="81"/>
            <rFont val="Tahoma"/>
            <family val="2"/>
          </rPr>
          <t xml:space="preserve">
4/2010: Adjusted rent expense number for 2007 per 1/2010 10-K
Excludes office, distrib and manu facilities and equip</t>
        </r>
      </text>
    </comment>
    <comment ref="T15" authorId="5">
      <text>
        <r>
          <rPr>
            <b/>
            <sz val="8"/>
            <color indexed="81"/>
            <rFont val="Tahoma"/>
            <family val="2"/>
          </rPr>
          <t>lr73192:</t>
        </r>
        <r>
          <rPr>
            <sz val="8"/>
            <color indexed="81"/>
            <rFont val="Tahoma"/>
            <family val="2"/>
          </rPr>
          <t xml:space="preserve">
4/2010: Adjusted rent expense number for 2008 per 1/2010 10-K
Excludes office, distrib and manu facilities and equip</t>
        </r>
      </text>
    </comment>
    <comment ref="U15" authorId="5">
      <text>
        <r>
          <rPr>
            <b/>
            <sz val="8"/>
            <color indexed="81"/>
            <rFont val="Tahoma"/>
            <family val="2"/>
          </rPr>
          <t>lr73192:</t>
        </r>
        <r>
          <rPr>
            <sz val="8"/>
            <color indexed="81"/>
            <rFont val="Tahoma"/>
            <family val="2"/>
          </rPr>
          <t xml:space="preserve">
4/2010: Adjusted rent expense number for 1/2010 10-K
Excludes office, distrib and manu facilities and equip</t>
        </r>
      </text>
    </comment>
    <comment ref="V15" authorId="6">
      <text>
        <r>
          <rPr>
            <sz val="8"/>
            <color indexed="81"/>
            <rFont val="Tahoma"/>
            <family val="2"/>
          </rPr>
          <t xml:space="preserve">
Minimum rent + Contingent + percentage fee to dept stores = 96.81+24.642+100.237</t>
        </r>
        <r>
          <rPr>
            <b/>
            <sz val="8"/>
            <color indexed="81"/>
            <rFont val="Tahoma"/>
            <family val="2"/>
          </rPr>
          <t xml:space="preserve">
10K:</t>
        </r>
        <r>
          <rPr>
            <sz val="8"/>
            <color indexed="81"/>
            <rFont val="Tahoma"/>
            <family val="2"/>
          </rPr>
          <t xml:space="preserve"> $100.214 minimum, $52.935 contingent rent
$37.020 office distro and manu facilities and equip</t>
        </r>
      </text>
    </comment>
    <comment ref="W15" authorId="0">
      <text>
        <r>
          <rPr>
            <b/>
            <sz val="8"/>
            <color indexed="81"/>
            <rFont val="Tahoma"/>
            <family val="2"/>
          </rPr>
          <t xml:space="preserve">
</t>
        </r>
        <r>
          <rPr>
            <sz val="8"/>
            <color indexed="81"/>
            <rFont val="Tahoma"/>
            <family val="2"/>
          </rPr>
          <t>Minimum rent + Contingent + percentage fee to dept stores = 107.814+36.357+115.728</t>
        </r>
        <r>
          <rPr>
            <b/>
            <sz val="8"/>
            <color indexed="81"/>
            <rFont val="Tahoma"/>
            <family val="2"/>
          </rPr>
          <t xml:space="preserve">
P Kahng:</t>
        </r>
        <r>
          <rPr>
            <sz val="8"/>
            <color indexed="81"/>
            <rFont val="Tahoma"/>
            <family val="2"/>
          </rPr>
          <t xml:space="preserve">
47.188M fees to other dept stores estimated based on fees to Japanese dept stores of $68.540 (same as 2011) subtracted from total dept store fees of $115.728M</t>
        </r>
      </text>
    </comment>
    <comment ref="X15" authorId="7">
      <text>
        <r>
          <rPr>
            <sz val="8"/>
            <color indexed="81"/>
            <rFont val="Tahoma"/>
            <family val="2"/>
          </rPr>
          <t>10-K pg K-69
Minimum rent + Contingent + percentage fee to dept stores = 127.267+31.918+120.967
assuming dept store fee in line with prior year</t>
        </r>
      </text>
    </comment>
    <comment ref="Y15" authorId="8">
      <text>
        <r>
          <rPr>
            <b/>
            <sz val="9"/>
            <color indexed="81"/>
            <rFont val="Tahoma"/>
            <family val="2"/>
          </rPr>
          <t>casselau:</t>
        </r>
        <r>
          <rPr>
            <sz val="9"/>
            <color indexed="81"/>
            <rFont val="Tahoma"/>
            <family val="2"/>
          </rPr>
          <t xml:space="preserve">
Minimum rent + Contingent + percentage fee to dept stores = 146.109+36.289+117.079</t>
        </r>
      </text>
    </comment>
    <comment ref="Z15" authorId="9">
      <text>
        <r>
          <rPr>
            <b/>
            <sz val="9"/>
            <color indexed="81"/>
            <rFont val="Tahoma"/>
            <family val="2"/>
          </rPr>
          <t xml:space="preserve">casselau:
Minimum rent + Contingent + percentage fee to dept stores = 158.188+38.572+113.682
dli: Apr 2014 per IR:
</t>
        </r>
        <r>
          <rPr>
            <sz val="9"/>
            <color indexed="81"/>
            <rFont val="Tahoma"/>
            <family val="2"/>
          </rPr>
          <t xml:space="preserve">2014 could see similar rent increase y/y to 2013. Have Paris (10k sf)/Moscow (5k sf) stores to open (both expensive markets) this year. Similar to 2013, when they renewed a number of expensive leases in Asia.
Over the longer term, they think rent growth will slow down. They are also trying to move towards a more variable rent structure (base+contingent) vs. fixed rent. In the longer term, rent growth should be in line with sq. ft growth+inflation.
</t>
        </r>
      </text>
    </comment>
    <comment ref="AA15" authorId="8">
      <text>
        <r>
          <rPr>
            <b/>
            <sz val="9"/>
            <color indexed="81"/>
            <rFont val="Tahoma"/>
            <family val="2"/>
          </rPr>
          <t>casselau:</t>
        </r>
        <r>
          <rPr>
            <sz val="9"/>
            <color indexed="81"/>
            <rFont val="Tahoma"/>
            <family val="2"/>
          </rPr>
          <t xml:space="preserve">
Minimum rent + Contingent + percentage fee to dept stores = 172.2+34.9+109.4</t>
        </r>
      </text>
    </comment>
    <comment ref="AB15" authorId="1">
      <text>
        <r>
          <rPr>
            <b/>
            <sz val="9"/>
            <color indexed="81"/>
            <rFont val="Tahoma"/>
            <family val="2"/>
          </rPr>
          <t>Cassel, Lauren (Research):</t>
        </r>
        <r>
          <rPr>
            <sz val="9"/>
            <color indexed="81"/>
            <rFont val="Tahoma"/>
            <family val="2"/>
          </rPr>
          <t xml:space="preserve">
$184.1M minimum, $32.4M contingent, $40M office</t>
        </r>
      </text>
    </comment>
    <comment ref="AC15" authorId="1">
      <text>
        <r>
          <rPr>
            <b/>
            <sz val="9"/>
            <color indexed="81"/>
            <rFont val="Tahoma"/>
            <family val="2"/>
          </rPr>
          <t>Cassel, Lauren (Research):</t>
        </r>
        <r>
          <rPr>
            <sz val="9"/>
            <color indexed="81"/>
            <rFont val="Tahoma"/>
            <family val="2"/>
          </rPr>
          <t xml:space="preserve">
$198.7M minimum
$32.7M contingent rent
$40M office, distribution</t>
        </r>
      </text>
    </comment>
    <comment ref="S18" authorId="3">
      <text>
        <r>
          <rPr>
            <b/>
            <sz val="8"/>
            <color indexed="81"/>
            <rFont val="Tahoma"/>
            <family val="2"/>
          </rPr>
          <t>KG51925:</t>
        </r>
        <r>
          <rPr>
            <sz val="8"/>
            <color indexed="81"/>
            <rFont val="Tahoma"/>
            <family val="2"/>
          </rPr>
          <t xml:space="preserve">
2007 as reported: $173.975mm strictly external advertising. Adjusted to $188.347mm including in-store displays and windows = $14.4mm difference</t>
        </r>
      </text>
    </comment>
    <comment ref="T18" authorId="3">
      <text>
        <r>
          <rPr>
            <b/>
            <sz val="8"/>
            <color indexed="81"/>
            <rFont val="Tahoma"/>
            <family val="2"/>
          </rPr>
          <t>KG51925:</t>
        </r>
        <r>
          <rPr>
            <sz val="8"/>
            <color indexed="81"/>
            <rFont val="Tahoma"/>
            <family val="2"/>
          </rPr>
          <t xml:space="preserve">
2008 as reported: $189.452mm strictly external advertising. Adjusted to $204.25mm including in-store displays and windows = $14.8mm difference</t>
        </r>
      </text>
    </comment>
    <comment ref="U18" authorId="3">
      <text>
        <r>
          <rPr>
            <b/>
            <sz val="8"/>
            <color indexed="81"/>
            <rFont val="Tahoma"/>
            <family val="2"/>
          </rPr>
          <t>KG51925:</t>
        </r>
        <r>
          <rPr>
            <sz val="8"/>
            <color indexed="81"/>
            <rFont val="Tahoma"/>
            <family val="2"/>
          </rPr>
          <t xml:space="preserve">
2009 definition of advertising changed w/ '08 &amp; '07 restated. New definition includes in-store displays and windows w/ difference ~$14-15mm annually.</t>
        </r>
      </text>
    </comment>
    <comment ref="Y18" authorId="10">
      <text>
        <r>
          <rPr>
            <b/>
            <sz val="9"/>
            <color indexed="81"/>
            <rFont val="Tahoma"/>
            <family val="2"/>
          </rPr>
          <t>turleamb:</t>
        </r>
        <r>
          <rPr>
            <sz val="9"/>
            <color indexed="81"/>
            <rFont val="Tahoma"/>
            <family val="2"/>
          </rPr>
          <t xml:space="preserve">
According to Kantar Media ~$60m of this was spent on measured media</t>
        </r>
      </text>
    </comment>
    <comment ref="Z18" authorId="11">
      <text>
        <r>
          <rPr>
            <b/>
            <sz val="9"/>
            <color indexed="81"/>
            <rFont val="Tahoma"/>
            <family val="2"/>
          </rPr>
          <t>Turley, Amber (Research):</t>
        </r>
        <r>
          <rPr>
            <sz val="9"/>
            <color indexed="81"/>
            <rFont val="Tahoma"/>
            <family val="2"/>
          </rPr>
          <t xml:space="preserve">
assumed higher growth due to hiring of outside advertising agency</t>
        </r>
      </text>
    </comment>
    <comment ref="R20" authorId="12">
      <text>
        <r>
          <rPr>
            <b/>
            <sz val="8"/>
            <color indexed="81"/>
            <rFont val="Tahoma"/>
            <family val="2"/>
          </rPr>
          <t>pw64212:</t>
        </r>
        <r>
          <rPr>
            <sz val="8"/>
            <color indexed="81"/>
            <rFont val="Tahoma"/>
            <family val="2"/>
          </rPr>
          <t xml:space="preserve">
2006 10K pg k-54 under advertising costs</t>
        </r>
      </text>
    </comment>
    <comment ref="X23" authorId="13">
      <text>
        <r>
          <rPr>
            <b/>
            <sz val="8"/>
            <color indexed="81"/>
            <rFont val="Tahoma"/>
            <family val="2"/>
          </rPr>
          <t>nicholjs:</t>
        </r>
        <r>
          <rPr>
            <sz val="8"/>
            <color indexed="81"/>
            <rFont val="Tahoma"/>
            <family val="2"/>
          </rPr>
          <t xml:space="preserve">
175th yr anniversary - will be SG&amp;A spend associated w/ celebration</t>
        </r>
      </text>
    </comment>
    <comment ref="Y23" authorId="4">
      <text>
        <r>
          <rPr>
            <b/>
            <sz val="8"/>
            <color indexed="81"/>
            <rFont val="Tahoma"/>
            <family val="2"/>
          </rPr>
          <t>solejay:</t>
        </r>
        <r>
          <rPr>
            <sz val="8"/>
            <color indexed="81"/>
            <rFont val="Tahoma"/>
            <family val="2"/>
          </rPr>
          <t xml:space="preserve">
At $4.00, SG&amp;A is 38.3%</t>
        </r>
      </text>
    </comment>
    <comment ref="V28" authorId="14">
      <text>
        <r>
          <rPr>
            <b/>
            <sz val="8"/>
            <color indexed="81"/>
            <rFont val="Tahoma"/>
            <family val="2"/>
          </rPr>
          <t>kimberlg:</t>
        </r>
        <r>
          <rPr>
            <sz val="8"/>
            <color indexed="81"/>
            <rFont val="Tahoma"/>
            <family val="2"/>
          </rPr>
          <t xml:space="preserve">
$155-157M seems reasonable (but could excl acceler depcn on NY HQ in prep for move)</t>
        </r>
      </text>
    </comment>
    <comment ref="W28" authorId="14">
      <text>
        <r>
          <rPr>
            <b/>
            <sz val="8"/>
            <color indexed="81"/>
            <rFont val="Tahoma"/>
            <family val="2"/>
          </rPr>
          <t>kimberlg:</t>
        </r>
        <r>
          <rPr>
            <sz val="8"/>
            <color indexed="81"/>
            <rFont val="Tahoma"/>
            <family val="2"/>
          </rPr>
          <t xml:space="preserve">
$174M seems ok</t>
        </r>
      </text>
    </comment>
    <comment ref="AC32" authorId="8">
      <text>
        <r>
          <rPr>
            <b/>
            <sz val="9"/>
            <color indexed="81"/>
            <rFont val="Tahoma"/>
            <family val="2"/>
          </rPr>
          <t>casselau:
4/12/16: Analyst Day: 50 bps annual increase in EBIT margin growth long-term</t>
        </r>
        <r>
          <rPr>
            <sz val="9"/>
            <color indexed="81"/>
            <rFont val="Tahoma"/>
            <family val="2"/>
          </rPr>
          <t xml:space="preserve">
3/18/16: we said in the past and we continue to be confident that we could grow our operating
margin about 50 basis points a year over time.</t>
        </r>
      </text>
    </comment>
    <comment ref="AG32" authorId="1">
      <text>
        <r>
          <rPr>
            <b/>
            <sz val="9"/>
            <color indexed="81"/>
            <rFont val="Tahoma"/>
            <family val="2"/>
          </rPr>
          <t>Cassel, Lauren (Research):</t>
        </r>
        <r>
          <rPr>
            <sz val="9"/>
            <color indexed="81"/>
            <rFont val="Tahoma"/>
            <family val="2"/>
          </rPr>
          <t xml:space="preserve">
3/16/18: CFO: But we've had our operating margins in the low 20s in the past and we see no reason at all structurally why we won't be able
to get back to that level at some point in the future.</t>
        </r>
      </text>
    </comment>
    <comment ref="V34" authorId="15">
      <text>
        <r>
          <rPr>
            <b/>
            <sz val="8"/>
            <color indexed="81"/>
            <rFont val="Tahoma"/>
            <family val="2"/>
          </rPr>
          <t>ol36766:</t>
        </r>
        <r>
          <rPr>
            <sz val="8"/>
            <color indexed="81"/>
            <rFont val="Tahoma"/>
            <family val="2"/>
          </rPr>
          <t xml:space="preserve">
$40M 1998 Series B Senior Notes due Dec 2010 at 7.05%
$63M 2002 Series D Senior Notes due July 2012 at 6.56%
$100M 2008 Series A Senior Notes due Dec. 2015 at 9.05%
$50M Series A Senior Notes due April 2018 at 10% (Metlife)
$125M Series A-2009 due Feb 2017 at 10% (Berkshire Hathaway)
$125M Series B-2009 Senior notes due Feb 2019 at 10% (Berkshire Hathaway)    
Y15BN / $166 2003 First Series Yen Bonds expire Sept 2010 at 2.02%
Y5BN / $55 1996 Yen Loan due April 2011 at 4.5%
</t>
        </r>
      </text>
    </comment>
    <comment ref="X34" authorId="15">
      <text>
        <r>
          <rPr>
            <b/>
            <sz val="8"/>
            <color indexed="81"/>
            <rFont val="Tahoma"/>
            <family val="2"/>
          </rPr>
          <t>ol36766:</t>
        </r>
        <r>
          <rPr>
            <sz val="8"/>
            <color indexed="81"/>
            <rFont val="Tahoma"/>
            <family val="2"/>
          </rPr>
          <t xml:space="preserve">
$62 - 2002 6.56% Series D, due 2012
$104 - 2008 9.05% Series A, due 2015
$50 - 2009 10.00% Series A, due 2018
$125 - 2009 10.00% Series A, due 2017
$125 - 2009 10.00% Series B, due 2019
$121 - 2010 1.72% Notes, due 2016
$60 - 4.50% yen loan, due 2011
</t>
        </r>
      </text>
    </comment>
    <comment ref="AA34" authorId="11">
      <text>
        <r>
          <rPr>
            <b/>
            <sz val="9"/>
            <color indexed="81"/>
            <rFont val="Tahoma"/>
            <family val="2"/>
          </rPr>
          <t>Turley, Amber (Research):</t>
        </r>
        <r>
          <rPr>
            <sz val="9"/>
            <color indexed="81"/>
            <rFont val="Tahoma"/>
            <family val="2"/>
          </rPr>
          <t xml:space="preserve">
estimated based upon $14.85m interest savings from new debt offering (prior interest guidance was $65m)</t>
        </r>
      </text>
    </comment>
    <comment ref="V44" authorId="16">
      <text>
        <r>
          <rPr>
            <b/>
            <sz val="8"/>
            <color indexed="81"/>
            <rFont val="Tahoma"/>
            <family val="2"/>
          </rPr>
          <t>mm98285:</t>
        </r>
        <r>
          <rPr>
            <sz val="8"/>
            <color indexed="81"/>
            <rFont val="Tahoma"/>
            <family val="2"/>
          </rPr>
          <t xml:space="preserve">
normalized rate is 37%</t>
        </r>
      </text>
    </comment>
    <comment ref="W44" authorId="16">
      <text>
        <r>
          <rPr>
            <b/>
            <sz val="8"/>
            <color indexed="81"/>
            <rFont val="Tahoma"/>
            <family val="2"/>
          </rPr>
          <t>mm98285:</t>
        </r>
        <r>
          <rPr>
            <sz val="8"/>
            <color indexed="81"/>
            <rFont val="Tahoma"/>
            <family val="2"/>
          </rPr>
          <t xml:space="preserve">
normalized rate is 37%</t>
        </r>
      </text>
    </comment>
    <comment ref="R46" authorId="17">
      <text>
        <r>
          <rPr>
            <b/>
            <sz val="8"/>
            <color indexed="81"/>
            <rFont val="Tahoma"/>
            <family val="2"/>
          </rPr>
          <t>oc48540:</t>
        </r>
        <r>
          <rPr>
            <sz val="8"/>
            <color indexed="81"/>
            <rFont val="Tahoma"/>
            <family val="2"/>
          </rPr>
          <t xml:space="preserve">
Added back $6.9m impairment charge for write-off of goodwill for Little Switzerland business</t>
        </r>
      </text>
    </comment>
    <comment ref="P49" authorId="18">
      <text>
        <r>
          <rPr>
            <b/>
            <sz val="8"/>
            <color indexed="81"/>
            <rFont val="Tahoma"/>
            <family val="2"/>
          </rPr>
          <t>Morry Brown:</t>
        </r>
        <r>
          <rPr>
            <sz val="8"/>
            <color indexed="81"/>
            <rFont val="Tahoma"/>
            <family val="2"/>
          </rPr>
          <t xml:space="preserve">
Need to confirm if this is correct number excluding the gain on sale of Aber shares</t>
        </r>
      </text>
    </comment>
    <comment ref="R49" authorId="18">
      <text>
        <r>
          <rPr>
            <sz val="8"/>
            <color indexed="81"/>
            <rFont val="Tahoma"/>
            <family val="2"/>
          </rPr>
          <t xml:space="preserve">Includes .05 in Q4 from little switzerland impairment
</t>
        </r>
        <r>
          <rPr>
            <b/>
            <sz val="8"/>
            <color indexed="81"/>
            <rFont val="Tahoma"/>
            <family val="2"/>
          </rPr>
          <t xml:space="preserve">
Morry Brown:</t>
        </r>
        <r>
          <rPr>
            <sz val="8"/>
            <color indexed="81"/>
            <rFont val="Tahoma"/>
            <family val="2"/>
          </rPr>
          <t xml:space="preserve">
Mgmt expects EPS growth of at least 12% per year for 06-08</t>
        </r>
      </text>
    </comment>
    <comment ref="S49" authorId="18">
      <text>
        <r>
          <rPr>
            <b/>
            <sz val="8"/>
            <color indexed="81"/>
            <rFont val="Tahoma"/>
            <family val="2"/>
          </rPr>
          <t>Morry Brown:</t>
        </r>
        <r>
          <rPr>
            <sz val="8"/>
            <color indexed="81"/>
            <rFont val="Tahoma"/>
            <family val="2"/>
          </rPr>
          <t xml:space="preserve">
Mgmt expects EPS growth of at least 12% per year for 06-08</t>
        </r>
      </text>
    </comment>
    <comment ref="T49" authorId="18">
      <text>
        <r>
          <rPr>
            <b/>
            <sz val="8"/>
            <color indexed="81"/>
            <rFont val="Tahoma"/>
            <family val="2"/>
          </rPr>
          <t>Morry Brown:</t>
        </r>
        <r>
          <rPr>
            <sz val="8"/>
            <color indexed="81"/>
            <rFont val="Tahoma"/>
            <family val="2"/>
          </rPr>
          <t xml:space="preserve">
Mgmt expects EPS growth of at least 12% per year for 06-08</t>
        </r>
      </text>
    </comment>
    <comment ref="AC49" authorId="1">
      <text>
        <r>
          <rPr>
            <b/>
            <sz val="9"/>
            <color indexed="81"/>
            <rFont val="Tahoma"/>
            <family val="2"/>
          </rPr>
          <t>Cassel, Lauren (Research):</t>
        </r>
        <r>
          <rPr>
            <sz val="9"/>
            <color indexed="81"/>
            <rFont val="Tahoma"/>
            <family val="2"/>
          </rPr>
          <t xml:space="preserve">
4/12/16: Analyst Day: +HSD EPS growth long-term</t>
        </r>
      </text>
    </comment>
    <comment ref="AC50" authorId="1">
      <text>
        <r>
          <rPr>
            <b/>
            <sz val="9"/>
            <color indexed="81"/>
            <rFont val="Tahoma"/>
            <family val="2"/>
          </rPr>
          <t>Cassel, Lauren (Research):</t>
        </r>
        <r>
          <rPr>
            <sz val="9"/>
            <color indexed="81"/>
            <rFont val="Tahoma"/>
            <family val="2"/>
          </rPr>
          <t xml:space="preserve">
4/12/16: Analyst Day: +HSD EPS growth long-term</t>
        </r>
      </text>
    </comment>
    <comment ref="AD50" authorId="1">
      <text>
        <r>
          <rPr>
            <b/>
            <sz val="9"/>
            <color indexed="81"/>
            <rFont val="Tahoma"/>
            <family val="2"/>
          </rPr>
          <t>Cassel, Lauren (Research):</t>
        </r>
        <r>
          <rPr>
            <sz val="9"/>
            <color indexed="81"/>
            <rFont val="Tahoma"/>
            <family val="2"/>
          </rPr>
          <t xml:space="preserve">
4/12/16: Analyst Day: +HSD EPS growth long-term</t>
        </r>
      </text>
    </comment>
    <comment ref="AE50" authorId="1">
      <text>
        <r>
          <rPr>
            <b/>
            <sz val="9"/>
            <color indexed="81"/>
            <rFont val="Tahoma"/>
            <family val="2"/>
          </rPr>
          <t>Cassel, Lauren (Research):</t>
        </r>
        <r>
          <rPr>
            <sz val="9"/>
            <color indexed="81"/>
            <rFont val="Tahoma"/>
            <family val="2"/>
          </rPr>
          <t xml:space="preserve">
4/12/16: Analyst Day: +HSD EPS growth long-term</t>
        </r>
      </text>
    </comment>
    <comment ref="AF50" authorId="1">
      <text>
        <r>
          <rPr>
            <b/>
            <sz val="9"/>
            <color indexed="81"/>
            <rFont val="Tahoma"/>
            <family val="2"/>
          </rPr>
          <t>Cassel, Lauren (Research):</t>
        </r>
        <r>
          <rPr>
            <sz val="9"/>
            <color indexed="81"/>
            <rFont val="Tahoma"/>
            <family val="2"/>
          </rPr>
          <t xml:space="preserve">
4/12/16: Analyst Day: +HSD EPS growth long-term</t>
        </r>
      </text>
    </comment>
    <comment ref="AG50" authorId="1">
      <text>
        <r>
          <rPr>
            <b/>
            <sz val="9"/>
            <color indexed="81"/>
            <rFont val="Tahoma"/>
            <family val="2"/>
          </rPr>
          <t>Cassel, Lauren (Research):</t>
        </r>
        <r>
          <rPr>
            <sz val="9"/>
            <color indexed="81"/>
            <rFont val="Tahoma"/>
            <family val="2"/>
          </rPr>
          <t xml:space="preserve">
4/12/16: Analyst Day: +HSD EPS growth long-term</t>
        </r>
      </text>
    </comment>
    <comment ref="AH50" authorId="1">
      <text>
        <r>
          <rPr>
            <b/>
            <sz val="9"/>
            <color indexed="81"/>
            <rFont val="Tahoma"/>
            <family val="2"/>
          </rPr>
          <t>Cassel, Lauren (Research):</t>
        </r>
        <r>
          <rPr>
            <sz val="9"/>
            <color indexed="81"/>
            <rFont val="Tahoma"/>
            <family val="2"/>
          </rPr>
          <t xml:space="preserve">
4/12/16: Analyst Day: +HSD EPS growth long-term</t>
        </r>
      </text>
    </comment>
    <comment ref="R51" authorId="17">
      <text>
        <r>
          <rPr>
            <b/>
            <sz val="8"/>
            <color indexed="81"/>
            <rFont val="Tahoma"/>
            <family val="2"/>
          </rPr>
          <t>oc48540:</t>
        </r>
        <r>
          <rPr>
            <sz val="8"/>
            <color indexed="81"/>
            <rFont val="Tahoma"/>
            <family val="2"/>
          </rPr>
          <t xml:space="preserve">
This higher number includes $0.05 from Little Switzerland</t>
        </r>
      </text>
    </comment>
  </commentList>
</comments>
</file>

<file path=xl/comments10.xml><?xml version="1.0" encoding="utf-8"?>
<comments xmlns="http://schemas.openxmlformats.org/spreadsheetml/2006/main">
  <authors>
    <author>pw64212</author>
    <author>mm98285</author>
    <author>ns66486</author>
    <author>nicholjs</author>
    <author>kahng</author>
    <author>turleamb</author>
    <author>P Kahng</author>
    <author>Morry Brown</author>
    <author>NS66486</author>
  </authors>
  <commentList>
    <comment ref="AM11" authorId="0">
      <text>
        <r>
          <rPr>
            <b/>
            <sz val="8"/>
            <color indexed="81"/>
            <rFont val="Tahoma"/>
            <family val="2"/>
          </rPr>
          <t>pw64212:</t>
        </r>
        <r>
          <rPr>
            <sz val="8"/>
            <color indexed="81"/>
            <rFont val="Tahoma"/>
            <family val="2"/>
          </rPr>
          <t xml:space="preserve">
due to sales growth and reflected some shift in credit card usage tomorrow Tif's in-house card</t>
        </r>
      </text>
    </comment>
    <comment ref="AM12" authorId="1">
      <text>
        <r>
          <rPr>
            <b/>
            <sz val="8"/>
            <color indexed="81"/>
            <rFont val="Tahoma"/>
            <family val="2"/>
          </rPr>
          <t>mm98285:</t>
        </r>
        <r>
          <rPr>
            <sz val="8"/>
            <color indexed="81"/>
            <rFont val="Tahoma"/>
            <family val="2"/>
          </rPr>
          <t xml:space="preserve">
2006 10K: expect net inventories up +HSD
due to higher product cost
</t>
        </r>
        <r>
          <rPr>
            <b/>
            <sz val="8"/>
            <color indexed="81"/>
            <rFont val="Tahoma"/>
            <family val="2"/>
          </rPr>
          <t xml:space="preserve">Ping Wang
</t>
        </r>
        <r>
          <rPr>
            <sz val="8"/>
            <color indexed="81"/>
            <rFont val="Tahoma"/>
            <family val="2"/>
          </rPr>
          <t>affected by new store opending along with our decision to deepen assortments in certain existing stores along with broadedn product offering</t>
        </r>
      </text>
    </comment>
    <comment ref="AS12" authorId="2">
      <text>
        <r>
          <rPr>
            <sz val="8"/>
            <color indexed="81"/>
            <rFont val="Tahoma"/>
            <family val="2"/>
          </rPr>
          <t>11/10: expect +LDD% increase in net inventories
5/10: expect +HSD % increase in net inventories
3/10: expect +HSD % increase in net inventories</t>
        </r>
      </text>
    </comment>
    <comment ref="AU12" authorId="3">
      <text>
        <r>
          <rPr>
            <b/>
            <sz val="8"/>
            <color indexed="81"/>
            <rFont val="Tahoma"/>
            <family val="2"/>
          </rPr>
          <t>nicholjs:</t>
        </r>
        <r>
          <rPr>
            <sz val="8"/>
            <color indexed="81"/>
            <rFont val="Tahoma"/>
            <family val="2"/>
          </rPr>
          <t xml:space="preserve">
8/2011: expect more than 15% increase
5/2011: expect more than 15% increase
10K: expect more than 15% increase</t>
        </r>
      </text>
    </comment>
    <comment ref="AW12" authorId="4">
      <text>
        <r>
          <rPr>
            <b/>
            <sz val="8"/>
            <color indexed="81"/>
            <rFont val="Tahoma"/>
            <family val="2"/>
          </rPr>
          <t xml:space="preserve">8/27/12: </t>
        </r>
        <r>
          <rPr>
            <sz val="8"/>
            <color indexed="81"/>
            <rFont val="Tahoma"/>
            <family val="2"/>
          </rPr>
          <t>expect +10%</t>
        </r>
        <r>
          <rPr>
            <b/>
            <sz val="8"/>
            <color indexed="81"/>
            <rFont val="Tahoma"/>
            <family val="2"/>
          </rPr>
          <t xml:space="preserve">
kahng:</t>
        </r>
        <r>
          <rPr>
            <sz val="8"/>
            <color indexed="81"/>
            <rFont val="Tahoma"/>
            <family val="2"/>
          </rPr>
          <t xml:space="preserve">
</t>
        </r>
        <r>
          <rPr>
            <b/>
            <sz val="8"/>
            <color indexed="81"/>
            <rFont val="Tahoma"/>
            <family val="2"/>
          </rPr>
          <t xml:space="preserve">3/21/12: </t>
        </r>
        <r>
          <rPr>
            <sz val="8"/>
            <color indexed="81"/>
            <rFont val="Tahoma"/>
            <family val="2"/>
          </rPr>
          <t>15% inv growth based on mgmt guidance on 4q call</t>
        </r>
      </text>
    </comment>
    <comment ref="AY12" authorId="4">
      <text>
        <r>
          <rPr>
            <b/>
            <sz val="8"/>
            <color indexed="81"/>
            <rFont val="Tahoma"/>
            <family val="2"/>
          </rPr>
          <t xml:space="preserve">3/22/13: expect net inventories to increase 5%
3/20/12 pk: </t>
        </r>
        <r>
          <rPr>
            <sz val="8"/>
            <color indexed="81"/>
            <rFont val="Tahoma"/>
            <family val="2"/>
          </rPr>
          <t>for 2012, planning for 15% increase in inventory y/y for new stores, porduct launches, expanded product assortment and vertical integration of diamond supply chain. Also meaningful increase of statement jewelry pieces to support the 175th Anniversary celebration voer 2012/2013 timeframe</t>
        </r>
      </text>
    </comment>
    <comment ref="AY14" authorId="5">
      <text>
        <r>
          <rPr>
            <b/>
            <sz val="9"/>
            <color indexed="81"/>
            <rFont val="Tahoma"/>
            <family val="2"/>
          </rPr>
          <t>turleamb:</t>
        </r>
        <r>
          <rPr>
            <sz val="9"/>
            <color indexed="81"/>
            <rFont val="Tahoma"/>
            <family val="2"/>
          </rPr>
          <t xml:space="preserve">
10-K: The increase was largely due to income tax receivables primarily resulting from the impact and timing of the Arbitration Award on the Company's estimated income tax payments. Additionally, Other assets, net at January 31, 2014 were 10% higher than January 31, 2013 as certain income tax receivables are anticipated to be received after fiscal 2014.</t>
        </r>
      </text>
    </comment>
    <comment ref="B19" authorId="0">
      <text>
        <r>
          <rPr>
            <b/>
            <sz val="8"/>
            <color indexed="81"/>
            <rFont val="Tahoma"/>
            <family val="2"/>
          </rPr>
          <t>pw64212:</t>
        </r>
        <r>
          <rPr>
            <sz val="8"/>
            <color indexed="81"/>
            <rFont val="Tahoma"/>
            <family val="2"/>
          </rPr>
          <t xml:space="preserve">
including goodwill, deferred tax assets and other long-term assets</t>
        </r>
      </text>
    </comment>
    <comment ref="AU19" authorId="6">
      <text>
        <r>
          <rPr>
            <b/>
            <sz val="8"/>
            <color indexed="81"/>
            <rFont val="Tahoma"/>
            <family val="2"/>
          </rPr>
          <t>P Kahng:</t>
        </r>
        <r>
          <rPr>
            <sz val="8"/>
            <color indexed="81"/>
            <rFont val="Tahoma"/>
            <family val="2"/>
          </rPr>
          <t xml:space="preserve">
Deferred income taxes $271.156M. Other assets $230.987. </t>
        </r>
      </text>
    </comment>
    <comment ref="Y27" authorId="7">
      <text>
        <r>
          <rPr>
            <b/>
            <sz val="8"/>
            <color indexed="81"/>
            <rFont val="Tahoma"/>
            <family val="2"/>
          </rPr>
          <t>Morry Brown:</t>
        </r>
        <r>
          <rPr>
            <sz val="8"/>
            <color indexed="81"/>
            <rFont val="Tahoma"/>
            <family val="2"/>
          </rPr>
          <t xml:space="preserve">
obligation under capital lease</t>
        </r>
      </text>
    </comment>
    <comment ref="AO27" authorId="1">
      <text>
        <r>
          <rPr>
            <b/>
            <sz val="8"/>
            <color indexed="81"/>
            <rFont val="Tahoma"/>
            <family val="2"/>
          </rPr>
          <t>mm98285:</t>
        </r>
        <r>
          <rPr>
            <sz val="8"/>
            <color indexed="81"/>
            <rFont val="Tahoma"/>
            <family val="2"/>
          </rPr>
          <t xml:space="preserve">
$40.426M 2002 6.15% Series C, due 2009</t>
        </r>
      </text>
    </comment>
    <comment ref="AO28" authorId="1">
      <text>
        <r>
          <rPr>
            <b/>
            <sz val="8"/>
            <color indexed="81"/>
            <rFont val="Tahoma"/>
            <family val="2"/>
          </rPr>
          <t>mm98285:</t>
        </r>
        <r>
          <rPr>
            <sz val="8"/>
            <color indexed="81"/>
            <rFont val="Tahoma"/>
            <family val="2"/>
          </rPr>
          <t xml:space="preserve">
$140.834M outstanding on $450M unsecured revolving credit facility 
$46.721M outstanding on S-T facility for Y6.5BN (66M at issuance) due March '09
$50M outstanding on S-T note agreement for $50M due March '09
$5.411M outstanding on other credit lines totaling $15.499M</t>
        </r>
      </text>
    </comment>
    <comment ref="AQ28" authorId="1">
      <text>
        <r>
          <rPr>
            <b/>
            <sz val="8"/>
            <color indexed="81"/>
            <rFont val="Tahoma"/>
            <family val="2"/>
          </rPr>
          <t>mm98285:</t>
        </r>
        <r>
          <rPr>
            <sz val="8"/>
            <color indexed="81"/>
            <rFont val="Tahoma"/>
            <family val="2"/>
          </rPr>
          <t xml:space="preserve">
$140.834M outstanding on $450M unsecured revolving credit facility 
$46.721M outstanding on S-T facility for Y6.5BN (66M at issuance) due March '09
$50M outstanding on S-T note agreement for $50M due March '09
$5.411M outstanding on other credit lines totaling $15.499M</t>
        </r>
      </text>
    </comment>
    <comment ref="AO33" authorId="1">
      <text>
        <r>
          <rPr>
            <b/>
            <sz val="8"/>
            <color indexed="81"/>
            <rFont val="Tahoma"/>
            <family val="2"/>
          </rPr>
          <t>mm98285:</t>
        </r>
        <r>
          <rPr>
            <sz val="8"/>
            <color indexed="81"/>
            <rFont val="Tahoma"/>
            <family val="2"/>
          </rPr>
          <t xml:space="preserve">
$40M 1998 7.05% Series B, due 2010
$166.86M First Series Yen Bonds, due 2010
$55.62M 4.50% yen loan, due 2011
$62.932M 2002 6.56% Series D, due 2012
$100M 2008 9.05% Series A, due 2015
</t>
        </r>
      </text>
    </comment>
    <comment ref="AS33" authorId="8">
      <text>
        <r>
          <rPr>
            <b/>
            <sz val="8"/>
            <color indexed="81"/>
            <rFont val="Tahoma"/>
            <family val="2"/>
          </rPr>
          <t>NS66486:</t>
        </r>
        <r>
          <rPr>
            <sz val="8"/>
            <color indexed="81"/>
            <rFont val="Tahoma"/>
            <family val="2"/>
          </rPr>
          <t xml:space="preserve">
5/2010: we currently have $253M of LT debt coming due within the next 12 mos, much of which is in Japan, we anticipate refinancing JPY10B or ~$110M and paying down the balance</t>
        </r>
      </text>
    </comment>
    <comment ref="AU33" authorId="3">
      <text>
        <r>
          <rPr>
            <b/>
            <sz val="8"/>
            <color indexed="81"/>
            <rFont val="Tahoma"/>
            <family val="2"/>
          </rPr>
          <t>nicholjs:</t>
        </r>
        <r>
          <rPr>
            <sz val="8"/>
            <color indexed="81"/>
            <rFont val="Tahoma"/>
            <family val="2"/>
          </rPr>
          <t xml:space="preserve">
1Q11 10-Q:  In May 2011, the Company entered into a ¥4,000,000,000 ($49,240,000 at issuance) one-year uncommitted credit facility. Borrowings may be made on one-, three- or 12-month terms
bearing interest at the LIBOR rate plus 0.25%, subject to bank approval. The Company borrowed the full amount under the facility.</t>
        </r>
      </text>
    </comment>
  </commentList>
</comments>
</file>

<file path=xl/comments11.xml><?xml version="1.0" encoding="utf-8"?>
<comments xmlns="http://schemas.openxmlformats.org/spreadsheetml/2006/main">
  <authors>
    <author>lr73192</author>
    <author>Jasoriya, Prateek (Research)</author>
    <author>pw64212</author>
    <author>Morry Brown</author>
    <author>lm37689</author>
    <author>mm98285</author>
    <author>marchant</author>
    <author>Cassel, Lauren (Research)</author>
    <author>casselau</author>
    <author>nicholjs</author>
    <author>kimberlg</author>
  </authors>
  <commentList>
    <comment ref="AL10" authorId="0">
      <text>
        <r>
          <rPr>
            <b/>
            <sz val="8"/>
            <color indexed="81"/>
            <rFont val="Tahoma"/>
            <family val="2"/>
          </rPr>
          <t>lr73192:</t>
        </r>
        <r>
          <rPr>
            <sz val="8"/>
            <color indexed="81"/>
            <rFont val="Tahoma"/>
            <family val="2"/>
          </rPr>
          <t xml:space="preserve">
323.478 Net Income + 46.521 loss of discontinued operations, net of tax</t>
        </r>
      </text>
    </comment>
    <comment ref="AN10" authorId="0">
      <text>
        <r>
          <rPr>
            <b/>
            <sz val="8"/>
            <color indexed="81"/>
            <rFont val="Tahoma"/>
            <family val="2"/>
          </rPr>
          <t>lr73192:</t>
        </r>
        <r>
          <rPr>
            <sz val="8"/>
            <color indexed="81"/>
            <rFont val="Tahoma"/>
            <family val="2"/>
          </rPr>
          <t xml:space="preserve">
+12.133 loss from discontinued operations, net of tax</t>
        </r>
      </text>
    </comment>
    <comment ref="AP10" authorId="0">
      <text>
        <r>
          <rPr>
            <b/>
            <sz val="8"/>
            <color indexed="81"/>
            <rFont val="Tahoma"/>
            <family val="2"/>
          </rPr>
          <t>lr73192:</t>
        </r>
        <r>
          <rPr>
            <sz val="8"/>
            <color indexed="81"/>
            <rFont val="Tahoma"/>
            <family val="2"/>
          </rPr>
          <t xml:space="preserve">
+0.853 loss from discontinued operations, net of tax</t>
        </r>
      </text>
    </comment>
    <comment ref="AZ10" authorId="1">
      <text>
        <r>
          <rPr>
            <sz val="9"/>
            <color indexed="81"/>
            <rFont val="Tahoma"/>
            <family val="2"/>
          </rPr>
          <t>Adjusted for Non GAAP adjustment</t>
        </r>
      </text>
    </comment>
    <comment ref="BB10" authorId="1">
      <text>
        <r>
          <rPr>
            <sz val="9"/>
            <color indexed="81"/>
            <rFont val="Tahoma"/>
            <family val="2"/>
          </rPr>
          <t>Adjusted for Non GAAP adjustment</t>
        </r>
      </text>
    </comment>
    <comment ref="BD10" authorId="1">
      <text>
        <r>
          <rPr>
            <sz val="9"/>
            <color indexed="81"/>
            <rFont val="Tahoma"/>
            <family val="2"/>
          </rPr>
          <t>Adjusted for Non GAAP adjustment</t>
        </r>
      </text>
    </comment>
    <comment ref="BF10" authorId="1">
      <text>
        <r>
          <rPr>
            <sz val="9"/>
            <color indexed="81"/>
            <rFont val="Tahoma"/>
            <family val="2"/>
          </rPr>
          <t>Adjusted for Non GAAP adjustment</t>
        </r>
      </text>
    </comment>
    <comment ref="Z20" authorId="2">
      <text>
        <r>
          <rPr>
            <b/>
            <sz val="8"/>
            <color indexed="81"/>
            <rFont val="Tahoma"/>
            <family val="2"/>
          </rPr>
          <t>pw64212:</t>
        </r>
        <r>
          <rPr>
            <sz val="8"/>
            <color indexed="81"/>
            <rFont val="Tahoma"/>
            <family val="2"/>
          </rPr>
          <t xml:space="preserve">
impairment of investment in third-party online provider</t>
        </r>
      </text>
    </comment>
    <comment ref="AF20" authorId="3">
      <text>
        <r>
          <rPr>
            <b/>
            <sz val="8"/>
            <color indexed="81"/>
            <rFont val="Tahoma"/>
            <family val="2"/>
          </rPr>
          <t>Ping Wang:</t>
        </r>
        <r>
          <rPr>
            <sz val="8"/>
            <color indexed="81"/>
            <rFont val="Tahoma"/>
            <family val="2"/>
          </rPr>
          <t xml:space="preserve">
excess tax benefits, impairment charge and derivative (gains) losses transferred to the earnings</t>
        </r>
      </text>
    </comment>
    <comment ref="AH20" authorId="4">
      <text>
        <r>
          <rPr>
            <b/>
            <sz val="8"/>
            <color indexed="81"/>
            <rFont val="Tahoma"/>
            <family val="2"/>
          </rPr>
          <t>PW:</t>
        </r>
        <r>
          <rPr>
            <sz val="8"/>
            <color indexed="81"/>
            <rFont val="Tahoma"/>
            <family val="2"/>
          </rPr>
          <t xml:space="preserve">
excess tax benefits and derivative (gains) losses</t>
        </r>
      </text>
    </comment>
    <comment ref="AL20" authorId="5">
      <text>
        <r>
          <rPr>
            <b/>
            <sz val="8"/>
            <color indexed="81"/>
            <rFont val="Tahoma"/>
            <family val="2"/>
          </rPr>
          <t>mm98285:</t>
        </r>
        <r>
          <rPr>
            <sz val="8"/>
            <color indexed="81"/>
            <rFont val="Tahoma"/>
            <family val="2"/>
          </rPr>
          <t xml:space="preserve">
$18.739 excess tax benefit from share based payment arrangements; $3.536 amortization of gain on sale-leasebacks, $47.981 impairment charge</t>
        </r>
      </text>
    </comment>
    <comment ref="AN20" authorId="5">
      <text>
        <r>
          <rPr>
            <b/>
            <sz val="8"/>
            <color indexed="81"/>
            <rFont val="Tahoma"/>
            <family val="2"/>
          </rPr>
          <t>mm98285:</t>
        </r>
        <r>
          <rPr>
            <sz val="8"/>
            <color indexed="81"/>
            <rFont val="Tahoma"/>
            <family val="2"/>
          </rPr>
          <t xml:space="preserve">
$10.196 excess tax benefit from share based payment arrangements; $9.793 amortization of gain on sale-leasebacks, $21.164 impairment charge; $97.839 restructuring charge</t>
        </r>
      </text>
    </comment>
    <comment ref="AP20" authorId="5">
      <text>
        <r>
          <rPr>
            <b/>
            <sz val="8"/>
            <color indexed="81"/>
            <rFont val="Tahoma"/>
            <family val="2"/>
          </rPr>
          <t>lr73192:</t>
        </r>
        <r>
          <rPr>
            <sz val="8"/>
            <color indexed="81"/>
            <rFont val="Tahoma"/>
            <family val="2"/>
          </rPr>
          <t xml:space="preserve">
$9.802 amortization of gain on sale-leasebacks; $1.349 excess tax benefit from share based payment arrangements; </t>
        </r>
      </text>
    </comment>
    <comment ref="A27" authorId="5">
      <text>
        <r>
          <rPr>
            <b/>
            <sz val="8"/>
            <color indexed="81"/>
            <rFont val="Tahoma"/>
            <family val="2"/>
          </rPr>
          <t>mm98285:</t>
        </r>
        <r>
          <rPr>
            <sz val="8"/>
            <color indexed="81"/>
            <rFont val="Tahoma"/>
            <family val="2"/>
          </rPr>
          <t xml:space="preserve">
1/09: usually target capex at 6-7% of sales</t>
        </r>
      </text>
    </comment>
    <comment ref="AJ27" authorId="3">
      <text>
        <r>
          <rPr>
            <b/>
            <sz val="8"/>
            <color indexed="81"/>
            <rFont val="Tahoma"/>
            <family val="2"/>
          </rPr>
          <t>Morry Brown:</t>
        </r>
        <r>
          <rPr>
            <sz val="8"/>
            <color indexed="81"/>
            <rFont val="Tahoma"/>
            <family val="2"/>
          </rPr>
          <t xml:space="preserve">
check guidance</t>
        </r>
      </text>
    </comment>
    <comment ref="AL27" authorId="3">
      <text>
        <r>
          <rPr>
            <b/>
            <sz val="8"/>
            <color indexed="81"/>
            <rFont val="Tahoma"/>
            <family val="2"/>
          </rPr>
          <t xml:space="preserve">mm98285:
</t>
        </r>
        <r>
          <rPr>
            <sz val="8"/>
            <color indexed="81"/>
            <rFont val="Tahoma"/>
            <family val="2"/>
          </rPr>
          <t xml:space="preserve">1Q: $31.548M, 2Q: $56.231M, 3Q: $61.546M
</t>
        </r>
        <r>
          <rPr>
            <b/>
            <sz val="8"/>
            <color indexed="81"/>
            <rFont val="Tahoma"/>
            <family val="2"/>
          </rPr>
          <t xml:space="preserve">
</t>
        </r>
        <r>
          <rPr>
            <sz val="8"/>
            <color indexed="81"/>
            <rFont val="Tahoma"/>
            <family val="2"/>
          </rPr>
          <t>2006 10K: guided to $180mm
Capex to avg 6-7% of net sales</t>
        </r>
      </text>
    </comment>
    <comment ref="AN27" authorId="5">
      <text>
        <r>
          <rPr>
            <b/>
            <sz val="8"/>
            <color indexed="81"/>
            <rFont val="Tahoma"/>
            <family val="2"/>
          </rPr>
          <t>mm98285:</t>
        </r>
        <r>
          <rPr>
            <sz val="8"/>
            <color indexed="81"/>
            <rFont val="Tahoma"/>
            <family val="2"/>
          </rPr>
          <t xml:space="preserve">
Capex for opening, renovation, expansion of stores, distribution facilities, and ongoing investments in new systems
1Q: $26.208M, 2Q: $41.744M, 3Q: $40.563
11/08: expect $150M
9/08: expect $190M</t>
        </r>
      </text>
    </comment>
    <comment ref="AP27" authorId="6">
      <text>
        <r>
          <rPr>
            <b/>
            <sz val="8"/>
            <color indexed="81"/>
            <rFont val="Tahoma"/>
            <family val="2"/>
          </rPr>
          <t>marchant:</t>
        </r>
        <r>
          <rPr>
            <sz val="8"/>
            <color indexed="81"/>
            <rFont val="Tahoma"/>
            <family val="2"/>
          </rPr>
          <t xml:space="preserve">
lowered below normalized 6-7% of sales as held back on non essential projects</t>
        </r>
      </text>
    </comment>
    <comment ref="AR27" authorId="5">
      <text>
        <r>
          <rPr>
            <sz val="8"/>
            <color indexed="81"/>
            <rFont val="Tahoma"/>
            <family val="2"/>
          </rPr>
          <t>11/10:  expect $150 mm
8/10:  expect $180 mm
5/10:  expect $200 mm
3/10:  expect $200 mm
1Q: $26M, 2Q: $25M</t>
        </r>
      </text>
    </comment>
    <comment ref="AT27" authorId="6">
      <text>
        <r>
          <rPr>
            <sz val="8"/>
            <color indexed="81"/>
            <rFont val="Tahoma"/>
            <family val="2"/>
          </rPr>
          <t>11/11: expect ~$250
8/11: expect ~$250
5/11: expect ~$250
3/11: expect $250-275
3/10: target 6-7% of sales</t>
        </r>
      </text>
    </comment>
    <comment ref="AV27" authorId="6">
      <text>
        <r>
          <rPr>
            <sz val="8"/>
            <color indexed="81"/>
            <rFont val="Tahoma"/>
            <family val="2"/>
          </rPr>
          <t xml:space="preserve">8/27/12: expect $230M vs. prev. forecast of $240
3/20/12: expect $240 or 6%-7% of sales/yr
</t>
        </r>
      </text>
    </comment>
    <comment ref="AX27" authorId="6">
      <text>
        <r>
          <rPr>
            <sz val="8"/>
            <color indexed="81"/>
            <rFont val="Tahoma"/>
            <family val="2"/>
          </rPr>
          <t xml:space="preserve">11/26/13: guidance $225M
8/27/13: guidance 230M
3/22/13: guidance 230M
3/20/12: expect $240 or 6%-7% of sales/yr
</t>
        </r>
      </text>
    </comment>
    <comment ref="AZ27" authorId="6">
      <text>
        <r>
          <rPr>
            <sz val="8"/>
            <color indexed="81"/>
            <rFont val="Tahoma"/>
            <family val="2"/>
          </rPr>
          <t>11/25/14: Lowered to $250M from $270M (increase y/y largely due to incremental investments in IT systems0&gt; 
8/27/14: reiterated guidance $270m due to investments in IT systems
5/20/14: reiterated guidance $270m due to investments in IT systems
3/21/14: guided $270m due to incremental investments in IT systems</t>
        </r>
      </text>
    </comment>
    <comment ref="BB27" authorId="6">
      <text>
        <r>
          <rPr>
            <sz val="8"/>
            <color indexed="81"/>
            <rFont val="Tahoma"/>
            <family val="2"/>
          </rPr>
          <t>8/27/15: 1H CapEx $98M
5/27/15: considerable spending devoted to stores and for new IT systems such as global CRM and inventory management</t>
        </r>
      </text>
    </comment>
    <comment ref="BD27" authorId="6">
      <text>
        <r>
          <rPr>
            <sz val="8"/>
            <color indexed="81"/>
            <rFont val="Tahoma"/>
            <family val="2"/>
          </rPr>
          <t xml:space="preserve">3/17/17:  At least half of capital expenditures were related to the opening, renovation and/or relocation of stores 
3/18/16: $260M; Approximately half of our CapEx is store related for openings, renovations and relocations with that store-related mix shifting more towards renovations and relocations. CapEx also currently includes substantial spending during a multiyear period to introduce new IT systems with a major focus on a global customer relationship management system and a new inventory management system.
3/2015: Guidance $260M
3/20/12: expect $240 or 6%-7% of sales/yr
</t>
        </r>
      </text>
    </comment>
    <comment ref="BF27" authorId="7">
      <text>
        <r>
          <rPr>
            <b/>
            <sz val="9"/>
            <color indexed="81"/>
            <rFont val="Tahoma"/>
            <family val="2"/>
          </rPr>
          <t>Cassel, Lauren (Research):
1/17/18: guidance $235M
11/29/17: $235-250M; The revision is solely due to
timing of expenditures as we continue to anticipate annual CapEx spending of somewhere between 6% and 7% of sales.</t>
        </r>
        <r>
          <rPr>
            <sz val="9"/>
            <color indexed="81"/>
            <rFont val="Tahoma"/>
            <family val="2"/>
          </rPr>
          <t xml:space="preserve">
3/17/17: guidance: $250M</t>
        </r>
      </text>
    </comment>
    <comment ref="BH27" authorId="7">
      <text>
        <r>
          <rPr>
            <b/>
            <sz val="9"/>
            <color indexed="81"/>
            <rFont val="Tahoma"/>
            <family val="2"/>
          </rPr>
          <t>Cassel, Lauren (Research):</t>
        </r>
        <r>
          <rPr>
            <sz val="9"/>
            <color indexed="81"/>
            <rFont val="Tahoma"/>
            <family val="2"/>
          </rPr>
          <t xml:space="preserve">
3/16/18: guidance $280M</t>
        </r>
      </text>
    </comment>
    <comment ref="BF32" authorId="7">
      <text>
        <r>
          <rPr>
            <b/>
            <sz val="9"/>
            <color indexed="81"/>
            <rFont val="Tahoma"/>
            <family val="2"/>
          </rPr>
          <t>Cassel, Lauren (Research):</t>
        </r>
        <r>
          <rPr>
            <sz val="9"/>
            <color indexed="81"/>
            <rFont val="Tahoma"/>
            <family val="2"/>
          </rPr>
          <t xml:space="preserve">
3/17/17: guidance: net inventories unchanged</t>
        </r>
      </text>
    </comment>
    <comment ref="AF39" authorId="3">
      <text>
        <r>
          <rPr>
            <b/>
            <sz val="8"/>
            <color indexed="81"/>
            <rFont val="Tahoma"/>
            <family val="2"/>
          </rPr>
          <t>Morry Brown:</t>
        </r>
        <r>
          <rPr>
            <sz val="8"/>
            <color indexed="81"/>
            <rFont val="Tahoma"/>
            <family val="2"/>
          </rPr>
          <t xml:space="preserve">
merchandise and other cust credits, deferred supplier discounts and other</t>
        </r>
      </text>
    </comment>
    <comment ref="AH39" authorId="4">
      <text>
        <r>
          <rPr>
            <b/>
            <sz val="8"/>
            <color indexed="81"/>
            <rFont val="Tahoma"/>
            <family val="2"/>
          </rPr>
          <t>lm37689:</t>
        </r>
        <r>
          <rPr>
            <sz val="8"/>
            <color indexed="81"/>
            <rFont val="Tahoma"/>
            <family val="2"/>
          </rPr>
          <t xml:space="preserve">
merchandise and other cust credits,  and other L-T liabilities</t>
        </r>
      </text>
    </comment>
    <comment ref="AP44" authorId="5">
      <text>
        <r>
          <rPr>
            <b/>
            <sz val="8"/>
            <color indexed="81"/>
            <rFont val="Tahoma"/>
            <family val="2"/>
          </rPr>
          <t>mm98285:</t>
        </r>
        <r>
          <rPr>
            <sz val="8"/>
            <color indexed="81"/>
            <rFont val="Tahoma"/>
            <family val="2"/>
          </rPr>
          <t xml:space="preserve">
11/09: expect in excess of $450M
8/09 &amp; 5/09: expect ~$400M</t>
        </r>
      </text>
    </comment>
    <comment ref="AX44" authorId="8">
      <text>
        <r>
          <rPr>
            <b/>
            <sz val="8"/>
            <color indexed="81"/>
            <rFont val="Tahoma"/>
            <family val="2"/>
          </rPr>
          <t>casselau:</t>
        </r>
        <r>
          <rPr>
            <sz val="8"/>
            <color indexed="81"/>
            <rFont val="Tahoma"/>
            <family val="2"/>
          </rPr>
          <t xml:space="preserve">
11/26/13: expect FCF (CFO - CapEx) of $300M
3/22/13: expect $300M</t>
        </r>
      </text>
    </comment>
    <comment ref="BB44" authorId="8">
      <text>
        <r>
          <rPr>
            <b/>
            <sz val="9"/>
            <color indexed="81"/>
            <rFont val="Tahoma"/>
            <family val="2"/>
          </rPr>
          <t>casselau:</t>
        </r>
        <r>
          <rPr>
            <sz val="9"/>
            <color indexed="81"/>
            <rFont val="Tahoma"/>
            <family val="2"/>
          </rPr>
          <t xml:space="preserve">
11/24/15: project FCF in excess of $500M ($100M higher than previous forecast)</t>
        </r>
      </text>
    </comment>
    <comment ref="BD44" authorId="8">
      <text>
        <r>
          <rPr>
            <b/>
            <sz val="9"/>
            <color indexed="81"/>
            <rFont val="Tahoma"/>
            <family val="2"/>
          </rPr>
          <t xml:space="preserve">casselau:
1/17/17: </t>
        </r>
        <r>
          <rPr>
            <sz val="9"/>
            <color indexed="81"/>
            <rFont val="Tahoma"/>
            <family val="2"/>
          </rPr>
          <t>now expect FCF of more than $325 million, both of which now include a previously-unplanned and voluntary contribution of $125 million to the Company’s U.S. pension plan</t>
        </r>
        <r>
          <rPr>
            <b/>
            <sz val="9"/>
            <color indexed="81"/>
            <rFont val="Tahoma"/>
            <family val="2"/>
          </rPr>
          <t xml:space="preserve">
11/29/16: FCF of at least $400M</t>
        </r>
        <r>
          <rPr>
            <sz val="9"/>
            <color indexed="81"/>
            <rFont val="Tahoma"/>
            <family val="2"/>
          </rPr>
          <t xml:space="preserve">
3/18/16: guidance: FCF of at least $400M</t>
        </r>
      </text>
    </comment>
    <comment ref="BF44" authorId="7">
      <text>
        <r>
          <rPr>
            <b/>
            <sz val="9"/>
            <color indexed="81"/>
            <rFont val="Tahoma"/>
            <family val="2"/>
          </rPr>
          <t>Cassel, Lauren (Research):
1/17/18: guidance: FCF of more than $500M</t>
        </r>
        <r>
          <rPr>
            <sz val="9"/>
            <color indexed="81"/>
            <rFont val="Tahoma"/>
            <family val="2"/>
          </rPr>
          <t xml:space="preserve">
3/17/17: guidance: FCF of ~$450M</t>
        </r>
      </text>
    </comment>
    <comment ref="BH44" authorId="7">
      <text>
        <r>
          <rPr>
            <b/>
            <sz val="9"/>
            <color indexed="81"/>
            <rFont val="Tahoma"/>
            <family val="2"/>
          </rPr>
          <t>Cassel, Lauren (Research):</t>
        </r>
        <r>
          <rPr>
            <sz val="9"/>
            <color indexed="81"/>
            <rFont val="Tahoma"/>
            <family val="2"/>
          </rPr>
          <t xml:space="preserve">
3/16/18: guidance: FCF of $380M</t>
        </r>
      </text>
    </comment>
    <comment ref="P49" authorId="2">
      <text>
        <r>
          <rPr>
            <b/>
            <sz val="8"/>
            <color indexed="81"/>
            <rFont val="Tahoma"/>
            <family val="2"/>
          </rPr>
          <t>pw64212:</t>
        </r>
        <r>
          <rPr>
            <sz val="8"/>
            <color indexed="81"/>
            <rFont val="Tahoma"/>
            <family val="2"/>
          </rPr>
          <t xml:space="preserve">
incl. proceeds from short-term borrowings, prepyaments of long-term trade payable and redemption of convertible sub. notes</t>
        </r>
      </text>
    </comment>
    <comment ref="AJ55" authorId="3">
      <text>
        <r>
          <rPr>
            <b/>
            <sz val="8"/>
            <color indexed="81"/>
            <rFont val="Tahoma"/>
            <family val="2"/>
          </rPr>
          <t>Morry Brown:</t>
        </r>
        <r>
          <rPr>
            <sz val="8"/>
            <color indexed="81"/>
            <rFont val="Tahoma"/>
            <family val="2"/>
          </rPr>
          <t xml:space="preserve">
4/07: repo'd 8.149mm shares in 2006</t>
        </r>
      </text>
    </comment>
    <comment ref="AL55" authorId="3">
      <text>
        <r>
          <rPr>
            <b/>
            <sz val="8"/>
            <color indexed="81"/>
            <rFont val="Tahoma"/>
            <family val="2"/>
          </rPr>
          <t xml:space="preserve">mm98285:
</t>
        </r>
        <r>
          <rPr>
            <sz val="8"/>
            <color indexed="81"/>
            <rFont val="Tahoma"/>
            <family val="2"/>
          </rPr>
          <t>repo'd 12.374M shares in 2007</t>
        </r>
        <r>
          <rPr>
            <b/>
            <sz val="8"/>
            <color indexed="81"/>
            <rFont val="Tahoma"/>
            <family val="2"/>
          </rPr>
          <t xml:space="preserve">
</t>
        </r>
        <r>
          <rPr>
            <sz val="8"/>
            <color indexed="81"/>
            <rFont val="Tahoma"/>
            <family val="2"/>
          </rPr>
          <t xml:space="preserve">2Q repurchased 661,601 shares for $34.2mm (1H repurchased 1,182,219 shares for $59.197mm), $636mm remains available through Dec 2009
 </t>
        </r>
        <r>
          <rPr>
            <b/>
            <sz val="8"/>
            <color indexed="81"/>
            <rFont val="Tahoma"/>
            <family val="2"/>
          </rPr>
          <t xml:space="preserve">
</t>
        </r>
        <r>
          <rPr>
            <sz val="8"/>
            <color indexed="81"/>
            <rFont val="Tahoma"/>
            <family val="2"/>
          </rPr>
          <t>2006 10K: $695.414mm authroization remains through Dec 2009</t>
        </r>
      </text>
    </comment>
    <comment ref="AN55" authorId="5">
      <text>
        <r>
          <rPr>
            <b/>
            <sz val="8"/>
            <color indexed="81"/>
            <rFont val="Tahoma"/>
            <family val="2"/>
          </rPr>
          <t>mm98285:</t>
        </r>
        <r>
          <rPr>
            <sz val="8"/>
            <color indexed="81"/>
            <rFont val="Tahoma"/>
            <family val="2"/>
          </rPr>
          <t xml:space="preserve">
repo'd 5.375M shares (suspended in 3Q08 to conserve cash)</t>
        </r>
      </text>
    </comment>
    <comment ref="AP55" authorId="5">
      <text>
        <r>
          <rPr>
            <b/>
            <sz val="8"/>
            <color indexed="81"/>
            <rFont val="Tahoma"/>
            <family val="2"/>
          </rPr>
          <t>mm98285:</t>
        </r>
        <r>
          <rPr>
            <sz val="8"/>
            <color indexed="81"/>
            <rFont val="Tahoma"/>
            <family val="2"/>
          </rPr>
          <t xml:space="preserve">
1/09: $402.427M remains thru Jan 2011</t>
        </r>
      </text>
    </comment>
    <comment ref="AR55" authorId="5">
      <text>
        <r>
          <rPr>
            <b/>
            <sz val="8"/>
            <color indexed="81"/>
            <rFont val="Tahoma"/>
            <family val="2"/>
          </rPr>
          <t>mm98285:</t>
        </r>
        <r>
          <rPr>
            <sz val="8"/>
            <color indexed="81"/>
            <rFont val="Tahoma"/>
            <family val="2"/>
          </rPr>
          <t xml:space="preserve">
1/20/2011:  Board approved new $400mm 2 year repo plan, expiring on January 31, 2013. 
1/21/10: TIF announced will resume share repurchase activity (previously suspended since 3Q08). Remains $402M available under current authorized program which expires in January 2011.
</t>
        </r>
      </text>
    </comment>
    <comment ref="AT55" authorId="9">
      <text>
        <r>
          <rPr>
            <b/>
            <sz val="8"/>
            <color indexed="81"/>
            <rFont val="Tahoma"/>
            <family val="2"/>
          </rPr>
          <t>nicholjs:</t>
        </r>
        <r>
          <rPr>
            <sz val="8"/>
            <color indexed="81"/>
            <rFont val="Tahoma"/>
            <family val="2"/>
          </rPr>
          <t xml:space="preserve">
1/20/2011:  Board approved new $400mm 2 year repo plan, expiring on January 31, 2013. </t>
        </r>
      </text>
    </comment>
    <comment ref="AV55" authorId="9">
      <text>
        <r>
          <rPr>
            <b/>
            <sz val="8"/>
            <color indexed="81"/>
            <rFont val="Tahoma"/>
            <family val="2"/>
          </rPr>
          <t>nicholjs:</t>
        </r>
        <r>
          <rPr>
            <sz val="8"/>
            <color indexed="81"/>
            <rFont val="Tahoma"/>
            <family val="2"/>
          </rPr>
          <t xml:space="preserve">
3/20/12: assume no share buybacks based on lower cash on hand at eoy
1/20/2011:  Board approved new $400mm 2 year repo plan, expiring on January 31, 2013. </t>
        </r>
      </text>
    </comment>
    <comment ref="V56" authorId="3">
      <text>
        <r>
          <rPr>
            <b/>
            <sz val="8"/>
            <color indexed="81"/>
            <rFont val="Tahoma"/>
            <family val="2"/>
          </rPr>
          <t>Morry Brown:</t>
        </r>
        <r>
          <rPr>
            <sz val="8"/>
            <color indexed="81"/>
            <rFont val="Tahoma"/>
            <family val="2"/>
          </rPr>
          <t xml:space="preserve">
includes 71.426 from issuance of common stock
</t>
        </r>
      </text>
    </comment>
    <comment ref="Z56" authorId="3">
      <text>
        <r>
          <rPr>
            <b/>
            <sz val="8"/>
            <color indexed="81"/>
            <rFont val="Tahoma"/>
            <family val="2"/>
          </rPr>
          <t>Morry Brown:</t>
        </r>
        <r>
          <rPr>
            <sz val="8"/>
            <color indexed="81"/>
            <rFont val="Tahoma"/>
            <family val="2"/>
          </rPr>
          <t xml:space="preserve">
includes payment on capital lease of 39.485</t>
        </r>
      </text>
    </comment>
    <comment ref="AF56" authorId="3">
      <text>
        <r>
          <rPr>
            <b/>
            <sz val="8"/>
            <color indexed="81"/>
            <rFont val="Tahoma"/>
            <family val="2"/>
          </rPr>
          <t>Morry Brown:</t>
        </r>
        <r>
          <rPr>
            <sz val="8"/>
            <color indexed="81"/>
            <rFont val="Tahoma"/>
            <family val="2"/>
          </rPr>
          <t xml:space="preserve">
includes excess tax benefits from share based payment arrangements</t>
        </r>
      </text>
    </comment>
    <comment ref="AJ57" authorId="5">
      <text>
        <r>
          <rPr>
            <b/>
            <sz val="8"/>
            <color indexed="81"/>
            <rFont val="Tahoma"/>
            <family val="2"/>
          </rPr>
          <t>mm98285:</t>
        </r>
        <r>
          <rPr>
            <sz val="8"/>
            <color indexed="81"/>
            <rFont val="Tahoma"/>
            <family val="2"/>
          </rPr>
          <t xml:space="preserve">
includes CF from discon't ops (-$5.454 operating and -$7.842 investing)</t>
        </r>
      </text>
    </comment>
    <comment ref="AL57" authorId="5">
      <text>
        <r>
          <rPr>
            <b/>
            <sz val="8"/>
            <color indexed="81"/>
            <rFont val="Tahoma"/>
            <family val="2"/>
          </rPr>
          <t>mm98285:</t>
        </r>
        <r>
          <rPr>
            <sz val="8"/>
            <color indexed="81"/>
            <rFont val="Tahoma"/>
            <family val="2"/>
          </rPr>
          <t xml:space="preserve">
includes CF from discon't ops (-$6.596 operating and -$1.020 investing)
Cash Flow from Discontinued Operations:
Operating Activities:
-2.362
Investing Activities:
-21.256</t>
        </r>
      </text>
    </comment>
    <comment ref="AN57" authorId="0">
      <text>
        <r>
          <rPr>
            <b/>
            <sz val="8"/>
            <color indexed="81"/>
            <rFont val="Tahoma"/>
            <family val="2"/>
          </rPr>
          <t xml:space="preserve">lr73192:
</t>
        </r>
        <r>
          <rPr>
            <sz val="8"/>
            <color indexed="81"/>
            <rFont val="Tahoma"/>
            <family val="2"/>
          </rPr>
          <t>Cash Flow from Discontinued Operations:
Operating Activities:</t>
        </r>
        <r>
          <rPr>
            <sz val="8"/>
            <color indexed="81"/>
            <rFont val="Tahoma"/>
            <family val="2"/>
          </rPr>
          <t xml:space="preserve">
-9.046
Investing Activities:
0</t>
        </r>
      </text>
    </comment>
    <comment ref="AP57" authorId="0">
      <text>
        <r>
          <rPr>
            <b/>
            <sz val="8"/>
            <color indexed="81"/>
            <rFont val="Tahoma"/>
            <family val="2"/>
          </rPr>
          <t>lr73192:</t>
        </r>
        <r>
          <rPr>
            <sz val="8"/>
            <color indexed="81"/>
            <rFont val="Tahoma"/>
            <family val="2"/>
          </rPr>
          <t xml:space="preserve">
$4.293 Other; $11.0 Purchase of noncontrolling interests; $6.439 Financing Fees
Cash Flow from Discontinued Operations:
Operating Activities:
-5.887
Investing Activities:
0</t>
        </r>
      </text>
    </comment>
    <comment ref="AH61" authorId="4">
      <text>
        <r>
          <rPr>
            <b/>
            <sz val="8"/>
            <color indexed="81"/>
            <rFont val="Tahoma"/>
            <family val="2"/>
          </rPr>
          <t>lm37689:</t>
        </r>
        <r>
          <rPr>
            <sz val="8"/>
            <color indexed="81"/>
            <rFont val="Tahoma"/>
            <family val="2"/>
          </rPr>
          <t xml:space="preserve">
includes fees and expenses related to new borrowings</t>
        </r>
      </text>
    </comment>
    <comment ref="AR61" authorId="10">
      <text>
        <r>
          <rPr>
            <b/>
            <sz val="8"/>
            <color indexed="81"/>
            <rFont val="Tahoma"/>
            <family val="2"/>
          </rPr>
          <t>kimberlg:</t>
        </r>
        <r>
          <rPr>
            <sz val="8"/>
            <color indexed="81"/>
            <rFont val="Tahoma"/>
            <family val="2"/>
          </rPr>
          <t xml:space="preserve">
goal = 35-40% payout ratio, so grow dividend in line w/ earnings growth thereafter</t>
        </r>
      </text>
    </comment>
  </commentList>
</comments>
</file>

<file path=xl/comments12.xml><?xml version="1.0" encoding="utf-8"?>
<comments xmlns="http://schemas.openxmlformats.org/spreadsheetml/2006/main">
  <authors>
    <author>mm98285</author>
  </authors>
  <commentList>
    <comment ref="AP15" authorId="0">
      <text>
        <r>
          <rPr>
            <b/>
            <sz val="8"/>
            <color indexed="81"/>
            <rFont val="Tahoma"/>
            <family val="2"/>
          </rPr>
          <t>mm98285:</t>
        </r>
        <r>
          <rPr>
            <sz val="8"/>
            <color indexed="81"/>
            <rFont val="Tahoma"/>
            <family val="2"/>
          </rPr>
          <t xml:space="preserve">
paid off $40M of maturing LT debt</t>
        </r>
      </text>
    </comment>
    <comment ref="AN16" authorId="0">
      <text>
        <r>
          <rPr>
            <b/>
            <sz val="8"/>
            <color indexed="81"/>
            <rFont val="Tahoma"/>
            <family val="2"/>
          </rPr>
          <t>mm98285:</t>
        </r>
        <r>
          <rPr>
            <sz val="8"/>
            <color indexed="81"/>
            <rFont val="Tahoma"/>
            <family val="2"/>
          </rPr>
          <t xml:space="preserve">
had $339M outstanding under $450M revovling credit facility</t>
        </r>
      </text>
    </comment>
  </commentList>
</comments>
</file>

<file path=xl/comments13.xml><?xml version="1.0" encoding="utf-8"?>
<comments xmlns="http://schemas.openxmlformats.org/spreadsheetml/2006/main">
  <authors>
    <author>mm98285</author>
    <author>P Kahng</author>
    <author>casselau</author>
    <author>turleamb</author>
    <author>Cassel, Lauren (Research)</author>
    <author>Turley, Amber (Research)</author>
    <author>solejay</author>
    <author>pw64212</author>
  </authors>
  <commentList>
    <comment ref="BW10" authorId="0">
      <text>
        <r>
          <rPr>
            <b/>
            <sz val="8"/>
            <color indexed="81"/>
            <rFont val="Tahoma"/>
            <family val="2"/>
          </rPr>
          <t>mm98285:</t>
        </r>
        <r>
          <rPr>
            <sz val="8"/>
            <color indexed="81"/>
            <rFont val="Tahoma"/>
            <family val="2"/>
          </rPr>
          <t xml:space="preserve">
partly due to increases in raw material and work-in-process inventories for internal jewelry manufacturing. Also nearly 50% of increase due to translation effect of stronger foreign currencies</t>
        </r>
      </text>
    </comment>
    <comment ref="CL10" authorId="1">
      <text>
        <r>
          <rPr>
            <b/>
            <sz val="8"/>
            <color indexed="81"/>
            <rFont val="Tahoma"/>
            <family val="2"/>
          </rPr>
          <t>P Kahng:</t>
        </r>
        <r>
          <rPr>
            <sz val="8"/>
            <color indexed="81"/>
            <rFont val="Tahoma"/>
            <family val="2"/>
          </rPr>
          <t xml:space="preserve">
est was 2169.7</t>
        </r>
      </text>
    </comment>
    <comment ref="CQ10" authorId="2">
      <text>
        <r>
          <rPr>
            <b/>
            <sz val="8"/>
            <color indexed="81"/>
            <rFont val="Tahoma"/>
            <family val="2"/>
          </rPr>
          <t>casselau:</t>
        </r>
        <r>
          <rPr>
            <sz val="8"/>
            <color indexed="81"/>
            <rFont val="Tahoma"/>
            <family val="2"/>
          </rPr>
          <t xml:space="preserve">
5/28/13: a 12% increase in finished goods inventories to support new store openings and expanded product assortments was partly offset by a 5% decline in combined raw material and work-in-process inventories</t>
        </r>
      </text>
    </comment>
    <comment ref="CU10" authorId="3">
      <text>
        <r>
          <rPr>
            <b/>
            <sz val="9"/>
            <color indexed="81"/>
            <rFont val="Tahoma"/>
            <family val="2"/>
          </rPr>
          <t>turleamb:</t>
        </r>
        <r>
          <rPr>
            <sz val="9"/>
            <color indexed="81"/>
            <rFont val="Tahoma"/>
            <family val="2"/>
          </rPr>
          <t xml:space="preserve">
increase to support anticipated sales growth</t>
        </r>
      </text>
    </comment>
    <comment ref="CY10" authorId="3">
      <text>
        <r>
          <rPr>
            <b/>
            <sz val="9"/>
            <color indexed="81"/>
            <rFont val="Tahoma"/>
            <family val="2"/>
          </rPr>
          <t xml:space="preserve">5/27/15: constant currency +2%; </t>
        </r>
        <r>
          <rPr>
            <sz val="9"/>
            <color indexed="81"/>
            <rFont val="Tahoma"/>
            <family val="2"/>
          </rPr>
          <t>decrease includes a small increase in finished goods that was more than offset by a decline in combine draw material and work in progress inventories</t>
        </r>
      </text>
    </comment>
    <comment ref="DC10" authorId="3">
      <text>
        <r>
          <rPr>
            <b/>
            <sz val="9"/>
            <color indexed="81"/>
            <rFont val="Tahoma"/>
            <family val="2"/>
          </rPr>
          <t xml:space="preserve">5/27/15: constant currency +2%; </t>
        </r>
        <r>
          <rPr>
            <sz val="9"/>
            <color indexed="81"/>
            <rFont val="Tahoma"/>
            <family val="2"/>
          </rPr>
          <t>decrease includes a small increase in finished goods that was more than offset by a decline in combine draw material and work in progress inventories</t>
        </r>
      </text>
    </comment>
    <comment ref="DO10" authorId="4">
      <text>
        <r>
          <rPr>
            <b/>
            <sz val="9"/>
            <color indexed="81"/>
            <rFont val="Tahoma"/>
            <family val="2"/>
          </rPr>
          <t>Cassel, Lauren (Research):</t>
        </r>
        <r>
          <rPr>
            <sz val="9"/>
            <color indexed="81"/>
            <rFont val="Tahoma"/>
            <family val="2"/>
          </rPr>
          <t xml:space="preserve">
3/16/18: guidance:  net inventories increasing approximately in line with sales growth</t>
        </r>
      </text>
    </comment>
    <comment ref="BW11" authorId="0">
      <text>
        <r>
          <rPr>
            <b/>
            <sz val="8"/>
            <color indexed="81"/>
            <rFont val="Tahoma"/>
            <family val="2"/>
          </rPr>
          <t>mm98285:</t>
        </r>
        <r>
          <rPr>
            <sz val="8"/>
            <color indexed="81"/>
            <rFont val="Tahoma"/>
            <family val="2"/>
          </rPr>
          <t xml:space="preserve">
increased raw material and work-in-process inventories for manufacturing ops, inventories for new store openings and currency translation (1/5th of increase)</t>
        </r>
      </text>
    </comment>
    <comment ref="CL11" authorId="2">
      <text>
        <r>
          <rPr>
            <b/>
            <sz val="8"/>
            <color indexed="81"/>
            <rFont val="Tahoma"/>
            <family val="2"/>
          </rPr>
          <t>casselau:</t>
        </r>
        <r>
          <rPr>
            <sz val="8"/>
            <color indexed="81"/>
            <rFont val="Tahoma"/>
            <family val="2"/>
          </rPr>
          <t xml:space="preserve">
8/27/12: increase made up of equal growth of both finsihed goods and combined raw material and WIP inventories; reflects higher product acquisition costs, new store openings, growth in rough diamond sourcing and internal manufacturing, and expanded product assortments</t>
        </r>
      </text>
    </comment>
    <comment ref="CQ11" authorId="3">
      <text>
        <r>
          <rPr>
            <b/>
            <sz val="8"/>
            <color indexed="81"/>
            <rFont val="Tahoma"/>
            <family val="2"/>
          </rPr>
          <t>turleamb:</t>
        </r>
        <r>
          <rPr>
            <sz val="8"/>
            <color indexed="81"/>
            <rFont val="Tahoma"/>
            <family val="2"/>
          </rPr>
          <t xml:space="preserve">
8/27/13: Rose 7% on a constant currency basis. Finished goods inventory rose to support new stores and expanded product assortments, while combined raw material and work-in-progress inventories declined slightly from last year</t>
        </r>
      </text>
    </comment>
    <comment ref="CU11" authorId="5">
      <text>
        <r>
          <rPr>
            <b/>
            <sz val="9"/>
            <color indexed="81"/>
            <rFont val="Tahoma"/>
            <family val="2"/>
          </rPr>
          <t>Turley, Amber (Research):</t>
        </r>
        <r>
          <rPr>
            <sz val="9"/>
            <color indexed="81"/>
            <rFont val="Tahoma"/>
            <family val="2"/>
          </rPr>
          <t xml:space="preserve">
8/27/14: higher in support of new product introductions and anticiapted sales growth. Disproportionate increase in raw materials and work in process inventories partly to support the launch of the Tiffany T collection. </t>
        </r>
      </text>
    </comment>
    <comment ref="CY11" authorId="2">
      <text>
        <r>
          <rPr>
            <b/>
            <sz val="9"/>
            <color indexed="81"/>
            <rFont val="Tahoma"/>
            <family val="2"/>
          </rPr>
          <t>casselau:</t>
        </r>
        <r>
          <rPr>
            <sz val="9"/>
            <color indexed="81"/>
            <rFont val="Tahoma"/>
            <family val="2"/>
          </rPr>
          <t xml:space="preserve">
8/27/15: -2% when excluding the translation effect of the strong U.S. dollar, due to reduced inventory purchases. </t>
        </r>
      </text>
    </comment>
    <comment ref="DG11" authorId="4">
      <text>
        <r>
          <rPr>
            <b/>
            <sz val="9"/>
            <color indexed="81"/>
            <rFont val="Tahoma"/>
            <family val="2"/>
          </rPr>
          <t>Cassel, Lauren (Research):</t>
        </r>
        <r>
          <rPr>
            <sz val="9"/>
            <color indexed="81"/>
            <rFont val="Tahoma"/>
            <family val="2"/>
          </rPr>
          <t xml:space="preserve">
8/24/17: primarily due to a reduction in finished goods inventories</t>
        </r>
      </text>
    </comment>
    <comment ref="DO11" authorId="4">
      <text>
        <r>
          <rPr>
            <b/>
            <sz val="9"/>
            <color indexed="81"/>
            <rFont val="Tahoma"/>
            <family val="2"/>
          </rPr>
          <t>Cassel, Lauren (Research):</t>
        </r>
        <r>
          <rPr>
            <sz val="9"/>
            <color indexed="81"/>
            <rFont val="Tahoma"/>
            <family val="2"/>
          </rPr>
          <t xml:space="preserve">
3/16/18: guidance:  net inventories increasing approximately in line with sales growth</t>
        </r>
      </text>
    </comment>
    <comment ref="BW12" authorId="0">
      <text>
        <r>
          <rPr>
            <b/>
            <sz val="8"/>
            <color indexed="81"/>
            <rFont val="Tahoma"/>
            <family val="2"/>
          </rPr>
          <t>mm98285:</t>
        </r>
        <r>
          <rPr>
            <sz val="8"/>
            <color indexed="81"/>
            <rFont val="Tahoma"/>
            <family val="2"/>
          </rPr>
          <t xml:space="preserve">
increased raw material and work-in-process inventories related to diamond sourcing and manufacturing ops, inventories for new stores and the sales shortfall in the latter part of the quarter</t>
        </r>
      </text>
    </comment>
    <comment ref="CI12" authorId="6">
      <text>
        <r>
          <rPr>
            <b/>
            <sz val="8"/>
            <color indexed="81"/>
            <rFont val="Tahoma"/>
            <family val="2"/>
          </rPr>
          <t>solejay:</t>
        </r>
        <r>
          <rPr>
            <sz val="8"/>
            <color indexed="81"/>
            <rFont val="Tahoma"/>
            <family val="2"/>
          </rPr>
          <t xml:space="preserve">
Net inventories at October 31, 2011 were 25% above the prior year. Combined raw material and work-in-process inventories rose 58%, partly reflecting higher product acquisition costs and expanded internal production, while finished goods inventories rose 8%. Overall, higher inventory levels supported sales growth, store openings, product introductions and expanded assortments</t>
        </r>
      </text>
    </comment>
    <comment ref="CQ12" authorId="3">
      <text>
        <r>
          <rPr>
            <b/>
            <sz val="8"/>
            <color indexed="81"/>
            <rFont val="Tahoma"/>
            <family val="2"/>
          </rPr>
          <t>turleamb:</t>
        </r>
        <r>
          <rPr>
            <sz val="8"/>
            <color indexed="81"/>
            <rFont val="Tahoma"/>
            <family val="2"/>
          </rPr>
          <t xml:space="preserve">
11/26/13: +9% CC; +5% in finished goods and +7% in combined raw materials and WIP ivnentories. In CC net inventories would have reached 9%
similar growth in finished goods inventories and combined
raw material and work-in-process inventories, which support new stores, expanded
product assortments, rough diamond sourcing and internal manufacturing
requirements</t>
        </r>
      </text>
    </comment>
    <comment ref="CY12" authorId="2">
      <text>
        <r>
          <rPr>
            <b/>
            <sz val="9"/>
            <color indexed="81"/>
            <rFont val="Tahoma"/>
            <family val="2"/>
          </rPr>
          <t>casselau:</t>
        </r>
        <r>
          <rPr>
            <sz val="9"/>
            <color indexed="81"/>
            <rFont val="Tahoma"/>
            <family val="2"/>
          </rPr>
          <t xml:space="preserve">
11/24/15: excluding the translation effect of the strong US dollar, net inventories -4%</t>
        </r>
      </text>
    </comment>
    <comment ref="DG12" authorId="4">
      <text>
        <r>
          <rPr>
            <b/>
            <sz val="9"/>
            <color indexed="81"/>
            <rFont val="Tahoma"/>
            <family val="2"/>
          </rPr>
          <t>Cassel, Lauren (Research):</t>
        </r>
        <r>
          <rPr>
            <sz val="9"/>
            <color indexed="81"/>
            <rFont val="Tahoma"/>
            <family val="2"/>
          </rPr>
          <t xml:space="preserve">
11/29/17: Simply put, we've increased our internal manufacturing targets over the past couple of months for several key
gold products that have been selling faster than expected which, in turn, has pushed up raw material and working process inventory levels.</t>
        </r>
      </text>
    </comment>
    <comment ref="DO12" authorId="4">
      <text>
        <r>
          <rPr>
            <b/>
            <sz val="9"/>
            <color indexed="81"/>
            <rFont val="Tahoma"/>
            <family val="2"/>
          </rPr>
          <t>Cassel, Lauren (Research):</t>
        </r>
        <r>
          <rPr>
            <sz val="9"/>
            <color indexed="81"/>
            <rFont val="Tahoma"/>
            <family val="2"/>
          </rPr>
          <t xml:space="preserve">
3/16/18: guidance:  net inventories increasing approximately in line with sales growth</t>
        </r>
      </text>
    </comment>
    <comment ref="CA13" authorId="0">
      <text>
        <r>
          <rPr>
            <b/>
            <sz val="8"/>
            <color indexed="81"/>
            <rFont val="Tahoma"/>
            <family val="2"/>
          </rPr>
          <t>mm98285:</t>
        </r>
        <r>
          <rPr>
            <sz val="8"/>
            <color indexed="81"/>
            <rFont val="Tahoma"/>
            <family val="2"/>
          </rPr>
          <t xml:space="preserve">
5/09: expect inventory down single digit in 2009</t>
        </r>
      </text>
    </comment>
    <comment ref="CI13" authorId="6">
      <text>
        <r>
          <rPr>
            <b/>
            <sz val="8"/>
            <color indexed="81"/>
            <rFont val="Tahoma"/>
            <family val="2"/>
          </rPr>
          <t>solejay:</t>
        </r>
        <r>
          <rPr>
            <sz val="8"/>
            <color indexed="81"/>
            <rFont val="Tahoma"/>
            <family val="2"/>
          </rPr>
          <t xml:space="preserve">
Net inventories at October 31, 2011 were 25% above the prior year. Combined raw material and work-in-process inventories rose 58%, partly reflecting higher product acquisition costs and expanded internal production, while finished goods inventories rose 8%. Overall, higher inventory levels supported sales growth, store openings, product introductions and expanded assortments</t>
        </r>
      </text>
    </comment>
    <comment ref="CL13" authorId="2">
      <text>
        <r>
          <rPr>
            <b/>
            <sz val="8"/>
            <color indexed="81"/>
            <rFont val="Tahoma"/>
            <family val="2"/>
          </rPr>
          <t>casselau:</t>
        </r>
        <r>
          <rPr>
            <sz val="8"/>
            <color indexed="81"/>
            <rFont val="Tahoma"/>
            <family val="2"/>
          </rPr>
          <t xml:space="preserve">
3/22/13: 13% groth in finished goods inventory and 2% growth in combined raw materials and WIP, all to support new store openings and expanded product assortment </t>
        </r>
      </text>
    </comment>
    <comment ref="CM13" authorId="6">
      <text>
        <r>
          <rPr>
            <sz val="8"/>
            <color indexed="81"/>
            <rFont val="Tahoma"/>
            <family val="2"/>
          </rPr>
          <t xml:space="preserve">11/19/12: management expects net inventories to increase 10% in the full year </t>
        </r>
      </text>
    </comment>
    <comment ref="CQ13" authorId="3">
      <text>
        <r>
          <rPr>
            <b/>
            <sz val="8"/>
            <color indexed="81"/>
            <rFont val="Tahoma"/>
            <family val="2"/>
          </rPr>
          <t>turleamb:</t>
        </r>
        <r>
          <rPr>
            <sz val="8"/>
            <color indexed="81"/>
            <rFont val="Tahoma"/>
            <family val="2"/>
          </rPr>
          <t xml:space="preserve">
3/21/14:  included a 3% increase in finished goods to support new stores and expanded offerings and a 5% increase in combined raw material and work in process inventories. Ex FX inventories +6%
11/26/13: expect +5%
8/27/13: expect +5%</t>
        </r>
      </text>
    </comment>
    <comment ref="CU13" authorId="3">
      <text>
        <r>
          <rPr>
            <b/>
            <sz val="9"/>
            <color indexed="81"/>
            <rFont val="Tahoma"/>
            <family val="2"/>
          </rPr>
          <t>turleamb:</t>
        </r>
        <r>
          <rPr>
            <sz val="9"/>
            <color indexed="81"/>
            <rFont val="Tahoma"/>
            <family val="2"/>
          </rPr>
          <t xml:space="preserve">
11/25/14: +HSD; keep lwoer than sales growth
8/27/14: reiterated +6% 
5/20/14: reiterated ~+6% net inventories
3/21/14: guided 2014 6% increase in net inventories</t>
        </r>
      </text>
    </comment>
    <comment ref="CY13" authorId="2">
      <text>
        <r>
          <rPr>
            <b/>
            <sz val="9"/>
            <color indexed="81"/>
            <rFont val="Tahoma"/>
            <family val="2"/>
          </rPr>
          <t>casselau:</t>
        </r>
        <r>
          <rPr>
            <sz val="9"/>
            <color indexed="81"/>
            <rFont val="Tahoma"/>
            <family val="2"/>
          </rPr>
          <t xml:space="preserve">
3/18/16: includes a 2% benefit from the translation effect of the strong U.S. dollar; Raw materials and work in process inventories declined 4% and finished goods inventories declined 7%, reflecting more efficient inventory
management.</t>
        </r>
      </text>
    </comment>
    <comment ref="DC13" authorId="4">
      <text>
        <r>
          <rPr>
            <b/>
            <sz val="9"/>
            <color indexed="81"/>
            <rFont val="Tahoma"/>
            <family val="2"/>
          </rPr>
          <t>Cassel, Lauren (Research):</t>
        </r>
        <r>
          <rPr>
            <sz val="9"/>
            <color indexed="81"/>
            <rFont val="Tahoma"/>
            <family val="2"/>
          </rPr>
          <t xml:space="preserve">
5/25/16: planning inventories flat y/y for full year</t>
        </r>
      </text>
    </comment>
    <comment ref="DG13" authorId="4">
      <text>
        <r>
          <rPr>
            <b/>
            <sz val="9"/>
            <color indexed="81"/>
            <rFont val="Tahoma"/>
            <family val="2"/>
          </rPr>
          <t>Cassel, Lauren (Research):
3/16/18: consistent with full year sales growth. The majority of the increase was attributed to currency translation. 
1/17/18: net inventories increasing at approximately the same rate as sales growth</t>
        </r>
        <r>
          <rPr>
            <sz val="9"/>
            <color indexed="81"/>
            <rFont val="Tahoma"/>
            <family val="2"/>
          </rPr>
          <t xml:space="preserve">
3/17/17: guidance: net inventories unchanged y/y </t>
        </r>
      </text>
    </comment>
    <comment ref="DO13" authorId="4">
      <text>
        <r>
          <rPr>
            <b/>
            <sz val="9"/>
            <color indexed="81"/>
            <rFont val="Tahoma"/>
            <family val="2"/>
          </rPr>
          <t>Cassel, Lauren (Research):</t>
        </r>
        <r>
          <rPr>
            <sz val="9"/>
            <color indexed="81"/>
            <rFont val="Tahoma"/>
            <family val="2"/>
          </rPr>
          <t xml:space="preserve">
3/16/18: guidance:  net inventories increasing approximately in line with sales growth</t>
        </r>
      </text>
    </comment>
    <comment ref="BN16" authorId="7">
      <text>
        <r>
          <rPr>
            <b/>
            <sz val="8"/>
            <color indexed="81"/>
            <rFont val="Tahoma"/>
            <family val="2"/>
          </rPr>
          <t>pw64212:</t>
        </r>
        <r>
          <rPr>
            <sz val="8"/>
            <color indexed="81"/>
            <rFont val="Tahoma"/>
            <family val="2"/>
          </rPr>
          <t xml:space="preserve">
acct. rec</t>
        </r>
      </text>
    </comment>
    <comment ref="DF16" authorId="4">
      <text>
        <r>
          <rPr>
            <b/>
            <sz val="9"/>
            <color indexed="81"/>
            <rFont val="Tahoma"/>
            <family val="2"/>
          </rPr>
          <t>Cassel, Lauren (Research):</t>
        </r>
        <r>
          <rPr>
            <sz val="9"/>
            <color indexed="81"/>
            <rFont val="Tahoma"/>
            <family val="2"/>
          </rPr>
          <t xml:space="preserve">
About 1/3 of our
receivables are related to our in-house customer financing offerings, while the majority of our accounts receivable balances are related to other
third parties such as credit card companies, department store operators and wholesale customers.</t>
        </r>
      </text>
    </comment>
    <comment ref="CL17" authorId="2">
      <text>
        <r>
          <rPr>
            <b/>
            <sz val="8"/>
            <color indexed="81"/>
            <rFont val="Tahoma"/>
            <family val="2"/>
          </rPr>
          <t>casselau:</t>
        </r>
        <r>
          <rPr>
            <sz val="8"/>
            <color indexed="81"/>
            <rFont val="Tahoma"/>
            <family val="2"/>
          </rPr>
          <t xml:space="preserve">
8/27/12: turnover 18x</t>
        </r>
      </text>
    </comment>
    <comment ref="DC17" authorId="4">
      <text>
        <r>
          <rPr>
            <b/>
            <sz val="9"/>
            <color indexed="81"/>
            <rFont val="Tahoma"/>
            <family val="2"/>
          </rPr>
          <t>Cassel, Lauren (Research):</t>
        </r>
        <r>
          <rPr>
            <sz val="9"/>
            <color indexed="81"/>
            <rFont val="Tahoma"/>
            <family val="2"/>
          </rPr>
          <t xml:space="preserve">
increase due to timing of third party credit card collections when the quarter ends on a weekend; small increase related to timing of sales in wholesale; also due to increase to use of TIF credit card/credit program; offering interest free financing on big purchases </t>
        </r>
      </text>
    </comment>
    <comment ref="CY19" authorId="2">
      <text>
        <r>
          <rPr>
            <b/>
            <sz val="9"/>
            <color indexed="81"/>
            <rFont val="Tahoma"/>
            <family val="2"/>
          </rPr>
          <t>casselau:</t>
        </r>
        <r>
          <rPr>
            <sz val="9"/>
            <color indexed="81"/>
            <rFont val="Tahoma"/>
            <family val="2"/>
          </rPr>
          <t xml:space="preserve">
3/18/16: Accounts receivable of $206 million was 6% higher than a year ago, largely reflecting in-house credit tied to strong sales of statement jewelry but the receivable turnover remained at a very high 21 times per year.</t>
        </r>
      </text>
    </comment>
    <comment ref="BN22" authorId="7">
      <text>
        <r>
          <rPr>
            <b/>
            <sz val="8"/>
            <color indexed="81"/>
            <rFont val="Tahoma"/>
            <family val="2"/>
          </rPr>
          <t>pw64212:</t>
        </r>
        <r>
          <rPr>
            <sz val="8"/>
            <color indexed="81"/>
            <rFont val="Tahoma"/>
            <family val="2"/>
          </rPr>
          <t xml:space="preserve">
def.inc. tax+ prepaid exp.</t>
        </r>
      </text>
    </comment>
    <comment ref="CT22" authorId="4">
      <text>
        <r>
          <rPr>
            <b/>
            <sz val="9"/>
            <color indexed="81"/>
            <rFont val="Tahoma"/>
            <family val="2"/>
          </rPr>
          <t>Cassel, Lauren (Research):</t>
        </r>
        <r>
          <rPr>
            <sz val="9"/>
            <color indexed="81"/>
            <rFont val="Tahoma"/>
            <family val="2"/>
          </rPr>
          <t xml:space="preserve">
removed deferred income taxes</t>
        </r>
      </text>
    </comment>
    <comment ref="CT23" authorId="4">
      <text>
        <r>
          <rPr>
            <b/>
            <sz val="9"/>
            <color indexed="81"/>
            <rFont val="Tahoma"/>
            <family val="2"/>
          </rPr>
          <t>Cassel, Lauren (Research):</t>
        </r>
        <r>
          <rPr>
            <sz val="9"/>
            <color indexed="81"/>
            <rFont val="Tahoma"/>
            <family val="2"/>
          </rPr>
          <t xml:space="preserve">
removed deferred income taxes</t>
        </r>
      </text>
    </comment>
    <comment ref="CT24" authorId="4">
      <text>
        <r>
          <rPr>
            <b/>
            <sz val="9"/>
            <color indexed="81"/>
            <rFont val="Tahoma"/>
            <family val="2"/>
          </rPr>
          <t>Cassel, Lauren (Research):</t>
        </r>
        <r>
          <rPr>
            <sz val="9"/>
            <color indexed="81"/>
            <rFont val="Tahoma"/>
            <family val="2"/>
          </rPr>
          <t xml:space="preserve">
removed deferred income taxes</t>
        </r>
      </text>
    </comment>
    <comment ref="CT25" authorId="4">
      <text>
        <r>
          <rPr>
            <b/>
            <sz val="9"/>
            <color indexed="81"/>
            <rFont val="Tahoma"/>
            <family val="2"/>
          </rPr>
          <t>Cassel, Lauren (Research):</t>
        </r>
        <r>
          <rPr>
            <sz val="9"/>
            <color indexed="81"/>
            <rFont val="Tahoma"/>
            <family val="2"/>
          </rPr>
          <t xml:space="preserve">
removed deferred income taxes</t>
        </r>
      </text>
    </comment>
    <comment ref="DG31" authorId="4">
      <text>
        <r>
          <rPr>
            <b/>
            <sz val="9"/>
            <color indexed="81"/>
            <rFont val="Tahoma"/>
            <family val="2"/>
          </rPr>
          <t>Cassel, Lauren (Research):</t>
        </r>
        <r>
          <rPr>
            <sz val="9"/>
            <color indexed="81"/>
            <rFont val="Tahoma"/>
            <family val="2"/>
          </rPr>
          <t xml:space="preserve">
3/16/18: an increase in accounts payable was partly tied to more effective
management of payables but also to the timing of inventory purchases in the fourth quarter</t>
        </r>
      </text>
    </comment>
    <comment ref="BN34" authorId="7">
      <text>
        <r>
          <rPr>
            <b/>
            <sz val="8"/>
            <color indexed="81"/>
            <rFont val="Tahoma"/>
            <family val="2"/>
          </rPr>
          <t>pw64212:</t>
        </r>
        <r>
          <rPr>
            <sz val="8"/>
            <color indexed="81"/>
            <rFont val="Tahoma"/>
            <family val="2"/>
          </rPr>
          <t xml:space="preserve">
income tax payable + merchandise and other customer credits</t>
        </r>
      </text>
    </comment>
  </commentList>
</comments>
</file>

<file path=xl/comments14.xml><?xml version="1.0" encoding="utf-8"?>
<comments xmlns="http://schemas.openxmlformats.org/spreadsheetml/2006/main">
  <authors>
    <author>Melissa Sefl</author>
    <author>Morry Brown</author>
    <author>mm98285</author>
    <author>ns66486</author>
    <author>nicholjs</author>
    <author>solejay</author>
    <author>P Kahng</author>
    <author>kahng</author>
    <author>casselau</author>
    <author>Cassel, Lauren (Research)</author>
  </authors>
  <commentList>
    <comment ref="AF111" authorId="0">
      <text>
        <r>
          <rPr>
            <sz val="8"/>
            <color indexed="81"/>
            <rFont val="Tahoma"/>
            <family val="2"/>
          </rPr>
          <t xml:space="preserve">11/4 Co. said total consolidated inventories up 15% and in-store inventories flat on per store basis. </t>
        </r>
      </text>
    </comment>
    <comment ref="AF133" authorId="1">
      <text>
        <r>
          <rPr>
            <b/>
            <sz val="8"/>
            <color indexed="81"/>
            <rFont val="Tahoma"/>
            <family val="2"/>
          </rPr>
          <t>Morry Brown:</t>
        </r>
        <r>
          <rPr>
            <sz val="8"/>
            <color indexed="81"/>
            <rFont val="Tahoma"/>
            <family val="2"/>
          </rPr>
          <t xml:space="preserve">
Per 1Q release, expect inventories to increase MSD at year end</t>
        </r>
      </text>
    </comment>
    <comment ref="AF144" authorId="2">
      <text>
        <r>
          <rPr>
            <b/>
            <sz val="8"/>
            <color indexed="81"/>
            <rFont val="Tahoma"/>
            <family val="2"/>
          </rPr>
          <t>mm98285:</t>
        </r>
        <r>
          <rPr>
            <sz val="8"/>
            <color indexed="81"/>
            <rFont val="Tahoma"/>
            <family val="2"/>
          </rPr>
          <t xml:space="preserve">
expect single digit declines in inventory in 2009</t>
        </r>
      </text>
    </comment>
    <comment ref="AF154" authorId="3">
      <text>
        <r>
          <rPr>
            <b/>
            <sz val="8"/>
            <color indexed="81"/>
            <rFont val="Tahoma"/>
            <family val="2"/>
          </rPr>
          <t>ns66486:</t>
        </r>
        <r>
          <rPr>
            <sz val="8"/>
            <color indexed="81"/>
            <rFont val="Tahoma"/>
            <family val="2"/>
          </rPr>
          <t xml:space="preserve">
11/10: expect +LDD increase in net inventories (not psf)
8/10: expect +HSD increase in net inventories (not psf)
5/10: expect +HSD increase in net inventories (not psf)</t>
        </r>
      </text>
    </comment>
    <comment ref="AF158" authorId="4">
      <text>
        <r>
          <rPr>
            <b/>
            <sz val="8"/>
            <color indexed="81"/>
            <rFont val="Tahoma"/>
            <family val="2"/>
          </rPr>
          <t>nicholjs:</t>
        </r>
        <r>
          <rPr>
            <sz val="8"/>
            <color indexed="81"/>
            <rFont val="Tahoma"/>
            <family val="2"/>
          </rPr>
          <t xml:space="preserve">
finished goods +5%
combined raw material and work-in-process +7%
1/4 of increased resulted from the effect of translating strong foreign currencies into US dollars</t>
        </r>
      </text>
    </comment>
    <comment ref="AF159" authorId="4">
      <text>
        <r>
          <rPr>
            <b/>
            <sz val="8"/>
            <color indexed="81"/>
            <rFont val="Tahoma"/>
            <family val="2"/>
          </rPr>
          <t>nicholjs:</t>
        </r>
        <r>
          <rPr>
            <sz val="8"/>
            <color indexed="81"/>
            <rFont val="Tahoma"/>
            <family val="2"/>
          </rPr>
          <t xml:space="preserve">
in total dollars:
finished goods +6%
raw materials +40%
work in process +37%</t>
        </r>
      </text>
    </comment>
    <comment ref="AF160" authorId="4">
      <text>
        <r>
          <rPr>
            <sz val="8"/>
            <color indexed="81"/>
            <rFont val="Tahoma"/>
            <family val="2"/>
          </rPr>
          <t>in total dollars:
finished goods +8%
raw materials and work in process +50%
"The increase also reflected significantly higher production acquisition and raw material costs.
Part of the increase as we forecasted at the beginning of 2011 have been to expand our statement jewelry assortments and key markets to create additional sales opportunities. We have been purchasing greater amounts of rough diamonds in support of sales growth and to secure supply for its day expanding internal production.
I should add that a couple percentage points of the inventory increase resulted from translation effect of stronger currency's versus the U.S. dollar.
We expect the inventories that you're into increased 15% of the prior year end"</t>
        </r>
      </text>
    </comment>
    <comment ref="N161" authorId="5">
      <text>
        <r>
          <rPr>
            <b/>
            <sz val="8"/>
            <color indexed="81"/>
            <rFont val="Tahoma"/>
            <family val="2"/>
          </rPr>
          <t xml:space="preserve">3/20/12 pk: </t>
        </r>
        <r>
          <rPr>
            <sz val="8"/>
            <color indexed="81"/>
            <rFont val="Tahoma"/>
            <family val="2"/>
          </rPr>
          <t>finished goods up16%. High er prod acq costs, new stores and product launches. Expanded product assortment in statement jewelry.</t>
        </r>
        <r>
          <rPr>
            <b/>
            <sz val="8"/>
            <color indexed="81"/>
            <rFont val="Tahoma"/>
            <family val="2"/>
          </rPr>
          <t xml:space="preserve">
</t>
        </r>
        <r>
          <rPr>
            <sz val="8"/>
            <color indexed="81"/>
            <rFont val="Tahoma"/>
            <family val="2"/>
          </rPr>
          <t>11/2011 js:  expect net inventories increasing at least 15%</t>
        </r>
      </text>
    </comment>
    <comment ref="AF166" authorId="6">
      <text>
        <r>
          <rPr>
            <b/>
            <sz val="8"/>
            <color indexed="81"/>
            <rFont val="Tahoma"/>
            <family val="2"/>
          </rPr>
          <t>P Kahng:</t>
        </r>
        <r>
          <rPr>
            <sz val="8"/>
            <color indexed="81"/>
            <rFont val="Tahoma"/>
            <family val="2"/>
          </rPr>
          <t xml:space="preserve">
Was 19%</t>
        </r>
      </text>
    </comment>
    <comment ref="AF167" authorId="6">
      <text>
        <r>
          <rPr>
            <b/>
            <sz val="8"/>
            <color indexed="81"/>
            <rFont val="Tahoma"/>
            <family val="2"/>
          </rPr>
          <t xml:space="preserve">11/29/12: </t>
        </r>
        <r>
          <rPr>
            <sz val="8"/>
            <color indexed="81"/>
            <rFont val="Tahoma"/>
            <family val="2"/>
          </rPr>
          <t xml:space="preserve">Net inventories were $2.3 billion at October 31, 2012, or 11% higher than a year ago, primarily due to growth in finished goods inventory. This primarily reflected new store openings, expanded product assortments and higher product acquisition costs. 
</t>
        </r>
      </text>
    </comment>
    <comment ref="N168" authorId="7">
      <text>
        <r>
          <rPr>
            <b/>
            <sz val="8"/>
            <color indexed="81"/>
            <rFont val="Tahoma"/>
            <family val="2"/>
          </rPr>
          <t xml:space="preserve">5/24/12: </t>
        </r>
        <r>
          <rPr>
            <sz val="8"/>
            <color indexed="81"/>
            <rFont val="Tahoma"/>
            <family val="2"/>
          </rPr>
          <t>1Q: Net inventories increasing 10% vs previous expectation of 15%</t>
        </r>
        <r>
          <rPr>
            <b/>
            <sz val="8"/>
            <color indexed="81"/>
            <rFont val="Tahoma"/>
            <family val="2"/>
          </rPr>
          <t xml:space="preserve">
3/20/12 pk: </t>
        </r>
        <r>
          <rPr>
            <sz val="8"/>
            <color indexed="81"/>
            <rFont val="Tahoma"/>
            <family val="2"/>
          </rPr>
          <t>for 2012, planning for 15% increase in inventory y/y for new stores, porduct launches, expanded product assortment and vertical integration of diamond supply chain. Also meaningful increase of statement jewelry pieces to support the 175th Anniversary celebration voer 2012/2013 timeframe</t>
        </r>
      </text>
    </comment>
    <comment ref="AF168" authorId="7">
      <text>
        <r>
          <rPr>
            <b/>
            <sz val="8"/>
            <color indexed="81"/>
            <rFont val="Tahoma"/>
            <family val="2"/>
          </rPr>
          <t xml:space="preserve">5/24/12: </t>
        </r>
        <r>
          <rPr>
            <sz val="8"/>
            <color indexed="81"/>
            <rFont val="Tahoma"/>
            <family val="2"/>
          </rPr>
          <t>Was 6.8%</t>
        </r>
        <r>
          <rPr>
            <b/>
            <sz val="8"/>
            <color indexed="81"/>
            <rFont val="Tahoma"/>
            <family val="2"/>
          </rPr>
          <t xml:space="preserve">
3/21/12 pk: </t>
        </r>
        <r>
          <rPr>
            <sz val="8"/>
            <color indexed="81"/>
            <rFont val="Tahoma"/>
            <family val="2"/>
          </rPr>
          <t>targeting 10% by year end</t>
        </r>
      </text>
    </comment>
    <comment ref="N175" authorId="7">
      <text>
        <r>
          <rPr>
            <b/>
            <sz val="8"/>
            <color indexed="81"/>
            <rFont val="Tahoma"/>
            <family val="2"/>
          </rPr>
          <t xml:space="preserve">3/22/13: expect net inventories to increase 5%
3/20/12 pk: </t>
        </r>
        <r>
          <rPr>
            <sz val="8"/>
            <color indexed="81"/>
            <rFont val="Tahoma"/>
            <family val="2"/>
          </rPr>
          <t>for 2012, planning for 15% increase in inventory y/y for new stores, porduct launches, expanded product assortment and vertical integration of diamond supply chain. Also meaningful increase of statement jewelry pieces to support the 175th Anniversary celebration voer 2012/2013 timeframe</t>
        </r>
      </text>
    </comment>
    <comment ref="N182" authorId="7">
      <text>
        <r>
          <rPr>
            <b/>
            <sz val="8"/>
            <color indexed="81"/>
            <rFont val="Tahoma"/>
            <family val="2"/>
          </rPr>
          <t xml:space="preserve">4/1/14: expect 6% increase in net inventories
</t>
        </r>
      </text>
    </comment>
    <comment ref="H196" authorId="8">
      <text>
        <r>
          <rPr>
            <b/>
            <sz val="9"/>
            <color indexed="81"/>
            <rFont val="Tahoma"/>
            <family val="2"/>
          </rPr>
          <t>casselau:</t>
        </r>
        <r>
          <rPr>
            <sz val="9"/>
            <color indexed="81"/>
            <rFont val="Tahoma"/>
            <family val="2"/>
          </rPr>
          <t xml:space="preserve">
3/18/16: expect net inventories unchanged from the prior year</t>
        </r>
      </text>
    </comment>
    <comment ref="H203" authorId="9">
      <text>
        <r>
          <rPr>
            <b/>
            <sz val="9"/>
            <color indexed="81"/>
            <rFont val="Tahoma"/>
            <family val="2"/>
          </rPr>
          <t>Cassel, Lauren (Research):</t>
        </r>
        <r>
          <rPr>
            <sz val="9"/>
            <color indexed="81"/>
            <rFont val="Tahoma"/>
            <family val="2"/>
          </rPr>
          <t xml:space="preserve">
3/17/17: guidance: net inventories unchanged y/y </t>
        </r>
      </text>
    </comment>
    <comment ref="AF203" authorId="9">
      <text>
        <r>
          <rPr>
            <b/>
            <sz val="9"/>
            <color indexed="81"/>
            <rFont val="Tahoma"/>
            <family val="2"/>
          </rPr>
          <t>Cassel, Lauren (Research):
11/29/17: now expect inventory to grow in line with sales</t>
        </r>
        <r>
          <rPr>
            <sz val="9"/>
            <color indexed="81"/>
            <rFont val="Tahoma"/>
            <family val="2"/>
          </rPr>
          <t xml:space="preserve">
3/17/17: guidance: net inventories unchanged y/y </t>
        </r>
      </text>
    </comment>
    <comment ref="AF207" authorId="9">
      <text>
        <r>
          <rPr>
            <b/>
            <sz val="9"/>
            <color indexed="81"/>
            <rFont val="Tahoma"/>
            <family val="2"/>
          </rPr>
          <t>Cassel, Lauren (Research):</t>
        </r>
        <r>
          <rPr>
            <sz val="9"/>
            <color indexed="81"/>
            <rFont val="Tahoma"/>
            <family val="2"/>
          </rPr>
          <t xml:space="preserve">
3/16/18: guidance:  net inventories increasing approximately in line with sales growth</t>
        </r>
      </text>
    </comment>
    <comment ref="AF208" authorId="9">
      <text>
        <r>
          <rPr>
            <b/>
            <sz val="9"/>
            <color indexed="81"/>
            <rFont val="Tahoma"/>
            <family val="2"/>
          </rPr>
          <t>Cassel, Lauren (Research):</t>
        </r>
        <r>
          <rPr>
            <sz val="9"/>
            <color indexed="81"/>
            <rFont val="Tahoma"/>
            <family val="2"/>
          </rPr>
          <t xml:space="preserve">
3/16/18: guidance:  net inventories increasing approximately in line with sales growth</t>
        </r>
      </text>
    </comment>
    <comment ref="AF209" authorId="9">
      <text>
        <r>
          <rPr>
            <b/>
            <sz val="9"/>
            <color indexed="81"/>
            <rFont val="Tahoma"/>
            <family val="2"/>
          </rPr>
          <t>Cassel, Lauren (Research):</t>
        </r>
        <r>
          <rPr>
            <sz val="9"/>
            <color indexed="81"/>
            <rFont val="Tahoma"/>
            <family val="2"/>
          </rPr>
          <t xml:space="preserve">
3/16/18: guidance:  net inventories increasing approximately in line with sales growth</t>
        </r>
      </text>
    </comment>
    <comment ref="AF210" authorId="9">
      <text>
        <r>
          <rPr>
            <b/>
            <sz val="9"/>
            <color indexed="81"/>
            <rFont val="Tahoma"/>
            <family val="2"/>
          </rPr>
          <t>Cassel, Lauren (Research):</t>
        </r>
        <r>
          <rPr>
            <sz val="9"/>
            <color indexed="81"/>
            <rFont val="Tahoma"/>
            <family val="2"/>
          </rPr>
          <t xml:space="preserve">
3/16/18: guidance:  net inventories increasing approximately in line with sales growth</t>
        </r>
      </text>
    </comment>
  </commentList>
</comments>
</file>

<file path=xl/comments15.xml><?xml version="1.0" encoding="utf-8"?>
<comments xmlns="http://schemas.openxmlformats.org/spreadsheetml/2006/main">
  <authors>
    <author>soumyajd</author>
    <author>John Mark Warren</author>
    <author>Leon Michaelides</author>
    <author>jccastro</author>
  </authors>
  <commentList>
    <comment ref="I3" authorId="0">
      <text>
        <r>
          <rPr>
            <b/>
            <sz val="8"/>
            <color indexed="81"/>
            <rFont val="Tahoma"/>
            <family val="2"/>
          </rPr>
          <t>Input MW ticker</t>
        </r>
        <r>
          <rPr>
            <sz val="8"/>
            <color indexed="81"/>
            <rFont val="Tahoma"/>
            <family val="2"/>
          </rPr>
          <t xml:space="preserve">
</t>
        </r>
      </text>
    </comment>
    <comment ref="C31" authorId="1">
      <text>
        <r>
          <rPr>
            <sz val="8"/>
            <color indexed="81"/>
            <rFont val="Tahoma"/>
            <family val="2"/>
          </rPr>
          <t xml:space="preserve">The repayment is equal to the rent expense because the rent expense can be thought of as a payment of interest and principal  to the owner (lessor) of the asset.
</t>
        </r>
      </text>
    </comment>
    <comment ref="G35"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C44" authorId="2">
      <text>
        <r>
          <rPr>
            <sz val="8"/>
            <color indexed="81"/>
            <rFont val="Tahoma"/>
            <family val="2"/>
          </rPr>
          <t>This rate is supposed to represent the average borrowing rate of the lease portfolio. If the company does not disclose this rate, you can use the regular borrowing rate of the company or the rate of capital leases, if exists.</t>
        </r>
      </text>
    </comment>
    <comment ref="C45" authorId="0">
      <text>
        <r>
          <rPr>
            <sz val="8"/>
            <color indexed="81"/>
            <rFont val="Tahoma"/>
            <family val="2"/>
          </rPr>
          <t>This rate is supposed to represent the cost of new leases which is equivalent to new debt, if not disclosed, use your forecasted interest rate on new debt for the company.</t>
        </r>
      </text>
    </comment>
    <comment ref="C58" authorId="0">
      <text>
        <r>
          <rPr>
            <sz val="8"/>
            <color indexed="81"/>
            <rFont val="Tahoma"/>
            <family val="2"/>
          </rPr>
          <t>You can break down your lease capex into maintenance and growth, if you don't know the breakdown you can assume all capex is maintenance.</t>
        </r>
      </text>
    </comment>
    <comment ref="C64" authorId="0">
      <text>
        <r>
          <rPr>
            <sz val="8"/>
            <color indexed="81"/>
            <rFont val="Tahoma"/>
            <family val="2"/>
          </rPr>
          <t>This is the main driver of the model. It is supposed to represent the growth rate on the rent expense and is used for growing all future payments.  When thinking about this rate, make sure it makes sense in relation to your units and/or your total operating expenses.</t>
        </r>
      </text>
    </comment>
    <comment ref="C66" authorId="2">
      <text>
        <r>
          <rPr>
            <sz val="8"/>
            <color indexed="81"/>
            <rFont val="Tahoma"/>
            <family val="2"/>
          </rPr>
          <t xml:space="preserve">This should only include non-cancelable leases
</t>
        </r>
      </text>
    </comment>
    <comment ref="C70" authorId="0">
      <text>
        <r>
          <rPr>
            <sz val="8"/>
            <color indexed="81"/>
            <rFont val="Tahoma"/>
            <family val="2"/>
          </rPr>
          <t>This is used for calculating the rate of depreciation for the assets added due to the leases.</t>
        </r>
      </text>
    </comment>
    <comment ref="C71" authorId="0">
      <text>
        <r>
          <rPr>
            <sz val="8"/>
            <color indexed="81"/>
            <rFont val="Tahoma"/>
            <family val="2"/>
          </rPr>
          <t>If you don't know what this is, one good approach is to calculate it taking the cumulative payments after year 5 (line 68) and dividing it by the payment in year 5 (line 81).
This row is used to distribute the remaining payments (line 68) over what is left of the lease life (starting in line 82).</t>
        </r>
      </text>
    </comment>
    <comment ref="H112" authorId="3">
      <text>
        <r>
          <rPr>
            <sz val="8"/>
            <color indexed="81"/>
            <rFont val="Tahoma"/>
            <family val="2"/>
          </rPr>
          <t xml:space="preserve">Sum of all future NPV's = </t>
        </r>
        <r>
          <rPr>
            <u/>
            <sz val="8"/>
            <color indexed="81"/>
            <rFont val="Tahoma"/>
            <family val="2"/>
          </rPr>
          <t>Initial</t>
        </r>
        <r>
          <rPr>
            <sz val="8"/>
            <color indexed="81"/>
            <rFont val="Tahoma"/>
            <family val="2"/>
          </rPr>
          <t xml:space="preserve"> debt balance</t>
        </r>
        <r>
          <rPr>
            <sz val="8"/>
            <color indexed="81"/>
            <rFont val="Tahoma"/>
            <family val="2"/>
          </rPr>
          <t xml:space="preserve">
</t>
        </r>
      </text>
    </comment>
    <comment ref="I112" authorId="3">
      <text>
        <r>
          <rPr>
            <sz val="8"/>
            <color indexed="81"/>
            <rFont val="Tahoma"/>
            <family val="2"/>
          </rPr>
          <t xml:space="preserve">Starting with this column (and all columns to the right) this calculates the </t>
        </r>
        <r>
          <rPr>
            <u/>
            <sz val="8"/>
            <color indexed="81"/>
            <rFont val="Tahoma"/>
            <family val="2"/>
          </rPr>
          <t>'additional'</t>
        </r>
        <r>
          <rPr>
            <sz val="8"/>
            <color indexed="81"/>
            <rFont val="Tahoma"/>
            <family val="2"/>
          </rPr>
          <t xml:space="preserve"> NPV value created through leases. What the formula does is compare what you thought you were going to pay last year, with what you really paid. It adjusts the period over period difference and then calculates the NPV of this difference.</t>
        </r>
        <r>
          <rPr>
            <sz val="8"/>
            <color indexed="81"/>
            <rFont val="Tahoma"/>
            <family val="2"/>
          </rPr>
          <t xml:space="preserve">
</t>
        </r>
      </text>
    </comment>
    <comment ref="H150" authorId="2">
      <text>
        <r>
          <rPr>
            <sz val="8"/>
            <color indexed="81"/>
            <rFont val="Tahoma"/>
            <family val="2"/>
          </rPr>
          <t xml:space="preserve">Input estimated percentage of leased assets that would not be depreciated (i.e. land).  This will be excluded from the calculation of your depreciation in the waterfall schedule.  It is assumed that the same portion applies to all years.
</t>
        </r>
      </text>
    </comment>
    <comment ref="H151" authorId="2">
      <text>
        <r>
          <rPr>
            <sz val="8"/>
            <color indexed="81"/>
            <rFont val="Tahoma"/>
            <family val="2"/>
          </rPr>
          <t xml:space="preserve">Factor to apply to smooth depreciation of the take on carrying value of leased assets.  This is used to depreciate them on a reducing balance method to simulate a portfolio where leases would roll off over time. </t>
        </r>
      </text>
    </comment>
    <comment ref="H152"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H153" authorId="3">
      <text>
        <r>
          <rPr>
            <sz val="8"/>
            <color indexed="81"/>
            <rFont val="Tahoma"/>
            <family val="2"/>
          </rPr>
          <t>Original value of the asset recognized in the BS , excluding the portion that would not be depreciable</t>
        </r>
      </text>
    </comment>
    <comment ref="I153" authorId="3">
      <text>
        <r>
          <rPr>
            <sz val="8"/>
            <color indexed="81"/>
            <rFont val="Tahoma"/>
            <family val="2"/>
          </rPr>
          <t>total additions, except for the portion considered to be non-depreciable</t>
        </r>
      </text>
    </comment>
    <comment ref="H154" authorId="3">
      <text>
        <r>
          <rPr>
            <sz val="8"/>
            <color indexed="81"/>
            <rFont val="Tahoma"/>
            <family val="2"/>
          </rPr>
          <t>The original depreciation value is the total value of the asset divided by the total life. The total value of the asset will be affected by the multiple in cell C152. For example, if we assume we are at the mid-point of the lease life, then the multiple would be 2, which means we would multiply the asset by this factor to get to the original "book value" of the asset</t>
        </r>
        <r>
          <rPr>
            <sz val="8"/>
            <color indexed="81"/>
            <rFont val="Tahoma"/>
            <family val="2"/>
          </rPr>
          <t xml:space="preserve">
</t>
        </r>
      </text>
    </comment>
    <comment ref="I155" authorId="3">
      <text>
        <r>
          <rPr>
            <sz val="8"/>
            <color indexed="81"/>
            <rFont val="Tahoma"/>
            <family val="2"/>
          </rPr>
          <t>Depreciation of the additions, excluding the portion that is non depreciable</t>
        </r>
        <r>
          <rPr>
            <sz val="8"/>
            <color indexed="81"/>
            <rFont val="Tahoma"/>
            <family val="2"/>
          </rPr>
          <t xml:space="preserve">
</t>
        </r>
      </text>
    </comment>
  </commentList>
</comments>
</file>

<file path=xl/sharedStrings.xml><?xml version="1.0" encoding="utf-8"?>
<sst xmlns="http://schemas.openxmlformats.org/spreadsheetml/2006/main" count="7847" uniqueCount="3471">
  <si>
    <t>*Estimate based on growth rate (excludes internet/catalog)</t>
  </si>
  <si>
    <t>Share-based compensation expense</t>
  </si>
  <si>
    <t>1,381.04579593147</t>
  </si>
  <si>
    <t>5.45356904821739</t>
  </si>
  <si>
    <t>431.334</t>
  </si>
  <si>
    <t>426.266635765606</t>
  </si>
  <si>
    <t>0.944552281599549</t>
  </si>
  <si>
    <t>373.672</t>
  </si>
  <si>
    <t>390.62</t>
  </si>
  <si>
    <t>GPS.N,mstag:revenueNet,2011FY,,FYR</t>
  </si>
  <si>
    <t>14,549</t>
  </si>
  <si>
    <t>M.N,mscalc:epsForConsensusForThomsonFeed,2006FY,,FYR</t>
  </si>
  <si>
    <t>2.07706143044467</t>
  </si>
  <si>
    <t>KSS.N,mscalc:epsForConsensusForThomsonFeed,2007FY,,FYR</t>
  </si>
  <si>
    <t>3.39</t>
  </si>
  <si>
    <t>GPS.N,mscalc:epsForConsensusForThomsonFeed,2011FY,,FYR</t>
  </si>
  <si>
    <t>1.56285178236398</t>
  </si>
  <si>
    <t>TIF.N,mstag:met_12monthIntrinsicValueEstimate</t>
  </si>
  <si>
    <t>60</t>
  </si>
  <si>
    <t>M.N,mstag:revenueNet,2010FY,,FYR</t>
  </si>
  <si>
    <t>25,003</t>
  </si>
  <si>
    <t>0.948279062088035</t>
  </si>
  <si>
    <t>ROST.O,mscalc:ebitdaBeforePensionOpebAndOperatingLeaseAdjustments,2012FY</t>
  </si>
  <si>
    <t>1,464.39167093355</t>
  </si>
  <si>
    <t>Shareholders' Equity:</t>
  </si>
  <si>
    <t>Common stock</t>
  </si>
  <si>
    <t>Additional paid-in capital</t>
  </si>
  <si>
    <t>Retained earnings</t>
  </si>
  <si>
    <t>Total Shareholders' Equity</t>
  </si>
  <si>
    <t>Total Long-Term Liabilities</t>
  </si>
  <si>
    <t>Balance Check</t>
  </si>
  <si>
    <t>Other assets</t>
  </si>
  <si>
    <t>AEO.N,mscalc:freeCashFlowForConsensus,2013FY,,FYR</t>
  </si>
  <si>
    <t>333.583564378688</t>
  </si>
  <si>
    <t>SKUL.O,mscalc:ebitdaBeforePensionOpebAndOperatingLeaseAdjustments,2010FY</t>
  </si>
  <si>
    <t>40.747377</t>
  </si>
  <si>
    <t>KSS.N,mstag:bearCaseValueEstimatePerShare</t>
  </si>
  <si>
    <t>Count</t>
  </si>
  <si>
    <t>37</t>
  </si>
  <si>
    <t>SKS.N,mstag:revenueNet,2012FY,,FYR</t>
  </si>
  <si>
    <t>3,204.05536957547</t>
  </si>
  <si>
    <t>CMRG.US,mscalc:stockRating</t>
  </si>
  <si>
    <t>(b) Following quarter's COGS divided by inventory at the end of the quarter.</t>
  </si>
  <si>
    <t>F/X Impact</t>
  </si>
  <si>
    <t>Euro</t>
  </si>
  <si>
    <t>Total</t>
  </si>
  <si>
    <t>Comp</t>
  </si>
  <si>
    <t>Total/Comp</t>
  </si>
  <si>
    <t>Spread</t>
  </si>
  <si>
    <t>Estimated additions to leased assets in period</t>
  </si>
  <si>
    <t>Depreciation schedule</t>
  </si>
  <si>
    <t>Assumed Average Lease Life</t>
  </si>
  <si>
    <t>Percentage of assets, non depreciable</t>
  </si>
  <si>
    <t>EXPR.N,mscalc:freeCashFlowForConsensus,2010FY,,FYR</t>
  </si>
  <si>
    <t>165.115</t>
  </si>
  <si>
    <t>COH.N,mstag:averageDilutedSharesOutstanding,2007Q2,,FYR</t>
  </si>
  <si>
    <t>COH.N,mstag:averageDilutedSharesOutstanding,2014Q2,,FYR</t>
  </si>
  <si>
    <t>GPS.N,mscalc:lastActualPeriodCalc</t>
  </si>
  <si>
    <t>SKS.N,mscalc:epsForConsensusForThomsonFeed,2010FY,,FYR</t>
  </si>
  <si>
    <t>KORS.N,mscalc:stockRating</t>
  </si>
  <si>
    <t>ARO.N,mscalc:epsForConsensusForThomsonFeed,2004FY,,FYR</t>
  </si>
  <si>
    <t>Proceeds from exercise of stock options</t>
  </si>
  <si>
    <t>Problem… have Int'l sales/op income, but Japan, Asia, Europe comps… not comparable</t>
  </si>
  <si>
    <t>flat</t>
  </si>
  <si>
    <t>2005A</t>
  </si>
  <si>
    <t>Loss on disposal of assets</t>
  </si>
  <si>
    <t xml:space="preserve">Accounts payable and accrued liabilities </t>
  </si>
  <si>
    <t>Effect</t>
  </si>
  <si>
    <t>Trans.</t>
  </si>
  <si>
    <t>Net Sales*</t>
  </si>
  <si>
    <t>GPS.N,mstag:met_12monthIntrinsicValueEstimate</t>
  </si>
  <si>
    <t>KORS.N,mscalc:netIncomeBeforeOperatingLeaseAdjustment,2011Q1,,FYR</t>
  </si>
  <si>
    <t>COH.N,mstag:revenueNet,2009Q3,,FYR</t>
  </si>
  <si>
    <t>KORS.N,mscalc:ebitdaBeforePensionOpebAndOperatingLeaseAdjustments,2013FY</t>
  </si>
  <si>
    <t>CHS.N,mscalc:ebitdaBeforePensionOpebAndOperatingLeaseAdjustments,2012FY</t>
  </si>
  <si>
    <t>LTD.N,mscalc:epsForConsensusForThomsonFeed,2008FY,,FYR</t>
  </si>
  <si>
    <t>1.04738497662325</t>
  </si>
  <si>
    <t>COH.N,mscalc:netIncomeBeforeOperatingLeaseAdjustment,2009Q1,,FYR</t>
  </si>
  <si>
    <t>145.811</t>
  </si>
  <si>
    <t>LULU.O,mstag:revenueNet,2010FY,,FYR</t>
  </si>
  <si>
    <t>711.704</t>
  </si>
  <si>
    <t>14,969.2043414233</t>
  </si>
  <si>
    <t>M.N,mstag:revenueNet,2011FY,,FYR</t>
  </si>
  <si>
    <t>26,405</t>
  </si>
  <si>
    <t>URBN.O,mscalc:freeCashFlowForConsensus,2011FY,,FYR</t>
  </si>
  <si>
    <t>101.687</t>
  </si>
  <si>
    <t>KSS.N,mscalc:stockRating</t>
  </si>
  <si>
    <t>URBN.O,mscalc:freeCashFlowForConsensus,2012FY,,FYR</t>
  </si>
  <si>
    <t>KSS.N,mscalc:freeCashFlowForConsensus,2013FY,,FYR</t>
  </si>
  <si>
    <t>Quarterly Analysis of Debt and Total Capital</t>
  </si>
  <si>
    <t xml:space="preserve">Note: 2006 and beyond excludes Little Switzerland from continuing operatings. </t>
  </si>
  <si>
    <t>Cash &amp; Equivalents</t>
  </si>
  <si>
    <t>Short-Term Debt</t>
  </si>
  <si>
    <t>Long-Term Debt</t>
  </si>
  <si>
    <t>Total Debt</t>
  </si>
  <si>
    <t>Net Debt (Total Debt Less Cash)</t>
  </si>
  <si>
    <t>Shareholders' Equity</t>
  </si>
  <si>
    <t>Total Capital</t>
  </si>
  <si>
    <t>Total Debt as % of Total Capital</t>
  </si>
  <si>
    <t>Net Debt as % of Total Capital</t>
  </si>
  <si>
    <t>(11)</t>
  </si>
  <si>
    <t>(12)</t>
  </si>
  <si>
    <t>(13)</t>
  </si>
  <si>
    <t>Square Ft.</t>
  </si>
  <si>
    <t>(14)</t>
  </si>
  <si>
    <t>(15)</t>
  </si>
  <si>
    <t>(16)</t>
  </si>
  <si>
    <t>(17)</t>
  </si>
  <si>
    <t>Productivity (3)/(13)</t>
  </si>
  <si>
    <t>Sales (mm)</t>
  </si>
  <si>
    <t>Sales (mm, except per foot data)</t>
  </si>
  <si>
    <t>Store Analysis</t>
  </si>
  <si>
    <t>1.21495147673776</t>
  </si>
  <si>
    <t>CMRG.US,mscalc:targetPrice</t>
  </si>
  <si>
    <t>GPS.N,mstag:bullCaseValueEstimatePerShare</t>
  </si>
  <si>
    <t>32</t>
  </si>
  <si>
    <t>JWN.N,mstag:met_12monthIntrinsicValueEstimate</t>
  </si>
  <si>
    <t>51</t>
  </si>
  <si>
    <t>LTD.N,mstag:revenueNet,2011FY,,FYR</t>
  </si>
  <si>
    <t>10,364.092</t>
  </si>
  <si>
    <t>URBN.O,mscalc:ebitdaBeforePensionOpebAndOperatingLeaseAdjustments,2010FY</t>
  </si>
  <si>
    <t>515.308</t>
  </si>
  <si>
    <t>ROST.O,mscalc:ebitdaBeforePensionOpebAndOperatingLeaseAdjustments,2010FY</t>
  </si>
  <si>
    <t>1,067.283</t>
  </si>
  <si>
    <t>COH.N,mstag:averageDilutedSharesOutstanding,2013Q4,,FYR</t>
  </si>
  <si>
    <t>287.996</t>
  </si>
  <si>
    <t>4.3992045639953</t>
  </si>
  <si>
    <t>LULU.O,mscalc:ebitdaBeforePensionOpebAndOperatingLeaseAdjustments,2010FY</t>
  </si>
  <si>
    <t>205.684</t>
  </si>
  <si>
    <t>LTD.N,mscalc:ebitdaBeforePensionOpebAndOperatingLeaseAdjustments,2009FY</t>
  </si>
  <si>
    <t>1,211.881</t>
  </si>
  <si>
    <t>ANN.N,mscalc:freeCashFlowForConsensus,2010FY,,FYR</t>
  </si>
  <si>
    <t>103.098</t>
  </si>
  <si>
    <t>ANN.N,mscalc:targetPrice</t>
  </si>
  <si>
    <t>31</t>
  </si>
  <si>
    <t>TEA.N,mscalc:epsForConsensusForThomsonFeed,2004FY,,FYR</t>
  </si>
  <si>
    <t>Tiffany and Co.</t>
  </si>
  <si>
    <t>COH.N,mscalc:netIncomeBeforeOperatingLeaseAdjustment,2003Q2,,FYR</t>
  </si>
  <si>
    <t>SKS.N,mstag:revenueNet,2011FY,,FYR</t>
  </si>
  <si>
    <t>TEA.N,mscalc:epsForConsensusForThomsonFeed,2003FY,,FYR</t>
  </si>
  <si>
    <t>International Retail</t>
  </si>
  <si>
    <t>Direct Marketing</t>
  </si>
  <si>
    <t>New Space Productivity (square footage)</t>
  </si>
  <si>
    <t>New Space Productivity (unit)</t>
  </si>
  <si>
    <t>Tiffany and Co - Total</t>
  </si>
  <si>
    <t>TIFFANY &amp; CO - U.S.</t>
  </si>
  <si>
    <t>U.S.</t>
  </si>
  <si>
    <t>113.109903355944</t>
  </si>
  <si>
    <t>KSS.N,mscalc:lastActualPeriodCalc</t>
  </si>
  <si>
    <t>PLCE.O,mscalc:lastActualPeriodCalc</t>
  </si>
  <si>
    <t>ARO.N,mstag:revenueNet,2010FY,,FYR</t>
  </si>
  <si>
    <t>Quarterly Analysis of "Operating" Working Capital, 2002-2009A</t>
  </si>
  <si>
    <t>Quarterly Analysis of Inventory Turnover, 2001-2009E</t>
  </si>
  <si>
    <t xml:space="preserve">   % Chg. from LY (Avg. Sq. Ft.)</t>
  </si>
  <si>
    <t>SalesAustNZofSalesTotal</t>
  </si>
  <si>
    <t>SalesCEEMEAofSalesTotal</t>
  </si>
  <si>
    <t>80</t>
  </si>
  <si>
    <t>Note: 2Q09 GAAP earnings includes $2.676M loan recovery ($0.02 per share) and $5.662M tax benefit. 3Q09 GAAP earnings includes $3.440 charge from diamond sourcing agreement ($0.03 per share) and $5.558 tax benefit ($0.04 per share)</t>
  </si>
  <si>
    <t>2009A</t>
  </si>
  <si>
    <t>2010A</t>
  </si>
  <si>
    <t>**Prior includes wholesale sales in Emerging Markets</t>
  </si>
  <si>
    <t>**Prior includes Japan sales and wholesale sales</t>
  </si>
  <si>
    <t>This sheet contains Factset binary data for use with this workbook's =FDS codes.  Modifying the worksheet's contents may damage the workbook's =FDS functionality.</t>
  </si>
  <si>
    <t>**3Q/4Q09 operating income is for TOTAL Asia-Pac.</t>
  </si>
  <si>
    <t>Tiffany Asia-Pacific (ex Japan 2008 &amp; beyond)</t>
  </si>
  <si>
    <t>Tiffany Japan (2008 &amp; beyond)</t>
  </si>
  <si>
    <t>Tiffany and Co. - Japan</t>
  </si>
  <si>
    <t>3Q12E</t>
  </si>
  <si>
    <t>ROST.O,mscalc:epsForConsensusForThomsonFeed,2015FY,,FYR</t>
  </si>
  <si>
    <t>CHS.N,mstag:cashAndCashEquivalents,2012Q1,,FYR</t>
  </si>
  <si>
    <t>ROST.O,mscalc:ebitdaBeforePensionOpebAndOperatingLeaseAdjustments,2009FY</t>
  </si>
  <si>
    <t>COH.N,mstag:averageDilutedSharesOutstanding,2007Q4,,FYR</t>
  </si>
  <si>
    <t>PLCE.O,mscalc:epsForConsensusForThomsonFeed,2012FY,,FYR</t>
  </si>
  <si>
    <t>COH.N,mstag:averageDilutedSharesOutstanding,2004Q2,,FYR</t>
  </si>
  <si>
    <t>COH.N,mscalc:ebitdaBeforePensionOpebAndOperatingLeaseAdjustments,2011Q1,,FYR</t>
  </si>
  <si>
    <t>285.66</t>
  </si>
  <si>
    <t>EXPR.N,mscalc:epsForConsensusForThomsonFeed,2011FY,,FYR</t>
  </si>
  <si>
    <t>1.65493579612246</t>
  </si>
  <si>
    <t>CHS.N,mscalc:epsForConsensusForThomsonFeed,2013FY,,FYR</t>
  </si>
  <si>
    <t>KORS.N,mscalc:netIncomeBeforeOperatingLeaseAdjustment,2014Q3,,FYR</t>
  </si>
  <si>
    <t>GPS.N,mscalc:epsForConsensusForThomsonFeed,2010FY,,FYR</t>
  </si>
  <si>
    <t>EXPR.N,mstag:bearCaseValueEstimatePerShare</t>
  </si>
  <si>
    <t>HOTT.US,mscalc:stockRating</t>
  </si>
  <si>
    <t>JWN.N,mscalc:epsForConsensusForThomsonFeed,2008FY,,FYR</t>
  </si>
  <si>
    <t>SKS.N,mscalc:targetPrice</t>
  </si>
  <si>
    <t>JWN.N,mstag:revenueNet,2010FY,,FYR</t>
  </si>
  <si>
    <t>COH.N,mscalc:netIncomeBeforeOperatingLeaseAdjustment,2010Q2,,FYR</t>
  </si>
  <si>
    <t>COH.N,mscalc:netIncomeBeforeOperatingLeaseAdjustment,2013Q3,,FYR</t>
  </si>
  <si>
    <t>COH.N,mstag:bearCaseValueEstimatePerShare</t>
  </si>
  <si>
    <t>GPS.N,mscalc:epsForConsensusForThomsonFeed,2009FY,,FYR</t>
  </si>
  <si>
    <t>SKUL.O,mscalc:epsForConsensusForThomsonFeed,2007FY,,FYR</t>
  </si>
  <si>
    <t>KSS.N,mstag:revenueNet,2013FY,,FYR</t>
  </si>
  <si>
    <t>BKE.US,mscalc:stockRating</t>
  </si>
  <si>
    <t>TEA.N,mscalc:freeCashFlowForConsensus,2010FY,,FYR</t>
  </si>
  <si>
    <t>KORS.N,mstag:averageDilutedSharesOutstanding,2013Q3,,FYR</t>
  </si>
  <si>
    <t>COH.N,mscalc:netIncomeBeforeOperatingLeaseAdjustment,2012Q2,,FYR</t>
  </si>
  <si>
    <t>ARO.N,mscalc:epsForConsensusForThomsonFeed,2009FY,,FYR</t>
  </si>
  <si>
    <t>GPS.N,mscalc:epsForConsensusForThomsonFeed,2007FY,,FYR</t>
  </si>
  <si>
    <t>PLCE.O,mscalc:epsForConsensusForThomsonFeed,2008FY,,FYR</t>
  </si>
  <si>
    <t>Expected payments forecast year 10</t>
  </si>
  <si>
    <t>Expected payments forecast year 11</t>
  </si>
  <si>
    <t>Expected payments forecast year 12</t>
  </si>
  <si>
    <t>Expected payments forecast year 13</t>
  </si>
  <si>
    <t>Expected payments forecast year 14</t>
  </si>
  <si>
    <t>Expected payments forecast year 15</t>
  </si>
  <si>
    <t>Expected payments forecast year 16</t>
  </si>
  <si>
    <t>TEA.N,mscalc:freeCashFlowForConsensus,2013FY,,FYR</t>
  </si>
  <si>
    <t>COH.N,mstag:revenueNet,2010Q2,,FYR</t>
  </si>
  <si>
    <t>COH.N,mstag:averageDilutedSharesOutstanding,2006Q2,,FYR</t>
  </si>
  <si>
    <t>CHS.N,mscalc:freeCashFlowForConsensus,2012FY,,FYR</t>
  </si>
  <si>
    <t>COH.N,mscalc:epsForConsensusForThomsonFeed,2014FY,,FYR</t>
  </si>
  <si>
    <t>AEO.N,mscalc:stockRating</t>
  </si>
  <si>
    <t>KORS.N,mscalc:netIncomeBeforeOperatingLeaseAdjustment,2011Q3,,FYR</t>
  </si>
  <si>
    <t>ANN.N,mscalc:epsForConsensusForThomsonFeed,2009FY,,FYR</t>
  </si>
  <si>
    <t>GPS.N,mscalc:freeCashFlowForConsensus,2010FY,,FYR</t>
  </si>
  <si>
    <t>KSS.N,mscalc:targetPrice</t>
  </si>
  <si>
    <t>ARO.N,mscalc:freeCashFlowForConsensus,2012FY,,FYR</t>
  </si>
  <si>
    <t>SKUL.O,mscalc:freeCashFlowForConsensus,2010FY,,FYR</t>
  </si>
  <si>
    <t>EXPR.N,mscalc:freeCashFlowForConsensus,2011FY,,FYR</t>
  </si>
  <si>
    <t>TIF.N,mstag:revenueNet,2012FY,,FYR</t>
  </si>
  <si>
    <t>KORS.N,mscalc:netIncomeBeforeOperatingLeaseAdjustment,2010Q1,,FYR</t>
  </si>
  <si>
    <t>COH.N,mstag:averageDilutedSharesOutstanding,2014Q1,,FYR</t>
  </si>
  <si>
    <t>LULU.O,mscalc:targetPrice</t>
  </si>
  <si>
    <t>TJX.N,mscalc:epsForConsensusForThomsonFeed,2008FY,,FYR</t>
  </si>
  <si>
    <t>ARO.N,mstag:bullCaseValueEstimatePerShare</t>
  </si>
  <si>
    <t>COH.N,mscalc:freeCashFlowForConsensus,2011FY,,FYR</t>
  </si>
  <si>
    <t>KORS.N,mstag:averageDilutedSharesOutstanding,2013Q2,,FYR</t>
  </si>
  <si>
    <t>JOSB.US,mscalc:targetPrice</t>
  </si>
  <si>
    <t>SKS.N,mscalc:ebitdaBeforePensionOpebAndOperatingLeaseAdjustments,2009FY</t>
  </si>
  <si>
    <t>KORS.N,mscalc:netIncomeBeforeOperatingLeaseAdjustment,2010Q4,,FYR</t>
  </si>
  <si>
    <t>COH.N,mscalc:netIncomeBeforeOperatingLeaseAdjustment,2015Q2,,FYR</t>
  </si>
  <si>
    <t>ANF.N,mscalc:freeCashFlowForConsensus,2012FY,,FYR</t>
  </si>
  <si>
    <t>COH.N,mstag:revenueNet,2010Q4,,FYR</t>
  </si>
  <si>
    <t>COH.N,mscalc:ebitdaBeforePensionOpebAndOperatingLeaseAdjustments,2009Q4,,FYR</t>
  </si>
  <si>
    <t>TIF.N,mscalc:freeCashFlowForConsensus,2009FY,,FYR</t>
  </si>
  <si>
    <t>TEA.N,mscalc:ebitdaBeforePensionOpebAndOperatingLeaseAdjustments,2012FY</t>
  </si>
  <si>
    <t>TEA.N,mscalc:ebitdaBeforePensionOpebAndOperatingLeaseAdjustments,2013FY</t>
  </si>
  <si>
    <t>GPS.N,mscalc:epsForConsensusForThomsonFeed,2006FY,,FYR</t>
  </si>
  <si>
    <t>Wtd.</t>
  </si>
  <si>
    <t>FX</t>
  </si>
  <si>
    <t>Impact</t>
  </si>
  <si>
    <t>Australia</t>
  </si>
  <si>
    <t>Canadian $ (CAD)</t>
  </si>
  <si>
    <t>SKS.N,mscalc:epsForConsensusForThomsonFeed,2015FY,,FYR</t>
  </si>
  <si>
    <t>EXPR.N,mscalc:freeCashFlowForConsensus,2013FY,,FYR</t>
  </si>
  <si>
    <t>ANN.N,mstag:revenueNet,2012FY,,FYR</t>
  </si>
  <si>
    <t>PLCE.O,mscalc:targetPrice</t>
  </si>
  <si>
    <t>ANF.N,mscalc:epsForConsensusForThomsonFeed,2009FY,,FYR</t>
  </si>
  <si>
    <t>PLCE.O,mscalc:epsForConsensusForThomsonFeed,2006FY,,FYR</t>
  </si>
  <si>
    <t>BKE.US,mscalc:targetPrice</t>
  </si>
  <si>
    <t>EXPR.N,mstag:bullCaseValueEstimatePerShare</t>
  </si>
  <si>
    <t>JWN.N,mscalc:epsForConsensusForThomsonFeed,2015FY,,FYR</t>
  </si>
  <si>
    <t>COH.N,mscalc:netIncomeBeforeOperatingLeaseAdjustment,2013Q4,,FYR</t>
  </si>
  <si>
    <t>284.593645962955</t>
  </si>
  <si>
    <t>Inventory PSF Growth (%)</t>
  </si>
  <si>
    <t>Sales PSF Growth  (%)</t>
  </si>
  <si>
    <t>Americas Comp</t>
  </si>
  <si>
    <t>Asia-Pac Comp</t>
  </si>
  <si>
    <t>Europe Comp</t>
  </si>
  <si>
    <t>2 Year Total Sales Stack Comp</t>
  </si>
  <si>
    <t>Japan Comp</t>
  </si>
  <si>
    <t>SG&amp;A ($ growth) Expense</t>
  </si>
  <si>
    <t>JCP.N,mstag:revenueNet,2009FY,,FYR</t>
  </si>
  <si>
    <t>17,559.4795316954</t>
  </si>
  <si>
    <t>EXPR.N,mstag:revenueNet,2010FY,,FYR</t>
  </si>
  <si>
    <t>COH.N,mscalc:ebitdaBeforePensionOpebAndOperatingLeaseAdjustments,2011Q4,,FYR</t>
  </si>
  <si>
    <t>TIF.N,mscalc:epsForConsensusForThomsonFeed,2012FY,,FYR</t>
  </si>
  <si>
    <t>KORS.N,mscalc:targetPrice</t>
  </si>
  <si>
    <t>Mexican Peso (MSN)</t>
  </si>
  <si>
    <t>Brazilian Real (BRL)</t>
  </si>
  <si>
    <t>TIF.N,mscalc:freeCashFlowForConsensus,2011FY,,FYR</t>
  </si>
  <si>
    <t>GPS.N,mscalc:targetPrice</t>
  </si>
  <si>
    <t>TEA.N,mstag:met_12monthIntrinsicValueEstimate</t>
  </si>
  <si>
    <t>0.597016704880445</t>
  </si>
  <si>
    <t>PLCE.O,mscalc:freeCashFlowForConsensus,2013FY,,FYR</t>
  </si>
  <si>
    <t>79.4344434236987</t>
  </si>
  <si>
    <t>KSS.N,mscalc:epsForConsensusForThomsonFeed,2006FY,,FYR</t>
  </si>
  <si>
    <t>3.31</t>
  </si>
  <si>
    <t>COH.N,mstag:averageDilutedSharesOutstanding,2014Q3,,FYR</t>
  </si>
  <si>
    <t>M.N,mscalc:ebitdaBeforePensionOpebAndOperatingLeaseAdjustments,2009FY</t>
  </si>
  <si>
    <t>2,664</t>
  </si>
  <si>
    <t>ARO.N,mscalc:ebitdaBeforePensionOpebAndOperatingLeaseAdjustments,2009FY</t>
  </si>
  <si>
    <t>438.236</t>
  </si>
  <si>
    <t>AEO.N,mscalc:totalAdjustedDebtCreditMetric,2012FY,,FYR</t>
  </si>
  <si>
    <t>ROST.O,mscalc:freeCashFlowForConsensus,2013FY,,FYR</t>
  </si>
  <si>
    <t>828.321885742381</t>
  </si>
  <si>
    <t>COH.N,mstag:averageDilutedSharesOutstanding,2015Q2,,FYR</t>
  </si>
  <si>
    <t>LULU.O,mscalc:epsForConsensusForThomsonFeed,2006FY,,FYR</t>
  </si>
  <si>
    <t>PLCE.O,mstag:revenueNet,2013FY,,FYR</t>
  </si>
  <si>
    <t>COH.N,mscalc:shortAndLongTermDebtAsif,2012Q3,,FYR</t>
  </si>
  <si>
    <t>518.614624862866</t>
  </si>
  <si>
    <t>3.389</t>
  </si>
  <si>
    <t>284.271</t>
  </si>
  <si>
    <t>2,388</t>
  </si>
  <si>
    <t>3.5001839689935</t>
  </si>
  <si>
    <t>1.21976150189846</t>
  </si>
  <si>
    <t>204.101920869634</t>
  </si>
  <si>
    <t>5.00418470366415</t>
  </si>
  <si>
    <t>301.62</t>
  </si>
  <si>
    <t>224.252306448984</t>
  </si>
  <si>
    <t>11,619.7430444376</t>
  </si>
  <si>
    <t>1,375.6</t>
  </si>
  <si>
    <t>131.304</t>
  </si>
  <si>
    <t>458.749732242788</t>
  </si>
  <si>
    <t>41.9634004470132</t>
  </si>
  <si>
    <t>558.958028048547</t>
  </si>
  <si>
    <t>291.996</t>
  </si>
  <si>
    <t>1.37062495116545</t>
  </si>
  <si>
    <t>LULU.O,mscalc:ebitdaBeforePensionOpebAndOperatingLeaseAdjustments,2009FY</t>
  </si>
  <si>
    <t>COH.N,mstag:averageDilutedSharesOutstanding,2002Q4,,FYR</t>
  </si>
  <si>
    <t>ANN.N,mscalc:freeCashFlowForConsensus,2009FY,,FYR</t>
  </si>
  <si>
    <t>Implied debt, beginning of period</t>
  </si>
  <si>
    <t>Interest</t>
  </si>
  <si>
    <t>Repayment</t>
  </si>
  <si>
    <t>Debt Issuances (Reductions)</t>
  </si>
  <si>
    <t>Implied debt</t>
  </si>
  <si>
    <t>% assets to liabilities</t>
  </si>
  <si>
    <t>Cumulative Adjustment To Equity</t>
  </si>
  <si>
    <t>Principal Paid</t>
  </si>
  <si>
    <t>Year over Year Adjustment in Equity</t>
  </si>
  <si>
    <t>Assumptions</t>
  </si>
  <si>
    <t>28,255.3652024859</t>
  </si>
  <si>
    <t>ROST.O,mstag:bearCaseValueEstimatePerShare</t>
  </si>
  <si>
    <t>45</t>
  </si>
  <si>
    <t>TEA.N,mscalc:epsForConsensusForThomsonFeed,2009FY,,FYR</t>
  </si>
  <si>
    <t>1,729.143</t>
  </si>
  <si>
    <t>COH.N,mscalc:netIncomeBeforeOperatingLeaseAdjustment,2014Q4,,FYR</t>
  </si>
  <si>
    <t>AEO.N,mscalc:freeCashFlowForConsensus,2012FY,,FYR</t>
  </si>
  <si>
    <t>325.464336971687</t>
  </si>
  <si>
    <t>% Gross Margin</t>
  </si>
  <si>
    <t>% Margin</t>
  </si>
  <si>
    <t>% Net Sales</t>
  </si>
  <si>
    <t xml:space="preserve">     % Net Sales</t>
  </si>
  <si>
    <t>Less:   Accounts Payable and Accrued Expenses     (Y-o-Y % Change vs. % Sales Growth)</t>
  </si>
  <si>
    <t>KSS.N,mstag:bullCaseValueEstimatePerShare</t>
  </si>
  <si>
    <t>65</t>
  </si>
  <si>
    <t>TJX.N,mscalc:epsForConsensusForThomsonFeed,2012FY,,FYR</t>
  </si>
  <si>
    <t>2.38704015216614</t>
  </si>
  <si>
    <t>M.N,mscalc:epsForConsensusForThomsonFeed,2012FY,,FYR</t>
  </si>
  <si>
    <t>3.42391135386387</t>
  </si>
  <si>
    <t>ANF.N,mscalc:epsForConsensusForThomsonFeed,2012FY,,FYR</t>
  </si>
  <si>
    <t>COH.N,mscalc:ebitdaBeforePensionOpebAndOperatingLeaseAdjustments,2010Q3,,FYR</t>
  </si>
  <si>
    <t>249.122</t>
  </si>
  <si>
    <t>TJX.N,mstag:bullCaseValueEstimatePerShare</t>
  </si>
  <si>
    <t>63</t>
  </si>
  <si>
    <t>TJX.N,mstag:cashAndCashEquivalents,2011FY,,FYR</t>
  </si>
  <si>
    <t>1,507.112</t>
  </si>
  <si>
    <t>COH.N,mstag:averageDilutedSharesOutstanding,2004Q1,,FYR</t>
  </si>
  <si>
    <t>TIF.N,mscalc:freeCashFlowForConsensus,2013FY,,FYR</t>
  </si>
  <si>
    <t>288.511246202524</t>
  </si>
  <si>
    <t>SKS.N,mstag:met_12monthIntrinsicValueEstimate</t>
  </si>
  <si>
    <t>11</t>
  </si>
  <si>
    <t>CY</t>
  </si>
  <si>
    <t>LY</t>
  </si>
  <si>
    <t>MS</t>
  </si>
  <si>
    <t>Cons</t>
  </si>
  <si>
    <t>Variance vs.</t>
  </si>
  <si>
    <t>EPS Impact</t>
  </si>
  <si>
    <t>Guidance</t>
  </si>
  <si>
    <t>New</t>
  </si>
  <si>
    <t>Old</t>
  </si>
  <si>
    <t>JWN.N,mscalc:ebitdaBeforePensionOpebAndOperatingLeaseAdjustments,2013FY</t>
  </si>
  <si>
    <t>LULU.O,mscalc:epsForConsensusForThomsonFeed,2011FY,,FYR</t>
  </si>
  <si>
    <t>ANF.N,mscalc:targetPrice</t>
  </si>
  <si>
    <t>LULU.O,mscalc:freeCashFlowForConsensus,2012FY,,CY</t>
  </si>
  <si>
    <t>TIF.N,mstag:revenueNet,2011FY,,FYR</t>
  </si>
  <si>
    <t>URBN.O,mscalc:freeCashFlowForConsensus,2013FY,,FYR</t>
  </si>
  <si>
    <t>KORS.N,mscalc:netIncomeBeforeOperatingLeaseAdjustment,2013Q2,,FYR</t>
  </si>
  <si>
    <t>SKUL.O,mscalc:ebitdaBeforePensionOpebAndOperatingLeaseAdjustments,2009FY</t>
  </si>
  <si>
    <t>CHS.N,mscalc:epsForConsensusForThomsonFeed,2009FY,,FYR</t>
  </si>
  <si>
    <t>KSS.N,mscalc:epsForConsensusForThomsonFeed,2014FY,,FYR</t>
  </si>
  <si>
    <t>HOTT.US,mscalc:targetPrice</t>
  </si>
  <si>
    <t>Expected payments forecast year 27</t>
  </si>
  <si>
    <t>Expected payments forecast year 28</t>
  </si>
  <si>
    <t>Expected payments forecast year 29</t>
  </si>
  <si>
    <t>Expected payments forecast year 30</t>
  </si>
  <si>
    <t>10,812.6844771907</t>
  </si>
  <si>
    <t>3.50484701507619</t>
  </si>
  <si>
    <t>2,548.95354300669</t>
  </si>
  <si>
    <t xml:space="preserve">Type "Bull / Base / Bear" here to toggle scenarios &gt;&gt; </t>
  </si>
  <si>
    <t>KSS.N,mscalc:epsForConsensusForThomsonFeed,2003FY,,FYR</t>
  </si>
  <si>
    <t>TEA.N,mscalc:epsForConsensusForThomsonFeed,2010FY,,FYR</t>
  </si>
  <si>
    <t>PLCE.O,mscalc:ebitdaBeforePensionOpebAndOperatingLeaseAdjustments,2010FY</t>
  </si>
  <si>
    <t>0.751592384115347</t>
  </si>
  <si>
    <t>366.569</t>
  </si>
  <si>
    <t>370.21032097596</t>
  </si>
  <si>
    <t>(0.818919592601016)</t>
  </si>
  <si>
    <t>847.477788635086</t>
  </si>
  <si>
    <t>690.5085810369</t>
  </si>
  <si>
    <t>19,547.1344327217</t>
  </si>
  <si>
    <t>1.68979019514295</t>
  </si>
  <si>
    <t>0.318230727294252</t>
  </si>
  <si>
    <t>2,342.26</t>
  </si>
  <si>
    <t>10,102.3511901924</t>
  </si>
  <si>
    <t>GPS.N,mscalc:epsForConsensusForThomsonFeed,2004FY,,FYR</t>
  </si>
  <si>
    <t>1.16031427008986</t>
  </si>
  <si>
    <t>ANF.N,mscalc:stockRating</t>
  </si>
  <si>
    <t>EXPR.N,mstag:revenueNet,2012FY,,FYR</t>
  </si>
  <si>
    <t>2,208.09524437618</t>
  </si>
  <si>
    <t>PSUN.US,mscalc:targetPrice</t>
  </si>
  <si>
    <t>AEO.N,mscalc:epsForConsensusForThomsonFeed,2007FY,,FYR</t>
  </si>
  <si>
    <t>1.81595696386417</t>
  </si>
  <si>
    <t>M.N,mscalc:epsForConsensusForThomsonFeed,2013FY,,FYR</t>
  </si>
  <si>
    <t>3.93543961665023</t>
  </si>
  <si>
    <t>ROST.O,mscalc:epsForConsensusForThomsonFeed,2012FY,,FYR</t>
  </si>
  <si>
    <t>3.40515679853195</t>
  </si>
  <si>
    <t>ROST.O,mstag:revenueNet,2011FY,,FYR</t>
  </si>
  <si>
    <t>8,608.291</t>
  </si>
  <si>
    <t>Total External Sources &amp; Cash</t>
  </si>
  <si>
    <t>Inventory     (Y-o-Y % Change vs. % Sales Growth)</t>
  </si>
  <si>
    <t>Equals:  "Operating" Working Capital     (Y-o-Y % Change vs. % Sales Growth)</t>
  </si>
  <si>
    <t>Total Sales</t>
  </si>
  <si>
    <t>ROST.O,mstag:revenueNet,2010FY,,FYR</t>
  </si>
  <si>
    <t>7,866.1</t>
  </si>
  <si>
    <t>JCP.N,mscalc:lastActualPeriodCalc</t>
  </si>
  <si>
    <t>TEA.N,mscalc:epsForConsensusForThomsonFeed,2012FY,,FYR</t>
  </si>
  <si>
    <t>0.586341501843248</t>
  </si>
  <si>
    <t>JCP.N,mstag:revenueNet,2013FY,,FYR</t>
  </si>
  <si>
    <t>13,622.4620105202</t>
  </si>
  <si>
    <t>KSS.N,mscalc:epsForConsensusForThomsonFeed,2002FY,,FYR</t>
  </si>
  <si>
    <t>TEA.N,mscalc:epsForConsensusForThomsonFeed,2006FY,,FYR</t>
  </si>
  <si>
    <t>46</t>
  </si>
  <si>
    <t>KORS.N,mscalc:freeCashFlowForConsensus,2010FY,,FYR</t>
  </si>
  <si>
    <t>LULU.O,mstag:bearCaseValueEstimatePerShare</t>
  </si>
  <si>
    <t>KSS.N,mscalc:epsForConsensusForThomsonFeed,2009FY,,FYR</t>
  </si>
  <si>
    <t>KORS.N,mstag:averageDilutedSharesOutstanding,2013Q1,,FYR</t>
  </si>
  <si>
    <t>COH.N,mstag:averageDilutedSharesOutstanding,2009Q1,,FYR</t>
  </si>
  <si>
    <t>SKS.N,mscalc:epsForConsensusForThomsonFeed,2013FY,,FYR</t>
  </si>
  <si>
    <t>EXPR.N,mscalc:ebitdaBeforePensionOpebAndOperatingLeaseAdjustments,2011FY</t>
  </si>
  <si>
    <t>LTD.N,mscalc:freeCashFlowForConsensus,2012FY,,FYR</t>
  </si>
  <si>
    <t>LULU.O,mscalc:epsForConsensusForThomsonFeed,2005FY,,FYR</t>
  </si>
  <si>
    <t>KSS.N,mscalc:epsForConsensusForThomsonFeed,2010FY,,FYR</t>
  </si>
  <si>
    <t>15.  Loss from dicontinued operations</t>
  </si>
  <si>
    <t>0.219621950685795</t>
  </si>
  <si>
    <t>803.3386</t>
  </si>
  <si>
    <t>188.876</t>
  </si>
  <si>
    <t>1,537.35542177192</t>
  </si>
  <si>
    <t>GBP</t>
  </si>
  <si>
    <t>JPY</t>
  </si>
  <si>
    <t>Debt/Equity</t>
  </si>
  <si>
    <t>391.453</t>
  </si>
  <si>
    <t>0.540869786685209</t>
  </si>
  <si>
    <t>Square Footage</t>
  </si>
  <si>
    <t>At</t>
  </si>
  <si>
    <t>Sq. Ft.</t>
  </si>
  <si>
    <t>Sources of Cash</t>
  </si>
  <si>
    <t>EBITDA</t>
  </si>
  <si>
    <t>EBITDA Margin</t>
  </si>
  <si>
    <t>Operating Margin</t>
  </si>
  <si>
    <t>Net Margin</t>
  </si>
  <si>
    <t>Source:  Company data.</t>
  </si>
  <si>
    <t>($ millions, except inventory per sq. ft. data)</t>
  </si>
  <si>
    <t>ROST.O,mscalc:stockRating</t>
  </si>
  <si>
    <t>2.55149905494669</t>
  </si>
  <si>
    <t>375.496</t>
  </si>
  <si>
    <t>0.233030329411989</t>
  </si>
  <si>
    <t>0.652923082894264</t>
  </si>
  <si>
    <t>225.476122302158</t>
  </si>
  <si>
    <t>275.993</t>
  </si>
  <si>
    <t>294.873746634812</t>
  </si>
  <si>
    <t>319.456632287494</t>
  </si>
  <si>
    <t>1.98851744829226</t>
  </si>
  <si>
    <t>1.66297885421322</t>
  </si>
  <si>
    <t>1.16290379748235</t>
  </si>
  <si>
    <t>343.589</t>
  </si>
  <si>
    <t>Non-controlling interests</t>
  </si>
  <si>
    <t>Annual Results and Estimates</t>
  </si>
  <si>
    <t/>
  </si>
  <si>
    <t>Income Statement</t>
  </si>
  <si>
    <t>Cost of Goods Sold</t>
  </si>
  <si>
    <t>Gross Profit</t>
  </si>
  <si>
    <t>SG&amp;A Expense</t>
  </si>
  <si>
    <t xml:space="preserve">  Operating Income</t>
  </si>
  <si>
    <t xml:space="preserve">   Pretax Income</t>
  </si>
  <si>
    <t>Taxes</t>
  </si>
  <si>
    <t>Net Inc. From Ops</t>
  </si>
  <si>
    <t xml:space="preserve">Earnings Per Share </t>
  </si>
  <si>
    <t>Average Shares</t>
  </si>
  <si>
    <t xml:space="preserve">EBITDA </t>
  </si>
  <si>
    <t>Margin Analysis</t>
  </si>
  <si>
    <t xml:space="preserve">Gross Margin </t>
  </si>
  <si>
    <t>Expense Ratio</t>
  </si>
  <si>
    <t>Pretax Margin</t>
  </si>
  <si>
    <t>Tax Rate</t>
  </si>
  <si>
    <t>Year-Over-Year Growth</t>
  </si>
  <si>
    <t>Comp. Store Sales</t>
  </si>
  <si>
    <t>SG&amp;A  Expense</t>
  </si>
  <si>
    <t>Operating Income</t>
  </si>
  <si>
    <t>Earnings Per Share</t>
  </si>
  <si>
    <t>Annual Data (Yearend)</t>
  </si>
  <si>
    <t xml:space="preserve">Store Count </t>
  </si>
  <si>
    <t>Inventory Turnover</t>
  </si>
  <si>
    <t>Payables / Inventory</t>
  </si>
  <si>
    <t>Debt to Total capital</t>
  </si>
  <si>
    <t xml:space="preserve">Sales / Avg Sq Ft </t>
  </si>
  <si>
    <t>M.N,mscalc:lastActualPeriodCalc</t>
  </si>
  <si>
    <t>URBN.O,mscalc:targetPrice</t>
  </si>
  <si>
    <t>JCP.N,mscalc:ebitdaBeforePensionOpebAndOperatingLeaseAdjustments,2012FY</t>
  </si>
  <si>
    <t>KSS.N,mscalc:freeCashFlowForConsensus,2009FY,,FYR</t>
  </si>
  <si>
    <t>COH.N,mscalc:netIncomeBeforeOperatingLeaseAdjustment,2006Q3,,FYR</t>
  </si>
  <si>
    <t>GPS.N,mscalc:epsForConsensusForThomsonFeed,2008FY,,FYR</t>
  </si>
  <si>
    <t>NWY.US,mscalc:targetPrice</t>
  </si>
  <si>
    <t>PLCE.O,mstag:bullCaseValueEstimatePerShare</t>
  </si>
  <si>
    <t>COH.N,mstag:revenueNet,2013Q1,,FYR</t>
  </si>
  <si>
    <t>ROST.O,mscalc:freeCashFlowForConsensus,2009FY,,FYR</t>
  </si>
  <si>
    <t>A</t>
  </si>
  <si>
    <t>COH.N,mscalc:ebitdaBeforePensionOpebAndOperatingLeaseAdjustments,2011Q2,,FYR</t>
  </si>
  <si>
    <t>JWN.N,mscalc:epsForConsensusForThomsonFeed,2012FY,,FYR</t>
  </si>
  <si>
    <t>COH.N,mscalc:netIncomeBeforeOperatingLeaseAdjustment,2007Q3,,FYR</t>
  </si>
  <si>
    <t xml:space="preserve">                                                                                                                                                                                    </t>
  </si>
  <si>
    <t xml:space="preserve">                                                                                                                                                                                                                </t>
  </si>
  <si>
    <t>ARO.N,mscalc:freeCashFlowForConsensus,2009FY,,FYR</t>
  </si>
  <si>
    <t>COH.N,mstag:averageDilutedSharesOutstanding,2015Q1,,FYR</t>
  </si>
  <si>
    <t>ANF.N,mscalc:ebitdaBeforePensionOpebAndOperatingLeaseAdjustments,2010FY</t>
  </si>
  <si>
    <t>515.684</t>
  </si>
  <si>
    <t>URBN.O,mscalc:freeCashFlowForConsensus,2010FY,,FYR</t>
  </si>
  <si>
    <t>254.318</t>
  </si>
  <si>
    <t>CHS.N,mscalc:epsForConsensusForThomsonFeed,2011FY,,FYR</t>
  </si>
  <si>
    <t>0.839800293685756</t>
  </si>
  <si>
    <t>TEA.N,mstag:bearCaseValueEstimatePerShare</t>
  </si>
  <si>
    <t>10</t>
  </si>
  <si>
    <t>ANF.N,mstag:bullCaseValueEstimatePerShare</t>
  </si>
  <si>
    <t>COH.N,mstag:averageDilutedSharesOutstanding,2011Q1,,FYR</t>
  </si>
  <si>
    <t>SKUL.O,mscalc:epsForConsensusForThomsonFeed,2002FY,,FYR</t>
  </si>
  <si>
    <t>SKUL.O,mscalc:ebitdaBeforePensionOpebAndOperatingLeaseAdjustments,2011FY</t>
  </si>
  <si>
    <t>44.0082</t>
  </si>
  <si>
    <t>LTD.N,mstag:revenueNet,2010FY,,FYR</t>
  </si>
  <si>
    <t>Fade rate for depreciation of opening balance</t>
  </si>
  <si>
    <t>Multiple to take the asset to the original book value</t>
  </si>
  <si>
    <t>Total depreciable assets</t>
  </si>
  <si>
    <t>Depreciation of take on book value</t>
  </si>
  <si>
    <t>COH.N,mstag:averageDilutedSharesOutstanding,2005Q3,,FYR</t>
  </si>
  <si>
    <t>TIF.N,mscalc:ebitdaBeforePensionOpebAndOperatingLeaseAdjustments,2009FY</t>
  </si>
  <si>
    <t>TJX.N,mscalc:epsForConsensusForThomsonFeed,2009FY,,FYR</t>
  </si>
  <si>
    <t>Branch Stores</t>
  </si>
  <si>
    <t>9.  Addback for Fully Diluted EPS calculation (interest and fees related to convertible)</t>
  </si>
  <si>
    <t>TIFFANY &amp; CO - Intl (Americas and Europe)</t>
  </si>
  <si>
    <t>TIFFANY &amp; CO - Intl (Asia)</t>
  </si>
  <si>
    <t>Japan -           # Stores</t>
  </si>
  <si>
    <t>Non Japan     # Stores</t>
  </si>
  <si>
    <t>Property and equipment (net)</t>
  </si>
  <si>
    <t>Analysis of Space Productivity, 2008A-2011E</t>
  </si>
  <si>
    <t>Asia-Pacific Retail (ex Japan)*</t>
  </si>
  <si>
    <t>**2008 comp &amp; operating income includes Asia-Pac &amp; Japan sales.</t>
  </si>
  <si>
    <t>Source:  Company data and Morgan Stanley estimates.</t>
  </si>
  <si>
    <t>Source:  Company reports and Morgan Stanley estimates.</t>
  </si>
  <si>
    <t>2012E</t>
  </si>
  <si>
    <t>Revenue</t>
  </si>
  <si>
    <t>Foreign currency translation adjustments</t>
  </si>
  <si>
    <t>n/m</t>
  </si>
  <si>
    <t>Europe -    # Stores</t>
  </si>
  <si>
    <t>Americas -    # Stores</t>
  </si>
  <si>
    <t>Total -    # Stores</t>
  </si>
  <si>
    <t>Intl Retail</t>
  </si>
  <si>
    <t>Direct</t>
  </si>
  <si>
    <t>Tiffany U.S.</t>
  </si>
  <si>
    <t>+ Net New Stores</t>
  </si>
  <si>
    <t>Avg. Sales Per Store ($MM)</t>
  </si>
  <si>
    <t>Sales Per Avg. Gross Sq. Ft.</t>
  </si>
  <si>
    <t>ARO.N,mscalc:epsForConsensusForThomsonFeed,2012FY,,FYR</t>
  </si>
  <si>
    <t>ROST.O,mscalc:targetPrice</t>
  </si>
  <si>
    <t>JCP.N,mscalc:freeCashFlowForConsensus,2010FY,,FYR</t>
  </si>
  <si>
    <t>CHS.N,mscalc:epsForConsensusForThomsonFeed,2005FY,,FYR</t>
  </si>
  <si>
    <t>KSS.N,mstag:revenueNet,2009FY,,FYR</t>
  </si>
  <si>
    <t>KORS.N,mstag:bearCaseValueEstimatePerShare</t>
  </si>
  <si>
    <t>COH.N,mscalc:ebitdaBeforePensionOpebAndOperatingLeaseAdjustments,2012Q2,,FYR</t>
  </si>
  <si>
    <t>2.53592777253739</t>
  </si>
  <si>
    <t>Total Current Liabilities</t>
  </si>
  <si>
    <t>1.39795349086905</t>
  </si>
  <si>
    <t>1,174</t>
  </si>
  <si>
    <t>1,376</t>
  </si>
  <si>
    <t>2.91678354371202</t>
  </si>
  <si>
    <t>1.67714453948954</t>
  </si>
  <si>
    <t>1.47401444299751</t>
  </si>
  <si>
    <t>389.13</t>
  </si>
  <si>
    <t>3.03149147105992</t>
  </si>
  <si>
    <t>380.837</t>
  </si>
  <si>
    <t>199.861626926323</t>
  </si>
  <si>
    <t>247.651243374748</t>
  </si>
  <si>
    <t>Tiffany Other Regions</t>
  </si>
  <si>
    <t>Provision for inventories</t>
  </si>
  <si>
    <t>Provision for postretirement/employment benefits</t>
  </si>
  <si>
    <t>Deferred hedging losses (gains)</t>
  </si>
  <si>
    <t>Capital expenditures</t>
  </si>
  <si>
    <t>2004A</t>
  </si>
  <si>
    <t>Other Sales</t>
  </si>
  <si>
    <t>Short-term investments</t>
  </si>
  <si>
    <t>Short-term borrowings</t>
  </si>
  <si>
    <t>Current portion of long term debt</t>
  </si>
  <si>
    <t>Accounts payable and accrued liabilities</t>
  </si>
  <si>
    <t>Merchandise and other customer credits</t>
  </si>
  <si>
    <t>Postretirement/employee benefit obligation</t>
  </si>
  <si>
    <t>Increase / (Decrease) short term borrowings</t>
  </si>
  <si>
    <t>CHS.N,mscalc:lastActualPeriodCalc</t>
  </si>
  <si>
    <t>LULU.O,mscalc:ebitdaBeforePensionOpebAndOperatingLeaseAdjustments,2011FY</t>
  </si>
  <si>
    <t>LTD.N,mstag:bullCaseValueEstimatePerShare</t>
  </si>
  <si>
    <t>ARO.N,mscalc:ebitdaBeforePensionOpebAndOperatingLeaseAdjustments,2013FY</t>
  </si>
  <si>
    <t>ARO.N,mscalc:ebitdaBeforePensionOpebAndOperatingLeaseAdjustments,2012FY</t>
  </si>
  <si>
    <t>CHS.N,mstag:revenueNet,2012FY,,FYR</t>
  </si>
  <si>
    <t>COH.N,mstag:revenueNet,2009Q4,,FYR</t>
  </si>
  <si>
    <t>% of Capital Expenditures financed through operating leases (sustainable)</t>
  </si>
  <si>
    <t>Capital expenditure financed through operating leases (Sustainable)</t>
  </si>
  <si>
    <t>Capital expenditure financed through operating leases (Growth)</t>
  </si>
  <si>
    <t>3,468.776</t>
  </si>
  <si>
    <t>KSS.N,mscalc:epsForConsensusForThomsonFeed,2015FY,,FYR</t>
  </si>
  <si>
    <t>AEO.N,mscalc:freeCashFlowForConsensus,2009FY,,FYR</t>
  </si>
  <si>
    <t>259.043</t>
  </si>
  <si>
    <t>ROST.O,mscalc:epsForConsensusForThomsonFeed,2010FY,,FYR</t>
  </si>
  <si>
    <t>2.31354356057447</t>
  </si>
  <si>
    <t>LTD.N,mscalc:ebitdaBeforePensionOpebAndOperatingLeaseAdjustments,2011FY</t>
  </si>
  <si>
    <t>Other non-cash adjustments</t>
  </si>
  <si>
    <t>TOTAL OPERATING SOURCES</t>
  </si>
  <si>
    <t>Uses of Cash</t>
  </si>
  <si>
    <t>PreferredDividends</t>
  </si>
  <si>
    <t>DilutionAdjustment</t>
  </si>
  <si>
    <t>(8)</t>
  </si>
  <si>
    <t>Per Avg.</t>
  </si>
  <si>
    <t>(9)</t>
  </si>
  <si>
    <t>Percent</t>
  </si>
  <si>
    <t>(10)</t>
  </si>
  <si>
    <t>vs.</t>
  </si>
  <si>
    <t>Turnover Analysis</t>
  </si>
  <si>
    <t>Average (a)</t>
  </si>
  <si>
    <t>Quarter (b)</t>
  </si>
  <si>
    <t>of Quarter</t>
  </si>
  <si>
    <t>Year-to-Year Dollar Change in Working Capital</t>
  </si>
  <si>
    <t>Net income</t>
  </si>
  <si>
    <t>Depreciation and amortization</t>
  </si>
  <si>
    <t>162.924</t>
  </si>
  <si>
    <t>69.8550926714553</t>
  </si>
  <si>
    <t>36.0074011494266</t>
  </si>
  <si>
    <t>2,473.801</t>
  </si>
  <si>
    <t>3,456.8936614098</t>
  </si>
  <si>
    <t>611.796</t>
  </si>
  <si>
    <t>46.3040912613372</t>
  </si>
  <si>
    <t>60.1449492418172</t>
  </si>
  <si>
    <t>37.516</t>
  </si>
  <si>
    <t>348.336999999999</t>
  </si>
  <si>
    <t>166.4666</t>
  </si>
  <si>
    <t>(28.837)</t>
  </si>
  <si>
    <t>16</t>
  </si>
  <si>
    <t>0.996071636421353</t>
  </si>
  <si>
    <t>2,377.80449733426</t>
  </si>
  <si>
    <t>78.0414245145215</t>
  </si>
  <si>
    <t>1.1979015728383</t>
  </si>
  <si>
    <t>828</t>
  </si>
  <si>
    <t>307.579</t>
  </si>
  <si>
    <t>0.0874561302000967</t>
  </si>
  <si>
    <t>219.687</t>
  </si>
  <si>
    <t>0.967931818181818</t>
  </si>
  <si>
    <t>1.24506235096355</t>
  </si>
  <si>
    <t>157.636</t>
  </si>
  <si>
    <t>185.502</t>
  </si>
  <si>
    <t>357.54090161045</t>
  </si>
  <si>
    <t>313.96</t>
  </si>
  <si>
    <t>Excludes Japan</t>
  </si>
  <si>
    <t>3-yr stack</t>
  </si>
  <si>
    <t>% of year</t>
  </si>
  <si>
    <t>5-yr stack</t>
  </si>
  <si>
    <t>LTD.N,mscalc:epsForConsensusForThomsonFeed,2015FY,,FYR</t>
  </si>
  <si>
    <t>KORS.N,mstag:revenueNet,2009FY,,FYR</t>
  </si>
  <si>
    <t>ROST.O,mscalc:epsForConsensusForThomsonFeed,2003FY,,FYR</t>
  </si>
  <si>
    <t>0.733395208538778</t>
  </si>
  <si>
    <t>SKUL.O,mscalc:epsForConsensusForThomsonFeed,2013FY,,FYR</t>
  </si>
  <si>
    <t>1.54981716780592</t>
  </si>
  <si>
    <t>ANN.N,mstag:revenueNet,2013FY,,FYR</t>
  </si>
  <si>
    <t>2,509.9077488</t>
  </si>
  <si>
    <t>JWN.N,mscalc:epsForConsensusForThomsonFeed,2007FY,,FYR</t>
  </si>
  <si>
    <t>COH.N,mscalc:ebitdaBeforePensionOpebAndOperatingLeaseAdjustments,2013Q2,,FYR</t>
  </si>
  <si>
    <t>KORS.N,mstag:revenueNet,2011FY,,FYR</t>
  </si>
  <si>
    <t>KORS.N,mscalc:ebitdaBeforePensionOpebAndOperatingLeaseAdjustments,2012FY</t>
  </si>
  <si>
    <t>URBN.O,mscalc:freeCashFlowForConsensus,2009FY,,FYR</t>
  </si>
  <si>
    <t>CBK.US,mscalc:targetPrice</t>
  </si>
  <si>
    <t>EXPR.N,mscalc:epsForConsensusForThomsonFeed,2005FY,,FYR</t>
  </si>
  <si>
    <t>TJX.N,mscalc:epsForConsensusForThomsonFeed,2007FY,,FYR</t>
  </si>
  <si>
    <t>M.N,mscalc:freeCashFlowForConsensus,2012FY,,FYR</t>
  </si>
  <si>
    <t>TEA.N,mstag:revenueNet,2009FY,,FYR</t>
  </si>
  <si>
    <t>16.  Total Diluted Shares Outstanding</t>
  </si>
  <si>
    <t>Basic Shares</t>
  </si>
  <si>
    <t>Average Basic Shares</t>
  </si>
  <si>
    <t>Diluted shares</t>
  </si>
  <si>
    <t>United Kingdom</t>
  </si>
  <si>
    <t>Asia Ex-Japan</t>
  </si>
  <si>
    <t>Asia ex-Japan</t>
  </si>
  <si>
    <t>other</t>
  </si>
  <si>
    <t>Income Taxes Payable/Net Income</t>
  </si>
  <si>
    <t>NetGoodwillX</t>
  </si>
  <si>
    <t>EXPR.N,mscalc:epsForConsensusForThomsonFeed,2015FY,,FYR</t>
  </si>
  <si>
    <t>CHS.N,mscalc:epsForConsensusForThomsonFeed,2014FY,,FYR</t>
  </si>
  <si>
    <t>PLCE.O,mscalc:epsForConsensusForThomsonFeed,2014FY,,FYR</t>
  </si>
  <si>
    <t>TEA.N,mscalc:ebitdaBeforePensionOpebAndOperatingLeaseAdjustments,2010FY</t>
  </si>
  <si>
    <t>COH.N,mstag:revenueNet,2014Q2,,FYR</t>
  </si>
  <si>
    <t>ARO.N,mscalc:stockRating</t>
  </si>
  <si>
    <t>Underweight</t>
  </si>
  <si>
    <t>EXPR.N,mscalc:epsForConsensusForThomsonFeed,2007FY,,FYR</t>
  </si>
  <si>
    <t>ARO.N,mscalc:freeCashFlowForConsensus,2011FY,,FYR</t>
  </si>
  <si>
    <t>Unrecorded Goodwill from Poolings</t>
  </si>
  <si>
    <t>USD</t>
  </si>
  <si>
    <t>ROE</t>
  </si>
  <si>
    <t>ROA</t>
  </si>
  <si>
    <t>E</t>
  </si>
  <si>
    <t>SKS.N,mscalc:epsForConsensusForThomsonFeed,2012FY,,FYR</t>
  </si>
  <si>
    <t>TEA.N,mscalc:freeCashFlowForConsensus,2009FY,,FYR</t>
  </si>
  <si>
    <t>COH.N,mstag:revenueNet,2013Q2,,FYR</t>
  </si>
  <si>
    <t>SKUL.O,mscalc:freeCashFlowForConsensus,2011FY,,FYR</t>
  </si>
  <si>
    <t>2012A</t>
  </si>
  <si>
    <t>JWN.N,mscalc:epsForConsensusForThomsonFeed,2004FY,,FYR</t>
  </si>
  <si>
    <t>LULU.O,mscalc:epsForConsensusForThomsonFeed,2009FY,,FYR</t>
  </si>
  <si>
    <t>CATO.US,mscalc:targetPrice</t>
  </si>
  <si>
    <t>KORS.N,mscalc:netIncomeBeforeOperatingLeaseAdjustment,2012Q3,,FYR</t>
  </si>
  <si>
    <t>LULU.O,mstag:met_12monthIntrinsicValueEstimate</t>
  </si>
  <si>
    <t>COH.N,mstag:revenueNet,2014Q1,,FYR</t>
  </si>
  <si>
    <t>TJX.N,mstag:revenueNet,2013FY,,FYR</t>
  </si>
  <si>
    <t>URBN.O,mscalc:epsForConsensusForThomsonFeed,2013FY,,FYR</t>
  </si>
  <si>
    <t>URBN.O,mscalc:epsForConsensusForThomsonFeed,2003FY,,FYR</t>
  </si>
  <si>
    <t>TEA.N,mscalc:epsForConsensusForThomsonFeed,2015FY,,FYR</t>
  </si>
  <si>
    <t>TJX.N,mscalc:freeCashFlowForConsensus,2009FY,,FYR</t>
  </si>
  <si>
    <t>0.681211174030769</t>
  </si>
  <si>
    <t>ANN.N,mscalc:epsForConsensusForThomsonFeed,2008FY,,FYR</t>
  </si>
  <si>
    <t>0.0173796325349508</t>
  </si>
  <si>
    <t>COH.N,mscalc:netIncomeBeforeOperatingLeaseAdjustment,2002Q3,,FYR</t>
  </si>
  <si>
    <t>TEA.N,mscalc:epsForConsensusForThomsonFeed,2002FY,,FYR</t>
  </si>
  <si>
    <t>ARO.N,mstag:revenueNet,2009FY,,FYR</t>
  </si>
  <si>
    <t>URBN.O,mscalc:epsForConsensusForThomsonFeed,2002FY,,FYR</t>
  </si>
  <si>
    <t>CHS.N,mscalc:epsForConsensusForThomsonFeed,2002FY,,FYR</t>
  </si>
  <si>
    <t>AEO.N,mscalc:epsForConsensusForThomsonFeed,2003FY,,FYR</t>
  </si>
  <si>
    <t>LTD.N,mscalc:epsForConsensusForThomsonFeed,2013FY,,FYR</t>
  </si>
  <si>
    <t>AEO.N,mstag:cashAndCashEquivalents,2011FY,,FYR</t>
  </si>
  <si>
    <t>M.N,mscalc:freeCashFlowForConsensus,2009FY,,FYR</t>
  </si>
  <si>
    <t>M.N,mstag:revenueNet,2009FY,,FYR</t>
  </si>
  <si>
    <t>23,895</t>
  </si>
  <si>
    <t>ARO.N,mscalc:epsForConsensusForThomsonFeed,2006FY,,FYR</t>
  </si>
  <si>
    <t>0.881704428488163</t>
  </si>
  <si>
    <t>SKS.N,mscalc:epsForConsensusForThomsonFeed,2007FY,,FYR</t>
  </si>
  <si>
    <t>0.412781252594951</t>
  </si>
  <si>
    <t>AEO.N,mscalc:ebitdaBeforePensionOpebAndOperatingLeaseAdjustments,2013FY</t>
  </si>
  <si>
    <t>565.06688145782</t>
  </si>
  <si>
    <t>COH.N,mscalc:netIncomeBeforeOperatingLeaseAdjustment,2005Q2,,FYR</t>
  </si>
  <si>
    <t>126.903</t>
  </si>
  <si>
    <t>LULU.O,mscalc:epsForConsensusForThomsonFeed,2004FY,,FYR</t>
  </si>
  <si>
    <t>AEO.N,mscalc:ebitdaBeforePensionOpebAndOperatingLeaseAdjustments,2010FY</t>
  </si>
  <si>
    <t>479.2266</t>
  </si>
  <si>
    <t>KORS.N,mscalc:netIncomeBeforeOperatingLeaseAdjustment,2013Q3,,FYR</t>
  </si>
  <si>
    <t>CHS.N,mscalc:ebitdaBeforePensionOpebAndOperatingLeaseAdjustments,2009FY</t>
  </si>
  <si>
    <t>219.551</t>
  </si>
  <si>
    <t>M.N,mstag:met_12monthIntrinsicValueEstimate</t>
  </si>
  <si>
    <t>42</t>
  </si>
  <si>
    <t>ROST.O,mscalc:epsForConsensusForThomsonFeed,2005FY,,FYR</t>
  </si>
  <si>
    <t>TJX.N,mscalc:freeCashFlowForConsensus,2011FY,,FYR</t>
  </si>
  <si>
    <t>ANN.N,mscalc:epsForConsensusForThomsonFeed,2014FY,,FYR</t>
  </si>
  <si>
    <t>TIF.N,mstag:revenueNet,2009FY,,FYR</t>
  </si>
  <si>
    <t>TJX.N,mstag:revenueNet,2009FY,,FYR</t>
  </si>
  <si>
    <t>ARO.N,mscalc:epsForConsensusForThomsonFeed,2003FY,,FYR</t>
  </si>
  <si>
    <t>EXPR.N,mscalc:epsForConsensusForThomsonFeed,2003FY,,FYR</t>
  </si>
  <si>
    <t>PLCE.O,mscalc:epsForConsensusForThomsonFeed,2015FY,,FYR</t>
  </si>
  <si>
    <t>LULU.O,mscalc:epsForConsensusForThomsonFeed,2003FY,,FYR</t>
  </si>
  <si>
    <t>GPS.N,mstag:revenueNet,2013FY,,FYR</t>
  </si>
  <si>
    <t>ARO.N,mscalc:epsForConsensusForThomsonFeed,2014FY,,FYR</t>
  </si>
  <si>
    <t>ANF.N,mscalc:epsForConsensusForThomsonFeed,2013FY,,FYR</t>
  </si>
  <si>
    <t>GPS.N,mscalc:epsForConsensusForThomsonFeed,2002FY,,FYR</t>
  </si>
  <si>
    <t>2,834.64017602148</t>
  </si>
  <si>
    <t>2.09654044208492</t>
  </si>
  <si>
    <t>1.90394752006955</t>
  </si>
  <si>
    <t>At January 31 of the following year</t>
  </si>
  <si>
    <t>12.  Average Shares Outstanding -- Fully Diluted</t>
  </si>
  <si>
    <t>13.  Weighted Average Basic Shares Outstanding</t>
  </si>
  <si>
    <t>INTERACTIVE</t>
  </si>
  <si>
    <t>Floor Space (Sq Ft millions)</t>
  </si>
  <si>
    <t>Statutory Tax Rate</t>
  </si>
  <si>
    <t>Federal taxes</t>
  </si>
  <si>
    <t>State Taxes</t>
  </si>
  <si>
    <t>Foreign taxes</t>
  </si>
  <si>
    <t>LEASE MODEL</t>
  </si>
  <si>
    <t>SKUL.O,mstag:revenueNet,2011FY,,FYR</t>
  </si>
  <si>
    <t>KORS.N,mstag:averageDilutedSharesOutstanding,2011Q3,,FYR</t>
  </si>
  <si>
    <t>JCP.N,mscalc:freeCashFlowForConsensus,2013FY,,FYR</t>
  </si>
  <si>
    <t>KSS.N,mscalc:ebitdaBeforePensionOpebAndOperatingLeaseAdjustments,2009FY</t>
  </si>
  <si>
    <t>Actual vs. MSe</t>
  </si>
  <si>
    <t>Summary</t>
  </si>
  <si>
    <t>Cumulative</t>
  </si>
  <si>
    <t>Interest and Other Expense/(Income)</t>
  </si>
  <si>
    <t>TIF</t>
  </si>
  <si>
    <t>JWN.N,mscalc:epsForConsensusForThomsonFeed,2002FY,,FYR</t>
  </si>
  <si>
    <t>SKUL.O,mscalc:freeCashFlowForConsensus,2009FY,,FYR</t>
  </si>
  <si>
    <t>10.451</t>
  </si>
  <si>
    <t>KORS.N,mscalc:freeCashFlowForConsensus,2009FY,,FYR</t>
  </si>
  <si>
    <t>TJX.N,mscalc:shortAndLongTermDebtAsif,2011FY,,FYR</t>
  </si>
  <si>
    <t>1,649.361</t>
  </si>
  <si>
    <t>COH.N,mscalc:ebitdaBeforePensionOpebAndOperatingLeaseAdjustments,2012Q3,,FYR</t>
  </si>
  <si>
    <t>337.492</t>
  </si>
  <si>
    <t>COH.N,mstag:revenueNet,2012Q3,,FYR</t>
  </si>
  <si>
    <t>JWN.N,mscalc:ebitdaBeforePensionOpebAndOperatingLeaseAdjustments,2010FY</t>
  </si>
  <si>
    <t>0.57350917841299</t>
  </si>
  <si>
    <t>452.898</t>
  </si>
  <si>
    <t>1,643.587</t>
  </si>
  <si>
    <t>56.67</t>
  </si>
  <si>
    <t>1.93532807981636</t>
  </si>
  <si>
    <t>M.N,mscalc:ebitdaBeforePensionOpebAndOperatingLeaseAdjustments,2011FY</t>
  </si>
  <si>
    <t>COH.N,mstag:revenueNet,2012Q4,,FYR</t>
  </si>
  <si>
    <t>ROST.O,mscalc:ebitdaBeforePensionOpebAndOperatingLeaseAdjustments,2011FY</t>
  </si>
  <si>
    <t>1,223.358</t>
  </si>
  <si>
    <t>AEO.N,mscalc:epsForConsensusForThomsonFeed,2006FY,,FYR</t>
  </si>
  <si>
    <t>SKUL.O,mstag:bullCaseValueEstimatePerShare</t>
  </si>
  <si>
    <t>28</t>
  </si>
  <si>
    <t>PLCE.O,mscalc:freeCashFlowForConsensus,2012FY,,FYR</t>
  </si>
  <si>
    <t>61.5908185510699</t>
  </si>
  <si>
    <t>TIF.N,mscalc:epsForConsensusForThomsonFeed,2007FY,,FYR</t>
  </si>
  <si>
    <t>2.46916171999421</t>
  </si>
  <si>
    <t>ANN.N,mscalc:ebitdaBeforePensionOpebAndOperatingLeaseAdjustments,2011FY</t>
  </si>
  <si>
    <t>245.161</t>
  </si>
  <si>
    <t>ANN.N,mscalc:ebitdaBeforePensionOpebAndOperatingLeaseAdjustments,2010FY</t>
  </si>
  <si>
    <t>220.937</t>
  </si>
  <si>
    <t>10.  GAAP Net Earnings (% Change)</t>
  </si>
  <si>
    <t>11.  GAAP Earnings Per Share -- Fully Diluted   (% Change)</t>
  </si>
  <si>
    <t>NA</t>
  </si>
  <si>
    <t>For the fiscal year ending January 31 of the following year</t>
  </si>
  <si>
    <t xml:space="preserve">Net Sales ($MM) </t>
  </si>
  <si>
    <t>Accrued Liabilities / SG&amp;A</t>
  </si>
  <si>
    <t>TOTAL EXTERNAL SOURCES</t>
  </si>
  <si>
    <t>GPS.N,mscalc:freeCashFlowForConsensus,2013FY,,FYR</t>
  </si>
  <si>
    <t>TJX.N,mscalc:freeCashFlowForConsensus,2013FY,,FYR</t>
  </si>
  <si>
    <t>COH.N,mstag:averageDilutedSharesOutstanding,2005Q2,,FYR</t>
  </si>
  <si>
    <t>AEO.N,mscalc:epsForConsensusForThomsonFeed,2009FY,,FYR</t>
  </si>
  <si>
    <t>CHRS.US,mscalc:targetPrice</t>
  </si>
  <si>
    <t>TIF.N,mscalc:ebitdaBeforePensionOpebAndOperatingLeaseAdjustments,2011FY</t>
  </si>
  <si>
    <t>COH.N,mstag:averageDilutedSharesOutstanding,2008Q2,,FYR</t>
  </si>
  <si>
    <t>SSI.US,mscalc:stockRating</t>
  </si>
  <si>
    <t>COH.N,mscalc:ebitdaBeforePensionOpebAndOperatingLeaseAdjustments,2012Q4,,FYR</t>
  </si>
  <si>
    <t>Stock price</t>
  </si>
  <si>
    <t>Risk/reward</t>
  </si>
  <si>
    <t>Mulitple</t>
  </si>
  <si>
    <t>Scenario</t>
  </si>
  <si>
    <t>Difference</t>
  </si>
  <si>
    <t>Upside</t>
  </si>
  <si>
    <t>Downside</t>
  </si>
  <si>
    <t>14.  Dividend Per Share -- Fully Diluted</t>
  </si>
  <si>
    <t>Expected payments forecast year 17</t>
  </si>
  <si>
    <t>Expected payments forecast year 18</t>
  </si>
  <si>
    <t>Expected payments forecast year 19</t>
  </si>
  <si>
    <t>Expected payments forecast year 20</t>
  </si>
  <si>
    <t>Expected payments forecast year 21</t>
  </si>
  <si>
    <t>Expected payments forecast year 22</t>
  </si>
  <si>
    <t>Expected payments forecast year 23</t>
  </si>
  <si>
    <t>Expected payments forecast year 24</t>
  </si>
  <si>
    <t>Expected payments forecast year 25</t>
  </si>
  <si>
    <t>Expected payments forecast year 26</t>
  </si>
  <si>
    <t>51.9061138740175</t>
  </si>
  <si>
    <t>1.13540692444041</t>
  </si>
  <si>
    <t>1.70938972591492</t>
  </si>
  <si>
    <t>449.413</t>
  </si>
  <si>
    <t>($ millions except per-share data)</t>
  </si>
  <si>
    <t>LTD.N,mstag:bearCaseValueEstimatePerShare</t>
  </si>
  <si>
    <t>40</t>
  </si>
  <si>
    <t>3.4558212359009</t>
  </si>
  <si>
    <t>147.39</t>
  </si>
  <si>
    <t>1,281.87273316925</t>
  </si>
  <si>
    <t>1,567.1</t>
  </si>
  <si>
    <t>101.672</t>
  </si>
  <si>
    <t>1.34492350486787</t>
  </si>
  <si>
    <t>78</t>
  </si>
  <si>
    <t>1,182.69191030863</t>
  </si>
  <si>
    <t>4.71</t>
  </si>
  <si>
    <t>2.64886613021214</t>
  </si>
  <si>
    <t>18,804</t>
  </si>
  <si>
    <t>136.266</t>
  </si>
  <si>
    <t>173.848</t>
  </si>
  <si>
    <t>1.19755359650115</t>
  </si>
  <si>
    <t>2,196.36</t>
  </si>
  <si>
    <t>214.983</t>
  </si>
  <si>
    <t>1,370.63226934279</t>
  </si>
  <si>
    <t>41</t>
  </si>
  <si>
    <t>296.99978016442</t>
  </si>
  <si>
    <t>2.78885184176872</t>
  </si>
  <si>
    <t>598.232865023034</t>
  </si>
  <si>
    <t>1,280.11032322261</t>
  </si>
  <si>
    <t>AEO.N,mscalc:closePriceCurrencyCalc</t>
  </si>
  <si>
    <t>URBN.O,mscalc:lastActualPeriodCalc</t>
  </si>
  <si>
    <t>COH.N,mscalc:netIncomeBeforeOperatingLeaseAdjustment,2008Q4,,FYR</t>
  </si>
  <si>
    <t>COH.N,mscalc:netIncomeBeforeOperatingLeaseAdjustment,2005Q3,,FYR</t>
  </si>
  <si>
    <t>AEO.N,mscalc:ebitdaBeforePensionOpebAndOperatingLeaseAdjustments,2011FY</t>
  </si>
  <si>
    <t>PLCE.O,mstag:revenueNet,2011FY,,FYR</t>
  </si>
  <si>
    <t>Bear</t>
  </si>
  <si>
    <t>Bull</t>
  </si>
  <si>
    <t>Base</t>
  </si>
  <si>
    <t>Gross Margin</t>
  </si>
  <si>
    <t>168.1</t>
  </si>
  <si>
    <t>765.698615109458</t>
  </si>
  <si>
    <t>85.7040335731412</t>
  </si>
  <si>
    <t>195.745995</t>
  </si>
  <si>
    <t>1.30471301127756</t>
  </si>
  <si>
    <t>1.98291428016697</t>
  </si>
  <si>
    <t>2.10340605823474</t>
  </si>
  <si>
    <t>20.8796</t>
  </si>
  <si>
    <t>739.939</t>
  </si>
  <si>
    <t>490.307231029288</t>
  </si>
  <si>
    <t>AEO.N,mscalc:epsForConsensusForThomsonFeed,2005FY,,FYR</t>
  </si>
  <si>
    <t>ROST.O,mstag:revenueNet,2012FY,,FYR</t>
  </si>
  <si>
    <t>COH.N,mscalc:netIncomeBeforeOperatingLeaseAdjustment,2004Q3,,FYR</t>
  </si>
  <si>
    <t>ARO.N,mstag:revenueNet,2012FY,,FYR</t>
  </si>
  <si>
    <t>M.N,mscalc:freeCashFlowForConsensus,2010FY,,FYR</t>
  </si>
  <si>
    <t>COH.N,mstag:averageDilutedSharesOutstanding,2004Q3,,FYR</t>
  </si>
  <si>
    <t>SKUL.O,mscalc:freeCashFlowForConsensus,2012FY,,FYR</t>
  </si>
  <si>
    <t>AEO.N,mscalc:epsForConsensusForThomsonFeed,2015FY,,CY</t>
  </si>
  <si>
    <t>LTD.N,mscalc:epsForConsensusForThomsonFeed,2006FY,,FYR</t>
  </si>
  <si>
    <t>ARO.N,mscalc:epsForConsensusForThomsonFeed,2008FY,,FYR</t>
  </si>
  <si>
    <t>COH.N,mstag:averageDilutedSharesOutstanding,2005Q4,,FYR</t>
  </si>
  <si>
    <t>PLCE.O,mscalc:epsForConsensusForThomsonFeed,2010FY,,FYR</t>
  </si>
  <si>
    <t>COH.N,mscalc:ebitdaBeforePensionOpebAndOperatingLeaseAdjustments,2010Q2,,FYR</t>
  </si>
  <si>
    <t>JCP.N,mscalc:freeCashFlowForConsensus,2011FY,,FYR</t>
  </si>
  <si>
    <t>COH.N,mscalc:netIncomeBeforeOperatingLeaseAdjustment,2013Q1,,FYR</t>
  </si>
  <si>
    <t>CHS.N,mstag:met_12monthIntrinsicValueEstimate</t>
  </si>
  <si>
    <t>KORS.N,mstag:averageDilutedSharesOutstanding,2014Q1,,FYR</t>
  </si>
  <si>
    <t>TJX.N,mstag:revenueNet,2010FY,,FYR</t>
  </si>
  <si>
    <t>ANN.N,mscalc:epsForConsensusForThomsonFeed,2007FY,,FYR</t>
  </si>
  <si>
    <t>COH.N,mstag:averageDilutedSharesOutstanding,2010Q2,,FYR</t>
  </si>
  <si>
    <t>AEO.N,mstag:met_12monthIntrinsicValueEstimate</t>
  </si>
  <si>
    <t>ZAV(TF.FN.InterestExpenseOnDebt(period=FY0,sdate=-8FY,edate=0FY,curn=#1,scale=6))</t>
  </si>
  <si>
    <t>Short Term Debt and Current Portion Long Term Debt</t>
  </si>
  <si>
    <t>ZAV(TF.FN.STDebtAndCurrentPortionLTDebt(period=FY0,sdate=-8FY,edate=0FY,curn=#1,scale=6))</t>
  </si>
  <si>
    <t>Long Term Debt excluding Capitalized Leases</t>
  </si>
  <si>
    <t>KORS.N,mstag:averageDilutedSharesOutstanding,2014Q2,,FYR</t>
  </si>
  <si>
    <t>COH.N,mstag:averageDilutedSharesOutstanding,2010Q3,,FYR</t>
  </si>
  <si>
    <t>ANN.N,mscalc:stockRating</t>
  </si>
  <si>
    <t>JCP.N,mstag:bearCaseValueEstimatePerShare</t>
  </si>
  <si>
    <t>URBN.O,mscalc:epsForConsensusForThomsonFeed,2012FY,,FYR</t>
  </si>
  <si>
    <t>TIF.N,mscalc:ebitdaBeforePensionOpebAndOperatingLeaseAdjustments,2013FY</t>
  </si>
  <si>
    <t>TIF.N,mscalc:ebitdaBeforePensionOpebAndOperatingLeaseAdjustments,2012FY</t>
  </si>
  <si>
    <t>GPS.N,mscalc:freeCashFlowForConsensus,2009FY,,FYR</t>
  </si>
  <si>
    <t>TIF.N,mscalc:ebitdaBeforePensionOpebAndOperatingLeaseAdjustments,2010FY</t>
  </si>
  <si>
    <t>JOSB.US,mscalc:stockRating</t>
  </si>
  <si>
    <t>COH.N,mstag:averageDilutedSharesOutstanding,2011Q4,,FYR</t>
  </si>
  <si>
    <t>216.906</t>
  </si>
  <si>
    <t>SKUL.O,mscalc:freeCashFlowForConsensus,2013FY,,FYR</t>
  </si>
  <si>
    <t>COH.N,mstag:revenueNet,2011Q2,,FYR</t>
  </si>
  <si>
    <t>LULU.O,mscalc:ebitdaBeforePensionOpebAndOperatingLeaseAdjustments,2012FY</t>
  </si>
  <si>
    <t>282.757088805423</t>
  </si>
  <si>
    <t>448.152</t>
  </si>
  <si>
    <t>SKS.N,mscalc:epsForConsensusForThomsonFeed,2009FY,,FYR</t>
  </si>
  <si>
    <t>JWN.N,mscalc:freeCashFlowForConsensus,2013FY,,FYR</t>
  </si>
  <si>
    <t>TEA.N,mscalc:freeCashFlowForConsensus,2011FY,,FYR</t>
  </si>
  <si>
    <t>EXPR.N,mscalc:ebitdaBeforePensionOpebAndOperatingLeaseAdjustments,2010FY</t>
  </si>
  <si>
    <t>GPS.N,mscalc:ebitdaBeforePensionOpebAndOperatingLeaseAdjustments,2009FY</t>
  </si>
  <si>
    <t>LULU.O,mstag:revenueNet,2009FY,,FYR</t>
  </si>
  <si>
    <t>LULU.O,mstag:revenueNet,2013FY,,FYR</t>
  </si>
  <si>
    <t>ANN.N,mscalc:shortAndLongTermDebtAsif,2011FY,,FYR</t>
  </si>
  <si>
    <t>PLCE.O,mstag:revenueNet,2009FY,,FYR</t>
  </si>
  <si>
    <t>AEO.N,mscalc:shortAndLongTermDebtAsif,2011FY,,FYR</t>
  </si>
  <si>
    <t>CHS.N,mscalc:epsForConsensusForThomsonFeed,2015FY,,FYR</t>
  </si>
  <si>
    <t>AEO.N,mscalc:epsForConsensusForThomsonFeed,2013FY,,FYR</t>
  </si>
  <si>
    <t>ANF.N,mscalc:epsForConsensusForThomsonFeed,2002FY,,FYR</t>
  </si>
  <si>
    <t>LTD.N,mstag:revenueNet,2013FY,,FYR</t>
  </si>
  <si>
    <t>AEO.N,mscalc:epsForConsensusForThomsonFeed,2014FY,,FYR</t>
  </si>
  <si>
    <t>PLCE.O,mscalc:epsForConsensusForThomsonFeed,2013FY,,FYR</t>
  </si>
  <si>
    <t>TIF.N,mscalc:epsForConsensusForThomsonFeed,2015FY,,FYR</t>
  </si>
  <si>
    <t>ARO.N,mstag:revenueNet,2013FY,,FYR</t>
  </si>
  <si>
    <t>Less:  Income Taxes Payable and Other     (Y-o-Y % Change vs. % Sales Growth)</t>
  </si>
  <si>
    <t>Interest Expense/(Income)</t>
  </si>
  <si>
    <t>6.  Interest Expense (Income)</t>
  </si>
  <si>
    <t xml:space="preserve">                                                                          </t>
  </si>
  <si>
    <t>777.744</t>
  </si>
  <si>
    <t>1,031.675</t>
  </si>
  <si>
    <t>21</t>
  </si>
  <si>
    <t>81.8083263084213</t>
  </si>
  <si>
    <t>371.128721454848</t>
  </si>
  <si>
    <t>389.972</t>
  </si>
  <si>
    <t>314.55908</t>
  </si>
  <si>
    <t>0.667052020825015</t>
  </si>
  <si>
    <t>1.79895671631199</t>
  </si>
  <si>
    <t>0.970667563357445</t>
  </si>
  <si>
    <t>70</t>
  </si>
  <si>
    <t>950.706</t>
  </si>
  <si>
    <t>14</t>
  </si>
  <si>
    <t>27.719</t>
  </si>
  <si>
    <t>223.247</t>
  </si>
  <si>
    <t>1.16300879564406</t>
  </si>
  <si>
    <t>3,120.065</t>
  </si>
  <si>
    <t>57.622173840485</t>
  </si>
  <si>
    <t>(0.793120032210842)</t>
  </si>
  <si>
    <t>60.981</t>
  </si>
  <si>
    <t>JWN.N,mscalc:epsForConsensusForThomsonFeed,2013FY,,FYR</t>
  </si>
  <si>
    <t>SKS.N,mscalc:freeCashFlowForConsensus,2013FY,,FYR</t>
  </si>
  <si>
    <t>2.19587786254621</t>
  </si>
  <si>
    <t>1.01330793320596</t>
  </si>
  <si>
    <t>885.526999999999</t>
  </si>
  <si>
    <t>2.92741237420968</t>
  </si>
  <si>
    <t>25,081.2648442318</t>
  </si>
  <si>
    <t>115.239</t>
  </si>
  <si>
    <t>3,342.39581288988</t>
  </si>
  <si>
    <t>2,121.17694</t>
  </si>
  <si>
    <t>2,137.66128765769</t>
  </si>
  <si>
    <t>2,530</t>
  </si>
  <si>
    <t>1,944</t>
  </si>
  <si>
    <t>1.04632242343701</t>
  </si>
  <si>
    <t>1,888.5720519487</t>
  </si>
  <si>
    <t>0.306349334187654</t>
  </si>
  <si>
    <t>1,002.79675927392</t>
  </si>
  <si>
    <t>2.85748449878686</t>
  </si>
  <si>
    <t>87.887</t>
  </si>
  <si>
    <t>1,000.839</t>
  </si>
  <si>
    <t>Year</t>
  </si>
  <si>
    <t>6 Mos</t>
  </si>
  <si>
    <t>9 Mos</t>
  </si>
  <si>
    <t>2.  Cost of Goods Sold   (% Gross Margin)</t>
  </si>
  <si>
    <t>Balance Sheet</t>
  </si>
  <si>
    <t>($ in millions)</t>
  </si>
  <si>
    <t>Accounts receivable</t>
  </si>
  <si>
    <t>Prepaid expenses</t>
  </si>
  <si>
    <t>Proceeds (net of purchase) from ST investments</t>
  </si>
  <si>
    <t>Proceeds from sale of assets</t>
  </si>
  <si>
    <t>Notes receivable funded</t>
  </si>
  <si>
    <t>Acquisitions, net of cash acquired</t>
  </si>
  <si>
    <t>Tiffany Americas</t>
  </si>
  <si>
    <t>Tiffany Europe</t>
  </si>
  <si>
    <t>Long-term debt</t>
  </si>
  <si>
    <t>TOTAL LIABILITIES AND S/H EQUITY</t>
  </si>
  <si>
    <t>Sales</t>
  </si>
  <si>
    <t>COGS</t>
  </si>
  <si>
    <t>SG&amp;A</t>
  </si>
  <si>
    <t>Ratio calculations:</t>
  </si>
  <si>
    <t>Net Income</t>
  </si>
  <si>
    <t>A/R / Sales</t>
  </si>
  <si>
    <t>A/P / Inventory</t>
  </si>
  <si>
    <t>Merchandise Inventory / Sales</t>
  </si>
  <si>
    <t>Cash Flow Statement</t>
  </si>
  <si>
    <t>($ millions)</t>
  </si>
  <si>
    <t>$ in Millions</t>
  </si>
  <si>
    <t>% Change</t>
  </si>
  <si>
    <t>Quarterly</t>
  </si>
  <si>
    <t>Stores</t>
  </si>
  <si>
    <t>Inventory</t>
  </si>
  <si>
    <t>Inventory vs.</t>
  </si>
  <si>
    <t>Open</t>
  </si>
  <si>
    <t>Y-o-Y</t>
  </si>
  <si>
    <t>Cost of</t>
  </si>
  <si>
    <t>End of</t>
  </si>
  <si>
    <t>Prior</t>
  </si>
  <si>
    <t>Following</t>
  </si>
  <si>
    <t>at End</t>
  </si>
  <si>
    <t>per</t>
  </si>
  <si>
    <t>Goods Sold</t>
  </si>
  <si>
    <t>Quarter</t>
  </si>
  <si>
    <t>Average</t>
  </si>
  <si>
    <t>Prior Year</t>
  </si>
  <si>
    <t>38</t>
  </si>
  <si>
    <t>TEA.N,mscalc:ebitdaBeforePensionOpebAndOperatingLeaseAdjustments,2009FY</t>
  </si>
  <si>
    <t>15.687</t>
  </si>
  <si>
    <t>PLCE.O,mscalc:epsForConsensusForThomsonFeed,2007FY,,FYR</t>
  </si>
  <si>
    <t>1.1767000497355</t>
  </si>
  <si>
    <t>TEA.N,mscalc:targetPrice</t>
  </si>
  <si>
    <t>LULU.O,mstag:revenueNet,2012FY,,FYR</t>
  </si>
  <si>
    <t>1,389.18821554609</t>
  </si>
  <si>
    <t>3.60317534905394</t>
  </si>
  <si>
    <t>AEO.N,mstag:cashAndCashEquivalents,2011Q3,,FYR</t>
  </si>
  <si>
    <t>TotalNonOperatingItemsX</t>
  </si>
  <si>
    <t>ExceptionalItemsX</t>
  </si>
  <si>
    <t>ExtraordinaryItemsX</t>
  </si>
  <si>
    <t>ANF.N,mstag:revenueNet,2010FY,,FYR</t>
  </si>
  <si>
    <t>PLCE.O,mscalc:freeCashFlowForConsensus,2010FY,,FYR</t>
  </si>
  <si>
    <t>EXPR.N,mscalc:ebitdaBeforePensionOpebAndOperatingLeaseAdjustments,2013FY</t>
  </si>
  <si>
    <t>TEA.N,mstag:revenueNet,2010FY,,FYR</t>
  </si>
  <si>
    <t>LTD.N,mscalc:freeCashFlowForConsensus,2010FY,,FYR</t>
  </si>
  <si>
    <t>ANN.N,mscalc:epsForConsensusForThomsonFeed,2011FY,,FYR</t>
  </si>
  <si>
    <t>WTSLA.US,mscalc:targetPrice</t>
  </si>
  <si>
    <t>SKS.N,mscalc:epsForConsensusForThomsonFeed,2014FY,,FYR</t>
  </si>
  <si>
    <t>TEA.N,mscalc:epsForConsensusForThomsonFeed,2007FY,,FYR</t>
  </si>
  <si>
    <t>PLCE.O,mscalc:epsForConsensusForThomsonFeed,2004FY,,FYR</t>
  </si>
  <si>
    <t>LTD.N,mscalc:epsForConsensusForThomsonFeed,2012FY,,FYR</t>
  </si>
  <si>
    <t>TJX.N,mstag:revenueNet,2012FY,,FYR</t>
  </si>
  <si>
    <t>COH.N,mscalc:netIncomeBeforeOperatingLeaseAdjustment,2007Q1,,FYR</t>
  </si>
  <si>
    <t>AEO.N,mstag:revenueNet,2012FY,,FYR</t>
  </si>
  <si>
    <t>GPS.N,mscalc:ebitdaBeforePensionOpebAndOperatingLeaseAdjustments,2012FY</t>
  </si>
  <si>
    <t>GPS.N,mscalc:ebitdaBeforePensionOpebAndOperatingLeaseAdjustments,2013FY</t>
  </si>
  <si>
    <t>GPS.N,mscalc:ebitdaBeforePensionOpebAndOperatingLeaseAdjustments,2010FY</t>
  </si>
  <si>
    <t>CHS.N,mscalc:ebitdaBeforePensionOpebAndOperatingLeaseAdjustments,2013FY</t>
  </si>
  <si>
    <t>CHS.N,mscalc:ebitdaBeforePensionOpebAndOperatingLeaseAdjustments,2010FY</t>
  </si>
  <si>
    <t>EXPR.N,mscalc:lastActualPeriodCalc</t>
  </si>
  <si>
    <t>ANF.N,mscalc:ebitdaBeforePensionOpebAndOperatingLeaseAdjustments,2009FY</t>
  </si>
  <si>
    <t>TEA.N,mscalc:epsForConsensusForThomsonFeed,2011FY,,FYR</t>
  </si>
  <si>
    <t>*Segment reporting changed 1Q08</t>
  </si>
  <si>
    <t>*Segment reporting changed</t>
  </si>
  <si>
    <t>Tiffany and Co. - Americas Retail</t>
  </si>
  <si>
    <t>Flagship NY Store Comp</t>
  </si>
  <si>
    <t>Branch Stores Comp</t>
  </si>
  <si>
    <t>U.S. Comp</t>
  </si>
  <si>
    <t>Net Sales    % Ch.</t>
  </si>
  <si>
    <t>Other Asia-Pac</t>
  </si>
  <si>
    <t>N/A</t>
  </si>
  <si>
    <t>Analysis of Space Productivity, 1990A-2009E</t>
  </si>
  <si>
    <t>Analysis of Space Productivity, 2006A-2009E</t>
  </si>
  <si>
    <t>Tiffany and Co. - Europe</t>
  </si>
  <si>
    <t>3,485.61951569662</t>
  </si>
  <si>
    <t>379.289</t>
  </si>
  <si>
    <t>1.80139710078758</t>
  </si>
  <si>
    <t>9,310</t>
  </si>
  <si>
    <t>240.95</t>
  </si>
  <si>
    <t>259.664873950883</t>
  </si>
  <si>
    <t>49</t>
  </si>
  <si>
    <t>1.57653791130186</t>
  </si>
  <si>
    <t>20,033.5616414056</t>
  </si>
  <si>
    <t>6.837</t>
  </si>
  <si>
    <t>347.495</t>
  </si>
  <si>
    <t>2.28197970799307</t>
  </si>
  <si>
    <t>1.12846347607053</t>
  </si>
  <si>
    <t>2.19145119805063</t>
  </si>
  <si>
    <t>0.978918700827113</t>
  </si>
  <si>
    <t>320.512</t>
  </si>
  <si>
    <t>195.801516</t>
  </si>
  <si>
    <t>76.339</t>
  </si>
  <si>
    <t>282.438877149734</t>
  </si>
  <si>
    <t>2.38493062257733</t>
  </si>
  <si>
    <t>146.541543999056</t>
  </si>
  <si>
    <t>1,450.05474577558</t>
  </si>
  <si>
    <t>510.628772330908</t>
  </si>
  <si>
    <t>761.437</t>
  </si>
  <si>
    <t>74</t>
  </si>
  <si>
    <t>115.125</t>
  </si>
  <si>
    <t>17.443</t>
  </si>
  <si>
    <t>LULU.O,mscalc:epsForConsensusForThomsonFeed,2008FY,,FYR</t>
  </si>
  <si>
    <t>COH.N,mscalc:freeCashFlowForConsensus,2012FY,,FYR</t>
  </si>
  <si>
    <t>KSS.N,mstag:met_12monthIntrinsicValueEstimate</t>
  </si>
  <si>
    <t>ROST.O,mscalc:epsForConsensusForThomsonFeed,2011FY,,FYR</t>
  </si>
  <si>
    <t>COH.N,mscalc:netIncomeBeforeOperatingLeaseAdjustment,2006Q1,,FYR</t>
  </si>
  <si>
    <t>LULU.O,mstag:revenueNet,2011FY,,FYR</t>
  </si>
  <si>
    <t>ARO.N,mscalc:epsForConsensusForThomsonFeed,2011FY,,FYR</t>
  </si>
  <si>
    <t>ANN.N,mscalc:epsForConsensusForThomsonFeed,2003FY,,FYR</t>
  </si>
  <si>
    <t>ANN.N,mscalc:epsForConsensusForThomsonFeed,2002FY,,FYR</t>
  </si>
  <si>
    <t>2013E</t>
  </si>
  <si>
    <t>Net issuances</t>
  </si>
  <si>
    <t>404.526539529346</t>
  </si>
  <si>
    <t>9,613.278</t>
  </si>
  <si>
    <t>3,013.593</t>
  </si>
  <si>
    <t>ARO.N,mstag:bearCaseValueEstimatePerShare</t>
  </si>
  <si>
    <t>7.5</t>
  </si>
  <si>
    <t>ROST.O,mscalc:epsForConsensusForThomsonFeed,2006FY,,FYR</t>
  </si>
  <si>
    <t>COH.N,mstag:revenueNet,2012Q2,,FYR</t>
  </si>
  <si>
    <t>KORS.N,mstag:averageDilutedSharesOutstanding,2012Q3,,FYR</t>
  </si>
  <si>
    <t>KORS.N,mstag:revenueNet,2012FY,,FYR</t>
  </si>
  <si>
    <t>COH.N,mscalc:netIncomeBeforeOperatingLeaseAdjustment,2006Q4,,FYR</t>
  </si>
  <si>
    <t>SKUL.O,mscalc:epsForConsensusForThomsonFeed,2011FY,,FYR</t>
  </si>
  <si>
    <t>LULU.O,mscalc:freeCashFlowForConsensus,2011FY,,CY</t>
  </si>
  <si>
    <t>KORS.N,mscalc:freeCashFlowForConsensus,2013FY,,FYR</t>
  </si>
  <si>
    <t>ROST.O,mscalc:freeCashFlowForConsensus,2012FY,,FYR</t>
  </si>
  <si>
    <t>COH.N,mstag:averageDilutedSharesOutstanding,2011Q2,,FYR</t>
  </si>
  <si>
    <t>2,400.434</t>
  </si>
  <si>
    <t>ANN.N,mscalc:freeCashFlowForConsensus,2011FY,,FYR</t>
  </si>
  <si>
    <t>88.91024</t>
  </si>
  <si>
    <t>JCP.N,mscalc:ebitdaBeforePensionOpebAndOperatingLeaseAdjustments,2009FY</t>
  </si>
  <si>
    <t>1,158</t>
  </si>
  <si>
    <t>ANF.N,mscalc:epsForConsensusForThomsonFeed,2008FY,,FYR</t>
  </si>
  <si>
    <t>3.45131088239576</t>
  </si>
  <si>
    <t>TJX.N,mstag:bearCaseValueEstimatePerShare</t>
  </si>
  <si>
    <t>29</t>
  </si>
  <si>
    <t>EXPR.N,mscalc:epsForConsensusForThomsonFeed,2010FY,,FYR</t>
  </si>
  <si>
    <t>1.41533991865195</t>
  </si>
  <si>
    <t>COH.N,mstag:averageDilutedSharesOutstanding,2005Q1,,FYR</t>
  </si>
  <si>
    <t>389.492</t>
  </si>
  <si>
    <t>COH.N,mscalc:netIncomeBeforeOperatingLeaseAdjustment,2007Q2,,FYR</t>
  </si>
  <si>
    <t>214.497</t>
  </si>
  <si>
    <t>SKS.N,mscalc:ebitdaBeforePensionOpebAndOperatingLeaseAdjustments,2010FY</t>
  </si>
  <si>
    <t>SKS.N,mscalc:ebitdaBeforePensionOpebAndOperatingLeaseAdjustments,2011FY</t>
  </si>
  <si>
    <t>SKS.N,mscalc:ebitdaBeforePensionOpebAndOperatingLeaseAdjustments,2012FY</t>
  </si>
  <si>
    <t>SKS.N,mscalc:ebitdaBeforePensionOpebAndOperatingLeaseAdjustments,2013FY</t>
  </si>
  <si>
    <t>TJX.N,mscalc:epsForConsensusForThomsonFeed,2011FY,,FYR</t>
  </si>
  <si>
    <t>LULU.O,mscalc:epsForConsensusForThomsonFeed,2012FY,,FYR</t>
  </si>
  <si>
    <t>SKUL.O,mscalc:epsForConsensusForThomsonFeed,2012FY,,FYR</t>
  </si>
  <si>
    <t>COH.N,mstag:averageDilutedSharesOutstanding,2008Q4,,FYR</t>
  </si>
  <si>
    <t>TEA.N,mstag:revenueNet,2011FY,,FYR</t>
  </si>
  <si>
    <t>LTD.N,mscalc:freeCashFlowForConsensus,2013FY,,FYR</t>
  </si>
  <si>
    <t>SKS.N,mstag:bearCaseValueEstimatePerShare</t>
  </si>
  <si>
    <t>COH.N,mscalc:stockRating</t>
  </si>
  <si>
    <t>COH.N,mstag:revenueNet,2013Q3,,FYR</t>
  </si>
  <si>
    <t>COH.N,mstag:averageDilutedSharesOutstanding,2010Q1,,FYR</t>
  </si>
  <si>
    <t>KSS.N,mscalc:epsForConsensusForThomsonFeed,2013FY,,FYR</t>
  </si>
  <si>
    <t>SKS.N,mstag:revenueNet,2013FY,,FYR</t>
  </si>
  <si>
    <t>3a.  Depreciation and Amortization   (% of Sales)</t>
  </si>
  <si>
    <t>Average Basic shares</t>
  </si>
  <si>
    <t>Period end shares</t>
  </si>
  <si>
    <t>2013A</t>
  </si>
  <si>
    <t>FY: Increasing y/y</t>
  </si>
  <si>
    <t>FY13 $65-$70m</t>
  </si>
  <si>
    <t>FY: ~35%</t>
  </si>
  <si>
    <t>% y/y</t>
  </si>
  <si>
    <t>M.N,mscalc:epsForConsensusForThomsonFeed,2009FY,,FYR</t>
  </si>
  <si>
    <t>JCP.N,mstag:revenueNet,2011FY,,FYR</t>
  </si>
  <si>
    <t>URBN.O,mscalc:epsForConsensusForThomsonFeed,2009FY,,FYR</t>
  </si>
  <si>
    <t>ANN.N,mscalc:epsForConsensusForThomsonFeed,2005FY,,FYR</t>
  </si>
  <si>
    <t>TIF.N,mscalc:epsForConsensusForThomsonFeed,2009FY,,FYR</t>
  </si>
  <si>
    <t>KORS.N,mstag:averageDilutedSharesOutstanding,2010Q3,,FYR</t>
  </si>
  <si>
    <t>URBN.O,mscalc:epsForConsensusForThomsonFeed,2014FY,,FYR</t>
  </si>
  <si>
    <t>ANF.N,mstag:revenueNet,2009FY,,FYR</t>
  </si>
  <si>
    <t>LULU.O,mscalc:epsForConsensusForThomsonFeed,2014FY,,FYR</t>
  </si>
  <si>
    <t>TIF.N,mscalc:epsForConsensusForThomsonFeed,2013FY,,FYR</t>
  </si>
  <si>
    <t>TEA.N,mscalc:epsForConsensusForThomsonFeed,2014FY,,FYR</t>
  </si>
  <si>
    <t>EXPR.N,mscalc:epsForConsensusForThomsonFeed,2002FY,,FYR</t>
  </si>
  <si>
    <t>ROST.O,mstag:revenueNet,2009FY,,FYR</t>
  </si>
  <si>
    <t>TJX.N,mscalc:epsForConsensusForThomsonFeed,2013FY,,FYR</t>
  </si>
  <si>
    <t>ANF.N,mscalc:shortAndLongTermDebtAsif,2012Q1,,FYR</t>
  </si>
  <si>
    <t>TIF.N,mscalc:epsForConsensusForThomsonFeed,2014FY,,FYR</t>
  </si>
  <si>
    <t>ANN.N,mstag:cashAndCashEquivalents,2011FY,,FYR</t>
  </si>
  <si>
    <t>SKUL.O,mstag:revenueNet,2013FY,,FYR</t>
  </si>
  <si>
    <t>GPS.N,mstag:revenueNet,2009FY,,FYR</t>
  </si>
  <si>
    <t>TJX.N,mscalc:epsForConsensusForThomsonFeed,2003FY,,FYR</t>
  </si>
  <si>
    <t>TJX.N,mscalc:freeCashFlowForConsensus,2012FY,,FYR</t>
  </si>
  <si>
    <t>ANF.N,mscalc:epsForConsensusForThomsonFeed,2007FY,,FYR</t>
  </si>
  <si>
    <t>SKUL.O,mscalc:lastActualPeriodCalc</t>
  </si>
  <si>
    <t>CHRS.US,mscalc:stockRating</t>
  </si>
  <si>
    <t>LTD.N,mscalc:epsForConsensusForThomsonFeed,2004FY,,FYR</t>
  </si>
  <si>
    <t>URBN.O,mscalc:ebitdaBeforePensionOpebAndOperatingLeaseAdjustments,2009FY</t>
  </si>
  <si>
    <t>WTSLA.US,mscalc:stockRating</t>
  </si>
  <si>
    <t>TJX.N,mscalc:stockRating</t>
  </si>
  <si>
    <t>COH.N,mscalc:ebitdaBeforePensionOpebAndOperatingLeaseAdjustments,2013Q4,,FYR</t>
  </si>
  <si>
    <t>ANF.N,mscalc:ebitdaBeforePensionOpebAndOperatingLeaseAdjustments,2012FY</t>
  </si>
  <si>
    <t>COH.N,mscalc:ebitdaBeforePensionOpebAndOperatingLeaseAdjustments,2014Q2,,FYR</t>
  </si>
  <si>
    <t>COH.N,mscalc:netIncomeBeforeOperatingLeaseAdjustment,2003Q3,,FYR</t>
  </si>
  <si>
    <t>TIF.N,mscalc:lastActualPeriodCalc</t>
  </si>
  <si>
    <t>URBN.O,mscalc:epsForConsensusForThomsonFeed,2007FY,,FYR</t>
  </si>
  <si>
    <t>COH.N,mscalc:netIncomeBeforeOperatingLeaseAdjustment,2013Q2,,FYR</t>
  </si>
  <si>
    <t>Tiffany and Co. - Specialty Retail</t>
  </si>
  <si>
    <t>Store count and square footage</t>
  </si>
  <si>
    <t>(Gain) loss on equity investments</t>
  </si>
  <si>
    <t>NWY.US,mscalc:stockRating</t>
  </si>
  <si>
    <t>SKUL.O,mscalc:epsForConsensusForThomsonFeed,2008FY,,FYR</t>
  </si>
  <si>
    <t>TIF.N,mscalc:epsForConsensusForThomsonFeed,2011FY,,FYR</t>
  </si>
  <si>
    <t>Increase in long-term debt</t>
  </si>
  <si>
    <t>Repurchase of stock</t>
  </si>
  <si>
    <t>Beginning cash balance</t>
  </si>
  <si>
    <t>Ending cash balance</t>
  </si>
  <si>
    <t>Increase (decrease) in cash</t>
  </si>
  <si>
    <t xml:space="preserve">       </t>
  </si>
  <si>
    <t>TIF.N,mstag:revenueNet,2013FY,,FYR</t>
  </si>
  <si>
    <t>LTD.N,mscalc:epsForConsensusForThomsonFeed,2014FY,,FYR</t>
  </si>
  <si>
    <t>3.70318573493037</t>
  </si>
  <si>
    <t>159.403</t>
  </si>
  <si>
    <t>2.93085992866377</t>
  </si>
  <si>
    <t>LTD.N,mscalc:ebitdaBeforePensionOpebAndOperatingLeaseAdjustments,2010FY</t>
  </si>
  <si>
    <t>M.N,mstag:bearCaseValueEstimatePerShare</t>
  </si>
  <si>
    <t>COH.N,mstag:averageDilutedSharesOutstanding,2009Q4,,FYR</t>
  </si>
  <si>
    <t>ANF.N,mstag:bearCaseValueEstimatePerShare</t>
  </si>
  <si>
    <t>KORS.N,mstag:averageDilutedSharesOutstanding,2012Q2,,FYR</t>
  </si>
  <si>
    <t>SKUL.O,mstag:revenueNet,2012FY,,FYR</t>
  </si>
  <si>
    <t>CWTR.US,mscalc:targetPrice</t>
  </si>
  <si>
    <t>CHS.N,mscalc:freeCashFlowForConsensus,2009FY,,FYR</t>
  </si>
  <si>
    <t>TIF.N,mscalc:epsForConsensusForThomsonFeed,2008FY,,FYR</t>
  </si>
  <si>
    <t>TJX.N,mscalc:ebitdaBeforePensionOpebAndOperatingLeaseAdjustments,2012FY</t>
  </si>
  <si>
    <t>2.20692086134141</t>
  </si>
  <si>
    <t>891</t>
  </si>
  <si>
    <t>204.666149186064</t>
  </si>
  <si>
    <t>2,945.294</t>
  </si>
  <si>
    <t>453.335</t>
  </si>
  <si>
    <t>COH.N,mscalc:lastActualPeriodCalc</t>
  </si>
  <si>
    <t>2012Q3</t>
  </si>
  <si>
    <t>URBN.O,mstag:met_12monthIntrinsicValueEstimate</t>
  </si>
  <si>
    <t>AEO.N,mscalc:epsForConsensusForThomsonFeed,2008FY,,FYR</t>
  </si>
  <si>
    <t>ROST.O,mscalc:freeCashFlowForConsensus,2010FY,,FYR</t>
  </si>
  <si>
    <t>COH.N,mscalc:netIncomeBeforeOperatingLeaseAdjustment,2005Q4,,FYR</t>
  </si>
  <si>
    <t>PLCE.O,mstag:revenueNet,2010FY,,FYR</t>
  </si>
  <si>
    <t>TIF.N,mscalc:freeCashFlowForConsensus,2010FY,,FYR</t>
  </si>
  <si>
    <t>ANF.N,mscalc:epsForConsensusForThomsonFeed,2005FY,,FYR</t>
  </si>
  <si>
    <t>M.N,mscalc:ebitdaBeforePensionOpebAndOperatingLeaseAdjustments,2010FY</t>
  </si>
  <si>
    <t>LULU.O,mstag:bullCaseValueEstimatePerShare</t>
  </si>
  <si>
    <t>GPS.N,mscalc:stockRating</t>
  </si>
  <si>
    <t>EXPR.N,mstag:met_12monthIntrinsicValueEstimate</t>
  </si>
  <si>
    <t>ARO.N,mscalc:freeCashFlowForConsensus,2013FY,,FYR</t>
  </si>
  <si>
    <t>KORS.N,mstag:averageDilutedSharesOutstanding,2014Q3,,FYR</t>
  </si>
  <si>
    <t>ARO.N,mstag:revenueNet,2011FY,,FYR</t>
  </si>
  <si>
    <t>TIF.N,mscalc:stockRating</t>
  </si>
  <si>
    <t>KORS.N,mstag:met_12monthIntrinsicValueEstimate</t>
  </si>
  <si>
    <t>KORS.N,mscalc:netIncomeBeforeOperatingLeaseAdjustment,2012Q2,,FYR</t>
  </si>
  <si>
    <t>TIF.N,mstag:bearCaseValueEstimatePerShare</t>
  </si>
  <si>
    <t>ARO.N,mscalc:epsForConsensusForThomsonFeed,2007FY,,FYR</t>
  </si>
  <si>
    <t>M.N,mscalc:epsForConsensusForThomsonFeed,2002FY,,FYR</t>
  </si>
  <si>
    <t>ARO.N,mscalc:ebitdaBeforePensionOpebAndOperatingLeaseAdjustments,2010FY</t>
  </si>
  <si>
    <t>EXPR.N,mscalc:stockRating</t>
  </si>
  <si>
    <t>Currency 1</t>
  </si>
  <si>
    <t>Currency 2</t>
  </si>
  <si>
    <t>Currency 3</t>
  </si>
  <si>
    <t>Avg FX</t>
  </si>
  <si>
    <t>Rate</t>
  </si>
  <si>
    <t>Chg</t>
  </si>
  <si>
    <t>(Col F)</t>
  </si>
  <si>
    <t>EXPR.N,mscalc:epsForConsensusForThomsonFeed,2009FY,,FYR</t>
  </si>
  <si>
    <t>SKS.N,mscalc:epsForConsensusForThomsonFeed,2002FY,,FYR</t>
  </si>
  <si>
    <t>KSS.N,mscalc:epsForConsensusForThomsonFeed,2011FY,,FYR</t>
  </si>
  <si>
    <t>URBN.O,mscalc:stockRating</t>
  </si>
  <si>
    <t>COH.N,mstag:averageDilutedSharesOutstanding,2012Q2,,FYR</t>
  </si>
  <si>
    <t>JWN.N,mscalc:freeCashFlowForConsensus,2010FY,,FYR</t>
  </si>
  <si>
    <t>CHS.N,mstag:revenueNet,2010FY,,FYR</t>
  </si>
  <si>
    <t>KORS.N,mscalc:netIncomeBeforeOperatingLeaseAdjustment,2010Q2,,FYR</t>
  </si>
  <si>
    <t>ANN.N,mstag:revenueNet,2010FY,,FYR</t>
  </si>
  <si>
    <t>PLCE.O,mscalc:ebitdaBeforePensionOpebAndOperatingLeaseAdjustments,2012FY</t>
  </si>
  <si>
    <t>192.317991316619</t>
  </si>
  <si>
    <t>2.42844868087661</t>
  </si>
  <si>
    <t>URBN.O,mscalc:ebitdaBeforePensionOpebAndOperatingLeaseAdjustments,2012FY</t>
  </si>
  <si>
    <t>457.987005202577</t>
  </si>
  <si>
    <t>ROST.O,mscalc:lastActualPeriodCalc</t>
  </si>
  <si>
    <t>AEO.N,mscalc:epsForConsensusForThomsonFeed,2010FY,,FYR</t>
  </si>
  <si>
    <t>1.08975215292987</t>
  </si>
  <si>
    <t>LTD.N,mscalc:epsForConsensusForThomsonFeed,2005FY,,FYR</t>
  </si>
  <si>
    <t>PLCE.O,mstag:bearCaseValueEstimatePerShare</t>
  </si>
  <si>
    <t>TJX.N,mscalc:ebitdaBeforePensionOpebAndOperatingLeaseAdjustments,2010FY</t>
  </si>
  <si>
    <t>TJX.N,mscalc:ebitdaBeforePensionOpebAndOperatingLeaseAdjustments,2011FY</t>
  </si>
  <si>
    <t>TJX.N,mscalc:ebitdaBeforePensionOpebAndOperatingLeaseAdjustments,2013FY</t>
  </si>
  <si>
    <t>GPS.N,mscalc:epsForConsensusForThomsonFeed,2005FY,,FYR</t>
  </si>
  <si>
    <t>ANF.N,mstag:met_12monthIntrinsicValueEstimate</t>
  </si>
  <si>
    <t>KORS.N,mscalc:epsForConsensusForThomsonFeed,2013FY,,FYR</t>
  </si>
  <si>
    <t>COH.N,mscalc:netIncomeBeforeOperatingLeaseAdjustment,2010Q3,,FYR</t>
  </si>
  <si>
    <t>COH.N,mscalc:netIncomeBeforeOperatingLeaseAdjustment,2014Q3,,FYR</t>
  </si>
  <si>
    <t>2018E</t>
  </si>
  <si>
    <t>0.141658323553184</t>
  </si>
  <si>
    <t>AEO.N,mscalc:freeCashFlowForConsensus,2010FY,,FYR</t>
  </si>
  <si>
    <t>277.048</t>
  </si>
  <si>
    <t>COH.N,mscalc:netIncomeBeforeOperatingLeaseAdjustment,2004Q2,,FYR</t>
  </si>
  <si>
    <t>COH.N,mstag:averageDilutedSharesOutstanding,2004Q4,,FYR</t>
  </si>
  <si>
    <t>TEA.N,mscalc:freeCashFlowForConsensus,2012FY,,FYR</t>
  </si>
  <si>
    <t>TJX.N,mscalc:freeCashFlowForConsensus,2010FY,,FYR</t>
  </si>
  <si>
    <t>PLCE.O,mscalc:ebitdaBeforePensionOpebAndOperatingLeaseAdjustments,2011FY</t>
  </si>
  <si>
    <t>% Increase</t>
  </si>
  <si>
    <t>check</t>
  </si>
  <si>
    <t>Advertising</t>
  </si>
  <si>
    <t>0.440308979789271</t>
  </si>
  <si>
    <t>PLCE.O,mscalc:ebitdaBeforePensionOpebAndOperatingLeaseAdjustments,2009FY</t>
  </si>
  <si>
    <t>204.019</t>
  </si>
  <si>
    <t>M.N,mscalc:epsForConsensusForThomsonFeed,2011FY,,FYR</t>
  </si>
  <si>
    <t>2.87987918215613</t>
  </si>
  <si>
    <t>2.75320008982708</t>
  </si>
  <si>
    <t>1.59834403797906</t>
  </si>
  <si>
    <t>184.728</t>
  </si>
  <si>
    <t>161.69</t>
  </si>
  <si>
    <t>269.382422811518</t>
  </si>
  <si>
    <t>237.299015106481</t>
  </si>
  <si>
    <t>2,566.72048424527</t>
  </si>
  <si>
    <t>3.29975008692415</t>
  </si>
  <si>
    <t>719.545</t>
  </si>
  <si>
    <t>1,721.066</t>
  </si>
  <si>
    <t>1.90132052194993</t>
  </si>
  <si>
    <t>5,014.83705769512</t>
  </si>
  <si>
    <t>2.29788524674329</t>
  </si>
  <si>
    <t>3,153.41718117013</t>
  </si>
  <si>
    <t>8,632.488</t>
  </si>
  <si>
    <t>223.712</t>
  </si>
  <si>
    <t>2,344.84651829265</t>
  </si>
  <si>
    <t>2,234.76404297761</t>
  </si>
  <si>
    <t>1.04358931285659</t>
  </si>
  <si>
    <t>118.312</t>
  </si>
  <si>
    <t>2.94953343465646</t>
  </si>
  <si>
    <t>2,709.73</t>
  </si>
  <si>
    <t>20,288.444</t>
  </si>
  <si>
    <t>0.413692399486831</t>
  </si>
  <si>
    <t>1.80033056585815</t>
  </si>
  <si>
    <t>4.49630871702913</t>
  </si>
  <si>
    <t>0.541655107291812</t>
  </si>
  <si>
    <t>1.20152575813059</t>
  </si>
  <si>
    <t>5.15180638095668</t>
  </si>
  <si>
    <t>2.55438805059469</t>
  </si>
  <si>
    <t>2,928.625</t>
  </si>
  <si>
    <t>7,184.213</t>
  </si>
  <si>
    <t>2.65282348137113</t>
  </si>
  <si>
    <t>150.20824</t>
  </si>
  <si>
    <t>364.4519382225</t>
  </si>
  <si>
    <t>14,197</t>
  </si>
  <si>
    <t>Total EOY</t>
  </si>
  <si>
    <t>Store Mix %</t>
  </si>
  <si>
    <t>Japan Retail</t>
  </si>
  <si>
    <t>Other Asia - Pacific</t>
  </si>
  <si>
    <t>2006A</t>
  </si>
  <si>
    <t xml:space="preserve">   % Chg. Ending Units</t>
  </si>
  <si>
    <t>Other Operating Expenses</t>
  </si>
  <si>
    <t>% of Net Sales</t>
  </si>
  <si>
    <t>Prepaid Expenses / Sales</t>
  </si>
  <si>
    <t>Cash Dividends Paid</t>
  </si>
  <si>
    <t>Effect of exchange rate change</t>
  </si>
  <si>
    <t>Return on Equity</t>
  </si>
  <si>
    <t>Prepaid expenses and other current assets</t>
  </si>
  <si>
    <r>
      <t>10.  Average Shares Outstanding -- Fully Diluted</t>
    </r>
    <r>
      <rPr>
        <b/>
        <sz val="8"/>
        <color indexed="12"/>
        <rFont val="Arial"/>
        <family val="2"/>
      </rPr>
      <t/>
    </r>
  </si>
  <si>
    <t>1. Net Sales    (% Increase -- Total/Comparable Stores)</t>
  </si>
  <si>
    <t>Other</t>
  </si>
  <si>
    <t>n/a</t>
  </si>
  <si>
    <t>Plus:  Receivables     (Y-o-Y % Change vs. % Sales Growth)</t>
  </si>
  <si>
    <t>Plus:  Other Current Assets     (Y-o-Y % Change vs. % Sales Growth)</t>
  </si>
  <si>
    <t>Occupancy (Min rentals)</t>
  </si>
  <si>
    <t>Other assets and deferred income taxes</t>
  </si>
  <si>
    <t>Pretax Income</t>
  </si>
  <si>
    <t>Internet/Catalog</t>
  </si>
  <si>
    <t>All Int'l</t>
  </si>
  <si>
    <t>Tiffany and Co. Consolidated</t>
  </si>
  <si>
    <t>+ Net new Store Openings</t>
  </si>
  <si>
    <t>Store Check</t>
  </si>
  <si>
    <t>Total BOY</t>
  </si>
  <si>
    <t>TIF.N</t>
  </si>
  <si>
    <t>Tiffany &amp; Co.</t>
  </si>
  <si>
    <t>23,182.226</t>
  </si>
  <si>
    <t>1.74742681705556</t>
  </si>
  <si>
    <t>2,274.102</t>
  </si>
  <si>
    <t>1,443</t>
  </si>
  <si>
    <t>0.412625328460653</t>
  </si>
  <si>
    <t>67.6977340630222</t>
  </si>
  <si>
    <t>76</t>
  </si>
  <si>
    <t>0.850895850353551</t>
  </si>
  <si>
    <t>1,429.5</t>
  </si>
  <si>
    <t>110.453787829529</t>
  </si>
  <si>
    <t>4.431</t>
  </si>
  <si>
    <t>1,650.75293880528</t>
  </si>
  <si>
    <t>(8.093)</t>
  </si>
  <si>
    <t>107.574</t>
  </si>
  <si>
    <t>95.13</t>
  </si>
  <si>
    <t>64</t>
  </si>
  <si>
    <t>1.29323129857033</t>
  </si>
  <si>
    <t>1.94855451855224</t>
  </si>
  <si>
    <t>166.581</t>
  </si>
  <si>
    <t>17,760</t>
  </si>
  <si>
    <t>8,258</t>
  </si>
  <si>
    <t>123.259</t>
  </si>
  <si>
    <t>72.525935706278</t>
  </si>
  <si>
    <t>1.16693973124081</t>
  </si>
  <si>
    <t>40.00128</t>
  </si>
  <si>
    <t>3,085.29</t>
  </si>
  <si>
    <t>2,212.493</t>
  </si>
  <si>
    <t>1.21911159395896</t>
  </si>
  <si>
    <t>3.95370488802974</t>
  </si>
  <si>
    <t>128.203464810211</t>
  </si>
  <si>
    <t>15,138.19</t>
  </si>
  <si>
    <t>1,151.13605</t>
  </si>
  <si>
    <t>8</t>
  </si>
  <si>
    <t>1,267.29483178999</t>
  </si>
  <si>
    <t>321.115</t>
  </si>
  <si>
    <t>1.3637977980348</t>
  </si>
  <si>
    <t>17,260</t>
  </si>
  <si>
    <t>1.2841948570476</t>
  </si>
  <si>
    <t>2.03573052168157</t>
  </si>
  <si>
    <t>179.177251</t>
  </si>
  <si>
    <t>20.7037737358815</t>
  </si>
  <si>
    <t>0.689028274523033</t>
  </si>
  <si>
    <t>1,905.814</t>
  </si>
  <si>
    <t>312.092</t>
  </si>
  <si>
    <t>3.74137110717677</t>
  </si>
  <si>
    <t>53</t>
  </si>
  <si>
    <t>1,904.984</t>
  </si>
  <si>
    <t>15.742</t>
  </si>
  <si>
    <t>1,980.195</t>
  </si>
  <si>
    <t>0.630246094148882</t>
  </si>
  <si>
    <t>2,785.745</t>
  </si>
  <si>
    <t>1.77082966707729</t>
  </si>
  <si>
    <t>1.84293962021471</t>
  </si>
  <si>
    <t>1.8783151326053</t>
  </si>
  <si>
    <t>13</t>
  </si>
  <si>
    <t>ANF.N,mstag:revenueNet,2012FY,,FYR</t>
  </si>
  <si>
    <t>4,548.06612239552</t>
  </si>
  <si>
    <t>M.N,mscalc:epsForConsensusForThomsonFeed,2003FY,,FYR</t>
  </si>
  <si>
    <t>1.85061728028856</t>
  </si>
  <si>
    <t>ANF.N,mstag:revenueNet,2011FY,,FYR</t>
  </si>
  <si>
    <t>4,158.06</t>
  </si>
  <si>
    <t>COH.N,mscalc:netIncomeBeforeOperatingLeaseAdjustment,2008Q1,,FYR</t>
  </si>
  <si>
    <t>154.786</t>
  </si>
  <si>
    <t>Check</t>
  </si>
  <si>
    <t>Annual Data (Yr. end)</t>
  </si>
  <si>
    <t>Current Stock Price</t>
  </si>
  <si>
    <t>Store</t>
  </si>
  <si>
    <t>Change</t>
  </si>
  <si>
    <t>x</t>
  </si>
  <si>
    <t>(a) Cost of Goods Sold divided by average inventory for the quarter.</t>
  </si>
  <si>
    <t>COH.N,mstag:averageDilutedSharesOutstanding,2012Q1,,FYR</t>
  </si>
  <si>
    <t>URBN.O,mscalc:epsForConsensusForThomsonFeed,2010FY,,FYR</t>
  </si>
  <si>
    <t>GPS.N,mstag:bearCaseValueEstimatePerShare</t>
  </si>
  <si>
    <t>AEO.N,mstag:bullCaseValueEstimatePerShare</t>
  </si>
  <si>
    <t>URBN.O,mscalc:epsForConsensusForThomsonFeed,2005FY,,FYR</t>
  </si>
  <si>
    <t>ANF.N,mscalc:epsForConsensusForThomsonFeed,2011FY,,FYR</t>
  </si>
  <si>
    <t>COH.N,mstag:averageDilutedSharesOutstanding,2006Q3,,FYR</t>
  </si>
  <si>
    <t>URBN.O,mstag:bearCaseValueEstimatePerShare</t>
  </si>
  <si>
    <t>COH.N,mscalc:netIncomeBeforeOperatingLeaseAdjustment,2014Q1,,FYR</t>
  </si>
  <si>
    <t>URBN.O,mscalc:epsForConsensusForThomsonFeed,2004FY,,FYR</t>
  </si>
  <si>
    <t>JWN.N,mscalc:epsForConsensusForThomsonFeed,2006FY,,FYR</t>
  </si>
  <si>
    <t>TJX.N,mscalc:epsForConsensusForThomsonFeed,2005FY,,FYR</t>
  </si>
  <si>
    <t>0.702363844168144</t>
  </si>
  <si>
    <t>ANF.N,mscalc:freeCashFlowForConsensus,2009FY,,FYR</t>
  </si>
  <si>
    <t>220.015</t>
  </si>
  <si>
    <t>COH.N,mscalc:epsForConsensusForThomsonFeed,2015FY,,FYR</t>
  </si>
  <si>
    <t>5.45661021091496</t>
  </si>
  <si>
    <t>LULU.O,mscalc:lastActualPeriodCalc</t>
  </si>
  <si>
    <t>2012Q1</t>
  </si>
  <si>
    <t>M.N,mscalc:epsForConsensusForThomsonFeed,2010FY,,FYR</t>
  </si>
  <si>
    <t>2.10766721044046</t>
  </si>
  <si>
    <t>3,898.86717621441</t>
  </si>
  <si>
    <t>11.601</t>
  </si>
  <si>
    <t>0.98745604146795</t>
  </si>
  <si>
    <t>476.221</t>
  </si>
  <si>
    <t>89.856</t>
  </si>
  <si>
    <t>1,673.999</t>
  </si>
  <si>
    <t>171.923</t>
  </si>
  <si>
    <t>3.89583538878109</t>
  </si>
  <si>
    <t>3,069</t>
  </si>
  <si>
    <t>2.5499704671057</t>
  </si>
  <si>
    <t>100</t>
  </si>
  <si>
    <t>92.8771543465636</t>
  </si>
  <si>
    <t>840.083</t>
  </si>
  <si>
    <t>0.231075678088344</t>
  </si>
  <si>
    <t>ProvisionsX</t>
  </si>
  <si>
    <t>MinorityInterestBS</t>
  </si>
  <si>
    <t>PreferredEquity</t>
  </si>
  <si>
    <t>JWN.N,mstag:revenueNet,2011FY,,FYR</t>
  </si>
  <si>
    <t>10,497</t>
  </si>
  <si>
    <t>KSS.N,mscalc:epsForConsensusForThomsonFeed,2012FY,,FYR</t>
  </si>
  <si>
    <t>PLCE.O,mscalc:epsForConsensusForThomsonFeed,2009FY,,FYR</t>
  </si>
  <si>
    <t>COH.N,mstag:averageDilutedSharesOutstanding,2003Q3,,FYR</t>
  </si>
  <si>
    <t>URBN.O,mstag:revenueNet,2012FY,,FYR</t>
  </si>
  <si>
    <t>EXPR.N,mscalc:epsForConsensusForThomsonFeed,2006FY,,FYR</t>
  </si>
  <si>
    <t>ANF.N,mscalc:epsForConsensusForThomsonFeed,2003FY,,FYR</t>
  </si>
  <si>
    <t>AEO.N,mscalc:targetPrice</t>
  </si>
  <si>
    <t>COH.N,mstag:averageDilutedSharesOutstanding,2003Q1,,FYR</t>
  </si>
  <si>
    <t>KSS.N,mstag:revenueNet,2011FY,,FYR</t>
  </si>
  <si>
    <t>COH.N,mscalc:netIncomeBeforeOperatingLeaseAdjustment,2009Q4,,FYR</t>
  </si>
  <si>
    <t>EXPR.N,mscalc:freeCashFlowForConsensus,2009FY,,FYR</t>
  </si>
  <si>
    <t>URBN.O,mscalc:epsForConsensusForThomsonFeed,2011FY,,FYR</t>
  </si>
  <si>
    <t>CHS.N,mstag:revenueNet,2011FY,,FYR</t>
  </si>
  <si>
    <t>COH.N,mscalc:netIncomeBeforeOperatingLeaseAdjustment,2012Q1,,FYR</t>
  </si>
  <si>
    <t>COH.N,mstag:revenueNet,2013Q4,,FYR</t>
  </si>
  <si>
    <t>ANN.N,mstag:bullCaseValueEstimatePerShare</t>
  </si>
  <si>
    <t>ANN.N,mscalc:ebitdaBeforePensionOpebAndOperatingLeaseAdjustments,2013FY</t>
  </si>
  <si>
    <t>LTD.N,mscalc:lastActualPeriodCalc</t>
  </si>
  <si>
    <t>SKS.N,mscalc:epsForConsensusForThomsonFeed,2006FY,,FYR</t>
  </si>
  <si>
    <t>KORS.N,mstag:revenueNet,2010FY,,FYR</t>
  </si>
  <si>
    <t>COH.N,mscalc:netIncomeBeforeOperatingLeaseAdjustment,2011Q1,,FYR</t>
  </si>
  <si>
    <t>JCP.N,mscalc:ebitdaBeforePensionOpebAndOperatingLeaseAdjustments,2013FY</t>
  </si>
  <si>
    <t>JCP.N,mscalc:ebitdaBeforePensionOpebAndOperatingLeaseAdjustments,2011FY</t>
  </si>
  <si>
    <t>JCP.N,mscalc:ebitdaBeforePensionOpebAndOperatingLeaseAdjustments,2010FY</t>
  </si>
  <si>
    <t>KORS.N,mscalc:netIncomeBeforeOperatingLeaseAdjustment,2014Q2,,FYR</t>
  </si>
  <si>
    <t>PLCE.O,mscalc:epsForConsensusForThomsonFeed,2011FY,,FYR</t>
  </si>
  <si>
    <t>TIF.N,mscalc:epsForConsensusForThomsonFeed,2005FY,,FYR</t>
  </si>
  <si>
    <t>Weighted Average Basic Shares Outstanding</t>
  </si>
  <si>
    <t>2003A</t>
  </si>
  <si>
    <t>2001A</t>
  </si>
  <si>
    <t>2002A</t>
  </si>
  <si>
    <t>ANN.N,mscalc:ebitdaBeforePensionOpebAndOperatingLeaseAdjustments,2009FY</t>
  </si>
  <si>
    <t>JWN.N,mscalc:freeCashFlowForConsensus,2012FY,,FYR</t>
  </si>
  <si>
    <t>,mscalc:closePriceCurrencyCalc</t>
  </si>
  <si>
    <t>Other long-term liabilities</t>
  </si>
  <si>
    <t>Cash per share</t>
  </si>
  <si>
    <t>2.  Cost of Goods Sold (ex. D&amp;A before '01)</t>
  </si>
  <si>
    <t>Cash flow</t>
  </si>
  <si>
    <t>3.  Operating Expenses - Selling, General &amp; Administrative Expenses   (% of Sales)</t>
  </si>
  <si>
    <t xml:space="preserve">4.  Operating Income (% Operating Margin) </t>
  </si>
  <si>
    <t>7.  Income Taxes/(Credit)   (% Tax Rate)</t>
  </si>
  <si>
    <t>8.  Net Earnings   (% Change)</t>
  </si>
  <si>
    <t>9.  Earnings Per Share -- Fully Diluted   (% Change)</t>
  </si>
  <si>
    <t>6.  Pre-Tax Income / (Loss) (% Pre-Tax Margin) / %Change</t>
  </si>
  <si>
    <t xml:space="preserve"> </t>
  </si>
  <si>
    <t>KORS.N,mscalc:netIncomeBeforeOperatingLeaseAdjustment,2012Q4,,FYR</t>
  </si>
  <si>
    <t>301.249</t>
  </si>
  <si>
    <t>URBN.O,mscalc:ebitdaBeforePensionOpebAndOperatingLeaseAdjustments,2013FY</t>
  </si>
  <si>
    <t>COH.N,mstag:averageDilutedSharesOutstanding,2012Q4,,FYR</t>
  </si>
  <si>
    <t>SKUL.O,mscalc:epsForConsensusForThomsonFeed,2010FY,,FYR</t>
  </si>
  <si>
    <t>COH.N,mscalc:netIncomeBeforeOperatingLeaseAdjustment,2012Q4,,FYR</t>
  </si>
  <si>
    <t>TJX.N,mscalc:epsForConsensusForThomsonFeed,2006FY,,FYR</t>
  </si>
  <si>
    <t>COH.N,mscalc:ebitdaBeforePensionOpebAndOperatingLeaseAdjustments,2014Q1,,FYR</t>
  </si>
  <si>
    <t>COH.N,mscalc:freeCashFlowForConsensus,2010FY,,FYR</t>
  </si>
  <si>
    <t>909.761</t>
  </si>
  <si>
    <t>ROST.O,mstag:bullCaseValueEstimatePerShare</t>
  </si>
  <si>
    <t>JWN.N,mstag:revenueNet,2013FY,,FYR</t>
  </si>
  <si>
    <t>12,202.7173993501</t>
  </si>
  <si>
    <t>TEA.N,mscalc:epsForConsensusForThomsonFeed,2008FY,,FYR</t>
  </si>
  <si>
    <t>0.0322682318745001</t>
  </si>
  <si>
    <t>COH.N,mstag:averageDilutedSharesOutstanding,2013Q3,,FYR</t>
  </si>
  <si>
    <t>288.996</t>
  </si>
  <si>
    <t>GPS.N,mscalc:epsForConsensusForThomsonFeed,2003FY,,FYR</t>
  </si>
  <si>
    <t>SKUL.O,mstag:revenueNet,2009FY,,FYR</t>
  </si>
  <si>
    <t>GPS.N,mscalc:epsForConsensusForThomsonFeed,2013FY,,FYR</t>
  </si>
  <si>
    <t>TIF.N,mscalc:epsForConsensusForThomsonFeed,2003FY,,FYR</t>
  </si>
  <si>
    <t>ANF.N,mscalc:lastActualPeriodCalc</t>
  </si>
  <si>
    <t>SKS.N,mscalc:freeCashFlowForConsensus,2009FY,,FYR</t>
  </si>
  <si>
    <t>COH.N,mstag:averageDilutedSharesOutstanding,2006Q4,,FYR</t>
  </si>
  <si>
    <t>COH.N,mscalc:netIncomeBeforeOperatingLeaseAdjustment,2015Q1,,FYR</t>
  </si>
  <si>
    <t>SKUL.O,mstag:revenueNet,2010FY,,FYR</t>
  </si>
  <si>
    <t>RUE.US,mscalc:stockRating</t>
  </si>
  <si>
    <t>ANN.N,mscalc:ebitdaBeforePensionOpebAndOperatingLeaseAdjustments,2012FY</t>
  </si>
  <si>
    <t>PLCE.O,mstag:met_12monthIntrinsicValueEstimate</t>
  </si>
  <si>
    <t>M.N,mscalc:ebitdaBeforePensionOpebAndOperatingLeaseAdjustments,2013FY</t>
  </si>
  <si>
    <t>COH.N,mscalc:targetPrice</t>
  </si>
  <si>
    <t>COH.N,mscalc:epsForConsensusForThomsonFeed,2011FY,,FYR</t>
  </si>
  <si>
    <t>M.N,mscalc:epsForConsensusForThomsonFeed,2007FY,,FYR</t>
  </si>
  <si>
    <t>Total - Comp Spread</t>
  </si>
  <si>
    <t>Tiffany and Co. - International</t>
  </si>
  <si>
    <t>Asia - Non Japan</t>
  </si>
  <si>
    <t>Americas</t>
  </si>
  <si>
    <t>Liabilities and Shareholders' Equity</t>
  </si>
  <si>
    <t>Current Liabilities:</t>
  </si>
  <si>
    <t>Income taxes payable</t>
  </si>
  <si>
    <t>0.907231765899451</t>
  </si>
  <si>
    <t>213.97749479671</t>
  </si>
  <si>
    <t>Deferred taxes</t>
  </si>
  <si>
    <t>Total Current Assets</t>
  </si>
  <si>
    <t>Provision for uncollectible accounts</t>
  </si>
  <si>
    <t>Net Increase/(Decrease) to Pre-Tax Operating Income</t>
  </si>
  <si>
    <t>Add Estimated Interest Expense</t>
  </si>
  <si>
    <t>2011A</t>
  </si>
  <si>
    <t>Net Increase/(Decrease) to Pre-tax Income</t>
  </si>
  <si>
    <t>SKS.N,mstag:revenueNet,2009FY,,FYR</t>
  </si>
  <si>
    <t>2,631.532</t>
  </si>
  <si>
    <t>Interest Expense</t>
  </si>
  <si>
    <t>COH.N,mstag:revenueNet,2011Q4,,FYR</t>
  </si>
  <si>
    <t>SKUL.O,mstag:met_12monthIntrinsicValueEstimate</t>
  </si>
  <si>
    <t>JWN.N,mscalc:stockRating</t>
  </si>
  <si>
    <t>COH.N,mstag:averageDilutedSharesOutstanding,2009Q2,,FYR</t>
  </si>
  <si>
    <t>PLCE.O,mscalc:epsForConsensusForThomsonFeed,2005FY,,FYR</t>
  </si>
  <si>
    <t>TEA.N,mscalc:stockRating</t>
  </si>
  <si>
    <t>KORS.N,mstag:averageDilutedSharesOutstanding,2011Q1,,FYR</t>
  </si>
  <si>
    <t>COH.N,mscalc:netIncomeBeforeOperatingLeaseAdjustment,2002Q4,,FYR</t>
  </si>
  <si>
    <t>COH.N,mscalc:netIncomeBeforeOperatingLeaseAdjustment,2003Q4,,FYR</t>
  </si>
  <si>
    <t>ANF.N,mscalc:epsForConsensusForThomsonFeed,2006FY,,FYR</t>
  </si>
  <si>
    <t>M.N,mscalc:freeCashFlowForConsensus,2013FY,,FYR</t>
  </si>
  <si>
    <t>COH.N,mscalc:netIncomeBeforeOperatingLeaseAdjustment,2010Q4,,FYR</t>
  </si>
  <si>
    <t>COH.N,mscalc:netIncomeBeforeOperatingLeaseAdjustment,2003Q1,,FYR</t>
  </si>
  <si>
    <t>External Sources and Changes in Cash</t>
  </si>
  <si>
    <t>ANF.N,mscalc:ebitdaBeforePensionOpebAndOperatingLeaseAdjustments,2011FY</t>
  </si>
  <si>
    <t>LTD.N,mscalc:ebitdaBeforePensionOpebAndOperatingLeaseAdjustments,2013FY</t>
  </si>
  <si>
    <t>Increase (decrease) in</t>
  </si>
  <si>
    <t>China</t>
  </si>
  <si>
    <t>Korea</t>
  </si>
  <si>
    <t>Tiffany and Co. - Total Company</t>
  </si>
  <si>
    <t>Source: Company reports and Morgan Stanley estimates.</t>
  </si>
  <si>
    <t>Inventories</t>
  </si>
  <si>
    <t xml:space="preserve">(Increase) decrease in </t>
  </si>
  <si>
    <t>Total working capital uses</t>
  </si>
  <si>
    <t>INTERNAL CASH GENERATION (FUNDS NEEDED)</t>
  </si>
  <si>
    <t>SKS.N,mstag:bullCaseValueEstimatePerShare</t>
  </si>
  <si>
    <t>KORS.N,mscalc:netIncomeBeforeOperatingLeaseAdjustment,2010Q3,,FYR</t>
  </si>
  <si>
    <t>COH.N,mscalc:ebitdaBeforePensionOpebAndOperatingLeaseAdjustments,2010Q1,,FYR</t>
  </si>
  <si>
    <t>ROST.O,mscalc:epsForConsensusForThomsonFeed,2008FY,,FYR</t>
  </si>
  <si>
    <t>AEO.N,mstag:bearCaseValueEstimatePerShare</t>
  </si>
  <si>
    <t>SKUL.O,mscalc:stockRating</t>
  </si>
  <si>
    <t>Overweight</t>
  </si>
  <si>
    <t>AEO.N,mstag:revenueNet,2011FY,,FYR</t>
  </si>
  <si>
    <t>AEO.N,mscalc:targetPrice,,,,USD</t>
  </si>
  <si>
    <t>AEO.N,mscalc:epsForConsensusForThomsonFeed,2004FY,,FYR</t>
  </si>
  <si>
    <t>SKUL.O,mscalc:ebitdaBeforePensionOpebAndOperatingLeaseAdjustments,2012FY</t>
  </si>
  <si>
    <t>SKS.N,mscalc:epsForConsensusForThomsonFeed,2008FY,,FYR</t>
  </si>
  <si>
    <t>COH.N,mscalc:netIncomeBeforeOperatingLeaseAdjustment,2005Q1,,FYR</t>
  </si>
  <si>
    <t>TIF.N,mscalc:epsForConsensusForThomsonFeed,2004FY,,FYR</t>
  </si>
  <si>
    <t>ARO.N,mscalc:epsForConsensusForThomsonFeed,2010FY,,FYR</t>
  </si>
  <si>
    <t>M.N,mscalc:ebitdaBeforePensionOpebAndOperatingLeaseAdjustments,2012FY</t>
  </si>
  <si>
    <t>TJX.N,mscalc:ebitdaBeforePensionOpebAndOperatingLeaseAdjustments,2009FY</t>
  </si>
  <si>
    <t>COH.N,mstag:averageDilutedSharesOutstanding,2008Q1,,FYR</t>
  </si>
  <si>
    <t>ANN.N,mscalc:freeCashFlowForConsensus,2013FY,,FYR</t>
  </si>
  <si>
    <t>JWN.N,mscalc:epsForConsensusForThomsonFeed,2011FY,,FYR</t>
  </si>
  <si>
    <t>COH.N,mscalc:ebitdaBeforePensionOpebAndOperatingLeaseAdjustments,2012Q1,,FYR</t>
  </si>
  <si>
    <t>KORS.N,mscalc:epsForConsensusForThomsonFeed,2015FY,,FYR</t>
  </si>
  <si>
    <t>ROST.O,mscalc:freeCashFlowForConsensus,2011FY,,FYR</t>
  </si>
  <si>
    <t>KORS.N,mscalc:ebitdaBeforePensionOpebAndOperatingLeaseAdjustments,2010FY</t>
  </si>
  <si>
    <t>SKS.N,mscalc:stockRating</t>
  </si>
  <si>
    <t>SKUL.O,mscalc:epsForConsensusForThomsonFeed,2006FY,,FYR</t>
  </si>
  <si>
    <t>COH.N,mstag:revenueNet,2010Q3,,FYR</t>
  </si>
  <si>
    <t>LTD.N,mstag:revenueNet,2012FY,,FYR</t>
  </si>
  <si>
    <t>COH.N,mscalc:ebitdaBeforePensionOpebAndOperatingLeaseAdjustments,2013Q3,,FYR</t>
  </si>
  <si>
    <t>389.059513359527</t>
  </si>
  <si>
    <t>EXPR.N,mscalc:targetPrice</t>
  </si>
  <si>
    <t>20</t>
  </si>
  <si>
    <t>ROST.O,mscalc:epsForConsensusForThomsonFeed,2004FY,,FYR</t>
  </si>
  <si>
    <t>SKUL.O,mscalc:epsForConsensusForThomsonFeed,2009FY,,FYR</t>
  </si>
  <si>
    <t>SKS.N,mstag:revenueNet,2010FY,,FYR</t>
  </si>
  <si>
    <t>ANN.N,mstag:met_12monthIntrinsicValueEstimate</t>
  </si>
  <si>
    <t>COH.N,mstag:averageDilutedSharesOutstanding,2003Q4,,FYR</t>
  </si>
  <si>
    <t>URBN.O,mscalc:ebitdaBeforePensionOpebAndOperatingLeaseAdjustments,2011FY</t>
  </si>
  <si>
    <t>TEA.N,mstag:bullCaseValueEstimatePerShare</t>
  </si>
  <si>
    <t>KORS.N,mstag:averageDilutedSharesOutstanding,2010Q1,,FYR</t>
  </si>
  <si>
    <t>LTD.N,mscalc:stockRating</t>
  </si>
  <si>
    <t>KORS.N,mscalc:freeCashFlowForConsensus,2012FY,,FYR</t>
  </si>
  <si>
    <t>GPS.N,mscalc:freeCashFlowForConsensus,2011FY,,FYR</t>
  </si>
  <si>
    <t>COH.N,mstag:averageDilutedSharesOutstanding,2010Q4,,FYR</t>
  </si>
  <si>
    <t>AEO.N,mscalc:nominalEpsGrowth5YearCagr,2012FY,,FYR</t>
  </si>
  <si>
    <t>JWN.N,mscalc:freeCashFlowForConsensus,2011FY,,FYR</t>
  </si>
  <si>
    <t>666</t>
  </si>
  <si>
    <t>KSS.N,mscalc:epsForConsensusForThomsonFeed,2005FY,,FYR</t>
  </si>
  <si>
    <t>JWN.N,mstag:bullCaseValueEstimatePerShare</t>
  </si>
  <si>
    <t>M.N,mscalc:epsForConsensusForThomsonFeed,2008FY,,FYR</t>
  </si>
  <si>
    <t>JWN.N,mscalc:epsForConsensusForThomsonFeed,2009FY,,FYR</t>
  </si>
  <si>
    <t>CHS.N,mscalc:freeCashFlowForConsensus,2010FY,,FYR</t>
  </si>
  <si>
    <t>JCP.N,mstag:revenueNet,2010FY,,FYR</t>
  </si>
  <si>
    <t>JWN.N,mstag:revenueNet,2009FY,,FYR</t>
  </si>
  <si>
    <t>ANN.N,mscalc:epsForConsensusForThomsonFeed,2004FY,,FYR</t>
  </si>
  <si>
    <t>COH.N,mscalc:netIncomeBeforeOperatingLeaseAdjustment,2009Q3,,FYR</t>
  </si>
  <si>
    <t>SKUL.O,mscalc:ebitdaBeforePensionOpebAndOperatingLeaseAdjustments,2013FY</t>
  </si>
  <si>
    <t>COH.N,mstag:averageDilutedSharesOutstanding,2002Q3,,FYR</t>
  </si>
  <si>
    <t>RUE.US,mscalc:targetPrice</t>
  </si>
  <si>
    <t>URBN.O,mscalc:epsForConsensusForThomsonFeed,2008FY,,FYR</t>
  </si>
  <si>
    <t>CATO.US,mscalc:stockRating</t>
  </si>
  <si>
    <t>KORS.N,mscalc:netIncomeBeforeOperatingLeaseAdjustment,2011Q2,,FYR</t>
  </si>
  <si>
    <t>SSI.US,mscalc:targetPrice</t>
  </si>
  <si>
    <t>TIF.N,mstag:revenueNet,2010FY,,FYR</t>
  </si>
  <si>
    <t>ARO.N,mscalc:lastActualPeriodCalc</t>
  </si>
  <si>
    <t>ANN.N,mstag:revenueNet,2011FY,,FYR</t>
  </si>
  <si>
    <t>JWN.N,mscalc:lastActualPeriodCalc</t>
  </si>
  <si>
    <t>LTD.N,mscalc:epsForConsensusForThomsonFeed,2009FY,,FYR</t>
  </si>
  <si>
    <t>M.N,mscalc:stockRating</t>
  </si>
  <si>
    <t>EXPR.N,mscalc:freeCashFlowForConsensus,2012FY,,FYR</t>
  </si>
  <si>
    <t>GPS.N,mstag:revenueNet,2012FY,,FYR</t>
  </si>
  <si>
    <t>SKS.N,mscalc:epsForConsensusForThomsonFeed,2011FY,,FYR</t>
  </si>
  <si>
    <t>EXPR.N,mstag:revenueNet,2011FY,,FYR</t>
  </si>
  <si>
    <t>2,073.355</t>
  </si>
  <si>
    <t>EXPR.N,mscalc:epsForConsensusForThomsonFeed,2004FY,,FYR</t>
  </si>
  <si>
    <t>PLCE.O,mscalc:ebitdaBeforePensionOpebAndOperatingLeaseAdjustments,2013FY</t>
  </si>
  <si>
    <t>207.1875</t>
  </si>
  <si>
    <t>SKUL.O,mscalc:epsForConsensusForThomsonFeed,2005FY,,FYR</t>
  </si>
  <si>
    <t>JCP.N,mstag:revenueNet,2012FY,,FYR</t>
  </si>
  <si>
    <t>14,817.0268980732</t>
  </si>
  <si>
    <t>COH.N,mscalc:netIncomeBeforeOperatingLeaseAdjustment,2009Q2,,FYR</t>
  </si>
  <si>
    <t>CHS.N,mstag:revenueNet,2013FY,,FYR</t>
  </si>
  <si>
    <t>TEA.N,mstag:revenueNet,2013FY,,FYR</t>
  </si>
  <si>
    <t>GPS.N,mscalc:epsForConsensusForThomsonFeed,2015FY,,FYR</t>
  </si>
  <si>
    <t>EXPR.N,mscalc:epsForConsensusForThomsonFeed,2014FY,,FYR</t>
  </si>
  <si>
    <t>ROST.O,mscalc:epsForConsensusForThomsonFeed,2014FY,,FYR</t>
  </si>
  <si>
    <t>EXPR.N,mscalc:epsForConsensusForThomsonFeed,2013FY,,FYR</t>
  </si>
  <si>
    <t>LTD.N,mscalc:epsForConsensusForThomsonFeed,2003FY,,FYR</t>
  </si>
  <si>
    <t>ANN.N,mscalc:epsForConsensusForThomsonFeed,2015FY,,FYR</t>
  </si>
  <si>
    <t>1,828.523</t>
  </si>
  <si>
    <t>0.627228951922354</t>
  </si>
  <si>
    <t>1.45102520734364</t>
  </si>
  <si>
    <t>2,940.269</t>
  </si>
  <si>
    <t>198.539</t>
  </si>
  <si>
    <t>1,937.815</t>
  </si>
  <si>
    <t>2.44938602885882</t>
  </si>
  <si>
    <t>1,713.151</t>
  </si>
  <si>
    <t>0.244917607415626</t>
  </si>
  <si>
    <t>90.262</t>
  </si>
  <si>
    <t>0</t>
  </si>
  <si>
    <t>0.56904734889716</t>
  </si>
  <si>
    <t>2.89591967600894</t>
  </si>
  <si>
    <t>0.523295454545455</t>
  </si>
  <si>
    <t>152.362</t>
  </si>
  <si>
    <t>1.35122876162514</t>
  </si>
  <si>
    <t>3.99574263477446</t>
  </si>
  <si>
    <t>1,875</t>
  </si>
  <si>
    <t>2,230.105</t>
  </si>
  <si>
    <t>26,800</t>
  </si>
  <si>
    <t>1.99994866212362</t>
  </si>
  <si>
    <t>0.299241116709256</t>
  </si>
  <si>
    <t>0.176735357727373</t>
  </si>
  <si>
    <t>0.387988781204475</t>
  </si>
  <si>
    <t xml:space="preserve">                                                                                                                                                                    </t>
  </si>
  <si>
    <t>LULU.O,mscalc:epsForConsensusForThomsonFeed,2015FY,,FYR</t>
  </si>
  <si>
    <t>PLCE.O,mscalc:epsForConsensusForThomsonFeed,2002FY,,FYR</t>
  </si>
  <si>
    <t>Implied leased assets, beginning of period</t>
  </si>
  <si>
    <t xml:space="preserve">Additions </t>
  </si>
  <si>
    <t>Current year charge</t>
  </si>
  <si>
    <t>Implied leased assets</t>
  </si>
  <si>
    <t>Operating Lease Debt schedule</t>
  </si>
  <si>
    <t>M.N,mstag:revenueNet,2013FY,,FYR</t>
  </si>
  <si>
    <t>Currency</t>
  </si>
  <si>
    <t>JWN.N,mscalc:ebitdaBeforePensionOpebAndOperatingLeaseAdjustments,2011FY</t>
  </si>
  <si>
    <t>JWN.N,mscalc:ebitdaBeforePensionOpebAndOperatingLeaseAdjustments,2012FY</t>
  </si>
  <si>
    <t>KSS.N,mstag:revenueNet,2010FY,,FYR</t>
  </si>
  <si>
    <t>COH.N,mstag:averageDilutedSharesOutstanding,2013Q1,,FYR</t>
  </si>
  <si>
    <t>ANF.N,mscalc:freeCashFlowForConsensus,2010FY,,FYR</t>
  </si>
  <si>
    <t>COH.N,mscalc:netIncomeBeforeOperatingLeaseAdjustment,2011Q3,,FYR</t>
  </si>
  <si>
    <t>KSS.N,mscalc:epsForConsensusForThomsonFeed,2008FY,,FYR</t>
  </si>
  <si>
    <t>Rental Payments Schedule</t>
  </si>
  <si>
    <t>Period</t>
  </si>
  <si>
    <t>Present Value of Incremental Lease Payments</t>
  </si>
  <si>
    <t>Increase in current year lease payments versus previous years expected</t>
  </si>
  <si>
    <t>71.9655400624322</t>
  </si>
  <si>
    <t>3.60376580139484</t>
  </si>
  <si>
    <t>1,198</t>
  </si>
  <si>
    <t>1,445</t>
  </si>
  <si>
    <t>1,620</t>
  </si>
  <si>
    <t>1,724.38740636114</t>
  </si>
  <si>
    <t>1,901.52935180706</t>
  </si>
  <si>
    <t>1.25531133365538</t>
  </si>
  <si>
    <t>209.469465356768</t>
  </si>
  <si>
    <t>3,642.937</t>
  </si>
  <si>
    <t>216.934093610247</t>
  </si>
  <si>
    <t>29.306</t>
  </si>
  <si>
    <t>0.442244685728343</t>
  </si>
  <si>
    <t>5.82621416918683</t>
  </si>
  <si>
    <t>1.69608641586101</t>
  </si>
  <si>
    <t>824.649701842267</t>
  </si>
  <si>
    <t>1,808.99698171021</t>
  </si>
  <si>
    <t>390.513</t>
  </si>
  <si>
    <t>0.992186605063194</t>
  </si>
  <si>
    <t>897.078</t>
  </si>
  <si>
    <t>1,108.981</t>
  </si>
  <si>
    <t>M.N,mstag:revenueNet,2012FY,,FYR</t>
  </si>
  <si>
    <t>27,731.9890293411</t>
  </si>
  <si>
    <t>TJX.N,mscalc:epsForConsensusForThomsonFeed,2004FY,,FYR</t>
  </si>
  <si>
    <t>0.598141908991536</t>
  </si>
  <si>
    <t>CHS.N,mscalc:epsForConsensusForThomsonFeed,2012FY,,FYR</t>
  </si>
  <si>
    <t>1.04426937958476</t>
  </si>
  <si>
    <t>COH.N,mscalc:netIncomeBeforeOperatingLeaseAdjustment,2008Q3,,FYR</t>
  </si>
  <si>
    <t>162.412</t>
  </si>
  <si>
    <t>M.N,mscalc:epsForConsensusForThomsonFeed,2014FY,,FYR</t>
  </si>
  <si>
    <t>4.49156405602897</t>
  </si>
  <si>
    <t>AEO.N,mscalc:sedolCodeCalc</t>
  </si>
  <si>
    <t>2048592</t>
  </si>
  <si>
    <t>LULU.O,mscalc:stockRating</t>
  </si>
  <si>
    <t>M.N,mstag:bullCaseValueEstimatePerShare</t>
  </si>
  <si>
    <t>54</t>
  </si>
  <si>
    <t>KSS.N,mscalc:freeCashFlowForConsensus,2012FY,,FYR</t>
  </si>
  <si>
    <t>1,213.69743700982</t>
  </si>
  <si>
    <t>ROST.O,mscalc:ebitdaBeforePensionOpebAndOperatingLeaseAdjustments,2013FY</t>
  </si>
  <si>
    <t>1,510.0855446072</t>
  </si>
  <si>
    <t>2.0534614439468</t>
  </si>
  <si>
    <t>383.098122321793</t>
  </si>
  <si>
    <t>222.572</t>
  </si>
  <si>
    <t>LTD.N,mscalc:epsForConsensusForThomsonFeed,2010FY,,FYR</t>
  </si>
  <si>
    <t>2.05627354494493</t>
  </si>
  <si>
    <t>52.478</t>
  </si>
  <si>
    <t>LULU.O,mscalc:ebitdaBeforePensionOpebAndOperatingLeaseAdjustments,2013FY</t>
  </si>
  <si>
    <t>523.63858902072</t>
  </si>
  <si>
    <t>ROST.O,mscalc:epsForConsensusForThomsonFeed,2007FY,,FYR</t>
  </si>
  <si>
    <t>0.951754385964912</t>
  </si>
  <si>
    <t>PLCE.O,mscalc:stockRating</t>
  </si>
  <si>
    <t>Equal-Weight</t>
  </si>
  <si>
    <t>COH.N,mstag:averageDilutedSharesOutstanding,2012Q3,,FYR</t>
  </si>
  <si>
    <t>293.496</t>
  </si>
  <si>
    <t>COH.N,mscalc:freeCashFlowForConsensus,2009FY,,FYR</t>
  </si>
  <si>
    <t>568.823</t>
  </si>
  <si>
    <t>ANF.N,mscalc:epsForConsensusForThomsonFeed,2004FY,,FYR</t>
  </si>
  <si>
    <t>2.49262958679424</t>
  </si>
  <si>
    <t>COH.N,mscalc:netIncomeBeforeOperatingLeaseAdjustment,2011Q4,,FYR</t>
  </si>
  <si>
    <t>202.481</t>
  </si>
  <si>
    <t>COH.N,mscalc:ebitdaBeforePensionOpebAndOperatingLeaseAdjustments,2011Q3,,FYR</t>
  </si>
  <si>
    <t>279.515</t>
  </si>
  <si>
    <t>COH.N,mstag:averageDilutedSharesOutstanding,2013Q2,,FYR</t>
  </si>
  <si>
    <t>289.996</t>
  </si>
  <si>
    <t>JWN.N,mscalc:targetPrice</t>
  </si>
  <si>
    <t>JCP.N,mscalc:freeCashFlowForConsensus,2009FY,,FYR</t>
  </si>
  <si>
    <t>987.582000000001</t>
  </si>
  <si>
    <t>M.N,mscalc:epsForConsensusForThomsonFeed,2005FY,,FYR</t>
  </si>
  <si>
    <t>2.50587809666316</t>
  </si>
  <si>
    <t>1,737.18180998524</t>
  </si>
  <si>
    <t>CHS.N,mscalc:targetPrice</t>
  </si>
  <si>
    <t>GPS.N,mscalc:epsForConsensusForThomsonFeed,2012FY,,FYR</t>
  </si>
  <si>
    <t>1.92172071987799</t>
  </si>
  <si>
    <t>Americas Retail</t>
  </si>
  <si>
    <t>Asia-Pacific Retail</t>
  </si>
  <si>
    <t>Europe Retail</t>
  </si>
  <si>
    <t>2017E</t>
  </si>
  <si>
    <t>BASE CASE</t>
  </si>
  <si>
    <t>Depreciation &amp; Amortization</t>
  </si>
  <si>
    <t>Interest and Other Exp/(Inc)</t>
  </si>
  <si>
    <t>Net Income from Operations</t>
  </si>
  <si>
    <t>Operating EPS</t>
  </si>
  <si>
    <t>Average Diluted Shares</t>
  </si>
  <si>
    <t>Comparable Store Sales</t>
  </si>
  <si>
    <t>BULL CASE</t>
  </si>
  <si>
    <t>Base Case Sales Comp Spread</t>
  </si>
  <si>
    <t>Bull Case Sales Comp Spread</t>
  </si>
  <si>
    <t>BEAR CASE</t>
  </si>
  <si>
    <t>Bear Case Sales Comp Spread</t>
  </si>
  <si>
    <t>92.96</t>
  </si>
  <si>
    <t>198.777</t>
  </si>
  <si>
    <t>351.593</t>
  </si>
  <si>
    <t>4,350</t>
  </si>
  <si>
    <t>325.168</t>
  </si>
  <si>
    <t>194.006518</t>
  </si>
  <si>
    <t>4.85299423975655</t>
  </si>
  <si>
    <t>1,795.15565561942</t>
  </si>
  <si>
    <t>195.527</t>
  </si>
  <si>
    <t>90.566</t>
  </si>
  <si>
    <t>378.55513522358</t>
  </si>
  <si>
    <t>124.701</t>
  </si>
  <si>
    <t>1,010</t>
  </si>
  <si>
    <t>1.69821769453212</t>
  </si>
  <si>
    <t>0.597910525404629</t>
  </si>
  <si>
    <t>13.694</t>
  </si>
  <si>
    <t>135.373</t>
  </si>
  <si>
    <t>SKUL.O,mstag:bearCaseValueEstimatePerShare</t>
  </si>
  <si>
    <t>ANN.N,mstag:bearCaseValueEstimatePerShare</t>
  </si>
  <si>
    <t>ROST.O,mstag:met_12monthIntrinsicValueEstimate</t>
  </si>
  <si>
    <t>KSS.N,mscalc:freeCashFlowForConsensus,2010FY,,FYR</t>
  </si>
  <si>
    <t>TotalOtherIntangibleAssetsX</t>
  </si>
  <si>
    <t>PensionDeficit</t>
  </si>
  <si>
    <t>COH.N,mscalc:freeCashFlowForConsensus,2013FY,,FYR</t>
  </si>
  <si>
    <t>1,164.44601401793</t>
  </si>
  <si>
    <t>ANF.N,mscalc:freeCashFlowForConsensus,2013FY,,FYR</t>
  </si>
  <si>
    <t>JWN.N,mscalc:ebitdaBeforePensionOpebAndOperatingLeaseAdjustments,2009FY</t>
  </si>
  <si>
    <t>SKUL.O,mscalc:targetPrice</t>
  </si>
  <si>
    <t>SKS.N,mscalc:epsForConsensusForThomsonFeed,2004FY,,FYR</t>
  </si>
  <si>
    <t>ANN.N,mscalc:epsForConsensusForThomsonFeed,2012FY,,FYR</t>
  </si>
  <si>
    <t>KORS.N,mscalc:netIncomeBeforeOperatingLeaseAdjustment,2013Q4,,FYR</t>
  </si>
  <si>
    <t>LTD.N,mscalc:targetPrice</t>
  </si>
  <si>
    <t>50</t>
  </si>
  <si>
    <t>CHS.N,mscalc:epsForConsensusForThomsonFeed,2007FY,,FYR</t>
  </si>
  <si>
    <t>0.478092483910295</t>
  </si>
  <si>
    <t>2.05693914440651</t>
  </si>
  <si>
    <t>ANN.N,mstag:revenueNet,2009FY,,FYR</t>
  </si>
  <si>
    <t>ROST.O,mscalc:epsForConsensusForThomsonFeed,2002FY,,FYR</t>
  </si>
  <si>
    <t>TIF.N,mscalc:epsForConsensusForThomsonFeed,2002FY,,FYR</t>
  </si>
  <si>
    <t>ARO.N,mscalc:epsForConsensusForThomsonFeed,2013FY,,FYR</t>
  </si>
  <si>
    <t>ROST.O,mstag:revenueNet,2013FY,,FYR</t>
  </si>
  <si>
    <t>AEO.N,mstag:revenueNet,2009FY,,FYR</t>
  </si>
  <si>
    <t>EXPR.N,mscalc:shortAndLongTermDebtAsif,2011FY,,FYR</t>
  </si>
  <si>
    <t>AEO.N,mscalc:epsForConsensusForThomsonFeed,2002FY,,FYR</t>
  </si>
  <si>
    <t>URBN.O,mstag:revenueNet,2009FY,,FYR</t>
  </si>
  <si>
    <t>Square Footage Analysis</t>
  </si>
  <si>
    <t>2007A</t>
  </si>
  <si>
    <t>2008A</t>
  </si>
  <si>
    <t xml:space="preserve">        Other Extordinary Gain:</t>
  </si>
  <si>
    <t>Source:  Company reports.</t>
  </si>
  <si>
    <t xml:space="preserve">                                                                                                                        </t>
  </si>
  <si>
    <t>NM</t>
  </si>
  <si>
    <t>7.  Pretax Income</t>
  </si>
  <si>
    <t>8.  Income Taxes</t>
  </si>
  <si>
    <t>9.  Net Income</t>
  </si>
  <si>
    <t xml:space="preserve">10.  Earnings Per Share </t>
  </si>
  <si>
    <t>11.  Shares Outstanding</t>
  </si>
  <si>
    <t>5.  Operating Income</t>
  </si>
  <si>
    <t>4.  Depreciation and Amortization</t>
  </si>
  <si>
    <t>Assets</t>
  </si>
  <si>
    <t>Cash and equivalents</t>
  </si>
  <si>
    <t>Merchandise inventory</t>
  </si>
  <si>
    <t>TOTAL LIABILITIES</t>
  </si>
  <si>
    <t>AEO.N,mscalc:epsForConsensusForThomsonFeed,2012FY,,FYR</t>
  </si>
  <si>
    <t>JCP.N,mscalc:freeCashFlowForConsensus,2012FY,,FYR</t>
  </si>
  <si>
    <t>COH.N,mstag:averageDilutedSharesOutstanding,2011Q3,,FYR</t>
  </si>
  <si>
    <t>PSUN.US,mscalc:stockRating</t>
  </si>
  <si>
    <t>JCP.N,mscalc:stockRating</t>
  </si>
  <si>
    <t>TEA.N,mstag:revenueNet,2012FY,,FYR</t>
  </si>
  <si>
    <t>CF/Share</t>
  </si>
  <si>
    <t>Dividend</t>
  </si>
  <si>
    <t>New Store Size (Gross Sq. Ft.)</t>
  </si>
  <si>
    <t>COH.N,mscalc:netIncomeBeforeOperatingLeaseAdjustment,2010Q1,,FYR</t>
  </si>
  <si>
    <t>5.  Net Other Expenses / (Income)  (% of Sales)</t>
  </si>
  <si>
    <t>Segment Information</t>
  </si>
  <si>
    <t>% of Total</t>
  </si>
  <si>
    <t># Stores</t>
  </si>
  <si>
    <t>Net</t>
  </si>
  <si>
    <t>% Ch</t>
  </si>
  <si>
    <t>avg</t>
  </si>
  <si>
    <t># Ch</t>
  </si>
  <si>
    <t>open/</t>
  </si>
  <si>
    <t>close</t>
  </si>
  <si>
    <t>% of Total Net Sales</t>
  </si>
  <si>
    <t>% of Total Operating Income</t>
  </si>
  <si>
    <t>Net Sales</t>
  </si>
  <si>
    <t>Op Income</t>
  </si>
  <si>
    <t>Corp Expense</t>
  </si>
  <si>
    <t>Seg Op Income</t>
  </si>
  <si>
    <t>U.S. Retail</t>
  </si>
  <si>
    <t>Note: In 1Q08, TIF changed its method of accounting for inventories held by its U.S. subsidiaries and foreign branches from the last-in, first-out (“LIFO”) method to the average cost method (now used worldwide). 2006 and 2007 have been revised.</t>
  </si>
  <si>
    <t>Annual Earnings Model, Fiscal 2001A-2014E</t>
  </si>
  <si>
    <t>Annual Sales Model, Fiscal 2001-2014E</t>
  </si>
  <si>
    <t>Sq. Ft. Growth YoY</t>
  </si>
  <si>
    <t>Square Feet</t>
  </si>
  <si>
    <t>Ending Gross Sq. Ft. (MM)</t>
  </si>
  <si>
    <t>Total Sq Ft (millions)</t>
  </si>
  <si>
    <t>Deferred income taxes</t>
  </si>
  <si>
    <t>EXPR.N,mstag:revenueNet,2009FY,,FYR</t>
  </si>
  <si>
    <t>SKUL.O,mscalc:epsForConsensusForThomsonFeed,2014FY,,FYR</t>
  </si>
  <si>
    <t>TJX.N,mscalc:epsForConsensusForThomsonFeed,2015FY,,FYR</t>
  </si>
  <si>
    <t>ANF.N,mstag:revenueNet,2013FY,,FYR</t>
  </si>
  <si>
    <t>SKUL.O,mscalc:epsForConsensusForThomsonFeed,2015FY,,FYR</t>
  </si>
  <si>
    <t>AEO.N,mscalc:epsForConsensusForThomsonFeed,2015FY,,FYR</t>
  </si>
  <si>
    <t>URBN.O,mstag:revenueNet,2013FY,,FYR</t>
  </si>
  <si>
    <t>LTD.N,mstag:revenueNet,2009FY,,FYR</t>
  </si>
  <si>
    <t>TEA.N,mscalc:epsForConsensusForThomsonFeed,2013FY,,FYR</t>
  </si>
  <si>
    <t>CHS.N,mscalc:shortAndLongTermDebtAsif,2012Q1,,FYR</t>
  </si>
  <si>
    <t>ANF.N,mstag:cashAndCashEquivalents,2012Q1,,FYR</t>
  </si>
  <si>
    <t>AEO.N,mstag:revenueNet,2013FY,,FYR</t>
  </si>
  <si>
    <t>ARO.N,mstag:cashAndCashEquivalents,2011FY,,FYR</t>
  </si>
  <si>
    <t>EXPR.N,mstag:revenueNet,2013FY,,FYR</t>
  </si>
  <si>
    <t>LULU.O,mscalc:epsForConsensusForThomsonFeed,2013FY,,FYR</t>
  </si>
  <si>
    <t>KORS.N,mstag:revenueNet,2013FY,,FYR</t>
  </si>
  <si>
    <t>GPS.N,mscalc:epsForConsensusForThomsonFeed,2014FY,,FYR</t>
  </si>
  <si>
    <t>LULU.O,mscalc:epsForConsensusForThomsonFeed,2010FY,,FYR</t>
  </si>
  <si>
    <t>0.788044308372371</t>
  </si>
  <si>
    <t>CHS.N,mscalc:stockRating</t>
  </si>
  <si>
    <t>ARO.N,mscalc:targetPrice</t>
  </si>
  <si>
    <t>12</t>
  </si>
  <si>
    <t>9.  Earnings from Continuing Operations Per Share -- Fully Diluted   (% Change)</t>
  </si>
  <si>
    <t>9.  Extraordinary items   (% Change)</t>
  </si>
  <si>
    <t>8.  Net Earnings before items  (% Change)</t>
  </si>
  <si>
    <t>CAGR</t>
  </si>
  <si>
    <t>2000E</t>
  </si>
  <si>
    <t>%</t>
  </si>
  <si>
    <t xml:space="preserve">   % Chg. from LY</t>
  </si>
  <si>
    <t># Stores Open BOY</t>
  </si>
  <si>
    <t># Stores Open EOY</t>
  </si>
  <si>
    <t>Avg. # Open</t>
  </si>
  <si>
    <t xml:space="preserve">   % Chg. Avg. Units</t>
  </si>
  <si>
    <t>Avg Net Sales Per Store ($MM)</t>
  </si>
  <si>
    <t>Avg. Gross Sq. Ft. (MM)</t>
  </si>
  <si>
    <t>Avg. Store Size (Gross Sq. Ft.)</t>
  </si>
  <si>
    <t>Net Sales Per Avg Gross Sq Ft</t>
  </si>
  <si>
    <t>Comparable-Store Sales</t>
  </si>
  <si>
    <t>New Space Productivity</t>
  </si>
  <si>
    <t>Operating Profit ($MM)</t>
  </si>
  <si>
    <t xml:space="preserve">     % Margin</t>
  </si>
  <si>
    <t>TOTAL ASSETS</t>
  </si>
  <si>
    <t>Apr</t>
  </si>
  <si>
    <t>Jul</t>
  </si>
  <si>
    <t>Oct</t>
  </si>
  <si>
    <t>Jan</t>
  </si>
  <si>
    <t>($ millions except per share data)</t>
  </si>
  <si>
    <t>1.  Sales</t>
  </si>
  <si>
    <t>3.  SG&amp;A Expense</t>
  </si>
  <si>
    <t xml:space="preserve">       % Margin</t>
  </si>
  <si>
    <t xml:space="preserve">       % Tax Rate</t>
  </si>
  <si>
    <t xml:space="preserve">       % Net Margin</t>
  </si>
  <si>
    <t xml:space="preserve">       % Increase</t>
  </si>
  <si>
    <t>Quarterly Operating Results and Financial Analysis</t>
  </si>
  <si>
    <t>($ in millions except per share data)</t>
  </si>
  <si>
    <t>1Q</t>
  </si>
  <si>
    <t>2Q</t>
  </si>
  <si>
    <t>3Q</t>
  </si>
  <si>
    <t>4Q</t>
  </si>
  <si>
    <t>CHS.N,mscalc:freeCashFlowForConsensus,2011FY,,FYR</t>
  </si>
  <si>
    <t>International</t>
  </si>
  <si>
    <t>Specialty</t>
  </si>
  <si>
    <t>TIFFANY &amp; CO - Total</t>
  </si>
  <si>
    <t>Flagship NY Store</t>
  </si>
  <si>
    <t>Japan</t>
  </si>
  <si>
    <t>Europe</t>
  </si>
  <si>
    <t>Asia-Pacific           (ex Japan)</t>
  </si>
  <si>
    <t>SKS.N,mscalc:freeCashFlowForConsensus,2010FY,,FYR</t>
  </si>
  <si>
    <t>TEA.N,mscalc:epsForConsensusForThomsonFeed,2005FY,,FYR</t>
  </si>
  <si>
    <t>KORS.N,mstag:averageDilutedSharesOutstanding,2012Q1,,FYR</t>
  </si>
  <si>
    <t>ANN.N,mscalc:epsForConsensusForThomsonFeed,2010FY,,FYR</t>
  </si>
  <si>
    <t>ANN.N,mscalc:epsForConsensusForThomsonFeed,2006FY,,FYR</t>
  </si>
  <si>
    <t>SKS.N,mscalc:lastActualPeriodCalc</t>
  </si>
  <si>
    <t>(1) - (2)</t>
  </si>
  <si>
    <t>(3)</t>
  </si>
  <si>
    <t>(1)</t>
  </si>
  <si>
    <t>(2)</t>
  </si>
  <si>
    <t>No. of Stores</t>
  </si>
  <si>
    <t>(4)</t>
  </si>
  <si>
    <t>(5)</t>
  </si>
  <si>
    <t>Expansion</t>
  </si>
  <si>
    <t>(6)</t>
  </si>
  <si>
    <t>Non-Comp</t>
  </si>
  <si>
    <t>Space</t>
  </si>
  <si>
    <t>Reverse Rent Payment</t>
  </si>
  <si>
    <t>3,721.4897435957</t>
  </si>
  <si>
    <t>2,426.289</t>
  </si>
  <si>
    <t>379.285</t>
  </si>
  <si>
    <t>145.913157545819</t>
  </si>
  <si>
    <t>3.13770529459056</t>
  </si>
  <si>
    <t>321.966</t>
  </si>
  <si>
    <t>Add Implied Depreciation Expense</t>
  </si>
  <si>
    <t>15</t>
  </si>
  <si>
    <t>21,663.251</t>
  </si>
  <si>
    <t>2.02657126646914</t>
  </si>
  <si>
    <t>321.381</t>
  </si>
  <si>
    <t>280.557</t>
  </si>
  <si>
    <t>391.609</t>
  </si>
  <si>
    <t>579.495</t>
  </si>
  <si>
    <t>1.41898746313892</t>
  </si>
  <si>
    <t>2.92079725031213</t>
  </si>
  <si>
    <t>2.12921970116215</t>
  </si>
  <si>
    <t>1.2516794240285</t>
  </si>
  <si>
    <t>128.48</t>
  </si>
  <si>
    <t>1.06344568220692</t>
  </si>
  <si>
    <t>17,177</t>
  </si>
  <si>
    <t>22</t>
  </si>
  <si>
    <t>521.171</t>
  </si>
  <si>
    <t>4.05242683673558</t>
  </si>
  <si>
    <t>109.927656928729</t>
  </si>
  <si>
    <t>(90.1369999999998)</t>
  </si>
  <si>
    <t>384.227</t>
  </si>
  <si>
    <t>160.583</t>
  </si>
  <si>
    <t>265.47130833198</t>
  </si>
  <si>
    <t>3,819.9794889698</t>
  </si>
  <si>
    <t>(0.392378378378378)</t>
  </si>
  <si>
    <t>5.36890753779645</t>
  </si>
  <si>
    <t>ARO.N,mscalc:epsForConsensusForThomsonFeed,2005FY,,FYR</t>
  </si>
  <si>
    <t>EXPR.N,mscalc:epsForConsensusForThomsonFeed,2012FY,,FYR</t>
  </si>
  <si>
    <t>AEO.N,mscalc:epsForConsensusForThomsonFeed,2011FY,,FYR</t>
  </si>
  <si>
    <t>TIF.N,mstag:bullCaseValueEstimatePerShare</t>
  </si>
  <si>
    <t>COH.N,mstag:revenueNet,2011Q3,,FYR</t>
  </si>
  <si>
    <t>COH.N,mstag:averageDilutedSharesOutstanding,2003Q2,,FYR</t>
  </si>
  <si>
    <t>COH.N,mstag:revenueNet,2011Q1,,FYR</t>
  </si>
  <si>
    <t>911.669</t>
  </si>
  <si>
    <t>CBK.US,mscalc:stockRating</t>
  </si>
  <si>
    <t>LULU.O,mscalc:freeCashFlowForConsensus,2013FY,,CY</t>
  </si>
  <si>
    <t>AEO.N,mscalc:ebitdaBeforePensionOpebAndOperatingLeaseAdjustments,2009FY</t>
  </si>
  <si>
    <t>SKUL.O,mscalc:epsForConsensusForThomsonFeed,2004FY,,FYR</t>
  </si>
  <si>
    <t>StockOptionExpenseMemoX</t>
  </si>
  <si>
    <t>Asia Pacific</t>
  </si>
  <si>
    <t>PLCE.O,mscalc:freeCashFlowForConsensus,2009FY,,FYR</t>
  </si>
  <si>
    <t>COH.N,mscalc:ebitdaBeforePensionOpebAndOperatingLeaseAdjustments,2009Q3,,FYR</t>
  </si>
  <si>
    <t>COH.N,mstag:averageDilutedSharesOutstanding,2008Q3,,FYR</t>
  </si>
  <si>
    <t>3,370.65649803832</t>
  </si>
  <si>
    <t>296.068</t>
  </si>
  <si>
    <t>1.60166310366971</t>
  </si>
  <si>
    <t>27</t>
  </si>
  <si>
    <t>0.769677810724095</t>
  </si>
  <si>
    <t>2.30740364318662</t>
  </si>
  <si>
    <t>JWN.N,mscalc:epsForConsensusForThomsonFeed,2010FY,,FYR</t>
  </si>
  <si>
    <t>ARO.N,mscalc:ebitdaBeforePensionOpebAndOperatingLeaseAdjustments,2011FY</t>
  </si>
  <si>
    <t>COH.N,mscalc:netIncomeBeforeOperatingLeaseAdjustment,2006Q2,,FYR</t>
  </si>
  <si>
    <t>ANN.N,mscalc:freeCashFlowForConsensus,2012FY,,FYR</t>
  </si>
  <si>
    <t>COH.N,mscalc:ebitdaBeforePensionOpebAndOperatingLeaseAdjustments,2013Q1,,FYR</t>
  </si>
  <si>
    <t>COH.N,mstag:averageDilutedSharesOutstanding,2006Q1,,FYR</t>
  </si>
  <si>
    <t>JCP.N,mstag:met_12monthIntrinsicValueEstimate</t>
  </si>
  <si>
    <t>23</t>
  </si>
  <si>
    <t>MinorityInterestPL</t>
  </si>
  <si>
    <t>LTD.N,mscalc:ebitdaBeforePensionOpebAndOperatingLeaseAdjustments,2012FY</t>
  </si>
  <si>
    <t>2-yr stack</t>
  </si>
  <si>
    <t>EXPR.N,mscalc:ebitdaBeforePensionOpebAndOperatingLeaseAdjustments,2009FY</t>
  </si>
  <si>
    <t>199.271</t>
  </si>
  <si>
    <t>COH.N,mstag:bullCaseValueEstimatePerShare</t>
  </si>
  <si>
    <t>90</t>
  </si>
  <si>
    <t>GPS.N,mscalc:ebitdaBeforePensionOpebAndOperatingLeaseAdjustments,2011FY</t>
  </si>
  <si>
    <t>CHS.N,mstag:bullCaseValueEstimatePerShare</t>
  </si>
  <si>
    <t>ARO.N,mstag:met_12monthIntrinsicValueEstimate</t>
  </si>
  <si>
    <t>TJX.N,mstag:met_12monthIntrinsicValueEstimate</t>
  </si>
  <si>
    <t>ANN.N,mscalc:epsForConsensusForThomsonFeed,2013FY,,FYR</t>
  </si>
  <si>
    <t>ARO.N,mscalc:epsForConsensusForThomsonFeed,2015FY,,FYR</t>
  </si>
  <si>
    <t>CHS.N,mstag:revenueNet,2009FY,,FYR</t>
  </si>
  <si>
    <t>334.023</t>
  </si>
  <si>
    <t>0.517094306595301</t>
  </si>
  <si>
    <t>3.23562091503268</t>
  </si>
  <si>
    <t>326.939</t>
  </si>
  <si>
    <t>(0.0194613999524365)</t>
  </si>
  <si>
    <t>972</t>
  </si>
  <si>
    <t>79.3252214947655</t>
  </si>
  <si>
    <t>321.355</t>
  </si>
  <si>
    <t>30.7090859724619</t>
  </si>
  <si>
    <t>2.05190046175691</t>
  </si>
  <si>
    <t>21.8800000000002</t>
  </si>
  <si>
    <t>4.57275938724422</t>
  </si>
  <si>
    <t>303.428</t>
  </si>
  <si>
    <t>207.561</t>
  </si>
  <si>
    <t>340.059</t>
  </si>
  <si>
    <t>599.321341509013</t>
  </si>
  <si>
    <t>3.66</t>
  </si>
  <si>
    <t>10.0421279899929</t>
  </si>
  <si>
    <t>1,065.005</t>
  </si>
  <si>
    <t>399.811019565433</t>
  </si>
  <si>
    <t>4.80364980103123</t>
  </si>
  <si>
    <t>39.031</t>
  </si>
  <si>
    <t>0.270675434275066</t>
  </si>
  <si>
    <t>548.865</t>
  </si>
  <si>
    <t>2,205.78763334688</t>
  </si>
  <si>
    <t>2,087.46530568223</t>
  </si>
  <si>
    <t>0.473638765027184</t>
  </si>
  <si>
    <t>304.655</t>
  </si>
  <si>
    <t>140.827</t>
  </si>
  <si>
    <t>562.769947764628</t>
  </si>
  <si>
    <t>0.783828941598344</t>
  </si>
  <si>
    <t>29.8535514914497</t>
  </si>
  <si>
    <t>1,448.649</t>
  </si>
  <si>
    <t>195.912558</t>
  </si>
  <si>
    <t>1,718.60800086558</t>
  </si>
  <si>
    <t>112.795</t>
  </si>
  <si>
    <t>0.98867026550613</t>
  </si>
  <si>
    <t>86.9305962997471</t>
  </si>
  <si>
    <t>117.486435841332</t>
  </si>
  <si>
    <t>(10.6881348321444)</t>
  </si>
  <si>
    <t>1,356.96295</t>
  </si>
  <si>
    <t>225.002</t>
  </si>
  <si>
    <t>996.682203591002</t>
  </si>
  <si>
    <t>1,050.359</t>
  </si>
  <si>
    <t>885.165</t>
  </si>
  <si>
    <t>380.462</t>
  </si>
  <si>
    <t>3.19807588103804</t>
  </si>
  <si>
    <t>232.5</t>
  </si>
  <si>
    <t>193.583954</t>
  </si>
  <si>
    <t>123.677961164426</t>
  </si>
  <si>
    <t>2,301</t>
  </si>
  <si>
    <t>18,391</t>
  </si>
  <si>
    <t>290.996</t>
  </si>
  <si>
    <t>230.854</t>
  </si>
  <si>
    <t>186.015</t>
  </si>
  <si>
    <t>2.89</t>
  </si>
  <si>
    <t>3,471</t>
  </si>
  <si>
    <t>2.00352053867752</t>
  </si>
  <si>
    <t>1,198.09165364389</t>
  </si>
  <si>
    <t>ANF.N,mscalc:epsForConsensusForThomsonFeed,2015FY,,FYR</t>
  </si>
  <si>
    <t>ARO.N,mscalc:shortAndLongTermDebtAsif,2011FY,,FYR</t>
  </si>
  <si>
    <t>CHS.N,mscalc:epsForConsensusForThomsonFeed,2003FY,,FYR</t>
  </si>
  <si>
    <t>TJX.N,mscalc:epsForConsensusForThomsonFeed,2014FY,,FYR</t>
  </si>
  <si>
    <t>TJX.N,mscalc:epsForConsensusForThomsonFeed,2002FY,,FYR</t>
  </si>
  <si>
    <t>COH.N,mstag:cashAndCashEquivalents,2012Q3,,FYR</t>
  </si>
  <si>
    <t>ROST.O,mscalc:epsForConsensusForThomsonFeed,2013FY,,FYR</t>
  </si>
  <si>
    <t>EXPR.N,mstag:cashAndCashEquivalents,2011FY,,FYR</t>
  </si>
  <si>
    <t>1,902.519</t>
  </si>
  <si>
    <t>1,643.033</t>
  </si>
  <si>
    <t>296.965</t>
  </si>
  <si>
    <t>304.067223820828</t>
  </si>
  <si>
    <t>300.3645318</t>
  </si>
  <si>
    <t>147.45</t>
  </si>
  <si>
    <t>AEO.N,mscalc:ebitdaBeforePensionOpebAndOperatingLeaseAdjustments,2012FY</t>
  </si>
  <si>
    <t>COH.N,mstag:revenueNet,2010Q1,,FYR</t>
  </si>
  <si>
    <t>COH.N,mstag:met_12monthIntrinsicValueEstimate</t>
  </si>
  <si>
    <t>JCP.N,mscalc:targetPrice</t>
  </si>
  <si>
    <t>PLCE.O,mscalc:epsForConsensusForThomsonFeed,2003FY,,FYR</t>
  </si>
  <si>
    <t>ARO.N,mscalc:epsForConsensusForThomsonFeed,2002FY,,FYR</t>
  </si>
  <si>
    <t>181.994460636493</t>
  </si>
  <si>
    <t>950.525</t>
  </si>
  <si>
    <t>27.855</t>
  </si>
  <si>
    <t>55.978</t>
  </si>
  <si>
    <t>4.3</t>
  </si>
  <si>
    <t>295.509</t>
  </si>
  <si>
    <t>778</t>
  </si>
  <si>
    <t>830.669</t>
  </si>
  <si>
    <t>10,453.453829443</t>
  </si>
  <si>
    <t>395.636</t>
  </si>
  <si>
    <t>1,096</t>
  </si>
  <si>
    <t>2,771.66376476911</t>
  </si>
  <si>
    <t>270.923194782963</t>
  </si>
  <si>
    <t>409.45047560282</t>
  </si>
  <si>
    <t>1,147</t>
  </si>
  <si>
    <t>(0.496103323982085)</t>
  </si>
  <si>
    <t>2.07689687874355</t>
  </si>
  <si>
    <t>34</t>
  </si>
  <si>
    <t>2,790.589</t>
  </si>
  <si>
    <t>3,001.534</t>
  </si>
  <si>
    <t>3,664.04306</t>
  </si>
  <si>
    <t>1.23308722318149</t>
  </si>
  <si>
    <t>7</t>
  </si>
  <si>
    <t>1.50033749636316</t>
  </si>
  <si>
    <t>1,104.9</t>
  </si>
  <si>
    <t>958.19332288432</t>
  </si>
  <si>
    <t>1,598</t>
  </si>
  <si>
    <t>760.286</t>
  </si>
  <si>
    <t>298.722</t>
  </si>
  <si>
    <t>(0.326767247780775)</t>
  </si>
  <si>
    <t>CHS.N,mscalc:freeCashFlowForConsensus,2013FY,,FYR</t>
  </si>
  <si>
    <t>KORS.N,mscalc:ebitdaBeforePensionOpebAndOperatingLeaseAdjustments,2009FY</t>
  </si>
  <si>
    <t>JWN.N,mstag:bearCaseValueEstimatePerShare</t>
  </si>
  <si>
    <t>COH.N,mscalc:freeCashFlowForConsensus,2014FY,,FYR</t>
  </si>
  <si>
    <t>M.N,mscalc:targetPrice</t>
  </si>
  <si>
    <t>KORS.N,mscalc:epsForConsensusForThomsonFeed,2014FY,,FYR</t>
  </si>
  <si>
    <t>LTD.N,mscalc:epsForConsensusForThomsonFeed,2011FY,,FYR</t>
  </si>
  <si>
    <t>GPS.N,mstag:revenueNet,2010FY,,FYR</t>
  </si>
  <si>
    <t>KSS.N,mscalc:epsForConsensusForThomsonFeed,2004FY,,FYR</t>
  </si>
  <si>
    <t>URBN.O,mstag:bullCaseValueEstimatePerShare</t>
  </si>
  <si>
    <t>TJX.N,mstag:revenueNet,2011FY,,FYR</t>
  </si>
  <si>
    <t>TJX.N,mscalc:targetPrice</t>
  </si>
  <si>
    <t>TJX.N,mscalc:epsForConsensusForThomsonFeed,2010FY,,FYR</t>
  </si>
  <si>
    <t>URBN.O,mstag:revenueNet,2010FY,,FYR</t>
  </si>
  <si>
    <t>M.N,mscalc:freeCashFlowForConsensus,2011FY,,FYR</t>
  </si>
  <si>
    <t>247.035915053892</t>
  </si>
  <si>
    <t>0.814211167703028</t>
  </si>
  <si>
    <t>24.9793194739195</t>
  </si>
  <si>
    <t>1,264.457</t>
  </si>
  <si>
    <t>CHS.N,mscalc:epsForConsensusForThomsonFeed,2004FY,,FYR</t>
  </si>
  <si>
    <t>KORS.N,mscalc:netIncomeBeforeOperatingLeaseAdjustment,2012Q1,,FYR</t>
  </si>
  <si>
    <t>LULU.O,mscalc:epsForConsensusForThomsonFeed,2002FY,,FYR</t>
  </si>
  <si>
    <t>,mscalc:sedolCodeCalc</t>
  </si>
  <si>
    <t>,mscalc:targetPrice,,,,USD</t>
  </si>
  <si>
    <t>TIF.N,mscalc:targetPrice</t>
  </si>
  <si>
    <t>Asia-Pacific</t>
  </si>
  <si>
    <t>Weighted average interest rate of lease portfolio</t>
  </si>
  <si>
    <t>Interest implicit in new leases signed</t>
  </si>
  <si>
    <t>Number of Units Leased</t>
  </si>
  <si>
    <t>Growth in Leased Units</t>
  </si>
  <si>
    <t>Leased Units / Total Units in Capacity (%)</t>
  </si>
  <si>
    <t>Capex per Unit</t>
  </si>
  <si>
    <t>% change in capex per unit</t>
  </si>
  <si>
    <t>Capital expenditure financed through operating leases</t>
  </si>
  <si>
    <t>Marginal Tax Rate</t>
  </si>
  <si>
    <t>ANF.N,mscalc:epsForConsensusForThomsonFeed,2014FY,,FYR</t>
  </si>
  <si>
    <t>SKUL.O,mscalc:epsForConsensusForThomsonFeed,2003FY,,FYR</t>
  </si>
  <si>
    <t>LTD.N,mscalc:epsForConsensusForThomsonFeed,2002FY,,FYR</t>
  </si>
  <si>
    <t>URBN.O,mscalc:epsForConsensusForThomsonFeed,2015FY,,FYR</t>
  </si>
  <si>
    <t>EXPR.N,mscalc:epsForConsensusForThomsonFeed,2008FY,,FYR</t>
  </si>
  <si>
    <t>COH.N,mscalc:netIncomeBeforeOperatingLeaseAdjustment,2012Q3,,FYR</t>
  </si>
  <si>
    <t>GPS.N,mscalc:freeCashFlowForConsensus,2012FY,,FYR</t>
  </si>
  <si>
    <t>COH.N,mstag:revenueNet,2012Q1,,FYR</t>
  </si>
  <si>
    <t>Tiffany and Co. - Asia-Pacific Retail (excl. Japan) (includes China, Korea, Hong kong, Taiwan, Austrialia, Singapore, Macau and Malaysia)</t>
  </si>
  <si>
    <t>Template Start Year</t>
  </si>
  <si>
    <t>Productivity (3)/(6)</t>
  </si>
  <si>
    <t>(7)</t>
  </si>
  <si>
    <t>COH.N,mstag:averageDilutedSharesOutstanding,2007Q3,,FYR</t>
  </si>
  <si>
    <t>KORS.N,mstag:averageDilutedSharesOutstanding,2010Q2,,FYR</t>
  </si>
  <si>
    <t>Current Year Operating Lease Payments</t>
  </si>
  <si>
    <t>YOY % Change in Current Year Operating Lease Expense</t>
  </si>
  <si>
    <t>Total Reported Lease Commitments</t>
  </si>
  <si>
    <t>Growth in Aggregate Lease Obligations</t>
  </si>
  <si>
    <t>Cumulative Payments After Year 5</t>
  </si>
  <si>
    <t>Implied Total Lease Life</t>
  </si>
  <si>
    <t>Implied Remaining Duration on Reported Lease Payments</t>
  </si>
  <si>
    <t>% of average lease life term completed</t>
  </si>
  <si>
    <t>Lease Payment Schedule - Non Cancelable Leases Only</t>
  </si>
  <si>
    <t>Current year rental payment</t>
  </si>
  <si>
    <t>Expected payments forecast year 1</t>
  </si>
  <si>
    <t>Expected payments forecast year 2</t>
  </si>
  <si>
    <t>Expected payments forecast year 3</t>
  </si>
  <si>
    <t>Expected payments forecast year 4</t>
  </si>
  <si>
    <t>Expected payments forecast year 5</t>
  </si>
  <si>
    <t>SKS.N,mscalc:epsForConsensusForThomsonFeed,2005FY,,FYR</t>
  </si>
  <si>
    <t>AEO.N,mscalc:lastActualPeriodCalc</t>
  </si>
  <si>
    <t>2011FY</t>
  </si>
  <si>
    <t>ANF.N,mscalc:ebitdaBeforePensionOpebAndOperatingLeaseAdjustments,2013FY</t>
  </si>
  <si>
    <t>CHS.N,mscalc:epsForConsensusForThomsonFeed,2006FY,,FYR</t>
  </si>
  <si>
    <t>Expected payments forecast year 6</t>
  </si>
  <si>
    <t>Expected payments forecast year 7</t>
  </si>
  <si>
    <t>Expected payments forecast year 8</t>
  </si>
  <si>
    <t>Expected payments forecast year 9</t>
  </si>
  <si>
    <t>KSS.N,mstag:revenueNet,2012FY,,FYR</t>
  </si>
  <si>
    <t>KORS.N,mscalc:lastActualPeriodCalc</t>
  </si>
  <si>
    <t>2011Q3</t>
  </si>
  <si>
    <t>PLCE.O,mscalc:freeCashFlowForConsensus,2011FY,,FYR</t>
  </si>
  <si>
    <t>COH.N,mscalc:netIncomeBeforeOperatingLeaseAdjustment,2004Q1,,FYR</t>
  </si>
  <si>
    <t>KORS.N,mscalc:ebitdaBeforePensionOpebAndOperatingLeaseAdjustments,2011FY</t>
  </si>
  <si>
    <t>COH.N,mstag:averageDilutedSharesOutstanding,2007Q1,,FYR</t>
  </si>
  <si>
    <t>CHS.N,mscalc:ebitdaBeforePensionOpebAndOperatingLeaseAdjustments,2011FY</t>
  </si>
  <si>
    <t>CHS.N,mscalc:epsForConsensusForThomsonFeed,2008FY,,FYR</t>
  </si>
  <si>
    <t>LTD.N,mscalc:freeCashFlowForConsensus,2009FY,,FYR</t>
  </si>
  <si>
    <t>COH.N,mscalc:ebitdaBeforePensionOpebAndOperatingLeaseAdjustments,2010Q4,,FYR</t>
  </si>
  <si>
    <t>TIF.N,mscalc:freeCashFlowForConsensus,2012FY,,FYR</t>
  </si>
  <si>
    <t>COH.N,mstag:averageDilutedSharesOutstanding,2009Q3,,FYR</t>
  </si>
  <si>
    <t>TEA.N,mscalc:lastActualPeriodCalc</t>
  </si>
  <si>
    <t>KORS.N,mscalc:netIncomeBeforeOperatingLeaseAdjustment,2011Q4,,FYR</t>
  </si>
  <si>
    <t>ANF.N,mscalc:epsForConsensusForThomsonFeed,2010FY,,FYR</t>
  </si>
  <si>
    <t>KORS.N,mstag:averageDilutedSharesOutstanding,2011Q2,,FYR</t>
  </si>
  <si>
    <t>KORS.N,mscalc:netIncomeBeforeOperatingLeaseAdjustment,2014Q1,,FYR</t>
  </si>
  <si>
    <t>ANF.N,mscalc:freeCashFlowForConsensus,2011FY,,FYR</t>
  </si>
  <si>
    <t>JWN.N,mscalc:epsForConsensusForThomsonFeed,2014FY,,FYR</t>
  </si>
  <si>
    <t>COH.N,mscalc:netIncomeBeforeOperatingLeaseAdjustment,2011Q2,,FYR</t>
  </si>
  <si>
    <t>LTD.N,mscalc:freeCashFlowForConsensus,2011FY,,FYR</t>
  </si>
  <si>
    <t>LULU.O,mscalc:epsForConsensusForThomsonFeed,2007FY,,FYR</t>
  </si>
  <si>
    <t>COH.N,mscalc:netIncomeBeforeOperatingLeaseAdjustment,2007Q4,,FYR</t>
  </si>
  <si>
    <t>JWN.N,mscalc:epsForConsensusForThomsonFeed,2003FY,,FYR</t>
  </si>
  <si>
    <t>TIF.N,mscalc:epsForConsensusForThomsonFeed,2010FY,,FYR</t>
  </si>
  <si>
    <t>ARO.N,mscalc:freeCashFlowForConsensus,2010FY,,FYR</t>
  </si>
  <si>
    <t>SKS.N,mscalc:freeCashFlowForConsensus,2012FY,,FYR</t>
  </si>
  <si>
    <t>COH.N,mscalc:netIncomeBeforeOperatingLeaseAdjustment,2004Q4,,FYR</t>
  </si>
  <si>
    <t>KORS.N,mscalc:freeCashFlowForConsensus,2011FY,,FYR</t>
  </si>
  <si>
    <t>URBN.O,mstag:revenueNet,2011FY,,FYR</t>
  </si>
  <si>
    <t>KORS.N,mscalc:netIncomeBeforeOperatingLeaseAdjustment,2013Q1,,FYR</t>
  </si>
  <si>
    <t>PLCE.O,mstag:revenueNet,2012FY,,FYR</t>
  </si>
  <si>
    <t>JCP.N,mstag:bullCaseValueEstimatePerShare</t>
  </si>
  <si>
    <t>JWN.N,mscalc:epsForConsensusForThomsonFeed,2005FY,,FYR</t>
  </si>
  <si>
    <t>1.98426148320344</t>
  </si>
  <si>
    <t>1,780.72780365528</t>
  </si>
  <si>
    <t>44</t>
  </si>
  <si>
    <t>172.487</t>
  </si>
  <si>
    <t>80.872</t>
  </si>
  <si>
    <t>432.007</t>
  </si>
  <si>
    <t>1,715.862</t>
  </si>
  <si>
    <t>1.11582344908531</t>
  </si>
  <si>
    <t>2.81776841542114</t>
  </si>
  <si>
    <t>25</t>
  </si>
  <si>
    <t>378.26516083904</t>
  </si>
  <si>
    <t>412.07440258787</t>
  </si>
  <si>
    <t>272.271</t>
  </si>
  <si>
    <t>389.863</t>
  </si>
  <si>
    <t>0.462241537510254</t>
  </si>
  <si>
    <t>9,569.77571244581</t>
  </si>
  <si>
    <t>2,481.27205488241</t>
  </si>
  <si>
    <t>1,033.6</t>
  </si>
  <si>
    <t>751.551</t>
  </si>
  <si>
    <t>9</t>
  </si>
  <si>
    <t>TEA.N,mscalc:ebitdaBeforePensionOpebAndOperatingLeaseAdjustments,2011FY</t>
  </si>
  <si>
    <t>M.N,mscalc:epsForConsensusForThomsonFeed,2015FY,,FYR</t>
  </si>
  <si>
    <t>4.90587017738511</t>
  </si>
  <si>
    <t>KORS.N,mstag:bullCaseValueEstimatePerShare</t>
  </si>
  <si>
    <t>67</t>
  </si>
  <si>
    <t>ANN.N,mscalc:lastActualPeriodCalc</t>
  </si>
  <si>
    <t>COH.N,mscalc:netIncomeBeforeOperatingLeaseAdjustment,2008Q2,,FYR</t>
  </si>
  <si>
    <t>252.317</t>
  </si>
  <si>
    <t>AEO.N,mscalc:freeCashFlowForConsensus,2011FY,,FYR</t>
  </si>
  <si>
    <t>139.121</t>
  </si>
  <si>
    <t>CWTR.US,mscalc:stockRating</t>
  </si>
  <si>
    <t>SKS.N,mscalc:epsForConsensusForThomsonFeed,2003FY,,FYR</t>
  </si>
  <si>
    <t>(0.499913824862043)</t>
  </si>
  <si>
    <t>CHS.N,mscalc:epsForConsensusForThomsonFeed,2010FY,,FYR</t>
  </si>
  <si>
    <t>0.648904141905479</t>
  </si>
  <si>
    <t>CHS.N,mstag:bearCaseValueEstimatePerShare</t>
  </si>
  <si>
    <t>M.N,mscalc:epsForConsensusForThomsonFeed,2004FY,,FYR</t>
  </si>
  <si>
    <t>JWN.N,mscalc:freeCashFlowForConsensus,2009FY,,FYR</t>
  </si>
  <si>
    <t>SKS.N,mscalc:freeCashFlowForConsensus,2011FY,,FYR</t>
  </si>
  <si>
    <t>AEO.N,mstag:revenueNet,2010FY,,FYR</t>
  </si>
  <si>
    <t>LTD.N,mstag:met_12monthIntrinsicValueEstimate</t>
  </si>
  <si>
    <t>Quarterly Results and Estimates</t>
  </si>
  <si>
    <t>TIF.N,mscalc:epsForConsensusForThomsonFeed,2006FY,,FYR</t>
  </si>
  <si>
    <t>2.04246632727686</t>
  </si>
  <si>
    <t>KSS.N,mscalc:ebitdaBeforePensionOpebAndOperatingLeaseAdjustments,2012FY</t>
  </si>
  <si>
    <t>2,959.50390419185</t>
  </si>
  <si>
    <t>KSS.N,mscalc:ebitdaBeforePensionOpebAndOperatingLeaseAdjustments,2013FY</t>
  </si>
  <si>
    <t>3,003.11710791959</t>
  </si>
  <si>
    <t>KSS.N,mscalc:ebitdaBeforePensionOpebAndOperatingLeaseAdjustments,2010FY</t>
  </si>
  <si>
    <t>2,845</t>
  </si>
  <si>
    <t>KSS.N,mscalc:ebitdaBeforePensionOpebAndOperatingLeaseAdjustments,2011FY</t>
  </si>
  <si>
    <t>2,936</t>
  </si>
  <si>
    <t>COH.N,mstag:averageDilutedSharesOutstanding,2014Q4,,FYR</t>
  </si>
  <si>
    <t>LTD.N,mscalc:epsForConsensusForThomsonFeed,2007FY,,FYR</t>
  </si>
  <si>
    <t>JWN.N,mstag:revenueNet,2012FY,,FYR</t>
  </si>
  <si>
    <t>KSS.N,mscalc:freeCashFlowForConsensus,2011FY,,FYR</t>
  </si>
  <si>
    <t>ROST.O,mscalc:epsForConsensusForThomsonFeed,2009FY,,FYR</t>
  </si>
  <si>
    <t>URBN.O,mscalc:epsForConsensusForThomsonFeed,2006FY,,FYR</t>
  </si>
  <si>
    <t xml:space="preserve">% of </t>
  </si>
  <si>
    <t>Dividends</t>
  </si>
  <si>
    <t>ND</t>
  </si>
  <si>
    <t>TIF.N,mscalc:targetPrice,,,,USD</t>
  </si>
  <si>
    <t>ZAV(TF.FN.LTDebtExclCapitalizedLeases(period=FY0,sdate=-8FY,edate=0FY,curn=#1,scale=6))</t>
  </si>
  <si>
    <t>TIF.N,mscalc:defaultCurrencyCalc</t>
  </si>
  <si>
    <t>D&amp;A (incl in COGS &amp; SG&amp;A)</t>
  </si>
  <si>
    <t>Avg Size (gross square feet)</t>
  </si>
  <si>
    <t>Interest Margin</t>
  </si>
  <si>
    <t>CapEx ($ millions)</t>
  </si>
  <si>
    <t>EXPR.N,mscalc:ebitdaBeforePensionOpebAndOperatingLeaseAdjustments,2012FY</t>
  </si>
  <si>
    <t>TIF.N,mscalc:closePriceCurrencyCalc</t>
  </si>
  <si>
    <t>TIF.N,mscalc:sedolCodeCalc</t>
  </si>
  <si>
    <t>2892090</t>
  </si>
  <si>
    <t>MW requirement</t>
  </si>
  <si>
    <t>TOTAL OPERATING AND INVESTING USES</t>
  </si>
  <si>
    <t>2014E</t>
  </si>
  <si>
    <t>mscalc:defaultCurrencyCalc</t>
  </si>
  <si>
    <t>ZAV(Avg(TF.FN.InterestExpenseOnDebt(period=#1,sdate=0FY,edate=-4FY,curn=#2)/(TF.FN.STDebtAndCurrentPortionLTDebt(period=#1,sdate=0FY,edate=-4FY,curn=#2)+TF.FN.LTDebtExclCapitalizedLeases(period=#1,sdate=0FY,edate=-4FY,curn=#2))))</t>
  </si>
  <si>
    <t>ZAV(TF.FN.InterestExpenseOnDebt(period=FY0,sdate=#1,edate=#2,curn=#3)/(ZAV(TF.FN.STDebtAndCurrentPortionLTDebt(period=FY0,sdate=#1,edate=#2,curn=#3))+ZAV(TF.FN.LTDebtExclCapitalizedLeases(period=FY0,sdate=#1,edate=#2,curn=#3))))</t>
  </si>
  <si>
    <t>Interest Rate Calculation</t>
  </si>
  <si>
    <t>TRSL data download</t>
  </si>
  <si>
    <t>5 years Average Interest Rate</t>
  </si>
  <si>
    <t xml:space="preserve">Interest Rate </t>
  </si>
  <si>
    <t>New Store Size (Gross Sq. Ft.) - Japan</t>
  </si>
  <si>
    <t>New Store Size (Gross Sq. Ft.) - Asia</t>
  </si>
  <si>
    <t>New Store Size (Gross Sq. Ft.) - Europe and Americas</t>
  </si>
  <si>
    <t>11.  Dividend Per Share -- Fully Diluted</t>
  </si>
  <si>
    <t># Int' Tiffany Stores</t>
  </si>
  <si>
    <t>Abs. Ch</t>
  </si>
  <si>
    <t>Analysis of Space Productivity, 1990A-2007E</t>
  </si>
  <si>
    <t>Direct &amp; Other Operations Revenue</t>
  </si>
  <si>
    <t>%Chg</t>
  </si>
  <si>
    <t>Net Retail Sales</t>
  </si>
  <si>
    <t>Specialty Retail</t>
  </si>
  <si>
    <t xml:space="preserve">Direct   </t>
  </si>
  <si>
    <t>Marketing</t>
  </si>
  <si>
    <t>US Retail</t>
  </si>
  <si>
    <t>Int'l Retail</t>
  </si>
  <si>
    <t>Total Net Sales ($MM)</t>
  </si>
  <si>
    <t>Pension benefit obligation</t>
  </si>
  <si>
    <t>Fair value of plan assets</t>
  </si>
  <si>
    <t xml:space="preserve">Funded status </t>
  </si>
  <si>
    <t>Gross Fixed Asset</t>
  </si>
  <si>
    <t>1,376.86295716227</t>
  </si>
  <si>
    <t>1.64786213138094</t>
  </si>
  <si>
    <t>2.60081218309643</t>
  </si>
  <si>
    <t>14,664</t>
  </si>
  <si>
    <t>2.04119863603426</t>
  </si>
  <si>
    <t>Square Footage Growth y/y</t>
  </si>
  <si>
    <t>Occupancy Growth y/y</t>
  </si>
  <si>
    <t>Other Operating Expense Growth y/y</t>
  </si>
  <si>
    <t xml:space="preserve">FY +HSD; all regions expected to achieve growth in total sales in US dollars and in comp store sales on a CC basis. </t>
  </si>
  <si>
    <t>FY: expect increase in GM but not at 1Q's magnitude (+200 bps y/y)</t>
  </si>
  <si>
    <t>FY: expect SG&amp;A $ growth below sales growth (leverage)</t>
  </si>
  <si>
    <t>FY: $4.15-$4.25</t>
  </si>
  <si>
    <t>Actual vs. Cons</t>
  </si>
  <si>
    <t>5b. Pre-Tax Charges   (% of Sales)</t>
  </si>
  <si>
    <t>One-Time Adjustment</t>
  </si>
  <si>
    <t>2016 EPS</t>
  </si>
  <si>
    <t>2019E</t>
  </si>
  <si>
    <t>Percent of Sales</t>
  </si>
  <si>
    <t>Asia-Pac</t>
  </si>
  <si>
    <t>Currency Impact</t>
  </si>
  <si>
    <t>Calc</t>
  </si>
  <si>
    <t>Growth (ex F/X)</t>
  </si>
  <si>
    <t>Revenue Growth</t>
  </si>
  <si>
    <t>Constant Currency</t>
  </si>
  <si>
    <t>Extraordinary Items / One Time Items</t>
  </si>
  <si>
    <t>4Q14A</t>
  </si>
  <si>
    <t>Americas Sales</t>
  </si>
  <si>
    <t>Asia Sales</t>
  </si>
  <si>
    <t>Europe Sales</t>
  </si>
  <si>
    <t>Japan Sales</t>
  </si>
  <si>
    <t>2014A</t>
  </si>
  <si>
    <t>t</t>
  </si>
  <si>
    <t>TIF.N,mscalc:sharePriceCurrent</t>
  </si>
  <si>
    <t>2020E</t>
  </si>
  <si>
    <t>Comp Store Sales</t>
  </si>
  <si>
    <t>2015A</t>
  </si>
  <si>
    <t>2016A</t>
  </si>
  <si>
    <t>2017 EPS</t>
  </si>
  <si>
    <t>3-Year</t>
  </si>
  <si>
    <t>3Q15</t>
  </si>
  <si>
    <t>FY15 y/y Margin Change</t>
  </si>
  <si>
    <t>1Q15</t>
  </si>
  <si>
    <t>2Q15</t>
  </si>
  <si>
    <t>4Q15</t>
  </si>
  <si>
    <t>TIF.N,mstag:incomeLossFromInvestmentsUnderTheEquityMethodNonOperatingPreTax,2035FY,,FYR,,,IN-PROGRESS</t>
  </si>
  <si>
    <t>TIF.N,mscalc:shortTermInvestmentsCalc,2024FY,,FYR,,,IN-PROGRESS</t>
  </si>
  <si>
    <t>TIF.N,mscalc:taxExpenseFromOperations,2031FY,,FYR,,,IN-PROGRESS</t>
  </si>
  <si>
    <t>TIF.N,mscalc:netFinancialIncomeExpense,2026FY,,FYR,,,IN-PROGRESS</t>
  </si>
  <si>
    <t>TIF.N,mscalc:otherNonOperatingAssetsLiabilities,2029FY,,FYR,,,IN-PROGRESS</t>
  </si>
  <si>
    <t>TIF.N,mscalc:otherNonOperatingAssetsLiabilities,2025FY,,FYR,,,IN-PROGRESS</t>
  </si>
  <si>
    <t>TIF.N,mstag:investmentsUnderTheEquityMethodOperating,2033FY,,FYR,,,IN-PROGRESS</t>
  </si>
  <si>
    <t>TIF.N,mscalc:dividendsPerShareCalc,2082FY,,FYR,,,IN-PROGRESS</t>
  </si>
  <si>
    <t>TIF.N,mscalc:dividendsPerShareCalc,2020FY,,FYR,,,IN-PROGRESS</t>
  </si>
  <si>
    <t>TIF.N,mscalc:otherIncomeExpense,2042FY,,FYR,,,IN-PROGRESS</t>
  </si>
  <si>
    <t>TIF.N,mscalc:netOperatingAssets,2029FY,,FYR,,,IN-PROGRESS</t>
  </si>
  <si>
    <t>TIF.N,mscalc:operatingRevenue,2028FY,,FYR,,,IN-PROGRESS</t>
  </si>
  <si>
    <t>TIF.N,mscalc:otheroperatingIncomeExpense,2019FY,,FYR,,,IN-PROGRESS</t>
  </si>
  <si>
    <t>TIF.N,mscalc:operatingRevenue,2031FY,,FYR,,,IN-PROGRESS</t>
  </si>
  <si>
    <t>TIF.N,mstag:investmentsInSubsidiaries,2025FY,,FYR,,,IN-PROGRESS</t>
  </si>
  <si>
    <t>TIF.N,mscalc:netFinancialIncomeExpense,2034FY,,FYR,,,IN-PROGRESS</t>
  </si>
  <si>
    <t>TIF.N,mscalc:netFinancialIncomeExpense,2037FY,,FYR,,,IN-PROGRESS</t>
  </si>
  <si>
    <t>TIF.N,mscalc:operatingExpenses,2018FY,,FYR,,,IN-PROGRESS</t>
  </si>
  <si>
    <t>TIF.N,mstag:incomeLossFromInvestmentsAccountedForUnderTheEquityMethodNonOperatingIncomeStatement,2036FY,,FYR,,,IN-PROGRESS</t>
  </si>
  <si>
    <t>TIF.N,mscalc:shareholdersEquity,2021FY,,FYR,,,IN-PROGRESS</t>
  </si>
  <si>
    <t>TIF.N,mstag:investmentsInAssociates,2032FY,,FYR,,,IN-PROGRESS</t>
  </si>
  <si>
    <t>TIF.N,mscalc:operatingRevenue,2030FY,,FYR,,,IN-PROGRESS</t>
  </si>
  <si>
    <t>TIF.N,mstag:investmentsInAssociates,2020FY,,FYR,,,IN-PROGRESS</t>
  </si>
  <si>
    <t>TIF.N,mscalc:operatingRevenue,2024FY,,FYR,,,IN-PROGRESS</t>
  </si>
  <si>
    <t>TIF.N,mscalc:otheroperatingIncomeExpense,2038FY,,FYR,,,IN-PROGRESS</t>
  </si>
  <si>
    <t>TIF.N,mstag:investmentsUnderTheEquityMethodOperating,2035FY,,FYR,,,IN-PROGRESS</t>
  </si>
  <si>
    <t>TIF.N,mscalc:netDebt,2022FY,,FYR,,,IN-PROGRESS</t>
  </si>
  <si>
    <t>TIF.N,mscalc:otherIncomeExpense,2026FY,,FYR,,,IN-PROGRESS</t>
  </si>
  <si>
    <t>TIF.N,mscalc:netDebt,2030FY,,FYR,,,IN-PROGRESS</t>
  </si>
  <si>
    <t>TIF.N,mscalc:operatingExpenses,2032FY,,FYR,,,IN-PROGRESS</t>
  </si>
  <si>
    <t>TIF.N,mstag:investmentsInSubsidiaries,2029FY,,FYR,,,IN-PROGRESS</t>
  </si>
  <si>
    <t>TIF.N,mscalc:shareholdersEquity,2030FY,,FYR,,,IN-PROGRESS</t>
  </si>
  <si>
    <t>TIF.N,mscalc:otheroperatingIncomeExpense,2031FY,,FYR,,,IN-PROGRESS</t>
  </si>
  <si>
    <t>TIF.N,mscalc:taxExpenseFromOperations,2027FY,,FYR,,,IN-PROGRESS</t>
  </si>
  <si>
    <t>TIF.N,mstag:incomeLossesFromInvestmentsNonOperating,2033FY,,FYR,,,IN-PROGRESS</t>
  </si>
  <si>
    <t>TIF.N,mscalc:equityFinancing,2019FY,,FYR,,,IN-PROGRESS</t>
  </si>
  <si>
    <t>TIF.N,mscalc:netOperatingAssets,2023FY,,FYR,,,IN-PROGRESS</t>
  </si>
  <si>
    <t>TIF.N,mstag:incomeLossFromInvestmentsAccountedForUnderTheEquityMethodNonOperatingIncomeStatement,2021FY,,FYR,,,IN-PROGRESS</t>
  </si>
  <si>
    <t>TIF.N,mscalc:operatingExpenses,2020FY,,FYR,,,IN-PROGRESS</t>
  </si>
  <si>
    <t>TIF.N,mscalc:otherIncomeExpense,2025FY,,FYR,,,IN-PROGRESS</t>
  </si>
  <si>
    <t>TIF.N,mstag:incomeLossFromInvestmentsUnderTheEquityMethodNonOperatingPreTax,2020FY,,FYR,,,IN-PROGRESS</t>
  </si>
  <si>
    <t>TIF.N,mscalc:operatingExpenses,2031FY,,FYR,,,IN-PROGRESS</t>
  </si>
  <si>
    <t>79.03</t>
  </si>
  <si>
    <t>TIF.N,mstag:incomeLossesFromInvestmentsNonOperating,2021FY,,FYR,,,IN-PROGRESS</t>
  </si>
  <si>
    <t>TIF.N,mscalc:taxExpenseFromOperations,2035FY,,FYR,,,IN-PROGRESS</t>
  </si>
  <si>
    <t>TIF.N,mstag:investmentsInAssociates,2022FY,,FYR,,,IN-PROGRESS</t>
  </si>
  <si>
    <t>TIF.N,mstag:investmentsNonOperating,2026FY,,FYR,,,IN-PROGRESS</t>
  </si>
  <si>
    <t>TIF.N,mstag:statutoryTaxRate,2018FY,,FYR,,,IN-PROGRESS</t>
  </si>
  <si>
    <t>TIF.N,mstag:longTermInvestmentsNonOperating,2016FY,,FYR,,,IN-PROGRESS</t>
  </si>
  <si>
    <t>TIF.N,mstag:longTermInvestmentsNonOperating,2030FY,,FYR,,,IN-PROGRESS</t>
  </si>
  <si>
    <t>TIF.N,mscalc:taxExpenseFromOperations,2038FY,,FYR,,,IN-PROGRESS</t>
  </si>
  <si>
    <t>TIF.N,mscalc:netOperatingAssets,2017FY,,FYR,,,IN-PROGRESS</t>
  </si>
  <si>
    <t>TIF.N,mscalc:dividendsPerShareCalc,2077FY,,FYR,,,IN-PROGRESS</t>
  </si>
  <si>
    <t>TIF.N,mscalc:otheroperatingIncomeExpense,2017FY,,FYR,,,IN-PROGRESS</t>
  </si>
  <si>
    <t>TIF.N,mscalc:operatingRevenue,2040FY,,FYR,,,IN-PROGRESS</t>
  </si>
  <si>
    <t>TIF.N,mstag:investmentsUnderTheEquityMethodOperating,2022FY,,FYR,,,IN-PROGRESS</t>
  </si>
  <si>
    <t>TIF.N,mscalc:netFinancialIncomeExpense,2029FY,,FYR,,,IN-PROGRESS</t>
  </si>
  <si>
    <t>TIF.N,mstag:incomeLossFromInvestmentsUnderTheEquityMethodNonOperatingPreTax,2028FY,,FYR,,,IN-PROGRESS</t>
  </si>
  <si>
    <t>TIF.N,mstag:investmentsInSubsidiaries,2032FY,,FYR,,,IN-PROGRESS</t>
  </si>
  <si>
    <t>TIF.N,mstag:incomeLossFromInvestmentsAccountedForUnderTheEquityMethodNonOperatingIncomeStatement,2017FY,,FYR,,,IN-PROGRESS</t>
  </si>
  <si>
    <t>TIF.N,mstag:investmentsInAssociates,2029FY,,FYR,,,IN-PROGRESS</t>
  </si>
  <si>
    <t>TIF.N,mscalc:dividendsPerShareCalc,2025FY,,FYR,,,IN-PROGRESS</t>
  </si>
  <si>
    <t>TIF.N,mscalc:netOperatingAssets,2037FY,,FYR,,,IN-PROGRESS</t>
  </si>
  <si>
    <t>TIF.N,mstag:incomeLossFromInvestmentsAccountedForUnderTheEquityMethodOperatingIncomeStatement,2028FY,,FYR,,,IN-PROGRESS</t>
  </si>
  <si>
    <t>TIF.N,mstag:investmentsNonOperating,2021FY,,FYR,,,IN-PROGRESS</t>
  </si>
  <si>
    <t>TIF.N,mscalc:dividendsPerShareCalc,2037FY,,FYR,,,IN-PROGRESS</t>
  </si>
  <si>
    <t>TIF.N,mscalc:operatingRevenue,2037FY,,FYR,,,IN-PROGRESS</t>
  </si>
  <si>
    <t>TIF.N,mscalc:equityFinancing,2028FY,,FYR,,,IN-PROGRESS</t>
  </si>
  <si>
    <t>TIF.N,mscalc:dividendsPerShareCalc,2080FY,,FYR,,,IN-PROGRESS</t>
  </si>
  <si>
    <t>TIF.N,mstag:incomeLossFromInvestmentsUnderTheEquityMethodNonOperatingPreTax,2034FY,,FYR,,,IN-PROGRESS</t>
  </si>
  <si>
    <t>TIF.N,mscalc:dividendsPerShareCalc,2053FY,,FYR,,,IN-PROGRESS</t>
  </si>
  <si>
    <t>TIF.N,mscalc:otheroperatingIncomeExpense,2027FY,,FYR,,,IN-PROGRESS</t>
  </si>
  <si>
    <t>TIF.N,mscalc:otheroperatingIncomeExpense,2040FY,,FYR,,,IN-PROGRESS</t>
  </si>
  <si>
    <t>TIF.N,mscalc:netFinancialIncomeExpense,2032FY,,FYR,,,IN-PROGRESS</t>
  </si>
  <si>
    <t>TIF.N,mscalc:equityFinancing,2036FY,,FYR,,,IN-PROGRESS</t>
  </si>
  <si>
    <t>TIF.N,mstag:investmentsInSubsidiaries,2017FY,,FYR,,,IN-PROGRESS</t>
  </si>
  <si>
    <t>TIF.N,mscalc:dividendsPerShareCalc,2043FY,,FYR,,,IN-PROGRESS</t>
  </si>
  <si>
    <t>TIF.N,mscalc:equityFinancing,2039FY,,FYR,,,IN-PROGRESS</t>
  </si>
  <si>
    <t>TIF.N,mscalc:otherIncomeExpense,2022FY,,FYR,,,IN-PROGRESS</t>
  </si>
  <si>
    <t>TIF.N,mstag:investmentsInSubsidiaries,2023FY,,FYR,,,IN-PROGRESS</t>
  </si>
  <si>
    <t>TIF.N,mstag:incomeLossFromInvestmentsAccountedForUnderTheEquityMethodOperatingIncomeStatement,2020FY,,FYR,,,IN-PROGRESS</t>
  </si>
  <si>
    <t>TIF.N,mscalc:netOperatingAssets,2039FY,,FYR,,,IN-PROGRESS</t>
  </si>
  <si>
    <t>TIF.N,mscalc:equityFinancing,2038FY,,FYR,,,IN-PROGRESS</t>
  </si>
  <si>
    <t>TIF.N,mstag:incomeLossFromInvestmentsAccountedForUnderTheEquityMethodOperatingIncomeStatement,2024FY,,FYR,,,IN-PROGRESS</t>
  </si>
  <si>
    <t>TIF.N,mscalc:netFinancialIncomeExpense,2035FY,,FYR,,,IN-PROGRESS</t>
  </si>
  <si>
    <t>TIF.N,mscalc:netOperatingAssets,2031FY,,FYR,,,IN-PROGRESS</t>
  </si>
  <si>
    <t>TIF.N,mscalc:netDebt,2035FY,,FYR,,,IN-PROGRESS</t>
  </si>
  <si>
    <t>TIF.N,mscalc:netOperatingAssets,,,FYR,,,IN-PROGRESS</t>
  </si>
  <si>
    <t>TIF.N,mstag:incomeLossFromInvestmentsUnderTheEquityMethodNonOperatingPreTax,2036FY,,FYR,,,IN-PROGRESS</t>
  </si>
  <si>
    <t>TIF.N,mscalc:shareholdersEquity,2038FY,,FYR,,,IN-PROGRESS</t>
  </si>
  <si>
    <t>TIF.N,mstag:longTermInvestmentsNonOperating,2022FY,,FYR,,,IN-PROGRESS</t>
  </si>
  <si>
    <t>TIF.N,mscalc:otheroperatingIncomeExpense,2033FY,,FYR,,,IN-PROGRESS</t>
  </si>
  <si>
    <t>TIF.N,mstag:incomeLossesFromInvestmentsNonOperating,2031FY,,FYR,,,IN-PROGRESS</t>
  </si>
  <si>
    <t>TIF.N,mstag:longTermInvestmentsNonOperating,2032FY,,FYR,,,IN-PROGRESS</t>
  </si>
  <si>
    <t>TIF.N,mscalc:equityFinancing,2030FY,,FYR,,,IN-PROGRESS</t>
  </si>
  <si>
    <t>TIF.N,mscalc:operatingExpenses,2023FY,,FYR,,,IN-PROGRESS</t>
  </si>
  <si>
    <t>TIF.N,mstag:incomeLossFromInvestmentsAccountedForUnderTheEquityMethodOperatingIncomeStatement,2017FY,,FYR,,,IN-PROGRESS</t>
  </si>
  <si>
    <t>TIF.N,mstag:currentMarketValueOfInvestmentsNonOperating,2017FY,,FYR,,,IN-PROGRESS</t>
  </si>
  <si>
    <t>TIF.N,mstag:investmentsInJointVentures,2028FY,,FYR,,,IN-PROGRESS</t>
  </si>
  <si>
    <t>TIF.N,mscalc:dividendsPerShareCalc,2061FY,,FYR,,,IN-PROGRESS</t>
  </si>
  <si>
    <t>TIF.N,mscalc:otherIncomeExpense,2023FY,,FYR,,,IN-PROGRESS</t>
  </si>
  <si>
    <t>TIF.N,mstag:investmentsNonOperating,2017FY,,FYR,,,IN-PROGRESS</t>
  </si>
  <si>
    <t>TIF.N,mscalc:netOperatingAssets,2036FY,,FYR,,,IN-PROGRESS</t>
  </si>
  <si>
    <t>TIF.N,mscalc:netDebt,2038FY,,FYR,,,IN-PROGRESS</t>
  </si>
  <si>
    <t>TIF.N,mscalc:operatingExpenses,2027FY,,FYR,,,IN-PROGRESS</t>
  </si>
  <si>
    <t>TIF.N,mstag:statutoryTaxRate,2033FY,,FYR,,,IN-PROGRESS</t>
  </si>
  <si>
    <t>TIF.N,mstag:investmentsNonOperating,2024FY,,FYR,,,IN-PROGRESS</t>
  </si>
  <si>
    <t>TIF.N,mscalc:netDebt,2034FY,,FYR,,,IN-PROGRESS</t>
  </si>
  <si>
    <t>TIF.N,mscalc:equityFinancing,2040FY,,FYR,,,IN-PROGRESS</t>
  </si>
  <si>
    <t>TIF.N,mstag:investmentsInAssociates,2035FY,,FYR,,,IN-PROGRESS</t>
  </si>
  <si>
    <t>TIF.N,mscalc:netFinancialIncomeExpense,2019FY,,FYR,,,IN-PROGRESS</t>
  </si>
  <si>
    <t>TIF.N,mstag:investmentsInAssociates,2026FY,,FYR,,,IN-PROGRESS</t>
  </si>
  <si>
    <t>TIF.N,mscalc:netOperatingAssets,2035FY,,FYR,,,IN-PROGRESS</t>
  </si>
  <si>
    <t>TIF.N,mscalc:equityFinancing,2021FY,,FYR,,,IN-PROGRESS</t>
  </si>
  <si>
    <t>TIF.N,mstag:investmentsUnderTheEquityMethodOperating,2027FY,,FYR,,,IN-PROGRESS</t>
  </si>
  <si>
    <t>TIF.N,mscalc:otherNonOperatingAssetsLiabilities,2039FY,,FYR,,,IN-PROGRESS</t>
  </si>
  <si>
    <t>TIF.N,mscalc:netFinancialIncomeExpense,2028FY,,FYR,,,IN-PROGRESS</t>
  </si>
  <si>
    <t>TIF.N,mstag:incomeLossesFromInvestmentsNonOperating,2025FY,,FYR,,,IN-PROGRESS</t>
  </si>
  <si>
    <t>TIF.N,mscalc:shortTermInvestmentsCalc,2019FY,,FYR,,,IN-PROGRESS</t>
  </si>
  <si>
    <t>TIF.N,mscalc:netFinancialIncomeExpense,2017FY,,FYR,,,IN-PROGRESS</t>
  </si>
  <si>
    <t>TIF.N,mstag:investmentsInJointVentures,2034FY,,FYR,,,IN-PROGRESS</t>
  </si>
  <si>
    <t>TIF.N,mscalc:otheroperatingIncomeExpense,2022FY,,FYR,,,IN-PROGRESS</t>
  </si>
  <si>
    <t>TIF.N,mstag:incomeLossFromInvestmentsUnderTheEquityMethodNonOperatingPreTax,2017FY,,FYR,,,IN-PROGRESS</t>
  </si>
  <si>
    <t>TIF.N,mscalc:shareholdersEquity,2039FY,,FYR,,,IN-PROGRESS</t>
  </si>
  <si>
    <t>TIF.N,mscalc:shareholdersEquity,2022FY,,FYR,,,IN-PROGRESS</t>
  </si>
  <si>
    <t>TIF.N,mscalc:shareholdersEquity,2031FY,,FYR,,,IN-PROGRESS</t>
  </si>
  <si>
    <t>TIF.N,mscalc:operatingRevenue,2019FY,,FYR,,,IN-PROGRESS</t>
  </si>
  <si>
    <t>TIF.N,mscalc:netDebt,2041FY,,FYR,,,IN-PROGRESS</t>
  </si>
  <si>
    <t>TIF.N,mstag:investmentsInSubsidiaries,2026FY,,FYR,,,IN-PROGRESS</t>
  </si>
  <si>
    <t>TIF.N,mstag:investmentsInJointVentures,2029FY,,FYR,,,IN-PROGRESS</t>
  </si>
  <si>
    <t>TIF.N,mscalc:netOperatingAssets,2033FY,,FYR,,,IN-PROGRESS</t>
  </si>
  <si>
    <t>TIF.N,mstag:incomeLossFromInvestmentsAccountedForUnderTheEquityMethodNonOperatingIncomeStatement,2018FY,,FYR,,,IN-PROGRESS</t>
  </si>
  <si>
    <t>TIF.N,mscalc:otheroperatingIncomeExpense,2020FY,,FYR,,,IN-PROGRESS</t>
  </si>
  <si>
    <t>TIF.N,mscalc:dividendsPerShareCalc,2067FY,,FYR,,,IN-PROGRESS</t>
  </si>
  <si>
    <t>TIF.N,mscalc:equityFinancing,2026FY,,FYR,,,IN-PROGRESS</t>
  </si>
  <si>
    <t>TIF.N,mstag:statutoryTaxRate,2027FY,,FYR,,,IN-PROGRESS</t>
  </si>
  <si>
    <t>TIF.N,mstag:statutoryTaxRate,2032FY,,FYR,,,IN-PROGRESS</t>
  </si>
  <si>
    <t>TIF.N,mscalc:dividendsPerShareCalc,2084FY,,FYR,,,IN-PROGRESS</t>
  </si>
  <si>
    <t>TIF.N,mscalc:operatingRevenue,2026FY,,FYR,,,IN-PROGRESS</t>
  </si>
  <si>
    <t>TIF.N,mscalc:equityFinancing,2018FY,,FYR,,,IN-PROGRESS</t>
  </si>
  <si>
    <t>TIF.N,mscalc:dividendsPerShareCalc,2071FY,,FYR,,,IN-PROGRESS</t>
  </si>
  <si>
    <t>TIF.N,mscalc:operatingRevenue,2029FY,,FYR,,,IN-PROGRESS</t>
  </si>
  <si>
    <t>TIF.N,mscalc:operatingRevenue,2017FY,,FYR,,,IN-PROGRESS</t>
  </si>
  <si>
    <t>TIF.N,mstag:longTermInvestmentsNonOperating,2018FY,,FYR,,,IN-PROGRESS</t>
  </si>
  <si>
    <t>TIF.N,mscalc:dividendsPerShareCalc,2026FY,,FYR,,,IN-PROGRESS</t>
  </si>
  <si>
    <t>TIF.N,mscalc:operatingExpenses,2024FY,,FYR,,,IN-PROGRESS</t>
  </si>
  <si>
    <t>TIF.N,mstag:investmentsNonOperating,2027FY,,FYR,,,IN-PROGRESS</t>
  </si>
  <si>
    <t>TIF.N,mstag:investmentsInSubsidiaries,2027FY,,FYR,,,IN-PROGRESS</t>
  </si>
  <si>
    <t>TIF.N,mscalc:netOperatingAssets,2025FY,,FYR,,,IN-PROGRESS</t>
  </si>
  <si>
    <t>TIF.N,mscalc:netOperatingAssets,2041FY,,FYR,,,IN-PROGRESS</t>
  </si>
  <si>
    <t>TIF.N,mstag:investmentsInJointVentures,2033FY,,FYR,,,IN-PROGRESS</t>
  </si>
  <si>
    <t>TIF.N,mstag:investmentsInAssociates,2036FY,,FYR,,,IN-PROGRESS</t>
  </si>
  <si>
    <t>TIF.N,mstag:investmentsInJointVentures,2021FY,,FYR,,,IN-PROGRESS</t>
  </si>
  <si>
    <t>TIF.N,mstag:investmentsInAssociates,2018FY,,FYR,,,IN-PROGRESS</t>
  </si>
  <si>
    <t>TIF.N,mstag:statutoryTaxRate,2029FY,,FYR,,,IN-PROGRESS</t>
  </si>
  <si>
    <t>TIF.N,mscalc:dividendsPerShareCalc,2031FY,,FYR,,,IN-PROGRESS</t>
  </si>
  <si>
    <t>TIF.N,mstag:investmentsUnderTheEquityMethodOperating,2019FY,,FYR,,,IN-PROGRESS</t>
  </si>
  <si>
    <t>TIF.N,mstag:investmentsUnderTheEquityMethodOperating,2018FY,,FYR,,,IN-PROGRESS</t>
  </si>
  <si>
    <t>TIF.N,mscalc:periodEndDilutedSharesOutstandingCalcCalc,,,FYR,,,IN-PROGRESS</t>
  </si>
  <si>
    <t>TIF.N,mscalc:dividendsPerShareCalc,2017FY,,FYR,,,IN-PROGRESS</t>
  </si>
  <si>
    <t>TIF.N,mstag:incomeLossFromInvestmentsAccountedForUnderTheEquityMethodOperatingIncomeStatement,2025FY,,FYR,,,IN-PROGRESS</t>
  </si>
  <si>
    <t>TIF.N,mscalc:shortTermInvestmentsCalc,2023FY,,FYR,,,IN-PROGRESS</t>
  </si>
  <si>
    <t>TIF.N,mstag:incomeLossFromInvestmentsAccountedForUnderTheEquityMethodOperatingIncomeStatement,2033FY,,FYR,,,IN-PROGRESS</t>
  </si>
  <si>
    <t>TIF.N,mscalc:netOperatingAssets,2030FY,,FYR,,,IN-PROGRESS</t>
  </si>
  <si>
    <t>TIF.N,mstag:incomeLossFromInvestmentsUnderTheEquityMethodNonOperatingPreTax,2029FY,,FYR,,,IN-PROGRESS</t>
  </si>
  <si>
    <t>TIF.N,mscalc:netFinancialIncomeExpense,2039FY,,FYR,,,IN-PROGRESS</t>
  </si>
  <si>
    <t>TIF.N,mstag:investmentsInAssociates,2016FY,,FYR,,,IN-PROGRESS</t>
  </si>
  <si>
    <t>TIF.N,mstag:incomeLossFromInvestmentsAccountedForUnderTheEquityMethodNonOperatingIncomeStatement,2034FY,,FYR,,,IN-PROGRESS</t>
  </si>
  <si>
    <t>TIF.N,mscalc:otheroperatingIncomeExpense,2041FY,,FYR,,,IN-PROGRESS</t>
  </si>
  <si>
    <t>TIF.N,mscalc:equityFinancing,2041FY,,FYR,,,IN-PROGRESS</t>
  </si>
  <si>
    <t>TIF.N,mscalc:netDebt,2029FY,,FYR,,,IN-PROGRESS</t>
  </si>
  <si>
    <t>TIF.N,mscalc:netOperatingAssets,2038FY,,FYR,,,IN-PROGRESS</t>
  </si>
  <si>
    <t>TIF.N,mstag:investmentsUnderTheEquityMethodOperating,2017FY,,FYR,,,IN-PROGRESS</t>
  </si>
  <si>
    <t>TIF.N,mstag:incomeLossFromInvestmentsUnderTheEquityMethodNonOperatingPreTax,2025FY,,FYR,,,IN-PROGRESS</t>
  </si>
  <si>
    <t>TIF.N,mscalc:dividendsPerShareCalc,2074FY,,FYR,,,IN-PROGRESS</t>
  </si>
  <si>
    <t>TIF.N,mscalc:taxExpenseFromOperations,2024FY,,FYR,,,IN-PROGRESS</t>
  </si>
  <si>
    <t>TIF.N,mstag:longTermInvestmentsNonOperating,2031FY,,FYR,,,IN-PROGRESS</t>
  </si>
  <si>
    <t>TIF.N,mscalc:dividendsPerShareCalc,2090FY,,FYR,,,IN-PROGRESS</t>
  </si>
  <si>
    <t>TIF.N,mscalc:operatingExpenses,2019FY,,FYR,,,IN-PROGRESS</t>
  </si>
  <si>
    <t>TIF.N,mscalc:netFinancialIncomeExpense,2030FY,,FYR,,,IN-PROGRESS</t>
  </si>
  <si>
    <t>TIF.N,mstag:incomeLossFromInvestmentsAccountedForUnderTheEquityMethodNonOperatingIncomeStatement,2030FY,,FYR,,,IN-PROGRESS</t>
  </si>
  <si>
    <t>TIF.N,mscalc:netFinancialIncomeExpense,2018FY,,FYR,,,IN-PROGRESS</t>
  </si>
  <si>
    <t>TIF.N,mstag:incomeLossFromInvestmentsUnderTheEquityMethodNonOperatingPreTax,2024FY,,FYR,,,IN-PROGRESS</t>
  </si>
  <si>
    <t>TIF.N,mscalc:netFinancialIncomeExpense,2027FY,,FYR,,,IN-PROGRESS</t>
  </si>
  <si>
    <t>TIF.N,mscalc:dividendsPerShareCalc,2057FY,,FYR,,,IN-PROGRESS</t>
  </si>
  <si>
    <t>TIF.N,mscalc:netDebt,2037FY,,FYR,,,IN-PROGRESS</t>
  </si>
  <si>
    <t>TIF.N,mscalc:equityFinancing,2034FY,,FYR,,,IN-PROGRESS</t>
  </si>
  <si>
    <t>TIF.N,mscalc:otheroperatingIncomeExpense,2042FY,,FYR,,,IN-PROGRESS</t>
  </si>
  <si>
    <t>TIF.N,mstag:incomeLossFromInvestmentsAccountedForUnderTheEquityMethodOperatingIncomeStatement,2036FY,,FYR,,,IN-PROGRESS</t>
  </si>
  <si>
    <t>TIF.N,mscalc:dividendsPerShareCalc,2047FY,,FYR,,,IN-PROGRESS</t>
  </si>
  <si>
    <t>TIF.N,mstag:incomeLossesFromInvestmentsNonOperating,2023FY,,FYR,,,IN-PROGRESS</t>
  </si>
  <si>
    <t>TIF.N,mscalc:otherNonOperatingAssetsLiabilities,2023FY,,FYR,,,IN-PROGRESS</t>
  </si>
  <si>
    <t>TIF.N,mscalc:shortTermInvestmentsCalc,2026FY,,FYR,,,IN-PROGRESS</t>
  </si>
  <si>
    <t>TIF.N,mscalc:equityFinancing,2022FY,,FYR,,,IN-PROGRESS</t>
  </si>
  <si>
    <t>TIF.N,mscalc:otherIncomeExpense,2024FY,,FYR,,,IN-PROGRESS</t>
  </si>
  <si>
    <t>TIF.N,mstag:statutoryTaxRate,2030FY,,FYR,,,IN-PROGRESS</t>
  </si>
  <si>
    <t>TIF.N,mstag:investmentsInJointVentures,2026FY,,FYR,,,IN-PROGRESS</t>
  </si>
  <si>
    <t>TIF.N,mscalc:netDebt,2040FY,,FYR,,,IN-PROGRESS</t>
  </si>
  <si>
    <t>TIF.N,mscalc:shortTermInvestmentsCalc,2030FY,,FYR,,,IN-PROGRESS</t>
  </si>
  <si>
    <t>TIF.N,mscalc:netDebt,2019FY,,FYR,,,IN-PROGRESS</t>
  </si>
  <si>
    <t>TIF.N,mscalc:shareholdersEquity,2033FY,,FYR,,,IN-PROGRESS</t>
  </si>
  <si>
    <t>TIF.N,mstag:investmentsInAssociates,2021FY,,FYR,,,IN-PROGRESS</t>
  </si>
  <si>
    <t>TIF.N,mstag:incomeLossFromInvestmentsUnderTheEquityMethodNonOperatingPreTax,2021FY,,FYR,,,IN-PROGRESS</t>
  </si>
  <si>
    <t>TIF.N,mstag:incomeLossFromInvestmentsAccountedForUnderTheEquityMethodNonOperatingIncomeStatement,2025FY,,FYR,,,IN-PROGRESS</t>
  </si>
  <si>
    <t>TIF.N,mscalc:otheroperatingIncomeExpense,2039FY,,FYR,,,IN-PROGRESS</t>
  </si>
  <si>
    <t>TIF.N,mstag:investmentsInJointVentures,2020FY,,FYR,,,IN-PROGRESS</t>
  </si>
  <si>
    <t>TIF.N,mscalc:operatingExpenses,2036FY,,FYR,,,IN-PROGRESS</t>
  </si>
  <si>
    <t>TIF.N,mscalc:operatingRevenue,2034FY,,FYR,,,IN-PROGRESS</t>
  </si>
  <si>
    <t>TIF.N,mscalc:shareholdersEquity,2042FY,,FYR,,,IN-PROGRESS</t>
  </si>
  <si>
    <t>TIF.N,mstag:incomeLossFromInvestmentsAccountedForUnderTheEquityMethodOperatingIncomeStatement,2032FY,,FYR,,,IN-PROGRESS</t>
  </si>
  <si>
    <t>TIF.N,mstag:incomeLossesFromInvestmentsNonOperating,2036FY,,FYR,,,IN-PROGRESS</t>
  </si>
  <si>
    <t>TIF.N,mscalc:dividendsPerShareCalc,2060FY,,FYR,,,IN-PROGRESS</t>
  </si>
  <si>
    <t>TIF.N,mscalc:shortTermInvestmentsCalc,2035FY,,FYR,,,IN-PROGRESS</t>
  </si>
  <si>
    <t>TIF.N,mstag:longTermInvestmentsNonOperating,2029FY,,FYR,,,IN-PROGRESS</t>
  </si>
  <si>
    <t>TIF.N,mscalc:shortTermInvestmentsCalc,2016FY,,FYR,,,IN-PROGRESS</t>
  </si>
  <si>
    <t>TIF.N,mscalc:otherNonOperatingAssetsLiabilities,2042FY,,FYR,,,IN-PROGRESS</t>
  </si>
  <si>
    <t>TIF.N,mscalc:netFinancialIncomeExpense,2031FY,,FYR,,,IN-PROGRESS</t>
  </si>
  <si>
    <t>TIF.N,mscalc:operatingRevenue,2020FY,,FYR,,,IN-PROGRESS</t>
  </si>
  <si>
    <t>TIF.N,mstag:investmentsInSubsidiaries,2019FY,,FYR,,,IN-PROGRESS</t>
  </si>
  <si>
    <t>TIF.N,mstag:statutoryTaxRate,2021FY,,FYR,,,IN-PROGRESS</t>
  </si>
  <si>
    <t>TIF.N,mscalc:otheroperatingIncomeExpense,2021FY,,FYR,,,IN-PROGRESS</t>
  </si>
  <si>
    <t>TIF.N,mscalc:otherNonOperatingAssetsLiabilities,2036FY,,FYR,,,IN-PROGRESS</t>
  </si>
  <si>
    <t>TIF.N,mstag:incomeLossFromInvestmentsAccountedForUnderTheEquityMethodNonOperatingIncomeStatement,2026FY,,FYR,,,IN-PROGRESS</t>
  </si>
  <si>
    <t>TIF.N,mscalc:dividendsPerShareCalc,2086FY,,FYR,,,IN-PROGRESS</t>
  </si>
  <si>
    <t>TIF.N,mscalc:shortTermInvestmentsCalc,2018FY,,FYR,,,IN-PROGRESS</t>
  </si>
  <si>
    <t>TIF.N,mstag:incomeLossFromInvestmentsUnderTheEquityMethodNonOperatingPreTax,2033FY,,FYR,,,IN-PROGRESS</t>
  </si>
  <si>
    <t>TIF.N,mstag:investmentsInSubsidiaries,2034FY,,FYR,,,IN-PROGRESS</t>
  </si>
  <si>
    <t>TIF.N,mstag:investmentsNonOperating,2016FY,,FYR,,,IN-PROGRESS</t>
  </si>
  <si>
    <t>TIF.N,mscalc:dividendsPerShareCalc,2042FY,,FYR,,,IN-PROGRESS</t>
  </si>
  <si>
    <t>TIF.N,mscalc:dividendsPerShareCalc,2032FY,,FYR,,,IN-PROGRESS</t>
  </si>
  <si>
    <t>TIF.N,mscalc:taxExpenseFromOperations,2021FY,,FYR,,,IN-PROGRESS</t>
  </si>
  <si>
    <t>TIF.N,mstag:investmentsNonOperating,2030FY,,FYR,,,IN-PROGRESS</t>
  </si>
  <si>
    <t>TIF.N,mscalc:operatingRevenue,2042FY,,FYR,,,IN-PROGRESS</t>
  </si>
  <si>
    <t>TIF.N,mscalc:otherNonOperatingAssetsLiabilities,2018FY,,FYR,,,IN-PROGRESS</t>
  </si>
  <si>
    <t>TIF.N,mscalc:operatingRevenue,2027FY,,FYR,,,IN-PROGRESS</t>
  </si>
  <si>
    <t>TIF.N,mscalc:operatingExpenses,2041FY,,FYR,,,IN-PROGRESS</t>
  </si>
  <si>
    <t>TIF.N,mscalc:otherNonOperatingAssetsLiabilities,2038FY,,FYR,,,IN-PROGRESS</t>
  </si>
  <si>
    <t>TIF.N,mstag:incomeLossFromInvestmentsAccountedForUnderTheEquityMethodOperatingIncomeStatement,2031FY,,FYR,,,IN-PROGRESS</t>
  </si>
  <si>
    <t>TIF.N,mscalc:otherIncomeExpense,2036FY,,FYR,,,IN-PROGRESS</t>
  </si>
  <si>
    <t>TIF.N,mscalc:dividendsPerShareCalc,2070FY,,FYR,,,IN-PROGRESS</t>
  </si>
  <si>
    <t>TIF.N,mscalc:operatingRevenue,2021FY,,FYR,,,IN-PROGRESS</t>
  </si>
  <si>
    <t>TIF.N,mscalc:otherNonOperatingAssetsLiabilities,2034FY,,FYR,,,IN-PROGRESS</t>
  </si>
  <si>
    <t>TIF.N,mstag:longTermInvestmentsNonOperating,2023FY,,FYR,,,IN-PROGRESS</t>
  </si>
  <si>
    <t>TIF.N,mscalc:operatingExpenses,2028FY,,FYR,,,IN-PROGRESS</t>
  </si>
  <si>
    <t>TIF.N,mstag:investmentsInSubsidiaries,2030FY,,FYR,,,IN-PROGRESS</t>
  </si>
  <si>
    <t>TIF.N,mscalc:operatingExpenses,2022FY,,FYR,,,IN-PROGRESS</t>
  </si>
  <si>
    <t>TIF.N,mstag:incomeLossesFromInvestmentsNonOperating,2029FY,,FYR,,,IN-PROGRESS</t>
  </si>
  <si>
    <t>TIF.N,mscalc:operatingRevenue,2032FY,,FYR,,,IN-PROGRESS</t>
  </si>
  <si>
    <t>TIF.N,mscalc:taxExpenseFromOperations,2020FY,,FYR,,,IN-PROGRESS</t>
  </si>
  <si>
    <t>TIF.N,mscalc:otherIncomeExpense,2019FY,,FYR,,,IN-PROGRESS</t>
  </si>
  <si>
    <t>TIF.N,mstag:incomeLossFromInvestmentsUnderTheEquityMethodNonOperatingPreTax,2032FY,,FYR,,,IN-PROGRESS</t>
  </si>
  <si>
    <t>TIF.N,mscalc:netOperatingAssets,2021FY,,FYR,,,IN-PROGRESS</t>
  </si>
  <si>
    <t>TIF.N,mstag:statutoryTaxRate,2036FY,,FYR,,,IN-PROGRESS</t>
  </si>
  <si>
    <t>TIF.N,mscalc:netOperatingAssets,2034FY,,FYR,,,IN-PROGRESS</t>
  </si>
  <si>
    <t>TIF.N,mstag:investmentsInJointVentures,2036FY,,FYR,,,IN-PROGRESS</t>
  </si>
  <si>
    <t>TIF.N,mstag:currentShareOfMarketValueOfAssociatesAccountedForUnderTheEquityMethodNonOperating,2017FY,,FYR,,,IN-PROGRESS</t>
  </si>
  <si>
    <t>TIF.N,mscalc:dividendsPerShareCalc,2030FY,,FYR,,,IN-PROGRESS</t>
  </si>
  <si>
    <t>TIF.N,mscalc:otherNonOperatingAssetsLiabilities,2035FY,,FYR,,,IN-PROGRESS</t>
  </si>
  <si>
    <t>TIF.N,mstag:incomeLossFromInvestmentsAccountedForUnderTheEquityMethodOperatingIncomeStatement,2027FY,,FYR,,,IN-PROGRESS</t>
  </si>
  <si>
    <t>TIF.N,mscalc:otheroperatingIncomeExpense,2037FY,,FYR,,,IN-PROGRESS</t>
  </si>
  <si>
    <t>TIF.N,mscalc:netFinancialIncomeExpense,2020FY,,FYR,,,IN-PROGRESS</t>
  </si>
  <si>
    <t>TIF.N,mscalc:otherIncomeExpense,2031FY,,FYR,,,IN-PROGRESS</t>
  </si>
  <si>
    <t>TIF.N,mscalc:otherNonOperatingAssetsLiabilities,2040FY,,FYR,,,IN-PROGRESS</t>
  </si>
  <si>
    <t>TIF.N,mscalc:netFinancialIncomeExpense,2022FY,,FYR,,,IN-PROGRESS</t>
  </si>
  <si>
    <t>TIF.N,mscalc:otherNonOperatingAssetsLiabilities,2028FY,,FYR,,,IN-PROGRESS</t>
  </si>
  <si>
    <t>TIF.N,mscalc:dividendsPerShareCalc,2088FY,,FYR,,,IN-PROGRESS</t>
  </si>
  <si>
    <t>TIF.N,mscalc:taxExpenseFromOperations,2028FY,,FYR,,,IN-PROGRESS</t>
  </si>
  <si>
    <t>TIF.N,mscalc:taxExpenseFromOperations,2032FY,,FYR,,,IN-PROGRESS</t>
  </si>
  <si>
    <t>TIF.N,mstag:incomeLossFromInvestmentsAccountedForUnderTheEquityMethodOperatingIncomeStatement,2026FY,,FYR,,,IN-PROGRESS</t>
  </si>
  <si>
    <t>TIF.N,mstag:longTermInvestmentsNonOperating,2019FY,,FYR,,,IN-PROGRESS</t>
  </si>
  <si>
    <t>TIF.N,mscalc:shareholdersEquity,2019FY,,FYR,,,IN-PROGRESS</t>
  </si>
  <si>
    <t>TIF.N,mscalc:dividendsPerShareCalc,2064FY,,FYR,,,IN-PROGRESS</t>
  </si>
  <si>
    <t>TIF.N,mscalc:otherNonOperatingAssetsLiabilities,2041FY,,FYR,,,IN-PROGRESS</t>
  </si>
  <si>
    <t>TIF.N,mscalc:otherNonOperatingAssetsLiabilities,2037FY,,FYR,,,IN-PROGRESS</t>
  </si>
  <si>
    <t>TIF.N,mscalc:operatingExpenses,2025FY,,FYR,,,IN-PROGRESS</t>
  </si>
  <si>
    <t>TIF.N,mscalc:netFinancialIncomeExpense,2033FY,,FYR,,,IN-PROGRESS</t>
  </si>
  <si>
    <t>TIF.N,mscalc:taxExpenseFromOperations,2041FY,,FYR,,,IN-PROGRESS</t>
  </si>
  <si>
    <t>TIF.N,mscalc:taxExpenseFromOperations,2023FY,,FYR,,,IN-PROGRESS</t>
  </si>
  <si>
    <t>TIF.N,mstag:investmentsInSubsidiaries,2016FY,,FYR,,,IN-PROGRESS</t>
  </si>
  <si>
    <t>TIF.N,mscalc:otherNonOperatingAssetsLiabilities,2030FY,,FYR,,,IN-PROGRESS</t>
  </si>
  <si>
    <t>TIF.N,mstag:investmentsInSubsidiaries,2022FY,,FYR,,,IN-PROGRESS</t>
  </si>
  <si>
    <t>TIF.N,mscalc:netOperatingAssets,2022FY,,FYR,,,IN-PROGRESS</t>
  </si>
  <si>
    <t>TIF.N,mscalc:shareholdersEquity,2025FY,,FYR,,,IN-PROGRESS</t>
  </si>
  <si>
    <t>TIF.N,mscalc:otherNonOperatingAssetsLiabilities,2022FY,,FYR,,,IN-PROGRESS</t>
  </si>
  <si>
    <t>TIF.N,mscalc:dividendsPerShareCalc,2029FY,,FYR,,,IN-PROGRESS</t>
  </si>
  <si>
    <t>TIF.N,mscalc:dividendsPerShareCalc,2034FY,,FYR,,,IN-PROGRESS</t>
  </si>
  <si>
    <t>TIF.N,mscalc:otherNonOperatingAssetsLiabilities,2031FY,,FYR,,,IN-PROGRESS</t>
  </si>
  <si>
    <t>TIF.N,mscalc:shareholdersEquity,2018FY,,FYR,,,IN-PROGRESS</t>
  </si>
  <si>
    <t>TIF.N,mstag:investmentsInAssociates,2028FY,,FYR,,,IN-PROGRESS</t>
  </si>
  <si>
    <t>TIF.N,mstag:investmentsInSubsidiaries,2021FY,,FYR,,,IN-PROGRESS</t>
  </si>
  <si>
    <t>TIF.N,mscalc:dividendsPerShareCalc,2062FY,,FYR,,,IN-PROGRESS</t>
  </si>
  <si>
    <t>TIF.N,mscalc:netFinancialIncomeExpense,2024FY,,FYR,,,IN-PROGRESS</t>
  </si>
  <si>
    <t>TIF.N,mscalc:dividendsPerShareCalc,2049FY,,FYR,,,IN-PROGRESS</t>
  </si>
  <si>
    <t>TIF.N,mscalc:dividendsPerShareCalc,2044FY,,FYR,,,IN-PROGRESS</t>
  </si>
  <si>
    <t>TIF.N,mstag:investmentsInAssociates,2031FY,,FYR,,,IN-PROGRESS</t>
  </si>
  <si>
    <t>TIF.N,mscalc:otherIncomeExpense,2038FY,,FYR,,,IN-PROGRESS</t>
  </si>
  <si>
    <t>TIF.N,mscalc:otheroperatingIncomeExpense,2023FY,,FYR,,,IN-PROGRESS</t>
  </si>
  <si>
    <t>TIF.N,mscalc:netDebt,2021FY,,FYR,,,IN-PROGRESS</t>
  </si>
  <si>
    <t>TIF.N,mstag:incomeLossFromInvestmentsAccountedForUnderTheEquityMethodNonOperatingIncomeStatement,2028FY,,FYR,,,IN-PROGRESS</t>
  </si>
  <si>
    <t>TIF.N,mscalc:dividendsPerShareCalc,2051FY,,FYR,,,IN-PROGRESS</t>
  </si>
  <si>
    <t>TIF.N,mscalc:equityFinancing,2037FY,,FYR,,,IN-PROGRESS</t>
  </si>
  <si>
    <t>TIF.N,mscalc:equityFinancing,2035FY,,FYR,,,IN-PROGRESS</t>
  </si>
  <si>
    <t>TIF.N,mscalc:operatingExpenses,2039FY,,FYR,,,IN-PROGRESS</t>
  </si>
  <si>
    <t>TIF.N,mstag:incomeLossFromInvestmentsAccountedForUnderTheEquityMethodNonOperatingIncomeStatement,2029FY,,FYR,,,IN-PROGRESS</t>
  </si>
  <si>
    <t>TIF.N,mscalc:operatingRevenue,2033FY,,FYR,,,IN-PROGRESS</t>
  </si>
  <si>
    <t>TIF.N,mscalc:netDebt,2032FY,,FYR,,,IN-PROGRESS</t>
  </si>
  <si>
    <t>TIF.N,mscalc:taxExpenseFromOperations,2033FY,,FYR,,,IN-PROGRESS</t>
  </si>
  <si>
    <t>TIF.N,mscalc:otherNonOperatingAssetsLiabilities,2017FY,,FYR,,,IN-PROGRESS</t>
  </si>
  <si>
    <t>TIF.N,mscalc:otherIncomeExpense,2029FY,,FYR,,,IN-PROGRESS</t>
  </si>
  <si>
    <t>TIF.N,mstag:incomeLossFromInvestmentsUnderTheEquityMethodNonOperatingPreTax,2018FY,,FYR,,,IN-PROGRESS</t>
  </si>
  <si>
    <t>TIF.N,mscalc:netDebt,2023FY,,FYR,,,IN-PROGRESS</t>
  </si>
  <si>
    <t>TIF.N,mstag:investmentsInAssociates,2024FY,,FYR,,,IN-PROGRESS</t>
  </si>
  <si>
    <t>TIF.N,mstag:incomeLossesFromInvestmentsNonOperating,2022FY,,FYR,,,IN-PROGRESS</t>
  </si>
  <si>
    <t>TIF.N,mstag:investmentsNonOperating,2033FY,,FYR,,,IN-PROGRESS</t>
  </si>
  <si>
    <t>TIF.N,mstag:incomeLossesFromInvestmentsNonOperating,2034FY,,FYR,,,IN-PROGRESS</t>
  </si>
  <si>
    <t>TIF.N,mstag:incomeLossFromInvestmentsAccountedForUnderTheEquityMethodNonOperatingIncomeStatement,2023FY,,FYR,,,IN-PROGRESS</t>
  </si>
  <si>
    <t>TIF.N,mscalc:dividendsPerShareCalc,2085FY,,FYR,,,IN-PROGRESS</t>
  </si>
  <si>
    <t>TIF.N,mstag:longTermInvestmentsNonOperating,2024FY,,FYR,,,IN-PROGRESS</t>
  </si>
  <si>
    <t>TIF.N,mstag:investmentsInAssociates,2027FY,,FYR,,,IN-PROGRESS</t>
  </si>
  <si>
    <t>TIF.N,mscalc:otherNonOperatingAssetsLiabilities,2027FY,,FYR,,,IN-PROGRESS</t>
  </si>
  <si>
    <t>TIF.N,mscalc:netOperatingAssets,2020FY,,FYR,,,IN-PROGRESS</t>
  </si>
  <si>
    <t>TIF.N,mscalc:shareholdersEquity,2041FY,,FYR,,,IN-PROGRESS</t>
  </si>
  <si>
    <t>TIF.N,mstag:incomeLossFromInvestmentsUnderTheEquityMethodNonOperatingPreTax,2019FY,,FYR,,,IN-PROGRESS</t>
  </si>
  <si>
    <t>TIF.N,mstag:longTermInvestmentsNonOperating,2036FY,,FYR,,,IN-PROGRESS</t>
  </si>
  <si>
    <t>TIF.N,mstag:longTermInvestmentsNonOperating,2026FY,,FYR,,,IN-PROGRESS</t>
  </si>
  <si>
    <t>TIF.N,mscalc:periodEndDilutedSharesOutstandingCalcCalc,2016FY,,FYR,,,IN-PROGRESS</t>
  </si>
  <si>
    <t>TIF.N,mstag:investmentsUnderTheEquityMethodOperating,2034FY,,FYR,,,IN-PROGRESS</t>
  </si>
  <si>
    <t>TIF.N,mstag:incomeLossFromInvestmentsUnderTheEquityMethodNonOperatingPreTax,2023FY,,FYR,,,IN-PROGRESS</t>
  </si>
  <si>
    <t>TIF.N,mstag:investmentsNonOperating,2032FY,,FYR,,,IN-PROGRESS</t>
  </si>
  <si>
    <t>TIF.N,mscalc:netOperatingAssets,2016FY,,FYR,,,IN-PROGRESS</t>
  </si>
  <si>
    <t>TIF.N,mstag:investmentsUnderTheEquityMethodOperating,2016FY,,FYR,,,IN-PROGRESS</t>
  </si>
  <si>
    <t>TIF.N,mstag:incomeLossFromInvestmentsAccountedForUnderTheEquityMethodNonOperatingIncomeStatement,2024FY,,FYR,,,IN-PROGRESS</t>
  </si>
  <si>
    <t>TIF.N,mscalc:dividendsPerShareCalc,2052FY,,FYR,,,IN-PROGRESS</t>
  </si>
  <si>
    <t>TIF.N,mscalc:operatingExpenses,2021FY,,FYR,,,IN-PROGRESS</t>
  </si>
  <si>
    <t>TIF.N,mscalc:netOperatingAssets,2019FY,,FYR,,,IN-PROGRESS</t>
  </si>
  <si>
    <t>TIF.N,mstag:investmentsInJointVentures,2025FY,,FYR,,,IN-PROGRESS</t>
  </si>
  <si>
    <t>TIF.N,mscalc:taxExpenseFromOperations,2026FY,,FYR,,,IN-PROGRESS</t>
  </si>
  <si>
    <t>TIF.N,mscalc:dividendsPerShareCalc,2089FY,,FYR,,,IN-PROGRESS</t>
  </si>
  <si>
    <t>TIF.N,mscalc:netFinancialIncomeExpense,2040FY,,FYR,,,IN-PROGRESS</t>
  </si>
  <si>
    <t>TIF.N,mscalc:otheroperatingIncomeExpense,2024FY,,FYR,,,IN-PROGRESS</t>
  </si>
  <si>
    <t>TIF.N,mstag:investmentsInSubsidiaries,2018FY,,FYR,,,IN-PROGRESS</t>
  </si>
  <si>
    <t>TIF.N,mstag:investmentsNonOperating,2035FY,,FYR,,,IN-PROGRESS</t>
  </si>
  <si>
    <t>TIF.N,mscalc:equityFinancing,2017FY,,FYR,,,IN-PROGRESS</t>
  </si>
  <si>
    <t>TIF.N,mscalc:taxExpenseFromOperations,2036FY,,FYR,,,IN-PROGRESS</t>
  </si>
  <si>
    <t>TIF.N,mscalc:operatingRevenue,,,FYR,,,IN-PROGRESS</t>
  </si>
  <si>
    <t>TIF.N,mscalc:shareholdersEquity,2032FY,,FYR,,,IN-PROGRESS</t>
  </si>
  <si>
    <t>TIF.N,mscalc:shortTermInvestmentsCalc,2021FY,,FYR,,,IN-PROGRESS</t>
  </si>
  <si>
    <t>TIF.N,mscalc:dividendsPerShareCalc,2066FY,,FYR,,,IN-PROGRESS</t>
  </si>
  <si>
    <t>TIF.N,mscalc:equityFinancing,2029FY,,FYR,,,IN-PROGRESS</t>
  </si>
  <si>
    <t>TIF.N,mscalc:otherIncomeExpense,2027FY,,FYR,,,IN-PROGRESS</t>
  </si>
  <si>
    <t>TIF.N,mstag:investmentsInAssociates,2025FY,,FYR,,,IN-PROGRESS</t>
  </si>
  <si>
    <t>TIF.N,mstag:incomeLossesFromInvestmentsNonOperating,2024FY,,FYR,,,IN-PROGRESS</t>
  </si>
  <si>
    <t>TIF.N,mstag:investmentsInJointVentures,2019FY,,FYR,,,IN-PROGRESS</t>
  </si>
  <si>
    <t>TIF.N,mscalc:netDebt,2020FY,,FYR,,,IN-PROGRESS</t>
  </si>
  <si>
    <t>TIF.N,mscalc:dividendsPerShareCalc,2050FY,,FYR,,,IN-PROGRESS</t>
  </si>
  <si>
    <t>TIF.N,mscalc:otheroperatingIncomeExpense,2035FY,,FYR,,,IN-PROGRESS</t>
  </si>
  <si>
    <t>TIF.N,mstag:incomeLossFromInvestmentsAccountedForUnderTheEquityMethodOperatingIncomeStatement,2022FY,,FYR,,,IN-PROGRESS</t>
  </si>
  <si>
    <t>TIF.N,mscalc:taxExpenseFromOperations,2019FY,,FYR,,,IN-PROGRESS</t>
  </si>
  <si>
    <t>TIF.N,mstag:investmentsNonOperating,2019FY,,FYR,,,IN-PROGRESS</t>
  </si>
  <si>
    <t>TIF.N,mstag:investmentsInJointVentures,2030FY,,FYR,,,IN-PROGRESS</t>
  </si>
  <si>
    <t>TIF.N,mscalc:taxExpenseFromOperations,2040FY,,FYR,,,IN-PROGRESS</t>
  </si>
  <si>
    <t>TIF.N,mscalc:dividendsPerShareCalc,2019FY,,FYR,,,IN-PROGRESS</t>
  </si>
  <si>
    <t>TIF.N,mscalc:equityFinancing,2020FY,,FYR,,,IN-PROGRESS</t>
  </si>
  <si>
    <t>TIF.N,mscalc:shortTermInvestmentsCalc,2033FY,,FYR,,,IN-PROGRESS</t>
  </si>
  <si>
    <t>TIF.N,mstag:incomeLossFromInvestmentsAccountedForUnderTheEquityMethodNonOperatingIncomeStatement,2033FY,,FYR,,,IN-PROGRESS</t>
  </si>
  <si>
    <t>TIF.N,mscalc:dividendsPerShareCalc,2059FY,,FYR,,,IN-PROGRESS</t>
  </si>
  <si>
    <t>TIF.N,mscalc:shortTermInvestmentsCalc,2027FY,,FYR,,,IN-PROGRESS</t>
  </si>
  <si>
    <t>TIF.N,mstag:statutoryTaxRate,2024FY,,FYR,,,IN-PROGRESS</t>
  </si>
  <si>
    <t>TIF.N,mscalc:otherIncomeExpense,2037FY,,FYR,,,IN-PROGRESS</t>
  </si>
  <si>
    <t>TIF.N,mstag:incomeLossFromInvestmentsAccountedForUnderTheEquityMethodOperatingIncomeStatement,2035FY,,FYR,,,IN-PROGRESS</t>
  </si>
  <si>
    <t>TIF.N,mscalc:operatingRevenue,2018FY,,FYR,,,IN-PROGRESS</t>
  </si>
  <si>
    <t>TIF.N,mscalc:netFinancialIncomeExpense,2025FY,,FYR,,,IN-PROGRESS</t>
  </si>
  <si>
    <t>TIF.N,mscalc:taxExpenseFromOperations,2030FY,,FYR,,,IN-PROGRESS</t>
  </si>
  <si>
    <t>TIF.N,mstag:incomeLossFromInvestmentsAccountedForUnderTheEquityMethodNonOperatingIncomeStatement,2032FY,,FYR,,,IN-PROGRESS</t>
  </si>
  <si>
    <t>TIF.N,mscalc:dividendsPerShareCalc,2039FY,,FYR,,,IN-PROGRESS</t>
  </si>
  <si>
    <t>TIF.N,mstag:investmentsUnderTheEquityMethodOperating,2023FY,,FYR,,,IN-PROGRESS</t>
  </si>
  <si>
    <t>TIF.N,mstag:investmentsNonOperating,,,FYR,,,IN-PROGRESS</t>
  </si>
  <si>
    <t>TIF.N,mscalc:otherNonOperatingAssetsLiabilities,2033FY,,FYR,,,IN-PROGRESS</t>
  </si>
  <si>
    <t>TIF.N,mstag:investmentsInAssociates,2033FY,,FYR,,,IN-PROGRESS</t>
  </si>
  <si>
    <t>TIF.N,mstag:incomeLossFromInvestmentsAccountedForUnderTheEquityMethodNonOperatingIncomeStatement,2020FY,,FYR,,,IN-PROGRESS</t>
  </si>
  <si>
    <t>TIF.N,mscalc:netFinancialIncomeExpense,2041FY,,FYR,,,IN-PROGRESS</t>
  </si>
  <si>
    <t>TIF.N,mstag:incomeLossesFromInvestmentsNonOperating,2030FY,,FYR,,,IN-PROGRESS</t>
  </si>
  <si>
    <t>TIF.N,mscalc:taxExpenseFromOperations,2039FY,,FYR,,,IN-PROGRESS</t>
  </si>
  <si>
    <t>TIF.N,mscalc:shareholdersEquity,2029FY,,FYR,,,IN-PROGRESS</t>
  </si>
  <si>
    <t>TIF.N,mscalc:dividendsPerShareCalc,2078FY,,FYR,,,IN-PROGRESS</t>
  </si>
  <si>
    <t>TIF.N,mscalc:shortTermInvestmentsCalc,2022FY,,FYR,,,IN-PROGRESS</t>
  </si>
  <si>
    <t>TIF.N,mscalc:dividendsPerShareCalc,2076FY,,FYR,,,IN-PROGRESS</t>
  </si>
  <si>
    <t>TIF.N,mscalc:shareholdersEquity,2017FY,,FYR,,,IN-PROGRESS</t>
  </si>
  <si>
    <t>TIF.N,mstag:investmentsUnderTheEquityMethodOperating,2031FY,,FYR,,,IN-PROGRESS</t>
  </si>
  <si>
    <t>TIF.N,mstag:incomeLossFromInvestmentsAccountedForUnderTheEquityMethodOperatingIncomeStatement,2030FY,,FYR,,,IN-PROGRESS</t>
  </si>
  <si>
    <t>TIF.N,mstag:investmentsInAssociates,2023FY,,FYR,,,IN-PROGRESS</t>
  </si>
  <si>
    <t>TIF.N,mstag:investmentsUnderTheEquityMethodOperating,2025FY,,FYR,,,IN-PROGRESS</t>
  </si>
  <si>
    <t>TIF.N,mscalc:otheroperatingIncomeExpense,2029FY,,FYR,,,IN-PROGRESS</t>
  </si>
  <si>
    <t>TIF.N,mscalc:otheroperatingIncomeExpense,2036FY,,FYR,,,IN-PROGRESS</t>
  </si>
  <si>
    <t>TIF.N,mstag:incomeLossFromInvestmentsAccountedForUnderTheEquityMethodOperatingIncomeStatement,2021FY,,FYR,,,IN-PROGRESS</t>
  </si>
  <si>
    <t>TIF.N,mscalc:shareholdersEquity,2037FY,,FYR,,,IN-PROGRESS</t>
  </si>
  <si>
    <t>TIF.N,mstag:incomeLossFromInvestmentsAccountedForUnderTheEquityMethodOperatingIncomeStatement,2018FY,,FYR,,,IN-PROGRESS</t>
  </si>
  <si>
    <t>TIF.N,mscalc:netOperatingAssets,2042FY,,FYR,,,IN-PROGRESS</t>
  </si>
  <si>
    <t>TIF.N,mstag:investmentsNonOperating,2025FY,,FYR,,,IN-PROGRESS</t>
  </si>
  <si>
    <t>TIF.N,mscalc:operatingRevenue,2022FY,,FYR,,,IN-PROGRESS</t>
  </si>
  <si>
    <t>TIF.N,mscalc:dividendsPerShareCalc,2038FY,,FYR,,,IN-PROGRESS</t>
  </si>
  <si>
    <t>TIF.N,mstag:investmentsInJointVentures,2017FY,,FYR,,,IN-PROGRESS</t>
  </si>
  <si>
    <t>TIF.N,mscalc:netOperatingAssets,2032FY,,FYR,,,IN-PROGRESS</t>
  </si>
  <si>
    <t>TIF.N,mscalc:shareholdersEquity,2023FY,,FYR,,,IN-PROGRESS</t>
  </si>
  <si>
    <t>TIF.N,mscalc:otherIncomeExpense,2041FY,,FYR,,,IN-PROGRESS</t>
  </si>
  <si>
    <t>TIF.N,mscalc:dividendsPerShareCalc,2028FY,,FYR,,,IN-PROGRESS</t>
  </si>
  <si>
    <t>TIF.N,mscalc:dividendsPerShareCalc,2079FY,,FYR,,,IN-PROGRESS</t>
  </si>
  <si>
    <t>TIF.N,mstag:investmentsUnderTheEquityMethodOperating,2024FY,,FYR,,,IN-PROGRESS</t>
  </si>
  <si>
    <t>TIF.N,mstag:investmentsUnderTheEquityMethodOperating,2029FY,,FYR,,,IN-PROGRESS</t>
  </si>
  <si>
    <t>TIF.N,mstag:statutoryTaxRate,2028FY,,FYR,,,IN-PROGRESS</t>
  </si>
  <si>
    <t>TIF.N,mscalc:dividendsPerShareCalc,2083FY,,FYR,,,IN-PROGRESS</t>
  </si>
  <si>
    <t>TIF.N,mstag:investmentsNonOperating,2031FY,,FYR,,,IN-PROGRESS</t>
  </si>
  <si>
    <t>TIF.N,mscalc:taxExpenseFromOperations,2025FY,,FYR,,,IN-PROGRESS</t>
  </si>
  <si>
    <t>TIF.N,mscalc:shareholdersEquity,2036FY,,FYR,,,IN-PROGRESS</t>
  </si>
  <si>
    <t>TIF.N,mstag:longTermInvestmentsNonOperating,2035FY,,FYR,,,IN-PROGRESS</t>
  </si>
  <si>
    <t>TIF.N,mstag:incomeLossesFromInvestmentsNonOperating,2032FY,,FYR,,,IN-PROGRESS</t>
  </si>
  <si>
    <t>TIF.N,mstag:incomeLossFromInvestmentsAccountedForUnderTheEquityMethodNonOperatingIncomeStatement,2019FY,,FYR,,,IN-PROGRESS</t>
  </si>
  <si>
    <t>TIF.N,mscalc:operatingExpenses,2040FY,,FYR,,,IN-PROGRESS</t>
  </si>
  <si>
    <t>TIF.N,mscalc:otherIncomeExpense,2021FY,,FYR,,,IN-PROGRESS</t>
  </si>
  <si>
    <t>TIF.N,mstag:incomeLossFromInvestmentsUnderTheEquityMethodNonOperatingPreTax,2027FY,,FYR,,,IN-PROGRESS</t>
  </si>
  <si>
    <t>TIF.N,mscalc:shareholdersEquity,2024FY,,FYR,,,IN-PROGRESS</t>
  </si>
  <si>
    <t>TIF.N,mstag:investmentsInJointVentures,2022FY,,FYR,,,IN-PROGRESS</t>
  </si>
  <si>
    <t>TIF.N,mscalc:otherIncomeExpense,2039FY,,FYR,,,IN-PROGRESS</t>
  </si>
  <si>
    <t>TIF.N,mscalc:netDebt,2025FY,,FYR,,,IN-PROGRESS</t>
  </si>
  <si>
    <t>TIF.N,mstag:investmentsUnderTheEquityMethodOperating,2028FY,,FYR,,,IN-PROGRESS</t>
  </si>
  <si>
    <t>TIF.N,mstag:statutoryTaxRate,2023FY,,FYR,,,IN-PROGRESS</t>
  </si>
  <si>
    <t>TIF.N,mstag:investmentsNonOperating,2034FY,,FYR,,,IN-PROGRESS</t>
  </si>
  <si>
    <t>TIF.N,mstag:investmentsInSubsidiaries,2028FY,,FYR,,,IN-PROGRESS</t>
  </si>
  <si>
    <t>TIF.N,mstag:currentMarketValueOfInvestmentsUnderTheEquityMethodOperating,2017FY,,FYR,,,IN-PROGRESS</t>
  </si>
  <si>
    <t>TIF.N,mscalc:operatingExpenses,2033FY,,FYR,,,IN-PROGRESS</t>
  </si>
  <si>
    <t>TIF.N,mscalc:netFinancialIncomeExpense,2036FY,,FYR,,,IN-PROGRESS</t>
  </si>
  <si>
    <t>TIF.N,mscalc:netDebt,2036FY,,FYR,,,IN-PROGRESS</t>
  </si>
  <si>
    <t>TIF.N,mscalc:shortTermInvestmentsCalc,2020FY,,FYR,,,IN-PROGRESS</t>
  </si>
  <si>
    <t>TIF.N,mscalc:operatingRevenue,2035FY,,FYR,,,IN-PROGRESS</t>
  </si>
  <si>
    <t>TIF.N,mstag:longTermInvestmentsNonOperating,2025FY,,FYR,,,IN-PROGRESS</t>
  </si>
  <si>
    <t>TIF.N,mscalc:shareholdersEquity,2028FY,,FYR,,,IN-PROGRESS</t>
  </si>
  <si>
    <t>TIF.N,mscalc:netDebt,2026FY,,FYR,,,IN-PROGRESS</t>
  </si>
  <si>
    <t>TIF.N,mscalc:otheroperatingIncomeExpense,2018FY,,FYR,,,IN-PROGRESS</t>
  </si>
  <si>
    <t>TIF.N,mscalc:dividendsPerShareCalc,2041FY,,FYR,,,IN-PROGRESS</t>
  </si>
  <si>
    <t>TIF.N,mscalc:otherNonOperatingAssetsLiabilities,2024FY,,FYR,,,IN-PROGRESS</t>
  </si>
  <si>
    <t>TIF.N,mscalc:shortTermInvestmentsCalc,2034FY,,FYR,,,IN-PROGRESS</t>
  </si>
  <si>
    <t>TIF.N,mscalc:netDebt,2017FY,,FYR,,,IN-PROGRESS</t>
  </si>
  <si>
    <t>TIF.N,mscalc:dividendsPerShareCalc,2023FY,,FYR,,,IN-PROGRESS</t>
  </si>
  <si>
    <t>TIF.N,mstag:statutoryTaxRate,2025FY,,FYR,,,IN-PROGRESS</t>
  </si>
  <si>
    <t>TIF.N,mstag:statutoryTaxRate,2035FY,,FYR,,,IN-PROGRESS</t>
  </si>
  <si>
    <t>TIF.N,mscalc:equityFinancing,2024FY,,FYR,,,IN-PROGRESS</t>
  </si>
  <si>
    <t>TIF.N,mscalc:operatingExpenses,2037FY,,FYR,,,IN-PROGRESS</t>
  </si>
  <si>
    <t>TIF.N,mscalc:netDebt,2039FY,,FYR,,,IN-PROGRESS</t>
  </si>
  <si>
    <t>TIF.N,mscalc:netDebt,2028FY,,FYR,,,IN-PROGRESS</t>
  </si>
  <si>
    <t>TIF.N,mstag:incomeLossFromInvestmentsAccountedForUnderTheEquityMethodNonOperatingIncomeStatement,2031FY,,FYR,,,IN-PROGRESS</t>
  </si>
  <si>
    <t>TIF.N,mscalc:netFinancialIncomeExpense,2023FY,,FYR,,,IN-PROGRESS</t>
  </si>
  <si>
    <t>TIF.N,mscalc:netNonOperatingAssetsLiabilities,2016FY,,FYR,,,IN-PROGRESS</t>
  </si>
  <si>
    <t>TIF.N,mstag:statutoryTaxRate,2022FY,,FYR,,,IN-PROGRESS</t>
  </si>
  <si>
    <t>TIF.N,mscalc:otheroperatingIncomeExpense,2028FY,,FYR,,,IN-PROGRESS</t>
  </si>
  <si>
    <t>TIF.N,mscalc:otherIncomeExpense,2032FY,,FYR,,,IN-PROGRESS</t>
  </si>
  <si>
    <t>TIF.N,mscalc:dividendsPerShareCalc,2069FY,,FYR,,,IN-PROGRESS</t>
  </si>
  <si>
    <t>TIF.N,mscalc:netDebt,2024FY,,FYR,,,IN-PROGRESS</t>
  </si>
  <si>
    <t>TIF.N,mstag:incomeLossesFromInvestmentsNonOperating,2017FY,,FYR,,,IN-PROGRESS</t>
  </si>
  <si>
    <t>TIF.N,mstag:incomeLossesFromInvestmentsNonOperating,2028FY,,FYR,,,IN-PROGRESS</t>
  </si>
  <si>
    <t>TIF.N,mstag:investmentsInSubsidiaries,2036FY,,FYR,,,IN-PROGRESS</t>
  </si>
  <si>
    <t>TIF.N,mscalc:otherIncomeExpense,2040FY,,FYR,,,IN-PROGRESS</t>
  </si>
  <si>
    <t>TIF.N,mscalc:dividendsPerShareCalc,2068FY,,FYR,,,IN-PROGRESS</t>
  </si>
  <si>
    <t>TIF.N,mscalc:netNonOperatingAssetsLiabilities,,,FYR,,,IN-PROGRESS</t>
  </si>
  <si>
    <t>TIF.N,mstag:longTermInvestmentsNonOperating,2034FY,,FYR,,,IN-PROGRESS</t>
  </si>
  <si>
    <t>TIF.N,mstag:incomeLossFromInvestmentsUnderTheEquityMethodNonOperatingPreTax,2031FY,,FYR,,,IN-PROGRESS</t>
  </si>
  <si>
    <t>TIF.N,mscalc:otherNonOperatingAssetsLiabilities,2021FY,,FYR,,,IN-PROGRESS</t>
  </si>
  <si>
    <t>TIF.N,mstag:incomeLossFromInvestmentsAccountedForUnderTheEquityMethodNonOperatingIncomeStatement,2027FY,,FYR,,,IN-PROGRESS</t>
  </si>
  <si>
    <t>TIF.N,mscalc:netOperatingAssets,2024FY,,FYR,,,IN-PROGRESS</t>
  </si>
  <si>
    <t>TIF.N,mscalc:taxExpenseFromOperations,2029FY,,FYR,,,IN-PROGRESS</t>
  </si>
  <si>
    <t>TIF.N,mstag:investmentsInSubsidiaries,2020FY,,FYR,,,IN-PROGRESS</t>
  </si>
  <si>
    <t>TIF.N,mscalc:netOperatingAssets,2028FY,,FYR,,,IN-PROGRESS</t>
  </si>
  <si>
    <t>TIF.N,mstag:incomeLossesFromInvestmentsNonOperating,2019FY,,FYR,,,IN-PROGRESS</t>
  </si>
  <si>
    <t>TIF.N,mstag:incomeLossesFromInvestmentsNonOperating,2020FY,,FYR,,,IN-PROGRESS</t>
  </si>
  <si>
    <t>TIF.N,mstag:investmentsNonOperating,2028FY,,FYR,,,IN-PROGRESS</t>
  </si>
  <si>
    <t>TIF.N,mscalc:operatingRevenue,2023FY,,FYR,,,IN-PROGRESS</t>
  </si>
  <si>
    <t>TIF.N,mstag:longTermInvestmentsNonOperating,2021FY,,FYR,,,IN-PROGRESS</t>
  </si>
  <si>
    <t>TIF.N,mstag:statutoryTaxRate,2017FY,,FYR,,,IN-PROGRESS</t>
  </si>
  <si>
    <t>TIF.N,mscalc:shortTermInvestmentsCalc,2031FY,,FYR,,,IN-PROGRESS</t>
  </si>
  <si>
    <t>TIF.N,mstag:investmentsInJointVentures,2031FY,,FYR,,,IN-PROGRESS</t>
  </si>
  <si>
    <t>TIF.N,mscalc:operatingRevenue,2036FY,,FYR,,,IN-PROGRESS</t>
  </si>
  <si>
    <t>TIF.N,mstag:incomeLossFromInvestmentsUnderTheEquityMethodNonOperatingPreTax,2022FY,,FYR,,,IN-PROGRESS</t>
  </si>
  <si>
    <t>TIF.N,mstag:incomeLossFromInvestmentsAccountedForUnderTheEquityMethodOperatingIncomeStatement,2023FY,,FYR,,,IN-PROGRESS</t>
  </si>
  <si>
    <t>TIF.N,mscalc:shortTermInvestmentsCalc,2017FY,,FYR,,,IN-PROGRESS</t>
  </si>
  <si>
    <t>TIF.N,mstag:investmentsUnderTheEquityMethodOperating,2020FY,,FYR,,,IN-PROGRESS</t>
  </si>
  <si>
    <t>TIF.N,mscalc:netDebt,2042FY,,FYR,,,IN-PROGRESS</t>
  </si>
  <si>
    <t>TIF.N,mscalc:dividendsPerShareCalc,2036FY,,FYR,,,IN-PROGRESS</t>
  </si>
  <si>
    <t>TIF.N,mscalc:netDebt,2031FY,,FYR,,,IN-PROGRESS</t>
  </si>
  <si>
    <t>TIF.N,mstag:investmentsInSubsidiaries,2035FY,,FYR,,,IN-PROGRESS</t>
  </si>
  <si>
    <t>TIF.N,mscalc:equityFinancing,2031FY,,FYR,,,IN-PROGRESS</t>
  </si>
  <si>
    <t>TIF.N,mstag:investmentsInAssociates,2034FY,,FYR,,,IN-PROGRESS</t>
  </si>
  <si>
    <t>TIF.N,mscalc:taxExpenseFromOperations,2034FY,,FYR,,,IN-PROGRESS</t>
  </si>
  <si>
    <t>TIF.N,mscalc:netOperatingAssets,2018FY,,FYR,,,IN-PROGRESS</t>
  </si>
  <si>
    <t>TIF.N,mscalc:dividendsPerShareCalc,2063FY,,FYR,,,IN-PROGRESS</t>
  </si>
  <si>
    <t>TIF.N,mscalc:netDebt,2018FY,,FYR,,,IN-PROGRESS</t>
  </si>
  <si>
    <t>TIF.N,mscalc:dividendsPerShareCalc,2075FY,,FYR,,,IN-PROGRESS</t>
  </si>
  <si>
    <t>TIF.N,mstag:incomeLossesFromInvestmentsNonOperating,2026FY,,FYR,,,IN-PROGRESS</t>
  </si>
  <si>
    <t>TIF.N,mscalc:otherIncomeExpense,2033FY,,FYR,,,IN-PROGRESS</t>
  </si>
  <si>
    <t>TIF.N,mscalc:otherIncomeExpense,2030FY,,FYR,,,IN-PROGRESS</t>
  </si>
  <si>
    <t>TIF.N,mscalc:equityFinancing,2023FY,,FYR,,,IN-PROGRESS</t>
  </si>
  <si>
    <t>TIF.N,mstag:investmentsInJointVentures,2023FY,,FYR,,,IN-PROGRESS</t>
  </si>
  <si>
    <t>TIF.N,mscalc:shortTermInvestmentsCalc,2032FY,,FYR,,,IN-PROGRESS</t>
  </si>
  <si>
    <t>TIF.N,mscalc:dividendsPerShareCalc,2016FY,,FYR,,,IN-PROGRESS</t>
  </si>
  <si>
    <t>TIF.N,mstag:statutoryTaxRate,2019FY,,FYR,,,IN-PROGRESS</t>
  </si>
  <si>
    <t>TIF.N,mscalc:netDebt,2033FY,,FYR,,,IN-PROGRESS</t>
  </si>
  <si>
    <t>TIF.N,mstag:statutoryTaxRate,2034FY,,FYR,,,IN-PROGRESS</t>
  </si>
  <si>
    <t>TIF.N,mscalc:operatingRevenue,2039FY,,FYR,,,IN-PROGRESS</t>
  </si>
  <si>
    <t>TIF.N,mscalc:operatingRevenue,2038FY,,FYR,,,IN-PROGRESS</t>
  </si>
  <si>
    <t>TIF.N,mscalc:operatingExpenses,2026FY,,FYR,,,IN-PROGRESS</t>
  </si>
  <si>
    <t>TIF.N,mscalc:otherIncomeExpense,2018FY,,FYR,,,IN-PROGRESS</t>
  </si>
  <si>
    <t>TIF.N,mstag:investmentsInJointVentures,2032FY,,FYR,,,IN-PROGRESS</t>
  </si>
  <si>
    <t>TIF.N,mscalc:netFinancialIncomeExpense,2021FY,,FYR,,,IN-PROGRESS</t>
  </si>
  <si>
    <t>TIF.N,mscalc:taxExpenseFromOperations,2018FY,,FYR,,,IN-PROGRESS</t>
  </si>
  <si>
    <t>TIF.N,mstag:investmentsInSubsidiaries,2031FY,,FYR,,,IN-PROGRESS</t>
  </si>
  <si>
    <t>TIF.N,mstag:investmentsUnderTheEquityMethodOperating,2030FY,,FYR,,,IN-PROGRESS</t>
  </si>
  <si>
    <t>TIF.N,mstag:investmentsInJointVentures,2027FY,,FYR,,,IN-PROGRESS</t>
  </si>
  <si>
    <t>TIF.N,mscalc:operatingExpenses,2017FY,,FYR,,,IN-PROGRESS</t>
  </si>
  <si>
    <t>TIF.N,mscalc:taxExpenseFromOperations,2022FY,,FYR,,,IN-PROGRESS</t>
  </si>
  <si>
    <t>TIF.N,mscalc:dividendsPerShareCalc,2058FY,,FYR,,,IN-PROGRESS</t>
  </si>
  <si>
    <t>TIF.N,mscalc:dividendsPerShareCalc,2056FY,,FYR,,,IN-PROGRESS</t>
  </si>
  <si>
    <t>TIF.N,mstag:investmentsUnderTheEquityMethodOperating,2021FY,,FYR,,,IN-PROGRESS</t>
  </si>
  <si>
    <t>TIF.N,mstag:incomeLossesFromInvestmentsNonOperating,2027FY,,FYR,,,IN-PROGRESS</t>
  </si>
  <si>
    <t>TIF.N,mscalc:otherNonOperatingAssetsLiabilities,2019FY,,FYR,,,IN-PROGRESS</t>
  </si>
  <si>
    <t>TIF.N,mscalc:shareholdersEquity,2016FY,,FYR,,,IN-PROGRESS</t>
  </si>
  <si>
    <t>TIF.N,mscalc:dividendsPerShareCalc,2048FY,,FYR,,,IN-PROGRESS</t>
  </si>
  <si>
    <t>TIF.N,mscalc:operatingRevenue,2041FY,,FYR,,,IN-PROGRESS</t>
  </si>
  <si>
    <t>TIF.N,mstag:statutoryTaxRate,2020FY,,FYR,,,IN-PROGRESS</t>
  </si>
  <si>
    <t>TIF.N,mscalc:dividendsPerShareCalc,2046FY,,FYR,,,IN-PROGRESS</t>
  </si>
  <si>
    <t>TIF.N,mstag:investmentsNonOperating,2022FY,,FYR,,,IN-PROGRESS</t>
  </si>
  <si>
    <t>TIF.N,mscalc:netFinancialIncomeExpense,2042FY,,FYR,,,IN-PROGRESS</t>
  </si>
  <si>
    <t>TIF.N,mscalc:shortTermInvestmentsCalc,2029FY,,FYR,,,IN-PROGRESS</t>
  </si>
  <si>
    <t>TIF.N,mstag:investmentsInAssociates,2019FY,,FYR,,,IN-PROGRESS</t>
  </si>
  <si>
    <t>TIF.N,mscalc:otherIncomeExpense,2028FY,,FYR,,,IN-PROGRESS</t>
  </si>
  <si>
    <t>TIF.N,mstag:incomeLossesFromInvestmentsNonOperating,2018FY,,FYR,,,IN-PROGRESS</t>
  </si>
  <si>
    <t>TIF.N,mstag:incomeLossFromInvestmentsUnderTheEquityMethodNonOperatingPreTax,2030FY,,FYR,,,IN-PROGRESS</t>
  </si>
  <si>
    <t>TIF.N,mscalc:dividendsPerShareCalc,2087FY,,FYR,,,IN-PROGRESS</t>
  </si>
  <si>
    <t>TIF.N,mstag:investmentsNonOperating,2018FY,,FYR,,,IN-PROGRESS</t>
  </si>
  <si>
    <t>TIF.N,mscalc:dividendsPerShareCalc,2021FY,,FYR,,,IN-PROGRESS</t>
  </si>
  <si>
    <t>TIF.N,mscalc:netDebt,2027FY,,FYR,,,IN-PROGRESS</t>
  </si>
  <si>
    <t>TIF.N,mscalc:otherNonOperatingAssetsLiabilities,2020FY,,FYR,,,IN-PROGRESS</t>
  </si>
  <si>
    <t>TIF.N,mstag:incomeLossFromInvestmentsAccountedForUnderTheEquityMethodOperatingIncomeStatement,2029FY,,FYR,,,IN-PROGRESS</t>
  </si>
  <si>
    <t>TIF.N,mstag:investmentsNonOperating,2020FY,,FYR,,,IN-PROGRESS</t>
  </si>
  <si>
    <t>TIF.N,mstag:statutoryTaxRate,2031FY,,FYR,,,IN-PROGRESS</t>
  </si>
  <si>
    <t>TIF.N,mstag:investmentsInJointVentures,2018FY,,FYR,,,IN-PROGRESS</t>
  </si>
  <si>
    <t>TIF.N,mscalc:otherIncomeExpense,2035FY,,FYR,,,IN-PROGRESS</t>
  </si>
  <si>
    <t>TIF.N,mscalc:otherIncomeExpense,2034FY,,FYR,,,IN-PROGRESS</t>
  </si>
  <si>
    <t>TIF.N,mstag:longTermInvestmentsNonOperating,2017FY,,FYR,,,IN-PROGRESS</t>
  </si>
  <si>
    <t>TIF.N,mscalc:operatingExpenses,2042FY,,FYR,,,IN-PROGRESS</t>
  </si>
  <si>
    <t>TIF.N,mstag:investmentsInSubsidiaries,2033FY,,FYR,,,IN-PROGRESS</t>
  </si>
  <si>
    <t>TIF.N,mscalc:operatingExpenses,2030FY,,FYR,,,IN-PROGRESS</t>
  </si>
  <si>
    <t>TIF.N,mscalc:dividendsPerShareCalc,2027FY,,FYR,,,IN-PROGRESS</t>
  </si>
  <si>
    <t>TIF.N,mstag:longTermInvestmentsNonOperating,2027FY,,FYR,,,IN-PROGRESS</t>
  </si>
  <si>
    <t>TIF.N,mscalc:equityFinancing,2032FY,,FYR,,,IN-PROGRESS</t>
  </si>
  <si>
    <t>TIF.N,mscalc:shareholdersEquity,2027FY,,FYR,,,IN-PROGRESS</t>
  </si>
  <si>
    <t>TIF.N,mscalc:shortTermInvestmentsCalc,2025FY,,FYR,,,IN-PROGRESS</t>
  </si>
  <si>
    <t>TIF.N,mscalc:otherNonOperatingAssetsLiabilities,2026FY,,FYR,,,IN-PROGRESS</t>
  </si>
  <si>
    <t>TIF.N,mscalc:shareholdersEquity,2040FY,,FYR,,,IN-PROGRESS</t>
  </si>
  <si>
    <t>TIF.N,mscalc:dividendsPerShareCalc,,,FYR,,,IN-PROGRESS</t>
  </si>
  <si>
    <t>TIF.N,mstag:longTermInvestmentsNonOperating,2028FY,,FYR,,,IN-PROGRESS</t>
  </si>
  <si>
    <t>TIF.N,mstag:investmentsInSubsidiaries,2024FY,,FYR,,,IN-PROGRESS</t>
  </si>
  <si>
    <t>TIF.N,mscalc:dividendsPerShareCalc,2065FY,,FYR,,,IN-PROGRESS</t>
  </si>
  <si>
    <t>TIF.N,mstag:investmentsNonOperating,2036FY,,FYR,,,IN-PROGRESS</t>
  </si>
  <si>
    <t>TIF.N,mstag:investmentsInAssociates,2030FY,,FYR,,,IN-PROGRESS</t>
  </si>
  <si>
    <t>TIF.N,mscalc:otheroperatingIncomeExpense,2032FY,,FYR,,,IN-PROGRESS</t>
  </si>
  <si>
    <t>TIF.N,mscalc:equityFinancing,2042FY,,FYR,,,IN-PROGRESS</t>
  </si>
  <si>
    <t>TIF.N,mscalc:otheroperatingIncomeExpense,2025FY,,FYR,,,IN-PROGRESS</t>
  </si>
  <si>
    <t>TIF.N,mstag:incomeLossFromInvestmentsUnderTheEquityMethodNonOperatingPreTax,2026FY,,FYR,,,IN-PROGRESS</t>
  </si>
  <si>
    <t>TIF.N,mstag:investmentsInAssociates,2017FY,,FYR,,,IN-PROGRESS</t>
  </si>
  <si>
    <t>TIF.N,mscalc:dividendsPerShareCalc,2054FY,,FYR,,,IN-PROGRESS</t>
  </si>
  <si>
    <t>TIF.N,mscalc:otheroperatingIncomeExpense,2030FY,,FYR,,,IN-PROGRESS</t>
  </si>
  <si>
    <t>TIF.N,mscalc:taxExpenseFromOperations,2037FY,,FYR,,,IN-PROGRESS</t>
  </si>
  <si>
    <t>TIF.N,mscalc:operatingRevenue,2025FY,,FYR,,,IN-PROGRESS</t>
  </si>
  <si>
    <t>TIF.N,mscalc:equityFinancing,2027FY,,FYR,,,IN-PROGRESS</t>
  </si>
  <si>
    <t>TIF.N,mscalc:equityFinancing,2025FY,,FYR,,,IN-PROGRESS</t>
  </si>
  <si>
    <t>TIF.N,mstag:investmentsUnderTheEquityMethodOperating,2032FY,,FYR,,,IN-PROGRESS</t>
  </si>
  <si>
    <t>TIF.N,mscalc:shareholdersEquity,2034FY,,FYR,,,IN-PROGRESS</t>
  </si>
  <si>
    <t>TIF.N,mscalc:netFinancialIncomeExpense,2038FY,,FYR,,,IN-PROGRESS</t>
  </si>
  <si>
    <t>TIF.N,mstag:statutoryTaxRate,2026FY,,FYR,,,IN-PROGRESS</t>
  </si>
  <si>
    <t>TIF.N,mscalc:dividendsPerShareCalc,2024FY,,FYR,,,IN-PROGRESS</t>
  </si>
  <si>
    <t>TIF.N,mscalc:shareholdersEquity,2020FY,,FYR,,,IN-PROGRESS</t>
  </si>
  <si>
    <t>TIF.N,mscalc:shareholdersEquity,2026FY,,FYR,,,IN-PROGRESS</t>
  </si>
  <si>
    <t>TIF.N,mscalc:operatingExpenses,2034FY,,FYR,,,IN-PROGRESS</t>
  </si>
  <si>
    <t>TIF.N,mscalc:operatingExpenses,2038FY,,FYR,,,IN-PROGRESS</t>
  </si>
  <si>
    <t>TIF.N,mstag:investmentsNonOperating,2023FY,,FYR,,,IN-PROGRESS</t>
  </si>
  <si>
    <t>TIF.N,mscalc:dividendsPerShareCalc,2035FY,,FYR,,,IN-PROGRESS</t>
  </si>
  <si>
    <t>TIF.N,mstag:investmentsInJointVentures,2024FY,,FYR,,,IN-PROGRESS</t>
  </si>
  <si>
    <t>TIF.N,mstag:longTermInvestmentsNonOperating,2033FY,,FYR,,,IN-PROGRESS</t>
  </si>
  <si>
    <t>TIF.N,mstag:investmentsUnderTheEquityMethodOperating,2036FY,,FYR,,,IN-PROGRESS</t>
  </si>
  <si>
    <t>TIF.N,mstag:incomeLossesFromInvestmentsNonOperating,2035FY,,FYR,,,IN-PROGRESS</t>
  </si>
  <si>
    <t>TIF.N,mscalc:dividendsPerShareCalc,2073FY,,FYR,,,IN-PROGRESS</t>
  </si>
  <si>
    <t>TIF.N,mscalc:otheroperatingIncomeExpense,2026FY,,FYR,,,IN-PROGRESS</t>
  </si>
  <si>
    <t>TIF.N,mstag:incomeLossFromInvestmentsAccountedForUnderTheEquityMethodOperatingIncomeStatement,2034FY,,FYR,,,IN-PROGRESS</t>
  </si>
  <si>
    <t>TIF.N,mstag:incomeLossFromInvestmentsAccountedForUnderTheEquityMethodNonOperatingIncomeStatement,2022FY,,FYR,,,IN-PROGRESS</t>
  </si>
  <si>
    <t>TIF.N,mscalc:dividendsPerShareCalc,2018FY,,FYR,,,IN-PROGRESS</t>
  </si>
  <si>
    <t>TIF.N,mscalc:operatingExpenses,2029FY,,FYR,,,IN-PROGRESS</t>
  </si>
  <si>
    <t>TIF.N,mscalc:otherIncomeExpense,2020FY,,FYR,,,IN-PROGRESS</t>
  </si>
  <si>
    <t>TIF.N,mstag:investmentsNonOperating,2029FY,,FYR,,,IN-PROGRESS</t>
  </si>
  <si>
    <t>TIF.N,mscalc:shortTermInvestmentsCalc,2036FY,,FYR,,,IN-PROGRESS</t>
  </si>
  <si>
    <t>TIF.N,mscalc:equityFinancing,2033FY,,FYR,,,IN-PROGRESS</t>
  </si>
  <si>
    <t>TIF.N,mscalc:dividendsPerShareCalc,2040FY,,FYR,,,IN-PROGRESS</t>
  </si>
  <si>
    <t>TIF.N,mscalc:dividendsPerShareCalc,2022FY,,FYR,,,IN-PROGRESS</t>
  </si>
  <si>
    <t>TIF.N,mscalc:shareholdersEquity,2035FY,,FYR,,,IN-PROGRESS</t>
  </si>
  <si>
    <t>TIF.N,mstag:investmentsUnderTheEquityMethodOperating,2026FY,,FYR,,,IN-PROGRESS</t>
  </si>
  <si>
    <t>TIF.N,mscalc:dividendsPerShareCalc,2055FY,,FYR,,,IN-PROGRESS</t>
  </si>
  <si>
    <t>TIF.N,mscalc:otherIncomeExpense,2017FY,,FYR,,,IN-PROGRESS</t>
  </si>
  <si>
    <t>TIF.N,mscalc:dividendsPerShareCalc,2081FY,,FYR,,,IN-PROGRESS</t>
  </si>
  <si>
    <t>TIF.N,mscalc:dividendsPerShareCalc,2033FY,,FYR,,,IN-PROGRESS</t>
  </si>
  <si>
    <t>TIF.N,mscalc:dividendsPerShareCalc,2072FY,,FYR,,,IN-PROGRESS</t>
  </si>
  <si>
    <t>TIF.N,mscalc:netOperatingAssets,2027FY,,FYR,,,IN-PROGRESS</t>
  </si>
  <si>
    <t>TIF.N,mscalc:netOperatingAssets,2026FY,,FYR,,,IN-PROGRESS</t>
  </si>
  <si>
    <t>TIF.N,mscalc:taxExpenseFromOperations,2042FY,,FYR,,,IN-PROGRESS</t>
  </si>
  <si>
    <t>TIF.N,mstag:incomeLossFromInvestmentsAccountedForUnderTheEquityMethodOperatingIncomeStatement,2019FY,,FYR,,,IN-PROGRESS</t>
  </si>
  <si>
    <t>TIF.N,mscalc:dividendsPerShareCalc,2045FY,,FYR,,,IN-PROGRESS</t>
  </si>
  <si>
    <t>TIF.N,mscalc:netOperatingAssets,2040FY,,FYR,,,IN-PROGRESS</t>
  </si>
  <si>
    <t>TIF.N,mscalc:operatingExpenses,2035FY,,FYR,,,IN-PROGRESS</t>
  </si>
  <si>
    <t>TIF.N,mscalc:otheroperatingIncomeExpense,2034FY,,FYR,,,IN-PROGRESS</t>
  </si>
  <si>
    <t>TIF.N,mstag:investmentsInJointVentures,2016FY,,FYR,,,IN-PROGRESS</t>
  </si>
  <si>
    <t>TIF.N,mscalc:taxExpenseFromOperations,2017FY,,FYR,,,IN-PROGRESS</t>
  </si>
  <si>
    <t>TIF.N,mscalc:otherNonOperatingAssetsLiabilities,2032FY,,FYR,,,IN-PROGRESS</t>
  </si>
  <si>
    <t>TIF.N,mscalc:shortTermInvestmentsCalc,2028FY,,FYR,,,IN-PROGRESS</t>
  </si>
  <si>
    <t>TIF.N,mstag:investmentsInJointVentures,2035FY,,FYR,,,IN-PROGRESS</t>
  </si>
  <si>
    <t>TIF.N,mstag:incomeLossFromInvestmentsAccountedForUnderTheEquityMethodNonOperatingIncomeStatement,2035FY,,FYR,,,IN-PROGRESS</t>
  </si>
  <si>
    <t>TIF.N,mstag:longTermInvestmentsNonOperating,2020FY,,FYR,,,IN-PROGRESS</t>
  </si>
  <si>
    <t>$IV$14</t>
  </si>
  <si>
    <t>Model</t>
  </si>
  <si>
    <t>1Q17</t>
  </si>
  <si>
    <t>1Q16</t>
  </si>
  <si>
    <t>11-'16A</t>
  </si>
  <si>
    <t>11.  Non-GAAP Earnings Per Share -- Fully Diluted   (% Change)</t>
  </si>
  <si>
    <t>10.  Non-GAAP Net Earnings (% Change)</t>
  </si>
  <si>
    <t>2Q16</t>
  </si>
  <si>
    <t>3Q16</t>
  </si>
  <si>
    <t>4Q16</t>
  </si>
  <si>
    <t>2Q17</t>
  </si>
  <si>
    <t>Inventory Growth</t>
  </si>
  <si>
    <t>Forward Sales Growth</t>
  </si>
  <si>
    <t>2021E</t>
  </si>
  <si>
    <t>3Q17</t>
  </si>
  <si>
    <t>3Q17E</t>
  </si>
  <si>
    <t>3QFY2018</t>
  </si>
  <si>
    <t>Operating Results Summary &amp; Financial Analysis, Fiscal 20011-2020E</t>
  </si>
  <si>
    <t>'16-22E</t>
  </si>
  <si>
    <t>2022E</t>
  </si>
  <si>
    <t>2017A</t>
  </si>
  <si>
    <t>83</t>
  </si>
  <si>
    <t>MSA13041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</si>
  <si>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</si>
  <si>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</si>
  <si>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</si>
  <si>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</si>
  <si>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</si>
  <si>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</si>
  <si>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</si>
  <si>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</si>
  <si>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Kimberly Greenberger</t>
  </si>
  <si>
    <t>Date: 16 Mar 2018</t>
  </si>
  <si>
    <t>Ticker: TIF.N</t>
  </si>
  <si>
    <t>Stock Rating: Equal-Weight</t>
  </si>
  <si>
    <t>Industry: Retail, Specialty Retail</t>
  </si>
  <si>
    <t>Industry View: Cautious</t>
  </si>
  <si>
    <t>Price as of 16 Mar 2018: 97.51</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</si>
  <si>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</si>
  <si>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</si>
  <si>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</si>
  <si>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</si>
  <si>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Tiffany &amp; Co..</t>
  </si>
  <si>
    <t>STOCK RATINGS</t>
  </si>
  <si>
    <t>Global Stock Ratings Distribution</t>
  </si>
  <si>
    <t>(as of February 28,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</si>
  <si>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</si>
  <si>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</si>
  <si>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</si>
  <si>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</si>
  <si>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</si>
  <si>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</si>
  <si>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</si>
  <si>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</si>
  <si>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</si>
  <si>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</si>
  <si>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</si>
  <si>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</si>
  <si>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</si>
  <si>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</si>
  <si>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</si>
  <si>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</si>
  <si>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</si>
  <si>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</si>
  <si>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</si>
  <si>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</si>
  <si>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</si>
  <si>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</si>
  <si>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</si>
  <si>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</si>
  <si>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</si>
  <si>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</si>
  <si>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</si>
  <si>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</si>
  <si>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</si>
  <si>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</si>
  <si>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</si>
  <si>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</si>
  <si>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</si>
  <si>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</si>
  <si>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</si>
  <si>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</si>
  <si>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</si>
  <si>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</si>
  <si>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</si>
  <si>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</si>
  <si>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</si>
  <si>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</si>
  <si>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</si>
  <si>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</si>
  <si>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</si>
  <si>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</si>
  <si>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</si>
  <si>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</si>
  <si>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</si>
  <si>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</si>
  <si>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</si>
  <si>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</si>
  <si>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</si>
  <si>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</si>
  <si>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</si>
  <si>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</si>
  <si>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</si>
  <si>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</si>
  <si>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</si>
  <si>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</si>
  <si>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</si>
  <si>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</si>
  <si>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</si>
  <si>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</si>
  <si>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</si>
  <si>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</si>
  <si>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</si>
  <si>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</si>
  <si>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</si>
  <si>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</si>
  <si>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</si>
  <si>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</si>
  <si>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</si>
  <si>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</si>
  <si>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</si>
  <si>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</si>
  <si>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</si>
  <si>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</si>
  <si>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</si>
  <si>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</si>
  <si>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</si>
  <si>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</si>
  <si>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</si>
  <si>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</si>
  <si>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</si>
  <si>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</si>
  <si>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</si>
  <si>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</si>
  <si>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</si>
  <si>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</si>
  <si>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</si>
  <si>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</si>
  <si>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</si>
  <si>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</si>
  <si>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</si>
  <si>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</si>
  <si>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</si>
  <si>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</si>
  <si>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</si>
  <si>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</si>
  <si>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</si>
  <si>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</si>
  <si>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</si>
  <si>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</si>
  <si>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</si>
  <si>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</si>
  <si>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</si>
  <si>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</si>
  <si>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</si>
  <si>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</si>
  <si>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</si>
  <si>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</si>
  <si>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</si>
  <si>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</si>
  <si>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</si>
  <si>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</si>
  <si>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</si>
  <si>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</si>
  <si>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</si>
  <si>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</si>
  <si>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</si>
  <si>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</si>
  <si>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</si>
  <si>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</si>
  <si>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</si>
  <si>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</si>
  <si>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</si>
  <si>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</si>
  <si>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</si>
  <si>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</si>
  <si>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</si>
  <si>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</si>
  <si>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</si>
  <si>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</si>
  <si>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</si>
  <si>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</si>
  <si>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</si>
  <si>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</si>
  <si>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</si>
  <si>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</si>
  <si>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</si>
  <si>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</si>
  <si>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</si>
  <si>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</si>
  <si>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</si>
  <si>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</si>
  <si>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</si>
  <si>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</si>
  <si>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</si>
  <si>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</si>
  <si>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</si>
  <si>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</si>
  <si>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</si>
  <si>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</si>
  <si>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</si>
  <si>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</si>
  <si>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</si>
  <si>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</si>
  <si>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</si>
  <si>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</si>
  <si>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</si>
  <si>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</si>
  <si>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</si>
  <si>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</si>
  <si>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</si>
  <si>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</si>
  <si>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</si>
  <si>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</si>
  <si>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</si>
  <si>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</si>
  <si>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</si>
  <si>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</si>
  <si>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</si>
  <si>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</si>
  <si>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</si>
  <si>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</si>
  <si>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</si>
  <si>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</si>
  <si>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</si>
  <si>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</si>
  <si>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</si>
  <si>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</si>
  <si>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</si>
  <si>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</si>
  <si>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</si>
  <si>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</si>
  <si>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</si>
  <si>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</si>
  <si>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</si>
  <si>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</si>
  <si>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</si>
  <si>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</si>
  <si>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</si>
  <si>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</si>
  <si>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</si>
  <si>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</si>
  <si>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</si>
  <si>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</si>
  <si>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</si>
  <si>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</si>
  <si>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</si>
  <si>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</si>
  <si>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</si>
  <si>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</si>
  <si>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</si>
  <si>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</si>
  <si>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</si>
  <si>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</si>
  <si>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</si>
  <si>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</si>
  <si>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</si>
  <si>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</si>
  <si>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</si>
  <si>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</si>
  <si>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</si>
  <si>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</si>
  <si>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</si>
  <si>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</si>
  <si>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</si>
  <si>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</si>
  <si>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</si>
  <si>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</si>
  <si>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</si>
  <si>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</si>
  <si>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</si>
  <si>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</si>
  <si>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</si>
  <si>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</si>
  <si>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</si>
  <si>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</si>
  <si>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</si>
  <si>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</si>
  <si>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</si>
  <si>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</si>
  <si>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</si>
  <si>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</si>
  <si>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</si>
  <si>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</si>
  <si>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Tiffany &amp; Co..</t>
  </si>
  <si>
    <t>In the next 3 months, Morgan Stanley expects to receive or intends to seek compensation for investment</t>
  </si>
  <si>
    <t>banking services from Tiffany &amp; Co..</t>
  </si>
  <si>
    <t>Within the last 12 months, Morgan Stanley has received compensation for investment banking services from</t>
  </si>
  <si>
    <t>Tiffany &amp; Co..</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</si>
  <si>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</si>
  <si>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</si>
  <si>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</si>
  <si>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</si>
  <si>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</si>
  <si>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Kimberly C Greenberger.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</si>
  <si>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</si>
  <si>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</si>
  <si>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</si>
  <si>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</si>
  <si>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</si>
  <si>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</si>
  <si>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</si>
  <si>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</si>
  <si>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</si>
  <si>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</si>
  <si>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</si>
  <si>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</si>
  <si>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</si>
  <si>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</si>
  <si>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</si>
  <si>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</si>
  <si>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</si>
  <si>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</si>
  <si>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</si>
  <si>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</si>
  <si>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</si>
  <si>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</si>
  <si>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</si>
  <si>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</si>
  <si>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</si>
  <si>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</si>
  <si>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</si>
  <si>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</si>
  <si>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</si>
  <si>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</si>
  <si>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</si>
  <si>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</si>
  <si>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</si>
  <si>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</si>
  <si>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</si>
  <si>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</si>
  <si>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</si>
  <si>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</si>
  <si>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</si>
  <si>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</si>
  <si>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</si>
  <si>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</si>
  <si>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</si>
  <si>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</si>
  <si>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</si>
  <si>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</si>
  <si>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</si>
  <si>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</si>
  <si>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</si>
  <si>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</si>
  <si>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</si>
  <si>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</si>
  <si>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</si>
  <si>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</si>
  <si>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</si>
  <si>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</si>
  <si>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</si>
  <si>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</si>
  <si>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</si>
  <si>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</si>
  <si>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</si>
  <si>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</si>
  <si>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</si>
  <si>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</si>
  <si>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</si>
  <si>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</si>
  <si>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</si>
  <si>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Cautious</t>
  </si>
  <si>
    <t>Quarterly Update</t>
  </si>
  <si>
    <t>NorthAmerica</t>
  </si>
  <si>
    <t>casselau</t>
  </si>
  <si>
    <t>L:\RETAIL\Greenberger\Companies\TIF\Models\TIF.xlsm</t>
  </si>
  <si>
    <t>[BRO MSA]</t>
  </si>
  <si>
    <t>[PRODUCT MODEL]</t>
  </si>
  <si>
    <t>[EMAIL_ALERT YES]</t>
  </si>
  <si>
    <t>[DISCIPLINE Company]</t>
  </si>
  <si>
    <t>[SUPPRESSED NO]</t>
  </si>
  <si>
    <t>[DOCDAT 2018-03-16]</t>
  </si>
  <si>
    <t>[DOCTIME 15:53]</t>
  </si>
  <si>
    <t>[PSYM TIF.N(S&amp;P) (None)]</t>
  </si>
  <si>
    <t>[COU 1]</t>
  </si>
  <si>
    <t>[ANA ]</t>
  </si>
  <si>
    <t>[HL TIF.N Model]</t>
  </si>
  <si>
    <t>[IND RETSPA]</t>
  </si>
  <si>
    <t>[PANA MSA13041]</t>
  </si>
  <si>
    <t>Target Price: 94</t>
  </si>
</sst>
</file>

<file path=xl/styles.xml><?xml version="1.0" encoding="utf-8"?>
<styleSheet xmlns="http://schemas.openxmlformats.org/spreadsheetml/2006/main" xmlns:mc="http://schemas.openxmlformats.org/markup-compatibility/2006" xmlns:x14ac="http://schemas.microsoft.com/office/spreadsheetml/2009/9/ac" mc:Ignorable="x14ac">
  <numFmts count="97">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6" formatCode="#,##0.0"/>
    <numFmt numFmtId="167" formatCode="0.0"/>
    <numFmt numFmtId="168" formatCode="0.0%"/>
    <numFmt numFmtId="169" formatCode="#,##0.0;\(#,##0.0\)"/>
    <numFmt numFmtId="170" formatCode="#,##0.0_);\(#,##0.0\)"/>
    <numFmt numFmtId="171" formatCode="#,##0.0000_);[Red]\(#,##0.0000\)"/>
    <numFmt numFmtId="172" formatCode="#,##0.0_);[Red]\(#,##0.0\)"/>
    <numFmt numFmtId="173" formatCode="0.000"/>
    <numFmt numFmtId="174" formatCode="&quot;$&quot;#,##0.0_);[Red]\(&quot;$&quot;#,##0.0\)"/>
    <numFmt numFmtId="175" formatCode="&quot;$&quot;#,##0.0_);\(&quot;$&quot;#,##0.0\)"/>
    <numFmt numFmtId="176" formatCode="0.000000"/>
    <numFmt numFmtId="177" formatCode="#,##0.0000"/>
    <numFmt numFmtId="178" formatCode="_(* #,##0.0_);_(* \(#,##0.0\);_(* &quot;-&quot;??_);_(@_)"/>
    <numFmt numFmtId="179" formatCode="0.0000000"/>
    <numFmt numFmtId="180" formatCode="_(* #,##0_);_(* \(#,##0\);_(* &quot;-&quot;??_);_(@_)"/>
    <numFmt numFmtId="181" formatCode="&quot;$&quot;#,##0.00"/>
    <numFmt numFmtId="182" formatCode="&quot;$&quot;#,##0"/>
    <numFmt numFmtId="183" formatCode="General_)"/>
    <numFmt numFmtId="184" formatCode="0.0_)"/>
    <numFmt numFmtId="185" formatCode="&quot;$&quot;#,##0.0"/>
    <numFmt numFmtId="186" formatCode="0.0_);\(0.0\)"/>
    <numFmt numFmtId="187" formatCode="_(* #,##0.0000_);_(* \(#,##0.0000\);_(* &quot;-&quot;??_);_(@_)"/>
    <numFmt numFmtId="188" formatCode="0_);\(0\)"/>
    <numFmt numFmtId="189" formatCode="&quot;$&quot;#,##0.000_);\(&quot;$&quot;#,##0.000\)"/>
    <numFmt numFmtId="190" formatCode="###0_);\(###0\)"/>
    <numFmt numFmtId="191" formatCode="mm/dd/yy_)"/>
    <numFmt numFmtId="192" formatCode="&quot;$&quot;#,##0.0\ ;[Red]\(&quot;$&quot;#,##0.0\)"/>
    <numFmt numFmtId="193" formatCode="0.0%;\(0.0%\)"/>
    <numFmt numFmtId="194" formatCode="\(0.0\)"/>
    <numFmt numFmtId="195" formatCode="\+0.0;\-0.0"/>
    <numFmt numFmtId="196" formatCode="0.000_)"/>
    <numFmt numFmtId="197" formatCode="&quot;$&quot;#,##0.000"/>
    <numFmt numFmtId="198" formatCode="####\A"/>
    <numFmt numFmtId="199" formatCode="\/0.0;\/\-0.0"/>
    <numFmt numFmtId="200" formatCode="####&quot;E&quot;"/>
    <numFmt numFmtId="201" formatCode="#,##0.0\ ;\(#,##0.0\)"/>
    <numFmt numFmtId="202" formatCode="#,##0.0\ ;[Red]\(#,##0.0\)"/>
    <numFmt numFmtId="203" formatCode="#,##0.0%\ ;[Red]\(#,##0.0%\)"/>
    <numFmt numFmtId="204" formatCode="0.0_);[Red]\(0.0\)"/>
    <numFmt numFmtId="205" formatCode="0_);[Red]\(0\)"/>
    <numFmt numFmtId="206" formatCode="\+0;\-0"/>
    <numFmt numFmtId="207" formatCode="#,##0.000_);\(#,##0.000\)"/>
    <numFmt numFmtId="208" formatCode="#,##0.000_);[Red]\(#,##0.000\)"/>
    <numFmt numFmtId="209" formatCode="&quot;$&quot;#,##0.000_);[Red]\(&quot;$&quot;#,##0.000\)"/>
    <numFmt numFmtId="210" formatCode="#,##0.0000_);\(#,##0.0000\)"/>
    <numFmt numFmtId="211" formatCode="&quot;$&quot;#,##0.0;\(&quot;$&quot;#,##0.0\)"/>
    <numFmt numFmtId="212" formatCode="_(&quot;$&quot;* #,##0_);_(&quot;$&quot;* \(#,##0\);_(&quot;$&quot;* &quot;-&quot;??_);_(@_)"/>
    <numFmt numFmtId="213" formatCode="&quot;$&quot;#,##0.0000_);[Red]\(&quot;$&quot;#,##0.0000\)"/>
    <numFmt numFmtId="214" formatCode="#,##0.00000_);[Red]\(#,##0.00000\)"/>
    <numFmt numFmtId="215" formatCode="0.0\ \/;\-0.0\ \/"/>
    <numFmt numFmtId="216" formatCode="0.0;\-0.0"/>
    <numFmt numFmtId="217" formatCode="0\ \/;\-0\ \/"/>
    <numFmt numFmtId="218" formatCode="0;\-0"/>
    <numFmt numFmtId="219" formatCode="###0\A"/>
    <numFmt numFmtId="220" formatCode="#,##0.0;\(&quot;$&quot;#,##0.0\)"/>
    <numFmt numFmtId="221" formatCode="0.00000000"/>
    <numFmt numFmtId="222" formatCode="&quot;$&quot;#,##0;\(&quot;$&quot;#,##0\)"/>
    <numFmt numFmtId="223" formatCode="#,##0.0000000000000"/>
    <numFmt numFmtId="224" formatCode="_(&quot;$&quot;* #,##0.0_);_(&quot;$&quot;* \(#,##0.0\);_(&quot;$&quot;* &quot;-&quot;??_);_(@_)"/>
    <numFmt numFmtId="225" formatCode="&quot;$&quot;#,##0.000;\(&quot;$&quot;#,##0.000\)"/>
    <numFmt numFmtId="226" formatCode="#,##0.00;\(&quot;$&quot;#,##0.00\)"/>
    <numFmt numFmtId="227" formatCode="####\E"/>
    <numFmt numFmtId="228" formatCode="\(\+0.0;\(\-0.0\)"/>
    <numFmt numFmtId="229" formatCode="\/0.0\)"/>
    <numFmt numFmtId="230" formatCode="0.00_);\(0.00\)"/>
    <numFmt numFmtId="231" formatCode="_(&quot;$&quot;* #,##0.0_);_(&quot;$&quot;* \(#,##0.0\);_(&quot;$&quot;* &quot;-&quot;?_);_(@_)"/>
    <numFmt numFmtId="232" formatCode="\(0.00\)"/>
    <numFmt numFmtId="233" formatCode="\+0.000;\-0.000"/>
    <numFmt numFmtId="234" formatCode="0.00000"/>
    <numFmt numFmtId="235" formatCode="_(* #,##0.000_);_(* \(#,##0.000\);_(* &quot;-&quot;??_);_(@_)"/>
    <numFmt numFmtId="236" formatCode="#,##0.000;\(&quot;$&quot;#,##0.000\)"/>
    <numFmt numFmtId="237" formatCode="\(0\)"/>
    <numFmt numFmtId="238" formatCode="&quot;$&quot;#,##0.000000_);[Red]\(&quot;$&quot;#,##0.000000\)"/>
    <numFmt numFmtId="239" formatCode="0.00000000000000"/>
    <numFmt numFmtId="240" formatCode="0.000000000000000"/>
    <numFmt numFmtId="241" formatCode="#,##0;\(#,##0\)"/>
    <numFmt numFmtId="242" formatCode="\F###0\A"/>
    <numFmt numFmtId="243" formatCode="\F###0\E"/>
    <numFmt numFmtId="244" formatCode="###0"/>
    <numFmt numFmtId="245" formatCode="###0.00"/>
    <numFmt numFmtId="246" formatCode="###0.0"/>
    <numFmt numFmtId="247" formatCode="\F###0"/>
    <numFmt numFmtId="248" formatCode="0.000_);\(0.000\)"/>
    <numFmt numFmtId="249" formatCode="0\ &quot;bps&quot;"/>
    <numFmt numFmtId="250" formatCode="\+0.0%;\-0.0%"/>
    <numFmt numFmtId="251" formatCode="0.00%;\(0.00%\)"/>
    <numFmt numFmtId="252" formatCode="mm/yyyy"/>
    <numFmt numFmtId="253" formatCode="0.0000000000000000%"/>
    <numFmt numFmtId="254" formatCode="\/0\)"/>
    <numFmt numFmtId="255" formatCode="&quot;$&quot;#,##0.00;\(&quot;$&quot;#,##0.00\)"/>
    <numFmt numFmtId="256" formatCode="mm/dd/yy\ hh:mm"/>
  </numFmts>
  <fonts count="161">
    <font>
      <sz val="10"/>
      <name val="Arial"/>
    </font>
    <font>
      <sz val="10"/>
      <name val="Arial"/>
      <family val="2"/>
    </font>
    <font>
      <sz val="10"/>
      <name val="Helv"/>
    </font>
    <font>
      <sz val="10"/>
      <name val="Courier"/>
      <family val="3"/>
    </font>
    <font>
      <sz val="8"/>
      <name val="Arial"/>
      <family val="2"/>
    </font>
    <font>
      <sz val="7"/>
      <name val="Courier"/>
      <family val="3"/>
    </font>
    <font>
      <sz val="8"/>
      <name val="Helv"/>
    </font>
    <font>
      <u/>
      <sz val="10"/>
      <name val="Helv"/>
    </font>
    <font>
      <sz val="10"/>
      <name val="Arial"/>
      <family val="2"/>
    </font>
    <font>
      <u/>
      <sz val="10"/>
      <name val="Arial"/>
      <family val="2"/>
    </font>
    <font>
      <b/>
      <sz val="8"/>
      <name val="Arial"/>
      <family val="2"/>
    </font>
    <font>
      <b/>
      <sz val="10"/>
      <name val="Arial"/>
      <family val="2"/>
    </font>
    <font>
      <sz val="10"/>
      <color indexed="12"/>
      <name val="Arial"/>
      <family val="2"/>
    </font>
    <font>
      <i/>
      <sz val="8"/>
      <name val="Arial"/>
      <family val="2"/>
    </font>
    <font>
      <b/>
      <u/>
      <sz val="8"/>
      <name val="Arial"/>
      <family val="2"/>
    </font>
    <font>
      <b/>
      <sz val="8"/>
      <color indexed="12"/>
      <name val="Arial"/>
      <family val="2"/>
    </font>
    <font>
      <b/>
      <u/>
      <sz val="8"/>
      <color indexed="12"/>
      <name val="Arial"/>
      <family val="2"/>
    </font>
    <font>
      <sz val="8"/>
      <color indexed="12"/>
      <name val="Arial"/>
      <family val="2"/>
    </font>
    <font>
      <sz val="8"/>
      <color indexed="81"/>
      <name val="Tahoma"/>
      <family val="2"/>
    </font>
    <font>
      <b/>
      <sz val="8"/>
      <color indexed="81"/>
      <name val="Tahoma"/>
      <family val="2"/>
    </font>
    <font>
      <b/>
      <sz val="10"/>
      <color indexed="12"/>
      <name val="Arial"/>
      <family val="2"/>
    </font>
    <font>
      <sz val="8"/>
      <color indexed="10"/>
      <name val="Arial"/>
      <family val="2"/>
    </font>
    <font>
      <b/>
      <u/>
      <sz val="10"/>
      <name val="Arial"/>
      <family val="2"/>
    </font>
    <font>
      <sz val="9"/>
      <name val="Arial"/>
      <family val="2"/>
    </font>
    <font>
      <sz val="10"/>
      <color indexed="10"/>
      <name val="Arial"/>
      <family val="2"/>
    </font>
    <font>
      <sz val="8"/>
      <color indexed="8"/>
      <name val="Arial"/>
      <family val="2"/>
    </font>
    <font>
      <u/>
      <sz val="8"/>
      <name val="Arial"/>
      <family val="2"/>
    </font>
    <font>
      <i/>
      <sz val="10"/>
      <name val="Arial"/>
      <family val="2"/>
    </font>
    <font>
      <b/>
      <sz val="12"/>
      <name val="Arial"/>
      <family val="2"/>
    </font>
    <font>
      <b/>
      <sz val="8"/>
      <color indexed="10"/>
      <name val="Arial"/>
      <family val="2"/>
    </font>
    <font>
      <b/>
      <sz val="9"/>
      <name val="Arial"/>
      <family val="2"/>
    </font>
    <font>
      <sz val="8"/>
      <color indexed="17"/>
      <name val="Arial"/>
      <family val="2"/>
    </font>
    <font>
      <sz val="9"/>
      <color indexed="12"/>
      <name val="Arial"/>
      <family val="2"/>
    </font>
    <font>
      <b/>
      <u/>
      <sz val="9"/>
      <name val="Arial"/>
      <family val="2"/>
    </font>
    <font>
      <i/>
      <sz val="9"/>
      <name val="Arial"/>
      <family val="2"/>
    </font>
    <font>
      <b/>
      <u/>
      <sz val="9"/>
      <color indexed="12"/>
      <name val="Arial"/>
      <family val="2"/>
    </font>
    <font>
      <sz val="9"/>
      <color indexed="10"/>
      <name val="Arial"/>
      <family val="2"/>
    </font>
    <font>
      <u/>
      <sz val="9"/>
      <name val="Arial"/>
      <family val="2"/>
    </font>
    <font>
      <sz val="9"/>
      <name val="Times New Roman"/>
      <family val="1"/>
    </font>
    <font>
      <b/>
      <i/>
      <sz val="8"/>
      <name val="Arial"/>
      <family val="2"/>
    </font>
    <font>
      <b/>
      <sz val="9"/>
      <color indexed="12"/>
      <name val="Arial"/>
      <family val="2"/>
    </font>
    <font>
      <i/>
      <sz val="9"/>
      <color indexed="12"/>
      <name val="Arial"/>
      <family val="2"/>
    </font>
    <font>
      <sz val="7"/>
      <name val="Arial"/>
      <family val="2"/>
    </font>
    <font>
      <sz val="9"/>
      <color indexed="8"/>
      <name val="Arial"/>
      <family val="2"/>
    </font>
    <font>
      <b/>
      <sz val="9"/>
      <color indexed="8"/>
      <name val="Arial"/>
      <family val="2"/>
    </font>
    <font>
      <b/>
      <u/>
      <sz val="9"/>
      <color indexed="8"/>
      <name val="Arial"/>
      <family val="2"/>
    </font>
    <font>
      <u/>
      <sz val="9"/>
      <color indexed="8"/>
      <name val="Arial"/>
      <family val="2"/>
    </font>
    <font>
      <sz val="9"/>
      <color indexed="17"/>
      <name val="Arial"/>
      <family val="2"/>
    </font>
    <font>
      <sz val="9"/>
      <color indexed="57"/>
      <name val="Arial"/>
      <family val="2"/>
    </font>
    <font>
      <i/>
      <sz val="6"/>
      <name val="Arial"/>
      <family val="2"/>
    </font>
    <font>
      <b/>
      <i/>
      <sz val="10"/>
      <name val="Arial"/>
      <family val="2"/>
    </font>
    <font>
      <i/>
      <sz val="6"/>
      <color indexed="10"/>
      <name val="Arial"/>
      <family val="2"/>
    </font>
    <font>
      <sz val="10"/>
      <color indexed="21"/>
      <name val="Arial"/>
      <family val="2"/>
    </font>
    <font>
      <sz val="8"/>
      <color indexed="50"/>
      <name val="Arial"/>
      <family val="2"/>
    </font>
    <font>
      <sz val="10"/>
      <color indexed="17"/>
      <name val="Arial"/>
      <family val="2"/>
    </font>
    <font>
      <sz val="10"/>
      <color indexed="61"/>
      <name val="Arial"/>
      <family val="2"/>
    </font>
    <font>
      <sz val="8"/>
      <name val="Arial"/>
      <family val="2"/>
    </font>
    <font>
      <sz val="10"/>
      <color indexed="56"/>
      <name val="Arial"/>
      <family val="2"/>
    </font>
    <font>
      <sz val="8"/>
      <color indexed="21"/>
      <name val="Arial"/>
      <family val="2"/>
    </font>
    <font>
      <b/>
      <u/>
      <sz val="10"/>
      <color indexed="12"/>
      <name val="Arial"/>
      <family val="2"/>
    </font>
    <font>
      <sz val="8"/>
      <color indexed="20"/>
      <name val="Arial"/>
      <family val="2"/>
    </font>
    <font>
      <sz val="10"/>
      <color indexed="12"/>
      <name val="Arial"/>
      <family val="2"/>
    </font>
    <font>
      <i/>
      <sz val="8"/>
      <name val="CIR Trade Gothic Cn"/>
    </font>
    <font>
      <b/>
      <u/>
      <sz val="8.5"/>
      <color indexed="12"/>
      <name val="CIR Trade Gothic Cn"/>
    </font>
    <font>
      <i/>
      <sz val="7"/>
      <name val="Arial"/>
      <family val="2"/>
    </font>
    <font>
      <i/>
      <sz val="7"/>
      <color indexed="10"/>
      <name val="Arial"/>
      <family val="2"/>
    </font>
    <font>
      <sz val="8.5"/>
      <color indexed="12"/>
      <name val="Arial"/>
      <family val="2"/>
    </font>
    <font>
      <sz val="8"/>
      <color indexed="81"/>
      <name val="Tahoma"/>
      <family val="2"/>
      <charset val="186"/>
    </font>
    <font>
      <b/>
      <sz val="8"/>
      <color indexed="81"/>
      <name val="Tahoma"/>
      <family val="2"/>
      <charset val="186"/>
    </font>
    <font>
      <sz val="10"/>
      <color indexed="50"/>
      <name val="Arial"/>
      <family val="2"/>
    </font>
    <font>
      <i/>
      <sz val="7"/>
      <color indexed="12"/>
      <name val="Arial"/>
      <family val="2"/>
    </font>
    <font>
      <i/>
      <sz val="7"/>
      <color indexed="21"/>
      <name val="Arial"/>
      <family val="2"/>
    </font>
    <font>
      <b/>
      <sz val="9"/>
      <color indexed="59"/>
      <name val="Arial"/>
      <family val="2"/>
    </font>
    <font>
      <b/>
      <u/>
      <sz val="9"/>
      <color indexed="59"/>
      <name val="Arial"/>
      <family val="2"/>
    </font>
    <font>
      <sz val="10"/>
      <color indexed="23"/>
      <name val="Arial"/>
      <family val="2"/>
    </font>
    <font>
      <sz val="9"/>
      <color indexed="23"/>
      <name val="Arial"/>
      <family val="2"/>
    </font>
    <font>
      <sz val="10"/>
      <color indexed="22"/>
      <name val="Arial"/>
      <family val="2"/>
    </font>
    <font>
      <sz val="10"/>
      <color indexed="8"/>
      <name val="Arial"/>
      <family val="2"/>
    </font>
    <font>
      <sz val="10"/>
      <color indexed="55"/>
      <name val="Arial"/>
      <family val="2"/>
    </font>
    <font>
      <sz val="10"/>
      <color indexed="20"/>
      <name val="Arial"/>
      <family val="2"/>
    </font>
    <font>
      <sz val="7"/>
      <color indexed="51"/>
      <name val="Arial"/>
      <family val="2"/>
    </font>
    <font>
      <b/>
      <u/>
      <sz val="7"/>
      <name val="Arial"/>
      <family val="2"/>
    </font>
    <font>
      <b/>
      <sz val="7"/>
      <name val="Arial"/>
      <family val="2"/>
    </font>
    <font>
      <i/>
      <sz val="8"/>
      <color indexed="12"/>
      <name val="Arial"/>
      <family val="2"/>
    </font>
    <font>
      <i/>
      <sz val="8"/>
      <color indexed="17"/>
      <name val="Arial"/>
      <family val="2"/>
    </font>
    <font>
      <sz val="6"/>
      <name val="Arial"/>
      <family val="2"/>
    </font>
    <font>
      <i/>
      <sz val="10"/>
      <color indexed="12"/>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8"/>
      <color indexed="9"/>
      <name val="Arial"/>
      <family val="2"/>
    </font>
    <font>
      <b/>
      <sz val="14"/>
      <color indexed="18"/>
      <name val="Arial"/>
      <family val="2"/>
    </font>
    <font>
      <sz val="10"/>
      <color indexed="9"/>
      <name val="Arial"/>
      <family val="2"/>
    </font>
    <font>
      <b/>
      <sz val="10"/>
      <color indexed="9"/>
      <name val="Arial"/>
      <family val="2"/>
    </font>
    <font>
      <b/>
      <sz val="12"/>
      <color indexed="12"/>
      <name val="Arial"/>
      <family val="2"/>
    </font>
    <font>
      <sz val="10"/>
      <color indexed="53"/>
      <name val="Arial"/>
      <family val="2"/>
    </font>
    <font>
      <i/>
      <sz val="10"/>
      <color indexed="9"/>
      <name val="Arial"/>
      <family val="2"/>
    </font>
    <font>
      <b/>
      <i/>
      <sz val="10"/>
      <color indexed="12"/>
      <name val="Arial"/>
      <family val="2"/>
    </font>
    <font>
      <u/>
      <sz val="8"/>
      <color indexed="81"/>
      <name val="Tahoma"/>
      <family val="2"/>
    </font>
    <font>
      <b/>
      <sz val="8"/>
      <color indexed="9"/>
      <name val="Arial"/>
      <family val="2"/>
    </font>
    <font>
      <b/>
      <sz val="8"/>
      <color indexed="8"/>
      <name val="Arial"/>
      <family val="2"/>
    </font>
    <font>
      <sz val="11"/>
      <name val="Arial"/>
      <family val="2"/>
    </font>
    <font>
      <sz val="8"/>
      <color indexed="9"/>
      <name val="Arial"/>
      <family val="2"/>
    </font>
    <font>
      <sz val="8"/>
      <color indexed="22"/>
      <name val="Arial"/>
      <family val="2"/>
    </font>
    <font>
      <b/>
      <sz val="8"/>
      <color indexed="12"/>
      <name val="Arial"/>
      <family val="2"/>
    </font>
    <font>
      <sz val="9"/>
      <name val="Arial"/>
      <family val="2"/>
    </font>
    <font>
      <sz val="10"/>
      <color indexed="43"/>
      <name val="Arial"/>
      <family val="2"/>
    </font>
    <font>
      <b/>
      <sz val="10"/>
      <color indexed="22"/>
      <name val="Arial"/>
      <family val="2"/>
    </font>
    <font>
      <i/>
      <sz val="10"/>
      <color indexed="22"/>
      <name val="Arial"/>
      <family val="2"/>
    </font>
    <font>
      <b/>
      <sz val="7"/>
      <color indexed="81"/>
      <name val="Tahoma"/>
      <family val="2"/>
    </font>
    <font>
      <sz val="7"/>
      <color indexed="81"/>
      <name val="Tahoma"/>
      <family val="2"/>
    </font>
    <font>
      <sz val="8"/>
      <color indexed="23"/>
      <name val="Arial"/>
      <family val="2"/>
    </font>
    <font>
      <sz val="8"/>
      <color indexed="55"/>
      <name val="Arial"/>
      <family val="2"/>
    </font>
    <font>
      <b/>
      <u/>
      <sz val="8"/>
      <color indexed="23"/>
      <name val="Arial"/>
      <family val="2"/>
    </font>
    <font>
      <b/>
      <sz val="8"/>
      <color indexed="62"/>
      <name val="Arial"/>
      <family val="2"/>
    </font>
    <font>
      <sz val="10"/>
      <name val="ＭＳ Ｐゴシック"/>
      <family val="3"/>
      <charset val="128"/>
    </font>
    <font>
      <sz val="9"/>
      <color indexed="81"/>
      <name val="Tahoma"/>
      <family val="2"/>
    </font>
    <font>
      <b/>
      <sz val="9"/>
      <color indexed="81"/>
      <name val="Tahoma"/>
      <family val="2"/>
    </font>
    <font>
      <sz val="8"/>
      <color indexed="62"/>
      <name val="Arial"/>
      <family val="2"/>
    </font>
    <font>
      <sz val="8"/>
      <color indexed="9"/>
      <name val="Arial"/>
      <family val="2"/>
    </font>
    <font>
      <sz val="10"/>
      <color indexed="9"/>
      <name val="Arial"/>
      <family val="2"/>
    </font>
    <font>
      <sz val="8"/>
      <name val="Arial"/>
      <family val="2"/>
    </font>
    <font>
      <b/>
      <i/>
      <sz val="9"/>
      <name val="Arial"/>
      <family val="2"/>
    </font>
    <font>
      <sz val="10"/>
      <name val="Arial"/>
      <family val="2"/>
    </font>
    <font>
      <sz val="10"/>
      <color indexed="23"/>
      <name val="Arial"/>
      <family val="2"/>
    </font>
    <font>
      <sz val="8"/>
      <color indexed="56"/>
      <name val="Arial"/>
      <family val="2"/>
    </font>
    <font>
      <sz val="10"/>
      <color indexed="51"/>
      <name val="Arial"/>
      <family val="2"/>
    </font>
    <font>
      <sz val="10"/>
      <color indexed="56"/>
      <name val="Arial"/>
      <family val="2"/>
    </font>
    <font>
      <sz val="10"/>
      <color indexed="9"/>
      <name val="Arial"/>
      <family val="2"/>
    </font>
    <font>
      <sz val="8"/>
      <color indexed="9"/>
      <name val="Arial"/>
      <family val="2"/>
    </font>
    <font>
      <sz val="10"/>
      <color indexed="56"/>
      <name val="Arial"/>
      <family val="2"/>
    </font>
    <font>
      <i/>
      <sz val="8"/>
      <color indexed="9"/>
      <name val="Arial"/>
      <family val="2"/>
    </font>
    <font>
      <sz val="10"/>
      <color indexed="10"/>
      <name val="Arial"/>
      <family val="2"/>
    </font>
    <font>
      <sz val="8"/>
      <color indexed="62"/>
      <name val="Arial"/>
      <family val="2"/>
    </font>
    <font>
      <sz val="10"/>
      <color indexed="62"/>
      <name val="Arial"/>
      <family val="2"/>
    </font>
    <font>
      <sz val="9"/>
      <color indexed="62"/>
      <name val="Arial"/>
      <family val="2"/>
    </font>
    <font>
      <sz val="8"/>
      <color indexed="12"/>
      <name val="Arial"/>
      <family val="2"/>
    </font>
    <font>
      <b/>
      <u/>
      <sz val="9"/>
      <color indexed="12"/>
      <name val="Arial"/>
      <family val="2"/>
    </font>
    <font>
      <sz val="9"/>
      <color indexed="12"/>
      <name val="Arial"/>
      <family val="2"/>
    </font>
    <font>
      <sz val="10"/>
      <color indexed="12"/>
      <name val="Arial"/>
      <family val="2"/>
    </font>
    <font>
      <sz val="10"/>
      <color indexed="51"/>
      <name val="Arial"/>
      <family val="2"/>
    </font>
    <font>
      <b/>
      <sz val="8"/>
      <color indexed="12"/>
      <name val="Arial"/>
      <family val="2"/>
    </font>
    <font>
      <sz val="8"/>
      <color indexed="17"/>
      <name val="Arial"/>
      <family val="2"/>
    </font>
    <font>
      <i/>
      <sz val="8"/>
      <color indexed="12"/>
      <name val="Arial"/>
      <family val="2"/>
    </font>
    <font>
      <sz val="8"/>
      <color indexed="12"/>
      <name val="Arial"/>
      <family val="2"/>
    </font>
    <font>
      <sz val="9"/>
      <color indexed="12"/>
      <name val="Arial"/>
      <family val="2"/>
    </font>
    <font>
      <sz val="10"/>
      <color indexed="12"/>
      <name val="Arial"/>
      <family val="2"/>
    </font>
    <font>
      <sz val="8"/>
      <color indexed="17"/>
      <name val="Arial"/>
      <family val="2"/>
    </font>
    <font>
      <sz val="8"/>
      <color indexed="12"/>
      <name val="Arial"/>
      <family val="2"/>
    </font>
    <font>
      <sz val="10"/>
      <color indexed="12"/>
      <name val="Arial"/>
      <family val="2"/>
    </font>
    <font>
      <sz val="8"/>
      <color rgb="FF0000FF"/>
      <name val="Arial"/>
      <family val="2"/>
    </font>
    <font>
      <sz val="10"/>
      <color rgb="FF0000FF"/>
      <name val="Arial"/>
      <family val="2"/>
    </font>
    <font>
      <b/>
      <sz val="9"/>
      <color rgb="FF0000FF"/>
      <name val="Arial"/>
      <family val="2"/>
    </font>
    <font>
      <b/>
      <sz val="8"/>
      <color rgb="FF0000FF"/>
      <name val="Arial"/>
      <family val="2"/>
    </font>
    <font>
      <b/>
      <u/>
      <sz val="9"/>
      <color rgb="FF0000FF"/>
      <name val="Arial"/>
      <family val="2"/>
    </font>
    <font>
      <sz val="8"/>
      <color rgb="FF008000"/>
      <name val="Arial"/>
      <family val="2"/>
    </font>
    <font>
      <sz val="9"/>
      <color rgb="FF0000FF"/>
      <name val="Arial"/>
      <family val="2"/>
    </font>
    <font>
      <sz val="10"/>
      <name val="Arial Unicode MS"/>
      <family val="2"/>
    </font>
    <font>
      <b/>
      <sz val="12"/>
      <color rgb="FF000080"/>
      <name val="Arial"/>
      <family val="2"/>
    </font>
  </fonts>
  <fills count="16">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1"/>
        <bgColor indexed="64"/>
      </patternFill>
    </fill>
    <fill>
      <patternFill patternType="solid">
        <fgColor indexed="13"/>
        <bgColor indexed="64"/>
      </patternFill>
    </fill>
    <fill>
      <patternFill patternType="solid">
        <fgColor indexed="44"/>
        <bgColor indexed="64"/>
      </patternFill>
    </fill>
    <fill>
      <patternFill patternType="solid">
        <fgColor indexed="46"/>
        <bgColor indexed="64"/>
      </patternFill>
    </fill>
    <fill>
      <patternFill patternType="solid">
        <fgColor indexed="48"/>
        <bgColor indexed="64"/>
      </patternFill>
    </fill>
    <fill>
      <patternFill patternType="solid">
        <fgColor indexed="53"/>
        <bgColor indexed="64"/>
      </patternFill>
    </fill>
    <fill>
      <patternFill patternType="solid">
        <fgColor rgb="FFFFFF00"/>
        <bgColor indexed="64"/>
      </patternFill>
    </fill>
    <fill>
      <patternFill patternType="solid">
        <fgColor theme="0" tint="-0.249977111117893"/>
        <bgColor indexed="64"/>
      </patternFill>
    </fill>
    <fill>
      <patternFill patternType="solid">
        <fgColor indexed="65"/>
        <bgColor indexed="64"/>
      </patternFill>
    </fill>
  </fills>
  <borders count="43">
    <border>
      <left/>
      <right/>
      <top/>
      <bottom/>
      <diagonal/>
    </border>
    <border>
      <left style="thin">
        <color indexed="64"/>
      </left>
      <right/>
      <top/>
      <bottom/>
      <diagonal/>
    </border>
    <border>
      <left/>
      <right/>
      <top/>
      <bottom style="thin">
        <color indexed="64"/>
      </bottom>
      <diagonal/>
    </border>
    <border>
      <left/>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medium">
        <color indexed="64"/>
      </top>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right/>
      <top style="thin">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top/>
      <bottom style="double">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47">
    <xf numFmtId="0" fontId="0" fillId="0" borderId="0"/>
    <xf numFmtId="0" fontId="1" fillId="0" borderId="0"/>
    <xf numFmtId="0" fontId="1" fillId="0" borderId="0"/>
    <xf numFmtId="0" fontId="125" fillId="0" borderId="0" applyNumberFormat="0" applyFont="0" applyFill="0" applyBorder="0" applyAlignment="0" applyProtection="0"/>
    <xf numFmtId="0" fontId="8" fillId="0" borderId="0" applyFill="0" applyAlignment="0">
      <protection locked="0"/>
    </xf>
    <xf numFmtId="0" fontId="1" fillId="2" borderId="0" applyNumberFormat="0" applyFont="0" applyBorder="0" applyAlignment="0" applyProtection="0"/>
    <xf numFmtId="0" fontId="1" fillId="0" borderId="0"/>
    <xf numFmtId="0" fontId="87" fillId="0" borderId="0"/>
    <xf numFmtId="0" fontId="87" fillId="0" borderId="0"/>
    <xf numFmtId="0" fontId="88" fillId="0" borderId="0"/>
    <xf numFmtId="43" fontId="1" fillId="0" borderId="0" applyFont="0" applyFill="0" applyBorder="0" applyAlignment="0" applyProtection="0"/>
    <xf numFmtId="43" fontId="8" fillId="0" borderId="0" applyFont="0" applyFill="0" applyBorder="0" applyAlignment="0" applyProtection="0"/>
    <xf numFmtId="43" fontId="125"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1" fillId="0" borderId="0" applyFont="0" applyFill="0" applyBorder="0" applyAlignment="0" applyProtection="0"/>
    <xf numFmtId="0" fontId="125" fillId="0" borderId="0" applyNumberFormat="0" applyFill="0" applyBorder="0" applyAlignment="0" applyProtection="0">
      <alignment vertical="top"/>
      <protection locked="0"/>
    </xf>
    <xf numFmtId="0" fontId="8" fillId="0" borderId="0"/>
    <xf numFmtId="0" fontId="8" fillId="0" borderId="0"/>
    <xf numFmtId="0" fontId="2" fillId="0" borderId="0"/>
    <xf numFmtId="0" fontId="8" fillId="0" borderId="0"/>
    <xf numFmtId="0" fontId="1" fillId="0" borderId="0"/>
    <xf numFmtId="37" fontId="3" fillId="0" borderId="0"/>
    <xf numFmtId="0" fontId="3" fillId="0" borderId="0"/>
    <xf numFmtId="183" fontId="5" fillId="0" borderId="0" applyNumberFormat="0" applyBorder="0" applyAlignment="0">
      <alignment horizontal="left"/>
    </xf>
    <xf numFmtId="0" fontId="38" fillId="0" borderId="0"/>
    <xf numFmtId="0" fontId="4" fillId="0" borderId="0"/>
    <xf numFmtId="0" fontId="4" fillId="0" borderId="0"/>
    <xf numFmtId="0" fontId="3" fillId="0" borderId="0"/>
    <xf numFmtId="37" fontId="3" fillId="0" borderId="0"/>
    <xf numFmtId="37" fontId="3" fillId="0" borderId="0"/>
    <xf numFmtId="0" fontId="8" fillId="0" borderId="0"/>
    <xf numFmtId="0" fontId="1" fillId="0" borderId="0"/>
    <xf numFmtId="183" fontId="3" fillId="0" borderId="0"/>
    <xf numFmtId="0" fontId="6" fillId="0" borderId="0"/>
    <xf numFmtId="0" fontId="8" fillId="0" borderId="0"/>
    <xf numFmtId="0" fontId="89" fillId="0" borderId="0">
      <alignment vertical="center"/>
    </xf>
    <xf numFmtId="9" fontId="1" fillId="0" borderId="0" applyFont="0" applyFill="0" applyBorder="0" applyAlignment="0" applyProtection="0"/>
    <xf numFmtId="9" fontId="8" fillId="0" borderId="0" applyFont="0" applyFill="0" applyBorder="0" applyAlignment="0" applyProtection="0"/>
    <xf numFmtId="9" fontId="125" fillId="0" borderId="0" applyFont="0" applyFill="0" applyBorder="0" applyAlignment="0" applyProtection="0"/>
    <xf numFmtId="9" fontId="8" fillId="0" borderId="0" applyFont="0" applyFill="0" applyBorder="0" applyAlignment="0" applyProtection="0"/>
    <xf numFmtId="0" fontId="90" fillId="0" borderId="0"/>
    <xf numFmtId="0" fontId="90" fillId="0" borderId="13">
      <alignment horizontal="centerContinuous"/>
    </xf>
    <xf numFmtId="0" fontId="91" fillId="0" borderId="13"/>
    <xf numFmtId="0" fontId="4" fillId="5" borderId="9" applyNumberFormat="0" applyProtection="0">
      <alignment wrapText="1"/>
    </xf>
    <xf numFmtId="172" fontId="7" fillId="0" borderId="0"/>
    <xf numFmtId="0" fontId="3" fillId="0" borderId="0"/>
  </cellStyleXfs>
  <cellXfs count="2508">
    <xf numFmtId="0" fontId="0" fillId="0" borderId="0" xfId="0"/>
    <xf numFmtId="0" fontId="1" fillId="0" borderId="0" xfId="1"/>
    <xf numFmtId="0" fontId="4" fillId="0" borderId="17" xfId="31" applyFont="1" applyBorder="1" applyAlignment="1">
      <alignment wrapText="1"/>
    </xf>
    <xf numFmtId="0" fontId="92" fillId="0" borderId="10" xfId="31" applyFont="1" applyBorder="1"/>
    <xf numFmtId="0" fontId="93" fillId="5" borderId="10" xfId="27" applyFont="1" applyFill="1" applyBorder="1" applyAlignment="1">
      <alignment vertical="center"/>
    </xf>
    <xf numFmtId="0" fontId="4" fillId="0" borderId="10" xfId="31" applyFont="1" applyBorder="1"/>
    <xf numFmtId="0" fontId="4" fillId="0" borderId="10" xfId="31" applyFont="1" applyBorder="1" applyAlignment="1">
      <alignment horizontal="right"/>
    </xf>
    <xf numFmtId="0" fontId="92" fillId="0" borderId="10" xfId="31" applyFont="1" applyBorder="1" applyAlignment="1">
      <alignment horizontal="right"/>
    </xf>
    <xf numFmtId="0" fontId="4" fillId="0" borderId="18" xfId="31" applyFont="1" applyBorder="1"/>
    <xf numFmtId="0" fontId="4" fillId="0" borderId="0" xfId="31" applyFont="1"/>
    <xf numFmtId="0" fontId="105" fillId="0" borderId="4" xfId="31" applyFont="1" applyBorder="1"/>
    <xf numFmtId="0" fontId="8" fillId="2" borderId="0" xfId="31" applyFont="1" applyFill="1" applyAlignment="1">
      <alignment wrapText="1"/>
    </xf>
    <xf numFmtId="0" fontId="94" fillId="2" borderId="0" xfId="31" applyFont="1" applyFill="1"/>
    <xf numFmtId="0" fontId="8" fillId="2" borderId="0" xfId="31" applyFont="1" applyFill="1" applyBorder="1"/>
    <xf numFmtId="0" fontId="8" fillId="2" borderId="0" xfId="31" applyFont="1" applyFill="1" applyAlignment="1">
      <alignment horizontal="right"/>
    </xf>
    <xf numFmtId="0" fontId="108" fillId="2" borderId="0" xfId="31" applyFont="1" applyFill="1" applyAlignment="1">
      <alignment horizontal="right"/>
    </xf>
    <xf numFmtId="0" fontId="8" fillId="2" borderId="0" xfId="31" applyFont="1" applyFill="1"/>
    <xf numFmtId="0" fontId="8" fillId="0" borderId="0" xfId="31" applyFont="1"/>
    <xf numFmtId="0" fontId="76" fillId="0" borderId="4" xfId="31" applyFont="1" applyBorder="1"/>
    <xf numFmtId="0" fontId="8" fillId="0" borderId="0" xfId="31" applyFont="1" applyFill="1" applyAlignment="1">
      <alignment wrapText="1"/>
    </xf>
    <xf numFmtId="0" fontId="94" fillId="0" borderId="0" xfId="31" applyFont="1" applyFill="1"/>
    <xf numFmtId="0" fontId="8" fillId="0" borderId="0" xfId="31" applyFont="1" applyFill="1" applyBorder="1"/>
    <xf numFmtId="0" fontId="8" fillId="0" borderId="0" xfId="31" applyFont="1" applyFill="1" applyAlignment="1">
      <alignment horizontal="right"/>
    </xf>
    <xf numFmtId="0" fontId="117" fillId="6" borderId="19" xfId="31" applyFont="1" applyFill="1" applyBorder="1" applyAlignment="1">
      <alignment horizontal="center"/>
    </xf>
    <xf numFmtId="0" fontId="12" fillId="3" borderId="19" xfId="25" applyFont="1" applyFill="1" applyBorder="1" applyAlignment="1">
      <alignment horizontal="center"/>
    </xf>
    <xf numFmtId="0" fontId="8" fillId="0" borderId="0" xfId="31" applyFont="1" applyFill="1"/>
    <xf numFmtId="0" fontId="8" fillId="5" borderId="0" xfId="31" applyFont="1" applyFill="1" applyBorder="1" applyAlignment="1">
      <alignment horizontal="left"/>
    </xf>
    <xf numFmtId="0" fontId="8" fillId="5" borderId="0" xfId="31" applyFont="1" applyFill="1" applyBorder="1" applyAlignment="1">
      <alignment horizontal="right"/>
    </xf>
    <xf numFmtId="0" fontId="78" fillId="5" borderId="0" xfId="31" applyFont="1" applyFill="1" applyBorder="1" applyAlignment="1">
      <alignment horizontal="right"/>
    </xf>
    <xf numFmtId="0" fontId="78" fillId="0" borderId="0" xfId="31" applyFont="1" applyFill="1" applyAlignment="1">
      <alignment horizontal="right"/>
    </xf>
    <xf numFmtId="0" fontId="76" fillId="0" borderId="0" xfId="31" applyFont="1" applyFill="1" applyAlignment="1">
      <alignment horizontal="right"/>
    </xf>
    <xf numFmtId="0" fontId="76" fillId="0" borderId="4" xfId="31" applyFont="1" applyFill="1" applyBorder="1"/>
    <xf numFmtId="0" fontId="8" fillId="0" borderId="0" xfId="31" applyFont="1" applyAlignment="1">
      <alignment wrapText="1"/>
    </xf>
    <xf numFmtId="0" fontId="94" fillId="0" borderId="0" xfId="31" applyFont="1"/>
    <xf numFmtId="0" fontId="28" fillId="0" borderId="0" xfId="27" applyFont="1" applyFill="1" applyBorder="1"/>
    <xf numFmtId="0" fontId="20" fillId="0" borderId="0" xfId="25" applyFont="1" applyFill="1" applyBorder="1"/>
    <xf numFmtId="0" fontId="11" fillId="0" borderId="0" xfId="44" applyNumberFormat="1" applyFont="1" applyFill="1" applyBorder="1" applyAlignment="1">
      <alignment horizontal="center" wrapText="1"/>
    </xf>
    <xf numFmtId="0" fontId="94" fillId="0" borderId="0" xfId="31" applyFont="1" applyFill="1" applyBorder="1"/>
    <xf numFmtId="14" fontId="92" fillId="0" borderId="0" xfId="25" applyNumberFormat="1" applyFont="1" applyFill="1" applyAlignment="1">
      <alignment horizontal="right"/>
    </xf>
    <xf numFmtId="14" fontId="121" fillId="0" borderId="0" xfId="25" applyNumberFormat="1" applyFont="1" applyFill="1" applyAlignment="1">
      <alignment horizontal="right"/>
    </xf>
    <xf numFmtId="0" fontId="8" fillId="0" borderId="0" xfId="31" applyFont="1" applyAlignment="1">
      <alignment horizontal="right"/>
    </xf>
    <xf numFmtId="0" fontId="28" fillId="0" borderId="0" xfId="27" applyFont="1" applyBorder="1"/>
    <xf numFmtId="0" fontId="20" fillId="0" borderId="0" xfId="25" applyFont="1" applyBorder="1"/>
    <xf numFmtId="0" fontId="8" fillId="0" borderId="0" xfId="31" applyFont="1" applyBorder="1"/>
    <xf numFmtId="1" fontId="96" fillId="0" borderId="0" xfId="44" applyNumberFormat="1" applyFont="1" applyFill="1" applyBorder="1" applyAlignment="1">
      <alignment horizontal="center" wrapText="1"/>
    </xf>
    <xf numFmtId="0" fontId="94" fillId="0" borderId="0" xfId="31" applyFont="1" applyAlignment="1">
      <alignment horizontal="right"/>
    </xf>
    <xf numFmtId="0" fontId="105" fillId="5" borderId="4" xfId="27" applyFont="1" applyFill="1" applyBorder="1"/>
    <xf numFmtId="0" fontId="95" fillId="0" borderId="0" xfId="25" applyFont="1" applyBorder="1"/>
    <xf numFmtId="0" fontId="8" fillId="0" borderId="0" xfId="31" applyNumberFormat="1" applyFont="1" applyBorder="1"/>
    <xf numFmtId="0" fontId="122" fillId="5" borderId="0" xfId="31" applyFont="1" applyFill="1" applyAlignment="1">
      <alignment horizontal="right"/>
    </xf>
    <xf numFmtId="0" fontId="94" fillId="5" borderId="0" xfId="31" applyFont="1" applyFill="1" applyAlignment="1">
      <alignment horizontal="right"/>
    </xf>
    <xf numFmtId="0" fontId="94" fillId="0" borderId="0" xfId="31" applyFont="1" applyAlignment="1">
      <alignment wrapText="1"/>
    </xf>
    <xf numFmtId="1" fontId="8" fillId="0" borderId="0" xfId="25" applyNumberFormat="1" applyFont="1" applyBorder="1" applyAlignment="1">
      <alignment horizontal="right"/>
    </xf>
    <xf numFmtId="37" fontId="28" fillId="0" borderId="0" xfId="27" applyNumberFormat="1" applyFont="1" applyFill="1" applyBorder="1"/>
    <xf numFmtId="188" fontId="11" fillId="0" borderId="0" xfId="26" applyNumberFormat="1" applyFont="1" applyFill="1" applyBorder="1"/>
    <xf numFmtId="252" fontId="11" fillId="0" borderId="5" xfId="25" applyNumberFormat="1" applyFont="1" applyBorder="1" applyAlignment="1">
      <alignment horizontal="right"/>
    </xf>
    <xf numFmtId="37" fontId="11" fillId="0" borderId="0" xfId="27" applyNumberFormat="1" applyFont="1" applyFill="1" applyBorder="1"/>
    <xf numFmtId="188" fontId="8" fillId="0" borderId="0" xfId="26" applyNumberFormat="1" applyFont="1" applyFill="1" applyBorder="1"/>
    <xf numFmtId="182" fontId="8" fillId="0" borderId="0" xfId="31" applyNumberFormat="1" applyFont="1" applyAlignment="1">
      <alignment horizontal="right"/>
    </xf>
    <xf numFmtId="0" fontId="8" fillId="0" borderId="0" xfId="26" applyFont="1" applyFill="1" applyBorder="1"/>
    <xf numFmtId="241" fontId="8" fillId="0" borderId="0" xfId="14" applyNumberFormat="1" applyFont="1" applyFill="1" applyBorder="1" applyAlignment="1">
      <alignment horizontal="right"/>
    </xf>
    <xf numFmtId="241" fontId="8" fillId="0" borderId="0" xfId="14" applyNumberFormat="1" applyFont="1" applyFill="1" applyAlignment="1">
      <alignment horizontal="right"/>
    </xf>
    <xf numFmtId="188" fontId="8" fillId="0" borderId="0" xfId="26" applyNumberFormat="1" applyFont="1" applyFill="1" applyBorder="1" applyAlignment="1" applyProtection="1">
      <alignment horizontal="left"/>
    </xf>
    <xf numFmtId="241" fontId="8" fillId="0" borderId="2" xfId="14" applyNumberFormat="1" applyFont="1" applyFill="1" applyBorder="1" applyAlignment="1">
      <alignment horizontal="right"/>
    </xf>
    <xf numFmtId="0" fontId="11" fillId="0" borderId="0" xfId="26" applyFont="1" applyFill="1" applyBorder="1"/>
    <xf numFmtId="241" fontId="11" fillId="0" borderId="0" xfId="14" applyNumberFormat="1" applyFont="1" applyFill="1" applyAlignment="1">
      <alignment horizontal="right"/>
    </xf>
    <xf numFmtId="182" fontId="8" fillId="0" borderId="0" xfId="31" applyNumberFormat="1" applyFont="1" applyFill="1" applyBorder="1" applyAlignment="1">
      <alignment horizontal="right"/>
    </xf>
    <xf numFmtId="182" fontId="8" fillId="0" borderId="0" xfId="31" applyNumberFormat="1" applyFont="1" applyFill="1" applyAlignment="1">
      <alignment horizontal="right"/>
    </xf>
    <xf numFmtId="0" fontId="8" fillId="0" borderId="0" xfId="31" applyFont="1" applyBorder="1" applyAlignment="1">
      <alignment wrapText="1"/>
    </xf>
    <xf numFmtId="0" fontId="11" fillId="0" borderId="0" xfId="31" applyFont="1" applyFill="1" applyBorder="1"/>
    <xf numFmtId="244" fontId="11" fillId="0" borderId="0" xfId="20" applyNumberFormat="1" applyFont="1" applyFill="1" applyBorder="1" applyAlignment="1">
      <alignment horizontal="right"/>
    </xf>
    <xf numFmtId="243" fontId="20" fillId="0" borderId="0" xfId="25" applyNumberFormat="1" applyFont="1" applyFill="1" applyBorder="1" applyAlignment="1">
      <alignment horizontal="right"/>
    </xf>
    <xf numFmtId="0" fontId="94" fillId="0" borderId="0" xfId="31" applyFont="1" applyBorder="1"/>
    <xf numFmtId="0" fontId="8" fillId="0" borderId="0" xfId="26" applyFont="1" applyFill="1" applyBorder="1" applyAlignment="1">
      <alignment horizontal="left"/>
    </xf>
    <xf numFmtId="241" fontId="8" fillId="0" borderId="0" xfId="31" applyNumberFormat="1" applyFont="1" applyFill="1" applyAlignment="1">
      <alignment horizontal="right"/>
    </xf>
    <xf numFmtId="241" fontId="94" fillId="0" borderId="0" xfId="31" applyNumberFormat="1" applyFont="1"/>
    <xf numFmtId="0" fontId="8" fillId="0" borderId="0" xfId="31" applyFont="1" applyFill="1" applyBorder="1" applyAlignment="1">
      <alignment horizontal="left" indent="1"/>
    </xf>
    <xf numFmtId="241" fontId="8" fillId="0" borderId="2" xfId="31" applyNumberFormat="1" applyFont="1" applyFill="1" applyBorder="1" applyAlignment="1">
      <alignment horizontal="right"/>
    </xf>
    <xf numFmtId="241" fontId="11" fillId="0" borderId="0" xfId="31" applyNumberFormat="1" applyFont="1" applyFill="1" applyAlignment="1">
      <alignment horizontal="right"/>
    </xf>
    <xf numFmtId="244" fontId="11" fillId="0" borderId="0" xfId="20" applyNumberFormat="1" applyFont="1" applyBorder="1" applyAlignment="1">
      <alignment horizontal="right"/>
    </xf>
    <xf numFmtId="243" fontId="20" fillId="0" borderId="0" xfId="25" applyNumberFormat="1" applyFont="1" applyBorder="1" applyAlignment="1">
      <alignment horizontal="right"/>
    </xf>
    <xf numFmtId="0" fontId="8" fillId="0" borderId="0" xfId="26" applyFont="1" applyFill="1" applyBorder="1" applyAlignment="1">
      <alignment horizontal="left" indent="1"/>
    </xf>
    <xf numFmtId="0" fontId="8" fillId="0" borderId="0" xfId="26" applyFont="1" applyFill="1" applyBorder="1" applyAlignment="1">
      <alignment horizontal="left" indent="2"/>
    </xf>
    <xf numFmtId="0" fontId="11" fillId="0" borderId="0" xfId="31" applyFont="1" applyAlignment="1">
      <alignment wrapText="1"/>
    </xf>
    <xf numFmtId="0" fontId="95" fillId="0" borderId="0" xfId="31" applyFont="1"/>
    <xf numFmtId="0" fontId="11" fillId="0" borderId="0" xfId="26" applyFont="1" applyFill="1" applyBorder="1" applyAlignment="1">
      <alignment horizontal="left" indent="1"/>
    </xf>
    <xf numFmtId="0" fontId="11" fillId="0" borderId="0" xfId="31" applyFont="1"/>
    <xf numFmtId="0" fontId="109" fillId="0" borderId="4" xfId="31" applyFont="1" applyBorder="1"/>
    <xf numFmtId="241" fontId="97" fillId="0" borderId="0" xfId="31" applyNumberFormat="1" applyFont="1" applyAlignment="1">
      <alignment horizontal="right"/>
    </xf>
    <xf numFmtId="0" fontId="8" fillId="5" borderId="0" xfId="31" applyFont="1" applyFill="1" applyAlignment="1">
      <alignment wrapText="1"/>
    </xf>
    <xf numFmtId="0" fontId="94" fillId="5" borderId="0" xfId="31" applyFont="1" applyFill="1"/>
    <xf numFmtId="0" fontId="8" fillId="5" borderId="0" xfId="31" applyFont="1" applyFill="1" applyBorder="1"/>
    <xf numFmtId="0" fontId="11" fillId="5" borderId="0" xfId="31" applyFont="1" applyFill="1" applyBorder="1"/>
    <xf numFmtId="9" fontId="20" fillId="5" borderId="12" xfId="38" applyFont="1" applyFill="1" applyBorder="1" applyAlignment="1">
      <alignment horizontal="right"/>
    </xf>
    <xf numFmtId="9" fontId="8" fillId="5" borderId="0" xfId="38" applyFont="1" applyFill="1" applyAlignment="1">
      <alignment horizontal="right"/>
    </xf>
    <xf numFmtId="9" fontId="8" fillId="5" borderId="0" xfId="38" applyFont="1" applyFill="1"/>
    <xf numFmtId="0" fontId="8" fillId="5" borderId="0" xfId="31" applyFont="1" applyFill="1"/>
    <xf numFmtId="0" fontId="76" fillId="5" borderId="4" xfId="31" applyFont="1" applyFill="1" applyBorder="1"/>
    <xf numFmtId="241" fontId="8" fillId="0" borderId="0" xfId="31" applyNumberFormat="1" applyFont="1" applyAlignment="1">
      <alignment horizontal="right"/>
    </xf>
    <xf numFmtId="0" fontId="11" fillId="0" borderId="0" xfId="26" applyFont="1" applyBorder="1"/>
    <xf numFmtId="0" fontId="11" fillId="0" borderId="0" xfId="31" applyFont="1" applyBorder="1" applyAlignment="1">
      <alignment horizontal="left" indent="1"/>
    </xf>
    <xf numFmtId="0" fontId="8" fillId="0" borderId="0" xfId="31" applyFont="1" applyBorder="1" applyAlignment="1">
      <alignment horizontal="left" indent="1"/>
    </xf>
    <xf numFmtId="168" fontId="8" fillId="0" borderId="0" xfId="31" applyNumberFormat="1" applyFont="1" applyAlignment="1">
      <alignment horizontal="right"/>
    </xf>
    <xf numFmtId="183" fontId="8" fillId="0" borderId="0" xfId="33" applyFont="1"/>
    <xf numFmtId="183" fontId="8" fillId="0" borderId="2" xfId="33" applyFont="1" applyBorder="1"/>
    <xf numFmtId="191" fontId="8" fillId="0" borderId="0" xfId="33" applyNumberFormat="1" applyFont="1" applyBorder="1" applyAlignment="1" applyProtection="1">
      <alignment horizontal="left"/>
    </xf>
    <xf numFmtId="183" fontId="8" fillId="0" borderId="0" xfId="33" applyNumberFormat="1" applyFont="1" applyProtection="1"/>
    <xf numFmtId="5" fontId="8" fillId="0" borderId="0" xfId="33" applyNumberFormat="1" applyFont="1" applyProtection="1"/>
    <xf numFmtId="168" fontId="8" fillId="0" borderId="0" xfId="33" applyNumberFormat="1" applyFont="1" applyProtection="1"/>
    <xf numFmtId="37" fontId="8" fillId="0" borderId="0" xfId="33" applyNumberFormat="1" applyFont="1" applyProtection="1"/>
    <xf numFmtId="183" fontId="8" fillId="0" borderId="0" xfId="33" applyNumberFormat="1" applyFont="1" applyFill="1" applyAlignment="1" applyProtection="1">
      <alignment horizontal="left"/>
    </xf>
    <xf numFmtId="196" fontId="8" fillId="0" borderId="0" xfId="33" applyNumberFormat="1" applyFont="1" applyProtection="1"/>
    <xf numFmtId="193" fontId="8" fillId="0" borderId="0" xfId="34" applyNumberFormat="1" applyFont="1" applyProtection="1"/>
    <xf numFmtId="183" fontId="8" fillId="0" borderId="0" xfId="33" applyFont="1" applyFill="1"/>
    <xf numFmtId="193" fontId="8" fillId="0" borderId="0" xfId="34" applyNumberFormat="1" applyFont="1" applyFill="1" applyProtection="1"/>
    <xf numFmtId="5" fontId="8" fillId="0" borderId="0" xfId="33" applyNumberFormat="1" applyFont="1" applyFill="1" applyProtection="1"/>
    <xf numFmtId="6" fontId="8" fillId="0" borderId="0" xfId="15" applyNumberFormat="1" applyFont="1"/>
    <xf numFmtId="183" fontId="8" fillId="0" borderId="0" xfId="33" quotePrefix="1" applyFont="1" applyFill="1"/>
    <xf numFmtId="168" fontId="8" fillId="0" borderId="0" xfId="37" applyNumberFormat="1" applyFont="1"/>
    <xf numFmtId="183" fontId="4" fillId="0" borderId="0" xfId="33" applyFont="1"/>
    <xf numFmtId="183" fontId="8" fillId="0" borderId="0" xfId="33" applyFont="1" applyAlignment="1">
      <alignment horizontal="left"/>
    </xf>
    <xf numFmtId="0" fontId="11" fillId="0" borderId="0" xfId="19" applyFont="1" applyFill="1" applyBorder="1"/>
    <xf numFmtId="170" fontId="8" fillId="0" borderId="0" xfId="19" applyNumberFormat="1" applyFont="1" applyFill="1" applyBorder="1"/>
    <xf numFmtId="170" fontId="8" fillId="0" borderId="2" xfId="19" applyNumberFormat="1" applyFont="1" applyFill="1" applyBorder="1"/>
    <xf numFmtId="0" fontId="8" fillId="0" borderId="0" xfId="19" applyFont="1" applyFill="1" applyBorder="1"/>
    <xf numFmtId="190" fontId="9" fillId="0" borderId="0" xfId="19" applyNumberFormat="1" applyFont="1" applyFill="1" applyBorder="1" applyAlignment="1">
      <alignment horizontal="right"/>
    </xf>
    <xf numFmtId="175" fontId="8" fillId="0" borderId="0" xfId="19" applyNumberFormat="1" applyFont="1" applyFill="1" applyBorder="1"/>
    <xf numFmtId="7" fontId="8" fillId="0" borderId="0" xfId="19" applyNumberFormat="1" applyFont="1" applyFill="1" applyBorder="1"/>
    <xf numFmtId="170" fontId="12" fillId="0" borderId="0" xfId="19" applyNumberFormat="1" applyFont="1" applyFill="1" applyBorder="1"/>
    <xf numFmtId="40" fontId="8" fillId="0" borderId="0" xfId="19" applyNumberFormat="1" applyFont="1" applyFill="1" applyBorder="1"/>
    <xf numFmtId="183" fontId="11" fillId="0" borderId="0" xfId="33" applyFont="1" applyBorder="1" applyAlignment="1" applyProtection="1">
      <alignment horizontal="left"/>
    </xf>
    <xf numFmtId="0" fontId="8" fillId="0" borderId="0" xfId="0" applyFont="1"/>
    <xf numFmtId="0" fontId="4" fillId="0" borderId="0" xfId="0" applyFont="1"/>
    <xf numFmtId="0" fontId="11" fillId="0" borderId="0" xfId="0" applyFont="1"/>
    <xf numFmtId="0" fontId="13" fillId="0" borderId="0" xfId="0" applyFont="1" applyAlignment="1" applyProtection="1">
      <alignment horizontal="left"/>
    </xf>
    <xf numFmtId="0" fontId="11" fillId="0" borderId="2" xfId="0" applyFont="1" applyBorder="1"/>
    <xf numFmtId="0" fontId="14" fillId="0" borderId="0" xfId="0" applyFont="1"/>
    <xf numFmtId="198" fontId="10" fillId="0" borderId="2" xfId="0" applyNumberFormat="1" applyFont="1" applyBorder="1" applyAlignment="1">
      <alignment horizontal="centerContinuous"/>
    </xf>
    <xf numFmtId="0" fontId="4" fillId="0" borderId="0" xfId="0" applyFont="1" applyBorder="1"/>
    <xf numFmtId="0" fontId="17" fillId="0" borderId="0" xfId="0" applyFont="1"/>
    <xf numFmtId="195" fontId="4" fillId="0" borderId="0" xfId="37" applyNumberFormat="1" applyFont="1"/>
    <xf numFmtId="185" fontId="4" fillId="0" borderId="0" xfId="0" applyNumberFormat="1" applyFont="1"/>
    <xf numFmtId="166" fontId="4" fillId="0" borderId="0" xfId="0" applyNumberFormat="1" applyFont="1"/>
    <xf numFmtId="181" fontId="4" fillId="0" borderId="0" xfId="0" applyNumberFormat="1" applyFont="1"/>
    <xf numFmtId="167" fontId="17" fillId="0" borderId="0" xfId="0" applyNumberFormat="1" applyFont="1"/>
    <xf numFmtId="167" fontId="4" fillId="0" borderId="0" xfId="0" applyNumberFormat="1" applyFont="1"/>
    <xf numFmtId="166" fontId="4" fillId="0" borderId="2" xfId="0" applyNumberFormat="1" applyFont="1" applyBorder="1"/>
    <xf numFmtId="4" fontId="4" fillId="0" borderId="0" xfId="0" applyNumberFormat="1" applyFont="1"/>
    <xf numFmtId="4" fontId="4" fillId="0" borderId="2" xfId="0" applyNumberFormat="1" applyFont="1" applyBorder="1"/>
    <xf numFmtId="199" fontId="4" fillId="0" borderId="0" xfId="0" applyNumberFormat="1" applyFont="1" applyAlignment="1">
      <alignment horizontal="left"/>
    </xf>
    <xf numFmtId="174" fontId="4" fillId="0" borderId="0" xfId="0" applyNumberFormat="1" applyFont="1"/>
    <xf numFmtId="172" fontId="4" fillId="0" borderId="0" xfId="0" applyNumberFormat="1" applyFont="1"/>
    <xf numFmtId="195" fontId="8" fillId="0" borderId="0" xfId="0" applyNumberFormat="1" applyFont="1"/>
    <xf numFmtId="195" fontId="8" fillId="0" borderId="2" xfId="0" applyNumberFormat="1" applyFont="1" applyBorder="1"/>
    <xf numFmtId="0" fontId="11" fillId="0" borderId="0" xfId="0" applyFont="1" applyAlignment="1">
      <alignment horizontal="center"/>
    </xf>
    <xf numFmtId="0" fontId="11" fillId="0" borderId="0" xfId="0" applyFont="1" applyBorder="1"/>
    <xf numFmtId="195" fontId="8" fillId="0" borderId="0" xfId="0" applyNumberFormat="1" applyFont="1" applyBorder="1"/>
    <xf numFmtId="0" fontId="8" fillId="0" borderId="2" xfId="19" applyFont="1" applyFill="1" applyBorder="1"/>
    <xf numFmtId="198" fontId="11" fillId="0" borderId="2" xfId="19" applyNumberFormat="1" applyFont="1" applyFill="1" applyBorder="1" applyAlignment="1">
      <alignment horizontal="center"/>
    </xf>
    <xf numFmtId="198" fontId="20" fillId="0" borderId="2" xfId="19" applyNumberFormat="1" applyFont="1" applyFill="1" applyBorder="1" applyAlignment="1">
      <alignment horizontal="center"/>
    </xf>
    <xf numFmtId="200" fontId="20" fillId="0" borderId="2" xfId="19" applyNumberFormat="1" applyFont="1" applyFill="1" applyBorder="1" applyAlignment="1">
      <alignment horizontal="center"/>
    </xf>
    <xf numFmtId="170" fontId="8" fillId="0" borderId="0" xfId="33" applyNumberFormat="1" applyFont="1" applyBorder="1" applyProtection="1"/>
    <xf numFmtId="183" fontId="8" fillId="0" borderId="0" xfId="33" applyFont="1" applyBorder="1"/>
    <xf numFmtId="0" fontId="10" fillId="0" borderId="2" xfId="0" applyFont="1" applyBorder="1"/>
    <xf numFmtId="0" fontId="4" fillId="0" borderId="2" xfId="0" applyFont="1" applyBorder="1"/>
    <xf numFmtId="0" fontId="10" fillId="0" borderId="2" xfId="0" applyFont="1" applyBorder="1" applyAlignment="1">
      <alignment horizontal="center"/>
    </xf>
    <xf numFmtId="0" fontId="10" fillId="0" borderId="0" xfId="0" applyFont="1" applyAlignment="1">
      <alignment horizontal="center"/>
    </xf>
    <xf numFmtId="0" fontId="10" fillId="0" borderId="0" xfId="0" applyFont="1" applyBorder="1" applyAlignment="1">
      <alignment horizontal="centerContinuous"/>
    </xf>
    <xf numFmtId="0" fontId="10" fillId="0" borderId="2" xfId="0" applyFont="1" applyBorder="1" applyAlignment="1">
      <alignment horizontal="centerContinuous"/>
    </xf>
    <xf numFmtId="0" fontId="14" fillId="0" borderId="0" xfId="0" quotePrefix="1" applyFont="1" applyAlignment="1">
      <alignment horizontal="left"/>
    </xf>
    <xf numFmtId="198" fontId="14" fillId="0" borderId="0" xfId="0" quotePrefix="1" applyNumberFormat="1" applyFont="1"/>
    <xf numFmtId="198" fontId="14" fillId="0" borderId="0" xfId="0" applyNumberFormat="1" applyFont="1" applyAlignment="1">
      <alignment horizontal="left"/>
    </xf>
    <xf numFmtId="0" fontId="11" fillId="0" borderId="0" xfId="0" applyFont="1" applyAlignment="1">
      <alignment horizontal="left"/>
    </xf>
    <xf numFmtId="0" fontId="11" fillId="0" borderId="2" xfId="0" applyFont="1" applyBorder="1" applyAlignment="1">
      <alignment horizontal="left"/>
    </xf>
    <xf numFmtId="0" fontId="4" fillId="0" borderId="0" xfId="0" applyFont="1" applyAlignment="1">
      <alignment horizontal="left"/>
    </xf>
    <xf numFmtId="198" fontId="16" fillId="0" borderId="0" xfId="0" applyNumberFormat="1" applyFont="1" applyAlignment="1">
      <alignment horizontal="left"/>
    </xf>
    <xf numFmtId="167" fontId="4" fillId="0" borderId="2" xfId="0" applyNumberFormat="1" applyFont="1" applyBorder="1"/>
    <xf numFmtId="1" fontId="4" fillId="0" borderId="0" xfId="0" applyNumberFormat="1" applyFont="1"/>
    <xf numFmtId="1" fontId="4" fillId="0" borderId="2" xfId="0" applyNumberFormat="1" applyFont="1" applyBorder="1"/>
    <xf numFmtId="0" fontId="13" fillId="0" borderId="0" xfId="0" applyFont="1"/>
    <xf numFmtId="6" fontId="13" fillId="0" borderId="0" xfId="0" quotePrefix="1" applyNumberFormat="1" applyFont="1"/>
    <xf numFmtId="198" fontId="15" fillId="0" borderId="2" xfId="0" applyNumberFormat="1" applyFont="1" applyBorder="1" applyAlignment="1">
      <alignment horizontal="center"/>
    </xf>
    <xf numFmtId="198" fontId="10" fillId="0" borderId="0" xfId="0" applyNumberFormat="1" applyFont="1" applyBorder="1" applyAlignment="1">
      <alignment horizontal="center"/>
    </xf>
    <xf numFmtId="38" fontId="4" fillId="0" borderId="0" xfId="0" applyNumberFormat="1" applyFont="1"/>
    <xf numFmtId="38" fontId="17" fillId="0" borderId="0" xfId="0" applyNumberFormat="1" applyFont="1"/>
    <xf numFmtId="0" fontId="14" fillId="0" borderId="0" xfId="0" applyFont="1" applyAlignment="1">
      <alignment horizontal="center"/>
    </xf>
    <xf numFmtId="0" fontId="0" fillId="0" borderId="2" xfId="0" applyBorder="1"/>
    <xf numFmtId="0" fontId="11" fillId="0" borderId="2" xfId="0" applyFont="1" applyBorder="1" applyAlignment="1">
      <alignment horizontal="center"/>
    </xf>
    <xf numFmtId="37" fontId="8" fillId="0" borderId="0" xfId="33" applyNumberFormat="1" applyFont="1" applyBorder="1" applyProtection="1"/>
    <xf numFmtId="183" fontId="9" fillId="0" borderId="1" xfId="33" applyFont="1" applyBorder="1"/>
    <xf numFmtId="183" fontId="8" fillId="0" borderId="1" xfId="33" applyFont="1" applyBorder="1"/>
    <xf numFmtId="37" fontId="8" fillId="0" borderId="1" xfId="33" applyNumberFormat="1" applyFont="1" applyBorder="1" applyProtection="1"/>
    <xf numFmtId="193" fontId="8" fillId="0" borderId="1" xfId="34" applyNumberFormat="1" applyFont="1" applyBorder="1" applyProtection="1"/>
    <xf numFmtId="172" fontId="8" fillId="0" borderId="1" xfId="10" applyNumberFormat="1" applyFont="1" applyBorder="1"/>
    <xf numFmtId="183" fontId="8" fillId="0" borderId="20" xfId="33" applyFont="1" applyBorder="1"/>
    <xf numFmtId="183" fontId="11" fillId="0" borderId="5" xfId="33" applyFont="1" applyFill="1" applyBorder="1" applyAlignment="1">
      <alignment horizontal="center"/>
    </xf>
    <xf numFmtId="183" fontId="8" fillId="0" borderId="5" xfId="33" quotePrefix="1" applyFont="1" applyFill="1" applyBorder="1" applyAlignment="1" applyProtection="1">
      <alignment horizontal="center"/>
    </xf>
    <xf numFmtId="0" fontId="8" fillId="0" borderId="21" xfId="19" applyFont="1" applyFill="1" applyBorder="1"/>
    <xf numFmtId="0" fontId="11" fillId="0" borderId="22" xfId="19" applyFont="1" applyFill="1" applyBorder="1"/>
    <xf numFmtId="0" fontId="8" fillId="0" borderId="22" xfId="19" applyFont="1" applyFill="1" applyBorder="1"/>
    <xf numFmtId="0" fontId="4" fillId="0" borderId="0" xfId="0" applyFont="1" applyAlignment="1">
      <alignment horizontal="right"/>
    </xf>
    <xf numFmtId="167" fontId="4" fillId="0" borderId="0" xfId="0" applyNumberFormat="1" applyFont="1" applyBorder="1"/>
    <xf numFmtId="196" fontId="8" fillId="0" borderId="0" xfId="33" applyNumberFormat="1" applyFont="1" applyFill="1" applyProtection="1"/>
    <xf numFmtId="168" fontId="8" fillId="0" borderId="0" xfId="37" applyNumberFormat="1" applyFont="1" applyFill="1" applyBorder="1"/>
    <xf numFmtId="168" fontId="8" fillId="0" borderId="0" xfId="37" applyNumberFormat="1" applyFont="1" applyFill="1" applyBorder="1" applyAlignment="1"/>
    <xf numFmtId="203" fontId="8" fillId="0" borderId="0" xfId="37" applyNumberFormat="1" applyFont="1" applyFill="1" applyBorder="1"/>
    <xf numFmtId="168" fontId="12" fillId="0" borderId="0" xfId="37" applyNumberFormat="1" applyFont="1" applyFill="1" applyBorder="1"/>
    <xf numFmtId="190" fontId="9" fillId="0" borderId="8" xfId="19" applyNumberFormat="1" applyFont="1" applyFill="1" applyBorder="1" applyAlignment="1">
      <alignment horizontal="right"/>
    </xf>
    <xf numFmtId="190" fontId="11" fillId="0" borderId="1" xfId="19" applyNumberFormat="1" applyFont="1" applyFill="1" applyBorder="1" applyAlignment="1">
      <alignment horizontal="right"/>
    </xf>
    <xf numFmtId="190" fontId="9" fillId="0" borderId="1" xfId="19" applyNumberFormat="1" applyFont="1" applyFill="1" applyBorder="1" applyAlignment="1">
      <alignment horizontal="right"/>
    </xf>
    <xf numFmtId="175" fontId="8" fillId="0" borderId="1" xfId="19" applyNumberFormat="1" applyFont="1" applyFill="1" applyBorder="1"/>
    <xf numFmtId="170" fontId="8" fillId="0" borderId="1" xfId="19" applyNumberFormat="1" applyFont="1" applyFill="1" applyBorder="1"/>
    <xf numFmtId="7" fontId="8" fillId="0" borderId="1" xfId="19" applyNumberFormat="1" applyFont="1" applyFill="1" applyBorder="1"/>
    <xf numFmtId="183" fontId="11" fillId="0" borderId="1" xfId="33" applyFont="1" applyBorder="1"/>
    <xf numFmtId="183" fontId="8" fillId="0" borderId="5" xfId="33" applyFont="1" applyBorder="1"/>
    <xf numFmtId="168" fontId="4" fillId="0" borderId="0" xfId="37" applyNumberFormat="1" applyFont="1"/>
    <xf numFmtId="0" fontId="0" fillId="0" borderId="0" xfId="0" applyBorder="1"/>
    <xf numFmtId="202" fontId="4" fillId="0" borderId="0" xfId="0" applyNumberFormat="1" applyFont="1"/>
    <xf numFmtId="202" fontId="4" fillId="0" borderId="2" xfId="0" applyNumberFormat="1" applyFont="1" applyBorder="1"/>
    <xf numFmtId="202" fontId="4" fillId="0" borderId="0" xfId="0" applyNumberFormat="1" applyFont="1" applyBorder="1"/>
    <xf numFmtId="0" fontId="14" fillId="0" borderId="0" xfId="0" applyFont="1" applyBorder="1" applyAlignment="1">
      <alignment horizontal="center"/>
    </xf>
    <xf numFmtId="0" fontId="26" fillId="0" borderId="0" xfId="0" applyFont="1" applyBorder="1"/>
    <xf numFmtId="0" fontId="14" fillId="0" borderId="0" xfId="0" applyFont="1" applyAlignment="1">
      <alignment horizontal="left"/>
    </xf>
    <xf numFmtId="183" fontId="20" fillId="0" borderId="0" xfId="33" applyFont="1" applyFill="1" applyBorder="1"/>
    <xf numFmtId="0" fontId="8" fillId="0" borderId="20" xfId="19" applyFont="1" applyFill="1" applyBorder="1"/>
    <xf numFmtId="0" fontId="8" fillId="0" borderId="2" xfId="0" applyFont="1" applyBorder="1"/>
    <xf numFmtId="174" fontId="17" fillId="0" borderId="0" xfId="0" applyNumberFormat="1" applyFont="1"/>
    <xf numFmtId="0" fontId="8" fillId="0" borderId="0" xfId="0" applyFont="1" applyBorder="1"/>
    <xf numFmtId="0" fontId="10" fillId="0" borderId="0" xfId="0" applyFont="1"/>
    <xf numFmtId="175" fontId="4" fillId="0" borderId="0" xfId="0" applyNumberFormat="1" applyFont="1"/>
    <xf numFmtId="0" fontId="4" fillId="0" borderId="0" xfId="0" applyFont="1" applyAlignment="1">
      <alignment horizontal="center"/>
    </xf>
    <xf numFmtId="0" fontId="4" fillId="0" borderId="2" xfId="0" applyFont="1" applyBorder="1" applyAlignment="1">
      <alignment horizontal="center"/>
    </xf>
    <xf numFmtId="0" fontId="4" fillId="0" borderId="1" xfId="0" applyFont="1" applyBorder="1" applyAlignment="1">
      <alignment horizontal="center"/>
    </xf>
    <xf numFmtId="0" fontId="4" fillId="0" borderId="0" xfId="0" applyFont="1" applyBorder="1" applyAlignment="1">
      <alignment horizontal="center"/>
    </xf>
    <xf numFmtId="0" fontId="4" fillId="0" borderId="22" xfId="0" applyFont="1" applyBorder="1" applyAlignment="1">
      <alignment horizontal="center"/>
    </xf>
    <xf numFmtId="0" fontId="4" fillId="0" borderId="22" xfId="0" applyFont="1" applyBorder="1"/>
    <xf numFmtId="173" fontId="4" fillId="0" borderId="0" xfId="0" applyNumberFormat="1" applyFont="1"/>
    <xf numFmtId="173" fontId="17" fillId="0" borderId="0" xfId="0" applyNumberFormat="1" applyFont="1"/>
    <xf numFmtId="0" fontId="17" fillId="0" borderId="0" xfId="0" applyFont="1" applyFill="1"/>
    <xf numFmtId="170" fontId="8" fillId="0" borderId="0" xfId="33" applyNumberFormat="1" applyFont="1" applyFill="1" applyBorder="1" applyProtection="1"/>
    <xf numFmtId="37" fontId="8" fillId="0" borderId="0" xfId="33" applyNumberFormat="1" applyFont="1" applyFill="1" applyBorder="1" applyProtection="1"/>
    <xf numFmtId="170" fontId="8" fillId="0" borderId="2" xfId="33" applyNumberFormat="1" applyFont="1" applyFill="1" applyBorder="1" applyProtection="1"/>
    <xf numFmtId="10" fontId="8" fillId="0" borderId="0" xfId="37" applyNumberFormat="1" applyFont="1" applyFill="1" applyBorder="1"/>
    <xf numFmtId="172" fontId="17" fillId="0" borderId="0" xfId="0" applyNumberFormat="1" applyFont="1"/>
    <xf numFmtId="182" fontId="4" fillId="0" borderId="0" xfId="0" applyNumberFormat="1" applyFont="1"/>
    <xf numFmtId="3" fontId="4" fillId="0" borderId="0" xfId="0" applyNumberFormat="1" applyFont="1"/>
    <xf numFmtId="0" fontId="11" fillId="0" borderId="0" xfId="0" applyFont="1" applyBorder="1" applyAlignment="1">
      <alignment horizontal="center"/>
    </xf>
    <xf numFmtId="0" fontId="8" fillId="0" borderId="0" xfId="0" applyFont="1" applyFill="1"/>
    <xf numFmtId="0" fontId="16" fillId="0" borderId="0" xfId="0" applyFont="1" applyAlignment="1">
      <alignment horizontal="center"/>
    </xf>
    <xf numFmtId="170" fontId="17" fillId="0" borderId="0" xfId="0" applyNumberFormat="1" applyFont="1"/>
    <xf numFmtId="170" fontId="4" fillId="0" borderId="0" xfId="0" applyNumberFormat="1" applyFont="1"/>
    <xf numFmtId="5" fontId="4" fillId="0" borderId="0" xfId="0" applyNumberFormat="1" applyFont="1"/>
    <xf numFmtId="175" fontId="17" fillId="0" borderId="0" xfId="0" applyNumberFormat="1" applyFont="1"/>
    <xf numFmtId="193" fontId="4" fillId="0" borderId="0" xfId="0" applyNumberFormat="1" applyFont="1"/>
    <xf numFmtId="173" fontId="25" fillId="0" borderId="0" xfId="0" applyNumberFormat="1" applyFont="1"/>
    <xf numFmtId="173" fontId="25" fillId="0" borderId="2" xfId="0" applyNumberFormat="1" applyFont="1" applyBorder="1"/>
    <xf numFmtId="0" fontId="4" fillId="0" borderId="0" xfId="0" applyFont="1" applyFill="1"/>
    <xf numFmtId="3" fontId="4" fillId="0" borderId="2" xfId="0" applyNumberFormat="1" applyFont="1" applyBorder="1"/>
    <xf numFmtId="0" fontId="10" fillId="0" borderId="0" xfId="0" quotePrefix="1" applyFont="1" applyBorder="1" applyAlignment="1">
      <alignment horizontal="centerContinuous"/>
    </xf>
    <xf numFmtId="1" fontId="4" fillId="0" borderId="0" xfId="0" applyNumberFormat="1" applyFont="1" applyBorder="1"/>
    <xf numFmtId="0" fontId="10" fillId="0" borderId="24" xfId="0" applyFont="1" applyBorder="1" applyAlignment="1">
      <alignment horizontal="centerContinuous"/>
    </xf>
    <xf numFmtId="0" fontId="10" fillId="0" borderId="5" xfId="0" applyFont="1" applyBorder="1" applyAlignment="1">
      <alignment horizontal="centerContinuous"/>
    </xf>
    <xf numFmtId="0" fontId="10" fillId="0" borderId="7" xfId="0" applyFont="1" applyBorder="1" applyAlignment="1">
      <alignment horizontal="centerContinuous"/>
    </xf>
    <xf numFmtId="205" fontId="8" fillId="0" borderId="0" xfId="33" applyNumberFormat="1" applyFont="1" applyProtection="1"/>
    <xf numFmtId="168" fontId="8" fillId="0" borderId="0" xfId="33" applyNumberFormat="1" applyFont="1" applyBorder="1" applyProtection="1"/>
    <xf numFmtId="204" fontId="4" fillId="0" borderId="0" xfId="0" applyNumberFormat="1" applyFont="1"/>
    <xf numFmtId="202" fontId="21" fillId="0" borderId="0" xfId="0" applyNumberFormat="1" applyFont="1"/>
    <xf numFmtId="0" fontId="11" fillId="0" borderId="2" xfId="0" applyFont="1" applyBorder="1" applyAlignment="1" applyProtection="1">
      <alignment horizontal="left"/>
    </xf>
    <xf numFmtId="0" fontId="14" fillId="0" borderId="0" xfId="0" applyFont="1" applyFill="1"/>
    <xf numFmtId="0" fontId="26" fillId="0" borderId="0" xfId="0" applyFont="1" applyFill="1" applyBorder="1"/>
    <xf numFmtId="0" fontId="14" fillId="0" borderId="0" xfId="0" applyFont="1" applyFill="1" applyBorder="1" applyAlignment="1">
      <alignment horizontal="center"/>
    </xf>
    <xf numFmtId="0" fontId="14" fillId="0" borderId="0" xfId="0" applyFont="1" applyFill="1" applyAlignment="1">
      <alignment horizontal="left"/>
    </xf>
    <xf numFmtId="185" fontId="17" fillId="0" borderId="0" xfId="0" applyNumberFormat="1" applyFont="1" applyFill="1" applyBorder="1"/>
    <xf numFmtId="186" fontId="4" fillId="0" borderId="2" xfId="0" applyNumberFormat="1" applyFont="1" applyFill="1" applyBorder="1"/>
    <xf numFmtId="0" fontId="10" fillId="0" borderId="0" xfId="0" applyFont="1" applyFill="1" applyAlignment="1">
      <alignment horizontal="center"/>
    </xf>
    <xf numFmtId="198" fontId="15" fillId="0" borderId="2" xfId="0" applyNumberFormat="1" applyFont="1" applyFill="1" applyBorder="1" applyAlignment="1">
      <alignment horizontal="centerContinuous"/>
    </xf>
    <xf numFmtId="198" fontId="10" fillId="0" borderId="2" xfId="0" applyNumberFormat="1" applyFont="1" applyFill="1" applyBorder="1" applyAlignment="1">
      <alignment horizontal="centerContinuous"/>
    </xf>
    <xf numFmtId="0" fontId="10" fillId="0" borderId="0" xfId="0" quotePrefix="1" applyFont="1" applyAlignment="1">
      <alignment horizontal="center"/>
    </xf>
    <xf numFmtId="183" fontId="8" fillId="0" borderId="0" xfId="33" applyNumberFormat="1" applyFont="1" applyAlignment="1" applyProtection="1">
      <alignment horizontal="left"/>
    </xf>
    <xf numFmtId="183" fontId="8" fillId="0" borderId="0" xfId="33" quotePrefix="1" applyNumberFormat="1" applyFont="1" applyAlignment="1" applyProtection="1">
      <alignment horizontal="left"/>
    </xf>
    <xf numFmtId="5" fontId="24" fillId="0" borderId="0" xfId="33" applyNumberFormat="1" applyFont="1" applyProtection="1"/>
    <xf numFmtId="0" fontId="11" fillId="0" borderId="0" xfId="0" applyFont="1" applyFill="1"/>
    <xf numFmtId="0" fontId="11" fillId="0" borderId="0" xfId="0" applyFont="1" applyFill="1" applyAlignment="1">
      <alignment horizontal="left"/>
    </xf>
    <xf numFmtId="0" fontId="11" fillId="0" borderId="0" xfId="0" applyFont="1" applyFill="1" applyBorder="1"/>
    <xf numFmtId="0" fontId="11" fillId="0" borderId="2" xfId="0" applyFont="1" applyFill="1" applyBorder="1"/>
    <xf numFmtId="0" fontId="11" fillId="0" borderId="2" xfId="0" applyFont="1" applyFill="1" applyBorder="1" applyAlignment="1">
      <alignment horizontal="left"/>
    </xf>
    <xf numFmtId="186" fontId="17" fillId="0" borderId="0" xfId="0" applyNumberFormat="1" applyFont="1" applyFill="1" applyBorder="1"/>
    <xf numFmtId="167" fontId="17" fillId="0" borderId="0" xfId="0" applyNumberFormat="1" applyFont="1" applyFill="1" applyBorder="1"/>
    <xf numFmtId="167" fontId="4" fillId="0" borderId="0" xfId="0" applyNumberFormat="1" applyFont="1" applyFill="1"/>
    <xf numFmtId="172" fontId="4" fillId="0" borderId="0" xfId="0" applyNumberFormat="1" applyFont="1" applyFill="1"/>
    <xf numFmtId="207" fontId="8" fillId="0" borderId="0" xfId="19" applyNumberFormat="1" applyFont="1" applyFill="1" applyBorder="1"/>
    <xf numFmtId="0" fontId="10" fillId="0" borderId="2" xfId="0" applyFont="1" applyFill="1" applyBorder="1" applyAlignment="1">
      <alignment horizontal="center"/>
    </xf>
    <xf numFmtId="186" fontId="17" fillId="0" borderId="2" xfId="0" applyNumberFormat="1" applyFont="1" applyFill="1" applyBorder="1"/>
    <xf numFmtId="43" fontId="8" fillId="0" borderId="0" xfId="10" applyFont="1" applyFill="1" applyBorder="1"/>
    <xf numFmtId="175" fontId="17" fillId="0" borderId="0" xfId="0" applyNumberFormat="1" applyFont="1" applyFill="1"/>
    <xf numFmtId="186" fontId="17" fillId="0" borderId="0" xfId="0" applyNumberFormat="1" applyFont="1" applyFill="1"/>
    <xf numFmtId="185" fontId="4" fillId="0" borderId="0" xfId="0" applyNumberFormat="1" applyFont="1" applyFill="1"/>
    <xf numFmtId="202" fontId="4" fillId="0" borderId="0" xfId="0" applyNumberFormat="1" applyFont="1" applyFill="1"/>
    <xf numFmtId="202" fontId="4" fillId="0" borderId="2" xfId="0" applyNumberFormat="1" applyFont="1" applyFill="1" applyBorder="1"/>
    <xf numFmtId="202" fontId="21" fillId="0" borderId="0" xfId="0" applyNumberFormat="1" applyFont="1" applyFill="1"/>
    <xf numFmtId="175" fontId="12" fillId="0" borderId="0" xfId="19" applyNumberFormat="1" applyFont="1" applyFill="1" applyBorder="1"/>
    <xf numFmtId="168" fontId="12" fillId="0" borderId="0" xfId="37" applyNumberFormat="1" applyFont="1" applyFill="1" applyBorder="1" applyAlignment="1"/>
    <xf numFmtId="0" fontId="4" fillId="0" borderId="0" xfId="0" applyFont="1" applyFill="1" applyAlignment="1">
      <alignment horizontal="left"/>
    </xf>
    <xf numFmtId="198" fontId="11" fillId="0" borderId="2" xfId="0" applyNumberFormat="1" applyFont="1" applyBorder="1" applyAlignment="1">
      <alignment horizontal="centerContinuous"/>
    </xf>
    <xf numFmtId="198" fontId="8" fillId="0" borderId="0" xfId="0" applyNumberFormat="1" applyFont="1" applyBorder="1" applyAlignment="1">
      <alignment horizontal="center"/>
    </xf>
    <xf numFmtId="174" fontId="4" fillId="0" borderId="0" xfId="0" applyNumberFormat="1" applyFont="1" applyFill="1"/>
    <xf numFmtId="195" fontId="4" fillId="0" borderId="0" xfId="37" applyNumberFormat="1" applyFont="1" applyFill="1"/>
    <xf numFmtId="199" fontId="17" fillId="0" borderId="0" xfId="0" applyNumberFormat="1" applyFont="1" applyFill="1" applyAlignment="1">
      <alignment horizontal="left"/>
    </xf>
    <xf numFmtId="199" fontId="4" fillId="0" borderId="0" xfId="0" applyNumberFormat="1" applyFont="1" applyFill="1" applyAlignment="1">
      <alignment horizontal="left"/>
    </xf>
    <xf numFmtId="194" fontId="4" fillId="0" borderId="0" xfId="0" applyNumberFormat="1" applyFont="1" applyFill="1"/>
    <xf numFmtId="195" fontId="4" fillId="0" borderId="0" xfId="0" applyNumberFormat="1" applyFont="1" applyFill="1"/>
    <xf numFmtId="0" fontId="14" fillId="0" borderId="0" xfId="0" applyFont="1" applyFill="1" applyAlignment="1">
      <alignment horizontal="centerContinuous"/>
    </xf>
    <xf numFmtId="0" fontId="4" fillId="0" borderId="0" xfId="0" applyFont="1" applyFill="1" applyAlignment="1">
      <alignment horizontal="centerContinuous"/>
    </xf>
    <xf numFmtId="172" fontId="4" fillId="0" borderId="2" xfId="0" applyNumberFormat="1" applyFont="1" applyFill="1" applyBorder="1"/>
    <xf numFmtId="172" fontId="17" fillId="0" borderId="0" xfId="0" applyNumberFormat="1" applyFont="1" applyFill="1"/>
    <xf numFmtId="166" fontId="4" fillId="0" borderId="0" xfId="0" applyNumberFormat="1" applyFont="1" applyFill="1"/>
    <xf numFmtId="166" fontId="4" fillId="0" borderId="2" xfId="0" applyNumberFormat="1" applyFont="1" applyFill="1" applyBorder="1"/>
    <xf numFmtId="178" fontId="4" fillId="0" borderId="0" xfId="10" applyNumberFormat="1" applyFont="1" applyFill="1"/>
    <xf numFmtId="167" fontId="4" fillId="0" borderId="2" xfId="0" applyNumberFormat="1" applyFont="1" applyFill="1" applyBorder="1"/>
    <xf numFmtId="0" fontId="10" fillId="0" borderId="0" xfId="0" applyFont="1" applyFill="1" applyBorder="1" applyAlignment="1">
      <alignment horizontal="center"/>
    </xf>
    <xf numFmtId="40" fontId="4" fillId="0" borderId="0" xfId="0" applyNumberFormat="1" applyFont="1" applyFill="1"/>
    <xf numFmtId="168" fontId="12" fillId="0" borderId="0" xfId="37" applyNumberFormat="1" applyFont="1"/>
    <xf numFmtId="9" fontId="8" fillId="0" borderId="0" xfId="37" applyFont="1" applyFill="1" applyBorder="1"/>
    <xf numFmtId="205" fontId="8" fillId="0" borderId="0" xfId="33" applyNumberFormat="1" applyFont="1" applyBorder="1" applyProtection="1"/>
    <xf numFmtId="183" fontId="23" fillId="0" borderId="2" xfId="33" applyFont="1" applyBorder="1"/>
    <xf numFmtId="183" fontId="23" fillId="0" borderId="0" xfId="33" applyFont="1" applyBorder="1"/>
    <xf numFmtId="183" fontId="30" fillId="0" borderId="5" xfId="33" applyFont="1" applyBorder="1" applyAlignment="1" applyProtection="1">
      <alignment horizontal="center"/>
    </xf>
    <xf numFmtId="183" fontId="23" fillId="0" borderId="0" xfId="33" applyFont="1" applyBorder="1" applyAlignment="1" applyProtection="1">
      <alignment horizontal="left"/>
    </xf>
    <xf numFmtId="37" fontId="23" fillId="0" borderId="0" xfId="33" applyNumberFormat="1" applyFont="1" applyBorder="1" applyProtection="1"/>
    <xf numFmtId="183" fontId="30" fillId="0" borderId="0" xfId="33" applyFont="1" applyBorder="1" applyAlignment="1" applyProtection="1">
      <alignment horizontal="center"/>
    </xf>
    <xf numFmtId="0" fontId="23" fillId="0" borderId="0" xfId="0" applyFont="1"/>
    <xf numFmtId="183" fontId="30" fillId="0" borderId="7" xfId="33" applyFont="1" applyBorder="1"/>
    <xf numFmtId="183" fontId="30" fillId="0" borderId="22" xfId="33" applyFont="1" applyBorder="1"/>
    <xf numFmtId="183" fontId="23" fillId="0" borderId="22" xfId="33" applyFont="1" applyBorder="1"/>
    <xf numFmtId="37" fontId="23" fillId="0" borderId="22" xfId="33" applyNumberFormat="1" applyFont="1" applyBorder="1" applyProtection="1"/>
    <xf numFmtId="183" fontId="23" fillId="0" borderId="23" xfId="33" applyFont="1" applyBorder="1"/>
    <xf numFmtId="170" fontId="12" fillId="0" borderId="0" xfId="19" applyNumberFormat="1" applyFont="1" applyFill="1" applyBorder="1" applyAlignment="1">
      <alignment horizontal="right"/>
    </xf>
    <xf numFmtId="0" fontId="30" fillId="0" borderId="0" xfId="0" applyFont="1" applyAlignment="1">
      <alignment horizontal="center"/>
    </xf>
    <xf numFmtId="172" fontId="23" fillId="0" borderId="0" xfId="0" applyNumberFormat="1" applyFont="1"/>
    <xf numFmtId="0" fontId="30" fillId="0" borderId="0" xfId="0" applyFont="1"/>
    <xf numFmtId="0" fontId="23" fillId="0" borderId="2" xfId="0" applyFont="1" applyBorder="1"/>
    <xf numFmtId="0" fontId="30" fillId="0" borderId="2" xfId="0" applyFont="1" applyBorder="1" applyAlignment="1">
      <alignment horizontal="center"/>
    </xf>
    <xf numFmtId="185" fontId="23" fillId="0" borderId="0" xfId="0" applyNumberFormat="1" applyFont="1"/>
    <xf numFmtId="0" fontId="30" fillId="0" borderId="0" xfId="0" applyFont="1" applyAlignment="1">
      <alignment horizontal="left"/>
    </xf>
    <xf numFmtId="195" fontId="23" fillId="0" borderId="0" xfId="0" applyNumberFormat="1" applyFont="1"/>
    <xf numFmtId="0" fontId="30" fillId="0" borderId="0" xfId="0" applyFont="1" applyBorder="1"/>
    <xf numFmtId="195" fontId="23" fillId="0" borderId="0" xfId="0" applyNumberFormat="1" applyFont="1" applyBorder="1"/>
    <xf numFmtId="0" fontId="30" fillId="0" borderId="2" xfId="0" applyFont="1" applyBorder="1"/>
    <xf numFmtId="0" fontId="30" fillId="0" borderId="2" xfId="0" applyFont="1" applyBorder="1" applyAlignment="1">
      <alignment horizontal="left"/>
    </xf>
    <xf numFmtId="195" fontId="23" fillId="0" borderId="2" xfId="0" applyNumberFormat="1" applyFont="1" applyBorder="1"/>
    <xf numFmtId="37" fontId="34" fillId="0" borderId="0" xfId="22" applyFont="1"/>
    <xf numFmtId="191" fontId="34" fillId="0" borderId="0" xfId="22" applyNumberFormat="1" applyFont="1" applyProtection="1"/>
    <xf numFmtId="0" fontId="30" fillId="0" borderId="0" xfId="0" applyFont="1" applyBorder="1" applyAlignment="1">
      <alignment horizontal="center"/>
    </xf>
    <xf numFmtId="0" fontId="30" fillId="0" borderId="5" xfId="0" applyFont="1" applyBorder="1" applyAlignment="1">
      <alignment horizontal="center"/>
    </xf>
    <xf numFmtId="198" fontId="35" fillId="0" borderId="0" xfId="0" applyNumberFormat="1" applyFont="1" applyAlignment="1">
      <alignment horizontal="left"/>
    </xf>
    <xf numFmtId="166" fontId="23" fillId="0" borderId="0" xfId="0" applyNumberFormat="1" applyFont="1"/>
    <xf numFmtId="181" fontId="23" fillId="0" borderId="0" xfId="0" applyNumberFormat="1" applyFont="1"/>
    <xf numFmtId="173" fontId="23" fillId="0" borderId="0" xfId="0" applyNumberFormat="1" applyFont="1"/>
    <xf numFmtId="182" fontId="23" fillId="0" borderId="0" xfId="0" applyNumberFormat="1" applyFont="1"/>
    <xf numFmtId="4" fontId="23" fillId="0" borderId="0" xfId="0" applyNumberFormat="1" applyFont="1"/>
    <xf numFmtId="3" fontId="23" fillId="0" borderId="0" xfId="0" applyNumberFormat="1" applyFont="1"/>
    <xf numFmtId="166" fontId="23" fillId="0" borderId="2" xfId="0" applyNumberFormat="1" applyFont="1" applyBorder="1"/>
    <xf numFmtId="166" fontId="23" fillId="0" borderId="0" xfId="0" applyNumberFormat="1" applyFont="1" applyBorder="1"/>
    <xf numFmtId="0" fontId="23" fillId="0" borderId="24" xfId="0" applyFont="1" applyBorder="1"/>
    <xf numFmtId="0" fontId="23" fillId="0" borderId="7" xfId="0" applyFont="1" applyBorder="1"/>
    <xf numFmtId="198" fontId="33" fillId="0" borderId="0" xfId="0" applyNumberFormat="1" applyFont="1" applyAlignment="1">
      <alignment horizontal="left"/>
    </xf>
    <xf numFmtId="172" fontId="23" fillId="0" borderId="0" xfId="0" applyNumberFormat="1" applyFont="1" applyBorder="1"/>
    <xf numFmtId="0" fontId="23" fillId="0" borderId="0" xfId="0" applyFont="1" applyAlignment="1">
      <alignment horizontal="center"/>
    </xf>
    <xf numFmtId="172" fontId="23" fillId="0" borderId="2" xfId="0" applyNumberFormat="1" applyFont="1" applyBorder="1"/>
    <xf numFmtId="4" fontId="23" fillId="0" borderId="24" xfId="0" applyNumberFormat="1" applyFont="1" applyBorder="1"/>
    <xf numFmtId="205" fontId="23" fillId="0" borderId="0" xfId="0" applyNumberFormat="1" applyFont="1"/>
    <xf numFmtId="168" fontId="23" fillId="0" borderId="0" xfId="37" applyNumberFormat="1" applyFont="1"/>
    <xf numFmtId="170" fontId="36" fillId="0" borderId="0" xfId="0" applyNumberFormat="1" applyFont="1" applyFill="1" applyProtection="1"/>
    <xf numFmtId="172" fontId="32" fillId="0" borderId="0" xfId="0" applyNumberFormat="1" applyFont="1" applyFill="1" applyBorder="1"/>
    <xf numFmtId="172" fontId="23" fillId="0" borderId="0" xfId="0" applyNumberFormat="1" applyFont="1" applyFill="1" applyBorder="1"/>
    <xf numFmtId="170" fontId="23" fillId="0" borderId="0" xfId="0" applyNumberFormat="1" applyFont="1" applyFill="1" applyProtection="1"/>
    <xf numFmtId="4" fontId="32" fillId="0" borderId="0" xfId="0" applyNumberFormat="1" applyFont="1" applyAlignment="1">
      <alignment horizontal="right"/>
    </xf>
    <xf numFmtId="173" fontId="32" fillId="0" borderId="0" xfId="0" applyNumberFormat="1" applyFont="1"/>
    <xf numFmtId="37" fontId="34" fillId="0" borderId="0" xfId="22" applyFont="1" applyAlignment="1" applyProtection="1">
      <alignment horizontal="left"/>
    </xf>
    <xf numFmtId="184" fontId="34" fillId="0" borderId="0" xfId="22" applyNumberFormat="1" applyFont="1" applyProtection="1"/>
    <xf numFmtId="37" fontId="23" fillId="0" borderId="0" xfId="22" applyFont="1"/>
    <xf numFmtId="37" fontId="23" fillId="0" borderId="0" xfId="22" applyFont="1" applyAlignment="1" applyProtection="1">
      <alignment horizontal="left"/>
    </xf>
    <xf numFmtId="184" fontId="23" fillId="0" borderId="0" xfId="22" applyNumberFormat="1" applyFont="1" applyProtection="1"/>
    <xf numFmtId="0" fontId="23" fillId="0" borderId="0" xfId="32" applyFont="1"/>
    <xf numFmtId="37" fontId="23" fillId="0" borderId="0" xfId="22" applyFont="1" applyAlignment="1">
      <alignment horizontal="center"/>
    </xf>
    <xf numFmtId="201" fontId="4" fillId="0" borderId="2" xfId="0" applyNumberFormat="1" applyFont="1" applyBorder="1"/>
    <xf numFmtId="0" fontId="8" fillId="0" borderId="0" xfId="19" applyFont="1" applyFill="1" applyBorder="1" applyAlignment="1">
      <alignment horizontal="left" indent="2"/>
    </xf>
    <xf numFmtId="168" fontId="4" fillId="0" borderId="0" xfId="37" applyNumberFormat="1" applyFont="1" applyFill="1"/>
    <xf numFmtId="0" fontId="8" fillId="0" borderId="0" xfId="0" applyFont="1" applyAlignment="1">
      <alignment horizontal="center"/>
    </xf>
    <xf numFmtId="204" fontId="4" fillId="0" borderId="2" xfId="0" applyNumberFormat="1" applyFont="1" applyBorder="1"/>
    <xf numFmtId="201" fontId="4" fillId="0" borderId="0" xfId="0" applyNumberFormat="1" applyFont="1"/>
    <xf numFmtId="39" fontId="8" fillId="0" borderId="0" xfId="19" applyNumberFormat="1" applyFont="1" applyFill="1" applyBorder="1"/>
    <xf numFmtId="0" fontId="8" fillId="0" borderId="2" xfId="0" applyFont="1" applyFill="1" applyBorder="1"/>
    <xf numFmtId="198" fontId="40" fillId="0" borderId="2" xfId="0" applyNumberFormat="1" applyFont="1" applyBorder="1" applyAlignment="1">
      <alignment horizontal="center"/>
    </xf>
    <xf numFmtId="198" fontId="30" fillId="0" borderId="2" xfId="0" applyNumberFormat="1" applyFont="1" applyBorder="1" applyAlignment="1">
      <alignment horizontal="center"/>
    </xf>
    <xf numFmtId="200" fontId="40" fillId="0" borderId="2" xfId="0" applyNumberFormat="1" applyFont="1" applyBorder="1" applyAlignment="1">
      <alignment horizontal="center"/>
    </xf>
    <xf numFmtId="0" fontId="8" fillId="0" borderId="2" xfId="0" applyFont="1" applyBorder="1" applyAlignment="1">
      <alignment horizontal="centerContinuous"/>
    </xf>
    <xf numFmtId="174" fontId="23" fillId="0" borderId="0" xfId="0" applyNumberFormat="1" applyFont="1"/>
    <xf numFmtId="174" fontId="23" fillId="0" borderId="0" xfId="0" applyNumberFormat="1" applyFont="1" applyFill="1"/>
    <xf numFmtId="213" fontId="23" fillId="0" borderId="0" xfId="0" applyNumberFormat="1" applyFont="1"/>
    <xf numFmtId="8" fontId="23" fillId="0" borderId="0" xfId="0" applyNumberFormat="1" applyFont="1"/>
    <xf numFmtId="209" fontId="23" fillId="0" borderId="0" xfId="0" applyNumberFormat="1" applyFont="1"/>
    <xf numFmtId="171" fontId="23" fillId="0" borderId="0" xfId="0" applyNumberFormat="1" applyFont="1"/>
    <xf numFmtId="40" fontId="23" fillId="0" borderId="0" xfId="0" applyNumberFormat="1" applyFont="1"/>
    <xf numFmtId="170" fontId="32" fillId="0" borderId="0" xfId="0" applyNumberFormat="1" applyFont="1"/>
    <xf numFmtId="0" fontId="23" fillId="0" borderId="0" xfId="0" applyFont="1" applyFill="1"/>
    <xf numFmtId="174" fontId="30" fillId="0" borderId="0" xfId="0" applyNumberFormat="1" applyFont="1"/>
    <xf numFmtId="8" fontId="30" fillId="0" borderId="0" xfId="0" applyNumberFormat="1" applyFont="1"/>
    <xf numFmtId="0" fontId="33" fillId="0" borderId="2" xfId="0" applyFont="1" applyFill="1" applyBorder="1" applyAlignment="1">
      <alignment horizontal="center"/>
    </xf>
    <xf numFmtId="0" fontId="23" fillId="0" borderId="2" xfId="0" applyFont="1" applyFill="1" applyBorder="1"/>
    <xf numFmtId="0" fontId="30" fillId="0" borderId="2" xfId="0" applyFont="1" applyFill="1" applyBorder="1" applyAlignment="1">
      <alignment horizontal="center"/>
    </xf>
    <xf numFmtId="40" fontId="8" fillId="0" borderId="0" xfId="0" applyNumberFormat="1" applyFont="1"/>
    <xf numFmtId="172" fontId="23" fillId="0" borderId="0" xfId="0" applyNumberFormat="1" applyFont="1" applyFill="1"/>
    <xf numFmtId="208" fontId="23" fillId="0" borderId="0" xfId="0" applyNumberFormat="1" applyFont="1" applyFill="1"/>
    <xf numFmtId="40" fontId="8" fillId="0" borderId="0" xfId="0" applyNumberFormat="1" applyFont="1" applyFill="1"/>
    <xf numFmtId="208" fontId="23" fillId="0" borderId="0" xfId="0" applyNumberFormat="1" applyFont="1"/>
    <xf numFmtId="171" fontId="23" fillId="0" borderId="0" xfId="0" applyNumberFormat="1" applyFont="1" applyFill="1"/>
    <xf numFmtId="176" fontId="23" fillId="0" borderId="0" xfId="0" applyNumberFormat="1" applyFont="1" applyFill="1"/>
    <xf numFmtId="166" fontId="23" fillId="0" borderId="0" xfId="0" applyNumberFormat="1" applyFont="1" applyFill="1"/>
    <xf numFmtId="177" fontId="23" fillId="0" borderId="0" xfId="0" applyNumberFormat="1" applyFont="1" applyFill="1"/>
    <xf numFmtId="176" fontId="23" fillId="0" borderId="0" xfId="0" applyNumberFormat="1" applyFont="1"/>
    <xf numFmtId="170" fontId="23" fillId="0" borderId="0" xfId="0" applyNumberFormat="1" applyFont="1"/>
    <xf numFmtId="207" fontId="23" fillId="0" borderId="0" xfId="0" applyNumberFormat="1" applyFont="1"/>
    <xf numFmtId="170" fontId="23" fillId="0" borderId="2" xfId="0" applyNumberFormat="1" applyFont="1" applyBorder="1"/>
    <xf numFmtId="207" fontId="32" fillId="0" borderId="2" xfId="0" applyNumberFormat="1" applyFont="1" applyBorder="1"/>
    <xf numFmtId="170" fontId="32" fillId="0" borderId="2" xfId="0" applyNumberFormat="1" applyFont="1" applyBorder="1"/>
    <xf numFmtId="0" fontId="23" fillId="0" borderId="0" xfId="0" applyFont="1" applyBorder="1"/>
    <xf numFmtId="174" fontId="23" fillId="0" borderId="0" xfId="0" applyNumberFormat="1" applyFont="1" applyBorder="1"/>
    <xf numFmtId="0" fontId="37" fillId="0" borderId="2" xfId="0" applyFont="1" applyBorder="1"/>
    <xf numFmtId="0" fontId="33" fillId="0" borderId="2" xfId="0" applyFont="1" applyBorder="1" applyAlignment="1">
      <alignment horizontal="center"/>
    </xf>
    <xf numFmtId="170" fontId="32" fillId="0" borderId="0" xfId="0" applyNumberFormat="1" applyFont="1" applyFill="1"/>
    <xf numFmtId="0" fontId="32" fillId="0" borderId="0" xfId="0" applyFont="1" applyFill="1"/>
    <xf numFmtId="170" fontId="23" fillId="0" borderId="0" xfId="0" applyNumberFormat="1" applyFont="1" applyFill="1"/>
    <xf numFmtId="0" fontId="32" fillId="0" borderId="0" xfId="0" applyFont="1"/>
    <xf numFmtId="209" fontId="8" fillId="0" borderId="0" xfId="0" applyNumberFormat="1" applyFont="1"/>
    <xf numFmtId="214" fontId="23" fillId="0" borderId="0" xfId="0" applyNumberFormat="1" applyFont="1" applyFill="1"/>
    <xf numFmtId="179" fontId="23" fillId="0" borderId="0" xfId="0" applyNumberFormat="1" applyFont="1"/>
    <xf numFmtId="177" fontId="23" fillId="0" borderId="0" xfId="0" applyNumberFormat="1" applyFont="1"/>
    <xf numFmtId="187" fontId="8" fillId="0" borderId="0" xfId="10" applyNumberFormat="1" applyFont="1"/>
    <xf numFmtId="0" fontId="41" fillId="0" borderId="0" xfId="0" applyFont="1" applyAlignment="1" applyProtection="1">
      <alignment horizontal="left"/>
    </xf>
    <xf numFmtId="0" fontId="34" fillId="0" borderId="0" xfId="0" applyFont="1" applyAlignment="1" applyProtection="1">
      <alignment horizontal="left"/>
    </xf>
    <xf numFmtId="37" fontId="33" fillId="0" borderId="0" xfId="30" applyFont="1" applyAlignment="1" applyProtection="1">
      <alignment horizontal="left"/>
    </xf>
    <xf numFmtId="0" fontId="37" fillId="0" borderId="0" xfId="0" applyFont="1"/>
    <xf numFmtId="37" fontId="23" fillId="0" borderId="0" xfId="30" applyFont="1" applyAlignment="1" applyProtection="1">
      <alignment horizontal="left"/>
    </xf>
    <xf numFmtId="175" fontId="32" fillId="0" borderId="0" xfId="0" applyNumberFormat="1" applyFont="1"/>
    <xf numFmtId="175" fontId="23" fillId="0" borderId="0" xfId="0" applyNumberFormat="1" applyFont="1"/>
    <xf numFmtId="166" fontId="32" fillId="0" borderId="0" xfId="0" applyNumberFormat="1" applyFont="1"/>
    <xf numFmtId="37" fontId="23" fillId="0" borderId="0" xfId="30" applyFont="1"/>
    <xf numFmtId="170" fontId="32" fillId="0" borderId="0" xfId="0" applyNumberFormat="1" applyFont="1" applyBorder="1"/>
    <xf numFmtId="174" fontId="23" fillId="0" borderId="5" xfId="0" applyNumberFormat="1" applyFont="1" applyBorder="1"/>
    <xf numFmtId="0" fontId="33" fillId="0" borderId="0" xfId="0" applyFont="1"/>
    <xf numFmtId="189" fontId="23" fillId="0" borderId="0" xfId="0" applyNumberFormat="1" applyFont="1"/>
    <xf numFmtId="166" fontId="32" fillId="0" borderId="0" xfId="0" applyNumberFormat="1" applyFont="1" applyBorder="1"/>
    <xf numFmtId="174" fontId="23" fillId="0" borderId="2" xfId="0" applyNumberFormat="1" applyFont="1" applyBorder="1"/>
    <xf numFmtId="210" fontId="23" fillId="0" borderId="0" xfId="0" applyNumberFormat="1" applyFont="1"/>
    <xf numFmtId="170" fontId="23" fillId="0" borderId="0" xfId="0" applyNumberFormat="1" applyFont="1" applyBorder="1"/>
    <xf numFmtId="168" fontId="32" fillId="0" borderId="0" xfId="37" applyNumberFormat="1" applyFont="1"/>
    <xf numFmtId="0" fontId="36" fillId="0" borderId="0" xfId="0" applyFont="1"/>
    <xf numFmtId="0" fontId="43" fillId="0" borderId="0" xfId="23" applyFont="1" applyAlignment="1">
      <alignment horizontal="left"/>
    </xf>
    <xf numFmtId="0" fontId="43" fillId="0" borderId="0" xfId="23" applyFont="1"/>
    <xf numFmtId="0" fontId="40" fillId="0" borderId="2" xfId="23" applyFont="1" applyBorder="1"/>
    <xf numFmtId="0" fontId="43" fillId="0" borderId="2" xfId="23" applyFont="1" applyBorder="1" applyAlignment="1">
      <alignment horizontal="left"/>
    </xf>
    <xf numFmtId="0" fontId="43" fillId="0" borderId="2" xfId="23" applyFont="1" applyBorder="1"/>
    <xf numFmtId="15" fontId="43" fillId="0" borderId="0" xfId="23" applyNumberFormat="1" applyFont="1"/>
    <xf numFmtId="0" fontId="44" fillId="0" borderId="0" xfId="23" applyFont="1" applyBorder="1" applyAlignment="1">
      <alignment horizontal="centerContinuous"/>
    </xf>
    <xf numFmtId="0" fontId="44" fillId="0" borderId="2" xfId="23" applyFont="1" applyBorder="1" applyAlignment="1">
      <alignment horizontal="centerContinuous"/>
    </xf>
    <xf numFmtId="0" fontId="44" fillId="0" borderId="2" xfId="23" applyFont="1" applyBorder="1" applyAlignment="1">
      <alignment horizontal="center"/>
    </xf>
    <xf numFmtId="0" fontId="43" fillId="0" borderId="0" xfId="23" applyNumberFormat="1" applyFont="1"/>
    <xf numFmtId="0" fontId="40" fillId="0" borderId="0" xfId="45" applyNumberFormat="1" applyFont="1" applyBorder="1" applyAlignment="1">
      <alignment horizontal="center"/>
    </xf>
    <xf numFmtId="0" fontId="30" fillId="0" borderId="0" xfId="45" applyNumberFormat="1" applyFont="1" applyBorder="1" applyAlignment="1">
      <alignment horizontal="center"/>
    </xf>
    <xf numFmtId="0" fontId="30" fillId="0" borderId="8" xfId="45" applyNumberFormat="1" applyFont="1" applyBorder="1" applyAlignment="1">
      <alignment horizontal="center"/>
    </xf>
    <xf numFmtId="0" fontId="30" fillId="0" borderId="14" xfId="45" applyNumberFormat="1" applyFont="1" applyBorder="1" applyAlignment="1">
      <alignment horizontal="center"/>
    </xf>
    <xf numFmtId="0" fontId="45" fillId="0" borderId="0" xfId="23" applyFont="1"/>
    <xf numFmtId="172" fontId="45" fillId="0" borderId="0" xfId="45" applyFont="1" applyAlignment="1">
      <alignment horizontal="center"/>
    </xf>
    <xf numFmtId="172" fontId="35" fillId="0" borderId="0" xfId="45" applyFont="1" applyAlignment="1">
      <alignment horizontal="center"/>
    </xf>
    <xf numFmtId="172" fontId="33" fillId="0" borderId="0" xfId="45" applyFont="1" applyAlignment="1">
      <alignment horizontal="center"/>
    </xf>
    <xf numFmtId="0" fontId="45" fillId="0" borderId="0" xfId="23" applyFont="1" applyAlignment="1">
      <alignment horizontal="center"/>
    </xf>
    <xf numFmtId="0" fontId="33" fillId="0" borderId="0" xfId="23" applyFont="1" applyAlignment="1">
      <alignment horizontal="center"/>
    </xf>
    <xf numFmtId="172" fontId="35" fillId="0" borderId="0" xfId="45" applyFont="1" applyBorder="1" applyAlignment="1">
      <alignment horizontal="center"/>
    </xf>
    <xf numFmtId="172" fontId="33" fillId="0" borderId="0" xfId="45" applyFont="1" applyBorder="1" applyAlignment="1">
      <alignment horizontal="center"/>
    </xf>
    <xf numFmtId="172" fontId="33" fillId="0" borderId="1" xfId="45" applyFont="1" applyBorder="1" applyAlignment="1">
      <alignment horizontal="center"/>
    </xf>
    <xf numFmtId="172" fontId="33" fillId="0" borderId="22" xfId="45" applyFont="1" applyBorder="1" applyAlignment="1">
      <alignment horizontal="center"/>
    </xf>
    <xf numFmtId="172" fontId="46" fillId="0" borderId="0" xfId="45" applyFont="1" applyAlignment="1">
      <alignment horizontal="center"/>
    </xf>
    <xf numFmtId="0" fontId="46" fillId="0" borderId="0" xfId="23" applyFont="1" applyAlignment="1">
      <alignment horizontal="center"/>
    </xf>
    <xf numFmtId="0" fontId="43" fillId="0" borderId="0" xfId="23" applyFont="1" applyBorder="1"/>
    <xf numFmtId="0" fontId="43" fillId="0" borderId="1" xfId="23" applyFont="1" applyBorder="1"/>
    <xf numFmtId="0" fontId="43" fillId="0" borderId="22" xfId="23" applyFont="1" applyBorder="1"/>
    <xf numFmtId="5" fontId="43" fillId="0" borderId="0" xfId="23" applyNumberFormat="1" applyFont="1"/>
    <xf numFmtId="5" fontId="43" fillId="0" borderId="0" xfId="23" applyNumberFormat="1" applyFont="1" applyAlignment="1">
      <alignment horizontal="right"/>
    </xf>
    <xf numFmtId="5" fontId="43" fillId="0" borderId="0" xfId="23" applyNumberFormat="1" applyFont="1" applyBorder="1" applyAlignment="1">
      <alignment horizontal="right"/>
    </xf>
    <xf numFmtId="5" fontId="43" fillId="0" borderId="1" xfId="23" applyNumberFormat="1" applyFont="1" applyBorder="1" applyAlignment="1">
      <alignment horizontal="right"/>
    </xf>
    <xf numFmtId="5" fontId="43" fillId="0" borderId="22" xfId="23" applyNumberFormat="1" applyFont="1" applyBorder="1" applyAlignment="1">
      <alignment horizontal="right"/>
    </xf>
    <xf numFmtId="192" fontId="43" fillId="0" borderId="0" xfId="23" applyNumberFormat="1" applyFont="1" applyAlignment="1">
      <alignment horizontal="right"/>
    </xf>
    <xf numFmtId="37" fontId="43" fillId="0" borderId="0" xfId="23" applyNumberFormat="1" applyFont="1"/>
    <xf numFmtId="37" fontId="43" fillId="0" borderId="0" xfId="23" applyNumberFormat="1" applyFont="1" applyAlignment="1">
      <alignment horizontal="center"/>
    </xf>
    <xf numFmtId="37" fontId="43" fillId="0" borderId="0" xfId="23" applyNumberFormat="1" applyFont="1" applyBorder="1"/>
    <xf numFmtId="37" fontId="43" fillId="0" borderId="1" xfId="23" applyNumberFormat="1" applyFont="1" applyBorder="1"/>
    <xf numFmtId="37" fontId="43" fillId="0" borderId="22" xfId="23" applyNumberFormat="1" applyFont="1" applyBorder="1"/>
    <xf numFmtId="2" fontId="43" fillId="0" borderId="0" xfId="23" applyNumberFormat="1" applyFont="1"/>
    <xf numFmtId="2" fontId="43" fillId="0" borderId="0" xfId="23" applyNumberFormat="1" applyFont="1" applyBorder="1"/>
    <xf numFmtId="2" fontId="43" fillId="0" borderId="1" xfId="23" applyNumberFormat="1" applyFont="1" applyBorder="1"/>
    <xf numFmtId="2" fontId="43" fillId="0" borderId="22" xfId="23" applyNumberFormat="1" applyFont="1" applyBorder="1"/>
    <xf numFmtId="192" fontId="43" fillId="0" borderId="0" xfId="23" applyNumberFormat="1" applyFont="1"/>
    <xf numFmtId="192" fontId="43" fillId="0" borderId="0" xfId="23" applyNumberFormat="1" applyFont="1" applyBorder="1"/>
    <xf numFmtId="192" fontId="43" fillId="0" borderId="1" xfId="23" applyNumberFormat="1" applyFont="1" applyBorder="1"/>
    <xf numFmtId="192" fontId="43" fillId="0" borderId="22" xfId="23" applyNumberFormat="1" applyFont="1" applyBorder="1"/>
    <xf numFmtId="5" fontId="43" fillId="0" borderId="24" xfId="23" applyNumberFormat="1" applyFont="1" applyBorder="1"/>
    <xf numFmtId="5" fontId="43" fillId="0" borderId="5" xfId="23" applyNumberFormat="1" applyFont="1" applyBorder="1" applyAlignment="1">
      <alignment horizontal="right"/>
    </xf>
    <xf numFmtId="7" fontId="43" fillId="0" borderId="5" xfId="23" applyNumberFormat="1" applyFont="1" applyBorder="1" applyAlignment="1">
      <alignment horizontal="right"/>
    </xf>
    <xf numFmtId="7" fontId="23" fillId="0" borderId="5" xfId="23" applyNumberFormat="1" applyFont="1" applyFill="1" applyBorder="1" applyAlignment="1">
      <alignment horizontal="right"/>
    </xf>
    <xf numFmtId="7" fontId="43" fillId="0" borderId="24" xfId="23" applyNumberFormat="1" applyFont="1" applyBorder="1" applyAlignment="1">
      <alignment horizontal="right"/>
    </xf>
    <xf numFmtId="170" fontId="43" fillId="0" borderId="0" xfId="23" applyNumberFormat="1" applyFont="1"/>
    <xf numFmtId="170" fontId="43" fillId="0" borderId="0" xfId="23" applyNumberFormat="1" applyFont="1" applyAlignment="1">
      <alignment horizontal="right"/>
    </xf>
    <xf numFmtId="170" fontId="43" fillId="0" borderId="0" xfId="23" applyNumberFormat="1" applyFont="1" applyBorder="1" applyAlignment="1">
      <alignment horizontal="right"/>
    </xf>
    <xf numFmtId="170" fontId="43" fillId="0" borderId="1" xfId="23" applyNumberFormat="1" applyFont="1" applyBorder="1" applyAlignment="1">
      <alignment horizontal="right"/>
    </xf>
    <xf numFmtId="170" fontId="43" fillId="0" borderId="22" xfId="23" applyNumberFormat="1" applyFont="1" applyBorder="1" applyAlignment="1">
      <alignment horizontal="right"/>
    </xf>
    <xf numFmtId="7" fontId="43" fillId="0" borderId="0" xfId="23" applyNumberFormat="1" applyFont="1"/>
    <xf numFmtId="175" fontId="43" fillId="0" borderId="0" xfId="23" applyNumberFormat="1" applyFont="1" applyAlignment="1">
      <alignment horizontal="right"/>
    </xf>
    <xf numFmtId="168" fontId="43" fillId="0" borderId="0" xfId="23" applyNumberFormat="1" applyFont="1" applyAlignment="1">
      <alignment horizontal="right"/>
    </xf>
    <xf numFmtId="193" fontId="43" fillId="0" borderId="0" xfId="37" applyNumberFormat="1" applyFont="1" applyAlignment="1">
      <alignment horizontal="right"/>
    </xf>
    <xf numFmtId="168" fontId="43" fillId="0" borderId="0" xfId="37" applyNumberFormat="1" applyFont="1" applyBorder="1" applyAlignment="1">
      <alignment horizontal="right"/>
    </xf>
    <xf numFmtId="168" fontId="43" fillId="0" borderId="1" xfId="37" applyNumberFormat="1" applyFont="1" applyBorder="1" applyAlignment="1">
      <alignment horizontal="right"/>
    </xf>
    <xf numFmtId="168" fontId="43" fillId="0" borderId="22" xfId="37" applyNumberFormat="1" applyFont="1" applyBorder="1" applyAlignment="1">
      <alignment horizontal="right"/>
    </xf>
    <xf numFmtId="168" fontId="43" fillId="0" borderId="0" xfId="37" applyNumberFormat="1" applyFont="1" applyAlignment="1">
      <alignment horizontal="right"/>
    </xf>
    <xf numFmtId="168" fontId="43" fillId="0" borderId="0" xfId="23" applyNumberFormat="1" applyFont="1"/>
    <xf numFmtId="168" fontId="43" fillId="0" borderId="0" xfId="23" applyNumberFormat="1" applyFont="1" applyBorder="1"/>
    <xf numFmtId="168" fontId="43" fillId="0" borderId="1" xfId="23" applyNumberFormat="1" applyFont="1" applyBorder="1"/>
    <xf numFmtId="168" fontId="43" fillId="0" borderId="22" xfId="23" applyNumberFormat="1" applyFont="1" applyBorder="1"/>
    <xf numFmtId="193" fontId="43" fillId="0" borderId="0" xfId="28" applyNumberFormat="1" applyFont="1" applyAlignment="1">
      <alignment horizontal="right"/>
    </xf>
    <xf numFmtId="168" fontId="43" fillId="0" borderId="0" xfId="28" applyNumberFormat="1" applyFont="1" applyAlignment="1">
      <alignment horizontal="right"/>
    </xf>
    <xf numFmtId="168" fontId="43" fillId="0" borderId="0" xfId="28" applyNumberFormat="1" applyFont="1" applyBorder="1" applyAlignment="1">
      <alignment horizontal="right"/>
    </xf>
    <xf numFmtId="172" fontId="43" fillId="0" borderId="0" xfId="10" applyNumberFormat="1" applyFont="1" applyAlignment="1">
      <alignment horizontal="right"/>
    </xf>
    <xf numFmtId="168" fontId="43" fillId="0" borderId="0" xfId="10" applyNumberFormat="1" applyFont="1" applyAlignment="1">
      <alignment horizontal="right"/>
    </xf>
    <xf numFmtId="193" fontId="47" fillId="0" borderId="0" xfId="37" applyNumberFormat="1" applyFont="1" applyAlignment="1">
      <alignment horizontal="right"/>
    </xf>
    <xf numFmtId="168" fontId="47" fillId="0" borderId="0" xfId="10" applyNumberFormat="1" applyFont="1" applyAlignment="1">
      <alignment horizontal="right"/>
    </xf>
    <xf numFmtId="168" fontId="47" fillId="0" borderId="0" xfId="37" applyNumberFormat="1" applyFont="1" applyBorder="1" applyAlignment="1">
      <alignment horizontal="right"/>
    </xf>
    <xf numFmtId="193" fontId="47" fillId="0" borderId="0" xfId="37" applyNumberFormat="1" applyFont="1" applyBorder="1" applyAlignment="1">
      <alignment horizontal="right"/>
    </xf>
    <xf numFmtId="168" fontId="47" fillId="0" borderId="22" xfId="37" applyNumberFormat="1" applyFont="1" applyBorder="1" applyAlignment="1">
      <alignment horizontal="right"/>
    </xf>
    <xf numFmtId="168" fontId="48" fillId="0" borderId="0" xfId="37" applyNumberFormat="1" applyFont="1" applyBorder="1" applyAlignment="1">
      <alignment horizontal="right"/>
    </xf>
    <xf numFmtId="168" fontId="23" fillId="0" borderId="0" xfId="37" applyNumberFormat="1" applyFont="1" applyAlignment="1">
      <alignment horizontal="right"/>
    </xf>
    <xf numFmtId="168" fontId="48" fillId="0" borderId="0" xfId="37" applyNumberFormat="1" applyFont="1" applyFill="1" applyAlignment="1">
      <alignment horizontal="right"/>
    </xf>
    <xf numFmtId="168" fontId="43" fillId="0" borderId="20" xfId="37" applyNumberFormat="1" applyFont="1" applyBorder="1" applyAlignment="1">
      <alignment horizontal="right"/>
    </xf>
    <xf numFmtId="168" fontId="43" fillId="0" borderId="2" xfId="37" applyNumberFormat="1" applyFont="1" applyBorder="1" applyAlignment="1">
      <alignment horizontal="right"/>
    </xf>
    <xf numFmtId="168" fontId="43" fillId="0" borderId="23" xfId="37" applyNumberFormat="1" applyFont="1" applyBorder="1" applyAlignment="1">
      <alignment horizontal="right"/>
    </xf>
    <xf numFmtId="170" fontId="43" fillId="0" borderId="0" xfId="23" applyNumberFormat="1" applyFont="1" applyAlignment="1">
      <alignment horizontal="centerContinuous"/>
    </xf>
    <xf numFmtId="170" fontId="43" fillId="0" borderId="0" xfId="23" applyNumberFormat="1" applyFont="1" applyBorder="1" applyAlignment="1">
      <alignment horizontal="centerContinuous"/>
    </xf>
    <xf numFmtId="170" fontId="43" fillId="0" borderId="0" xfId="23" quotePrefix="1" applyNumberFormat="1" applyFont="1" applyBorder="1" applyAlignment="1">
      <alignment horizontal="centerContinuous"/>
    </xf>
    <xf numFmtId="0" fontId="43" fillId="0" borderId="0" xfId="23" applyNumberFormat="1" applyFont="1" applyBorder="1"/>
    <xf numFmtId="0" fontId="45" fillId="0" borderId="0" xfId="23" applyFont="1" applyBorder="1"/>
    <xf numFmtId="0" fontId="45" fillId="0" borderId="14" xfId="23" applyFont="1" applyBorder="1" applyAlignment="1">
      <alignment horizontal="right"/>
    </xf>
    <xf numFmtId="0" fontId="23" fillId="0" borderId="22" xfId="0" applyFont="1" applyBorder="1"/>
    <xf numFmtId="0" fontId="33" fillId="0" borderId="8" xfId="0" applyFont="1" applyBorder="1"/>
    <xf numFmtId="0" fontId="23" fillId="0" borderId="14" xfId="0" applyFont="1" applyBorder="1"/>
    <xf numFmtId="0" fontId="45" fillId="0" borderId="14" xfId="23" applyFont="1" applyBorder="1"/>
    <xf numFmtId="0" fontId="33" fillId="0" borderId="14" xfId="45" applyNumberFormat="1" applyFont="1" applyBorder="1" applyAlignment="1">
      <alignment horizontal="right"/>
    </xf>
    <xf numFmtId="0" fontId="33" fillId="0" borderId="21" xfId="45" applyNumberFormat="1" applyFont="1" applyBorder="1" applyAlignment="1">
      <alignment horizontal="right"/>
    </xf>
    <xf numFmtId="175" fontId="43" fillId="0" borderId="0" xfId="23" applyNumberFormat="1" applyFont="1" applyBorder="1" applyAlignment="1">
      <alignment horizontal="left"/>
    </xf>
    <xf numFmtId="37" fontId="43" fillId="0" borderId="0" xfId="23" applyNumberFormat="1" applyFont="1" applyBorder="1" applyAlignment="1">
      <alignment horizontal="right"/>
    </xf>
    <xf numFmtId="175" fontId="43" fillId="0" borderId="0" xfId="23" applyNumberFormat="1" applyFont="1" applyBorder="1" applyAlignment="1">
      <alignment horizontal="right"/>
    </xf>
    <xf numFmtId="37" fontId="43" fillId="0" borderId="22" xfId="23" applyNumberFormat="1" applyFont="1" applyBorder="1" applyAlignment="1">
      <alignment horizontal="right"/>
    </xf>
    <xf numFmtId="0" fontId="23" fillId="0" borderId="1" xfId="0" applyFont="1" applyBorder="1"/>
    <xf numFmtId="170" fontId="43" fillId="0" borderId="0" xfId="23" applyNumberFormat="1" applyFont="1" applyFill="1" applyBorder="1" applyAlignment="1">
      <alignment horizontal="right"/>
    </xf>
    <xf numFmtId="170" fontId="43" fillId="0" borderId="1" xfId="23" applyNumberFormat="1" applyFont="1" applyBorder="1"/>
    <xf numFmtId="37" fontId="43" fillId="0" borderId="0" xfId="23" applyNumberFormat="1" applyFont="1" applyBorder="1" applyAlignment="1">
      <alignment horizontal="left"/>
    </xf>
    <xf numFmtId="39" fontId="43" fillId="0" borderId="0" xfId="23" applyNumberFormat="1" applyFont="1" applyBorder="1" applyAlignment="1">
      <alignment horizontal="right"/>
    </xf>
    <xf numFmtId="39" fontId="43" fillId="0" borderId="22" xfId="23" applyNumberFormat="1" applyFont="1" applyBorder="1" applyAlignment="1">
      <alignment horizontal="right"/>
    </xf>
    <xf numFmtId="168" fontId="43" fillId="0" borderId="0" xfId="37" applyNumberFormat="1" applyFont="1" applyFill="1" applyBorder="1" applyAlignment="1">
      <alignment horizontal="right"/>
    </xf>
    <xf numFmtId="0" fontId="23" fillId="0" borderId="20" xfId="0" applyFont="1" applyBorder="1"/>
    <xf numFmtId="168" fontId="43" fillId="0" borderId="2" xfId="37" applyNumberFormat="1" applyFont="1" applyFill="1" applyBorder="1" applyAlignment="1">
      <alignment horizontal="right"/>
    </xf>
    <xf numFmtId="170" fontId="43" fillId="0" borderId="20" xfId="23" applyNumberFormat="1" applyFont="1" applyBorder="1"/>
    <xf numFmtId="6" fontId="43" fillId="0" borderId="2" xfId="15" applyNumberFormat="1" applyFont="1" applyBorder="1" applyAlignment="1">
      <alignment horizontal="right"/>
    </xf>
    <xf numFmtId="168" fontId="43" fillId="0" borderId="0" xfId="23" applyNumberFormat="1" applyFont="1" applyBorder="1" applyAlignment="1">
      <alignment horizontal="left"/>
    </xf>
    <xf numFmtId="168" fontId="43" fillId="0" borderId="0" xfId="23" applyNumberFormat="1" applyFont="1" applyBorder="1" applyAlignment="1">
      <alignment horizontal="right"/>
    </xf>
    <xf numFmtId="6" fontId="43" fillId="0" borderId="23" xfId="15" applyNumberFormat="1" applyFont="1" applyBorder="1" applyAlignment="1">
      <alignment horizontal="right"/>
    </xf>
    <xf numFmtId="183" fontId="23" fillId="0" borderId="0" xfId="24" applyFont="1" applyAlignment="1"/>
    <xf numFmtId="43" fontId="23" fillId="0" borderId="0" xfId="0" applyNumberFormat="1" applyFont="1"/>
    <xf numFmtId="183" fontId="8" fillId="0" borderId="0" xfId="33" applyFont="1" applyFill="1" applyBorder="1"/>
    <xf numFmtId="170" fontId="43" fillId="0" borderId="0" xfId="23" applyNumberFormat="1" applyFont="1" applyBorder="1"/>
    <xf numFmtId="37" fontId="43" fillId="0" borderId="2" xfId="23" applyNumberFormat="1" applyFont="1" applyBorder="1" applyAlignment="1">
      <alignment horizontal="right"/>
    </xf>
    <xf numFmtId="0" fontId="23" fillId="0" borderId="0" xfId="0" applyFont="1" applyAlignment="1">
      <alignment horizontal="left"/>
    </xf>
    <xf numFmtId="0" fontId="23" fillId="0" borderId="0" xfId="0" applyFont="1" applyFill="1" applyAlignment="1">
      <alignment horizontal="center"/>
    </xf>
    <xf numFmtId="0" fontId="23" fillId="0" borderId="0" xfId="0" applyFont="1" applyFill="1" applyAlignment="1">
      <alignment horizontal="left"/>
    </xf>
    <xf numFmtId="0" fontId="11" fillId="0" borderId="2" xfId="0" applyFont="1" applyBorder="1" applyAlignment="1">
      <alignment horizontal="centerContinuous"/>
    </xf>
    <xf numFmtId="37" fontId="12" fillId="0" borderId="0" xfId="33" applyNumberFormat="1" applyFont="1" applyFill="1" applyProtection="1"/>
    <xf numFmtId="37" fontId="8" fillId="0" borderId="0" xfId="33" applyNumberFormat="1" applyFont="1" applyFill="1" applyProtection="1"/>
    <xf numFmtId="198" fontId="10" fillId="0" borderId="0" xfId="0" applyNumberFormat="1" applyFont="1" applyFill="1" applyBorder="1" applyAlignment="1">
      <alignment horizontal="left"/>
    </xf>
    <xf numFmtId="0" fontId="42" fillId="0" borderId="0" xfId="0" applyFont="1" applyFill="1"/>
    <xf numFmtId="0" fontId="4" fillId="0" borderId="0" xfId="0" applyFont="1" applyFill="1" applyBorder="1"/>
    <xf numFmtId="0" fontId="4" fillId="0" borderId="0" xfId="0" applyFont="1" applyFill="1" applyBorder="1" applyAlignment="1">
      <alignment horizontal="centerContinuous"/>
    </xf>
    <xf numFmtId="199" fontId="17" fillId="0" borderId="0" xfId="0" applyNumberFormat="1" applyFont="1" applyFill="1" applyBorder="1" applyAlignment="1">
      <alignment horizontal="left"/>
    </xf>
    <xf numFmtId="199" fontId="4" fillId="0" borderId="0" xfId="0" applyNumberFormat="1" applyFont="1" applyFill="1" applyBorder="1" applyAlignment="1">
      <alignment horizontal="left"/>
    </xf>
    <xf numFmtId="173" fontId="4" fillId="0" borderId="0" xfId="0" applyNumberFormat="1" applyFont="1" applyFill="1" applyBorder="1"/>
    <xf numFmtId="195" fontId="4" fillId="0" borderId="0" xfId="0" applyNumberFormat="1" applyFont="1" applyFill="1" applyBorder="1"/>
    <xf numFmtId="0" fontId="42" fillId="0" borderId="0" xfId="0" applyFont="1" applyFill="1" applyBorder="1"/>
    <xf numFmtId="172" fontId="4" fillId="0" borderId="0" xfId="0" applyNumberFormat="1" applyFont="1" applyFill="1" applyBorder="1"/>
    <xf numFmtId="195" fontId="4" fillId="0" borderId="2" xfId="0" applyNumberFormat="1" applyFont="1" applyFill="1" applyBorder="1"/>
    <xf numFmtId="0" fontId="13" fillId="0" borderId="0" xfId="0" applyFont="1" applyFill="1" applyAlignment="1" applyProtection="1">
      <alignment horizontal="left"/>
    </xf>
    <xf numFmtId="0" fontId="4" fillId="0" borderId="2" xfId="0" applyFont="1" applyFill="1" applyBorder="1" applyAlignment="1">
      <alignment horizontal="centerContinuous"/>
    </xf>
    <xf numFmtId="0" fontId="16" fillId="0" borderId="0" xfId="0" applyFont="1" applyFill="1"/>
    <xf numFmtId="0" fontId="16" fillId="0" borderId="0" xfId="0" applyFont="1" applyFill="1" applyAlignment="1">
      <alignment horizontal="left"/>
    </xf>
    <xf numFmtId="0" fontId="16" fillId="0" borderId="0" xfId="0" applyFont="1" applyFill="1" applyAlignment="1">
      <alignment horizontal="centerContinuous"/>
    </xf>
    <xf numFmtId="175" fontId="4" fillId="0" borderId="0" xfId="0" applyNumberFormat="1" applyFont="1" applyFill="1"/>
    <xf numFmtId="186" fontId="4" fillId="0" borderId="0" xfId="0" applyNumberFormat="1" applyFont="1" applyFill="1"/>
    <xf numFmtId="178" fontId="17" fillId="0" borderId="0" xfId="10" applyNumberFormat="1" applyFont="1" applyFill="1"/>
    <xf numFmtId="197" fontId="4" fillId="0" borderId="0" xfId="0" applyNumberFormat="1" applyFont="1" applyFill="1"/>
    <xf numFmtId="197" fontId="16" fillId="0" borderId="0" xfId="0" applyNumberFormat="1" applyFont="1" applyFill="1" applyAlignment="1">
      <alignment horizontal="centerContinuous"/>
    </xf>
    <xf numFmtId="175" fontId="17" fillId="0" borderId="2" xfId="0" applyNumberFormat="1" applyFont="1" applyFill="1" applyBorder="1"/>
    <xf numFmtId="174" fontId="17" fillId="0" borderId="0" xfId="0" applyNumberFormat="1" applyFont="1" applyFill="1"/>
    <xf numFmtId="206" fontId="4" fillId="0" borderId="0" xfId="0" applyNumberFormat="1" applyFont="1" applyFill="1"/>
    <xf numFmtId="209" fontId="4" fillId="0" borderId="0" xfId="0" applyNumberFormat="1" applyFont="1" applyFill="1"/>
    <xf numFmtId="8" fontId="4" fillId="0" borderId="0" xfId="0" applyNumberFormat="1" applyFont="1" applyFill="1"/>
    <xf numFmtId="40" fontId="4" fillId="0" borderId="2" xfId="0" applyNumberFormat="1" applyFont="1" applyFill="1" applyBorder="1"/>
    <xf numFmtId="170" fontId="4" fillId="0" borderId="0" xfId="0" applyNumberFormat="1" applyFont="1" applyFill="1"/>
    <xf numFmtId="207" fontId="17" fillId="0" borderId="0" xfId="0" applyNumberFormat="1" applyFont="1" applyFill="1"/>
    <xf numFmtId="207" fontId="4" fillId="0" borderId="0" xfId="0" applyNumberFormat="1" applyFont="1" applyFill="1"/>
    <xf numFmtId="170" fontId="17" fillId="0" borderId="0" xfId="0" applyNumberFormat="1" applyFont="1" applyFill="1"/>
    <xf numFmtId="208" fontId="4" fillId="0" borderId="0" xfId="0" applyNumberFormat="1" applyFont="1" applyFill="1"/>
    <xf numFmtId="0" fontId="8" fillId="0" borderId="0" xfId="32" applyFont="1" applyFill="1"/>
    <xf numFmtId="175" fontId="17" fillId="0" borderId="0" xfId="29" applyNumberFormat="1" applyFont="1" applyFill="1" applyProtection="1"/>
    <xf numFmtId="170" fontId="17" fillId="0" borderId="0" xfId="29" applyNumberFormat="1" applyFont="1" applyFill="1" applyProtection="1"/>
    <xf numFmtId="170" fontId="17" fillId="0" borderId="2" xfId="29" applyNumberFormat="1" applyFont="1" applyFill="1" applyBorder="1"/>
    <xf numFmtId="0" fontId="0" fillId="0" borderId="0" xfId="0" applyFill="1"/>
    <xf numFmtId="175" fontId="11" fillId="0" borderId="2" xfId="19" applyNumberFormat="1" applyFont="1" applyFill="1" applyBorder="1" applyAlignment="1" applyProtection="1">
      <alignment horizontal="left"/>
    </xf>
    <xf numFmtId="183" fontId="8" fillId="0" borderId="0" xfId="33" applyFont="1" applyFill="1" applyBorder="1" applyAlignment="1" applyProtection="1">
      <alignment horizontal="left"/>
    </xf>
    <xf numFmtId="183" fontId="8" fillId="0" borderId="22" xfId="33" applyFont="1" applyFill="1" applyBorder="1" applyAlignment="1" applyProtection="1">
      <alignment horizontal="left"/>
    </xf>
    <xf numFmtId="183" fontId="8" fillId="0" borderId="22" xfId="33" applyFont="1" applyFill="1" applyBorder="1"/>
    <xf numFmtId="37" fontId="8" fillId="0" borderId="22" xfId="33" applyNumberFormat="1" applyFont="1" applyFill="1" applyBorder="1" applyProtection="1"/>
    <xf numFmtId="10" fontId="8" fillId="0" borderId="0" xfId="19" applyNumberFormat="1" applyFont="1" applyFill="1"/>
    <xf numFmtId="183" fontId="8" fillId="0" borderId="23" xfId="33" applyFont="1" applyFill="1" applyBorder="1" applyAlignment="1" applyProtection="1">
      <alignment horizontal="left"/>
    </xf>
    <xf numFmtId="0" fontId="0" fillId="0" borderId="0" xfId="0" applyFill="1" applyBorder="1"/>
    <xf numFmtId="7" fontId="0" fillId="0" borderId="0" xfId="0" applyNumberFormat="1" applyFill="1"/>
    <xf numFmtId="13" fontId="0" fillId="0" borderId="0" xfId="0" applyNumberFormat="1" applyFill="1"/>
    <xf numFmtId="170" fontId="8" fillId="0" borderId="0" xfId="33" applyNumberFormat="1" applyFont="1" applyFill="1" applyProtection="1"/>
    <xf numFmtId="168" fontId="0" fillId="0" borderId="0" xfId="37" applyNumberFormat="1" applyFont="1" applyFill="1"/>
    <xf numFmtId="7" fontId="0" fillId="0" borderId="0" xfId="0" applyNumberFormat="1" applyFill="1" applyBorder="1"/>
    <xf numFmtId="170" fontId="0" fillId="0" borderId="0" xfId="0" applyNumberFormat="1" applyFill="1"/>
    <xf numFmtId="167" fontId="8" fillId="0" borderId="0" xfId="0" applyNumberFormat="1" applyFont="1" applyFill="1"/>
    <xf numFmtId="167" fontId="8" fillId="0" borderId="0" xfId="37" applyNumberFormat="1" applyFont="1" applyFill="1"/>
    <xf numFmtId="43" fontId="0" fillId="0" borderId="0" xfId="0" applyNumberFormat="1" applyFill="1"/>
    <xf numFmtId="0" fontId="0" fillId="0" borderId="2" xfId="0" applyFill="1" applyBorder="1"/>
    <xf numFmtId="168" fontId="36" fillId="0" borderId="0" xfId="0" applyNumberFormat="1" applyFont="1" applyFill="1" applyBorder="1"/>
    <xf numFmtId="170" fontId="0" fillId="0" borderId="0" xfId="0" applyNumberFormat="1" applyFill="1" applyBorder="1"/>
    <xf numFmtId="0" fontId="49" fillId="0" borderId="0" xfId="0" applyFont="1" applyAlignment="1">
      <alignment vertical="center"/>
    </xf>
    <xf numFmtId="0" fontId="4" fillId="0" borderId="0" xfId="0" applyFont="1" applyFill="1" applyAlignment="1">
      <alignment horizontal="center"/>
    </xf>
    <xf numFmtId="0" fontId="4" fillId="6" borderId="2" xfId="0" applyFont="1" applyFill="1" applyBorder="1" applyAlignment="1">
      <alignment horizontal="centerContinuous"/>
    </xf>
    <xf numFmtId="0" fontId="8" fillId="0" borderId="0" xfId="0" applyFont="1" applyAlignment="1">
      <alignment wrapText="1"/>
    </xf>
    <xf numFmtId="0" fontId="22" fillId="0" borderId="0" xfId="0" applyFont="1" applyAlignment="1">
      <alignment wrapText="1"/>
    </xf>
    <xf numFmtId="0" fontId="11" fillId="0" borderId="8" xfId="0" applyFont="1" applyBorder="1" applyAlignment="1">
      <alignment horizontal="center" wrapText="1"/>
    </xf>
    <xf numFmtId="0" fontId="4" fillId="0" borderId="14" xfId="0" applyFont="1" applyBorder="1" applyAlignment="1">
      <alignment horizontal="center" wrapText="1"/>
    </xf>
    <xf numFmtId="0" fontId="11" fillId="0" borderId="14" xfId="0" applyFont="1" applyBorder="1" applyAlignment="1">
      <alignment horizontal="center" wrapText="1"/>
    </xf>
    <xf numFmtId="0" fontId="4" fillId="0" borderId="21" xfId="0" applyFont="1" applyBorder="1" applyAlignment="1">
      <alignment horizontal="center" wrapText="1"/>
    </xf>
    <xf numFmtId="0" fontId="4" fillId="0" borderId="0" xfId="0" applyFont="1" applyFill="1" applyAlignment="1">
      <alignment horizontal="center" wrapText="1"/>
    </xf>
    <xf numFmtId="0" fontId="11" fillId="0" borderId="0" xfId="0" applyFont="1" applyAlignment="1">
      <alignment horizontal="center" wrapText="1"/>
    </xf>
    <xf numFmtId="0" fontId="4" fillId="0" borderId="0" xfId="0" applyFont="1" applyAlignment="1">
      <alignment horizontal="center" wrapText="1"/>
    </xf>
    <xf numFmtId="0" fontId="49" fillId="0" borderId="0" xfId="0" applyFont="1" applyAlignment="1">
      <alignment horizontal="center" vertical="center" wrapText="1"/>
    </xf>
    <xf numFmtId="0" fontId="8" fillId="0" borderId="0" xfId="0" applyFont="1" applyAlignment="1">
      <alignment horizontal="center" wrapText="1"/>
    </xf>
    <xf numFmtId="0" fontId="8" fillId="0" borderId="1" xfId="0" applyFont="1" applyBorder="1" applyAlignment="1">
      <alignment horizontal="center"/>
    </xf>
    <xf numFmtId="0" fontId="8" fillId="0" borderId="22" xfId="0" applyFont="1" applyBorder="1"/>
    <xf numFmtId="0" fontId="8" fillId="0" borderId="0" xfId="0" applyFont="1" applyFill="1" applyBorder="1"/>
    <xf numFmtId="0" fontId="49" fillId="0" borderId="0" xfId="0" applyFont="1" applyFill="1" applyBorder="1" applyAlignment="1">
      <alignment vertical="center"/>
    </xf>
    <xf numFmtId="211" fontId="12" fillId="0" borderId="1" xfId="29" applyNumberFormat="1" applyFont="1" applyBorder="1" applyAlignment="1">
      <alignment horizontal="right"/>
    </xf>
    <xf numFmtId="215" fontId="4" fillId="0" borderId="0" xfId="0" applyNumberFormat="1" applyFont="1" applyBorder="1" applyAlignment="1">
      <alignment horizontal="right"/>
    </xf>
    <xf numFmtId="195" fontId="4" fillId="0" borderId="0" xfId="37" applyNumberFormat="1" applyFont="1" applyBorder="1" applyAlignment="1">
      <alignment horizontal="left"/>
    </xf>
    <xf numFmtId="211" fontId="12" fillId="0" borderId="0" xfId="29" applyNumberFormat="1" applyFont="1" applyBorder="1" applyAlignment="1">
      <alignment horizontal="right"/>
    </xf>
    <xf numFmtId="195" fontId="4" fillId="0" borderId="0" xfId="37" applyNumberFormat="1" applyFont="1" applyFill="1" applyAlignment="1">
      <alignment horizontal="left"/>
    </xf>
    <xf numFmtId="215" fontId="4" fillId="0" borderId="0" xfId="0" applyNumberFormat="1" applyFont="1" applyAlignment="1">
      <alignment horizontal="right"/>
    </xf>
    <xf numFmtId="195" fontId="4" fillId="0" borderId="0" xfId="37" applyNumberFormat="1" applyFont="1" applyAlignment="1">
      <alignment horizontal="left"/>
    </xf>
    <xf numFmtId="211" fontId="8" fillId="0" borderId="0" xfId="29" applyNumberFormat="1" applyFont="1" applyFill="1" applyBorder="1" applyAlignment="1">
      <alignment horizontal="right"/>
    </xf>
    <xf numFmtId="211" fontId="49" fillId="0" borderId="0" xfId="29" applyNumberFormat="1" applyFont="1" applyFill="1" applyBorder="1" applyAlignment="1">
      <alignment horizontal="right" vertical="center"/>
    </xf>
    <xf numFmtId="220" fontId="12" fillId="0" borderId="1" xfId="29" applyNumberFormat="1" applyFont="1" applyBorder="1" applyAlignment="1">
      <alignment horizontal="right"/>
    </xf>
    <xf numFmtId="220" fontId="12" fillId="0" borderId="0" xfId="29" applyNumberFormat="1" applyFont="1" applyBorder="1" applyAlignment="1">
      <alignment horizontal="right"/>
    </xf>
    <xf numFmtId="194" fontId="4" fillId="0" borderId="22" xfId="0" applyNumberFormat="1" applyFont="1" applyFill="1" applyBorder="1" applyAlignment="1">
      <alignment horizontal="left"/>
    </xf>
    <xf numFmtId="194" fontId="4" fillId="0" borderId="0" xfId="0" applyNumberFormat="1" applyFont="1" applyFill="1" applyAlignment="1">
      <alignment horizontal="left"/>
    </xf>
    <xf numFmtId="220" fontId="8" fillId="0" borderId="0" xfId="29" applyNumberFormat="1" applyFont="1" applyFill="1" applyBorder="1" applyAlignment="1">
      <alignment horizontal="right"/>
    </xf>
    <xf numFmtId="220" fontId="49" fillId="0" borderId="0" xfId="29" applyNumberFormat="1" applyFont="1" applyFill="1" applyBorder="1" applyAlignment="1">
      <alignment horizontal="right" vertical="center"/>
    </xf>
    <xf numFmtId="220" fontId="12" fillId="0" borderId="20" xfId="29" applyNumberFormat="1" applyFont="1" applyBorder="1" applyAlignment="1">
      <alignment horizontal="right"/>
    </xf>
    <xf numFmtId="220" fontId="12" fillId="0" borderId="2" xfId="29" applyNumberFormat="1" applyFont="1" applyBorder="1" applyAlignment="1">
      <alignment horizontal="right"/>
    </xf>
    <xf numFmtId="220" fontId="8" fillId="0" borderId="2" xfId="29" applyNumberFormat="1" applyFont="1" applyFill="1" applyBorder="1" applyAlignment="1">
      <alignment horizontal="right"/>
    </xf>
    <xf numFmtId="0" fontId="12" fillId="0" borderId="0" xfId="0" applyFont="1"/>
    <xf numFmtId="211" fontId="8" fillId="0" borderId="0" xfId="29" applyNumberFormat="1" applyFont="1" applyAlignment="1">
      <alignment horizontal="right"/>
    </xf>
    <xf numFmtId="0" fontId="23" fillId="0" borderId="1" xfId="0" applyFont="1" applyBorder="1" applyAlignment="1">
      <alignment horizontal="center"/>
    </xf>
    <xf numFmtId="0" fontId="23" fillId="0" borderId="0" xfId="0" applyFont="1" applyFill="1" applyBorder="1"/>
    <xf numFmtId="211" fontId="51" fillId="0" borderId="0" xfId="29" applyNumberFormat="1" applyFont="1" applyAlignment="1">
      <alignment horizontal="center" vertical="center"/>
    </xf>
    <xf numFmtId="217" fontId="4" fillId="0" borderId="0" xfId="0" applyNumberFormat="1" applyFont="1" applyAlignment="1">
      <alignment horizontal="right"/>
    </xf>
    <xf numFmtId="169" fontId="12" fillId="0" borderId="0" xfId="29" applyNumberFormat="1" applyFont="1" applyBorder="1" applyAlignment="1">
      <alignment horizontal="right"/>
    </xf>
    <xf numFmtId="194" fontId="4" fillId="0" borderId="2" xfId="0" applyNumberFormat="1" applyFont="1" applyFill="1" applyBorder="1" applyAlignment="1">
      <alignment horizontal="left"/>
    </xf>
    <xf numFmtId="211" fontId="8" fillId="0" borderId="1" xfId="29" applyNumberFormat="1" applyFont="1" applyBorder="1" applyAlignment="1">
      <alignment horizontal="right"/>
    </xf>
    <xf numFmtId="211" fontId="8" fillId="0" borderId="0" xfId="29" applyNumberFormat="1" applyFont="1" applyBorder="1" applyAlignment="1">
      <alignment horizontal="right"/>
    </xf>
    <xf numFmtId="0" fontId="8" fillId="0" borderId="0" xfId="0" applyFont="1" applyBorder="1" applyAlignment="1">
      <alignment horizontal="center"/>
    </xf>
    <xf numFmtId="0" fontId="24" fillId="0" borderId="0" xfId="0" applyFont="1"/>
    <xf numFmtId="0" fontId="17" fillId="0" borderId="0" xfId="0" applyFont="1" applyBorder="1" applyAlignment="1">
      <alignment horizontal="center"/>
    </xf>
    <xf numFmtId="220" fontId="12" fillId="0" borderId="0" xfId="29" applyNumberFormat="1" applyFont="1" applyFill="1" applyBorder="1" applyAlignment="1">
      <alignment horizontal="right"/>
    </xf>
    <xf numFmtId="220" fontId="12" fillId="0" borderId="2" xfId="29" applyNumberFormat="1" applyFont="1" applyFill="1" applyBorder="1" applyAlignment="1">
      <alignment horizontal="right"/>
    </xf>
    <xf numFmtId="222" fontId="8" fillId="0" borderId="0" xfId="29" applyNumberFormat="1" applyFont="1" applyAlignment="1">
      <alignment horizontal="right"/>
    </xf>
    <xf numFmtId="221" fontId="8" fillId="0" borderId="0" xfId="0" applyNumberFormat="1" applyFont="1"/>
    <xf numFmtId="211" fontId="12" fillId="0" borderId="0" xfId="29" applyNumberFormat="1" applyFont="1" applyFill="1" applyBorder="1" applyAlignment="1">
      <alignment horizontal="right"/>
    </xf>
    <xf numFmtId="222" fontId="8" fillId="0" borderId="1" xfId="29" applyNumberFormat="1" applyFont="1" applyBorder="1" applyAlignment="1">
      <alignment horizontal="right"/>
    </xf>
    <xf numFmtId="170" fontId="12" fillId="0" borderId="0" xfId="29" applyNumberFormat="1" applyFont="1" applyBorder="1" applyAlignment="1">
      <alignment horizontal="right"/>
    </xf>
    <xf numFmtId="194" fontId="17" fillId="0" borderId="22" xfId="0" applyNumberFormat="1" applyFont="1" applyFill="1" applyBorder="1" applyAlignment="1">
      <alignment horizontal="left"/>
    </xf>
    <xf numFmtId="220" fontId="8" fillId="0" borderId="20" xfId="29" applyNumberFormat="1" applyFont="1" applyBorder="1" applyAlignment="1">
      <alignment horizontal="right"/>
    </xf>
    <xf numFmtId="195" fontId="4" fillId="0" borderId="0" xfId="37" applyNumberFormat="1" applyFont="1" applyFill="1" applyBorder="1" applyAlignment="1">
      <alignment horizontal="left"/>
    </xf>
    <xf numFmtId="194" fontId="4" fillId="0" borderId="0" xfId="0" applyNumberFormat="1" applyFont="1" applyFill="1" applyBorder="1" applyAlignment="1">
      <alignment horizontal="left"/>
    </xf>
    <xf numFmtId="211" fontId="51" fillId="0" borderId="0" xfId="29" applyNumberFormat="1" applyFont="1" applyBorder="1" applyAlignment="1">
      <alignment horizontal="center" vertical="center"/>
    </xf>
    <xf numFmtId="168" fontId="8" fillId="0" borderId="0" xfId="37" applyNumberFormat="1" applyFont="1" applyBorder="1"/>
    <xf numFmtId="37" fontId="17" fillId="0" borderId="0" xfId="0" applyNumberFormat="1" applyFont="1"/>
    <xf numFmtId="194" fontId="17" fillId="0" borderId="0" xfId="0" applyNumberFormat="1" applyFont="1" applyFill="1" applyBorder="1" applyAlignment="1">
      <alignment horizontal="left"/>
    </xf>
    <xf numFmtId="0" fontId="8" fillId="0" borderId="0" xfId="0" applyFont="1" applyFill="1" applyAlignment="1">
      <alignment horizontal="left"/>
    </xf>
    <xf numFmtId="0" fontId="50" fillId="0" borderId="2" xfId="0" applyFont="1" applyFill="1" applyBorder="1" applyAlignment="1">
      <alignment horizontal="left"/>
    </xf>
    <xf numFmtId="0" fontId="4" fillId="0" borderId="0" xfId="0" applyFont="1" applyFill="1" applyBorder="1" applyAlignment="1">
      <alignment horizontal="left" wrapText="1"/>
    </xf>
    <xf numFmtId="0" fontId="8" fillId="0" borderId="0" xfId="0" applyFont="1" applyFill="1" applyBorder="1" applyAlignment="1">
      <alignment horizontal="left"/>
    </xf>
    <xf numFmtId="0" fontId="23" fillId="0" borderId="0" xfId="0" applyFont="1" applyFill="1" applyBorder="1" applyAlignment="1">
      <alignment horizontal="left"/>
    </xf>
    <xf numFmtId="0" fontId="4" fillId="0" borderId="0" xfId="0" applyFont="1" applyFill="1" applyBorder="1" applyAlignment="1">
      <alignment horizontal="left"/>
    </xf>
    <xf numFmtId="195" fontId="4" fillId="0" borderId="0" xfId="37" applyNumberFormat="1" applyFont="1" applyFill="1" applyAlignment="1">
      <alignment horizontal="center"/>
    </xf>
    <xf numFmtId="195" fontId="4" fillId="0" borderId="0" xfId="37" applyNumberFormat="1" applyFont="1" applyFill="1" applyBorder="1" applyAlignment="1">
      <alignment horizontal="center"/>
    </xf>
    <xf numFmtId="0" fontId="50" fillId="0" borderId="2" xfId="0" applyFont="1" applyFill="1" applyBorder="1" applyAlignment="1">
      <alignment horizontal="center"/>
    </xf>
    <xf numFmtId="169" fontId="8" fillId="0" borderId="2" xfId="29" applyNumberFormat="1" applyFont="1" applyBorder="1" applyAlignment="1">
      <alignment horizontal="right"/>
    </xf>
    <xf numFmtId="186" fontId="53" fillId="0" borderId="0" xfId="0" applyNumberFormat="1" applyFont="1" applyFill="1"/>
    <xf numFmtId="186" fontId="31" fillId="0" borderId="0" xfId="0" applyNumberFormat="1" applyFont="1" applyFill="1"/>
    <xf numFmtId="195" fontId="4" fillId="0" borderId="0" xfId="0" applyNumberFormat="1" applyFont="1" applyFill="1" applyAlignment="1">
      <alignment horizontal="right"/>
    </xf>
    <xf numFmtId="220" fontId="54" fillId="0" borderId="20" xfId="29" applyNumberFormat="1" applyFont="1" applyBorder="1" applyAlignment="1">
      <alignment horizontal="right"/>
    </xf>
    <xf numFmtId="211" fontId="54" fillId="0" borderId="1" xfId="29" applyNumberFormat="1" applyFont="1" applyBorder="1" applyAlignment="1">
      <alignment horizontal="right"/>
    </xf>
    <xf numFmtId="198" fontId="10" fillId="6" borderId="2" xfId="0" applyNumberFormat="1" applyFont="1" applyFill="1" applyBorder="1" applyAlignment="1">
      <alignment horizontal="centerContinuous"/>
    </xf>
    <xf numFmtId="198" fontId="29" fillId="6" borderId="2" xfId="0" applyNumberFormat="1" applyFont="1" applyFill="1" applyBorder="1" applyAlignment="1">
      <alignment horizontal="centerContinuous"/>
    </xf>
    <xf numFmtId="195" fontId="17" fillId="0" borderId="0" xfId="37" applyNumberFormat="1" applyFont="1" applyFill="1" applyAlignment="1">
      <alignment horizontal="center"/>
    </xf>
    <xf numFmtId="211" fontId="12" fillId="0" borderId="1" xfId="29" applyNumberFormat="1" applyFont="1" applyFill="1" applyBorder="1" applyAlignment="1">
      <alignment horizontal="right"/>
    </xf>
    <xf numFmtId="37" fontId="4" fillId="0" borderId="0" xfId="0" applyNumberFormat="1" applyFont="1"/>
    <xf numFmtId="183" fontId="8" fillId="0" borderId="0" xfId="33" quotePrefix="1" applyNumberFormat="1" applyFont="1" applyFill="1" applyAlignment="1" applyProtection="1">
      <alignment horizontal="left"/>
    </xf>
    <xf numFmtId="37" fontId="0" fillId="0" borderId="0" xfId="0" applyNumberFormat="1"/>
    <xf numFmtId="168" fontId="0" fillId="0" borderId="0" xfId="37" applyNumberFormat="1" applyFont="1"/>
    <xf numFmtId="37" fontId="8" fillId="0" borderId="0" xfId="0" applyNumberFormat="1" applyFont="1"/>
    <xf numFmtId="188" fontId="8" fillId="0" borderId="0" xfId="33" applyNumberFormat="1" applyFont="1" applyProtection="1"/>
    <xf numFmtId="178" fontId="17" fillId="0" borderId="2" xfId="10" applyNumberFormat="1" applyFont="1" applyFill="1" applyBorder="1"/>
    <xf numFmtId="223" fontId="8" fillId="0" borderId="0" xfId="0" applyNumberFormat="1" applyFont="1" applyFill="1" applyBorder="1"/>
    <xf numFmtId="0" fontId="32" fillId="0" borderId="0" xfId="0" applyFont="1" applyBorder="1"/>
    <xf numFmtId="170" fontId="23" fillId="0" borderId="0" xfId="0" applyNumberFormat="1" applyFont="1" applyFill="1" applyBorder="1"/>
    <xf numFmtId="37" fontId="32" fillId="0" borderId="0" xfId="30" applyFont="1" applyAlignment="1" applyProtection="1">
      <alignment horizontal="left"/>
    </xf>
    <xf numFmtId="212" fontId="0" fillId="0" borderId="0" xfId="15" applyNumberFormat="1" applyFont="1"/>
    <xf numFmtId="224" fontId="0" fillId="0" borderId="0" xfId="15" applyNumberFormat="1" applyFont="1" applyBorder="1"/>
    <xf numFmtId="168" fontId="0" fillId="0" borderId="0" xfId="37" applyNumberFormat="1" applyFont="1" applyBorder="1"/>
    <xf numFmtId="0" fontId="10" fillId="0" borderId="0" xfId="0" applyFont="1" applyFill="1" applyBorder="1" applyAlignment="1">
      <alignment horizontal="centerContinuous"/>
    </xf>
    <xf numFmtId="0" fontId="14" fillId="7" borderId="0" xfId="0" quotePrefix="1" applyFont="1" applyFill="1" applyAlignment="1">
      <alignment horizontal="left"/>
    </xf>
    <xf numFmtId="0" fontId="4" fillId="7" borderId="0" xfId="0" applyFont="1" applyFill="1"/>
    <xf numFmtId="0" fontId="4" fillId="7" borderId="0" xfId="0" applyFont="1" applyFill="1" applyAlignment="1">
      <alignment horizontal="center"/>
    </xf>
    <xf numFmtId="0" fontId="4" fillId="7" borderId="0" xfId="0" applyFont="1" applyFill="1" applyBorder="1"/>
    <xf numFmtId="0" fontId="4" fillId="7" borderId="0" xfId="0" applyFont="1" applyFill="1" applyAlignment="1">
      <alignment horizontal="left"/>
    </xf>
    <xf numFmtId="167" fontId="4" fillId="7" borderId="0" xfId="0" applyNumberFormat="1" applyFont="1" applyFill="1"/>
    <xf numFmtId="37" fontId="4" fillId="7" borderId="0" xfId="0" applyNumberFormat="1" applyFont="1" applyFill="1"/>
    <xf numFmtId="1" fontId="4" fillId="7" borderId="0" xfId="0" applyNumberFormat="1" applyFont="1" applyFill="1"/>
    <xf numFmtId="1" fontId="4" fillId="7" borderId="0" xfId="0" applyNumberFormat="1" applyFont="1" applyFill="1" applyBorder="1"/>
    <xf numFmtId="185" fontId="4" fillId="7" borderId="0" xfId="0" applyNumberFormat="1" applyFont="1" applyFill="1"/>
    <xf numFmtId="0" fontId="17" fillId="7" borderId="0" xfId="0" applyFont="1" applyFill="1"/>
    <xf numFmtId="181" fontId="4" fillId="7" borderId="0" xfId="0" applyNumberFormat="1" applyFont="1" applyFill="1"/>
    <xf numFmtId="202" fontId="4" fillId="7" borderId="0" xfId="0" applyNumberFormat="1" applyFont="1" applyFill="1" applyBorder="1"/>
    <xf numFmtId="173" fontId="17" fillId="7" borderId="0" xfId="0" applyNumberFormat="1" applyFont="1" applyFill="1"/>
    <xf numFmtId="173" fontId="25" fillId="7" borderId="0" xfId="0" applyNumberFormat="1" applyFont="1" applyFill="1"/>
    <xf numFmtId="182" fontId="4" fillId="7" borderId="0" xfId="0" applyNumberFormat="1" applyFont="1" applyFill="1"/>
    <xf numFmtId="166" fontId="4" fillId="7" borderId="0" xfId="0" applyNumberFormat="1" applyFont="1" applyFill="1"/>
    <xf numFmtId="4" fontId="4" fillId="7" borderId="0" xfId="0" applyNumberFormat="1" applyFont="1" applyFill="1"/>
    <xf numFmtId="3" fontId="4" fillId="7" borderId="0" xfId="0" applyNumberFormat="1" applyFont="1" applyFill="1"/>
    <xf numFmtId="167" fontId="4" fillId="7" borderId="2" xfId="0" applyNumberFormat="1" applyFont="1" applyFill="1" applyBorder="1"/>
    <xf numFmtId="1" fontId="4" fillId="7" borderId="2" xfId="0" applyNumberFormat="1" applyFont="1" applyFill="1" applyBorder="1"/>
    <xf numFmtId="166" fontId="4" fillId="7" borderId="2" xfId="0" applyNumberFormat="1" applyFont="1" applyFill="1" applyBorder="1"/>
    <xf numFmtId="4" fontId="4" fillId="7" borderId="2" xfId="0" applyNumberFormat="1" applyFont="1" applyFill="1" applyBorder="1"/>
    <xf numFmtId="202" fontId="4" fillId="7" borderId="2" xfId="0" applyNumberFormat="1" applyFont="1" applyFill="1" applyBorder="1"/>
    <xf numFmtId="173" fontId="4" fillId="7" borderId="0" xfId="0" applyNumberFormat="1" applyFont="1" applyFill="1"/>
    <xf numFmtId="173" fontId="25" fillId="7" borderId="2" xfId="0" applyNumberFormat="1" applyFont="1" applyFill="1" applyBorder="1"/>
    <xf numFmtId="3" fontId="4" fillId="7" borderId="2" xfId="0" applyNumberFormat="1" applyFont="1" applyFill="1" applyBorder="1"/>
    <xf numFmtId="178" fontId="4" fillId="7" borderId="0" xfId="10" applyNumberFormat="1" applyFont="1" applyFill="1"/>
    <xf numFmtId="198" fontId="16" fillId="7" borderId="0" xfId="0" applyNumberFormat="1" applyFont="1" applyFill="1" applyAlignment="1">
      <alignment horizontal="left"/>
    </xf>
    <xf numFmtId="202" fontId="4" fillId="7" borderId="0" xfId="0" applyNumberFormat="1" applyFont="1" applyFill="1"/>
    <xf numFmtId="198" fontId="14" fillId="7" borderId="0" xfId="0" applyNumberFormat="1" applyFont="1" applyFill="1" applyAlignment="1">
      <alignment horizontal="left"/>
    </xf>
    <xf numFmtId="198" fontId="14" fillId="7" borderId="0" xfId="0" quotePrefix="1" applyNumberFormat="1" applyFont="1" applyFill="1"/>
    <xf numFmtId="202" fontId="21" fillId="7" borderId="0" xfId="0" applyNumberFormat="1" applyFont="1" applyFill="1"/>
    <xf numFmtId="0" fontId="4" fillId="7" borderId="2" xfId="0" applyFont="1" applyFill="1" applyBorder="1"/>
    <xf numFmtId="0" fontId="4" fillId="0" borderId="2" xfId="0" applyFont="1" applyBorder="1" applyAlignment="1">
      <alignment horizontal="left"/>
    </xf>
    <xf numFmtId="0" fontId="4" fillId="0" borderId="2" xfId="0" applyFont="1" applyFill="1" applyBorder="1"/>
    <xf numFmtId="0" fontId="10" fillId="0" borderId="2" xfId="0" applyFont="1" applyFill="1" applyBorder="1" applyAlignment="1">
      <alignment horizontal="centerContinuous"/>
    </xf>
    <xf numFmtId="0" fontId="10" fillId="0" borderId="0" xfId="0" applyFont="1" applyFill="1"/>
    <xf numFmtId="0" fontId="17" fillId="0" borderId="0" xfId="0" applyFont="1" applyFill="1" applyBorder="1" applyAlignment="1">
      <alignment horizontal="center"/>
    </xf>
    <xf numFmtId="0" fontId="10" fillId="0" borderId="0" xfId="0" applyFont="1" applyBorder="1" applyAlignment="1">
      <alignment horizontal="left"/>
    </xf>
    <xf numFmtId="0" fontId="10" fillId="0" borderId="0" xfId="0" applyFont="1" applyFill="1" applyBorder="1"/>
    <xf numFmtId="0" fontId="10" fillId="0" borderId="2" xfId="0" applyFont="1" applyFill="1" applyBorder="1" applyAlignment="1">
      <alignment horizontal="right"/>
    </xf>
    <xf numFmtId="204" fontId="17" fillId="0" borderId="14" xfId="0" applyNumberFormat="1" applyFont="1" applyFill="1" applyBorder="1" applyAlignment="1">
      <alignment horizontal="right"/>
    </xf>
    <xf numFmtId="212" fontId="0" fillId="0" borderId="0" xfId="0" applyNumberFormat="1"/>
    <xf numFmtId="167" fontId="4" fillId="0" borderId="14" xfId="0" applyNumberFormat="1" applyFont="1" applyBorder="1"/>
    <xf numFmtId="1" fontId="4" fillId="0" borderId="14" xfId="0" applyNumberFormat="1" applyFont="1" applyBorder="1"/>
    <xf numFmtId="5" fontId="43" fillId="0" borderId="2" xfId="23" applyNumberFormat="1" applyFont="1" applyBorder="1"/>
    <xf numFmtId="37" fontId="23" fillId="0" borderId="0" xfId="0" applyNumberFormat="1" applyFont="1" applyBorder="1"/>
    <xf numFmtId="7" fontId="17" fillId="0" borderId="0" xfId="0" applyNumberFormat="1" applyFont="1"/>
    <xf numFmtId="7" fontId="4" fillId="0" borderId="0" xfId="0" applyNumberFormat="1" applyFont="1"/>
    <xf numFmtId="172" fontId="8" fillId="0" borderId="0" xfId="0" applyNumberFormat="1" applyFont="1" applyFill="1"/>
    <xf numFmtId="170" fontId="32" fillId="0" borderId="0" xfId="0" applyNumberFormat="1" applyFont="1" applyFill="1" applyBorder="1"/>
    <xf numFmtId="173" fontId="23" fillId="0" borderId="0" xfId="0" applyNumberFormat="1" applyFont="1" applyFill="1"/>
    <xf numFmtId="2" fontId="23" fillId="0" borderId="0" xfId="0" applyNumberFormat="1" applyFont="1" applyFill="1"/>
    <xf numFmtId="7" fontId="4" fillId="0" borderId="0" xfId="0" applyNumberFormat="1" applyFont="1" applyFill="1"/>
    <xf numFmtId="226" fontId="8" fillId="0" borderId="0" xfId="29" applyNumberFormat="1" applyFont="1" applyFill="1" applyBorder="1" applyAlignment="1">
      <alignment horizontal="right"/>
    </xf>
    <xf numFmtId="225" fontId="12" fillId="0" borderId="1" xfId="29" applyNumberFormat="1" applyFont="1" applyBorder="1" applyAlignment="1">
      <alignment horizontal="right"/>
    </xf>
    <xf numFmtId="211" fontId="12" fillId="0" borderId="20" xfId="29" applyNumberFormat="1" applyFont="1" applyBorder="1" applyAlignment="1">
      <alignment horizontal="right"/>
    </xf>
    <xf numFmtId="195" fontId="17" fillId="0" borderId="0" xfId="37" applyNumberFormat="1" applyFont="1" applyFill="1" applyBorder="1" applyAlignment="1">
      <alignment horizontal="center"/>
    </xf>
    <xf numFmtId="211" fontId="8" fillId="0" borderId="1" xfId="29" applyNumberFormat="1" applyFont="1" applyFill="1" applyBorder="1" applyAlignment="1">
      <alignment horizontal="right"/>
    </xf>
    <xf numFmtId="169" fontId="12" fillId="0" borderId="0" xfId="29" applyNumberFormat="1" applyFont="1" applyFill="1" applyBorder="1" applyAlignment="1">
      <alignment horizontal="right"/>
    </xf>
    <xf numFmtId="169" fontId="8" fillId="0" borderId="2" xfId="29" applyNumberFormat="1" applyFont="1" applyFill="1" applyBorder="1" applyAlignment="1">
      <alignment horizontal="right"/>
    </xf>
    <xf numFmtId="215" fontId="4" fillId="0" borderId="0" xfId="0" applyNumberFormat="1" applyFont="1" applyFill="1" applyBorder="1" applyAlignment="1">
      <alignment horizontal="right"/>
    </xf>
    <xf numFmtId="211" fontId="8" fillId="0" borderId="0" xfId="29" applyNumberFormat="1" applyFont="1" applyFill="1" applyAlignment="1">
      <alignment horizontal="right"/>
    </xf>
    <xf numFmtId="211" fontId="51" fillId="0" borderId="0" xfId="29" applyNumberFormat="1" applyFont="1" applyFill="1" applyAlignment="1">
      <alignment horizontal="center" vertical="center"/>
    </xf>
    <xf numFmtId="220" fontId="12" fillId="0" borderId="1" xfId="29" applyNumberFormat="1" applyFont="1" applyFill="1" applyBorder="1" applyAlignment="1">
      <alignment horizontal="right"/>
    </xf>
    <xf numFmtId="168" fontId="8" fillId="0" borderId="0" xfId="37" applyNumberFormat="1" applyFont="1" applyFill="1"/>
    <xf numFmtId="220" fontId="12" fillId="0" borderId="20" xfId="29" applyNumberFormat="1" applyFont="1" applyFill="1" applyBorder="1" applyAlignment="1">
      <alignment horizontal="right"/>
    </xf>
    <xf numFmtId="211" fontId="57" fillId="0" borderId="1" xfId="29" applyNumberFormat="1" applyFont="1" applyFill="1" applyBorder="1" applyAlignment="1">
      <alignment horizontal="right"/>
    </xf>
    <xf numFmtId="211" fontId="57" fillId="0" borderId="0" xfId="29" applyNumberFormat="1" applyFont="1" applyFill="1" applyBorder="1" applyAlignment="1">
      <alignment horizontal="right"/>
    </xf>
    <xf numFmtId="0" fontId="14" fillId="0" borderId="0" xfId="0" quotePrefix="1" applyFont="1" applyFill="1" applyAlignment="1">
      <alignment horizontal="left"/>
    </xf>
    <xf numFmtId="1" fontId="4" fillId="0" borderId="0" xfId="0" applyNumberFormat="1" applyFont="1" applyFill="1"/>
    <xf numFmtId="1" fontId="4" fillId="0" borderId="0" xfId="0" applyNumberFormat="1" applyFont="1" applyFill="1" applyBorder="1"/>
    <xf numFmtId="181" fontId="4" fillId="0" borderId="0" xfId="0" applyNumberFormat="1" applyFont="1" applyFill="1"/>
    <xf numFmtId="202" fontId="4" fillId="0" borderId="0" xfId="0" applyNumberFormat="1" applyFont="1" applyFill="1" applyBorder="1"/>
    <xf numFmtId="173" fontId="17" fillId="0" borderId="0" xfId="0" applyNumberFormat="1" applyFont="1" applyFill="1"/>
    <xf numFmtId="173" fontId="25" fillId="0" borderId="0" xfId="0" applyNumberFormat="1" applyFont="1" applyFill="1"/>
    <xf numFmtId="182" fontId="4" fillId="0" borderId="0" xfId="0" applyNumberFormat="1" applyFont="1" applyFill="1"/>
    <xf numFmtId="4" fontId="4" fillId="0" borderId="0" xfId="0" applyNumberFormat="1" applyFont="1" applyFill="1"/>
    <xf numFmtId="3" fontId="4" fillId="0" borderId="0" xfId="0" applyNumberFormat="1" applyFont="1" applyFill="1"/>
    <xf numFmtId="1" fontId="4" fillId="0" borderId="2" xfId="0" applyNumberFormat="1" applyFont="1" applyFill="1" applyBorder="1"/>
    <xf numFmtId="4" fontId="4" fillId="0" borderId="2" xfId="0" applyNumberFormat="1" applyFont="1" applyFill="1" applyBorder="1"/>
    <xf numFmtId="173" fontId="25" fillId="0" borderId="2" xfId="0" applyNumberFormat="1" applyFont="1" applyFill="1" applyBorder="1"/>
    <xf numFmtId="3" fontId="4" fillId="0" borderId="2" xfId="0" applyNumberFormat="1" applyFont="1" applyFill="1" applyBorder="1"/>
    <xf numFmtId="201" fontId="4" fillId="0" borderId="0" xfId="0" applyNumberFormat="1" applyFont="1" applyFill="1"/>
    <xf numFmtId="1" fontId="23" fillId="0" borderId="0" xfId="0" applyNumberFormat="1" applyFont="1" applyFill="1"/>
    <xf numFmtId="167" fontId="17" fillId="0" borderId="0" xfId="0" applyNumberFormat="1" applyFont="1" applyFill="1"/>
    <xf numFmtId="0" fontId="16" fillId="0" borderId="0" xfId="0" applyFont="1" applyFill="1" applyAlignment="1">
      <alignment horizontal="center"/>
    </xf>
    <xf numFmtId="8" fontId="52" fillId="0" borderId="0" xfId="19" applyNumberFormat="1" applyFont="1" applyFill="1" applyBorder="1"/>
    <xf numFmtId="10" fontId="52" fillId="0" borderId="0" xfId="19" applyNumberFormat="1" applyFont="1" applyFill="1" applyAlignment="1">
      <alignment horizontal="right"/>
    </xf>
    <xf numFmtId="8" fontId="58" fillId="0" borderId="0" xfId="0" applyNumberFormat="1" applyFont="1" applyFill="1"/>
    <xf numFmtId="0" fontId="26" fillId="0" borderId="0" xfId="0" applyFont="1" applyFill="1" applyAlignment="1">
      <alignment horizontal="center"/>
    </xf>
    <xf numFmtId="211" fontId="4" fillId="0" borderId="0" xfId="0" applyNumberFormat="1" applyFont="1" applyFill="1"/>
    <xf numFmtId="0" fontId="50" fillId="6" borderId="24" xfId="0" applyFont="1" applyFill="1" applyBorder="1" applyAlignment="1">
      <alignment horizontal="centerContinuous"/>
    </xf>
    <xf numFmtId="0" fontId="39" fillId="6" borderId="5" xfId="0" applyFont="1" applyFill="1" applyBorder="1" applyAlignment="1">
      <alignment horizontal="centerContinuous"/>
    </xf>
    <xf numFmtId="0" fontId="50" fillId="6" borderId="5" xfId="0" applyFont="1" applyFill="1" applyBorder="1" applyAlignment="1">
      <alignment horizontal="centerContinuous"/>
    </xf>
    <xf numFmtId="0" fontId="50" fillId="6" borderId="7" xfId="0" applyFont="1" applyFill="1" applyBorder="1" applyAlignment="1">
      <alignment horizontal="centerContinuous"/>
    </xf>
    <xf numFmtId="0" fontId="10" fillId="6" borderId="5" xfId="0" applyFont="1" applyFill="1" applyBorder="1" applyAlignment="1">
      <alignment horizontal="centerContinuous"/>
    </xf>
    <xf numFmtId="0" fontId="11" fillId="6" borderId="5" xfId="0" applyFont="1" applyFill="1" applyBorder="1" applyAlignment="1">
      <alignment horizontal="centerContinuous"/>
    </xf>
    <xf numFmtId="0" fontId="11" fillId="6" borderId="7" xfId="0" applyFont="1" applyFill="1" applyBorder="1" applyAlignment="1">
      <alignment horizontal="centerContinuous"/>
    </xf>
    <xf numFmtId="0" fontId="49" fillId="6" borderId="5" xfId="0" applyFont="1" applyFill="1" applyBorder="1" applyAlignment="1">
      <alignment horizontal="centerContinuous" vertical="center"/>
    </xf>
    <xf numFmtId="0" fontId="4" fillId="6" borderId="5" xfId="0" applyFont="1" applyFill="1" applyBorder="1" applyAlignment="1">
      <alignment horizontal="centerContinuous"/>
    </xf>
    <xf numFmtId="0" fontId="11" fillId="6" borderId="24" xfId="0" applyFont="1" applyFill="1" applyBorder="1" applyAlignment="1">
      <alignment horizontal="centerContinuous"/>
    </xf>
    <xf numFmtId="208" fontId="8" fillId="0" borderId="2" xfId="0" applyNumberFormat="1" applyFont="1" applyBorder="1" applyAlignment="1">
      <alignment horizontal="centerContinuous"/>
    </xf>
    <xf numFmtId="208" fontId="23" fillId="0" borderId="0" xfId="0" applyNumberFormat="1" applyFont="1" applyBorder="1"/>
    <xf numFmtId="38" fontId="23" fillId="0" borderId="0" xfId="0" applyNumberFormat="1" applyFont="1"/>
    <xf numFmtId="0" fontId="59" fillId="0" borderId="0" xfId="0" applyFont="1" applyFill="1" applyAlignment="1">
      <alignment horizontal="left"/>
    </xf>
    <xf numFmtId="198" fontId="16" fillId="0" borderId="0" xfId="0" applyNumberFormat="1" applyFont="1" applyFill="1" applyBorder="1" applyAlignment="1">
      <alignment horizontal="left"/>
    </xf>
    <xf numFmtId="199" fontId="16" fillId="0" borderId="0" xfId="0" applyNumberFormat="1" applyFont="1" applyFill="1" applyAlignment="1">
      <alignment horizontal="left"/>
    </xf>
    <xf numFmtId="195" fontId="16" fillId="0" borderId="0" xfId="0" applyNumberFormat="1" applyFont="1" applyFill="1" applyAlignment="1">
      <alignment horizontal="left"/>
    </xf>
    <xf numFmtId="8" fontId="16" fillId="0" borderId="0" xfId="0" applyNumberFormat="1" applyFont="1" applyFill="1" applyAlignment="1">
      <alignment horizontal="left"/>
    </xf>
    <xf numFmtId="0" fontId="11" fillId="3" borderId="0" xfId="19" applyFont="1" applyFill="1" applyAlignment="1" applyProtection="1">
      <alignment horizontal="left"/>
    </xf>
    <xf numFmtId="0" fontId="0" fillId="3" borderId="0" xfId="0" applyFill="1"/>
    <xf numFmtId="0" fontId="23" fillId="3" borderId="0" xfId="0" applyFont="1" applyFill="1"/>
    <xf numFmtId="183" fontId="11" fillId="3" borderId="2" xfId="19" applyNumberFormat="1" applyFont="1" applyFill="1" applyBorder="1"/>
    <xf numFmtId="0" fontId="0" fillId="3" borderId="2" xfId="0" applyFill="1" applyBorder="1"/>
    <xf numFmtId="0" fontId="23" fillId="3" borderId="2" xfId="0" applyFont="1" applyFill="1" applyBorder="1"/>
    <xf numFmtId="0" fontId="11" fillId="3" borderId="0" xfId="19" applyFont="1" applyFill="1" applyBorder="1" applyAlignment="1" applyProtection="1">
      <alignment horizontal="left"/>
    </xf>
    <xf numFmtId="0" fontId="0" fillId="3" borderId="0" xfId="0" applyFill="1" applyBorder="1"/>
    <xf numFmtId="0" fontId="23" fillId="3" borderId="0" xfId="0" applyFont="1" applyFill="1" applyBorder="1"/>
    <xf numFmtId="0" fontId="11" fillId="3" borderId="0" xfId="0" applyFont="1" applyFill="1"/>
    <xf numFmtId="183" fontId="8" fillId="3" borderId="0" xfId="33" applyFont="1" applyFill="1"/>
    <xf numFmtId="0" fontId="8" fillId="3" borderId="0" xfId="0" applyFont="1" applyFill="1"/>
    <xf numFmtId="183" fontId="23" fillId="3" borderId="0" xfId="33" applyFont="1" applyFill="1"/>
    <xf numFmtId="183" fontId="11" fillId="3" borderId="2" xfId="33" applyFont="1" applyFill="1" applyBorder="1" applyAlignment="1" applyProtection="1">
      <alignment horizontal="left"/>
    </xf>
    <xf numFmtId="183" fontId="8" fillId="3" borderId="2" xfId="33" applyFont="1" applyFill="1" applyBorder="1"/>
    <xf numFmtId="183" fontId="23" fillId="3" borderId="2" xfId="33" applyFont="1" applyFill="1" applyBorder="1"/>
    <xf numFmtId="37" fontId="54" fillId="0" borderId="0" xfId="0" applyNumberFormat="1" applyFont="1"/>
    <xf numFmtId="0" fontId="22" fillId="0" borderId="0" xfId="0" applyFont="1"/>
    <xf numFmtId="183" fontId="8" fillId="0" borderId="0" xfId="33" applyNumberFormat="1" applyFont="1" applyFill="1" applyProtection="1"/>
    <xf numFmtId="183" fontId="8" fillId="0" borderId="1" xfId="33" applyFont="1" applyFill="1" applyBorder="1"/>
    <xf numFmtId="183" fontId="23" fillId="0" borderId="0" xfId="33" applyFont="1" applyFill="1" applyBorder="1" applyAlignment="1" applyProtection="1">
      <alignment horizontal="left"/>
    </xf>
    <xf numFmtId="183" fontId="23" fillId="0" borderId="22" xfId="33" applyFont="1" applyFill="1" applyBorder="1"/>
    <xf numFmtId="37" fontId="0" fillId="0" borderId="0" xfId="0" applyNumberFormat="1" applyBorder="1"/>
    <xf numFmtId="193" fontId="54" fillId="0" borderId="0" xfId="34" applyNumberFormat="1" applyFont="1" applyProtection="1"/>
    <xf numFmtId="168" fontId="0" fillId="0" borderId="0" xfId="0" applyNumberFormat="1"/>
    <xf numFmtId="198" fontId="14" fillId="0" borderId="0" xfId="0" applyNumberFormat="1" applyFont="1" applyFill="1" applyAlignment="1">
      <alignment horizontal="left"/>
    </xf>
    <xf numFmtId="175" fontId="17" fillId="0" borderId="0" xfId="0" applyNumberFormat="1" applyFont="1" applyFill="1" applyProtection="1"/>
    <xf numFmtId="170" fontId="17" fillId="0" borderId="0" xfId="0" applyNumberFormat="1" applyFont="1" applyFill="1" applyBorder="1"/>
    <xf numFmtId="170" fontId="17" fillId="0" borderId="2" xfId="0" applyNumberFormat="1" applyFont="1" applyFill="1" applyBorder="1"/>
    <xf numFmtId="0" fontId="16" fillId="0" borderId="0" xfId="0" applyFont="1" applyFill="1" applyAlignment="1"/>
    <xf numFmtId="0" fontId="14" fillId="0" borderId="0" xfId="0" applyFont="1" applyFill="1" applyAlignment="1"/>
    <xf numFmtId="175" fontId="4" fillId="0" borderId="0" xfId="0" applyNumberFormat="1" applyFont="1" applyFill="1" applyProtection="1"/>
    <xf numFmtId="228" fontId="4" fillId="0" borderId="0" xfId="0" applyNumberFormat="1" applyFont="1" applyFill="1" applyAlignment="1" applyProtection="1">
      <alignment horizontal="right"/>
    </xf>
    <xf numFmtId="229" fontId="4" fillId="0" borderId="0" xfId="0" quotePrefix="1" applyNumberFormat="1" applyFont="1" applyFill="1" applyAlignment="1" applyProtection="1">
      <alignment horizontal="left"/>
    </xf>
    <xf numFmtId="229" fontId="17" fillId="0" borderId="0" xfId="0" quotePrefix="1" applyNumberFormat="1" applyFont="1" applyFill="1" applyAlignment="1" applyProtection="1">
      <alignment horizontal="left"/>
    </xf>
    <xf numFmtId="39" fontId="4" fillId="0" borderId="0" xfId="0" applyNumberFormat="1" applyFont="1" applyFill="1"/>
    <xf numFmtId="178" fontId="8" fillId="0" borderId="0" xfId="10" applyNumberFormat="1" applyFont="1" applyFill="1" applyBorder="1"/>
    <xf numFmtId="8" fontId="4" fillId="8" borderId="0" xfId="0" applyNumberFormat="1" applyFont="1" applyFill="1"/>
    <xf numFmtId="9" fontId="23" fillId="0" borderId="0" xfId="37" applyFont="1"/>
    <xf numFmtId="220" fontId="8" fillId="8" borderId="2" xfId="29" applyNumberFormat="1" applyFont="1" applyFill="1" applyBorder="1" applyAlignment="1">
      <alignment horizontal="right"/>
    </xf>
    <xf numFmtId="194" fontId="4" fillId="8" borderId="2" xfId="0" applyNumberFormat="1" applyFont="1" applyFill="1" applyBorder="1" applyAlignment="1">
      <alignment horizontal="left"/>
    </xf>
    <xf numFmtId="0" fontId="8" fillId="0" borderId="1" xfId="0" applyFont="1" applyFill="1" applyBorder="1" applyAlignment="1">
      <alignment horizontal="center"/>
    </xf>
    <xf numFmtId="0" fontId="4" fillId="0" borderId="0" xfId="0" applyFont="1" applyFill="1" applyBorder="1" applyAlignment="1">
      <alignment horizontal="center"/>
    </xf>
    <xf numFmtId="0" fontId="12" fillId="0" borderId="22" xfId="0" applyFont="1" applyFill="1" applyBorder="1"/>
    <xf numFmtId="0" fontId="8" fillId="0" borderId="22" xfId="0" applyFont="1" applyFill="1" applyBorder="1"/>
    <xf numFmtId="175" fontId="43" fillId="0" borderId="0" xfId="23" applyNumberFormat="1" applyFont="1" applyFill="1" applyBorder="1" applyAlignment="1">
      <alignment horizontal="right"/>
    </xf>
    <xf numFmtId="0" fontId="43" fillId="0" borderId="0" xfId="23" applyFont="1" applyFill="1" applyBorder="1"/>
    <xf numFmtId="170" fontId="43" fillId="0" borderId="0" xfId="23" applyNumberFormat="1" applyFont="1" applyFill="1" applyBorder="1"/>
    <xf numFmtId="39" fontId="43" fillId="0" borderId="0" xfId="23" applyNumberFormat="1" applyFont="1" applyFill="1" applyBorder="1" applyAlignment="1">
      <alignment horizontal="right"/>
    </xf>
    <xf numFmtId="39" fontId="23" fillId="0" borderId="0" xfId="0" applyNumberFormat="1" applyFont="1" applyBorder="1"/>
    <xf numFmtId="193" fontId="47" fillId="0" borderId="1" xfId="37" applyNumberFormat="1" applyFont="1" applyBorder="1" applyAlignment="1">
      <alignment horizontal="right"/>
    </xf>
    <xf numFmtId="168" fontId="8" fillId="0" borderId="0" xfId="33" applyNumberFormat="1" applyFont="1" applyFill="1" applyBorder="1" applyProtection="1"/>
    <xf numFmtId="167" fontId="8" fillId="0" borderId="0" xfId="29" applyNumberFormat="1" applyFont="1" applyFill="1" applyBorder="1" applyAlignment="1">
      <alignment horizontal="right"/>
    </xf>
    <xf numFmtId="167" fontId="8" fillId="0" borderId="0" xfId="29" applyNumberFormat="1" applyFont="1" applyAlignment="1">
      <alignment horizontal="right"/>
    </xf>
    <xf numFmtId="172" fontId="17" fillId="4" borderId="2" xfId="0" applyNumberFormat="1" applyFont="1" applyFill="1" applyBorder="1"/>
    <xf numFmtId="185" fontId="17" fillId="0" borderId="0" xfId="0" applyNumberFormat="1" applyFont="1"/>
    <xf numFmtId="0" fontId="62" fillId="0" borderId="0" xfId="0" applyFont="1"/>
    <xf numFmtId="0" fontId="62" fillId="0" borderId="0" xfId="0" applyFont="1" applyFill="1"/>
    <xf numFmtId="0" fontId="63" fillId="0" borderId="0" xfId="0" applyFont="1" applyFill="1" applyAlignment="1">
      <alignment horizontal="centerContinuous"/>
    </xf>
    <xf numFmtId="0" fontId="62" fillId="0" borderId="0" xfId="0" applyFont="1" applyFill="1" applyAlignment="1">
      <alignment horizontal="centerContinuous"/>
    </xf>
    <xf numFmtId="0" fontId="63" fillId="0" borderId="0" xfId="0" applyFont="1" applyFill="1" applyAlignment="1"/>
    <xf numFmtId="215" fontId="4" fillId="0" borderId="0" xfId="0" applyNumberFormat="1" applyFont="1" applyFill="1" applyAlignment="1">
      <alignment horizontal="right"/>
    </xf>
    <xf numFmtId="211" fontId="8" fillId="0" borderId="1" xfId="0" applyNumberFormat="1" applyFont="1" applyBorder="1" applyAlignment="1">
      <alignment horizontal="center"/>
    </xf>
    <xf numFmtId="37" fontId="25" fillId="7" borderId="0" xfId="0" applyNumberFormat="1" applyFont="1" applyFill="1"/>
    <xf numFmtId="173" fontId="17" fillId="4" borderId="0" xfId="0" applyNumberFormat="1" applyFont="1" applyFill="1"/>
    <xf numFmtId="211" fontId="12" fillId="4" borderId="1" xfId="29" applyNumberFormat="1" applyFont="1" applyFill="1" applyBorder="1" applyAlignment="1">
      <alignment horizontal="right"/>
    </xf>
    <xf numFmtId="37" fontId="4" fillId="0" borderId="2" xfId="0" applyNumberFormat="1" applyFont="1" applyBorder="1"/>
    <xf numFmtId="4" fontId="4" fillId="0" borderId="14" xfId="0" applyNumberFormat="1" applyFont="1" applyBorder="1"/>
    <xf numFmtId="3" fontId="4" fillId="0" borderId="14" xfId="0" applyNumberFormat="1" applyFont="1" applyBorder="1"/>
    <xf numFmtId="172" fontId="4" fillId="0" borderId="0" xfId="0" applyNumberFormat="1" applyFont="1" applyBorder="1"/>
    <xf numFmtId="172" fontId="4" fillId="0" borderId="2" xfId="0" applyNumberFormat="1" applyFont="1" applyBorder="1"/>
    <xf numFmtId="185" fontId="4" fillId="0" borderId="2" xfId="0" applyNumberFormat="1" applyFont="1" applyFill="1" applyBorder="1"/>
    <xf numFmtId="37" fontId="4" fillId="0" borderId="14" xfId="0" applyNumberFormat="1" applyFont="1" applyBorder="1"/>
    <xf numFmtId="182" fontId="4" fillId="0" borderId="2" xfId="0" applyNumberFormat="1" applyFont="1" applyBorder="1"/>
    <xf numFmtId="40" fontId="4" fillId="0" borderId="0" xfId="0" applyNumberFormat="1" applyFont="1"/>
    <xf numFmtId="220" fontId="12" fillId="4" borderId="1" xfId="29" applyNumberFormat="1" applyFont="1" applyFill="1" applyBorder="1" applyAlignment="1">
      <alignment horizontal="right"/>
    </xf>
    <xf numFmtId="220" fontId="12" fillId="4" borderId="20" xfId="29" applyNumberFormat="1" applyFont="1" applyFill="1" applyBorder="1" applyAlignment="1">
      <alignment horizontal="right"/>
    </xf>
    <xf numFmtId="231" fontId="4" fillId="0" borderId="14" xfId="0" applyNumberFormat="1" applyFont="1" applyFill="1" applyBorder="1"/>
    <xf numFmtId="9" fontId="4" fillId="0" borderId="0" xfId="37" applyFont="1" applyFill="1" applyBorder="1"/>
    <xf numFmtId="167" fontId="10" fillId="0" borderId="0" xfId="0" applyNumberFormat="1" applyFont="1" applyBorder="1"/>
    <xf numFmtId="167" fontId="4" fillId="0" borderId="0" xfId="0" applyNumberFormat="1" applyFont="1" applyFill="1" applyBorder="1"/>
    <xf numFmtId="167" fontId="10" fillId="0" borderId="0" xfId="0" applyNumberFormat="1" applyFont="1" applyFill="1" applyBorder="1" applyAlignment="1">
      <alignment horizontal="center"/>
    </xf>
    <xf numFmtId="167" fontId="10" fillId="0" borderId="0" xfId="0" applyNumberFormat="1" applyFont="1"/>
    <xf numFmtId="185" fontId="4" fillId="0" borderId="0" xfId="10" applyNumberFormat="1" applyFont="1" applyFill="1"/>
    <xf numFmtId="1" fontId="8" fillId="0" borderId="0" xfId="33" applyNumberFormat="1" applyFont="1" applyProtection="1"/>
    <xf numFmtId="1" fontId="8" fillId="0" borderId="0" xfId="33" applyNumberFormat="1" applyFont="1"/>
    <xf numFmtId="170" fontId="8" fillId="0" borderId="0" xfId="33" applyNumberFormat="1" applyFont="1" applyProtection="1"/>
    <xf numFmtId="173" fontId="0" fillId="0" borderId="0" xfId="0" applyNumberFormat="1" applyFill="1"/>
    <xf numFmtId="168" fontId="8" fillId="0" borderId="0" xfId="33" applyNumberFormat="1" applyFont="1" applyFill="1" applyProtection="1"/>
    <xf numFmtId="37" fontId="0" fillId="0" borderId="0" xfId="0" applyNumberFormat="1" applyFill="1"/>
    <xf numFmtId="37" fontId="54" fillId="0" borderId="0" xfId="0" applyNumberFormat="1" applyFont="1" applyFill="1"/>
    <xf numFmtId="224" fontId="0" fillId="0" borderId="0" xfId="15" applyNumberFormat="1" applyFont="1" applyFill="1" applyBorder="1"/>
    <xf numFmtId="168" fontId="0" fillId="0" borderId="0" xfId="37" applyNumberFormat="1" applyFont="1" applyFill="1" applyBorder="1"/>
    <xf numFmtId="168" fontId="0" fillId="0" borderId="0" xfId="0" applyNumberFormat="1" applyFill="1"/>
    <xf numFmtId="168" fontId="61" fillId="0" borderId="0" xfId="0" applyNumberFormat="1" applyFont="1" applyFill="1"/>
    <xf numFmtId="222" fontId="8" fillId="0" borderId="1" xfId="29" applyNumberFormat="1" applyFont="1" applyFill="1" applyBorder="1" applyAlignment="1">
      <alignment horizontal="right"/>
    </xf>
    <xf numFmtId="0" fontId="10" fillId="0" borderId="0" xfId="0" quotePrefix="1" applyFont="1" applyFill="1" applyAlignment="1">
      <alignment horizontal="center"/>
    </xf>
    <xf numFmtId="37" fontId="4" fillId="0" borderId="0" xfId="0" applyNumberFormat="1" applyFont="1" applyFill="1"/>
    <xf numFmtId="37" fontId="4" fillId="0" borderId="2" xfId="0" applyNumberFormat="1" applyFont="1" applyFill="1" applyBorder="1"/>
    <xf numFmtId="182" fontId="4" fillId="0" borderId="2" xfId="0" applyNumberFormat="1" applyFont="1" applyFill="1" applyBorder="1"/>
    <xf numFmtId="37" fontId="4" fillId="0" borderId="14" xfId="0" applyNumberFormat="1" applyFont="1" applyFill="1" applyBorder="1"/>
    <xf numFmtId="1" fontId="4" fillId="0" borderId="0" xfId="0" applyNumberFormat="1" applyFont="1" applyBorder="1" applyAlignment="1">
      <alignment horizontal="right"/>
    </xf>
    <xf numFmtId="195" fontId="17" fillId="0" borderId="0" xfId="37" applyNumberFormat="1" applyFont="1" applyBorder="1" applyAlignment="1">
      <alignment horizontal="center"/>
    </xf>
    <xf numFmtId="195" fontId="4" fillId="0" borderId="0" xfId="37" applyNumberFormat="1" applyFont="1" applyBorder="1" applyAlignment="1">
      <alignment horizontal="center"/>
    </xf>
    <xf numFmtId="178" fontId="4" fillId="0" borderId="2" xfId="10" applyNumberFormat="1" applyFont="1" applyFill="1" applyBorder="1"/>
    <xf numFmtId="173" fontId="4" fillId="0" borderId="2" xfId="0" applyNumberFormat="1" applyFont="1" applyBorder="1"/>
    <xf numFmtId="0" fontId="64" fillId="0" borderId="0" xfId="0" applyFont="1" applyAlignment="1">
      <alignment vertical="center"/>
    </xf>
    <xf numFmtId="0" fontId="64" fillId="6" borderId="5" xfId="0" applyFont="1" applyFill="1" applyBorder="1" applyAlignment="1">
      <alignment horizontal="centerContinuous" vertical="center"/>
    </xf>
    <xf numFmtId="0" fontId="64" fillId="0" borderId="0" xfId="0" applyFont="1" applyAlignment="1">
      <alignment horizontal="center" vertical="center" wrapText="1"/>
    </xf>
    <xf numFmtId="0" fontId="64" fillId="0" borderId="0" xfId="0" applyFont="1" applyFill="1" applyBorder="1" applyAlignment="1">
      <alignment vertical="center"/>
    </xf>
    <xf numFmtId="211" fontId="64" fillId="0" borderId="0" xfId="29" applyNumberFormat="1" applyFont="1" applyFill="1" applyBorder="1" applyAlignment="1">
      <alignment horizontal="right" vertical="center"/>
    </xf>
    <xf numFmtId="220" fontId="64" fillId="0" borderId="0" xfId="29" applyNumberFormat="1" applyFont="1" applyFill="1" applyBorder="1" applyAlignment="1">
      <alignment horizontal="right" vertical="center"/>
    </xf>
    <xf numFmtId="211" fontId="65" fillId="0" borderId="0" xfId="29" applyNumberFormat="1" applyFont="1" applyAlignment="1">
      <alignment horizontal="center" vertical="center"/>
    </xf>
    <xf numFmtId="195" fontId="31" fillId="0" borderId="0" xfId="37" applyNumberFormat="1" applyFont="1" applyFill="1" applyAlignment="1">
      <alignment horizontal="center"/>
    </xf>
    <xf numFmtId="1" fontId="17" fillId="0" borderId="2" xfId="0" applyNumberFormat="1" applyFont="1" applyFill="1" applyBorder="1"/>
    <xf numFmtId="9" fontId="64" fillId="0" borderId="0" xfId="37" applyFont="1" applyFill="1" applyBorder="1" applyAlignment="1">
      <alignment horizontal="center"/>
    </xf>
    <xf numFmtId="0" fontId="64" fillId="0" borderId="0" xfId="0" applyFont="1"/>
    <xf numFmtId="9" fontId="64" fillId="0" borderId="0" xfId="37" applyFont="1" applyFill="1" applyBorder="1"/>
    <xf numFmtId="167" fontId="64" fillId="0" borderId="0" xfId="0" applyNumberFormat="1" applyFont="1"/>
    <xf numFmtId="0" fontId="64" fillId="0" borderId="0" xfId="0" applyFont="1" applyFill="1"/>
    <xf numFmtId="0" fontId="10" fillId="0" borderId="4" xfId="0" applyFont="1" applyFill="1" applyBorder="1" applyAlignment="1">
      <alignment horizontal="centerContinuous"/>
    </xf>
    <xf numFmtId="0" fontId="10" fillId="0" borderId="5" xfId="0" applyFont="1" applyFill="1" applyBorder="1" applyAlignment="1">
      <alignment horizontal="left"/>
    </xf>
    <xf numFmtId="0" fontId="11" fillId="0" borderId="0" xfId="0" applyFont="1" applyFill="1" applyBorder="1" applyAlignment="1"/>
    <xf numFmtId="166" fontId="4" fillId="0" borderId="4" xfId="0" applyNumberFormat="1" applyFont="1" applyFill="1" applyBorder="1"/>
    <xf numFmtId="166" fontId="10" fillId="0" borderId="6" xfId="0" applyNumberFormat="1" applyFont="1" applyFill="1" applyBorder="1"/>
    <xf numFmtId="166" fontId="10" fillId="0" borderId="0" xfId="0" applyNumberFormat="1" applyFont="1" applyFill="1"/>
    <xf numFmtId="185" fontId="4" fillId="0" borderId="4" xfId="0" applyNumberFormat="1" applyFont="1" applyFill="1" applyBorder="1"/>
    <xf numFmtId="185" fontId="4" fillId="0" borderId="25" xfId="0" applyNumberFormat="1" applyFont="1" applyFill="1" applyBorder="1"/>
    <xf numFmtId="166" fontId="21" fillId="8" borderId="0" xfId="0" applyNumberFormat="1" applyFont="1" applyFill="1"/>
    <xf numFmtId="9" fontId="8" fillId="0" borderId="0" xfId="37" applyFont="1"/>
    <xf numFmtId="1" fontId="12" fillId="0" borderId="0" xfId="33" applyNumberFormat="1" applyFont="1"/>
    <xf numFmtId="0" fontId="13" fillId="0" borderId="0" xfId="0" applyFont="1" applyFill="1"/>
    <xf numFmtId="0" fontId="13" fillId="0" borderId="0" xfId="0" applyFont="1" applyFill="1" applyBorder="1"/>
    <xf numFmtId="230" fontId="66" fillId="0" borderId="2" xfId="0" applyNumberFormat="1" applyFont="1" applyFill="1" applyBorder="1"/>
    <xf numFmtId="230" fontId="17" fillId="0" borderId="0" xfId="0" applyNumberFormat="1" applyFont="1" applyFill="1"/>
    <xf numFmtId="230" fontId="17" fillId="0" borderId="2" xfId="0" applyNumberFormat="1" applyFont="1" applyFill="1" applyBorder="1"/>
    <xf numFmtId="39" fontId="0" fillId="0" borderId="0" xfId="0" applyNumberFormat="1" applyFill="1"/>
    <xf numFmtId="7" fontId="0" fillId="0" borderId="0" xfId="0" applyNumberFormat="1" applyFill="1" applyBorder="1" applyAlignment="1">
      <alignment horizontal="right"/>
    </xf>
    <xf numFmtId="0" fontId="36" fillId="0" borderId="0" xfId="0" applyFont="1" applyFill="1"/>
    <xf numFmtId="0" fontId="36" fillId="0" borderId="0" xfId="0" applyFont="1" applyFill="1" applyAlignment="1">
      <alignment horizontal="right"/>
    </xf>
    <xf numFmtId="40" fontId="8" fillId="0" borderId="2" xfId="0" applyNumberFormat="1" applyFont="1" applyBorder="1"/>
    <xf numFmtId="40" fontId="11" fillId="0" borderId="2" xfId="0" applyNumberFormat="1" applyFont="1" applyBorder="1"/>
    <xf numFmtId="0" fontId="30" fillId="0" borderId="20" xfId="0" applyFont="1" applyBorder="1"/>
    <xf numFmtId="174" fontId="30" fillId="0" borderId="2" xfId="0" applyNumberFormat="1" applyFont="1" applyBorder="1"/>
    <xf numFmtId="172" fontId="30" fillId="0" borderId="2" xfId="0" applyNumberFormat="1" applyFont="1" applyBorder="1"/>
    <xf numFmtId="0" fontId="17" fillId="0" borderId="0" xfId="0" applyFont="1" applyFill="1" applyAlignment="1">
      <alignment horizontal="center"/>
    </xf>
    <xf numFmtId="167" fontId="16" fillId="0" borderId="0" xfId="0" applyNumberFormat="1" applyFont="1" applyFill="1" applyAlignment="1">
      <alignment horizontal="left"/>
    </xf>
    <xf numFmtId="185" fontId="17" fillId="0" borderId="0" xfId="0" applyNumberFormat="1" applyFont="1" applyFill="1"/>
    <xf numFmtId="185" fontId="16" fillId="0" borderId="0" xfId="0" applyNumberFormat="1" applyFont="1" applyFill="1" applyAlignment="1">
      <alignment horizontal="left"/>
    </xf>
    <xf numFmtId="170" fontId="23" fillId="4" borderId="0" xfId="0" applyNumberFormat="1" applyFont="1" applyFill="1"/>
    <xf numFmtId="172" fontId="23" fillId="4" borderId="0" xfId="0" applyNumberFormat="1" applyFont="1" applyFill="1"/>
    <xf numFmtId="208" fontId="23" fillId="4" borderId="0" xfId="0" applyNumberFormat="1" applyFont="1" applyFill="1"/>
    <xf numFmtId="167" fontId="32" fillId="0" borderId="0" xfId="0" applyNumberFormat="1" applyFont="1"/>
    <xf numFmtId="167" fontId="32" fillId="0" borderId="0" xfId="0" applyNumberFormat="1" applyFont="1" applyBorder="1"/>
    <xf numFmtId="4" fontId="23" fillId="0" borderId="0" xfId="0" applyNumberFormat="1" applyFont="1" applyBorder="1"/>
    <xf numFmtId="37" fontId="23" fillId="0" borderId="0" xfId="0" applyNumberFormat="1" applyFont="1"/>
    <xf numFmtId="200" fontId="33" fillId="0" borderId="0" xfId="0" applyNumberFormat="1" applyFont="1" applyAlignment="1">
      <alignment horizontal="left"/>
    </xf>
    <xf numFmtId="4" fontId="23" fillId="0" borderId="0" xfId="0" applyNumberFormat="1" applyFont="1" applyAlignment="1">
      <alignment horizontal="right"/>
    </xf>
    <xf numFmtId="199" fontId="31" fillId="0" borderId="0" xfId="0" applyNumberFormat="1" applyFont="1" applyFill="1" applyAlignment="1">
      <alignment horizontal="left"/>
    </xf>
    <xf numFmtId="170" fontId="4" fillId="0" borderId="2" xfId="29" applyNumberFormat="1" applyFont="1" applyFill="1" applyBorder="1"/>
    <xf numFmtId="211" fontId="65" fillId="0" borderId="0" xfId="29" applyNumberFormat="1" applyFont="1" applyFill="1" applyAlignment="1">
      <alignment horizontal="center" vertical="center"/>
    </xf>
    <xf numFmtId="167" fontId="8" fillId="0" borderId="2" xfId="29" applyNumberFormat="1" applyFont="1" applyFill="1" applyBorder="1" applyAlignment="1">
      <alignment horizontal="right"/>
    </xf>
    <xf numFmtId="167" fontId="8" fillId="8" borderId="2" xfId="29" applyNumberFormat="1" applyFont="1" applyFill="1" applyBorder="1" applyAlignment="1">
      <alignment horizontal="right"/>
    </xf>
    <xf numFmtId="169" fontId="8" fillId="0" borderId="20" xfId="29" applyNumberFormat="1" applyFont="1" applyBorder="1" applyAlignment="1">
      <alignment horizontal="right"/>
    </xf>
    <xf numFmtId="232" fontId="4" fillId="0" borderId="0" xfId="0" applyNumberFormat="1" applyFont="1" applyFill="1"/>
    <xf numFmtId="8" fontId="17" fillId="0" borderId="0" xfId="0" applyNumberFormat="1" applyFont="1" applyFill="1"/>
    <xf numFmtId="173" fontId="4" fillId="0" borderId="0" xfId="0" applyNumberFormat="1" applyFont="1" applyFill="1"/>
    <xf numFmtId="173" fontId="4" fillId="0" borderId="0" xfId="0" applyNumberFormat="1" applyFont="1" applyBorder="1"/>
    <xf numFmtId="9" fontId="4" fillId="0" borderId="0" xfId="37" applyFont="1" applyFill="1"/>
    <xf numFmtId="10" fontId="4" fillId="0" borderId="0" xfId="37" applyNumberFormat="1" applyFont="1" applyFill="1"/>
    <xf numFmtId="222" fontId="8" fillId="0" borderId="0" xfId="29" applyNumberFormat="1" applyFont="1" applyFill="1" applyAlignment="1">
      <alignment horizontal="right"/>
    </xf>
    <xf numFmtId="178" fontId="12" fillId="0" borderId="1" xfId="10" applyNumberFormat="1" applyFont="1" applyFill="1" applyBorder="1" applyAlignment="1">
      <alignment horizontal="right"/>
    </xf>
    <xf numFmtId="8" fontId="60" fillId="0" borderId="0" xfId="0" applyNumberFormat="1" applyFont="1" applyBorder="1" applyAlignment="1">
      <alignment horizontal="right"/>
    </xf>
    <xf numFmtId="43" fontId="4" fillId="0" borderId="0" xfId="10" applyFont="1" applyFill="1"/>
    <xf numFmtId="0" fontId="16" fillId="0" borderId="0" xfId="0" applyFont="1" applyFill="1" applyAlignment="1">
      <alignment horizontal="centerContinuous" wrapText="1"/>
    </xf>
    <xf numFmtId="0" fontId="62" fillId="0" borderId="0" xfId="0" applyFont="1" applyAlignment="1">
      <alignment horizontal="centerContinuous" wrapText="1"/>
    </xf>
    <xf numFmtId="233" fontId="4" fillId="0" borderId="0" xfId="0" applyNumberFormat="1" applyFont="1" applyFill="1"/>
    <xf numFmtId="2" fontId="4" fillId="0" borderId="0" xfId="0" applyNumberFormat="1" applyFont="1" applyFill="1"/>
    <xf numFmtId="172" fontId="17" fillId="0" borderId="2" xfId="0" applyNumberFormat="1" applyFont="1" applyFill="1" applyBorder="1"/>
    <xf numFmtId="37" fontId="4" fillId="0" borderId="0" xfId="0" applyNumberFormat="1" applyFont="1" applyBorder="1"/>
    <xf numFmtId="4" fontId="4" fillId="0" borderId="0" xfId="0" applyNumberFormat="1" applyFont="1" applyBorder="1"/>
    <xf numFmtId="3" fontId="4" fillId="0" borderId="0" xfId="0" applyNumberFormat="1" applyFont="1" applyBorder="1"/>
    <xf numFmtId="37" fontId="4" fillId="0" borderId="0" xfId="0" applyNumberFormat="1" applyFont="1" applyFill="1" applyBorder="1"/>
    <xf numFmtId="1" fontId="17" fillId="0" borderId="0" xfId="0" applyNumberFormat="1" applyFont="1" applyFill="1" applyBorder="1"/>
    <xf numFmtId="211" fontId="51" fillId="0" borderId="0" xfId="29" applyNumberFormat="1" applyFont="1" applyFill="1" applyBorder="1" applyAlignment="1">
      <alignment horizontal="center" vertical="center"/>
    </xf>
    <xf numFmtId="167" fontId="8" fillId="0" borderId="0" xfId="29" applyNumberFormat="1" applyFont="1" applyFill="1" applyAlignment="1">
      <alignment horizontal="right"/>
    </xf>
    <xf numFmtId="220" fontId="8" fillId="0" borderId="1" xfId="29" applyNumberFormat="1" applyFont="1" applyFill="1" applyBorder="1" applyAlignment="1">
      <alignment horizontal="right"/>
    </xf>
    <xf numFmtId="0" fontId="8" fillId="0" borderId="0" xfId="0" applyFont="1" applyFill="1" applyAlignment="1">
      <alignment horizontal="center"/>
    </xf>
    <xf numFmtId="0" fontId="49" fillId="0" borderId="0" xfId="0" applyFont="1" applyFill="1" applyAlignment="1">
      <alignment vertical="center"/>
    </xf>
    <xf numFmtId="177" fontId="8" fillId="0" borderId="20" xfId="0" applyNumberFormat="1" applyFont="1" applyFill="1" applyBorder="1" applyAlignment="1">
      <alignment horizontal="center"/>
    </xf>
    <xf numFmtId="0" fontId="4" fillId="0" borderId="2" xfId="0" applyFont="1" applyFill="1" applyBorder="1" applyAlignment="1">
      <alignment horizontal="center"/>
    </xf>
    <xf numFmtId="0" fontId="8" fillId="0" borderId="23" xfId="0" applyFont="1" applyFill="1" applyBorder="1"/>
    <xf numFmtId="0" fontId="8" fillId="0" borderId="20" xfId="0" applyFont="1" applyFill="1" applyBorder="1" applyAlignment="1">
      <alignment horizontal="center"/>
    </xf>
    <xf numFmtId="166" fontId="10" fillId="0" borderId="0" xfId="0" applyNumberFormat="1" applyFont="1" applyFill="1" applyBorder="1"/>
    <xf numFmtId="204" fontId="53" fillId="0" borderId="0" xfId="0" applyNumberFormat="1" applyFont="1"/>
    <xf numFmtId="201" fontId="53" fillId="0" borderId="0" xfId="0" applyNumberFormat="1" applyFont="1"/>
    <xf numFmtId="201" fontId="53" fillId="0" borderId="2" xfId="0" applyNumberFormat="1" applyFont="1" applyBorder="1"/>
    <xf numFmtId="0" fontId="62" fillId="0" borderId="0" xfId="0" applyFont="1" applyFill="1" applyAlignment="1">
      <alignment horizontal="centerContinuous" wrapText="1"/>
    </xf>
    <xf numFmtId="172" fontId="17" fillId="0" borderId="0" xfId="0" applyNumberFormat="1" applyFont="1" applyFill="1" applyBorder="1"/>
    <xf numFmtId="208" fontId="17" fillId="0" borderId="0" xfId="0" applyNumberFormat="1" applyFont="1" applyFill="1" applyBorder="1"/>
    <xf numFmtId="178" fontId="17" fillId="0" borderId="0" xfId="10" applyNumberFormat="1" applyFont="1" applyFill="1" applyProtection="1"/>
    <xf numFmtId="0" fontId="8" fillId="7" borderId="0" xfId="0" applyFont="1" applyFill="1"/>
    <xf numFmtId="0" fontId="8" fillId="7" borderId="1" xfId="0" applyFont="1" applyFill="1" applyBorder="1" applyAlignment="1">
      <alignment horizontal="center"/>
    </xf>
    <xf numFmtId="0" fontId="4" fillId="7" borderId="0" xfId="0" applyFont="1" applyFill="1" applyBorder="1" applyAlignment="1">
      <alignment horizontal="center"/>
    </xf>
    <xf numFmtId="0" fontId="8" fillId="7" borderId="0" xfId="0" applyFont="1" applyFill="1" applyBorder="1"/>
    <xf numFmtId="0" fontId="8" fillId="7" borderId="22" xfId="0" applyFont="1" applyFill="1" applyBorder="1"/>
    <xf numFmtId="0" fontId="8" fillId="7" borderId="0" xfId="0" applyFont="1" applyFill="1" applyBorder="1" applyAlignment="1">
      <alignment horizontal="left"/>
    </xf>
    <xf numFmtId="195" fontId="17" fillId="7" borderId="0" xfId="37" applyNumberFormat="1" applyFont="1" applyFill="1" applyBorder="1" applyAlignment="1">
      <alignment horizontal="center"/>
    </xf>
    <xf numFmtId="0" fontId="12" fillId="7" borderId="22" xfId="0" applyFont="1" applyFill="1" applyBorder="1"/>
    <xf numFmtId="0" fontId="49" fillId="7" borderId="0" xfId="0" applyFont="1" applyFill="1" applyBorder="1" applyAlignment="1">
      <alignment vertical="center"/>
    </xf>
    <xf numFmtId="211" fontId="65" fillId="7" borderId="0" xfId="29" applyNumberFormat="1" applyFont="1" applyFill="1" applyAlignment="1">
      <alignment horizontal="center" vertical="center"/>
    </xf>
    <xf numFmtId="211" fontId="8" fillId="7" borderId="1" xfId="29" applyNumberFormat="1" applyFont="1" applyFill="1" applyBorder="1" applyAlignment="1">
      <alignment horizontal="right"/>
    </xf>
    <xf numFmtId="215" fontId="4" fillId="7" borderId="0" xfId="0" applyNumberFormat="1" applyFont="1" applyFill="1" applyBorder="1" applyAlignment="1">
      <alignment horizontal="right"/>
    </xf>
    <xf numFmtId="195" fontId="4" fillId="7" borderId="0" xfId="37" applyNumberFormat="1" applyFont="1" applyFill="1" applyBorder="1" applyAlignment="1">
      <alignment horizontal="left"/>
    </xf>
    <xf numFmtId="211" fontId="8" fillId="7" borderId="0" xfId="29" applyNumberFormat="1" applyFont="1" applyFill="1" applyBorder="1" applyAlignment="1">
      <alignment horizontal="right"/>
    </xf>
    <xf numFmtId="194" fontId="17" fillId="7" borderId="22" xfId="0" applyNumberFormat="1" applyFont="1" applyFill="1" applyBorder="1" applyAlignment="1">
      <alignment horizontal="left"/>
    </xf>
    <xf numFmtId="194" fontId="17" fillId="7" borderId="0" xfId="0" applyNumberFormat="1" applyFont="1" applyFill="1" applyBorder="1" applyAlignment="1">
      <alignment horizontal="left"/>
    </xf>
    <xf numFmtId="195" fontId="31" fillId="7" borderId="0" xfId="37" applyNumberFormat="1" applyFont="1" applyFill="1" applyBorder="1" applyAlignment="1">
      <alignment horizontal="center"/>
    </xf>
    <xf numFmtId="195" fontId="4" fillId="7" borderId="0" xfId="37" applyNumberFormat="1" applyFont="1" applyFill="1" applyAlignment="1">
      <alignment horizontal="left"/>
    </xf>
    <xf numFmtId="195" fontId="31" fillId="7" borderId="0" xfId="37" applyNumberFormat="1" applyFont="1" applyFill="1" applyAlignment="1">
      <alignment horizontal="center"/>
    </xf>
    <xf numFmtId="215" fontId="17" fillId="7" borderId="0" xfId="0" applyNumberFormat="1" applyFont="1" applyFill="1" applyBorder="1" applyAlignment="1">
      <alignment horizontal="right"/>
    </xf>
    <xf numFmtId="167" fontId="8" fillId="7" borderId="0" xfId="29" applyNumberFormat="1" applyFont="1" applyFill="1" applyBorder="1" applyAlignment="1">
      <alignment horizontal="right"/>
    </xf>
    <xf numFmtId="215" fontId="4" fillId="7" borderId="0" xfId="0" applyNumberFormat="1" applyFont="1" applyFill="1" applyAlignment="1">
      <alignment horizontal="right"/>
    </xf>
    <xf numFmtId="167" fontId="8" fillId="7" borderId="0" xfId="29" applyNumberFormat="1" applyFont="1" applyFill="1" applyAlignment="1">
      <alignment horizontal="right"/>
    </xf>
    <xf numFmtId="211" fontId="51" fillId="7" borderId="0" xfId="29" applyNumberFormat="1" applyFont="1" applyFill="1" applyAlignment="1">
      <alignment horizontal="center" vertical="center"/>
    </xf>
    <xf numFmtId="194" fontId="4" fillId="7" borderId="0" xfId="0" applyNumberFormat="1" applyFont="1" applyFill="1" applyAlignment="1">
      <alignment horizontal="left"/>
    </xf>
    <xf numFmtId="211" fontId="12" fillId="7" borderId="0" xfId="29" applyNumberFormat="1" applyFont="1" applyFill="1" applyBorder="1" applyAlignment="1">
      <alignment horizontal="right"/>
    </xf>
    <xf numFmtId="168" fontId="8" fillId="7" borderId="0" xfId="37" applyNumberFormat="1" applyFont="1" applyFill="1"/>
    <xf numFmtId="220" fontId="8" fillId="7" borderId="1" xfId="29" applyNumberFormat="1" applyFont="1" applyFill="1" applyBorder="1" applyAlignment="1">
      <alignment horizontal="right"/>
    </xf>
    <xf numFmtId="220" fontId="8" fillId="7" borderId="0" xfId="29" applyNumberFormat="1" applyFont="1" applyFill="1" applyBorder="1" applyAlignment="1">
      <alignment horizontal="right"/>
    </xf>
    <xf numFmtId="220" fontId="12" fillId="7" borderId="0" xfId="29" applyNumberFormat="1" applyFont="1" applyFill="1" applyBorder="1" applyAlignment="1">
      <alignment horizontal="right"/>
    </xf>
    <xf numFmtId="220" fontId="8" fillId="7" borderId="20" xfId="29" applyNumberFormat="1" applyFont="1" applyFill="1" applyBorder="1" applyAlignment="1">
      <alignment horizontal="right"/>
    </xf>
    <xf numFmtId="169" fontId="8" fillId="7" borderId="2" xfId="29" applyNumberFormat="1" applyFont="1" applyFill="1" applyBorder="1" applyAlignment="1">
      <alignment horizontal="right"/>
    </xf>
    <xf numFmtId="220" fontId="8" fillId="7" borderId="2" xfId="29" applyNumberFormat="1" applyFont="1" applyFill="1" applyBorder="1" applyAlignment="1">
      <alignment horizontal="right"/>
    </xf>
    <xf numFmtId="194" fontId="4" fillId="7" borderId="2" xfId="0" applyNumberFormat="1" applyFont="1" applyFill="1" applyBorder="1" applyAlignment="1">
      <alignment horizontal="left"/>
    </xf>
    <xf numFmtId="222" fontId="8" fillId="7" borderId="1" xfId="29" applyNumberFormat="1" applyFont="1" applyFill="1" applyBorder="1" applyAlignment="1">
      <alignment horizontal="right"/>
    </xf>
    <xf numFmtId="194" fontId="4" fillId="7" borderId="22" xfId="0" applyNumberFormat="1" applyFont="1" applyFill="1" applyBorder="1" applyAlignment="1">
      <alignment horizontal="left"/>
    </xf>
    <xf numFmtId="194" fontId="4" fillId="7" borderId="0" xfId="0" applyNumberFormat="1" applyFont="1" applyFill="1" applyBorder="1" applyAlignment="1">
      <alignment horizontal="left"/>
    </xf>
    <xf numFmtId="195" fontId="4" fillId="7" borderId="0" xfId="37" applyNumberFormat="1" applyFont="1" applyFill="1" applyBorder="1" applyAlignment="1">
      <alignment horizontal="center"/>
    </xf>
    <xf numFmtId="222" fontId="8" fillId="7" borderId="0" xfId="29" applyNumberFormat="1" applyFont="1" applyFill="1" applyAlignment="1">
      <alignment horizontal="right"/>
    </xf>
    <xf numFmtId="168" fontId="8" fillId="7" borderId="0" xfId="37" applyNumberFormat="1" applyFont="1" applyFill="1" applyBorder="1"/>
    <xf numFmtId="211" fontId="65" fillId="0" borderId="0" xfId="29" applyNumberFormat="1" applyFont="1" applyFill="1" applyBorder="1" applyAlignment="1">
      <alignment horizontal="center" vertical="center"/>
    </xf>
    <xf numFmtId="0" fontId="10" fillId="6" borderId="0" xfId="0" applyFont="1" applyFill="1" applyBorder="1" applyAlignment="1">
      <alignment horizontal="centerContinuous"/>
    </xf>
    <xf numFmtId="0" fontId="11" fillId="6" borderId="0" xfId="0" applyFont="1" applyFill="1" applyBorder="1" applyAlignment="1">
      <alignment horizontal="centerContinuous"/>
    </xf>
    <xf numFmtId="0" fontId="11" fillId="0" borderId="0" xfId="0" applyFont="1" applyBorder="1" applyAlignment="1">
      <alignment horizontal="center" wrapText="1"/>
    </xf>
    <xf numFmtId="0" fontId="4" fillId="0" borderId="0" xfId="0" applyFont="1" applyBorder="1" applyAlignment="1">
      <alignment horizontal="center" wrapText="1"/>
    </xf>
    <xf numFmtId="169" fontId="8" fillId="0" borderId="0" xfId="29" applyNumberFormat="1" applyFont="1" applyBorder="1" applyAlignment="1">
      <alignment horizontal="right"/>
    </xf>
    <xf numFmtId="169" fontId="8" fillId="0" borderId="0" xfId="29" applyNumberFormat="1" applyFont="1" applyFill="1" applyBorder="1" applyAlignment="1">
      <alignment horizontal="right"/>
    </xf>
    <xf numFmtId="169" fontId="8" fillId="7" borderId="0" xfId="29" applyNumberFormat="1" applyFont="1" applyFill="1" applyBorder="1" applyAlignment="1">
      <alignment horizontal="right"/>
    </xf>
    <xf numFmtId="0" fontId="8" fillId="8" borderId="0" xfId="0" applyFont="1" applyFill="1"/>
    <xf numFmtId="0" fontId="4" fillId="0" borderId="7" xfId="0" applyFont="1" applyBorder="1" applyAlignment="1">
      <alignment horizontal="center" wrapText="1"/>
    </xf>
    <xf numFmtId="0" fontId="8" fillId="0" borderId="1" xfId="0" applyFont="1" applyFill="1" applyBorder="1" applyAlignment="1">
      <alignment horizontal="left"/>
    </xf>
    <xf numFmtId="195" fontId="17" fillId="0" borderId="22" xfId="37" applyNumberFormat="1" applyFont="1" applyFill="1" applyBorder="1" applyAlignment="1">
      <alignment horizontal="center"/>
    </xf>
    <xf numFmtId="195" fontId="17" fillId="0" borderId="1" xfId="37" applyNumberFormat="1" applyFont="1" applyFill="1" applyBorder="1" applyAlignment="1">
      <alignment horizontal="center"/>
    </xf>
    <xf numFmtId="0" fontId="4" fillId="0" borderId="1" xfId="0" applyFont="1" applyFill="1" applyBorder="1" applyAlignment="1">
      <alignment horizontal="center"/>
    </xf>
    <xf numFmtId="195" fontId="4" fillId="0" borderId="1" xfId="37" applyNumberFormat="1" applyFont="1" applyFill="1" applyBorder="1" applyAlignment="1">
      <alignment horizontal="center"/>
    </xf>
    <xf numFmtId="0" fontId="4" fillId="0" borderId="21" xfId="0" applyFont="1" applyFill="1" applyBorder="1" applyAlignment="1">
      <alignment horizontal="center" wrapText="1"/>
    </xf>
    <xf numFmtId="0" fontId="4" fillId="0" borderId="22" xfId="0" applyFont="1" applyFill="1" applyBorder="1" applyAlignment="1">
      <alignment horizontal="center"/>
    </xf>
    <xf numFmtId="195" fontId="4" fillId="0" borderId="22" xfId="37" applyNumberFormat="1" applyFont="1" applyFill="1" applyBorder="1" applyAlignment="1">
      <alignment horizontal="center"/>
    </xf>
    <xf numFmtId="0" fontId="4" fillId="0" borderId="5" xfId="0" applyFont="1" applyFill="1" applyBorder="1" applyAlignment="1">
      <alignment horizontal="center" wrapText="1"/>
    </xf>
    <xf numFmtId="0" fontId="4" fillId="0" borderId="5" xfId="0" applyFont="1" applyBorder="1" applyAlignment="1">
      <alignment horizontal="center" wrapText="1"/>
    </xf>
    <xf numFmtId="0" fontId="10" fillId="0" borderId="8" xfId="0" applyFont="1" applyFill="1" applyBorder="1" applyAlignment="1">
      <alignment horizontal="center" wrapText="1"/>
    </xf>
    <xf numFmtId="0" fontId="50" fillId="9" borderId="9" xfId="0" applyFont="1" applyFill="1" applyBorder="1" applyAlignment="1">
      <alignment horizontal="centerContinuous"/>
    </xf>
    <xf numFmtId="0" fontId="50" fillId="9" borderId="8" xfId="0" applyFont="1" applyFill="1" applyBorder="1" applyAlignment="1">
      <alignment horizontal="centerContinuous"/>
    </xf>
    <xf numFmtId="0" fontId="10" fillId="9" borderId="8" xfId="0" applyFont="1" applyFill="1" applyBorder="1" applyAlignment="1">
      <alignment horizontal="centerContinuous"/>
    </xf>
    <xf numFmtId="0" fontId="50" fillId="9" borderId="21" xfId="0" applyFont="1" applyFill="1" applyBorder="1" applyAlignment="1">
      <alignment horizontal="centerContinuous"/>
    </xf>
    <xf numFmtId="0" fontId="50" fillId="7" borderId="24" xfId="0" applyFont="1" applyFill="1" applyBorder="1" applyAlignment="1">
      <alignment horizontal="centerContinuous"/>
    </xf>
    <xf numFmtId="0" fontId="4" fillId="7" borderId="7" xfId="0" applyFont="1" applyFill="1" applyBorder="1" applyAlignment="1">
      <alignment horizontal="centerContinuous"/>
    </xf>
    <xf numFmtId="0" fontId="12" fillId="0" borderId="0" xfId="0" applyFont="1" applyFill="1" applyBorder="1"/>
    <xf numFmtId="0" fontId="50" fillId="0" borderId="0" xfId="0" applyFont="1" applyFill="1" applyBorder="1" applyAlignment="1">
      <alignment horizontal="center"/>
    </xf>
    <xf numFmtId="0" fontId="39" fillId="0" borderId="0" xfId="0" applyFont="1" applyFill="1" applyBorder="1" applyAlignment="1">
      <alignment horizontal="center"/>
    </xf>
    <xf numFmtId="167" fontId="4" fillId="0" borderId="0" xfId="0" applyNumberFormat="1" applyFont="1" applyAlignment="1">
      <alignment horizontal="right"/>
    </xf>
    <xf numFmtId="167" fontId="4" fillId="0" borderId="2" xfId="0" applyNumberFormat="1" applyFont="1" applyBorder="1" applyAlignment="1">
      <alignment horizontal="right"/>
    </xf>
    <xf numFmtId="202" fontId="17" fillId="0" borderId="0" xfId="0" applyNumberFormat="1" applyFont="1"/>
    <xf numFmtId="202" fontId="17" fillId="0" borderId="2" xfId="0" applyNumberFormat="1" applyFont="1" applyBorder="1"/>
    <xf numFmtId="0" fontId="11" fillId="3" borderId="0" xfId="0" applyFont="1" applyFill="1" applyAlignment="1">
      <alignment horizontal="left"/>
    </xf>
    <xf numFmtId="195" fontId="8" fillId="3" borderId="0" xfId="0" applyNumberFormat="1" applyFont="1" applyFill="1"/>
    <xf numFmtId="0" fontId="4" fillId="3" borderId="0" xfId="0" applyFont="1" applyFill="1"/>
    <xf numFmtId="37" fontId="4" fillId="3" borderId="0" xfId="0" applyNumberFormat="1" applyFont="1" applyFill="1" applyBorder="1"/>
    <xf numFmtId="1" fontId="4" fillId="3" borderId="0" xfId="0" applyNumberFormat="1" applyFont="1" applyFill="1"/>
    <xf numFmtId="167" fontId="4" fillId="3" borderId="0" xfId="0" applyNumberFormat="1" applyFont="1" applyFill="1"/>
    <xf numFmtId="0" fontId="4" fillId="3" borderId="0" xfId="0" applyFont="1" applyFill="1" applyAlignment="1">
      <alignment horizontal="center"/>
    </xf>
    <xf numFmtId="1" fontId="4" fillId="3" borderId="0" xfId="0" applyNumberFormat="1" applyFont="1" applyFill="1" applyBorder="1"/>
    <xf numFmtId="0" fontId="4" fillId="3" borderId="0" xfId="0" applyFont="1" applyFill="1" applyBorder="1"/>
    <xf numFmtId="185" fontId="4" fillId="3" borderId="0" xfId="0" applyNumberFormat="1" applyFont="1" applyFill="1"/>
    <xf numFmtId="4" fontId="4" fillId="3" borderId="0" xfId="0" applyNumberFormat="1" applyFont="1" applyFill="1" applyBorder="1"/>
    <xf numFmtId="202" fontId="4" fillId="3" borderId="0" xfId="0" applyNumberFormat="1" applyFont="1" applyFill="1" applyBorder="1"/>
    <xf numFmtId="173" fontId="25" fillId="3" borderId="0" xfId="0" applyNumberFormat="1" applyFont="1" applyFill="1"/>
    <xf numFmtId="3" fontId="4" fillId="3" borderId="0" xfId="0" applyNumberFormat="1" applyFont="1" applyFill="1" applyBorder="1"/>
    <xf numFmtId="172" fontId="4" fillId="3" borderId="0" xfId="0" applyNumberFormat="1" applyFont="1" applyFill="1" applyBorder="1"/>
    <xf numFmtId="202" fontId="31" fillId="0" borderId="0" xfId="0" applyNumberFormat="1" applyFont="1" applyFill="1"/>
    <xf numFmtId="202" fontId="31" fillId="0" borderId="2" xfId="0" applyNumberFormat="1" applyFont="1" applyFill="1" applyBorder="1"/>
    <xf numFmtId="1" fontId="4" fillId="0" borderId="0" xfId="0" applyNumberFormat="1" applyFont="1" applyFill="1" applyAlignment="1">
      <alignment horizontal="right"/>
    </xf>
    <xf numFmtId="1" fontId="4" fillId="0" borderId="2" xfId="0" applyNumberFormat="1" applyFont="1" applyFill="1" applyBorder="1" applyAlignment="1">
      <alignment horizontal="right"/>
    </xf>
    <xf numFmtId="9" fontId="4" fillId="0" borderId="0" xfId="37" applyFont="1"/>
    <xf numFmtId="211" fontId="69" fillId="0" borderId="1" xfId="29" applyNumberFormat="1" applyFont="1" applyFill="1" applyBorder="1" applyAlignment="1">
      <alignment horizontal="right"/>
    </xf>
    <xf numFmtId="220" fontId="69" fillId="0" borderId="1" xfId="29" applyNumberFormat="1" applyFont="1" applyFill="1" applyBorder="1" applyAlignment="1">
      <alignment horizontal="right"/>
    </xf>
    <xf numFmtId="202" fontId="17" fillId="0" borderId="2" xfId="0" applyNumberFormat="1" applyFont="1" applyFill="1" applyBorder="1"/>
    <xf numFmtId="220" fontId="69" fillId="0" borderId="20" xfId="29" applyNumberFormat="1" applyFont="1" applyFill="1" applyBorder="1" applyAlignment="1">
      <alignment horizontal="right"/>
    </xf>
    <xf numFmtId="0" fontId="11" fillId="0" borderId="24" xfId="0" applyFont="1" applyBorder="1" applyAlignment="1">
      <alignment horizontal="center" wrapText="1"/>
    </xf>
    <xf numFmtId="0" fontId="4" fillId="0" borderId="1" xfId="0" applyFont="1" applyFill="1" applyBorder="1" applyAlignment="1">
      <alignment horizontal="left"/>
    </xf>
    <xf numFmtId="195" fontId="17" fillId="0" borderId="20" xfId="37" applyNumberFormat="1" applyFont="1" applyFill="1" applyBorder="1" applyAlignment="1">
      <alignment horizontal="center"/>
    </xf>
    <xf numFmtId="195" fontId="17" fillId="0" borderId="23" xfId="37" applyNumberFormat="1" applyFont="1" applyFill="1" applyBorder="1" applyAlignment="1">
      <alignment horizontal="center"/>
    </xf>
    <xf numFmtId="220" fontId="8" fillId="0" borderId="20" xfId="29" applyNumberFormat="1" applyFont="1" applyFill="1" applyBorder="1" applyAlignment="1">
      <alignment horizontal="right"/>
    </xf>
    <xf numFmtId="1" fontId="8" fillId="0" borderId="0" xfId="33" applyNumberFormat="1" applyFont="1" applyAlignment="1">
      <alignment horizontal="right"/>
    </xf>
    <xf numFmtId="202" fontId="17" fillId="0" borderId="0" xfId="0" applyNumberFormat="1" applyFont="1" applyFill="1"/>
    <xf numFmtId="227" fontId="15" fillId="0" borderId="2" xfId="0" applyNumberFormat="1" applyFont="1" applyFill="1" applyBorder="1" applyAlignment="1">
      <alignment horizontal="centerContinuous"/>
    </xf>
    <xf numFmtId="170" fontId="4" fillId="0" borderId="0" xfId="0" applyNumberFormat="1" applyFont="1" applyFill="1" applyBorder="1"/>
    <xf numFmtId="170" fontId="4" fillId="0" borderId="2" xfId="0" applyNumberFormat="1" applyFont="1" applyFill="1" applyBorder="1"/>
    <xf numFmtId="200" fontId="16" fillId="0" borderId="0" xfId="0" applyNumberFormat="1" applyFont="1" applyFill="1" applyAlignment="1">
      <alignment horizontal="left"/>
    </xf>
    <xf numFmtId="167" fontId="70" fillId="0" borderId="0" xfId="0" applyNumberFormat="1" applyFont="1"/>
    <xf numFmtId="195" fontId="31" fillId="0" borderId="0" xfId="37" applyNumberFormat="1" applyFont="1" applyFill="1" applyBorder="1" applyAlignment="1">
      <alignment horizontal="center"/>
    </xf>
    <xf numFmtId="195" fontId="31" fillId="0" borderId="22" xfId="37" applyNumberFormat="1" applyFont="1" applyFill="1" applyBorder="1" applyAlignment="1">
      <alignment horizontal="center"/>
    </xf>
    <xf numFmtId="195" fontId="31" fillId="0" borderId="23" xfId="37" applyNumberFormat="1" applyFont="1" applyFill="1" applyBorder="1" applyAlignment="1">
      <alignment horizontal="center"/>
    </xf>
    <xf numFmtId="0" fontId="8" fillId="8" borderId="1" xfId="0" applyFont="1" applyFill="1" applyBorder="1" applyAlignment="1">
      <alignment horizontal="center"/>
    </xf>
    <xf numFmtId="0" fontId="4" fillId="8" borderId="0" xfId="0" applyFont="1" applyFill="1" applyBorder="1" applyAlignment="1">
      <alignment horizontal="center"/>
    </xf>
    <xf numFmtId="178" fontId="42" fillId="0" borderId="0" xfId="10" applyNumberFormat="1" applyFont="1" applyFill="1"/>
    <xf numFmtId="211" fontId="8" fillId="0" borderId="0" xfId="0" applyNumberFormat="1" applyFont="1" applyFill="1"/>
    <xf numFmtId="205" fontId="8" fillId="0" borderId="0" xfId="33" applyNumberFormat="1" applyFont="1" applyFill="1" applyProtection="1"/>
    <xf numFmtId="9" fontId="8" fillId="0" borderId="1" xfId="37" applyFont="1" applyFill="1" applyBorder="1" applyAlignment="1">
      <alignment horizontal="right"/>
    </xf>
    <xf numFmtId="235" fontId="4" fillId="0" borderId="0" xfId="10" applyNumberFormat="1" applyFont="1"/>
    <xf numFmtId="208" fontId="4" fillId="0" borderId="0" xfId="0" applyNumberFormat="1" applyFont="1"/>
    <xf numFmtId="235" fontId="4" fillId="0" borderId="0" xfId="10" applyNumberFormat="1" applyFont="1" applyFill="1"/>
    <xf numFmtId="40" fontId="23" fillId="0" borderId="0" xfId="0" applyNumberFormat="1" applyFont="1" applyFill="1"/>
    <xf numFmtId="168" fontId="4" fillId="0" borderId="0" xfId="37" applyNumberFormat="1" applyFont="1" applyFill="1" applyAlignment="1">
      <alignment horizontal="left"/>
    </xf>
    <xf numFmtId="168" fontId="8" fillId="0" borderId="0" xfId="33" applyNumberFormat="1" applyFont="1" applyAlignment="1" applyProtection="1">
      <alignment horizontal="right"/>
    </xf>
    <xf numFmtId="168" fontId="1" fillId="0" borderId="0" xfId="0" applyNumberFormat="1" applyFont="1" applyFill="1"/>
    <xf numFmtId="5" fontId="12" fillId="0" borderId="0" xfId="33" applyNumberFormat="1" applyFont="1" applyFill="1" applyProtection="1"/>
    <xf numFmtId="0" fontId="22" fillId="3" borderId="0" xfId="0" applyFont="1" applyFill="1"/>
    <xf numFmtId="198" fontId="11" fillId="3" borderId="2" xfId="19" applyNumberFormat="1" applyFont="1" applyFill="1" applyBorder="1" applyAlignment="1">
      <alignment horizontal="center"/>
    </xf>
    <xf numFmtId="200" fontId="20" fillId="3" borderId="2" xfId="19" applyNumberFormat="1" applyFont="1" applyFill="1" applyBorder="1" applyAlignment="1">
      <alignment horizontal="center"/>
    </xf>
    <xf numFmtId="183" fontId="8" fillId="3" borderId="0" xfId="33" applyNumberFormat="1" applyFont="1" applyFill="1" applyAlignment="1" applyProtection="1">
      <alignment horizontal="left"/>
    </xf>
    <xf numFmtId="212" fontId="0" fillId="3" borderId="0" xfId="0" applyNumberFormat="1" applyFill="1"/>
    <xf numFmtId="212" fontId="0" fillId="3" borderId="0" xfId="15" applyNumberFormat="1" applyFont="1" applyFill="1"/>
    <xf numFmtId="212" fontId="61" fillId="3" borderId="0" xfId="15" applyNumberFormat="1" applyFont="1" applyFill="1"/>
    <xf numFmtId="168" fontId="8" fillId="3" borderId="0" xfId="33" applyNumberFormat="1" applyFont="1" applyFill="1" applyProtection="1"/>
    <xf numFmtId="37" fontId="0" fillId="3" borderId="0" xfId="0" applyNumberFormat="1" applyFill="1"/>
    <xf numFmtId="183" fontId="8" fillId="3" borderId="0" xfId="33" quotePrefix="1" applyNumberFormat="1" applyFont="1" applyFill="1" applyAlignment="1" applyProtection="1">
      <alignment horizontal="left"/>
    </xf>
    <xf numFmtId="37" fontId="8" fillId="3" borderId="0" xfId="0" applyNumberFormat="1" applyFont="1" applyFill="1"/>
    <xf numFmtId="37" fontId="54" fillId="3" borderId="0" xfId="0" applyNumberFormat="1" applyFont="1" applyFill="1"/>
    <xf numFmtId="168" fontId="0" fillId="3" borderId="0" xfId="37" applyNumberFormat="1" applyFont="1" applyFill="1"/>
    <xf numFmtId="224" fontId="0" fillId="3" borderId="0" xfId="15" applyNumberFormat="1" applyFont="1" applyFill="1" applyBorder="1"/>
    <xf numFmtId="168" fontId="0" fillId="3" borderId="0" xfId="37" applyNumberFormat="1" applyFont="1" applyFill="1" applyBorder="1"/>
    <xf numFmtId="196" fontId="8" fillId="3" borderId="0" xfId="33" applyNumberFormat="1" applyFont="1" applyFill="1" applyProtection="1"/>
    <xf numFmtId="173" fontId="0" fillId="3" borderId="0" xfId="0" applyNumberFormat="1" applyFill="1"/>
    <xf numFmtId="37" fontId="8" fillId="3" borderId="0" xfId="33" applyNumberFormat="1" applyFont="1" applyFill="1" applyProtection="1"/>
    <xf numFmtId="5" fontId="8" fillId="3" borderId="0" xfId="33" applyNumberFormat="1" applyFont="1" applyFill="1" applyProtection="1"/>
    <xf numFmtId="168" fontId="0" fillId="3" borderId="0" xfId="0" applyNumberFormat="1" applyFill="1"/>
    <xf numFmtId="168" fontId="61" fillId="3" borderId="0" xfId="0" applyNumberFormat="1" applyFont="1" applyFill="1"/>
    <xf numFmtId="168" fontId="8" fillId="3" borderId="0" xfId="33" applyNumberFormat="1" applyFont="1" applyFill="1" applyBorder="1" applyProtection="1"/>
    <xf numFmtId="0" fontId="8" fillId="3" borderId="2" xfId="0" applyFont="1" applyFill="1" applyBorder="1"/>
    <xf numFmtId="183" fontId="27" fillId="3" borderId="0" xfId="33" applyNumberFormat="1" applyFont="1" applyFill="1" applyAlignment="1" applyProtection="1">
      <alignment horizontal="left" indent="1"/>
    </xf>
    <xf numFmtId="1" fontId="8" fillId="3" borderId="0" xfId="0" applyNumberFormat="1" applyFont="1" applyFill="1" applyAlignment="1">
      <alignment horizontal="right"/>
    </xf>
    <xf numFmtId="1" fontId="0" fillId="3" borderId="0" xfId="0" applyNumberFormat="1" applyFill="1" applyAlignment="1">
      <alignment horizontal="right"/>
    </xf>
    <xf numFmtId="37" fontId="0" fillId="3" borderId="0" xfId="0" applyNumberFormat="1" applyFill="1" applyBorder="1"/>
    <xf numFmtId="9" fontId="0" fillId="3" borderId="0" xfId="37" applyFont="1" applyFill="1"/>
    <xf numFmtId="9" fontId="0" fillId="3" borderId="0" xfId="0" applyNumberFormat="1" applyFill="1" applyBorder="1"/>
    <xf numFmtId="168" fontId="0" fillId="3" borderId="0" xfId="0" applyNumberFormat="1" applyFill="1" applyBorder="1"/>
    <xf numFmtId="167" fontId="0" fillId="3" borderId="0" xfId="0" applyNumberFormat="1" applyFill="1" applyBorder="1"/>
    <xf numFmtId="173" fontId="0" fillId="3" borderId="0" xfId="0" applyNumberFormat="1" applyFill="1" applyBorder="1"/>
    <xf numFmtId="10" fontId="0" fillId="3" borderId="0" xfId="0" applyNumberFormat="1" applyFill="1" applyBorder="1"/>
    <xf numFmtId="167" fontId="0" fillId="3" borderId="0" xfId="0" applyNumberFormat="1" applyFill="1"/>
    <xf numFmtId="1" fontId="0" fillId="3" borderId="0" xfId="0" applyNumberFormat="1" applyFill="1"/>
    <xf numFmtId="0" fontId="61" fillId="3" borderId="0" xfId="0" applyFont="1" applyFill="1"/>
    <xf numFmtId="10" fontId="0" fillId="3" borderId="0" xfId="0" applyNumberFormat="1" applyFill="1"/>
    <xf numFmtId="200" fontId="11" fillId="3" borderId="0" xfId="19" applyNumberFormat="1" applyFont="1" applyFill="1" applyBorder="1" applyAlignment="1">
      <alignment horizontal="center"/>
    </xf>
    <xf numFmtId="175" fontId="23" fillId="0" borderId="0" xfId="0" applyNumberFormat="1" applyFont="1" applyFill="1"/>
    <xf numFmtId="10" fontId="4" fillId="0" borderId="1" xfId="37" applyNumberFormat="1" applyFont="1" applyFill="1" applyBorder="1" applyAlignment="1">
      <alignment horizontal="left"/>
    </xf>
    <xf numFmtId="43" fontId="8" fillId="0" borderId="0" xfId="10" applyFont="1" applyFill="1" applyProtection="1"/>
    <xf numFmtId="172" fontId="73" fillId="0" borderId="0" xfId="45" applyFont="1" applyAlignment="1">
      <alignment horizontal="center"/>
    </xf>
    <xf numFmtId="0" fontId="73" fillId="0" borderId="0" xfId="23" applyFont="1" applyAlignment="1">
      <alignment horizontal="center"/>
    </xf>
    <xf numFmtId="0" fontId="43" fillId="0" borderId="14" xfId="23" applyNumberFormat="1" applyFont="1" applyBorder="1"/>
    <xf numFmtId="0" fontId="43" fillId="0" borderId="14" xfId="23" applyFont="1" applyBorder="1"/>
    <xf numFmtId="0" fontId="23" fillId="0" borderId="14" xfId="0" applyFont="1" applyFill="1" applyBorder="1"/>
    <xf numFmtId="0" fontId="45" fillId="0" borderId="14" xfId="23" applyFont="1" applyFill="1" applyBorder="1"/>
    <xf numFmtId="168" fontId="43" fillId="0" borderId="2" xfId="23" applyNumberFormat="1" applyFont="1" applyFill="1" applyBorder="1" applyAlignment="1">
      <alignment horizontal="right"/>
    </xf>
    <xf numFmtId="0" fontId="40" fillId="0" borderId="14" xfId="45" applyNumberFormat="1" applyFont="1" applyBorder="1" applyAlignment="1">
      <alignment horizontal="center"/>
    </xf>
    <xf numFmtId="0" fontId="40" fillId="0" borderId="21" xfId="45" applyNumberFormat="1" applyFont="1" applyBorder="1" applyAlignment="1">
      <alignment horizontal="center"/>
    </xf>
    <xf numFmtId="168" fontId="74" fillId="0" borderId="0" xfId="37" applyNumberFormat="1" applyFont="1" applyFill="1" applyBorder="1"/>
    <xf numFmtId="236" fontId="8" fillId="0" borderId="1" xfId="0" applyNumberFormat="1" applyFont="1" applyFill="1" applyBorder="1" applyAlignment="1">
      <alignment horizontal="center"/>
    </xf>
    <xf numFmtId="9" fontId="8" fillId="0" borderId="2" xfId="37" applyFont="1" applyFill="1" applyBorder="1"/>
    <xf numFmtId="9" fontId="9" fillId="0" borderId="0" xfId="37" applyFont="1" applyFill="1" applyBorder="1" applyAlignment="1">
      <alignment horizontal="right"/>
    </xf>
    <xf numFmtId="167" fontId="16" fillId="0" borderId="0" xfId="0" applyNumberFormat="1" applyFont="1" applyFill="1" applyAlignment="1"/>
    <xf numFmtId="9" fontId="4" fillId="0" borderId="0" xfId="0" applyNumberFormat="1" applyFont="1" applyFill="1"/>
    <xf numFmtId="0" fontId="79" fillId="0" borderId="0" xfId="0" applyFont="1" applyFill="1"/>
    <xf numFmtId="5" fontId="75" fillId="0" borderId="1" xfId="23" applyNumberFormat="1" applyFont="1" applyBorder="1" applyAlignment="1">
      <alignment horizontal="right"/>
    </xf>
    <xf numFmtId="237" fontId="4" fillId="0" borderId="22" xfId="0" applyNumberFormat="1" applyFont="1" applyFill="1" applyBorder="1" applyAlignment="1">
      <alignment horizontal="left"/>
    </xf>
    <xf numFmtId="0" fontId="49" fillId="0" borderId="2" xfId="0" applyFont="1" applyBorder="1" applyAlignment="1">
      <alignment vertical="center"/>
    </xf>
    <xf numFmtId="0" fontId="64" fillId="0" borderId="2" xfId="0" applyFont="1" applyBorder="1" applyAlignment="1">
      <alignment vertical="center"/>
    </xf>
    <xf numFmtId="0" fontId="59" fillId="0" borderId="2" xfId="0" applyFont="1" applyFill="1" applyBorder="1" applyAlignment="1">
      <alignment horizontal="left"/>
    </xf>
    <xf numFmtId="220" fontId="76" fillId="0" borderId="1" xfId="29" applyNumberFormat="1" applyFont="1" applyFill="1" applyBorder="1" applyAlignment="1">
      <alignment horizontal="right"/>
    </xf>
    <xf numFmtId="220" fontId="76" fillId="0" borderId="20" xfId="29" applyNumberFormat="1" applyFont="1" applyFill="1" applyBorder="1" applyAlignment="1">
      <alignment horizontal="right"/>
    </xf>
    <xf numFmtId="204" fontId="31" fillId="0" borderId="14" xfId="0" applyNumberFormat="1" applyFont="1" applyFill="1" applyBorder="1" applyAlignment="1">
      <alignment horizontal="right"/>
    </xf>
    <xf numFmtId="178" fontId="78" fillId="0" borderId="0" xfId="10" applyNumberFormat="1" applyFont="1" applyFill="1" applyBorder="1"/>
    <xf numFmtId="0" fontId="17" fillId="0" borderId="0" xfId="0" applyFont="1" applyFill="1" applyBorder="1"/>
    <xf numFmtId="186" fontId="31" fillId="0" borderId="2" xfId="0" applyNumberFormat="1" applyFont="1" applyFill="1" applyBorder="1"/>
    <xf numFmtId="170" fontId="31" fillId="0" borderId="0" xfId="0" applyNumberFormat="1" applyFont="1" applyFill="1"/>
    <xf numFmtId="0" fontId="79" fillId="0" borderId="0" xfId="0" applyFont="1" applyFill="1" applyBorder="1"/>
    <xf numFmtId="170" fontId="79" fillId="0" borderId="0" xfId="0" applyNumberFormat="1" applyFont="1" applyFill="1" applyBorder="1"/>
    <xf numFmtId="168" fontId="79" fillId="0" borderId="0" xfId="37" applyNumberFormat="1" applyFont="1" applyFill="1" applyBorder="1" applyAlignment="1"/>
    <xf numFmtId="9" fontId="8" fillId="0" borderId="0" xfId="37" applyFont="1" applyFill="1"/>
    <xf numFmtId="9" fontId="8" fillId="0" borderId="0" xfId="37" applyNumberFormat="1" applyFont="1" applyFill="1"/>
    <xf numFmtId="172" fontId="8" fillId="0" borderId="0" xfId="0" applyNumberFormat="1" applyFont="1"/>
    <xf numFmtId="238" fontId="4" fillId="0" borderId="0" xfId="0" applyNumberFormat="1" applyFont="1" applyFill="1"/>
    <xf numFmtId="238" fontId="16" fillId="0" borderId="0" xfId="0" applyNumberFormat="1" applyFont="1" applyFill="1" applyAlignment="1">
      <alignment horizontal="centerContinuous"/>
    </xf>
    <xf numFmtId="185" fontId="23" fillId="0" borderId="2" xfId="0" applyNumberFormat="1" applyFont="1" applyBorder="1"/>
    <xf numFmtId="9" fontId="36" fillId="0" borderId="0" xfId="37" applyFont="1" applyFill="1" applyAlignment="1">
      <alignment horizontal="right"/>
    </xf>
    <xf numFmtId="7" fontId="23" fillId="0" borderId="0" xfId="0" applyNumberFormat="1" applyFont="1"/>
    <xf numFmtId="39" fontId="12" fillId="0" borderId="0" xfId="29" applyNumberFormat="1" applyFont="1" applyFill="1" applyBorder="1" applyAlignment="1">
      <alignment horizontal="right"/>
    </xf>
    <xf numFmtId="170" fontId="12" fillId="0" borderId="0" xfId="29" applyNumberFormat="1" applyFont="1" applyFill="1" applyBorder="1" applyAlignment="1">
      <alignment horizontal="right"/>
    </xf>
    <xf numFmtId="207" fontId="8" fillId="0" borderId="0" xfId="0" applyNumberFormat="1" applyFont="1" applyFill="1" applyBorder="1"/>
    <xf numFmtId="169" fontId="69" fillId="0" borderId="2" xfId="29" applyNumberFormat="1" applyFont="1" applyFill="1" applyBorder="1" applyAlignment="1">
      <alignment horizontal="right"/>
    </xf>
    <xf numFmtId="220" fontId="69" fillId="0" borderId="0" xfId="29" applyNumberFormat="1" applyFont="1" applyFill="1" applyBorder="1" applyAlignment="1">
      <alignment horizontal="right"/>
    </xf>
    <xf numFmtId="170" fontId="54" fillId="0" borderId="2" xfId="29" applyNumberFormat="1" applyFont="1" applyFill="1" applyBorder="1" applyAlignment="1">
      <alignment horizontal="right"/>
    </xf>
    <xf numFmtId="168" fontId="4" fillId="0" borderId="0" xfId="37" applyNumberFormat="1" applyFont="1" applyFill="1" applyBorder="1" applyAlignment="1">
      <alignment horizontal="right"/>
    </xf>
    <xf numFmtId="220" fontId="54" fillId="0" borderId="1" xfId="29" applyNumberFormat="1" applyFont="1" applyFill="1" applyBorder="1" applyAlignment="1">
      <alignment horizontal="right"/>
    </xf>
    <xf numFmtId="43" fontId="23" fillId="0" borderId="0" xfId="10" applyFont="1"/>
    <xf numFmtId="168" fontId="8" fillId="0" borderId="1" xfId="37" applyNumberFormat="1" applyFont="1" applyFill="1" applyBorder="1" applyAlignment="1">
      <alignment horizontal="right"/>
    </xf>
    <xf numFmtId="10" fontId="8" fillId="0" borderId="1" xfId="37" applyNumberFormat="1" applyFont="1" applyFill="1" applyBorder="1" applyAlignment="1">
      <alignment horizontal="right"/>
    </xf>
    <xf numFmtId="43" fontId="23" fillId="0" borderId="0" xfId="10" applyFont="1" applyAlignment="1">
      <alignment horizontal="center"/>
    </xf>
    <xf numFmtId="183" fontId="20" fillId="0" borderId="5" xfId="33" quotePrefix="1" applyFont="1" applyFill="1" applyBorder="1" applyAlignment="1" applyProtection="1">
      <alignment horizontal="center"/>
    </xf>
    <xf numFmtId="235" fontId="8" fillId="0" borderId="0" xfId="10" applyNumberFormat="1" applyFont="1" applyFill="1" applyBorder="1"/>
    <xf numFmtId="6" fontId="52" fillId="0" borderId="0" xfId="19" applyNumberFormat="1" applyFont="1" applyFill="1" applyBorder="1"/>
    <xf numFmtId="168" fontId="8" fillId="0" borderId="0" xfId="19" applyNumberFormat="1" applyFont="1" applyFill="1" applyBorder="1"/>
    <xf numFmtId="9" fontId="0" fillId="0" borderId="0" xfId="0" applyNumberFormat="1" applyFill="1"/>
    <xf numFmtId="10" fontId="8" fillId="0" borderId="0" xfId="19" applyNumberFormat="1" applyFont="1" applyFill="1" applyBorder="1"/>
    <xf numFmtId="195" fontId="4" fillId="0" borderId="1" xfId="0" applyNumberFormat="1" applyFont="1" applyFill="1" applyBorder="1" applyAlignment="1">
      <alignment horizontal="center"/>
    </xf>
    <xf numFmtId="8" fontId="60" fillId="0" borderId="0" xfId="0" applyNumberFormat="1" applyFont="1" applyBorder="1" applyAlignment="1">
      <alignment horizontal="center"/>
    </xf>
    <xf numFmtId="10" fontId="60" fillId="0" borderId="0" xfId="0" applyNumberFormat="1" applyFont="1" applyFill="1" applyAlignment="1">
      <alignment horizontal="right"/>
    </xf>
    <xf numFmtId="220" fontId="54" fillId="0" borderId="20" xfId="29" applyNumberFormat="1" applyFont="1" applyFill="1" applyBorder="1" applyAlignment="1">
      <alignment horizontal="right"/>
    </xf>
    <xf numFmtId="181" fontId="80" fillId="0" borderId="0" xfId="0" applyNumberFormat="1" applyFont="1" applyFill="1" applyAlignment="1">
      <alignment horizontal="center"/>
    </xf>
    <xf numFmtId="239" fontId="4" fillId="0" borderId="0" xfId="0" applyNumberFormat="1" applyFont="1" applyFill="1"/>
    <xf numFmtId="229" fontId="4" fillId="0" borderId="0" xfId="0" applyNumberFormat="1" applyFont="1" applyFill="1"/>
    <xf numFmtId="240" fontId="4" fillId="0" borderId="0" xfId="0" applyNumberFormat="1" applyFont="1" applyFill="1"/>
    <xf numFmtId="167" fontId="12" fillId="0" borderId="1" xfId="29" applyNumberFormat="1" applyFont="1" applyFill="1" applyBorder="1" applyAlignment="1">
      <alignment horizontal="right"/>
    </xf>
    <xf numFmtId="167" fontId="12" fillId="0" borderId="20" xfId="29" applyNumberFormat="1" applyFont="1" applyFill="1" applyBorder="1" applyAlignment="1">
      <alignment horizontal="right"/>
    </xf>
    <xf numFmtId="211" fontId="77" fillId="0" borderId="1" xfId="29" applyNumberFormat="1" applyFont="1" applyFill="1" applyBorder="1" applyAlignment="1">
      <alignment horizontal="right"/>
    </xf>
    <xf numFmtId="167" fontId="77" fillId="0" borderId="1" xfId="29" applyNumberFormat="1" applyFont="1" applyFill="1" applyBorder="1" applyAlignment="1">
      <alignment horizontal="right"/>
    </xf>
    <xf numFmtId="167" fontId="77" fillId="0" borderId="20" xfId="29" applyNumberFormat="1" applyFont="1" applyFill="1" applyBorder="1" applyAlignment="1">
      <alignment horizontal="right"/>
    </xf>
    <xf numFmtId="0" fontId="10" fillId="6" borderId="7" xfId="0" applyFont="1" applyFill="1" applyBorder="1" applyAlignment="1">
      <alignment horizontal="centerContinuous"/>
    </xf>
    <xf numFmtId="215" fontId="4" fillId="0" borderId="22" xfId="0" applyNumberFormat="1" applyFont="1" applyFill="1" applyBorder="1" applyAlignment="1">
      <alignment horizontal="right"/>
    </xf>
    <xf numFmtId="0" fontId="50" fillId="10" borderId="24" xfId="0" applyFont="1" applyFill="1" applyBorder="1" applyAlignment="1">
      <alignment horizontal="centerContinuous"/>
    </xf>
    <xf numFmtId="0" fontId="10" fillId="10" borderId="7" xfId="0" applyFont="1" applyFill="1" applyBorder="1" applyAlignment="1">
      <alignment horizontal="centerContinuous"/>
    </xf>
    <xf numFmtId="175" fontId="8" fillId="0" borderId="0" xfId="0" applyNumberFormat="1" applyFont="1"/>
    <xf numFmtId="44" fontId="8" fillId="0" borderId="0" xfId="15" applyFont="1" applyFill="1" applyBorder="1"/>
    <xf numFmtId="7" fontId="55" fillId="0" borderId="0" xfId="19" applyNumberFormat="1" applyFont="1" applyFill="1" applyBorder="1"/>
    <xf numFmtId="0" fontId="4" fillId="6" borderId="2" xfId="0" applyFont="1" applyFill="1" applyBorder="1" applyAlignment="1">
      <alignment horizontal="centerContinuous" vertical="center"/>
    </xf>
    <xf numFmtId="0" fontId="10" fillId="6" borderId="2" xfId="0" applyFont="1" applyFill="1" applyBorder="1" applyAlignment="1">
      <alignment horizontal="centerContinuous" vertical="center"/>
    </xf>
    <xf numFmtId="0" fontId="10" fillId="0" borderId="14" xfId="0" applyFont="1" applyFill="1" applyBorder="1" applyAlignment="1">
      <alignment horizontal="center" wrapText="1"/>
    </xf>
    <xf numFmtId="0" fontId="50" fillId="7" borderId="5" xfId="0" applyFont="1" applyFill="1" applyBorder="1" applyAlignment="1">
      <alignment horizontal="centerContinuous"/>
    </xf>
    <xf numFmtId="0" fontId="4" fillId="0" borderId="0" xfId="0" applyFont="1" applyFill="1" applyBorder="1" applyAlignment="1">
      <alignment horizontal="center" wrapText="1"/>
    </xf>
    <xf numFmtId="195" fontId="25" fillId="0" borderId="0" xfId="37" applyNumberFormat="1" applyFont="1" applyFill="1" applyBorder="1" applyAlignment="1">
      <alignment horizontal="center"/>
    </xf>
    <xf numFmtId="0" fontId="10" fillId="0" borderId="0" xfId="0" applyFont="1" applyAlignment="1"/>
    <xf numFmtId="0" fontId="10" fillId="0" borderId="0" xfId="0" applyFont="1" applyAlignment="1">
      <alignment horizontal="left"/>
    </xf>
    <xf numFmtId="0" fontId="10" fillId="0" borderId="0" xfId="0" applyFont="1" applyAlignment="1">
      <alignment horizontal="right"/>
    </xf>
    <xf numFmtId="1" fontId="10" fillId="0" borderId="0" xfId="0" applyNumberFormat="1" applyFont="1"/>
    <xf numFmtId="0" fontId="10" fillId="0" borderId="0" xfId="0" applyFont="1" applyBorder="1"/>
    <xf numFmtId="0" fontId="10" fillId="0" borderId="0" xfId="0" applyFont="1" applyBorder="1" applyAlignment="1">
      <alignment horizontal="center"/>
    </xf>
    <xf numFmtId="0" fontId="10" fillId="6" borderId="2" xfId="0" applyNumberFormat="1" applyFont="1" applyFill="1" applyBorder="1" applyAlignment="1">
      <alignment horizontal="centerContinuous" vertical="center"/>
    </xf>
    <xf numFmtId="0" fontId="42" fillId="0" borderId="0" xfId="0" applyFont="1" applyAlignment="1">
      <alignment wrapText="1"/>
    </xf>
    <xf numFmtId="0" fontId="81" fillId="0" borderId="0" xfId="0" applyFont="1" applyAlignment="1">
      <alignment wrapText="1"/>
    </xf>
    <xf numFmtId="0" fontId="10" fillId="0" borderId="0" xfId="0" applyFont="1" applyAlignment="1">
      <alignment horizontal="center" wrapText="1"/>
    </xf>
    <xf numFmtId="0" fontId="42" fillId="0" borderId="0" xfId="0" applyFont="1" applyAlignment="1">
      <alignment horizontal="center" wrapText="1"/>
    </xf>
    <xf numFmtId="0" fontId="82" fillId="0" borderId="0" xfId="0" applyFont="1" applyFill="1" applyAlignment="1">
      <alignment horizontal="center" wrapText="1"/>
    </xf>
    <xf numFmtId="0" fontId="42" fillId="0" borderId="0" xfId="0" applyFont="1" applyAlignment="1">
      <alignment horizontal="left" wrapText="1"/>
    </xf>
    <xf numFmtId="0" fontId="42" fillId="0" borderId="0" xfId="0" applyFont="1" applyFill="1" applyAlignment="1">
      <alignment horizontal="center" wrapText="1"/>
    </xf>
    <xf numFmtId="0" fontId="10" fillId="0" borderId="0" xfId="0" applyFont="1" applyAlignment="1">
      <alignment horizontal="left" wrapText="1"/>
    </xf>
    <xf numFmtId="0" fontId="42" fillId="0" borderId="0" xfId="0" applyFont="1" applyAlignment="1">
      <alignment horizontal="right" wrapText="1"/>
    </xf>
    <xf numFmtId="0" fontId="82" fillId="0" borderId="0" xfId="0" applyFont="1" applyAlignment="1">
      <alignment horizontal="center" wrapText="1"/>
    </xf>
    <xf numFmtId="0" fontId="82" fillId="0" borderId="0" xfId="0" applyFont="1" applyAlignment="1">
      <alignment horizontal="left" wrapText="1"/>
    </xf>
    <xf numFmtId="1" fontId="42" fillId="0" borderId="0" xfId="0" applyNumberFormat="1" applyFont="1" applyAlignment="1">
      <alignment horizontal="left" wrapText="1"/>
    </xf>
    <xf numFmtId="0" fontId="10" fillId="6" borderId="2" xfId="0" applyNumberFormat="1" applyFont="1" applyFill="1" applyBorder="1" applyAlignment="1">
      <alignment horizontal="centerContinuous"/>
    </xf>
    <xf numFmtId="0" fontId="10" fillId="6" borderId="2" xfId="0" applyFont="1" applyFill="1" applyBorder="1" applyAlignment="1">
      <alignment horizontal="centerContinuous"/>
    </xf>
    <xf numFmtId="1" fontId="4" fillId="6" borderId="2" xfId="0" applyNumberFormat="1" applyFont="1" applyFill="1" applyBorder="1" applyAlignment="1">
      <alignment horizontal="centerContinuous"/>
    </xf>
    <xf numFmtId="0" fontId="4" fillId="0" borderId="0" xfId="0" applyFont="1" applyAlignment="1"/>
    <xf numFmtId="0" fontId="4" fillId="0" borderId="0" xfId="0" applyFont="1" applyBorder="1" applyAlignment="1">
      <alignment horizontal="left"/>
    </xf>
    <xf numFmtId="1" fontId="4" fillId="0" borderId="0" xfId="0" applyNumberFormat="1" applyFont="1" applyAlignment="1">
      <alignment horizontal="left"/>
    </xf>
    <xf numFmtId="37" fontId="4" fillId="0" borderId="0" xfId="29" applyNumberFormat="1" applyFont="1" applyFill="1" applyBorder="1" applyAlignment="1">
      <alignment horizontal="right"/>
    </xf>
    <xf numFmtId="218" fontId="13" fillId="0" borderId="0" xfId="0" applyNumberFormat="1" applyFont="1" applyAlignment="1"/>
    <xf numFmtId="216" fontId="4" fillId="0" borderId="0" xfId="0" applyNumberFormat="1" applyFont="1" applyAlignment="1">
      <alignment horizontal="left"/>
    </xf>
    <xf numFmtId="207" fontId="4" fillId="0" borderId="0" xfId="29" applyNumberFormat="1" applyFont="1" applyFill="1" applyAlignment="1">
      <alignment horizontal="right"/>
    </xf>
    <xf numFmtId="37" fontId="17" fillId="0" borderId="0" xfId="29" applyNumberFormat="1" applyFont="1" applyAlignment="1">
      <alignment horizontal="right"/>
    </xf>
    <xf numFmtId="37" fontId="17" fillId="0" borderId="0" xfId="29" applyNumberFormat="1" applyFont="1" applyAlignment="1">
      <alignment horizontal="left"/>
    </xf>
    <xf numFmtId="218" fontId="13" fillId="0" borderId="0" xfId="0" applyNumberFormat="1" applyFont="1" applyAlignment="1">
      <alignment horizontal="right"/>
    </xf>
    <xf numFmtId="218" fontId="13" fillId="0" borderId="0" xfId="0" applyNumberFormat="1" applyFont="1" applyAlignment="1">
      <alignment horizontal="left"/>
    </xf>
    <xf numFmtId="37" fontId="17" fillId="0" borderId="0" xfId="29" applyNumberFormat="1" applyFont="1" applyBorder="1" applyAlignment="1">
      <alignment horizontal="right"/>
    </xf>
    <xf numFmtId="215" fontId="4" fillId="0" borderId="0" xfId="0" applyNumberFormat="1" applyFont="1" applyBorder="1" applyAlignment="1">
      <alignment horizontal="left"/>
    </xf>
    <xf numFmtId="207" fontId="4" fillId="0" borderId="0" xfId="29" applyNumberFormat="1" applyFont="1" applyAlignment="1">
      <alignment horizontal="right"/>
    </xf>
    <xf numFmtId="216" fontId="4" fillId="0" borderId="0" xfId="0" applyNumberFormat="1" applyFont="1" applyAlignment="1">
      <alignment horizontal="right"/>
    </xf>
    <xf numFmtId="37" fontId="4" fillId="0" borderId="0" xfId="29" applyNumberFormat="1" applyFont="1" applyAlignment="1">
      <alignment horizontal="right"/>
    </xf>
    <xf numFmtId="218" fontId="13" fillId="0" borderId="0" xfId="0" applyNumberFormat="1" applyFont="1" applyAlignment="1">
      <alignment horizontal="center"/>
    </xf>
    <xf numFmtId="1" fontId="13" fillId="0" borderId="0" xfId="0" applyNumberFormat="1" applyFont="1" applyAlignment="1">
      <alignment horizontal="left"/>
    </xf>
    <xf numFmtId="168" fontId="4" fillId="0" borderId="0" xfId="37" applyNumberFormat="1" applyFont="1" applyBorder="1"/>
    <xf numFmtId="37" fontId="17" fillId="0" borderId="0" xfId="29" applyNumberFormat="1" applyFont="1" applyFill="1" applyBorder="1" applyAlignment="1">
      <alignment horizontal="right"/>
    </xf>
    <xf numFmtId="37" fontId="17" fillId="0" borderId="0" xfId="29" applyNumberFormat="1" applyFont="1" applyFill="1" applyBorder="1" applyAlignment="1">
      <alignment horizontal="left"/>
    </xf>
    <xf numFmtId="218" fontId="13" fillId="0" borderId="0" xfId="0" applyNumberFormat="1" applyFont="1" applyBorder="1" applyAlignment="1">
      <alignment horizontal="right"/>
    </xf>
    <xf numFmtId="218" fontId="13" fillId="0" borderId="0" xfId="0" applyNumberFormat="1" applyFont="1" applyBorder="1" applyAlignment="1">
      <alignment horizontal="left"/>
    </xf>
    <xf numFmtId="1" fontId="13" fillId="0" borderId="0" xfId="0" applyNumberFormat="1" applyFont="1" applyBorder="1" applyAlignment="1">
      <alignment horizontal="left"/>
    </xf>
    <xf numFmtId="37" fontId="17" fillId="0" borderId="2" xfId="29" applyNumberFormat="1" applyFont="1" applyFill="1" applyBorder="1" applyAlignment="1">
      <alignment horizontal="right"/>
    </xf>
    <xf numFmtId="207" fontId="4" fillId="0" borderId="2" xfId="29" applyNumberFormat="1" applyFont="1" applyFill="1" applyBorder="1" applyAlignment="1">
      <alignment horizontal="right"/>
    </xf>
    <xf numFmtId="37" fontId="4" fillId="0" borderId="2" xfId="29" applyNumberFormat="1" applyFont="1" applyFill="1" applyBorder="1" applyAlignment="1">
      <alignment horizontal="right"/>
    </xf>
    <xf numFmtId="37" fontId="4" fillId="0" borderId="0" xfId="29" applyNumberFormat="1" applyFont="1" applyFill="1" applyBorder="1" applyAlignment="1">
      <alignment horizontal="left"/>
    </xf>
    <xf numFmtId="207" fontId="4" fillId="0" borderId="2" xfId="29" applyNumberFormat="1" applyFont="1" applyBorder="1" applyAlignment="1">
      <alignment horizontal="right"/>
    </xf>
    <xf numFmtId="216" fontId="4" fillId="0" borderId="0" xfId="0" applyNumberFormat="1" applyFont="1" applyBorder="1" applyAlignment="1">
      <alignment horizontal="right"/>
    </xf>
    <xf numFmtId="37" fontId="4" fillId="0" borderId="2" xfId="29" applyNumberFormat="1" applyFont="1" applyBorder="1" applyAlignment="1">
      <alignment horizontal="right"/>
    </xf>
    <xf numFmtId="168" fontId="4" fillId="0" borderId="2" xfId="37" applyNumberFormat="1" applyFont="1" applyBorder="1"/>
    <xf numFmtId="217" fontId="4" fillId="0" borderId="0" xfId="0" applyNumberFormat="1" applyFont="1" applyAlignment="1"/>
    <xf numFmtId="37" fontId="17" fillId="0" borderId="0" xfId="29" applyNumberFormat="1" applyFont="1" applyBorder="1" applyAlignment="1">
      <alignment horizontal="left"/>
    </xf>
    <xf numFmtId="217" fontId="4" fillId="0" borderId="0" xfId="0" applyNumberFormat="1" applyFont="1" applyBorder="1" applyAlignment="1">
      <alignment horizontal="right"/>
    </xf>
    <xf numFmtId="217" fontId="4" fillId="0" borderId="0" xfId="0" applyNumberFormat="1" applyFont="1" applyBorder="1" applyAlignment="1">
      <alignment horizontal="left"/>
    </xf>
    <xf numFmtId="216" fontId="4" fillId="0" borderId="0" xfId="0" applyNumberFormat="1" applyFont="1" applyBorder="1" applyAlignment="1">
      <alignment horizontal="left"/>
    </xf>
    <xf numFmtId="207" fontId="17" fillId="0" borderId="0" xfId="29" applyNumberFormat="1" applyFont="1" applyAlignment="1">
      <alignment horizontal="right"/>
    </xf>
    <xf numFmtId="168" fontId="4" fillId="0" borderId="14" xfId="37" applyNumberFormat="1" applyFont="1" applyBorder="1"/>
    <xf numFmtId="0" fontId="4" fillId="0" borderId="0" xfId="0" applyFont="1" applyBorder="1" applyAlignment="1"/>
    <xf numFmtId="0" fontId="4" fillId="0" borderId="0" xfId="0" applyFont="1" applyBorder="1" applyAlignment="1">
      <alignment horizontal="right"/>
    </xf>
    <xf numFmtId="1" fontId="4" fillId="0" borderId="0" xfId="0" applyNumberFormat="1" applyFont="1" applyBorder="1" applyAlignment="1">
      <alignment horizontal="left"/>
    </xf>
    <xf numFmtId="37" fontId="17" fillId="4" borderId="0" xfId="29" applyNumberFormat="1" applyFont="1" applyFill="1" applyBorder="1" applyAlignment="1">
      <alignment horizontal="right"/>
    </xf>
    <xf numFmtId="218" fontId="83" fillId="4" borderId="0" xfId="0" applyNumberFormat="1" applyFont="1" applyFill="1" applyAlignment="1">
      <alignment horizontal="left"/>
    </xf>
    <xf numFmtId="1" fontId="13" fillId="4" borderId="0" xfId="0" applyNumberFormat="1" applyFont="1" applyFill="1" applyBorder="1" applyAlignment="1">
      <alignment horizontal="left"/>
    </xf>
    <xf numFmtId="218" fontId="83" fillId="4" borderId="0" xfId="0" applyNumberFormat="1" applyFont="1" applyFill="1" applyBorder="1" applyAlignment="1">
      <alignment horizontal="left"/>
    </xf>
    <xf numFmtId="218" fontId="13" fillId="0" borderId="0" xfId="0" applyNumberFormat="1" applyFont="1" applyFill="1" applyBorder="1" applyAlignment="1">
      <alignment horizontal="left"/>
    </xf>
    <xf numFmtId="217" fontId="4" fillId="0" borderId="0" xfId="0" applyNumberFormat="1" applyFont="1" applyAlignment="1">
      <alignment horizontal="left"/>
    </xf>
    <xf numFmtId="37" fontId="4" fillId="4" borderId="0" xfId="29" applyNumberFormat="1" applyFont="1" applyFill="1" applyBorder="1" applyAlignment="1">
      <alignment horizontal="right"/>
    </xf>
    <xf numFmtId="218" fontId="13" fillId="4" borderId="0" xfId="0" applyNumberFormat="1" applyFont="1" applyFill="1" applyAlignment="1">
      <alignment horizontal="left"/>
    </xf>
    <xf numFmtId="0" fontId="21" fillId="0" borderId="0" xfId="0" applyFont="1" applyAlignment="1">
      <alignment horizontal="left"/>
    </xf>
    <xf numFmtId="0" fontId="17" fillId="0" borderId="0" xfId="0" applyFont="1" applyFill="1" applyBorder="1" applyAlignment="1">
      <alignment horizontal="left"/>
    </xf>
    <xf numFmtId="37" fontId="4" fillId="0" borderId="0" xfId="29" applyNumberFormat="1" applyFont="1" applyBorder="1" applyAlignment="1">
      <alignment horizontal="right"/>
    </xf>
    <xf numFmtId="37" fontId="17" fillId="4" borderId="0" xfId="29" applyNumberFormat="1" applyFont="1" applyFill="1" applyAlignment="1">
      <alignment horizontal="right"/>
    </xf>
    <xf numFmtId="215" fontId="4" fillId="0" borderId="0" xfId="0" applyNumberFormat="1" applyFont="1" applyAlignment="1">
      <alignment horizontal="left"/>
    </xf>
    <xf numFmtId="207" fontId="17" fillId="0" borderId="2" xfId="29" applyNumberFormat="1" applyFont="1" applyFill="1" applyBorder="1" applyAlignment="1">
      <alignment horizontal="right"/>
    </xf>
    <xf numFmtId="37" fontId="4" fillId="0" borderId="0" xfId="29" applyNumberFormat="1" applyFont="1" applyFill="1" applyAlignment="1">
      <alignment horizontal="right"/>
    </xf>
    <xf numFmtId="218" fontId="4" fillId="0" borderId="0" xfId="0" applyNumberFormat="1" applyFont="1" applyAlignment="1">
      <alignment horizontal="left"/>
    </xf>
    <xf numFmtId="218" fontId="83" fillId="0" borderId="0" xfId="0" applyNumberFormat="1" applyFont="1" applyAlignment="1"/>
    <xf numFmtId="218" fontId="13" fillId="4" borderId="0" xfId="0" applyNumberFormat="1" applyFont="1" applyFill="1" applyBorder="1" applyAlignment="1">
      <alignment horizontal="left"/>
    </xf>
    <xf numFmtId="207" fontId="17" fillId="0" borderId="2" xfId="29" applyNumberFormat="1" applyFont="1" applyBorder="1" applyAlignment="1">
      <alignment horizontal="right"/>
    </xf>
    <xf numFmtId="37" fontId="17" fillId="0" borderId="0" xfId="0" applyNumberFormat="1" applyFont="1" applyFill="1" applyBorder="1"/>
    <xf numFmtId="37" fontId="17" fillId="0" borderId="0" xfId="0" applyNumberFormat="1" applyFont="1" applyFill="1" applyBorder="1" applyAlignment="1">
      <alignment horizontal="left"/>
    </xf>
    <xf numFmtId="207" fontId="17" fillId="0" borderId="0" xfId="29" applyNumberFormat="1" applyFont="1" applyBorder="1" applyAlignment="1">
      <alignment horizontal="right"/>
    </xf>
    <xf numFmtId="207" fontId="4" fillId="0" borderId="0" xfId="29" applyNumberFormat="1" applyFont="1" applyBorder="1" applyAlignment="1">
      <alignment horizontal="right"/>
    </xf>
    <xf numFmtId="218" fontId="83" fillId="0" borderId="0" xfId="0" applyNumberFormat="1" applyFont="1" applyAlignment="1">
      <alignment horizontal="left"/>
    </xf>
    <xf numFmtId="37" fontId="4" fillId="0" borderId="0" xfId="29" applyNumberFormat="1" applyFont="1" applyAlignment="1">
      <alignment horizontal="left"/>
    </xf>
    <xf numFmtId="39" fontId="4" fillId="0" borderId="0" xfId="0" applyNumberFormat="1" applyFont="1"/>
    <xf numFmtId="39" fontId="4" fillId="0" borderId="0" xfId="0" applyNumberFormat="1" applyFont="1" applyFill="1" applyBorder="1"/>
    <xf numFmtId="168" fontId="17" fillId="0" borderId="0" xfId="37" applyNumberFormat="1" applyFont="1" applyFill="1" applyBorder="1"/>
    <xf numFmtId="168" fontId="17" fillId="0" borderId="0" xfId="37" applyNumberFormat="1" applyFont="1" applyFill="1" applyBorder="1" applyAlignment="1">
      <alignment horizontal="left"/>
    </xf>
    <xf numFmtId="210" fontId="4" fillId="0" borderId="0" xfId="0" applyNumberFormat="1" applyFont="1" applyFill="1" applyBorder="1"/>
    <xf numFmtId="37" fontId="17" fillId="0" borderId="0" xfId="29" applyNumberFormat="1" applyFont="1" applyFill="1" applyAlignment="1">
      <alignment horizontal="right"/>
    </xf>
    <xf numFmtId="0" fontId="13" fillId="0" borderId="0" xfId="0" applyFont="1" applyAlignment="1">
      <alignment horizontal="right"/>
    </xf>
    <xf numFmtId="217" fontId="17" fillId="0" borderId="0" xfId="0" applyNumberFormat="1" applyFont="1" applyAlignment="1"/>
    <xf numFmtId="217" fontId="17" fillId="0" borderId="0" xfId="0" applyNumberFormat="1" applyFont="1" applyAlignment="1">
      <alignment horizontal="right"/>
    </xf>
    <xf numFmtId="217" fontId="17" fillId="0" borderId="0" xfId="0" applyNumberFormat="1" applyFont="1" applyAlignment="1">
      <alignment horizontal="left"/>
    </xf>
    <xf numFmtId="218" fontId="83" fillId="0" borderId="0" xfId="0" applyNumberFormat="1" applyFont="1" applyAlignment="1">
      <alignment horizontal="right"/>
    </xf>
    <xf numFmtId="37" fontId="10" fillId="0" borderId="0" xfId="0" applyNumberFormat="1" applyFont="1"/>
    <xf numFmtId="9" fontId="13" fillId="0" borderId="0" xfId="37" applyFont="1" applyBorder="1" applyAlignment="1">
      <alignment horizontal="left"/>
    </xf>
    <xf numFmtId="218" fontId="83" fillId="0" borderId="0" xfId="0" applyNumberFormat="1" applyFont="1" applyFill="1" applyAlignment="1"/>
    <xf numFmtId="218" fontId="13" fillId="0" borderId="0" xfId="0" applyNumberFormat="1" applyFont="1" applyFill="1" applyAlignment="1"/>
    <xf numFmtId="217" fontId="17" fillId="0" borderId="0" xfId="0" applyNumberFormat="1" applyFont="1" applyFill="1" applyAlignment="1"/>
    <xf numFmtId="217" fontId="17" fillId="0" borderId="0" xfId="0" applyNumberFormat="1" applyFont="1" applyFill="1" applyAlignment="1">
      <alignment horizontal="right"/>
    </xf>
    <xf numFmtId="167" fontId="4" fillId="0" borderId="0" xfId="0" applyNumberFormat="1" applyFont="1" applyAlignment="1">
      <alignment horizontal="center"/>
    </xf>
    <xf numFmtId="218" fontId="84" fillId="0" borderId="0" xfId="0" applyNumberFormat="1" applyFont="1" applyAlignment="1"/>
    <xf numFmtId="0" fontId="8" fillId="0" borderId="0" xfId="0" applyFont="1" applyAlignment="1">
      <alignment horizontal="left"/>
    </xf>
    <xf numFmtId="37" fontId="13" fillId="0" borderId="0" xfId="29" applyNumberFormat="1" applyFont="1" applyAlignment="1">
      <alignment horizontal="right"/>
    </xf>
    <xf numFmtId="218" fontId="13" fillId="0" borderId="0" xfId="0" applyNumberFormat="1" applyFont="1" applyFill="1" applyAlignment="1">
      <alignment horizontal="center"/>
    </xf>
    <xf numFmtId="216" fontId="4" fillId="0" borderId="0" xfId="0" applyNumberFormat="1" applyFont="1" applyFill="1" applyAlignment="1">
      <alignment horizontal="left"/>
    </xf>
    <xf numFmtId="37" fontId="13" fillId="0" borderId="0" xfId="29" applyNumberFormat="1" applyFont="1" applyFill="1" applyBorder="1" applyAlignment="1">
      <alignment horizontal="right"/>
    </xf>
    <xf numFmtId="37" fontId="13" fillId="0" borderId="0" xfId="29" applyNumberFormat="1" applyFont="1" applyFill="1" applyBorder="1" applyAlignment="1">
      <alignment horizontal="left"/>
    </xf>
    <xf numFmtId="217" fontId="4" fillId="0" borderId="0" xfId="0" applyNumberFormat="1" applyFont="1" applyFill="1" applyAlignment="1">
      <alignment horizontal="right"/>
    </xf>
    <xf numFmtId="37" fontId="23" fillId="0" borderId="0" xfId="29" applyNumberFormat="1" applyFont="1" applyFill="1" applyBorder="1" applyAlignment="1">
      <alignment horizontal="right"/>
    </xf>
    <xf numFmtId="218" fontId="34" fillId="0" borderId="0" xfId="0" applyNumberFormat="1" applyFont="1" applyAlignment="1"/>
    <xf numFmtId="216" fontId="23" fillId="0" borderId="0" xfId="0" applyNumberFormat="1" applyFont="1" applyAlignment="1">
      <alignment horizontal="left"/>
    </xf>
    <xf numFmtId="207" fontId="23" fillId="0" borderId="0" xfId="29" applyNumberFormat="1" applyFont="1" applyFill="1" applyAlignment="1">
      <alignment horizontal="right"/>
    </xf>
    <xf numFmtId="215" fontId="23" fillId="0" borderId="0" xfId="0" applyNumberFormat="1" applyFont="1" applyAlignment="1">
      <alignment horizontal="right"/>
    </xf>
    <xf numFmtId="37" fontId="34" fillId="0" borderId="0" xfId="29" applyNumberFormat="1" applyFont="1" applyAlignment="1">
      <alignment horizontal="right"/>
    </xf>
    <xf numFmtId="37" fontId="32" fillId="0" borderId="0" xfId="29" applyNumberFormat="1" applyFont="1" applyFill="1" applyBorder="1" applyAlignment="1">
      <alignment horizontal="right"/>
    </xf>
    <xf numFmtId="37" fontId="23" fillId="0" borderId="0" xfId="29" applyNumberFormat="1" applyFont="1" applyAlignment="1">
      <alignment horizontal="right"/>
    </xf>
    <xf numFmtId="218" fontId="41" fillId="0" borderId="0" xfId="0" applyNumberFormat="1" applyFont="1" applyAlignment="1">
      <alignment horizontal="right"/>
    </xf>
    <xf numFmtId="195" fontId="23" fillId="0" borderId="0" xfId="37" applyNumberFormat="1" applyFont="1" applyFill="1" applyAlignment="1">
      <alignment horizontal="left"/>
    </xf>
    <xf numFmtId="218" fontId="34" fillId="0" borderId="0" xfId="0" applyNumberFormat="1" applyFont="1" applyAlignment="1">
      <alignment horizontal="left"/>
    </xf>
    <xf numFmtId="218" fontId="41" fillId="0" borderId="0" xfId="0" applyNumberFormat="1" applyFont="1" applyAlignment="1">
      <alignment horizontal="left"/>
    </xf>
    <xf numFmtId="207" fontId="23" fillId="0" borderId="0" xfId="29" applyNumberFormat="1" applyFont="1" applyAlignment="1">
      <alignment horizontal="right"/>
    </xf>
    <xf numFmtId="218" fontId="34" fillId="0" borderId="0" xfId="0" applyNumberFormat="1" applyFont="1" applyFill="1" applyAlignment="1">
      <alignment horizontal="center"/>
    </xf>
    <xf numFmtId="216" fontId="23" fillId="0" borderId="0" xfId="0" applyNumberFormat="1" applyFont="1" applyFill="1" applyAlignment="1">
      <alignment horizontal="left"/>
    </xf>
    <xf numFmtId="218" fontId="34" fillId="0" borderId="0" xfId="0" applyNumberFormat="1" applyFont="1" applyBorder="1" applyAlignment="1">
      <alignment horizontal="left"/>
    </xf>
    <xf numFmtId="1" fontId="34" fillId="0" borderId="0" xfId="0" applyNumberFormat="1" applyFont="1" applyBorder="1" applyAlignment="1">
      <alignment horizontal="left"/>
    </xf>
    <xf numFmtId="168" fontId="23" fillId="0" borderId="0" xfId="37" applyNumberFormat="1" applyFont="1" applyBorder="1"/>
    <xf numFmtId="194" fontId="23" fillId="0" borderId="0" xfId="0" applyNumberFormat="1" applyFont="1" applyFill="1" applyAlignment="1">
      <alignment horizontal="left"/>
    </xf>
    <xf numFmtId="37" fontId="34" fillId="0" borderId="0" xfId="29" applyNumberFormat="1" applyFont="1" applyFill="1" applyBorder="1" applyAlignment="1">
      <alignment horizontal="right"/>
    </xf>
    <xf numFmtId="37" fontId="23" fillId="0" borderId="2" xfId="29" applyNumberFormat="1" applyFont="1" applyFill="1" applyBorder="1" applyAlignment="1">
      <alignment horizontal="right"/>
    </xf>
    <xf numFmtId="207" fontId="23" fillId="0" borderId="2" xfId="29" applyNumberFormat="1" applyFont="1" applyFill="1" applyBorder="1" applyAlignment="1">
      <alignment horizontal="right"/>
    </xf>
    <xf numFmtId="218" fontId="34" fillId="0" borderId="0" xfId="0" applyNumberFormat="1" applyFont="1" applyAlignment="1">
      <alignment horizontal="right"/>
    </xf>
    <xf numFmtId="37" fontId="34" fillId="0" borderId="0" xfId="29" applyNumberFormat="1" applyFont="1" applyFill="1" applyBorder="1" applyAlignment="1">
      <alignment horizontal="left"/>
    </xf>
    <xf numFmtId="37" fontId="23" fillId="0" borderId="0" xfId="29" applyNumberFormat="1" applyFont="1" applyFill="1" applyBorder="1" applyAlignment="1">
      <alignment horizontal="left"/>
    </xf>
    <xf numFmtId="207" fontId="23" fillId="0" borderId="2" xfId="29" applyNumberFormat="1" applyFont="1" applyBorder="1" applyAlignment="1">
      <alignment horizontal="right"/>
    </xf>
    <xf numFmtId="37" fontId="23" fillId="0" borderId="2" xfId="29" applyNumberFormat="1" applyFont="1" applyBorder="1" applyAlignment="1">
      <alignment horizontal="right"/>
    </xf>
    <xf numFmtId="168" fontId="23" fillId="0" borderId="2" xfId="37" applyNumberFormat="1" applyFont="1" applyBorder="1"/>
    <xf numFmtId="217" fontId="23" fillId="0" borderId="0" xfId="0" applyNumberFormat="1" applyFont="1" applyAlignment="1"/>
    <xf numFmtId="217" fontId="23" fillId="0" borderId="0" xfId="0" applyNumberFormat="1" applyFont="1" applyAlignment="1">
      <alignment horizontal="right"/>
    </xf>
    <xf numFmtId="217" fontId="32" fillId="0" borderId="0" xfId="0" applyNumberFormat="1" applyFont="1" applyAlignment="1">
      <alignment horizontal="right"/>
    </xf>
    <xf numFmtId="217" fontId="23" fillId="0" borderId="0" xfId="0" applyNumberFormat="1" applyFont="1" applyAlignment="1">
      <alignment horizontal="left"/>
    </xf>
    <xf numFmtId="217" fontId="32" fillId="0" borderId="0" xfId="0" applyNumberFormat="1" applyFont="1" applyAlignment="1">
      <alignment horizontal="left"/>
    </xf>
    <xf numFmtId="217" fontId="23" fillId="0" borderId="0" xfId="0" applyNumberFormat="1" applyFont="1" applyFill="1" applyAlignment="1">
      <alignment horizontal="center"/>
    </xf>
    <xf numFmtId="168" fontId="23" fillId="0" borderId="14" xfId="37" applyNumberFormat="1" applyFont="1" applyBorder="1"/>
    <xf numFmtId="0" fontId="23" fillId="0" borderId="0" xfId="0" applyFont="1" applyAlignment="1"/>
    <xf numFmtId="216" fontId="23" fillId="0" borderId="0" xfId="0" applyNumberFormat="1" applyFont="1" applyAlignment="1">
      <alignment horizontal="right"/>
    </xf>
    <xf numFmtId="0" fontId="23" fillId="0" borderId="0" xfId="0" applyFont="1" applyAlignment="1">
      <alignment horizontal="right"/>
    </xf>
    <xf numFmtId="1" fontId="23" fillId="0" borderId="0" xfId="0" applyNumberFormat="1" applyFont="1"/>
    <xf numFmtId="37" fontId="23" fillId="0" borderId="0" xfId="0" applyNumberFormat="1" applyFont="1" applyFill="1" applyBorder="1"/>
    <xf numFmtId="210" fontId="23" fillId="0" borderId="0" xfId="0" applyNumberFormat="1" applyFont="1" applyFill="1" applyBorder="1"/>
    <xf numFmtId="167" fontId="23" fillId="0" borderId="0" xfId="0" applyNumberFormat="1" applyFont="1" applyAlignment="1">
      <alignment horizontal="center"/>
    </xf>
    <xf numFmtId="37" fontId="32" fillId="0" borderId="0" xfId="0" applyNumberFormat="1" applyFont="1" applyFill="1" applyBorder="1"/>
    <xf numFmtId="37" fontId="32" fillId="0" borderId="0" xfId="0" applyNumberFormat="1" applyFont="1" applyFill="1" applyBorder="1" applyAlignment="1">
      <alignment horizontal="left"/>
    </xf>
    <xf numFmtId="9" fontId="23" fillId="0" borderId="0" xfId="37" applyFont="1" applyFill="1" applyBorder="1"/>
    <xf numFmtId="39" fontId="23" fillId="0" borderId="0" xfId="0" applyNumberFormat="1" applyFont="1"/>
    <xf numFmtId="37" fontId="32" fillId="0" borderId="2" xfId="29" applyNumberFormat="1" applyFont="1" applyFill="1" applyBorder="1" applyAlignment="1">
      <alignment horizontal="right"/>
    </xf>
    <xf numFmtId="37" fontId="30" fillId="0" borderId="0" xfId="0" applyNumberFormat="1" applyFont="1"/>
    <xf numFmtId="207" fontId="32" fillId="0" borderId="2" xfId="29" applyNumberFormat="1" applyFont="1" applyFill="1" applyBorder="1" applyAlignment="1">
      <alignment horizontal="right"/>
    </xf>
    <xf numFmtId="207" fontId="23" fillId="0" borderId="0" xfId="0" applyNumberFormat="1" applyFont="1" applyBorder="1"/>
    <xf numFmtId="217" fontId="32" fillId="0" borderId="0" xfId="0" applyNumberFormat="1" applyFont="1" applyAlignment="1"/>
    <xf numFmtId="9" fontId="32" fillId="0" borderId="0" xfId="37" applyFont="1" applyAlignment="1">
      <alignment horizontal="left"/>
    </xf>
    <xf numFmtId="168" fontId="23" fillId="0" borderId="0" xfId="37" applyNumberFormat="1" applyFont="1" applyAlignment="1">
      <alignment horizontal="left"/>
    </xf>
    <xf numFmtId="234" fontId="23" fillId="0" borderId="0" xfId="0" applyNumberFormat="1" applyFont="1" applyAlignment="1">
      <alignment horizontal="center"/>
    </xf>
    <xf numFmtId="218" fontId="41" fillId="0" borderId="0" xfId="0" applyNumberFormat="1" applyFont="1" applyAlignment="1"/>
    <xf numFmtId="202" fontId="25" fillId="0" borderId="0" xfId="0" applyNumberFormat="1" applyFont="1" applyFill="1"/>
    <xf numFmtId="211" fontId="85" fillId="0" borderId="1" xfId="29" applyNumberFormat="1" applyFont="1" applyFill="1" applyBorder="1" applyAlignment="1">
      <alignment horizontal="left"/>
    </xf>
    <xf numFmtId="228" fontId="4" fillId="0" borderId="0" xfId="0" applyNumberFormat="1" applyFont="1" applyFill="1"/>
    <xf numFmtId="0" fontId="4" fillId="7" borderId="5" xfId="0" applyFont="1" applyFill="1" applyBorder="1" applyAlignment="1">
      <alignment horizontal="centerContinuous"/>
    </xf>
    <xf numFmtId="173" fontId="0" fillId="0" borderId="0" xfId="0" applyNumberFormat="1"/>
    <xf numFmtId="0" fontId="26" fillId="0" borderId="0" xfId="0" applyFont="1" applyFill="1" applyBorder="1" applyAlignment="1">
      <alignment horizontal="center"/>
    </xf>
    <xf numFmtId="178" fontId="4" fillId="0" borderId="0" xfId="0" applyNumberFormat="1" applyFont="1" applyFill="1"/>
    <xf numFmtId="166" fontId="4" fillId="0" borderId="0" xfId="0" applyNumberFormat="1" applyFont="1" applyBorder="1"/>
    <xf numFmtId="9" fontId="0" fillId="0" borderId="2" xfId="0" applyNumberFormat="1" applyFill="1" applyBorder="1"/>
    <xf numFmtId="9" fontId="0" fillId="0" borderId="0" xfId="37" applyFont="1" applyFill="1"/>
    <xf numFmtId="37" fontId="8" fillId="0" borderId="0" xfId="0" applyNumberFormat="1" applyFont="1" applyFill="1"/>
    <xf numFmtId="37" fontId="0" fillId="0" borderId="0" xfId="0" applyNumberFormat="1" applyFill="1" applyBorder="1"/>
    <xf numFmtId="220" fontId="76" fillId="0" borderId="0" xfId="29" applyNumberFormat="1" applyFont="1" applyFill="1" applyBorder="1" applyAlignment="1">
      <alignment horizontal="right"/>
    </xf>
    <xf numFmtId="222" fontId="8" fillId="0" borderId="0" xfId="29" applyNumberFormat="1" applyFont="1" applyFill="1" applyBorder="1" applyAlignment="1">
      <alignment horizontal="right"/>
    </xf>
    <xf numFmtId="1" fontId="17" fillId="0" borderId="0" xfId="0" applyNumberFormat="1" applyFont="1" applyFill="1" applyBorder="1" applyAlignment="1">
      <alignment horizontal="right"/>
    </xf>
    <xf numFmtId="1" fontId="17" fillId="0" borderId="2" xfId="0" applyNumberFormat="1" applyFont="1" applyFill="1" applyBorder="1" applyAlignment="1">
      <alignment horizontal="right"/>
    </xf>
    <xf numFmtId="37" fontId="23" fillId="0" borderId="0" xfId="0" applyNumberFormat="1" applyFont="1" applyAlignment="1">
      <alignment horizontal="center"/>
    </xf>
    <xf numFmtId="168" fontId="23" fillId="0" borderId="1" xfId="37" applyNumberFormat="1" applyFont="1" applyBorder="1"/>
    <xf numFmtId="168" fontId="23" fillId="0" borderId="1" xfId="37" applyNumberFormat="1" applyFont="1" applyBorder="1" applyAlignment="1">
      <alignment horizontal="left" indent="1"/>
    </xf>
    <xf numFmtId="168" fontId="4" fillId="0" borderId="0" xfId="37" applyNumberFormat="1" applyFont="1" applyFill="1" applyBorder="1"/>
    <xf numFmtId="49" fontId="0" fillId="0" borderId="0" xfId="0" applyNumberFormat="1"/>
    <xf numFmtId="168" fontId="51" fillId="0" borderId="0" xfId="29" applyNumberFormat="1" applyFont="1" applyAlignment="1">
      <alignment horizontal="center" vertical="center"/>
    </xf>
    <xf numFmtId="203" fontId="52" fillId="0" borderId="0" xfId="19" applyNumberFormat="1" applyFont="1" applyFill="1" applyBorder="1"/>
    <xf numFmtId="10" fontId="8" fillId="0" borderId="0" xfId="0" applyNumberFormat="1" applyFont="1"/>
    <xf numFmtId="0" fontId="11" fillId="0" borderId="0" xfId="0" applyFont="1" applyFill="1" applyBorder="1" applyAlignment="1">
      <alignment horizontal="center"/>
    </xf>
    <xf numFmtId="0" fontId="44" fillId="0" borderId="0" xfId="0" applyFont="1"/>
    <xf numFmtId="0" fontId="22" fillId="0" borderId="0" xfId="0" applyFont="1" applyFill="1" applyBorder="1" applyAlignment="1">
      <alignment horizontal="center"/>
    </xf>
    <xf numFmtId="0" fontId="11" fillId="0" borderId="0" xfId="0" applyFont="1" applyBorder="1" applyAlignment="1">
      <alignment horizontal="centerContinuous"/>
    </xf>
    <xf numFmtId="0" fontId="8" fillId="0" borderId="0" xfId="0" applyFont="1" applyBorder="1" applyAlignment="1">
      <alignment horizontal="centerContinuous"/>
    </xf>
    <xf numFmtId="0" fontId="8" fillId="0" borderId="14" xfId="0" applyFont="1" applyBorder="1"/>
    <xf numFmtId="202" fontId="4" fillId="0" borderId="0" xfId="0" applyNumberFormat="1" applyFont="1" applyFill="1" applyBorder="1" applyAlignment="1">
      <alignment horizontal="right"/>
    </xf>
    <xf numFmtId="202" fontId="4" fillId="0" borderId="2" xfId="0" applyNumberFormat="1" applyFont="1" applyFill="1" applyBorder="1" applyAlignment="1">
      <alignment horizontal="right"/>
    </xf>
    <xf numFmtId="204" fontId="17" fillId="0" borderId="0" xfId="0" applyNumberFormat="1" applyFont="1" applyFill="1" applyAlignment="1">
      <alignment horizontal="right"/>
    </xf>
    <xf numFmtId="0" fontId="56" fillId="0" borderId="0" xfId="0" applyFont="1"/>
    <xf numFmtId="167" fontId="4" fillId="0" borderId="0" xfId="0" applyNumberFormat="1" applyFont="1" applyFill="1" applyAlignment="1">
      <alignment horizontal="right"/>
    </xf>
    <xf numFmtId="167" fontId="4" fillId="0" borderId="2" xfId="0" applyNumberFormat="1" applyFont="1" applyFill="1" applyBorder="1" applyAlignment="1">
      <alignment horizontal="right"/>
    </xf>
    <xf numFmtId="175" fontId="0" fillId="0" borderId="0" xfId="0" applyNumberFormat="1"/>
    <xf numFmtId="5" fontId="0" fillId="0" borderId="0" xfId="0" applyNumberFormat="1"/>
    <xf numFmtId="170" fontId="32" fillId="0" borderId="0" xfId="0" applyNumberFormat="1" applyFont="1" applyFill="1" applyProtection="1"/>
    <xf numFmtId="207" fontId="23" fillId="0" borderId="0" xfId="0" applyNumberFormat="1" applyFont="1" applyFill="1"/>
    <xf numFmtId="3" fontId="80" fillId="0" borderId="0" xfId="0" applyNumberFormat="1" applyFont="1" applyFill="1" applyAlignment="1">
      <alignment horizontal="center"/>
    </xf>
    <xf numFmtId="186" fontId="66" fillId="0" borderId="2" xfId="0" applyNumberFormat="1" applyFont="1" applyFill="1" applyBorder="1"/>
    <xf numFmtId="202" fontId="25" fillId="0" borderId="2" xfId="0" applyNumberFormat="1" applyFont="1" applyFill="1" applyBorder="1"/>
    <xf numFmtId="0" fontId="25" fillId="0" borderId="0" xfId="0" applyFont="1"/>
    <xf numFmtId="202" fontId="25" fillId="0" borderId="0" xfId="0" applyNumberFormat="1" applyFont="1" applyBorder="1"/>
    <xf numFmtId="166" fontId="4" fillId="0" borderId="0" xfId="0" applyNumberFormat="1" applyFont="1" applyFill="1" applyBorder="1"/>
    <xf numFmtId="43" fontId="43" fillId="0" borderId="0" xfId="10" applyFont="1" applyBorder="1"/>
    <xf numFmtId="37" fontId="12" fillId="0" borderId="0" xfId="0" applyNumberFormat="1" applyFont="1"/>
    <xf numFmtId="0" fontId="107" fillId="0" borderId="0" xfId="0" applyFont="1"/>
    <xf numFmtId="0" fontId="10" fillId="0" borderId="0" xfId="0" applyFont="1" applyFill="1" applyAlignment="1">
      <alignment horizontal="left"/>
    </xf>
    <xf numFmtId="0" fontId="106" fillId="0" borderId="0" xfId="0" applyFont="1" applyFill="1" applyBorder="1" applyAlignment="1">
      <alignment horizontal="left" indent="1"/>
    </xf>
    <xf numFmtId="0" fontId="10" fillId="11" borderId="29" xfId="0" applyFont="1" applyFill="1" applyBorder="1"/>
    <xf numFmtId="0" fontId="101" fillId="11" borderId="11" xfId="0" applyFont="1" applyFill="1" applyBorder="1" applyAlignment="1">
      <alignment horizontal="center"/>
    </xf>
    <xf numFmtId="0" fontId="101" fillId="11" borderId="15" xfId="0" applyFont="1" applyFill="1" applyBorder="1" applyAlignment="1">
      <alignment horizontal="center"/>
    </xf>
    <xf numFmtId="0" fontId="101" fillId="11" borderId="32" xfId="0" applyFont="1" applyFill="1" applyBorder="1" applyAlignment="1">
      <alignment horizontal="centerContinuous"/>
    </xf>
    <xf numFmtId="0" fontId="104" fillId="11" borderId="33" xfId="0" applyFont="1" applyFill="1" applyBorder="1" applyAlignment="1">
      <alignment horizontal="centerContinuous"/>
    </xf>
    <xf numFmtId="0" fontId="104" fillId="11" borderId="34" xfId="0" applyFont="1" applyFill="1" applyBorder="1" applyAlignment="1">
      <alignment horizontal="centerContinuous"/>
    </xf>
    <xf numFmtId="0" fontId="101" fillId="11" borderId="30" xfId="0" applyFont="1" applyFill="1" applyBorder="1" applyAlignment="1">
      <alignment horizontal="center"/>
    </xf>
    <xf numFmtId="0" fontId="10" fillId="11" borderId="0" xfId="0" applyFont="1" applyFill="1"/>
    <xf numFmtId="0" fontId="101" fillId="11" borderId="0" xfId="0" applyFont="1" applyFill="1" applyAlignment="1">
      <alignment horizontal="center"/>
    </xf>
    <xf numFmtId="0" fontId="101" fillId="11" borderId="27" xfId="0" applyFont="1" applyFill="1" applyBorder="1" applyAlignment="1">
      <alignment horizontal="center"/>
    </xf>
    <xf numFmtId="0" fontId="101" fillId="11" borderId="0" xfId="0" applyFont="1" applyFill="1" applyBorder="1" applyAlignment="1">
      <alignment horizontal="center"/>
    </xf>
    <xf numFmtId="0" fontId="101" fillId="11" borderId="28" xfId="0" applyFont="1" applyFill="1" applyBorder="1" applyAlignment="1">
      <alignment horizontal="center"/>
    </xf>
    <xf numFmtId="0" fontId="101" fillId="11" borderId="31" xfId="0" applyFont="1" applyFill="1" applyBorder="1" applyAlignment="1">
      <alignment horizontal="center"/>
    </xf>
    <xf numFmtId="5" fontId="4" fillId="0" borderId="27" xfId="0" applyNumberFormat="1" applyFont="1" applyFill="1" applyBorder="1" applyAlignment="1">
      <alignment horizontal="left"/>
    </xf>
    <xf numFmtId="175" fontId="10" fillId="0" borderId="0" xfId="0" applyNumberFormat="1" applyFont="1" applyFill="1" applyBorder="1" applyAlignment="1" applyProtection="1">
      <alignment horizontal="center"/>
    </xf>
    <xf numFmtId="6" fontId="10" fillId="0" borderId="27" xfId="0" applyNumberFormat="1" applyFont="1" applyFill="1" applyBorder="1" applyAlignment="1">
      <alignment horizontal="center"/>
    </xf>
    <xf numFmtId="6" fontId="10" fillId="0" borderId="0" xfId="0" applyNumberFormat="1" applyFont="1" applyFill="1" applyBorder="1" applyAlignment="1">
      <alignment horizontal="center"/>
    </xf>
    <xf numFmtId="6" fontId="10" fillId="0" borderId="28" xfId="0" applyNumberFormat="1" applyFont="1" applyFill="1" applyBorder="1" applyAlignment="1">
      <alignment horizontal="center"/>
    </xf>
    <xf numFmtId="5" fontId="4" fillId="0" borderId="0" xfId="0" applyNumberFormat="1" applyFont="1" applyFill="1" applyAlignment="1">
      <alignment horizontal="left"/>
    </xf>
    <xf numFmtId="5" fontId="10" fillId="0" borderId="0" xfId="0" applyNumberFormat="1" applyFont="1" applyFill="1" applyAlignment="1" applyProtection="1">
      <alignment horizontal="center"/>
    </xf>
    <xf numFmtId="5" fontId="15" fillId="0" borderId="0" xfId="0" applyNumberFormat="1" applyFont="1" applyFill="1" applyAlignment="1" applyProtection="1">
      <alignment horizontal="center"/>
    </xf>
    <xf numFmtId="6" fontId="10" fillId="0" borderId="0" xfId="0" applyNumberFormat="1" applyFont="1" applyFill="1" applyAlignment="1">
      <alignment horizontal="center"/>
    </xf>
    <xf numFmtId="193" fontId="4" fillId="0" borderId="0" xfId="0" applyNumberFormat="1" applyFont="1" applyFill="1" applyBorder="1" applyAlignment="1" applyProtection="1">
      <alignment horizontal="center"/>
    </xf>
    <xf numFmtId="193" fontId="17" fillId="0" borderId="0" xfId="0" applyNumberFormat="1" applyFont="1" applyFill="1" applyBorder="1" applyAlignment="1" applyProtection="1">
      <alignment horizontal="center"/>
    </xf>
    <xf numFmtId="193" fontId="4" fillId="0" borderId="28" xfId="0" applyNumberFormat="1" applyFont="1" applyFill="1" applyBorder="1" applyAlignment="1" applyProtection="1">
      <alignment horizontal="center"/>
    </xf>
    <xf numFmtId="249" fontId="4" fillId="0" borderId="27" xfId="0" applyNumberFormat="1" applyFont="1" applyFill="1" applyBorder="1" applyAlignment="1">
      <alignment horizontal="center"/>
    </xf>
    <xf numFmtId="249" fontId="4" fillId="0" borderId="0" xfId="0" applyNumberFormat="1" applyFont="1" applyFill="1" applyBorder="1" applyAlignment="1">
      <alignment horizontal="center"/>
    </xf>
    <xf numFmtId="249" fontId="4" fillId="0" borderId="28" xfId="0" applyNumberFormat="1" applyFont="1" applyFill="1" applyBorder="1" applyAlignment="1">
      <alignment horizontal="center"/>
    </xf>
    <xf numFmtId="0" fontId="4" fillId="0" borderId="31" xfId="0" applyFont="1" applyFill="1" applyBorder="1"/>
    <xf numFmtId="193" fontId="4" fillId="0" borderId="0" xfId="0" applyNumberFormat="1" applyFont="1" applyFill="1" applyAlignment="1" applyProtection="1">
      <alignment horizontal="center"/>
    </xf>
    <xf numFmtId="193" fontId="17" fillId="0" borderId="0" xfId="0" applyNumberFormat="1" applyFont="1" applyFill="1" applyAlignment="1" applyProtection="1">
      <alignment horizontal="center"/>
    </xf>
    <xf numFmtId="37" fontId="4" fillId="0" borderId="0" xfId="0" applyNumberFormat="1" applyFont="1" applyFill="1" applyBorder="1" applyAlignment="1" applyProtection="1">
      <alignment horizontal="center"/>
    </xf>
    <xf numFmtId="37" fontId="17" fillId="0" borderId="0" xfId="0" applyNumberFormat="1" applyFont="1" applyFill="1" applyBorder="1" applyAlignment="1" applyProtection="1">
      <alignment horizontal="center"/>
    </xf>
    <xf numFmtId="37" fontId="4" fillId="0" borderId="28" xfId="0" applyNumberFormat="1" applyFont="1" applyFill="1" applyBorder="1" applyAlignment="1" applyProtection="1">
      <alignment horizontal="center"/>
    </xf>
    <xf numFmtId="6" fontId="4" fillId="0" borderId="27" xfId="0" applyNumberFormat="1" applyFont="1" applyFill="1" applyBorder="1" applyAlignment="1">
      <alignment horizontal="center"/>
    </xf>
    <xf numFmtId="6" fontId="4" fillId="0" borderId="0" xfId="0" applyNumberFormat="1" applyFont="1" applyFill="1" applyBorder="1" applyAlignment="1">
      <alignment horizontal="center"/>
    </xf>
    <xf numFmtId="6" fontId="4" fillId="0" borderId="28" xfId="0" applyNumberFormat="1" applyFont="1" applyFill="1" applyBorder="1" applyAlignment="1">
      <alignment horizontal="center"/>
    </xf>
    <xf numFmtId="37" fontId="4" fillId="0" borderId="0" xfId="0" applyNumberFormat="1" applyFont="1" applyFill="1" applyAlignment="1" applyProtection="1">
      <alignment horizontal="center"/>
    </xf>
    <xf numFmtId="37" fontId="17" fillId="0" borderId="0" xfId="0" applyNumberFormat="1" applyFont="1" applyFill="1" applyAlignment="1" applyProtection="1">
      <alignment horizontal="center"/>
    </xf>
    <xf numFmtId="170" fontId="4" fillId="0" borderId="0" xfId="0" applyNumberFormat="1" applyFont="1" applyFill="1" applyBorder="1" applyAlignment="1" applyProtection="1">
      <alignment horizontal="center"/>
    </xf>
    <xf numFmtId="39" fontId="4" fillId="0" borderId="0" xfId="0" applyNumberFormat="1" applyFont="1" applyFill="1" applyAlignment="1" applyProtection="1">
      <alignment horizontal="center"/>
    </xf>
    <xf numFmtId="39" fontId="17" fillId="0" borderId="0" xfId="0" applyNumberFormat="1" applyFont="1" applyFill="1" applyAlignment="1" applyProtection="1">
      <alignment horizontal="center"/>
    </xf>
    <xf numFmtId="7" fontId="10" fillId="0" borderId="0" xfId="0" applyNumberFormat="1" applyFont="1" applyFill="1" applyBorder="1" applyAlignment="1" applyProtection="1">
      <alignment horizontal="center"/>
    </xf>
    <xf numFmtId="7" fontId="15" fillId="0" borderId="0" xfId="0" applyNumberFormat="1" applyFont="1" applyFill="1" applyBorder="1" applyAlignment="1" applyProtection="1">
      <alignment horizontal="center"/>
    </xf>
    <xf numFmtId="8" fontId="10" fillId="0" borderId="27" xfId="0" applyNumberFormat="1" applyFont="1" applyFill="1" applyBorder="1" applyAlignment="1">
      <alignment horizontal="center"/>
    </xf>
    <xf numFmtId="8" fontId="10" fillId="0" borderId="0" xfId="0" applyNumberFormat="1" applyFont="1" applyFill="1" applyBorder="1" applyAlignment="1">
      <alignment horizontal="center"/>
    </xf>
    <xf numFmtId="8" fontId="10" fillId="0" borderId="28" xfId="0" applyNumberFormat="1" applyFont="1" applyFill="1" applyBorder="1" applyAlignment="1">
      <alignment horizontal="center"/>
    </xf>
    <xf numFmtId="7" fontId="10" fillId="0" borderId="0" xfId="0" applyNumberFormat="1" applyFont="1" applyFill="1" applyAlignment="1" applyProtection="1">
      <alignment horizontal="center"/>
    </xf>
    <xf numFmtId="7" fontId="15" fillId="0" borderId="0" xfId="0" applyNumberFormat="1" applyFont="1" applyFill="1" applyAlignment="1" applyProtection="1">
      <alignment horizontal="center"/>
    </xf>
    <xf numFmtId="5" fontId="10" fillId="0" borderId="27" xfId="0" applyNumberFormat="1" applyFont="1" applyFill="1" applyBorder="1" applyAlignment="1">
      <alignment horizontal="left"/>
    </xf>
    <xf numFmtId="170" fontId="17" fillId="0" borderId="0" xfId="0" applyNumberFormat="1" applyFont="1" applyFill="1" applyBorder="1" applyAlignment="1" applyProtection="1">
      <alignment horizontal="center"/>
    </xf>
    <xf numFmtId="170" fontId="4" fillId="0" borderId="28" xfId="0" applyNumberFormat="1" applyFont="1" applyFill="1" applyBorder="1" applyAlignment="1" applyProtection="1">
      <alignment horizontal="center"/>
    </xf>
    <xf numFmtId="170" fontId="4" fillId="0" borderId="27" xfId="0" applyNumberFormat="1" applyFont="1" applyFill="1" applyBorder="1" applyAlignment="1" applyProtection="1">
      <alignment horizontal="center"/>
    </xf>
    <xf numFmtId="5" fontId="10" fillId="0" borderId="0" xfId="0" applyNumberFormat="1" applyFont="1" applyFill="1" applyAlignment="1">
      <alignment horizontal="left"/>
    </xf>
    <xf numFmtId="170" fontId="4" fillId="0" borderId="0" xfId="0" applyNumberFormat="1" applyFont="1" applyFill="1" applyAlignment="1" applyProtection="1">
      <alignment horizontal="center"/>
    </xf>
    <xf numFmtId="170" fontId="17" fillId="0" borderId="0" xfId="0" applyNumberFormat="1" applyFont="1" applyFill="1" applyAlignment="1" applyProtection="1">
      <alignment horizontal="center"/>
    </xf>
    <xf numFmtId="249" fontId="4" fillId="0" borderId="0" xfId="0" applyNumberFormat="1" applyFont="1" applyFill="1" applyAlignment="1">
      <alignment horizontal="center"/>
    </xf>
    <xf numFmtId="0" fontId="4" fillId="0" borderId="26" xfId="0" applyFont="1" applyFill="1" applyBorder="1"/>
    <xf numFmtId="0" fontId="4" fillId="0" borderId="3" xfId="0" applyFont="1" applyFill="1" applyBorder="1" applyAlignment="1">
      <alignment horizontal="center"/>
    </xf>
    <xf numFmtId="0" fontId="4" fillId="0" borderId="16" xfId="0" applyFont="1" applyFill="1" applyBorder="1" applyAlignment="1">
      <alignment horizontal="center"/>
    </xf>
    <xf numFmtId="0" fontId="4" fillId="0" borderId="35" xfId="0" applyFont="1" applyFill="1" applyBorder="1"/>
    <xf numFmtId="0" fontId="15" fillId="0" borderId="0" xfId="0" applyFont="1" applyFill="1" applyAlignment="1">
      <alignment horizontal="left"/>
    </xf>
    <xf numFmtId="175" fontId="32" fillId="0" borderId="0" xfId="0" applyNumberFormat="1" applyFont="1" applyFill="1"/>
    <xf numFmtId="204" fontId="4" fillId="0" borderId="14" xfId="0" applyNumberFormat="1" applyFont="1" applyFill="1" applyBorder="1" applyAlignment="1">
      <alignment horizontal="right"/>
    </xf>
    <xf numFmtId="0" fontId="16" fillId="0" borderId="0" xfId="0" applyFont="1" applyAlignment="1">
      <alignment horizontal="centerContinuous"/>
    </xf>
    <xf numFmtId="0" fontId="4" fillId="0" borderId="0" xfId="0" applyFont="1" applyAlignment="1">
      <alignment horizontal="centerContinuous"/>
    </xf>
    <xf numFmtId="167" fontId="17" fillId="0" borderId="0" xfId="0" applyNumberFormat="1" applyFont="1" applyAlignment="1">
      <alignment horizontal="centerContinuous"/>
    </xf>
    <xf numFmtId="0" fontId="14" fillId="0" borderId="0" xfId="0" applyFont="1" applyAlignment="1">
      <alignment horizontal="centerContinuous"/>
    </xf>
    <xf numFmtId="212" fontId="4" fillId="0" borderId="0" xfId="15" applyNumberFormat="1" applyFont="1" applyFill="1" applyBorder="1"/>
    <xf numFmtId="0" fontId="43" fillId="0" borderId="0" xfId="23" applyFont="1" applyBorder="1" applyAlignment="1">
      <alignment horizontal="left"/>
    </xf>
    <xf numFmtId="5" fontId="75" fillId="0" borderId="0" xfId="23" applyNumberFormat="1" applyFont="1" applyBorder="1" applyAlignment="1">
      <alignment horizontal="right"/>
    </xf>
    <xf numFmtId="0" fontId="23" fillId="0" borderId="0" xfId="0" applyFont="1" applyAlignment="1">
      <alignment horizontal="centerContinuous"/>
    </xf>
    <xf numFmtId="0" fontId="4" fillId="0" borderId="2" xfId="0" applyFont="1" applyBorder="1" applyAlignment="1">
      <alignment horizontal="centerContinuous"/>
    </xf>
    <xf numFmtId="218" fontId="34" fillId="3" borderId="0" xfId="0" applyNumberFormat="1" applyFont="1" applyFill="1" applyAlignment="1"/>
    <xf numFmtId="218" fontId="34" fillId="3" borderId="0" xfId="0" applyNumberFormat="1" applyFont="1" applyFill="1" applyAlignment="1">
      <alignment horizontal="left"/>
    </xf>
    <xf numFmtId="0" fontId="10" fillId="0" borderId="0" xfId="0" applyFont="1" applyFill="1" applyAlignment="1">
      <alignment horizontal="right"/>
    </xf>
    <xf numFmtId="0" fontId="10" fillId="0" borderId="14" xfId="0" applyFont="1" applyFill="1" applyBorder="1" applyAlignment="1">
      <alignment horizontal="right"/>
    </xf>
    <xf numFmtId="173" fontId="4" fillId="0" borderId="2" xfId="0" applyNumberFormat="1" applyFont="1" applyFill="1" applyBorder="1"/>
    <xf numFmtId="178" fontId="42" fillId="0" borderId="2" xfId="10" applyNumberFormat="1" applyFont="1" applyFill="1" applyBorder="1"/>
    <xf numFmtId="173" fontId="17" fillId="0" borderId="0" xfId="0" applyNumberFormat="1" applyFont="1" applyFill="1" applyBorder="1"/>
    <xf numFmtId="0" fontId="0" fillId="0" borderId="19" xfId="0" applyBorder="1"/>
    <xf numFmtId="9" fontId="17" fillId="0" borderId="19" xfId="0" applyNumberFormat="1" applyFont="1" applyFill="1" applyBorder="1"/>
    <xf numFmtId="9" fontId="0" fillId="0" borderId="19" xfId="0" applyNumberFormat="1" applyBorder="1"/>
    <xf numFmtId="0" fontId="10" fillId="0" borderId="14" xfId="0" applyFont="1" applyBorder="1" applyAlignment="1">
      <alignment horizontal="center"/>
    </xf>
    <xf numFmtId="178" fontId="4" fillId="0" borderId="2" xfId="0" applyNumberFormat="1" applyFont="1" applyFill="1" applyBorder="1"/>
    <xf numFmtId="178" fontId="42" fillId="0" borderId="0" xfId="10" applyNumberFormat="1" applyFont="1" applyFill="1" applyAlignment="1">
      <alignment horizontal="left"/>
    </xf>
    <xf numFmtId="172" fontId="31" fillId="0" borderId="0" xfId="0" applyNumberFormat="1" applyFont="1" applyFill="1"/>
    <xf numFmtId="172" fontId="53" fillId="0" borderId="2" xfId="0" applyNumberFormat="1" applyFont="1" applyFill="1" applyBorder="1"/>
    <xf numFmtId="172" fontId="31" fillId="0" borderId="2" xfId="0" applyNumberFormat="1" applyFont="1" applyFill="1" applyBorder="1"/>
    <xf numFmtId="173" fontId="1" fillId="0" borderId="0" xfId="0" applyNumberFormat="1" applyFont="1" applyFill="1"/>
    <xf numFmtId="224" fontId="61" fillId="0" borderId="0" xfId="15" applyNumberFormat="1" applyFont="1" applyFill="1" applyBorder="1"/>
    <xf numFmtId="168" fontId="12" fillId="0" borderId="0" xfId="33" applyNumberFormat="1" applyFont="1" applyFill="1" applyBorder="1" applyProtection="1"/>
    <xf numFmtId="175" fontId="12" fillId="0" borderId="0" xfId="29" applyNumberFormat="1" applyFont="1" applyFill="1" applyBorder="1" applyAlignment="1">
      <alignment horizontal="right"/>
    </xf>
    <xf numFmtId="170" fontId="8" fillId="0" borderId="2" xfId="29" applyNumberFormat="1" applyFont="1" applyFill="1" applyBorder="1" applyAlignment="1">
      <alignment horizontal="right"/>
    </xf>
    <xf numFmtId="175" fontId="17" fillId="0" borderId="0" xfId="0" applyNumberFormat="1" applyFont="1" applyFill="1" applyBorder="1"/>
    <xf numFmtId="170" fontId="4" fillId="0" borderId="0" xfId="0" applyNumberFormat="1" applyFont="1" applyFill="1" applyBorder="1" applyAlignment="1">
      <alignment horizontal="center"/>
    </xf>
    <xf numFmtId="170" fontId="17" fillId="0" borderId="0" xfId="0" applyNumberFormat="1" applyFont="1" applyFill="1" applyBorder="1" applyAlignment="1">
      <alignment horizontal="center"/>
    </xf>
    <xf numFmtId="170" fontId="4" fillId="0" borderId="28" xfId="0" applyNumberFormat="1" applyFont="1" applyFill="1" applyBorder="1" applyAlignment="1">
      <alignment horizontal="center"/>
    </xf>
    <xf numFmtId="170" fontId="10" fillId="0" borderId="28" xfId="0" applyNumberFormat="1" applyFont="1" applyFill="1" applyBorder="1" applyAlignment="1" applyProtection="1">
      <alignment horizontal="center"/>
    </xf>
    <xf numFmtId="175" fontId="15" fillId="0" borderId="0" xfId="0" applyNumberFormat="1" applyFont="1" applyFill="1" applyBorder="1" applyAlignment="1" applyProtection="1">
      <alignment horizontal="center"/>
    </xf>
    <xf numFmtId="175" fontId="10" fillId="0" borderId="28" xfId="0" applyNumberFormat="1" applyFont="1" applyFill="1" applyBorder="1" applyAlignment="1" applyProtection="1">
      <alignment horizontal="center"/>
    </xf>
    <xf numFmtId="174" fontId="10" fillId="0" borderId="27" xfId="0" applyNumberFormat="1" applyFont="1" applyFill="1" applyBorder="1" applyAlignment="1">
      <alignment horizontal="center"/>
    </xf>
    <xf numFmtId="174" fontId="10" fillId="0" borderId="0" xfId="0" applyNumberFormat="1" applyFont="1" applyFill="1" applyBorder="1" applyAlignment="1">
      <alignment horizontal="center"/>
    </xf>
    <xf numFmtId="174" fontId="10" fillId="0" borderId="28" xfId="0" applyNumberFormat="1" applyFont="1" applyFill="1" applyBorder="1" applyAlignment="1">
      <alignment horizontal="center"/>
    </xf>
    <xf numFmtId="174" fontId="4" fillId="0" borderId="27" xfId="0" applyNumberFormat="1" applyFont="1" applyFill="1" applyBorder="1" applyAlignment="1">
      <alignment horizontal="center"/>
    </xf>
    <xf numFmtId="174" fontId="4" fillId="0" borderId="0" xfId="0" applyNumberFormat="1" applyFont="1" applyFill="1" applyBorder="1" applyAlignment="1">
      <alignment horizontal="center"/>
    </xf>
    <xf numFmtId="174" fontId="4" fillId="0" borderId="28" xfId="0" applyNumberFormat="1" applyFont="1" applyFill="1" applyBorder="1" applyAlignment="1">
      <alignment horizontal="center"/>
    </xf>
    <xf numFmtId="0" fontId="0" fillId="6" borderId="0" xfId="0" applyFill="1"/>
    <xf numFmtId="9" fontId="107" fillId="0" borderId="0" xfId="0" applyNumberFormat="1" applyFont="1"/>
    <xf numFmtId="195" fontId="107" fillId="0" borderId="0" xfId="0" applyNumberFormat="1" applyFont="1"/>
    <xf numFmtId="215" fontId="107" fillId="0" borderId="0" xfId="0" applyNumberFormat="1" applyFont="1" applyFill="1" applyBorder="1" applyAlignment="1">
      <alignment horizontal="right"/>
    </xf>
    <xf numFmtId="167" fontId="107" fillId="0" borderId="0" xfId="0" applyNumberFormat="1" applyFont="1"/>
    <xf numFmtId="0" fontId="30" fillId="0" borderId="2" xfId="0" applyFont="1" applyBorder="1" applyAlignment="1">
      <alignment horizontal="right"/>
    </xf>
    <xf numFmtId="248" fontId="4" fillId="0" borderId="0" xfId="0" applyNumberFormat="1" applyFont="1" applyFill="1"/>
    <xf numFmtId="0" fontId="23" fillId="0" borderId="0" xfId="0" applyFont="1" applyBorder="1" applyAlignment="1">
      <alignment horizontal="centerContinuous"/>
    </xf>
    <xf numFmtId="173" fontId="4" fillId="0" borderId="0" xfId="0" applyNumberFormat="1" applyFont="1" applyFill="1" applyAlignment="1">
      <alignment horizontal="left"/>
    </xf>
    <xf numFmtId="173" fontId="4" fillId="0" borderId="0" xfId="0" applyNumberFormat="1" applyFont="1" applyAlignment="1">
      <alignment horizontal="center"/>
    </xf>
    <xf numFmtId="173" fontId="4" fillId="0" borderId="0" xfId="0" applyNumberFormat="1" applyFont="1" applyFill="1" applyAlignment="1">
      <alignment horizontal="center"/>
    </xf>
    <xf numFmtId="5" fontId="4" fillId="0" borderId="0" xfId="0" applyNumberFormat="1" applyFont="1" applyFill="1" applyBorder="1" applyAlignment="1">
      <alignment horizontal="left"/>
    </xf>
    <xf numFmtId="5" fontId="4" fillId="0" borderId="2" xfId="0" applyNumberFormat="1" applyFont="1" applyFill="1" applyBorder="1" applyAlignment="1">
      <alignment horizontal="left"/>
    </xf>
    <xf numFmtId="5" fontId="10" fillId="0" borderId="0" xfId="0" applyNumberFormat="1" applyFont="1" applyFill="1" applyBorder="1" applyAlignment="1">
      <alignment horizontal="left"/>
    </xf>
    <xf numFmtId="172" fontId="4" fillId="0" borderId="27" xfId="0" applyNumberFormat="1" applyFont="1" applyFill="1" applyBorder="1" applyAlignment="1">
      <alignment horizontal="center"/>
    </xf>
    <xf numFmtId="172" fontId="4" fillId="0" borderId="0" xfId="0" applyNumberFormat="1" applyFont="1" applyFill="1" applyBorder="1" applyAlignment="1">
      <alignment horizontal="center"/>
    </xf>
    <xf numFmtId="172" fontId="4" fillId="0" borderId="28" xfId="0" applyNumberFormat="1" applyFont="1" applyFill="1" applyBorder="1" applyAlignment="1">
      <alignment horizontal="center"/>
    </xf>
    <xf numFmtId="167" fontId="56" fillId="0" borderId="0" xfId="0" applyNumberFormat="1" applyFont="1" applyFill="1" applyBorder="1"/>
    <xf numFmtId="167" fontId="56" fillId="0" borderId="36" xfId="0" applyNumberFormat="1" applyFont="1" applyBorder="1"/>
    <xf numFmtId="167" fontId="56" fillId="0" borderId="0" xfId="0" applyNumberFormat="1" applyFont="1" applyBorder="1"/>
    <xf numFmtId="218" fontId="41" fillId="0" borderId="0" xfId="0" applyNumberFormat="1" applyFont="1" applyFill="1" applyAlignment="1"/>
    <xf numFmtId="200" fontId="35" fillId="0" borderId="0" xfId="0" applyNumberFormat="1" applyFont="1" applyFill="1" applyAlignment="1">
      <alignment horizontal="left"/>
    </xf>
    <xf numFmtId="4" fontId="23" fillId="0" borderId="0" xfId="0" applyNumberFormat="1" applyFont="1" applyFill="1"/>
    <xf numFmtId="37" fontId="23" fillId="0" borderId="0" xfId="0" applyNumberFormat="1" applyFont="1" applyFill="1"/>
    <xf numFmtId="185" fontId="23" fillId="0" borderId="0" xfId="0" applyNumberFormat="1" applyFont="1" applyFill="1"/>
    <xf numFmtId="181" fontId="23" fillId="0" borderId="0" xfId="0" applyNumberFormat="1" applyFont="1" applyFill="1"/>
    <xf numFmtId="205" fontId="23" fillId="0" borderId="0" xfId="0" applyNumberFormat="1" applyFont="1" applyFill="1"/>
    <xf numFmtId="168" fontId="23" fillId="0" borderId="0" xfId="37" applyNumberFormat="1" applyFont="1" applyFill="1"/>
    <xf numFmtId="166" fontId="23" fillId="0" borderId="2" xfId="0" applyNumberFormat="1" applyFont="1" applyFill="1" applyBorder="1"/>
    <xf numFmtId="172" fontId="23" fillId="0" borderId="2" xfId="0" applyNumberFormat="1" applyFont="1" applyFill="1" applyBorder="1"/>
    <xf numFmtId="4" fontId="32" fillId="0" borderId="0" xfId="0" applyNumberFormat="1" applyFont="1" applyFill="1" applyAlignment="1">
      <alignment horizontal="right"/>
    </xf>
    <xf numFmtId="4" fontId="23" fillId="0" borderId="24" xfId="0" applyNumberFormat="1" applyFont="1" applyFill="1" applyBorder="1"/>
    <xf numFmtId="0" fontId="23" fillId="0" borderId="7" xfId="0" applyFont="1" applyFill="1" applyBorder="1"/>
    <xf numFmtId="204" fontId="4" fillId="0" borderId="0" xfId="0" applyNumberFormat="1" applyFont="1" applyFill="1"/>
    <xf numFmtId="167" fontId="71" fillId="0" borderId="0" xfId="0" applyNumberFormat="1" applyFont="1" applyFill="1"/>
    <xf numFmtId="167" fontId="64" fillId="0" borderId="0" xfId="0" applyNumberFormat="1" applyFont="1" applyFill="1"/>
    <xf numFmtId="201" fontId="4" fillId="0" borderId="2" xfId="0" applyNumberFormat="1" applyFont="1" applyFill="1" applyBorder="1"/>
    <xf numFmtId="168" fontId="47" fillId="0" borderId="1" xfId="37" applyNumberFormat="1" applyFont="1" applyBorder="1" applyAlignment="1">
      <alignment horizontal="right"/>
    </xf>
    <xf numFmtId="200" fontId="40" fillId="0" borderId="0" xfId="0" applyNumberFormat="1" applyFont="1" applyBorder="1" applyAlignment="1">
      <alignment horizontal="center"/>
    </xf>
    <xf numFmtId="185" fontId="23" fillId="0" borderId="0" xfId="0" applyNumberFormat="1" applyFont="1" applyBorder="1"/>
    <xf numFmtId="0" fontId="15" fillId="0" borderId="0" xfId="0" applyFont="1"/>
    <xf numFmtId="0" fontId="113" fillId="0" borderId="0" xfId="0" applyFont="1"/>
    <xf numFmtId="231" fontId="114" fillId="0" borderId="0" xfId="0" applyNumberFormat="1" applyFont="1"/>
    <xf numFmtId="170" fontId="114" fillId="0" borderId="0" xfId="0" applyNumberFormat="1" applyFont="1"/>
    <xf numFmtId="0" fontId="113" fillId="0" borderId="0" xfId="0" applyFont="1" applyAlignment="1">
      <alignment horizontal="left" indent="1"/>
    </xf>
    <xf numFmtId="0" fontId="56" fillId="0" borderId="5" xfId="0" applyFont="1" applyBorder="1"/>
    <xf numFmtId="44" fontId="4" fillId="0" borderId="5" xfId="0" applyNumberFormat="1" applyFont="1" applyBorder="1"/>
    <xf numFmtId="0" fontId="115" fillId="0" borderId="0" xfId="0" applyFont="1"/>
    <xf numFmtId="168" fontId="114" fillId="0" borderId="0" xfId="37" applyNumberFormat="1" applyFont="1"/>
    <xf numFmtId="168" fontId="114" fillId="0" borderId="0" xfId="37" applyNumberFormat="1" applyFont="1" applyAlignment="1">
      <alignment horizontal="right"/>
    </xf>
    <xf numFmtId="170" fontId="114" fillId="0" borderId="0" xfId="0" applyNumberFormat="1" applyFont="1" applyAlignment="1">
      <alignment horizontal="right"/>
    </xf>
    <xf numFmtId="231" fontId="4" fillId="0" borderId="0" xfId="0" applyNumberFormat="1" applyFont="1"/>
    <xf numFmtId="0" fontId="56" fillId="0" borderId="0" xfId="0" applyFont="1" applyAlignment="1">
      <alignment horizontal="left" indent="1"/>
    </xf>
    <xf numFmtId="168" fontId="17" fillId="0" borderId="0" xfId="37" applyNumberFormat="1" applyFont="1"/>
    <xf numFmtId="168" fontId="4" fillId="0" borderId="0" xfId="37" applyNumberFormat="1" applyFont="1" applyAlignment="1">
      <alignment horizontal="right"/>
    </xf>
    <xf numFmtId="168" fontId="56" fillId="0" borderId="0" xfId="37" applyNumberFormat="1" applyFont="1" applyBorder="1"/>
    <xf numFmtId="235" fontId="4" fillId="0" borderId="2" xfId="10" applyNumberFormat="1" applyFont="1" applyFill="1" applyBorder="1"/>
    <xf numFmtId="39" fontId="4" fillId="0" borderId="0" xfId="0" applyNumberFormat="1" applyFont="1" applyAlignment="1">
      <alignment horizontal="center"/>
    </xf>
    <xf numFmtId="250" fontId="4" fillId="0" borderId="0" xfId="37" applyNumberFormat="1" applyFont="1"/>
    <xf numFmtId="207" fontId="23" fillId="0" borderId="2" xfId="0" applyNumberFormat="1" applyFont="1" applyBorder="1"/>
    <xf numFmtId="170" fontId="23" fillId="0" borderId="2" xfId="0" applyNumberFormat="1" applyFont="1" applyFill="1" applyBorder="1"/>
    <xf numFmtId="44" fontId="4" fillId="0" borderId="0" xfId="0" applyNumberFormat="1" applyFont="1"/>
    <xf numFmtId="0" fontId="8" fillId="12" borderId="0" xfId="0" applyFont="1" applyFill="1"/>
    <xf numFmtId="0" fontId="116" fillId="0" borderId="0" xfId="0" applyFont="1"/>
    <xf numFmtId="0" fontId="4" fillId="0" borderId="0" xfId="0" applyFont="1" applyAlignment="1">
      <alignment horizontal="left" indent="1"/>
    </xf>
    <xf numFmtId="0" fontId="4" fillId="0" borderId="5" xfId="0" applyFont="1" applyBorder="1"/>
    <xf numFmtId="2" fontId="8" fillId="0" borderId="2" xfId="37" applyNumberFormat="1" applyFont="1" applyFill="1" applyBorder="1"/>
    <xf numFmtId="2" fontId="8" fillId="0" borderId="2" xfId="19" applyNumberFormat="1" applyFont="1" applyFill="1" applyBorder="1"/>
    <xf numFmtId="0" fontId="10" fillId="0" borderId="0" xfId="21" applyFont="1" applyFill="1" applyAlignment="1">
      <alignment horizontal="right"/>
    </xf>
    <xf numFmtId="0" fontId="10" fillId="6" borderId="19" xfId="21" applyFont="1" applyFill="1" applyBorder="1" applyAlignment="1">
      <alignment horizontal="left" indent="1"/>
    </xf>
    <xf numFmtId="0" fontId="56" fillId="0" borderId="0" xfId="21" applyFont="1" applyBorder="1" applyAlignment="1">
      <alignment horizontal="center"/>
    </xf>
    <xf numFmtId="0" fontId="4" fillId="0" borderId="0" xfId="21" applyFont="1" applyBorder="1" applyAlignment="1">
      <alignment horizontal="center"/>
    </xf>
    <xf numFmtId="168" fontId="56" fillId="0" borderId="0" xfId="37" applyNumberFormat="1" applyFont="1" applyBorder="1" applyAlignment="1">
      <alignment horizontal="right"/>
    </xf>
    <xf numFmtId="231" fontId="4" fillId="0" borderId="0" xfId="0" applyNumberFormat="1" applyFont="1" applyFill="1"/>
    <xf numFmtId="168" fontId="56" fillId="0" borderId="0" xfId="37" applyNumberFormat="1" applyFont="1" applyFill="1" applyBorder="1"/>
    <xf numFmtId="172" fontId="8" fillId="0" borderId="0" xfId="0" applyNumberFormat="1" applyFont="1" applyBorder="1"/>
    <xf numFmtId="208" fontId="8" fillId="0" borderId="0" xfId="0" applyNumberFormat="1" applyFont="1"/>
    <xf numFmtId="11" fontId="8" fillId="0" borderId="0" xfId="0" applyNumberFormat="1" applyFont="1"/>
    <xf numFmtId="170" fontId="32" fillId="0" borderId="2" xfId="0" applyNumberFormat="1" applyFont="1" applyFill="1" applyBorder="1"/>
    <xf numFmtId="174" fontId="23" fillId="0" borderId="5" xfId="0" applyNumberFormat="1" applyFont="1" applyFill="1" applyBorder="1"/>
    <xf numFmtId="174" fontId="23" fillId="0" borderId="2" xfId="0" applyNumberFormat="1" applyFont="1" applyFill="1" applyBorder="1"/>
    <xf numFmtId="174" fontId="30" fillId="0" borderId="0" xfId="0" applyNumberFormat="1" applyFont="1" applyFill="1"/>
    <xf numFmtId="0" fontId="8" fillId="0" borderId="2" xfId="0" applyFont="1" applyFill="1" applyBorder="1" applyAlignment="1">
      <alignment horizontal="centerContinuous"/>
    </xf>
    <xf numFmtId="7" fontId="23" fillId="0" borderId="0" xfId="0" applyNumberFormat="1" applyFont="1" applyFill="1"/>
    <xf numFmtId="174" fontId="30" fillId="0" borderId="2" xfId="0" applyNumberFormat="1" applyFont="1" applyFill="1" applyBorder="1"/>
    <xf numFmtId="174" fontId="23" fillId="0" borderId="0" xfId="0" applyNumberFormat="1" applyFont="1" applyFill="1" applyBorder="1"/>
    <xf numFmtId="168" fontId="56" fillId="0" borderId="0" xfId="37" applyNumberFormat="1" applyFont="1"/>
    <xf numFmtId="5" fontId="13" fillId="0" borderId="27" xfId="0" applyNumberFormat="1" applyFont="1" applyFill="1" applyBorder="1" applyAlignment="1">
      <alignment horizontal="left" indent="1"/>
    </xf>
    <xf numFmtId="193" fontId="13" fillId="0" borderId="0" xfId="0" applyNumberFormat="1" applyFont="1" applyFill="1" applyBorder="1" applyAlignment="1" applyProtection="1">
      <alignment horizontal="center"/>
    </xf>
    <xf numFmtId="193" fontId="83" fillId="0" borderId="0" xfId="0" applyNumberFormat="1" applyFont="1" applyFill="1" applyBorder="1" applyAlignment="1" applyProtection="1">
      <alignment horizontal="center"/>
    </xf>
    <xf numFmtId="168" fontId="13" fillId="0" borderId="27" xfId="37" applyNumberFormat="1" applyFont="1" applyFill="1" applyBorder="1" applyAlignment="1">
      <alignment horizontal="center"/>
    </xf>
    <xf numFmtId="168" fontId="13" fillId="0" borderId="0" xfId="37" applyNumberFormat="1" applyFont="1" applyFill="1" applyBorder="1" applyAlignment="1">
      <alignment horizontal="center"/>
    </xf>
    <xf numFmtId="168" fontId="13" fillId="0" borderId="28" xfId="37" applyNumberFormat="1" applyFont="1" applyFill="1" applyBorder="1" applyAlignment="1">
      <alignment horizontal="center"/>
    </xf>
    <xf numFmtId="251" fontId="43" fillId="0" borderId="0" xfId="23" applyNumberFormat="1" applyFont="1"/>
    <xf numFmtId="185" fontId="17" fillId="5" borderId="0" xfId="0" applyNumberFormat="1" applyFont="1" applyFill="1"/>
    <xf numFmtId="220" fontId="12" fillId="5" borderId="1" xfId="29" applyNumberFormat="1" applyFont="1" applyFill="1" applyBorder="1" applyAlignment="1">
      <alignment horizontal="right"/>
    </xf>
    <xf numFmtId="9" fontId="4" fillId="0" borderId="0" xfId="37" applyFont="1" applyFill="1" applyBorder="1" applyAlignment="1" applyProtection="1">
      <alignment horizontal="center"/>
    </xf>
    <xf numFmtId="170" fontId="17" fillId="5" borderId="0" xfId="0" applyNumberFormat="1" applyFont="1" applyFill="1" applyBorder="1"/>
    <xf numFmtId="186" fontId="17" fillId="5" borderId="0" xfId="0" applyNumberFormat="1" applyFont="1" applyFill="1"/>
    <xf numFmtId="172" fontId="17" fillId="5" borderId="0" xfId="0" applyNumberFormat="1" applyFont="1" applyFill="1"/>
    <xf numFmtId="167" fontId="17" fillId="5" borderId="0" xfId="0" applyNumberFormat="1" applyFont="1" applyFill="1"/>
    <xf numFmtId="202" fontId="17" fillId="5" borderId="0" xfId="0" applyNumberFormat="1" applyFont="1" applyFill="1"/>
    <xf numFmtId="202" fontId="31" fillId="5" borderId="0" xfId="0" applyNumberFormat="1" applyFont="1" applyFill="1"/>
    <xf numFmtId="174" fontId="17" fillId="5" borderId="0" xfId="0" applyNumberFormat="1" applyFont="1" applyFill="1"/>
    <xf numFmtId="220" fontId="107" fillId="0" borderId="0" xfId="0" applyNumberFormat="1" applyFont="1"/>
    <xf numFmtId="7" fontId="107" fillId="0" borderId="0" xfId="0" applyNumberFormat="1" applyFont="1"/>
    <xf numFmtId="220" fontId="12" fillId="5" borderId="0" xfId="29" applyNumberFormat="1" applyFont="1" applyFill="1" applyBorder="1" applyAlignment="1">
      <alignment horizontal="right"/>
    </xf>
    <xf numFmtId="195" fontId="4" fillId="0" borderId="22" xfId="37" applyNumberFormat="1" applyFont="1" applyFill="1" applyBorder="1" applyAlignment="1">
      <alignment horizontal="left"/>
    </xf>
    <xf numFmtId="195" fontId="4" fillId="0" borderId="8" xfId="37" applyNumberFormat="1" applyFont="1" applyFill="1" applyBorder="1" applyAlignment="1">
      <alignment horizontal="center"/>
    </xf>
    <xf numFmtId="195" fontId="4" fillId="0" borderId="21" xfId="37" applyNumberFormat="1" applyFont="1" applyFill="1" applyBorder="1" applyAlignment="1">
      <alignment horizontal="center"/>
    </xf>
    <xf numFmtId="170" fontId="12" fillId="5" borderId="0" xfId="29" applyNumberFormat="1" applyFont="1" applyFill="1" applyBorder="1" applyAlignment="1">
      <alignment horizontal="right"/>
    </xf>
    <xf numFmtId="230" fontId="17" fillId="5" borderId="0" xfId="0" applyNumberFormat="1" applyFont="1" applyFill="1"/>
    <xf numFmtId="195" fontId="4" fillId="5" borderId="0" xfId="0" applyNumberFormat="1" applyFont="1" applyFill="1"/>
    <xf numFmtId="195" fontId="8" fillId="0" borderId="0" xfId="0" applyNumberFormat="1" applyFont="1" applyFill="1"/>
    <xf numFmtId="204" fontId="4" fillId="0" borderId="2" xfId="0" applyNumberFormat="1" applyFont="1" applyFill="1" applyBorder="1"/>
    <xf numFmtId="183" fontId="8" fillId="0" borderId="2" xfId="33" applyFont="1" applyFill="1" applyBorder="1" applyAlignment="1" applyProtection="1">
      <alignment horizontal="left"/>
    </xf>
    <xf numFmtId="9" fontId="43" fillId="0" borderId="0" xfId="37" applyFont="1" applyFill="1" applyBorder="1" applyAlignment="1">
      <alignment horizontal="right"/>
    </xf>
    <xf numFmtId="4" fontId="0" fillId="0" borderId="0" xfId="0" applyNumberFormat="1" applyBorder="1"/>
    <xf numFmtId="0" fontId="0" fillId="0" borderId="14" xfId="0" applyBorder="1"/>
    <xf numFmtId="37" fontId="75" fillId="0" borderId="0" xfId="23" applyNumberFormat="1" applyFont="1" applyFill="1"/>
    <xf numFmtId="37" fontId="75" fillId="0" borderId="0" xfId="23" applyNumberFormat="1" applyFont="1"/>
    <xf numFmtId="7" fontId="43" fillId="0" borderId="7" xfId="23" applyNumberFormat="1" applyFont="1" applyBorder="1" applyAlignment="1">
      <alignment horizontal="right"/>
    </xf>
    <xf numFmtId="193" fontId="43" fillId="0" borderId="2" xfId="37" applyNumberFormat="1" applyFont="1" applyBorder="1" applyAlignment="1">
      <alignment horizontal="right"/>
    </xf>
    <xf numFmtId="37" fontId="75" fillId="8" borderId="0" xfId="23" applyNumberFormat="1" applyFont="1" applyFill="1"/>
    <xf numFmtId="37" fontId="75" fillId="0" borderId="0" xfId="23" applyNumberFormat="1" applyFont="1" applyFill="1" applyBorder="1"/>
    <xf numFmtId="37" fontId="75" fillId="0" borderId="0" xfId="23" applyNumberFormat="1" applyFont="1" applyBorder="1"/>
    <xf numFmtId="37" fontId="75" fillId="0" borderId="1" xfId="23" applyNumberFormat="1" applyFont="1" applyBorder="1"/>
    <xf numFmtId="37" fontId="75" fillId="0" borderId="1" xfId="23" applyNumberFormat="1" applyFont="1" applyFill="1" applyBorder="1"/>
    <xf numFmtId="37" fontId="75" fillId="0" borderId="22" xfId="23" applyNumberFormat="1" applyFont="1" applyFill="1" applyBorder="1"/>
    <xf numFmtId="168" fontId="43" fillId="0" borderId="0" xfId="23" applyNumberFormat="1" applyFont="1" applyFill="1" applyBorder="1" applyAlignment="1">
      <alignment horizontal="right"/>
    </xf>
    <xf numFmtId="175" fontId="43" fillId="0" borderId="2" xfId="23" applyNumberFormat="1" applyFont="1" applyBorder="1" applyAlignment="1">
      <alignment horizontal="right"/>
    </xf>
    <xf numFmtId="178" fontId="43" fillId="0" borderId="2" xfId="10" applyNumberFormat="1" applyFont="1" applyFill="1" applyBorder="1" applyAlignment="1">
      <alignment horizontal="right"/>
    </xf>
    <xf numFmtId="178" fontId="43" fillId="0" borderId="23" xfId="10" applyNumberFormat="1" applyFont="1" applyFill="1" applyBorder="1" applyAlignment="1">
      <alignment horizontal="right"/>
    </xf>
    <xf numFmtId="168" fontId="43" fillId="0" borderId="14" xfId="37" applyNumberFormat="1" applyFont="1" applyFill="1" applyBorder="1" applyAlignment="1">
      <alignment horizontal="right"/>
    </xf>
    <xf numFmtId="170" fontId="43" fillId="0" borderId="14" xfId="23" applyNumberFormat="1" applyFont="1" applyBorder="1"/>
    <xf numFmtId="0" fontId="43" fillId="0" borderId="2" xfId="23" applyNumberFormat="1" applyFont="1" applyBorder="1"/>
    <xf numFmtId="249" fontId="107" fillId="0" borderId="0" xfId="0" applyNumberFormat="1" applyFont="1" applyBorder="1"/>
    <xf numFmtId="249" fontId="107" fillId="0" borderId="22" xfId="0" applyNumberFormat="1" applyFont="1" applyBorder="1"/>
    <xf numFmtId="168" fontId="107" fillId="0" borderId="22" xfId="37" applyNumberFormat="1" applyFont="1" applyBorder="1"/>
    <xf numFmtId="9" fontId="43" fillId="0" borderId="0" xfId="37" applyNumberFormat="1" applyFont="1" applyFill="1" applyBorder="1" applyAlignment="1">
      <alignment horizontal="right"/>
    </xf>
    <xf numFmtId="9" fontId="107" fillId="0" borderId="22" xfId="37" applyNumberFormat="1" applyFont="1" applyBorder="1"/>
    <xf numFmtId="9" fontId="43" fillId="0" borderId="22" xfId="37" applyNumberFormat="1" applyFont="1" applyFill="1" applyBorder="1" applyAlignment="1">
      <alignment horizontal="right"/>
    </xf>
    <xf numFmtId="4" fontId="43" fillId="0" borderId="0" xfId="23" applyNumberFormat="1" applyFont="1" applyFill="1" applyBorder="1" applyAlignment="1">
      <alignment horizontal="right"/>
    </xf>
    <xf numFmtId="4" fontId="23" fillId="0" borderId="22" xfId="0" applyNumberFormat="1" applyFont="1" applyBorder="1"/>
    <xf numFmtId="1" fontId="107" fillId="0" borderId="0" xfId="0" applyNumberFormat="1" applyFont="1" applyBorder="1"/>
    <xf numFmtId="1" fontId="107" fillId="0" borderId="2" xfId="0" applyNumberFormat="1" applyFont="1" applyBorder="1"/>
    <xf numFmtId="1" fontId="107" fillId="0" borderId="23" xfId="0" applyNumberFormat="1" applyFont="1" applyBorder="1"/>
    <xf numFmtId="0" fontId="0" fillId="0" borderId="1" xfId="0" applyBorder="1"/>
    <xf numFmtId="0" fontId="0" fillId="0" borderId="22" xfId="0" applyBorder="1"/>
    <xf numFmtId="215" fontId="4" fillId="0" borderId="22" xfId="0" applyNumberFormat="1" applyFont="1" applyBorder="1" applyAlignment="1">
      <alignment horizontal="right"/>
    </xf>
    <xf numFmtId="0" fontId="4" fillId="7" borderId="22" xfId="0" applyFont="1" applyFill="1" applyBorder="1" applyAlignment="1">
      <alignment horizontal="center"/>
    </xf>
    <xf numFmtId="215" fontId="17" fillId="7" borderId="22" xfId="0" applyNumberFormat="1" applyFont="1" applyFill="1" applyBorder="1" applyAlignment="1">
      <alignment horizontal="right"/>
    </xf>
    <xf numFmtId="215" fontId="4" fillId="7" borderId="22" xfId="0" applyNumberFormat="1" applyFont="1" applyFill="1" applyBorder="1" applyAlignment="1">
      <alignment horizontal="right"/>
    </xf>
    <xf numFmtId="0" fontId="4" fillId="0" borderId="23" xfId="0" applyFont="1" applyFill="1" applyBorder="1" applyAlignment="1">
      <alignment horizontal="center"/>
    </xf>
    <xf numFmtId="0" fontId="50" fillId="6" borderId="1" xfId="0" applyFont="1" applyFill="1" applyBorder="1" applyAlignment="1">
      <alignment horizontal="centerContinuous"/>
    </xf>
    <xf numFmtId="0" fontId="11" fillId="6" borderId="22" xfId="0" applyFont="1" applyFill="1" applyBorder="1" applyAlignment="1">
      <alignment horizontal="centerContinuous"/>
    </xf>
    <xf numFmtId="0" fontId="11" fillId="0" borderId="1" xfId="0" applyFont="1" applyBorder="1" applyAlignment="1">
      <alignment horizontal="center" wrapText="1"/>
    </xf>
    <xf numFmtId="0" fontId="4" fillId="0" borderId="22" xfId="0" applyFont="1" applyBorder="1" applyAlignment="1">
      <alignment horizontal="center" wrapText="1"/>
    </xf>
    <xf numFmtId="220" fontId="8" fillId="0" borderId="1" xfId="29" applyNumberFormat="1" applyFont="1" applyBorder="1" applyAlignment="1">
      <alignment horizontal="right"/>
    </xf>
    <xf numFmtId="169" fontId="8" fillId="0" borderId="1" xfId="29" applyNumberFormat="1" applyFont="1" applyBorder="1" applyAlignment="1">
      <alignment horizontal="right"/>
    </xf>
    <xf numFmtId="177" fontId="8" fillId="0" borderId="1" xfId="0" applyNumberFormat="1" applyFont="1" applyFill="1" applyBorder="1" applyAlignment="1">
      <alignment horizontal="center"/>
    </xf>
    <xf numFmtId="0" fontId="10" fillId="0" borderId="20" xfId="0" applyFont="1" applyFill="1" applyBorder="1" applyAlignment="1">
      <alignment horizontal="center"/>
    </xf>
    <xf numFmtId="0" fontId="10" fillId="0" borderId="23" xfId="0" applyFont="1" applyFill="1" applyBorder="1" applyAlignment="1">
      <alignment horizontal="center"/>
    </xf>
    <xf numFmtId="0" fontId="4" fillId="0" borderId="1" xfId="0" applyFont="1" applyFill="1" applyBorder="1" applyAlignment="1">
      <alignment horizontal="center" wrapText="1"/>
    </xf>
    <xf numFmtId="0" fontId="4" fillId="0" borderId="22" xfId="0" applyFont="1" applyFill="1" applyBorder="1" applyAlignment="1">
      <alignment horizontal="center" wrapText="1"/>
    </xf>
    <xf numFmtId="0" fontId="17" fillId="0" borderId="1" xfId="0" applyFont="1" applyFill="1" applyBorder="1" applyAlignment="1">
      <alignment horizontal="center"/>
    </xf>
    <xf numFmtId="0" fontId="17" fillId="0" borderId="22" xfId="0" applyFont="1" applyFill="1" applyBorder="1" applyAlignment="1">
      <alignment horizontal="center"/>
    </xf>
    <xf numFmtId="0" fontId="4" fillId="7" borderId="1" xfId="0" applyFont="1" applyFill="1" applyBorder="1" applyAlignment="1">
      <alignment horizontal="center"/>
    </xf>
    <xf numFmtId="195" fontId="31" fillId="7" borderId="1" xfId="37" applyNumberFormat="1" applyFont="1" applyFill="1" applyBorder="1" applyAlignment="1">
      <alignment horizontal="center"/>
    </xf>
    <xf numFmtId="195" fontId="31" fillId="7" borderId="22" xfId="37" applyNumberFormat="1" applyFont="1" applyFill="1" applyBorder="1" applyAlignment="1">
      <alignment horizontal="center"/>
    </xf>
    <xf numFmtId="195" fontId="4" fillId="7" borderId="1" xfId="37" applyNumberFormat="1" applyFont="1" applyFill="1" applyBorder="1" applyAlignment="1">
      <alignment horizontal="center"/>
    </xf>
    <xf numFmtId="195" fontId="4" fillId="7" borderId="22" xfId="37" applyNumberFormat="1" applyFont="1" applyFill="1" applyBorder="1" applyAlignment="1">
      <alignment horizontal="center"/>
    </xf>
    <xf numFmtId="195" fontId="0" fillId="0" borderId="0" xfId="0" applyNumberFormat="1" applyBorder="1"/>
    <xf numFmtId="169" fontId="12" fillId="0" borderId="20" xfId="29" applyNumberFormat="1" applyFont="1" applyBorder="1" applyAlignment="1">
      <alignment horizontal="right"/>
    </xf>
    <xf numFmtId="37" fontId="12" fillId="0" borderId="0" xfId="0" applyNumberFormat="1" applyFont="1" applyFill="1"/>
    <xf numFmtId="224" fontId="1" fillId="0" borderId="0" xfId="15" applyNumberFormat="1" applyFont="1" applyFill="1" applyBorder="1"/>
    <xf numFmtId="168" fontId="43" fillId="0" borderId="0" xfId="37" applyNumberFormat="1" applyFont="1"/>
    <xf numFmtId="10" fontId="43" fillId="0" borderId="0" xfId="37" applyNumberFormat="1" applyFont="1"/>
    <xf numFmtId="0" fontId="4" fillId="0" borderId="0" xfId="0" applyFont="1" applyFill="1" applyAlignment="1">
      <alignment wrapText="1"/>
    </xf>
    <xf numFmtId="168" fontId="4" fillId="0" borderId="14" xfId="37" applyNumberFormat="1" applyFont="1" applyFill="1" applyBorder="1"/>
    <xf numFmtId="168" fontId="23" fillId="0" borderId="0" xfId="37" applyNumberFormat="1" applyFont="1" applyFill="1" applyBorder="1"/>
    <xf numFmtId="168" fontId="23" fillId="0" borderId="2" xfId="37" applyNumberFormat="1" applyFont="1" applyFill="1" applyBorder="1"/>
    <xf numFmtId="167" fontId="70" fillId="0" borderId="0" xfId="0" applyNumberFormat="1" applyFont="1" applyFill="1"/>
    <xf numFmtId="8" fontId="16" fillId="0" borderId="0" xfId="0" applyNumberFormat="1" applyFont="1" applyFill="1" applyAlignment="1">
      <alignment horizontal="centerContinuous"/>
    </xf>
    <xf numFmtId="9" fontId="0" fillId="0" borderId="0" xfId="37" applyFont="1"/>
    <xf numFmtId="0" fontId="23" fillId="0" borderId="0" xfId="0" applyFont="1" applyBorder="1" applyAlignment="1">
      <alignment horizontal="right"/>
    </xf>
    <xf numFmtId="0" fontId="30" fillId="0" borderId="0" xfId="0" applyFont="1" applyBorder="1" applyAlignment="1">
      <alignment horizontal="right"/>
    </xf>
    <xf numFmtId="9" fontId="4" fillId="0" borderId="0" xfId="37" applyFont="1" applyFill="1" applyAlignment="1">
      <alignment horizontal="centerContinuous"/>
    </xf>
    <xf numFmtId="44" fontId="4" fillId="0" borderId="0" xfId="15" applyFont="1" applyFill="1" applyAlignment="1">
      <alignment horizontal="centerContinuous"/>
    </xf>
    <xf numFmtId="9" fontId="62" fillId="0" borderId="0" xfId="37" applyFont="1" applyFill="1"/>
    <xf numFmtId="202" fontId="120" fillId="0" borderId="0" xfId="0" applyNumberFormat="1" applyFont="1"/>
    <xf numFmtId="0" fontId="28" fillId="0" borderId="0" xfId="31" applyFont="1" applyBorder="1"/>
    <xf numFmtId="0" fontId="11" fillId="0" borderId="0" xfId="31" applyFont="1" applyBorder="1"/>
    <xf numFmtId="0" fontId="27" fillId="0" borderId="0" xfId="31" applyFont="1" applyAlignment="1">
      <alignment wrapText="1"/>
    </xf>
    <xf numFmtId="0" fontId="98" fillId="0" borderId="0" xfId="31" applyFont="1"/>
    <xf numFmtId="0" fontId="27" fillId="0" borderId="0" xfId="31" applyFont="1" applyBorder="1"/>
    <xf numFmtId="0" fontId="27" fillId="0" borderId="0" xfId="31" applyFont="1"/>
    <xf numFmtId="0" fontId="110" fillId="0" borderId="4" xfId="31" applyFont="1" applyBorder="1"/>
    <xf numFmtId="168" fontId="8" fillId="5" borderId="0" xfId="31" applyNumberFormat="1" applyFont="1" applyFill="1" applyAlignment="1">
      <alignment wrapText="1"/>
    </xf>
    <xf numFmtId="168" fontId="8" fillId="3" borderId="0" xfId="31" applyNumberFormat="1" applyFont="1" applyFill="1" applyAlignment="1"/>
    <xf numFmtId="168" fontId="8" fillId="3" borderId="0" xfId="31" applyNumberFormat="1" applyFont="1" applyFill="1" applyAlignment="1">
      <alignment wrapText="1"/>
    </xf>
    <xf numFmtId="168" fontId="12" fillId="5" borderId="0" xfId="31" applyNumberFormat="1" applyFont="1" applyFill="1" applyAlignment="1">
      <alignment wrapText="1"/>
    </xf>
    <xf numFmtId="168" fontId="86" fillId="5" borderId="0" xfId="31" applyNumberFormat="1" applyFont="1" applyFill="1" applyBorder="1" applyAlignment="1">
      <alignment horizontal="right"/>
    </xf>
    <xf numFmtId="168" fontId="94" fillId="5" borderId="0" xfId="31" applyNumberFormat="1" applyFont="1" applyFill="1" applyAlignment="1">
      <alignment wrapText="1"/>
    </xf>
    <xf numFmtId="168" fontId="12" fillId="5" borderId="0" xfId="38" applyNumberFormat="1" applyFont="1" applyFill="1" applyBorder="1"/>
    <xf numFmtId="168" fontId="8" fillId="5" borderId="0" xfId="31" applyNumberFormat="1" applyFont="1" applyFill="1" applyAlignment="1"/>
    <xf numFmtId="168" fontId="12" fillId="0" borderId="0" xfId="38" applyNumberFormat="1" applyFont="1" applyFill="1" applyBorder="1"/>
    <xf numFmtId="167" fontId="8" fillId="0" borderId="0" xfId="31" applyNumberFormat="1" applyFont="1" applyFill="1" applyAlignment="1">
      <alignment horizontal="right"/>
    </xf>
    <xf numFmtId="241" fontId="12" fillId="0" borderId="0" xfId="14" applyNumberFormat="1" applyFont="1" applyFill="1" applyAlignment="1">
      <alignment horizontal="right"/>
    </xf>
    <xf numFmtId="241" fontId="8" fillId="0" borderId="0" xfId="14" applyNumberFormat="1" applyFont="1" applyAlignment="1">
      <alignment horizontal="right"/>
    </xf>
    <xf numFmtId="168" fontId="8" fillId="0" borderId="0" xfId="38" applyNumberFormat="1" applyFont="1" applyBorder="1" applyAlignment="1">
      <alignment horizontal="right"/>
    </xf>
    <xf numFmtId="168" fontId="12" fillId="0" borderId="0" xfId="38" applyNumberFormat="1" applyFont="1" applyFill="1" applyBorder="1" applyAlignment="1">
      <alignment horizontal="right"/>
    </xf>
    <xf numFmtId="242" fontId="8" fillId="0" borderId="0" xfId="20" applyNumberFormat="1" applyFont="1" applyBorder="1" applyAlignment="1">
      <alignment horizontal="right"/>
    </xf>
    <xf numFmtId="168" fontId="8" fillId="0" borderId="0" xfId="20" quotePrefix="1" applyNumberFormat="1" applyFont="1" applyBorder="1" applyAlignment="1">
      <alignment horizontal="right"/>
    </xf>
    <xf numFmtId="243" fontId="12" fillId="0" borderId="0" xfId="25" applyNumberFormat="1" applyFont="1" applyBorder="1" applyAlignment="1">
      <alignment horizontal="right"/>
    </xf>
    <xf numFmtId="241" fontId="8" fillId="0" borderId="0" xfId="25" applyNumberFormat="1" applyFont="1" applyBorder="1" applyAlignment="1">
      <alignment horizontal="right"/>
    </xf>
    <xf numFmtId="193" fontId="8" fillId="0" borderId="0" xfId="38" applyNumberFormat="1" applyFont="1" applyBorder="1" applyAlignment="1">
      <alignment horizontal="right"/>
    </xf>
    <xf numFmtId="241" fontId="8" fillId="0" borderId="0" xfId="25" applyNumberFormat="1" applyFont="1" applyFill="1" applyBorder="1" applyAlignment="1">
      <alignment horizontal="right"/>
    </xf>
    <xf numFmtId="168" fontId="8" fillId="0" borderId="0" xfId="38" applyNumberFormat="1" applyFont="1" applyFill="1" applyBorder="1" applyAlignment="1">
      <alignment horizontal="right"/>
    </xf>
    <xf numFmtId="168" fontId="20" fillId="2" borderId="12" xfId="38" applyNumberFormat="1" applyFont="1" applyFill="1" applyBorder="1" applyAlignment="1">
      <alignment horizontal="right"/>
    </xf>
    <xf numFmtId="0" fontId="8" fillId="0" borderId="0" xfId="27" applyNumberFormat="1" applyFont="1"/>
    <xf numFmtId="168" fontId="8" fillId="5" borderId="0" xfId="38" applyNumberFormat="1" applyFont="1" applyFill="1" applyBorder="1" applyAlignment="1">
      <alignment horizontal="right"/>
    </xf>
    <xf numFmtId="9" fontId="12" fillId="5" borderId="0" xfId="38" applyNumberFormat="1" applyFont="1" applyFill="1" applyBorder="1" applyAlignment="1">
      <alignment horizontal="right"/>
    </xf>
    <xf numFmtId="0" fontId="95" fillId="0" borderId="0" xfId="31" applyFont="1" applyBorder="1"/>
    <xf numFmtId="9" fontId="99" fillId="0" borderId="0" xfId="38" applyFont="1" applyFill="1" applyBorder="1" applyAlignment="1">
      <alignment horizontal="right"/>
    </xf>
    <xf numFmtId="168" fontId="11" fillId="0" borderId="0" xfId="38" applyNumberFormat="1" applyFont="1" applyFill="1" applyBorder="1" applyAlignment="1">
      <alignment horizontal="right"/>
    </xf>
    <xf numFmtId="241" fontId="12" fillId="0" borderId="0" xfId="14" applyNumberFormat="1" applyFont="1" applyFill="1" applyBorder="1" applyAlignment="1">
      <alignment horizontal="right"/>
    </xf>
    <xf numFmtId="166" fontId="8" fillId="0" borderId="0" xfId="20" applyNumberFormat="1" applyFont="1" applyFill="1" applyBorder="1" applyAlignment="1">
      <alignment horizontal="right"/>
    </xf>
    <xf numFmtId="166" fontId="12" fillId="0" borderId="0" xfId="25" applyNumberFormat="1" applyFont="1" applyFill="1" applyBorder="1" applyAlignment="1">
      <alignment horizontal="right"/>
    </xf>
    <xf numFmtId="243" fontId="12" fillId="0" borderId="0" xfId="25" applyNumberFormat="1" applyFont="1" applyFill="1" applyBorder="1" applyAlignment="1">
      <alignment horizontal="right"/>
    </xf>
    <xf numFmtId="9" fontId="12" fillId="0" borderId="0" xfId="38" applyFont="1" applyFill="1" applyBorder="1" applyAlignment="1">
      <alignment horizontal="right"/>
    </xf>
    <xf numFmtId="241" fontId="97" fillId="0" borderId="0" xfId="25" applyNumberFormat="1" applyFont="1" applyFill="1" applyBorder="1" applyAlignment="1">
      <alignment horizontal="right"/>
    </xf>
    <xf numFmtId="241" fontId="11" fillId="0" borderId="0" xfId="14" applyNumberFormat="1" applyFont="1" applyBorder="1" applyAlignment="1">
      <alignment horizontal="right"/>
    </xf>
    <xf numFmtId="0" fontId="27" fillId="0" borderId="0" xfId="31" applyFont="1" applyBorder="1" applyAlignment="1">
      <alignment horizontal="left" indent="2"/>
    </xf>
    <xf numFmtId="9" fontId="8" fillId="0" borderId="0" xfId="38" applyNumberFormat="1" applyFont="1" applyAlignment="1">
      <alignment horizontal="right"/>
    </xf>
    <xf numFmtId="180" fontId="12" fillId="0" borderId="0" xfId="11" applyNumberFormat="1" applyFont="1" applyFill="1" applyBorder="1"/>
    <xf numFmtId="9" fontId="8" fillId="0" borderId="0" xfId="38" applyFont="1" applyAlignment="1">
      <alignment horizontal="right"/>
    </xf>
    <xf numFmtId="168" fontId="8" fillId="0" borderId="0" xfId="38" applyNumberFormat="1" applyFont="1" applyAlignment="1">
      <alignment horizontal="right"/>
    </xf>
    <xf numFmtId="9" fontId="8" fillId="0" borderId="0" xfId="38" applyFont="1" applyFill="1" applyBorder="1" applyAlignment="1">
      <alignment horizontal="right"/>
    </xf>
    <xf numFmtId="241" fontId="12" fillId="0" borderId="0" xfId="25" applyNumberFormat="1" applyFont="1" applyBorder="1" applyAlignment="1">
      <alignment horizontal="right"/>
    </xf>
    <xf numFmtId="3" fontId="12" fillId="0" borderId="0" xfId="38" applyNumberFormat="1" applyFont="1" applyFill="1" applyBorder="1" applyAlignment="1">
      <alignment horizontal="right"/>
    </xf>
    <xf numFmtId="247" fontId="11" fillId="0" borderId="5" xfId="25" applyNumberFormat="1" applyFont="1" applyBorder="1" applyAlignment="1">
      <alignment horizontal="right"/>
    </xf>
    <xf numFmtId="0" fontId="8" fillId="0" borderId="0" xfId="31" applyFont="1" applyBorder="1" applyAlignment="1">
      <alignment horizontal="left"/>
    </xf>
    <xf numFmtId="241" fontId="12" fillId="0" borderId="0" xfId="14" applyNumberFormat="1" applyFont="1" applyBorder="1" applyAlignment="1">
      <alignment horizontal="right"/>
    </xf>
    <xf numFmtId="182" fontId="8" fillId="0" borderId="0" xfId="31" applyNumberFormat="1" applyFont="1" applyAlignment="1">
      <alignment wrapText="1"/>
    </xf>
    <xf numFmtId="188" fontId="8" fillId="0" borderId="0" xfId="26" applyNumberFormat="1" applyFont="1" applyBorder="1" applyAlignment="1" applyProtection="1">
      <alignment horizontal="left"/>
    </xf>
    <xf numFmtId="241" fontId="12" fillId="0" borderId="8" xfId="14" applyNumberFormat="1" applyFont="1" applyFill="1" applyBorder="1" applyAlignment="1">
      <alignment horizontal="right"/>
    </xf>
    <xf numFmtId="241" fontId="12" fillId="0" borderId="14" xfId="14" applyNumberFormat="1" applyFont="1" applyFill="1" applyBorder="1" applyAlignment="1">
      <alignment horizontal="right"/>
    </xf>
    <xf numFmtId="241" fontId="12" fillId="0" borderId="21" xfId="14" applyNumberFormat="1" applyFont="1" applyFill="1" applyBorder="1" applyAlignment="1">
      <alignment horizontal="right"/>
    </xf>
    <xf numFmtId="182" fontId="8" fillId="0" borderId="0" xfId="31" applyNumberFormat="1" applyFont="1"/>
    <xf numFmtId="182" fontId="76" fillId="0" borderId="4" xfId="31" applyNumberFormat="1" applyFont="1" applyBorder="1"/>
    <xf numFmtId="241" fontId="12" fillId="0" borderId="1" xfId="14" applyNumberFormat="1" applyFont="1" applyFill="1" applyBorder="1" applyAlignment="1">
      <alignment horizontal="right"/>
    </xf>
    <xf numFmtId="241" fontId="12" fillId="0" borderId="22" xfId="14" applyNumberFormat="1" applyFont="1" applyFill="1" applyBorder="1" applyAlignment="1">
      <alignment horizontal="right"/>
    </xf>
    <xf numFmtId="241" fontId="12" fillId="0" borderId="20" xfId="14" applyNumberFormat="1" applyFont="1" applyFill="1" applyBorder="1" applyAlignment="1">
      <alignment horizontal="right"/>
    </xf>
    <xf numFmtId="241" fontId="12" fillId="0" borderId="2" xfId="14" applyNumberFormat="1" applyFont="1" applyFill="1" applyBorder="1" applyAlignment="1">
      <alignment horizontal="right"/>
    </xf>
    <xf numFmtId="241" fontId="12" fillId="0" borderId="23" xfId="14" applyNumberFormat="1" applyFont="1" applyFill="1" applyBorder="1" applyAlignment="1">
      <alignment horizontal="right"/>
    </xf>
    <xf numFmtId="0" fontId="94" fillId="0" borderId="0" xfId="31" applyFont="1" applyFill="1" applyAlignment="1">
      <alignment vertical="justify" textRotation="90" readingOrder="2"/>
    </xf>
    <xf numFmtId="180" fontId="74" fillId="0" borderId="0" xfId="14" applyNumberFormat="1" applyFont="1" applyFill="1" applyBorder="1"/>
    <xf numFmtId="3" fontId="8" fillId="0" borderId="0" xfId="31" applyNumberFormat="1" applyFont="1"/>
    <xf numFmtId="182" fontId="8" fillId="0" borderId="0" xfId="31" applyNumberFormat="1" applyFont="1" applyBorder="1" applyAlignment="1">
      <alignment wrapText="1"/>
    </xf>
    <xf numFmtId="0" fontId="94" fillId="0" borderId="0" xfId="31" applyFont="1" applyFill="1" applyBorder="1" applyAlignment="1">
      <alignment vertical="justify" textRotation="90" readingOrder="2"/>
    </xf>
    <xf numFmtId="182" fontId="8" fillId="0" borderId="0" xfId="31" applyNumberFormat="1" applyFont="1" applyBorder="1"/>
    <xf numFmtId="180" fontId="8" fillId="0" borderId="0" xfId="14" applyNumberFormat="1" applyFont="1" applyFill="1" applyBorder="1"/>
    <xf numFmtId="241" fontId="22" fillId="0" borderId="0" xfId="14" applyNumberFormat="1" applyFont="1" applyFill="1" applyBorder="1" applyAlignment="1">
      <alignment horizontal="left" indent="1"/>
    </xf>
    <xf numFmtId="0" fontId="94" fillId="0" borderId="0" xfId="31" applyFont="1" applyBorder="1" applyAlignment="1">
      <alignment vertical="center" textRotation="90" readingOrder="2"/>
    </xf>
    <xf numFmtId="244" fontId="8" fillId="0" borderId="0" xfId="20" applyNumberFormat="1" applyFont="1" applyBorder="1" applyAlignment="1">
      <alignment horizontal="right"/>
    </xf>
    <xf numFmtId="243" fontId="8" fillId="0" borderId="0" xfId="25" applyNumberFormat="1" applyFont="1" applyBorder="1" applyAlignment="1">
      <alignment horizontal="right"/>
    </xf>
    <xf numFmtId="167" fontId="94" fillId="0" borderId="0" xfId="31" applyNumberFormat="1" applyFont="1" applyFill="1"/>
    <xf numFmtId="169" fontId="8" fillId="0" borderId="0" xfId="14" applyNumberFormat="1" applyFont="1" applyFill="1" applyBorder="1" applyAlignment="1">
      <alignment horizontal="right"/>
    </xf>
    <xf numFmtId="182" fontId="8" fillId="0" borderId="0" xfId="31" applyNumberFormat="1" applyFont="1" applyFill="1" applyAlignment="1">
      <alignment wrapText="1"/>
    </xf>
    <xf numFmtId="182" fontId="8" fillId="0" borderId="0" xfId="31" applyNumberFormat="1" applyFont="1" applyFill="1"/>
    <xf numFmtId="182" fontId="76" fillId="0" borderId="4" xfId="31" applyNumberFormat="1" applyFont="1" applyFill="1" applyBorder="1"/>
    <xf numFmtId="182" fontId="94" fillId="0" borderId="0" xfId="31" applyNumberFormat="1" applyFont="1"/>
    <xf numFmtId="241" fontId="8" fillId="0" borderId="0" xfId="14" applyNumberFormat="1" applyFont="1" applyBorder="1" applyAlignment="1">
      <alignment horizontal="right"/>
    </xf>
    <xf numFmtId="241" fontId="8" fillId="0" borderId="0" xfId="31" applyNumberFormat="1" applyFont="1" applyBorder="1" applyAlignment="1">
      <alignment horizontal="right"/>
    </xf>
    <xf numFmtId="169" fontId="8" fillId="0" borderId="0" xfId="31" applyNumberFormat="1" applyFont="1" applyAlignment="1">
      <alignment horizontal="right"/>
    </xf>
    <xf numFmtId="241" fontId="8" fillId="0" borderId="0" xfId="31" applyNumberFormat="1" applyFont="1" applyFill="1" applyBorder="1" applyAlignment="1">
      <alignment horizontal="right"/>
    </xf>
    <xf numFmtId="241" fontId="8" fillId="0" borderId="0" xfId="31" applyNumberFormat="1" applyFont="1" applyFill="1"/>
    <xf numFmtId="0" fontId="8" fillId="0" borderId="0" xfId="27" applyNumberFormat="1" applyFont="1" applyFill="1"/>
    <xf numFmtId="245" fontId="20" fillId="0" borderId="12" xfId="20" applyNumberFormat="1" applyFont="1" applyFill="1" applyBorder="1" applyAlignment="1">
      <alignment horizontal="right"/>
    </xf>
    <xf numFmtId="0" fontId="8" fillId="0" borderId="0" xfId="31" applyFont="1" applyFill="1" applyBorder="1" applyAlignment="1">
      <alignment wrapText="1"/>
    </xf>
    <xf numFmtId="246" fontId="8" fillId="0" borderId="0" xfId="20" applyNumberFormat="1" applyFont="1" applyFill="1" applyBorder="1" applyAlignment="1">
      <alignment horizontal="right"/>
    </xf>
    <xf numFmtId="241" fontId="8" fillId="0" borderId="0" xfId="31" applyNumberFormat="1" applyFont="1" applyFill="1" applyBorder="1"/>
    <xf numFmtId="167" fontId="8" fillId="0" borderId="0" xfId="31" applyNumberFormat="1" applyFont="1" applyFill="1" applyBorder="1" applyAlignment="1">
      <alignment horizontal="right"/>
    </xf>
    <xf numFmtId="169" fontId="8" fillId="0" borderId="0" xfId="31" applyNumberFormat="1" applyFont="1" applyFill="1" applyBorder="1" applyAlignment="1">
      <alignment horizontal="right"/>
    </xf>
    <xf numFmtId="0" fontId="8" fillId="0" borderId="0" xfId="26" applyNumberFormat="1" applyFont="1" applyFill="1" applyBorder="1" applyAlignment="1" applyProtection="1">
      <alignment horizontal="left"/>
    </xf>
    <xf numFmtId="169" fontId="8" fillId="0" borderId="0" xfId="31" applyNumberFormat="1" applyFont="1" applyFill="1" applyAlignment="1">
      <alignment horizontal="right"/>
    </xf>
    <xf numFmtId="241" fontId="94" fillId="0" borderId="0" xfId="31" applyNumberFormat="1" applyFont="1" applyFill="1"/>
    <xf numFmtId="241" fontId="94" fillId="0" borderId="0" xfId="31" applyNumberFormat="1" applyFont="1" applyFill="1" applyBorder="1"/>
    <xf numFmtId="188" fontId="74" fillId="0" borderId="0" xfId="26" applyNumberFormat="1" applyFont="1" applyFill="1" applyBorder="1" applyAlignment="1" applyProtection="1">
      <alignment horizontal="left"/>
    </xf>
    <xf numFmtId="180" fontId="24" fillId="0" borderId="0" xfId="14" applyNumberFormat="1" applyFont="1" applyFill="1" applyBorder="1"/>
    <xf numFmtId="188" fontId="11" fillId="0" borderId="0" xfId="26" applyNumberFormat="1" applyFont="1" applyFill="1" applyBorder="1" applyAlignment="1" applyProtection="1">
      <alignment horizontal="left"/>
    </xf>
    <xf numFmtId="0" fontId="24" fillId="0" borderId="0" xfId="31" applyFont="1" applyFill="1" applyBorder="1"/>
    <xf numFmtId="0" fontId="8" fillId="0" borderId="0" xfId="31" applyFont="1" applyFill="1" applyAlignment="1">
      <alignment horizontal="center" wrapText="1"/>
    </xf>
    <xf numFmtId="0" fontId="94" fillId="0" borderId="0" xfId="31" applyFont="1" applyFill="1" applyAlignment="1">
      <alignment horizontal="center"/>
    </xf>
    <xf numFmtId="0" fontId="8" fillId="0" borderId="0" xfId="31" applyFont="1" applyFill="1" applyBorder="1" applyAlignment="1">
      <alignment horizontal="center"/>
    </xf>
    <xf numFmtId="0" fontId="8" fillId="0" borderId="0" xfId="31" applyFont="1" applyFill="1" applyAlignment="1">
      <alignment horizontal="center"/>
    </xf>
    <xf numFmtId="0" fontId="76" fillId="0" borderId="4" xfId="31" applyFont="1" applyFill="1" applyBorder="1" applyAlignment="1">
      <alignment horizontal="center"/>
    </xf>
    <xf numFmtId="0" fontId="20" fillId="0" borderId="0" xfId="31" applyFont="1" applyFill="1" applyBorder="1"/>
    <xf numFmtId="252" fontId="11" fillId="5" borderId="5" xfId="31" applyNumberFormat="1" applyFont="1" applyFill="1" applyBorder="1" applyAlignment="1">
      <alignment horizontal="right"/>
    </xf>
    <xf numFmtId="252" fontId="8" fillId="0" borderId="5" xfId="31" applyNumberFormat="1" applyFont="1" applyFill="1" applyBorder="1" applyAlignment="1">
      <alignment horizontal="right"/>
    </xf>
    <xf numFmtId="252" fontId="8" fillId="0" borderId="5" xfId="31" applyNumberFormat="1" applyFont="1" applyFill="1" applyBorder="1"/>
    <xf numFmtId="0" fontId="50" fillId="0" borderId="0" xfId="31" applyFont="1" applyFill="1" applyBorder="1"/>
    <xf numFmtId="0" fontId="8" fillId="0" borderId="0" xfId="31" applyFont="1" applyFill="1" applyBorder="1" applyAlignment="1">
      <alignment horizontal="right"/>
    </xf>
    <xf numFmtId="0" fontId="8" fillId="5" borderId="0" xfId="27" applyFont="1" applyFill="1" applyBorder="1"/>
    <xf numFmtId="0" fontId="8" fillId="5" borderId="0" xfId="27" applyFont="1" applyFill="1" applyBorder="1" applyAlignment="1">
      <alignment horizontal="center"/>
    </xf>
    <xf numFmtId="168" fontId="8" fillId="5" borderId="0" xfId="27" applyNumberFormat="1" applyFont="1" applyFill="1" applyBorder="1" applyAlignment="1">
      <alignment horizontal="right"/>
    </xf>
    <xf numFmtId="0" fontId="8" fillId="5" borderId="0" xfId="27" applyFont="1" applyFill="1"/>
    <xf numFmtId="0" fontId="76" fillId="5" borderId="0" xfId="27" applyFont="1" applyFill="1"/>
    <xf numFmtId="0" fontId="4" fillId="5" borderId="0" xfId="27" applyFill="1" applyBorder="1"/>
    <xf numFmtId="0" fontId="4" fillId="5" borderId="0" xfId="27" applyFill="1" applyBorder="1" applyAlignment="1">
      <alignment horizontal="center"/>
    </xf>
    <xf numFmtId="0" fontId="4" fillId="5" borderId="0" xfId="27" applyFill="1" applyBorder="1" applyAlignment="1">
      <alignment horizontal="right"/>
    </xf>
    <xf numFmtId="0" fontId="4" fillId="5" borderId="0" xfId="27" applyFill="1"/>
    <xf numFmtId="180" fontId="8" fillId="5" borderId="0" xfId="11" applyNumberFormat="1" applyFont="1" applyFill="1" applyBorder="1" applyAlignment="1">
      <alignment horizontal="right"/>
    </xf>
    <xf numFmtId="0" fontId="105" fillId="5" borderId="0" xfId="27" applyFont="1" applyFill="1"/>
    <xf numFmtId="170" fontId="23" fillId="0" borderId="0" xfId="0" applyNumberFormat="1" applyFont="1" applyAlignment="1">
      <alignment horizontal="center"/>
    </xf>
    <xf numFmtId="168" fontId="27" fillId="0" borderId="0" xfId="37" applyNumberFormat="1" applyFont="1" applyFill="1" applyBorder="1"/>
    <xf numFmtId="235" fontId="4" fillId="0" borderId="0" xfId="0" applyNumberFormat="1" applyFont="1" applyFill="1"/>
    <xf numFmtId="0" fontId="126" fillId="0" borderId="0" xfId="19" applyFont="1" applyFill="1" applyBorder="1" applyAlignment="1">
      <alignment horizontal="left" indent="2"/>
    </xf>
    <xf numFmtId="168" fontId="126" fillId="0" borderId="0" xfId="37" applyNumberFormat="1" applyFont="1" applyFill="1" applyBorder="1"/>
    <xf numFmtId="170" fontId="126" fillId="0" borderId="1" xfId="19" applyNumberFormat="1" applyFont="1" applyFill="1" applyBorder="1"/>
    <xf numFmtId="170" fontId="126" fillId="0" borderId="0" xfId="33" applyNumberFormat="1" applyFont="1" applyFill="1" applyBorder="1" applyProtection="1"/>
    <xf numFmtId="183" fontId="126" fillId="0" borderId="0" xfId="33" applyFont="1" applyFill="1" applyBorder="1"/>
    <xf numFmtId="183" fontId="126" fillId="0" borderId="22" xfId="33" applyFont="1" applyFill="1" applyBorder="1"/>
    <xf numFmtId="0" fontId="126" fillId="0" borderId="0" xfId="19" applyFont="1" applyFill="1" applyBorder="1" applyAlignment="1">
      <alignment horizontal="left" indent="1"/>
    </xf>
    <xf numFmtId="0" fontId="4" fillId="0" borderId="31" xfId="0" applyFont="1" applyFill="1" applyBorder="1" applyAlignment="1">
      <alignment horizontal="left"/>
    </xf>
    <xf numFmtId="0" fontId="4" fillId="0" borderId="31" xfId="0" applyFont="1" applyFill="1" applyBorder="1" applyAlignment="1">
      <alignment horizontal="left" wrapText="1"/>
    </xf>
    <xf numFmtId="14" fontId="4" fillId="0" borderId="31" xfId="0" applyNumberFormat="1" applyFont="1" applyFill="1" applyBorder="1" applyAlignment="1">
      <alignment horizontal="left"/>
    </xf>
    <xf numFmtId="0" fontId="15" fillId="0" borderId="31" xfId="0" applyFont="1" applyFill="1" applyBorder="1" applyAlignment="1">
      <alignment horizontal="left"/>
    </xf>
    <xf numFmtId="8" fontId="15" fillId="0" borderId="31" xfId="0" applyNumberFormat="1" applyFont="1" applyFill="1" applyBorder="1" applyAlignment="1">
      <alignment horizontal="left"/>
    </xf>
    <xf numFmtId="2" fontId="15" fillId="0" borderId="31" xfId="0" applyNumberFormat="1" applyFont="1" applyFill="1" applyBorder="1" applyAlignment="1">
      <alignment horizontal="left"/>
    </xf>
    <xf numFmtId="2" fontId="4" fillId="0" borderId="31" xfId="0" applyNumberFormat="1" applyFont="1" applyFill="1" applyBorder="1" applyAlignment="1">
      <alignment horizontal="left"/>
    </xf>
    <xf numFmtId="2" fontId="4" fillId="0" borderId="31" xfId="0" applyNumberFormat="1" applyFont="1" applyFill="1" applyBorder="1" applyAlignment="1">
      <alignment horizontal="left" wrapText="1"/>
    </xf>
    <xf numFmtId="235" fontId="4" fillId="0" borderId="0" xfId="10" applyNumberFormat="1" applyFont="1" applyFill="1" applyBorder="1"/>
    <xf numFmtId="0" fontId="23" fillId="0" borderId="0" xfId="0" applyFont="1" applyFill="1" applyAlignment="1"/>
    <xf numFmtId="216" fontId="23" fillId="0" borderId="0" xfId="0" applyNumberFormat="1" applyFont="1" applyFill="1" applyAlignment="1">
      <alignment horizontal="right"/>
    </xf>
    <xf numFmtId="0" fontId="23" fillId="0" borderId="0" xfId="0" applyFont="1" applyFill="1" applyAlignment="1">
      <alignment horizontal="right"/>
    </xf>
    <xf numFmtId="218" fontId="34" fillId="0" borderId="0" xfId="0" applyNumberFormat="1" applyFont="1" applyFill="1" applyBorder="1" applyAlignment="1">
      <alignment horizontal="left"/>
    </xf>
    <xf numFmtId="1" fontId="34" fillId="0" borderId="0" xfId="0" applyNumberFormat="1" applyFont="1" applyFill="1" applyBorder="1" applyAlignment="1">
      <alignment horizontal="left"/>
    </xf>
    <xf numFmtId="215" fontId="23" fillId="0" borderId="0" xfId="0" applyNumberFormat="1" applyFont="1" applyFill="1" applyAlignment="1">
      <alignment horizontal="right"/>
    </xf>
    <xf numFmtId="37" fontId="23" fillId="0" borderId="0" xfId="29" applyNumberFormat="1" applyFont="1" applyFill="1" applyAlignment="1">
      <alignment horizontal="right"/>
    </xf>
    <xf numFmtId="218" fontId="41" fillId="0" borderId="0" xfId="0" applyNumberFormat="1" applyFont="1" applyFill="1" applyAlignment="1">
      <alignment horizontal="right"/>
    </xf>
    <xf numFmtId="218" fontId="41" fillId="0" borderId="0" xfId="0" applyNumberFormat="1" applyFont="1" applyFill="1" applyAlignment="1">
      <alignment horizontal="left"/>
    </xf>
    <xf numFmtId="218" fontId="34" fillId="0" borderId="0" xfId="0" applyNumberFormat="1" applyFont="1" applyFill="1" applyAlignment="1"/>
    <xf numFmtId="218" fontId="34" fillId="0" borderId="0" xfId="0" applyNumberFormat="1" applyFont="1" applyFill="1" applyAlignment="1">
      <alignment horizontal="right"/>
    </xf>
    <xf numFmtId="218" fontId="34" fillId="0" borderId="0" xfId="0" applyNumberFormat="1" applyFont="1" applyFill="1" applyAlignment="1">
      <alignment horizontal="left"/>
    </xf>
    <xf numFmtId="217" fontId="32" fillId="0" borderId="0" xfId="0" applyNumberFormat="1" applyFont="1" applyFill="1" applyAlignment="1"/>
    <xf numFmtId="217" fontId="32" fillId="0" borderId="0" xfId="0" applyNumberFormat="1" applyFont="1" applyFill="1" applyAlignment="1">
      <alignment horizontal="right"/>
    </xf>
    <xf numFmtId="217" fontId="32" fillId="0" borderId="0" xfId="0" applyNumberFormat="1" applyFont="1" applyFill="1" applyAlignment="1">
      <alignment horizontal="left"/>
    </xf>
    <xf numFmtId="168" fontId="23" fillId="0" borderId="14" xfId="37" applyNumberFormat="1" applyFont="1" applyFill="1" applyBorder="1"/>
    <xf numFmtId="43" fontId="4" fillId="0" borderId="0" xfId="0" applyNumberFormat="1" applyFont="1" applyFill="1"/>
    <xf numFmtId="43" fontId="0" fillId="0" borderId="1" xfId="10" applyFont="1" applyBorder="1"/>
    <xf numFmtId="43" fontId="4" fillId="0" borderId="0" xfId="10" applyFont="1" applyFill="1" applyBorder="1" applyAlignment="1">
      <alignment horizontal="right"/>
    </xf>
    <xf numFmtId="9" fontId="4" fillId="0" borderId="0" xfId="37" applyFont="1" applyFill="1" applyBorder="1" applyAlignment="1">
      <alignment horizontal="center"/>
    </xf>
    <xf numFmtId="186" fontId="31" fillId="8" borderId="2" xfId="0" applyNumberFormat="1" applyFont="1" applyFill="1" applyBorder="1"/>
    <xf numFmtId="9" fontId="17" fillId="0" borderId="1" xfId="37" applyFont="1" applyFill="1" applyBorder="1" applyAlignment="1">
      <alignment horizontal="center"/>
    </xf>
    <xf numFmtId="0" fontId="101" fillId="11" borderId="15" xfId="0" applyFont="1" applyFill="1" applyBorder="1" applyAlignment="1">
      <alignment horizontal="centerContinuous"/>
    </xf>
    <xf numFmtId="8" fontId="4" fillId="0" borderId="28" xfId="0" applyNumberFormat="1" applyFont="1" applyFill="1" applyBorder="1" applyAlignment="1">
      <alignment horizontal="center"/>
    </xf>
    <xf numFmtId="8" fontId="4" fillId="0" borderId="28" xfId="0" applyNumberFormat="1" applyFont="1" applyFill="1" applyBorder="1"/>
    <xf numFmtId="0" fontId="10" fillId="0" borderId="28" xfId="0" applyFont="1" applyFill="1" applyBorder="1" applyAlignment="1">
      <alignment horizontal="center"/>
    </xf>
    <xf numFmtId="0" fontId="4" fillId="0" borderId="28" xfId="0" applyFont="1" applyFill="1" applyBorder="1"/>
    <xf numFmtId="0" fontId="4" fillId="0" borderId="16" xfId="0" applyFont="1" applyFill="1" applyBorder="1"/>
    <xf numFmtId="210" fontId="4" fillId="0" borderId="28" xfId="0" applyNumberFormat="1" applyFont="1" applyFill="1" applyBorder="1" applyAlignment="1" applyProtection="1">
      <alignment horizontal="center"/>
    </xf>
    <xf numFmtId="224" fontId="8" fillId="0" borderId="0" xfId="15" applyNumberFormat="1" applyFont="1" applyFill="1" applyBorder="1"/>
    <xf numFmtId="185" fontId="4" fillId="0" borderId="2" xfId="0" applyNumberFormat="1" applyFont="1" applyBorder="1"/>
    <xf numFmtId="194" fontId="127" fillId="0" borderId="0" xfId="0" applyNumberFormat="1" applyFont="1" applyFill="1"/>
    <xf numFmtId="204" fontId="31" fillId="0" borderId="2" xfId="0" applyNumberFormat="1" applyFont="1" applyFill="1" applyBorder="1" applyAlignment="1">
      <alignment horizontal="right"/>
    </xf>
    <xf numFmtId="37" fontId="128" fillId="0" borderId="0" xfId="0" applyNumberFormat="1" applyFont="1" applyFill="1"/>
    <xf numFmtId="180" fontId="8" fillId="0" borderId="0" xfId="10" applyNumberFormat="1" applyFont="1" applyFill="1" applyProtection="1"/>
    <xf numFmtId="168" fontId="8" fillId="0" borderId="0" xfId="0" applyNumberFormat="1" applyFont="1" applyFill="1"/>
    <xf numFmtId="37" fontId="128" fillId="0" borderId="0" xfId="0" applyNumberFormat="1" applyFont="1"/>
    <xf numFmtId="37" fontId="129" fillId="0" borderId="0" xfId="33" applyNumberFormat="1" applyFont="1" applyFill="1" applyProtection="1"/>
    <xf numFmtId="185" fontId="23" fillId="0" borderId="0" xfId="0" applyNumberFormat="1" applyFont="1" applyFill="1" applyBorder="1"/>
    <xf numFmtId="178" fontId="23" fillId="0" borderId="0" xfId="10" applyNumberFormat="1" applyFont="1" applyFill="1"/>
    <xf numFmtId="178" fontId="23" fillId="0" borderId="13" xfId="10" applyNumberFormat="1" applyFont="1" applyFill="1" applyBorder="1"/>
    <xf numFmtId="9" fontId="107" fillId="0" borderId="0" xfId="37" applyNumberFormat="1" applyFont="1" applyBorder="1"/>
    <xf numFmtId="168" fontId="107" fillId="0" borderId="0" xfId="37" applyNumberFormat="1" applyFont="1" applyBorder="1"/>
    <xf numFmtId="170" fontId="43" fillId="0" borderId="2" xfId="23" applyNumberFormat="1" applyFont="1" applyBorder="1" applyAlignment="1">
      <alignment horizontal="right"/>
    </xf>
    <xf numFmtId="168" fontId="43" fillId="0" borderId="14" xfId="23" applyNumberFormat="1" applyFont="1" applyBorder="1" applyAlignment="1">
      <alignment horizontal="right"/>
    </xf>
    <xf numFmtId="170" fontId="43" fillId="0" borderId="14" xfId="23" applyNumberFormat="1" applyFont="1" applyBorder="1" applyAlignment="1">
      <alignment horizontal="right"/>
    </xf>
    <xf numFmtId="1" fontId="107" fillId="0" borderId="22" xfId="0" applyNumberFormat="1" applyFont="1" applyBorder="1"/>
    <xf numFmtId="167" fontId="4" fillId="5" borderId="2" xfId="0" applyNumberFormat="1" applyFont="1" applyFill="1" applyBorder="1"/>
    <xf numFmtId="43" fontId="0" fillId="0" borderId="0" xfId="0" applyNumberFormat="1"/>
    <xf numFmtId="212" fontId="74" fillId="0" borderId="0" xfId="15" applyNumberFormat="1" applyFont="1" applyFill="1" applyBorder="1"/>
    <xf numFmtId="44" fontId="4" fillId="0" borderId="0" xfId="15" applyFont="1" applyFill="1"/>
    <xf numFmtId="43" fontId="16" fillId="0" borderId="0" xfId="10" applyFont="1" applyFill="1" applyAlignment="1">
      <alignment horizontal="centerContinuous"/>
    </xf>
    <xf numFmtId="9" fontId="8" fillId="0" borderId="1" xfId="37" applyFont="1" applyFill="1" applyBorder="1" applyAlignment="1">
      <alignment horizontal="center"/>
    </xf>
    <xf numFmtId="180" fontId="0" fillId="0" borderId="1" xfId="10" applyNumberFormat="1" applyFont="1" applyBorder="1"/>
    <xf numFmtId="168" fontId="16" fillId="0" borderId="0" xfId="37" applyNumberFormat="1" applyFont="1" applyFill="1" applyAlignment="1">
      <alignment horizontal="left"/>
    </xf>
    <xf numFmtId="0" fontId="130" fillId="0" borderId="1" xfId="0" applyFont="1" applyBorder="1"/>
    <xf numFmtId="0" fontId="130" fillId="0" borderId="0" xfId="0" applyFont="1" applyBorder="1"/>
    <xf numFmtId="44" fontId="130" fillId="0" borderId="1" xfId="15" applyFont="1" applyFill="1" applyBorder="1" applyAlignment="1">
      <alignment horizontal="center"/>
    </xf>
    <xf numFmtId="0" fontId="131" fillId="0" borderId="0" xfId="0" applyFont="1" applyFill="1" applyBorder="1" applyAlignment="1">
      <alignment horizontal="center"/>
    </xf>
    <xf numFmtId="0" fontId="130" fillId="0" borderId="0" xfId="0" applyFont="1" applyFill="1" applyBorder="1"/>
    <xf numFmtId="43" fontId="130" fillId="0" borderId="1" xfId="10" applyFont="1" applyBorder="1"/>
    <xf numFmtId="44" fontId="130" fillId="0" borderId="0" xfId="15" applyFont="1" applyBorder="1"/>
    <xf numFmtId="0" fontId="130" fillId="0" borderId="22" xfId="0" applyFont="1" applyBorder="1"/>
    <xf numFmtId="236" fontId="130" fillId="0" borderId="1" xfId="0" applyNumberFormat="1" applyFont="1" applyFill="1" applyBorder="1" applyAlignment="1">
      <alignment horizontal="center"/>
    </xf>
    <xf numFmtId="0" fontId="130" fillId="0" borderId="22" xfId="0" applyFont="1" applyFill="1" applyBorder="1"/>
    <xf numFmtId="43" fontId="131" fillId="0" borderId="0" xfId="10" applyFont="1" applyFill="1" applyBorder="1" applyAlignment="1">
      <alignment horizontal="right"/>
    </xf>
    <xf numFmtId="9" fontId="131" fillId="0" borderId="0" xfId="37" applyFont="1" applyFill="1" applyBorder="1" applyAlignment="1">
      <alignment horizontal="center"/>
    </xf>
    <xf numFmtId="44" fontId="130" fillId="0" borderId="0" xfId="0" applyNumberFormat="1" applyFont="1"/>
    <xf numFmtId="0" fontId="0" fillId="0" borderId="0" xfId="0" applyAlignment="1">
      <alignment horizontal="centerContinuous"/>
    </xf>
    <xf numFmtId="253" fontId="0" fillId="0" borderId="0" xfId="0" applyNumberFormat="1"/>
    <xf numFmtId="9" fontId="132" fillId="0" borderId="0" xfId="37" applyFont="1" applyFill="1"/>
    <xf numFmtId="168" fontId="128" fillId="0" borderId="0" xfId="0" applyNumberFormat="1" applyFont="1" applyFill="1"/>
    <xf numFmtId="0" fontId="130" fillId="0" borderId="0" xfId="0" applyFont="1"/>
    <xf numFmtId="9" fontId="8" fillId="0" borderId="0" xfId="37" applyFont="1" applyFill="1" applyBorder="1" applyAlignment="1">
      <alignment horizontal="right"/>
    </xf>
    <xf numFmtId="212" fontId="133" fillId="0" borderId="0" xfId="15" applyNumberFormat="1" applyFont="1" applyFill="1" applyBorder="1"/>
    <xf numFmtId="6" fontId="36" fillId="0" borderId="0" xfId="0" applyNumberFormat="1" applyFont="1" applyFill="1" applyAlignment="1">
      <alignment horizontal="right"/>
    </xf>
    <xf numFmtId="9" fontId="134" fillId="0" borderId="1" xfId="37" applyFont="1" applyBorder="1"/>
    <xf numFmtId="8" fontId="4" fillId="0" borderId="0" xfId="0" applyNumberFormat="1" applyFont="1" applyFill="1" applyAlignment="1">
      <alignment horizontal="centerContinuous"/>
    </xf>
    <xf numFmtId="172" fontId="135" fillId="0" borderId="0" xfId="0" applyNumberFormat="1" applyFont="1" applyFill="1"/>
    <xf numFmtId="37" fontId="136" fillId="0" borderId="0" xfId="33" applyNumberFormat="1" applyFont="1" applyFill="1" applyProtection="1"/>
    <xf numFmtId="9" fontId="4" fillId="0" borderId="0" xfId="37" applyFont="1" applyFill="1" applyBorder="1" applyAlignment="1">
      <alignment horizontal="right"/>
    </xf>
    <xf numFmtId="9" fontId="25" fillId="0" borderId="0" xfId="37" applyFont="1" applyFill="1" applyBorder="1" applyAlignment="1">
      <alignment horizontal="center"/>
    </xf>
    <xf numFmtId="43" fontId="8" fillId="0" borderId="0" xfId="10" applyFont="1" applyFill="1" applyBorder="1" applyAlignment="1">
      <alignment horizontal="right"/>
    </xf>
    <xf numFmtId="178" fontId="4" fillId="0" borderId="0" xfId="10" applyNumberFormat="1" applyFont="1" applyFill="1" applyBorder="1" applyAlignment="1">
      <alignment horizontal="left"/>
    </xf>
    <xf numFmtId="43" fontId="4" fillId="0" borderId="0" xfId="10" applyFont="1" applyFill="1" applyBorder="1"/>
    <xf numFmtId="168" fontId="17" fillId="0" borderId="0" xfId="38" applyNumberFormat="1" applyFont="1"/>
    <xf numFmtId="239" fontId="0" fillId="0" borderId="0" xfId="0" applyNumberFormat="1"/>
    <xf numFmtId="206" fontId="30" fillId="0" borderId="2" xfId="37" applyNumberFormat="1" applyFont="1" applyFill="1" applyBorder="1" applyAlignment="1">
      <alignment horizontal="center"/>
    </xf>
    <xf numFmtId="206" fontId="30" fillId="0" borderId="0" xfId="37" applyNumberFormat="1" applyFont="1" applyFill="1" applyBorder="1" applyAlignment="1">
      <alignment horizontal="center"/>
    </xf>
    <xf numFmtId="206" fontId="30" fillId="0" borderId="0" xfId="0" applyNumberFormat="1" applyFont="1" applyAlignment="1">
      <alignment horizontal="center"/>
    </xf>
    <xf numFmtId="206" fontId="30" fillId="0" borderId="2" xfId="0" applyNumberFormat="1" applyFont="1" applyBorder="1" applyAlignment="1">
      <alignment horizontal="center"/>
    </xf>
    <xf numFmtId="206" fontId="23" fillId="0" borderId="0" xfId="0" applyNumberFormat="1" applyFont="1" applyAlignment="1">
      <alignment horizontal="center"/>
    </xf>
    <xf numFmtId="206" fontId="23" fillId="0" borderId="14" xfId="0" applyNumberFormat="1" applyFont="1" applyBorder="1" applyAlignment="1">
      <alignment horizontal="center" wrapText="1"/>
    </xf>
    <xf numFmtId="206" fontId="23" fillId="0" borderId="0" xfId="0" applyNumberFormat="1" applyFont="1" applyBorder="1" applyAlignment="1">
      <alignment horizontal="center"/>
    </xf>
    <xf numFmtId="206" fontId="124" fillId="6" borderId="5" xfId="0" applyNumberFormat="1" applyFont="1" applyFill="1" applyBorder="1" applyAlignment="1">
      <alignment horizontal="center"/>
    </xf>
    <xf numFmtId="206" fontId="32" fillId="0" borderId="0" xfId="37" applyNumberFormat="1" applyFont="1" applyBorder="1" applyAlignment="1">
      <alignment horizontal="center"/>
    </xf>
    <xf numFmtId="206" fontId="32" fillId="0" borderId="0" xfId="0" applyNumberFormat="1" applyFont="1" applyBorder="1" applyAlignment="1">
      <alignment horizontal="center"/>
    </xf>
    <xf numFmtId="206" fontId="23" fillId="0" borderId="0" xfId="37" applyNumberFormat="1" applyFont="1" applyBorder="1" applyAlignment="1">
      <alignment horizontal="center"/>
    </xf>
    <xf numFmtId="206" fontId="32" fillId="0" borderId="0" xfId="37" applyNumberFormat="1" applyFont="1" applyFill="1" applyBorder="1" applyAlignment="1">
      <alignment horizontal="center"/>
    </xf>
    <xf numFmtId="206" fontId="23" fillId="0" borderId="0" xfId="0" applyNumberFormat="1" applyFont="1" applyFill="1" applyBorder="1" applyAlignment="1">
      <alignment horizontal="center"/>
    </xf>
    <xf numFmtId="206" fontId="23" fillId="7" borderId="0" xfId="0" applyNumberFormat="1" applyFont="1" applyFill="1" applyBorder="1" applyAlignment="1">
      <alignment horizontal="center"/>
    </xf>
    <xf numFmtId="206" fontId="23" fillId="7" borderId="0" xfId="37" applyNumberFormat="1" applyFont="1" applyFill="1" applyBorder="1" applyAlignment="1">
      <alignment horizontal="center"/>
    </xf>
    <xf numFmtId="206" fontId="23" fillId="0" borderId="2" xfId="0" applyNumberFormat="1" applyFont="1" applyFill="1" applyBorder="1" applyAlignment="1">
      <alignment horizontal="center"/>
    </xf>
    <xf numFmtId="206" fontId="23" fillId="0" borderId="0" xfId="37" applyNumberFormat="1" applyFont="1" applyFill="1" applyBorder="1" applyAlignment="1">
      <alignment horizontal="center"/>
    </xf>
    <xf numFmtId="206" fontId="32" fillId="5" borderId="0" xfId="37" applyNumberFormat="1" applyFont="1" applyFill="1" applyBorder="1" applyAlignment="1">
      <alignment horizontal="center"/>
    </xf>
    <xf numFmtId="206" fontId="47" fillId="0" borderId="0" xfId="37" applyNumberFormat="1" applyFont="1" applyFill="1" applyBorder="1" applyAlignment="1">
      <alignment horizontal="center"/>
    </xf>
    <xf numFmtId="206" fontId="137" fillId="0" borderId="0" xfId="10" applyNumberFormat="1" applyFont="1" applyFill="1" applyBorder="1" applyAlignment="1">
      <alignment horizontal="center"/>
    </xf>
    <xf numFmtId="206" fontId="137" fillId="0" borderId="0" xfId="0" applyNumberFormat="1" applyFont="1" applyFill="1" applyBorder="1" applyAlignment="1">
      <alignment horizontal="center"/>
    </xf>
    <xf numFmtId="206" fontId="47" fillId="6" borderId="0" xfId="37" applyNumberFormat="1" applyFont="1" applyFill="1" applyBorder="1" applyAlignment="1">
      <alignment horizontal="center"/>
    </xf>
    <xf numFmtId="0" fontId="39" fillId="7" borderId="5" xfId="0" applyFont="1" applyFill="1" applyBorder="1" applyAlignment="1">
      <alignment horizontal="centerContinuous"/>
    </xf>
    <xf numFmtId="217" fontId="4" fillId="0" borderId="22" xfId="0" applyNumberFormat="1" applyFont="1" applyFill="1" applyBorder="1" applyAlignment="1">
      <alignment horizontal="right"/>
    </xf>
    <xf numFmtId="217" fontId="4" fillId="0" borderId="22" xfId="37" applyNumberFormat="1" applyFont="1" applyFill="1" applyBorder="1" applyAlignment="1">
      <alignment horizontal="right"/>
    </xf>
    <xf numFmtId="217" fontId="4" fillId="0" borderId="22" xfId="0" applyNumberFormat="1" applyFont="1" applyFill="1" applyBorder="1" applyAlignment="1">
      <alignment horizontal="center"/>
    </xf>
    <xf numFmtId="217" fontId="0" fillId="0" borderId="22" xfId="0" applyNumberFormat="1" applyBorder="1"/>
    <xf numFmtId="1" fontId="10" fillId="0" borderId="0" xfId="0" applyNumberFormat="1" applyFont="1" applyFill="1" applyAlignment="1">
      <alignment horizontal="center"/>
    </xf>
    <xf numFmtId="1" fontId="10" fillId="0" borderId="2" xfId="0" applyNumberFormat="1" applyFont="1" applyFill="1" applyBorder="1" applyAlignment="1">
      <alignment horizontal="center"/>
    </xf>
    <xf numFmtId="1" fontId="10" fillId="0" borderId="0" xfId="0" quotePrefix="1" applyNumberFormat="1" applyFont="1" applyAlignment="1">
      <alignment horizontal="center"/>
    </xf>
    <xf numFmtId="1" fontId="10" fillId="0" borderId="0" xfId="0" quotePrefix="1" applyNumberFormat="1" applyFont="1" applyFill="1" applyAlignment="1">
      <alignment horizontal="center"/>
    </xf>
    <xf numFmtId="1" fontId="11" fillId="0" borderId="0" xfId="0" applyNumberFormat="1" applyFont="1" applyAlignment="1">
      <alignment horizontal="center"/>
    </xf>
    <xf numFmtId="1" fontId="11" fillId="0" borderId="2" xfId="0" applyNumberFormat="1" applyFont="1" applyBorder="1" applyAlignment="1">
      <alignment horizontal="center"/>
    </xf>
    <xf numFmtId="1" fontId="4" fillId="0" borderId="0" xfId="0" applyNumberFormat="1" applyFont="1" applyAlignment="1">
      <alignment horizontal="center"/>
    </xf>
    <xf numFmtId="1" fontId="10" fillId="0" borderId="2" xfId="0" applyNumberFormat="1" applyFont="1" applyBorder="1" applyAlignment="1">
      <alignment horizontal="center"/>
    </xf>
    <xf numFmtId="1" fontId="4" fillId="7" borderId="0" xfId="0" applyNumberFormat="1" applyFont="1" applyFill="1" applyAlignment="1">
      <alignment horizontal="center"/>
    </xf>
    <xf numFmtId="1" fontId="4" fillId="7" borderId="2" xfId="0" applyNumberFormat="1" applyFont="1" applyFill="1" applyBorder="1" applyAlignment="1">
      <alignment horizontal="center"/>
    </xf>
    <xf numFmtId="1" fontId="21" fillId="7" borderId="0" xfId="0" applyNumberFormat="1" applyFont="1" applyFill="1" applyAlignment="1">
      <alignment horizontal="center"/>
    </xf>
    <xf numFmtId="1" fontId="4" fillId="0" borderId="2" xfId="0" applyNumberFormat="1" applyFont="1" applyBorder="1" applyAlignment="1">
      <alignment horizontal="center"/>
    </xf>
    <xf numFmtId="1" fontId="4" fillId="0" borderId="0" xfId="0" applyNumberFormat="1" applyFont="1" applyFill="1" applyAlignment="1">
      <alignment horizontal="center"/>
    </xf>
    <xf numFmtId="1" fontId="11" fillId="3" borderId="0" xfId="0" applyNumberFormat="1" applyFont="1" applyFill="1" applyAlignment="1">
      <alignment horizontal="center"/>
    </xf>
    <xf numFmtId="1" fontId="4" fillId="0" borderId="13" xfId="0" applyNumberFormat="1" applyFont="1" applyFill="1" applyBorder="1" applyAlignment="1">
      <alignment horizontal="center"/>
    </xf>
    <xf numFmtId="1" fontId="4" fillId="0" borderId="0" xfId="0" applyNumberFormat="1" applyFont="1" applyBorder="1" applyAlignment="1">
      <alignment horizontal="center"/>
    </xf>
    <xf numFmtId="1" fontId="4" fillId="0" borderId="2" xfId="0" applyNumberFormat="1" applyFont="1" applyFill="1" applyBorder="1" applyAlignment="1">
      <alignment horizontal="center"/>
    </xf>
    <xf numFmtId="1" fontId="11" fillId="0" borderId="0" xfId="0" applyNumberFormat="1" applyFont="1" applyFill="1" applyAlignment="1">
      <alignment horizontal="center"/>
    </xf>
    <xf numFmtId="1" fontId="4" fillId="5" borderId="0" xfId="0" applyNumberFormat="1" applyFont="1" applyFill="1" applyAlignment="1">
      <alignment horizontal="center"/>
    </xf>
    <xf numFmtId="1" fontId="25" fillId="0" borderId="0" xfId="0" applyNumberFormat="1" applyFont="1" applyFill="1" applyAlignment="1">
      <alignment horizontal="center"/>
    </xf>
    <xf numFmtId="1" fontId="31" fillId="0" borderId="2" xfId="0" applyNumberFormat="1" applyFont="1" applyFill="1" applyBorder="1" applyAlignment="1">
      <alignment horizontal="center"/>
    </xf>
    <xf numFmtId="1" fontId="0" fillId="0" borderId="0" xfId="0" applyNumberFormat="1" applyAlignment="1">
      <alignment horizontal="center"/>
    </xf>
    <xf numFmtId="43" fontId="4" fillId="0" borderId="0" xfId="10" applyNumberFormat="1" applyFont="1" applyFill="1"/>
    <xf numFmtId="43" fontId="8" fillId="0" borderId="1" xfId="10" applyFont="1" applyBorder="1"/>
    <xf numFmtId="170" fontId="138" fillId="5" borderId="0" xfId="0" applyNumberFormat="1" applyFont="1" applyFill="1" applyBorder="1"/>
    <xf numFmtId="186" fontId="138" fillId="5" borderId="0" xfId="0" applyNumberFormat="1" applyFont="1" applyFill="1"/>
    <xf numFmtId="172" fontId="139" fillId="0" borderId="0" xfId="45" applyFont="1" applyAlignment="1">
      <alignment horizontal="center"/>
    </xf>
    <xf numFmtId="206" fontId="140" fillId="5" borderId="0" xfId="37" applyNumberFormat="1" applyFont="1" applyFill="1" applyBorder="1" applyAlignment="1">
      <alignment horizontal="center"/>
    </xf>
    <xf numFmtId="220" fontId="141" fillId="5" borderId="1" xfId="29" applyNumberFormat="1" applyFont="1" applyFill="1" applyBorder="1" applyAlignment="1">
      <alignment horizontal="right"/>
    </xf>
    <xf numFmtId="195" fontId="4" fillId="0" borderId="0" xfId="37" applyNumberFormat="1" applyFont="1" applyFill="1" applyBorder="1" applyAlignment="1">
      <alignment horizontal="right"/>
    </xf>
    <xf numFmtId="207" fontId="23" fillId="0" borderId="0" xfId="29" applyNumberFormat="1" applyFont="1" applyFill="1" applyBorder="1" applyAlignment="1">
      <alignment horizontal="right"/>
    </xf>
    <xf numFmtId="181" fontId="8" fillId="0" borderId="2" xfId="29" applyNumberFormat="1" applyFont="1" applyFill="1" applyBorder="1" applyAlignment="1">
      <alignment horizontal="right"/>
    </xf>
    <xf numFmtId="195" fontId="4" fillId="0" borderId="0" xfId="37" applyNumberFormat="1" applyFont="1" applyFill="1" applyBorder="1" applyAlignment="1"/>
    <xf numFmtId="215" fontId="4" fillId="0" borderId="0" xfId="0" applyNumberFormat="1" applyFont="1" applyFill="1" applyBorder="1" applyAlignment="1"/>
    <xf numFmtId="168" fontId="23" fillId="0" borderId="0" xfId="37" applyNumberFormat="1" applyFont="1" applyAlignment="1"/>
    <xf numFmtId="0" fontId="0" fillId="0" borderId="0" xfId="0" applyAlignment="1"/>
    <xf numFmtId="168" fontId="23" fillId="0" borderId="0" xfId="37" applyNumberFormat="1" applyFont="1" applyFill="1" applyAlignment="1"/>
    <xf numFmtId="194" fontId="138" fillId="0" borderId="0" xfId="0" applyNumberFormat="1" applyFont="1" applyFill="1"/>
    <xf numFmtId="43" fontId="78" fillId="0" borderId="0" xfId="10" applyNumberFormat="1" applyFont="1" applyFill="1" applyBorder="1"/>
    <xf numFmtId="168" fontId="140" fillId="0" borderId="0" xfId="37" applyNumberFormat="1" applyFont="1"/>
    <xf numFmtId="0" fontId="140" fillId="0" borderId="0" xfId="0" applyFont="1"/>
    <xf numFmtId="0" fontId="101" fillId="11" borderId="30" xfId="0" applyFont="1" applyFill="1" applyBorder="1" applyAlignment="1">
      <alignment horizontal="centerContinuous"/>
    </xf>
    <xf numFmtId="8" fontId="4" fillId="0" borderId="31" xfId="0" applyNumberFormat="1" applyFont="1" applyFill="1" applyBorder="1" applyAlignment="1">
      <alignment horizontal="center"/>
    </xf>
    <xf numFmtId="8" fontId="4" fillId="0" borderId="31" xfId="0" applyNumberFormat="1" applyFont="1" applyFill="1" applyBorder="1"/>
    <xf numFmtId="0" fontId="10" fillId="0" borderId="31" xfId="0" applyFont="1" applyFill="1" applyBorder="1" applyAlignment="1">
      <alignment horizontal="center"/>
    </xf>
    <xf numFmtId="8" fontId="10" fillId="0" borderId="31" xfId="0" applyNumberFormat="1" applyFont="1" applyFill="1" applyBorder="1" applyAlignment="1">
      <alignment horizontal="center"/>
    </xf>
    <xf numFmtId="193" fontId="4" fillId="0" borderId="31" xfId="0" applyNumberFormat="1" applyFont="1" applyFill="1" applyBorder="1" applyAlignment="1" applyProtection="1">
      <alignment horizontal="center"/>
    </xf>
    <xf numFmtId="170" fontId="138" fillId="0" borderId="0" xfId="0" applyNumberFormat="1" applyFont="1" applyFill="1" applyBorder="1"/>
    <xf numFmtId="186" fontId="138" fillId="0" borderId="0" xfId="0" applyNumberFormat="1" applyFont="1" applyFill="1"/>
    <xf numFmtId="204" fontId="138" fillId="0" borderId="0" xfId="0" applyNumberFormat="1" applyFont="1" applyFill="1" applyAlignment="1">
      <alignment horizontal="right"/>
    </xf>
    <xf numFmtId="206" fontId="140" fillId="0" borderId="0" xfId="37" applyNumberFormat="1" applyFont="1" applyFill="1" applyBorder="1" applyAlignment="1">
      <alignment horizontal="center"/>
    </xf>
    <xf numFmtId="220" fontId="141" fillId="0" borderId="1" xfId="29" applyNumberFormat="1" applyFont="1" applyFill="1" applyBorder="1" applyAlignment="1">
      <alignment horizontal="right"/>
    </xf>
    <xf numFmtId="220" fontId="141" fillId="0" borderId="0" xfId="29" applyNumberFormat="1" applyFont="1" applyFill="1" applyBorder="1" applyAlignment="1">
      <alignment horizontal="right"/>
    </xf>
    <xf numFmtId="167" fontId="138" fillId="0" borderId="0" xfId="0" applyNumberFormat="1" applyFont="1" applyFill="1"/>
    <xf numFmtId="175" fontId="43" fillId="0" borderId="0" xfId="23" applyNumberFormat="1" applyFont="1" applyBorder="1"/>
    <xf numFmtId="175" fontId="43" fillId="0" borderId="0" xfId="23" applyNumberFormat="1" applyFont="1" applyBorder="1" applyAlignment="1">
      <alignment horizontal="left" indent="1"/>
    </xf>
    <xf numFmtId="175" fontId="43" fillId="0" borderId="0" xfId="23" applyNumberFormat="1" applyFont="1" applyFill="1" applyBorder="1" applyAlignment="1">
      <alignment horizontal="left" indent="1"/>
    </xf>
    <xf numFmtId="37" fontId="142" fillId="0" borderId="0" xfId="0" applyNumberFormat="1" applyFont="1"/>
    <xf numFmtId="170" fontId="141" fillId="0" borderId="0" xfId="19" applyNumberFormat="1" applyFont="1" applyFill="1" applyBorder="1"/>
    <xf numFmtId="254" fontId="17" fillId="0" borderId="0" xfId="0" quotePrefix="1" applyNumberFormat="1" applyFont="1" applyFill="1" applyAlignment="1" applyProtection="1">
      <alignment horizontal="left"/>
    </xf>
    <xf numFmtId="254" fontId="17" fillId="5" borderId="0" xfId="0" quotePrefix="1" applyNumberFormat="1" applyFont="1" applyFill="1" applyAlignment="1" applyProtection="1">
      <alignment horizontal="left"/>
    </xf>
    <xf numFmtId="254" fontId="138" fillId="0" borderId="0" xfId="0" quotePrefix="1" applyNumberFormat="1" applyFont="1" applyFill="1" applyAlignment="1" applyProtection="1">
      <alignment horizontal="left"/>
    </xf>
    <xf numFmtId="254" fontId="4" fillId="0" borderId="0" xfId="0" quotePrefix="1" applyNumberFormat="1" applyFont="1" applyFill="1" applyAlignment="1" applyProtection="1">
      <alignment horizontal="left"/>
    </xf>
    <xf numFmtId="9" fontId="13" fillId="0" borderId="0" xfId="37" applyNumberFormat="1" applyFont="1" applyFill="1" applyBorder="1"/>
    <xf numFmtId="183" fontId="20" fillId="0" borderId="5" xfId="33" applyFont="1" applyBorder="1" applyAlignment="1" applyProtection="1"/>
    <xf numFmtId="207" fontId="23" fillId="0" borderId="13" xfId="29" applyNumberFormat="1" applyFont="1" applyFill="1" applyBorder="1" applyAlignment="1">
      <alignment horizontal="right"/>
    </xf>
    <xf numFmtId="170" fontId="138" fillId="0" borderId="2" xfId="0" applyNumberFormat="1" applyFont="1" applyFill="1" applyBorder="1"/>
    <xf numFmtId="186" fontId="138" fillId="0" borderId="2" xfId="0" applyNumberFormat="1" applyFont="1" applyFill="1" applyBorder="1"/>
    <xf numFmtId="204" fontId="138" fillId="0" borderId="2" xfId="0" applyNumberFormat="1" applyFont="1" applyFill="1" applyBorder="1" applyAlignment="1">
      <alignment horizontal="right"/>
    </xf>
    <xf numFmtId="204" fontId="138" fillId="0" borderId="14" xfId="0" applyNumberFormat="1" applyFont="1" applyFill="1" applyBorder="1" applyAlignment="1">
      <alignment horizontal="right"/>
    </xf>
    <xf numFmtId="170" fontId="138" fillId="0" borderId="0" xfId="0" applyNumberFormat="1" applyFont="1" applyFill="1"/>
    <xf numFmtId="220" fontId="141" fillId="0" borderId="20" xfId="29" applyNumberFormat="1" applyFont="1" applyFill="1" applyBorder="1" applyAlignment="1">
      <alignment horizontal="right"/>
    </xf>
    <xf numFmtId="172" fontId="140" fillId="0" borderId="0" xfId="0" applyNumberFormat="1" applyFont="1"/>
    <xf numFmtId="172" fontId="140" fillId="0" borderId="0" xfId="0" applyNumberFormat="1" applyFont="1" applyFill="1"/>
    <xf numFmtId="172" fontId="140" fillId="0" borderId="2" xfId="0" applyNumberFormat="1" applyFont="1" applyBorder="1"/>
    <xf numFmtId="0" fontId="141" fillId="0" borderId="0" xfId="0" applyFont="1" applyFill="1"/>
    <xf numFmtId="172" fontId="140" fillId="0" borderId="2" xfId="0" applyNumberFormat="1" applyFont="1" applyFill="1" applyBorder="1"/>
    <xf numFmtId="174" fontId="140" fillId="0" borderId="0" xfId="0" applyNumberFormat="1" applyFont="1" applyFill="1"/>
    <xf numFmtId="0" fontId="141" fillId="0" borderId="0" xfId="0" applyFont="1"/>
    <xf numFmtId="174" fontId="140" fillId="0" borderId="0" xfId="0" applyNumberFormat="1" applyFont="1"/>
    <xf numFmtId="170" fontId="140" fillId="0" borderId="0" xfId="0" applyNumberFormat="1" applyFont="1" applyFill="1"/>
    <xf numFmtId="170" fontId="140" fillId="0" borderId="0" xfId="0" applyNumberFormat="1" applyFont="1"/>
    <xf numFmtId="177" fontId="140" fillId="0" borderId="0" xfId="0" applyNumberFormat="1" applyFont="1" applyFill="1"/>
    <xf numFmtId="170" fontId="140" fillId="0" borderId="2" xfId="0" applyNumberFormat="1" applyFont="1" applyFill="1" applyBorder="1"/>
    <xf numFmtId="175" fontId="140" fillId="0" borderId="0" xfId="0" applyNumberFormat="1" applyFont="1" applyFill="1"/>
    <xf numFmtId="167" fontId="140" fillId="0" borderId="0" xfId="0" applyNumberFormat="1" applyFont="1" applyFill="1"/>
    <xf numFmtId="175" fontId="140" fillId="0" borderId="0" xfId="0" applyNumberFormat="1" applyFont="1"/>
    <xf numFmtId="170" fontId="140" fillId="0" borderId="0" xfId="0" applyNumberFormat="1" applyFont="1" applyBorder="1"/>
    <xf numFmtId="170" fontId="140" fillId="0" borderId="2" xfId="0" applyNumberFormat="1" applyFont="1" applyBorder="1"/>
    <xf numFmtId="170" fontId="140" fillId="0" borderId="0" xfId="0" applyNumberFormat="1" applyFont="1" applyFill="1" applyBorder="1"/>
    <xf numFmtId="175" fontId="138" fillId="0" borderId="0" xfId="0" applyNumberFormat="1" applyFont="1" applyFill="1" applyProtection="1"/>
    <xf numFmtId="175" fontId="138" fillId="0" borderId="0" xfId="0" applyNumberFormat="1" applyFont="1" applyFill="1"/>
    <xf numFmtId="174" fontId="138" fillId="0" borderId="0" xfId="0" applyNumberFormat="1" applyFont="1" applyFill="1"/>
    <xf numFmtId="185" fontId="138" fillId="0" borderId="0" xfId="0" applyNumberFormat="1" applyFont="1" applyFill="1"/>
    <xf numFmtId="0" fontId="8" fillId="0" borderId="1" xfId="0" applyFont="1" applyBorder="1"/>
    <xf numFmtId="211" fontId="141" fillId="0" borderId="0" xfId="29" applyNumberFormat="1" applyFont="1" applyFill="1" applyBorder="1" applyAlignment="1">
      <alignment horizontal="right"/>
    </xf>
    <xf numFmtId="222" fontId="141" fillId="0" borderId="0" xfId="29" applyNumberFormat="1" applyFont="1" applyFill="1" applyBorder="1" applyAlignment="1">
      <alignment horizontal="right"/>
    </xf>
    <xf numFmtId="168" fontId="8" fillId="0" borderId="0" xfId="37" applyNumberFormat="1" applyFont="1" applyFill="1" applyBorder="1" applyAlignment="1">
      <alignment horizontal="right"/>
    </xf>
    <xf numFmtId="210" fontId="8" fillId="0" borderId="0" xfId="19" applyNumberFormat="1" applyFont="1" applyFill="1" applyBorder="1"/>
    <xf numFmtId="0" fontId="143" fillId="0" borderId="0" xfId="0" applyFont="1"/>
    <xf numFmtId="9" fontId="8" fillId="0" borderId="0" xfId="37" applyNumberFormat="1" applyFont="1" applyFill="1" applyBorder="1"/>
    <xf numFmtId="168" fontId="8" fillId="0" borderId="0" xfId="33" applyNumberFormat="1" applyFont="1" applyFill="1" applyBorder="1" applyAlignment="1" applyProtection="1">
      <alignment horizontal="center"/>
    </xf>
    <xf numFmtId="168" fontId="12" fillId="0" borderId="0" xfId="33" applyNumberFormat="1" applyFont="1" applyFill="1" applyBorder="1" applyAlignment="1" applyProtection="1">
      <alignment horizontal="center"/>
    </xf>
    <xf numFmtId="218" fontId="41" fillId="3" borderId="0" xfId="0" applyNumberFormat="1" applyFont="1" applyFill="1" applyAlignment="1"/>
    <xf numFmtId="218" fontId="41" fillId="3" borderId="0" xfId="0" applyNumberFormat="1" applyFont="1" applyFill="1" applyAlignment="1">
      <alignment horizontal="left"/>
    </xf>
    <xf numFmtId="175" fontId="4" fillId="0" borderId="0" xfId="15" applyNumberFormat="1" applyFont="1" applyFill="1"/>
    <xf numFmtId="186" fontId="4" fillId="0" borderId="0" xfId="0" applyNumberFormat="1" applyFont="1" applyFill="1" applyBorder="1"/>
    <xf numFmtId="167" fontId="144" fillId="0" borderId="0" xfId="0" applyNumberFormat="1" applyFont="1" applyFill="1"/>
    <xf numFmtId="186" fontId="144" fillId="0" borderId="2" xfId="0" applyNumberFormat="1" applyFont="1" applyFill="1" applyBorder="1"/>
    <xf numFmtId="186" fontId="144" fillId="0" borderId="0" xfId="0" applyNumberFormat="1" applyFont="1" applyFill="1"/>
    <xf numFmtId="249" fontId="4" fillId="0" borderId="26" xfId="0" applyNumberFormat="1" applyFont="1" applyFill="1" applyBorder="1" applyAlignment="1">
      <alignment horizontal="center"/>
    </xf>
    <xf numFmtId="249" fontId="4" fillId="0" borderId="3" xfId="0" applyNumberFormat="1" applyFont="1" applyFill="1" applyBorder="1" applyAlignment="1">
      <alignment horizontal="center"/>
    </xf>
    <xf numFmtId="249" fontId="4" fillId="0" borderId="16" xfId="0" applyNumberFormat="1" applyFont="1" applyFill="1" applyBorder="1" applyAlignment="1">
      <alignment horizontal="center"/>
    </xf>
    <xf numFmtId="0" fontId="4" fillId="5" borderId="0" xfId="35" applyNumberFormat="1" applyFont="1" applyFill="1" applyAlignment="1">
      <alignment horizontal="right"/>
    </xf>
    <xf numFmtId="193" fontId="145" fillId="0" borderId="28" xfId="0" applyNumberFormat="1" applyFont="1" applyFill="1" applyBorder="1" applyAlignment="1" applyProtection="1">
      <alignment horizontal="center"/>
    </xf>
    <xf numFmtId="37" fontId="4" fillId="5" borderId="28" xfId="0" applyNumberFormat="1" applyFont="1" applyFill="1" applyBorder="1" applyAlignment="1" applyProtection="1">
      <alignment horizontal="center"/>
    </xf>
    <xf numFmtId="37" fontId="4" fillId="5" borderId="28" xfId="35" applyNumberFormat="1" applyFont="1" applyFill="1" applyBorder="1" applyAlignment="1">
      <alignment horizontal="center"/>
    </xf>
    <xf numFmtId="6" fontId="4" fillId="5" borderId="28" xfId="18" applyNumberFormat="1" applyFont="1" applyFill="1" applyBorder="1" applyAlignment="1" applyProtection="1">
      <alignment horizontal="center"/>
    </xf>
    <xf numFmtId="7" fontId="10" fillId="5" borderId="28" xfId="35" applyNumberFormat="1" applyFont="1" applyFill="1" applyBorder="1" applyAlignment="1">
      <alignment horizontal="center"/>
    </xf>
    <xf numFmtId="0" fontId="44" fillId="0" borderId="0" xfId="23" applyNumberFormat="1" applyFont="1" applyAlignment="1">
      <alignment horizontal="center"/>
    </xf>
    <xf numFmtId="170" fontId="146" fillId="0" borderId="2" xfId="0" applyNumberFormat="1" applyFont="1" applyFill="1" applyBorder="1"/>
    <xf numFmtId="186" fontId="146" fillId="0" borderId="2" xfId="0" applyNumberFormat="1" applyFont="1" applyFill="1" applyBorder="1"/>
    <xf numFmtId="204" fontId="146" fillId="0" borderId="2" xfId="0" applyNumberFormat="1" applyFont="1" applyFill="1" applyBorder="1" applyAlignment="1">
      <alignment horizontal="right"/>
    </xf>
    <xf numFmtId="204" fontId="146" fillId="0" borderId="14" xfId="0" applyNumberFormat="1" applyFont="1" applyFill="1" applyBorder="1" applyAlignment="1">
      <alignment horizontal="right"/>
    </xf>
    <xf numFmtId="170" fontId="146" fillId="0" borderId="0" xfId="0" applyNumberFormat="1" applyFont="1" applyFill="1"/>
    <xf numFmtId="254" fontId="146" fillId="0" borderId="0" xfId="0" quotePrefix="1" applyNumberFormat="1" applyFont="1" applyFill="1" applyAlignment="1" applyProtection="1">
      <alignment horizontal="left"/>
    </xf>
    <xf numFmtId="206" fontId="147" fillId="0" borderId="0" xfId="37" applyNumberFormat="1" applyFont="1" applyFill="1" applyBorder="1" applyAlignment="1">
      <alignment horizontal="center"/>
    </xf>
    <xf numFmtId="220" fontId="148" fillId="0" borderId="20" xfId="29" applyNumberFormat="1" applyFont="1" applyFill="1" applyBorder="1" applyAlignment="1">
      <alignment horizontal="right"/>
    </xf>
    <xf numFmtId="211" fontId="8" fillId="0" borderId="1" xfId="10" applyNumberFormat="1" applyFont="1" applyBorder="1"/>
    <xf numFmtId="186" fontId="149" fillId="0" borderId="0" xfId="0" applyNumberFormat="1" applyFont="1" applyFill="1" applyBorder="1"/>
    <xf numFmtId="186" fontId="149" fillId="0" borderId="2" xfId="0" applyNumberFormat="1" applyFont="1" applyFill="1" applyBorder="1"/>
    <xf numFmtId="183" fontId="11" fillId="0" borderId="5" xfId="33" quotePrefix="1" applyFont="1" applyFill="1" applyBorder="1" applyAlignment="1" applyProtection="1">
      <alignment horizontal="center"/>
    </xf>
    <xf numFmtId="175" fontId="150" fillId="0" borderId="0" xfId="0" applyNumberFormat="1" applyFont="1" applyFill="1" applyProtection="1"/>
    <xf numFmtId="0" fontId="151" fillId="0" borderId="0" xfId="0" applyFont="1"/>
    <xf numFmtId="254" fontId="150" fillId="0" borderId="0" xfId="0" quotePrefix="1" applyNumberFormat="1" applyFont="1" applyFill="1" applyAlignment="1" applyProtection="1">
      <alignment horizontal="left"/>
    </xf>
    <xf numFmtId="175" fontId="150" fillId="0" borderId="0" xfId="0" applyNumberFormat="1" applyFont="1" applyFill="1"/>
    <xf numFmtId="0" fontId="44" fillId="0" borderId="0" xfId="37" quotePrefix="1" applyNumberFormat="1" applyFont="1" applyBorder="1" applyAlignment="1">
      <alignment horizontal="center"/>
    </xf>
    <xf numFmtId="0" fontId="40" fillId="0" borderId="2" xfId="37" applyNumberFormat="1" applyFont="1" applyBorder="1" applyAlignment="1">
      <alignment horizontal="center"/>
    </xf>
    <xf numFmtId="0" fontId="44" fillId="0" borderId="2" xfId="37" applyNumberFormat="1" applyFont="1" applyBorder="1" applyAlignment="1">
      <alignment horizontal="center"/>
    </xf>
    <xf numFmtId="0" fontId="44" fillId="0" borderId="0" xfId="37" applyNumberFormat="1" applyFont="1" applyBorder="1" applyAlignment="1">
      <alignment horizontal="center"/>
    </xf>
    <xf numFmtId="0" fontId="30" fillId="0" borderId="2" xfId="37" applyNumberFormat="1" applyFont="1" applyBorder="1" applyAlignment="1">
      <alignment horizontal="center"/>
    </xf>
    <xf numFmtId="219" fontId="30" fillId="0" borderId="2" xfId="37" applyNumberFormat="1" applyFont="1" applyBorder="1" applyAlignment="1">
      <alignment horizontal="center"/>
    </xf>
    <xf numFmtId="0" fontId="72" fillId="0" borderId="2" xfId="37" applyNumberFormat="1" applyFont="1" applyBorder="1" applyAlignment="1">
      <alignment horizontal="center"/>
    </xf>
    <xf numFmtId="0" fontId="72" fillId="0" borderId="0" xfId="23" applyNumberFormat="1" applyFont="1" applyAlignment="1">
      <alignment horizontal="center"/>
    </xf>
    <xf numFmtId="0" fontId="72" fillId="0" borderId="5" xfId="37" applyNumberFormat="1" applyFont="1" applyBorder="1" applyAlignment="1">
      <alignment horizontal="center"/>
    </xf>
    <xf numFmtId="0" fontId="30" fillId="0" borderId="5" xfId="37" applyNumberFormat="1" applyFont="1" applyBorder="1" applyAlignment="1">
      <alignment horizontal="center"/>
    </xf>
    <xf numFmtId="0" fontId="102" fillId="0" borderId="0" xfId="23" applyNumberFormat="1" applyFont="1" applyAlignment="1">
      <alignment horizontal="center"/>
    </xf>
    <xf numFmtId="202" fontId="4" fillId="0" borderId="0" xfId="0" applyNumberFormat="1" applyFont="1" applyAlignment="1">
      <alignment horizontal="center"/>
    </xf>
    <xf numFmtId="167" fontId="152" fillId="0" borderId="0" xfId="0" applyNumberFormat="1" applyFont="1" applyFill="1"/>
    <xf numFmtId="169" fontId="153" fillId="0" borderId="2" xfId="29" applyNumberFormat="1" applyFont="1" applyFill="1" applyBorder="1" applyAlignment="1">
      <alignment horizontal="right"/>
    </xf>
    <xf numFmtId="202" fontId="152" fillId="0" borderId="0" xfId="0" applyNumberFormat="1" applyFont="1" applyFill="1" applyBorder="1"/>
    <xf numFmtId="167" fontId="152" fillId="0" borderId="2" xfId="0" applyNumberFormat="1" applyFont="1" applyFill="1" applyBorder="1"/>
    <xf numFmtId="1" fontId="152" fillId="0" borderId="0" xfId="0" applyNumberFormat="1" applyFont="1" applyFill="1" applyBorder="1"/>
    <xf numFmtId="1" fontId="152" fillId="0" borderId="2" xfId="0" applyNumberFormat="1" applyFont="1" applyFill="1" applyBorder="1"/>
    <xf numFmtId="202" fontId="4" fillId="5" borderId="0" xfId="0" applyNumberFormat="1" applyFont="1" applyFill="1"/>
    <xf numFmtId="44" fontId="0" fillId="0" borderId="0" xfId="15" applyFont="1"/>
    <xf numFmtId="0" fontId="0" fillId="0" borderId="0" xfId="0"/>
    <xf numFmtId="0" fontId="4" fillId="13" borderId="0" xfId="0" applyFont="1" applyFill="1"/>
    <xf numFmtId="172" fontId="4" fillId="13" borderId="0" xfId="0" applyNumberFormat="1" applyFont="1" applyFill="1"/>
    <xf numFmtId="194" fontId="4" fillId="13" borderId="0" xfId="0" applyNumberFormat="1" applyFont="1" applyFill="1"/>
    <xf numFmtId="195" fontId="4" fillId="13" borderId="0" xfId="0" applyNumberFormat="1" applyFont="1" applyFill="1"/>
    <xf numFmtId="200" fontId="154" fillId="0" borderId="2" xfId="0" applyNumberFormat="1" applyFont="1" applyBorder="1" applyAlignment="1">
      <alignment horizontal="center"/>
    </xf>
    <xf numFmtId="0" fontId="155" fillId="0" borderId="2" xfId="0" applyFont="1" applyBorder="1" applyAlignment="1">
      <alignment horizontal="center"/>
    </xf>
    <xf numFmtId="4" fontId="23" fillId="0" borderId="0" xfId="0" applyNumberFormat="1" applyFont="1" applyFill="1" applyBorder="1"/>
    <xf numFmtId="217" fontId="4" fillId="0" borderId="0" xfId="0" applyNumberFormat="1" applyFont="1" applyFill="1" applyBorder="1" applyAlignment="1">
      <alignment horizontal="right"/>
    </xf>
    <xf numFmtId="0" fontId="8" fillId="13" borderId="0" xfId="0" applyFont="1" applyFill="1" applyBorder="1" applyAlignment="1">
      <alignment horizontal="left"/>
    </xf>
    <xf numFmtId="0" fontId="8" fillId="13" borderId="1" xfId="0" applyFont="1" applyFill="1" applyBorder="1" applyAlignment="1">
      <alignment horizontal="left"/>
    </xf>
    <xf numFmtId="195" fontId="17" fillId="13" borderId="0" xfId="37" applyNumberFormat="1" applyFont="1" applyFill="1" applyBorder="1" applyAlignment="1">
      <alignment horizontal="center"/>
    </xf>
    <xf numFmtId="0" fontId="4" fillId="13" borderId="0" xfId="0" applyFont="1" applyFill="1" applyBorder="1" applyAlignment="1">
      <alignment horizontal="center"/>
    </xf>
    <xf numFmtId="194" fontId="17" fillId="13" borderId="0" xfId="0" applyNumberFormat="1" applyFont="1" applyFill="1" applyBorder="1" applyAlignment="1">
      <alignment horizontal="left"/>
    </xf>
    <xf numFmtId="211" fontId="69" fillId="13" borderId="1" xfId="29" applyNumberFormat="1" applyFont="1" applyFill="1" applyBorder="1" applyAlignment="1">
      <alignment horizontal="right"/>
    </xf>
    <xf numFmtId="195" fontId="31" fillId="13" borderId="0" xfId="37" applyNumberFormat="1" applyFont="1" applyFill="1" applyBorder="1" applyAlignment="1">
      <alignment horizontal="center"/>
    </xf>
    <xf numFmtId="220" fontId="76" fillId="13" borderId="1" xfId="29" applyNumberFormat="1" applyFont="1" applyFill="1" applyBorder="1" applyAlignment="1">
      <alignment horizontal="right"/>
    </xf>
    <xf numFmtId="220" fontId="76" fillId="13" borderId="20" xfId="29" applyNumberFormat="1" applyFont="1" applyFill="1" applyBorder="1" applyAlignment="1">
      <alignment horizontal="right"/>
    </xf>
    <xf numFmtId="194" fontId="4" fillId="13" borderId="0" xfId="0" applyNumberFormat="1" applyFont="1" applyFill="1" applyBorder="1" applyAlignment="1">
      <alignment horizontal="left"/>
    </xf>
    <xf numFmtId="193" fontId="43" fillId="0" borderId="0" xfId="37" applyNumberFormat="1" applyFont="1" applyBorder="1" applyAlignment="1">
      <alignment horizontal="right"/>
    </xf>
    <xf numFmtId="168" fontId="17" fillId="0" borderId="0" xfId="38" applyNumberFormat="1" applyFont="1" applyFill="1"/>
    <xf numFmtId="182" fontId="23" fillId="0" borderId="0" xfId="0" applyNumberFormat="1" applyFont="1" applyFill="1"/>
    <xf numFmtId="3" fontId="23" fillId="0" borderId="0" xfId="0" applyNumberFormat="1" applyFont="1" applyFill="1"/>
    <xf numFmtId="1" fontId="4" fillId="0" borderId="0" xfId="0" applyNumberFormat="1" applyFont="1" applyFill="1" applyBorder="1" applyAlignment="1">
      <alignment horizontal="right"/>
    </xf>
    <xf numFmtId="4" fontId="4" fillId="0" borderId="14" xfId="0" applyNumberFormat="1" applyFont="1" applyFill="1" applyBorder="1"/>
    <xf numFmtId="3" fontId="4" fillId="0" borderId="14" xfId="0" applyNumberFormat="1" applyFont="1" applyFill="1" applyBorder="1"/>
    <xf numFmtId="9" fontId="0" fillId="0" borderId="19" xfId="0" applyNumberFormat="1" applyFill="1" applyBorder="1"/>
    <xf numFmtId="0" fontId="4" fillId="14" borderId="0" xfId="0" applyFont="1" applyFill="1"/>
    <xf numFmtId="37" fontId="23" fillId="14" borderId="0" xfId="29" applyNumberFormat="1" applyFont="1" applyFill="1" applyBorder="1" applyAlignment="1">
      <alignment horizontal="right"/>
    </xf>
    <xf numFmtId="218" fontId="41" fillId="14" borderId="0" xfId="0" applyNumberFormat="1" applyFont="1" applyFill="1" applyAlignment="1"/>
    <xf numFmtId="216" fontId="23" fillId="14" borderId="0" xfId="0" applyNumberFormat="1" applyFont="1" applyFill="1" applyAlignment="1">
      <alignment horizontal="left"/>
    </xf>
    <xf numFmtId="207" fontId="23" fillId="14" borderId="0" xfId="29" applyNumberFormat="1" applyFont="1" applyFill="1" applyAlignment="1">
      <alignment horizontal="right"/>
    </xf>
    <xf numFmtId="215" fontId="23" fillId="14" borderId="0" xfId="0" applyNumberFormat="1" applyFont="1" applyFill="1" applyAlignment="1">
      <alignment horizontal="right"/>
    </xf>
    <xf numFmtId="0" fontId="23" fillId="14" borderId="0" xfId="0" applyFont="1" applyFill="1"/>
    <xf numFmtId="37" fontId="32" fillId="14" borderId="0" xfId="29" applyNumberFormat="1" applyFont="1" applyFill="1" applyBorder="1" applyAlignment="1">
      <alignment horizontal="right"/>
    </xf>
    <xf numFmtId="218" fontId="41" fillId="14" borderId="0" xfId="0" applyNumberFormat="1" applyFont="1" applyFill="1" applyAlignment="1">
      <alignment horizontal="right"/>
    </xf>
    <xf numFmtId="207" fontId="23" fillId="14" borderId="0" xfId="29" applyNumberFormat="1" applyFont="1" applyFill="1" applyBorder="1" applyAlignment="1">
      <alignment horizontal="right"/>
    </xf>
    <xf numFmtId="195" fontId="23" fillId="14" borderId="0" xfId="37" applyNumberFormat="1" applyFont="1" applyFill="1" applyAlignment="1">
      <alignment horizontal="left"/>
    </xf>
    <xf numFmtId="218" fontId="41" fillId="14" borderId="0" xfId="0" applyNumberFormat="1" applyFont="1" applyFill="1" applyAlignment="1">
      <alignment horizontal="left"/>
    </xf>
    <xf numFmtId="37" fontId="23" fillId="14" borderId="0" xfId="29" applyNumberFormat="1" applyFont="1" applyFill="1" applyAlignment="1">
      <alignment horizontal="right"/>
    </xf>
    <xf numFmtId="218" fontId="34" fillId="14" borderId="0" xfId="0" applyNumberFormat="1" applyFont="1" applyFill="1" applyAlignment="1">
      <alignment horizontal="center"/>
    </xf>
    <xf numFmtId="218" fontId="34" fillId="14" borderId="0" xfId="0" applyNumberFormat="1" applyFont="1" applyFill="1" applyBorder="1" applyAlignment="1">
      <alignment horizontal="left"/>
    </xf>
    <xf numFmtId="1" fontId="34" fillId="14" borderId="0" xfId="0" applyNumberFormat="1" applyFont="1" applyFill="1" applyBorder="1" applyAlignment="1">
      <alignment horizontal="left"/>
    </xf>
    <xf numFmtId="168" fontId="23" fillId="14" borderId="0" xfId="37" applyNumberFormat="1" applyFont="1" applyFill="1" applyAlignment="1"/>
    <xf numFmtId="168" fontId="23" fillId="14" borderId="0" xfId="37" applyNumberFormat="1" applyFont="1" applyFill="1"/>
    <xf numFmtId="168" fontId="23" fillId="14" borderId="0" xfId="37" applyNumberFormat="1" applyFont="1" applyFill="1" applyBorder="1"/>
    <xf numFmtId="0" fontId="0" fillId="14" borderId="0" xfId="0" applyFill="1"/>
    <xf numFmtId="37" fontId="23" fillId="14" borderId="2" xfId="29" applyNumberFormat="1" applyFont="1" applyFill="1" applyBorder="1" applyAlignment="1">
      <alignment horizontal="right"/>
    </xf>
    <xf numFmtId="218" fontId="34" fillId="14" borderId="0" xfId="0" applyNumberFormat="1" applyFont="1" applyFill="1" applyAlignment="1"/>
    <xf numFmtId="207" fontId="23" fillId="14" borderId="2" xfId="29" applyNumberFormat="1" applyFont="1" applyFill="1" applyBorder="1" applyAlignment="1">
      <alignment horizontal="right"/>
    </xf>
    <xf numFmtId="218" fontId="34" fillId="14" borderId="0" xfId="0" applyNumberFormat="1" applyFont="1" applyFill="1" applyAlignment="1">
      <alignment horizontal="right"/>
    </xf>
    <xf numFmtId="207" fontId="23" fillId="14" borderId="13" xfId="29" applyNumberFormat="1" applyFont="1" applyFill="1" applyBorder="1" applyAlignment="1">
      <alignment horizontal="right"/>
    </xf>
    <xf numFmtId="37" fontId="23" fillId="14" borderId="0" xfId="29" applyNumberFormat="1" applyFont="1" applyFill="1" applyBorder="1" applyAlignment="1">
      <alignment horizontal="left"/>
    </xf>
    <xf numFmtId="168" fontId="23" fillId="14" borderId="2" xfId="37" applyNumberFormat="1" applyFont="1" applyFill="1" applyBorder="1"/>
    <xf numFmtId="217" fontId="32" fillId="14" borderId="0" xfId="0" applyNumberFormat="1" applyFont="1" applyFill="1" applyAlignment="1">
      <alignment horizontal="right"/>
    </xf>
    <xf numFmtId="217" fontId="32" fillId="14" borderId="0" xfId="0" applyNumberFormat="1" applyFont="1" applyFill="1" applyAlignment="1">
      <alignment horizontal="left"/>
    </xf>
    <xf numFmtId="217" fontId="23" fillId="14" borderId="0" xfId="0" applyNumberFormat="1" applyFont="1" applyFill="1" applyAlignment="1">
      <alignment horizontal="center"/>
    </xf>
    <xf numFmtId="168" fontId="23" fillId="14" borderId="14" xfId="37" applyNumberFormat="1" applyFont="1" applyFill="1" applyBorder="1"/>
    <xf numFmtId="0" fontId="4" fillId="14" borderId="0" xfId="0" applyFont="1" applyFill="1" applyAlignment="1">
      <alignment horizontal="left"/>
    </xf>
    <xf numFmtId="202" fontId="4" fillId="14" borderId="0" xfId="0" applyNumberFormat="1" applyFont="1" applyFill="1"/>
    <xf numFmtId="1" fontId="4" fillId="14" borderId="0" xfId="0" applyNumberFormat="1" applyFont="1" applyFill="1" applyAlignment="1">
      <alignment horizontal="center"/>
    </xf>
    <xf numFmtId="0" fontId="4" fillId="14" borderId="0" xfId="0" applyFont="1" applyFill="1" applyAlignment="1">
      <alignment horizontal="center"/>
    </xf>
    <xf numFmtId="173" fontId="4" fillId="14" borderId="0" xfId="0" applyNumberFormat="1" applyFont="1" applyFill="1"/>
    <xf numFmtId="167" fontId="4" fillId="14" borderId="0" xfId="0" applyNumberFormat="1" applyFont="1" applyFill="1"/>
    <xf numFmtId="40" fontId="4" fillId="14" borderId="0" xfId="0" applyNumberFormat="1" applyFont="1" applyFill="1"/>
    <xf numFmtId="0" fontId="4" fillId="14" borderId="0" xfId="0" applyFont="1" applyFill="1" applyBorder="1"/>
    <xf numFmtId="0" fontId="14" fillId="14" borderId="0" xfId="0" quotePrefix="1" applyFont="1" applyFill="1" applyAlignment="1">
      <alignment horizontal="left"/>
    </xf>
    <xf numFmtId="198" fontId="14" fillId="14" borderId="0" xfId="0" applyNumberFormat="1" applyFont="1" applyFill="1" applyAlignment="1">
      <alignment horizontal="left"/>
    </xf>
    <xf numFmtId="37" fontId="4" fillId="14" borderId="0" xfId="0" applyNumberFormat="1" applyFont="1" applyFill="1"/>
    <xf numFmtId="1" fontId="4" fillId="14" borderId="0" xfId="0" applyNumberFormat="1" applyFont="1" applyFill="1"/>
    <xf numFmtId="1" fontId="4" fillId="14" borderId="0" xfId="0" applyNumberFormat="1" applyFont="1" applyFill="1" applyBorder="1"/>
    <xf numFmtId="185" fontId="4" fillId="14" borderId="0" xfId="0" applyNumberFormat="1" applyFont="1" applyFill="1"/>
    <xf numFmtId="0" fontId="17" fillId="14" borderId="0" xfId="0" applyFont="1" applyFill="1"/>
    <xf numFmtId="181" fontId="4" fillId="14" borderId="0" xfId="0" applyNumberFormat="1" applyFont="1" applyFill="1"/>
    <xf numFmtId="202" fontId="4" fillId="14" borderId="0" xfId="0" applyNumberFormat="1" applyFont="1" applyFill="1" applyBorder="1"/>
    <xf numFmtId="173" fontId="25" fillId="14" borderId="0" xfId="0" applyNumberFormat="1" applyFont="1" applyFill="1"/>
    <xf numFmtId="182" fontId="4" fillId="14" borderId="0" xfId="0" applyNumberFormat="1" applyFont="1" applyFill="1"/>
    <xf numFmtId="212" fontId="4" fillId="14" borderId="0" xfId="15" applyNumberFormat="1" applyFont="1" applyFill="1" applyBorder="1"/>
    <xf numFmtId="168" fontId="4" fillId="14" borderId="0" xfId="37" applyNumberFormat="1" applyFont="1" applyFill="1" applyBorder="1"/>
    <xf numFmtId="166" fontId="4" fillId="14" borderId="0" xfId="0" applyNumberFormat="1" applyFont="1" applyFill="1"/>
    <xf numFmtId="4" fontId="4" fillId="14" borderId="0" xfId="0" applyNumberFormat="1" applyFont="1" applyFill="1"/>
    <xf numFmtId="0" fontId="11" fillId="0" borderId="0" xfId="0" applyFont="1" applyAlignment="1">
      <alignment horizontal="center"/>
    </xf>
    <xf numFmtId="0" fontId="0" fillId="0" borderId="0" xfId="0"/>
    <xf numFmtId="0" fontId="11" fillId="0" borderId="0" xfId="0" applyFont="1" applyFill="1"/>
    <xf numFmtId="200" fontId="154" fillId="0" borderId="2" xfId="0" applyNumberFormat="1" applyFont="1" applyFill="1" applyBorder="1" applyAlignment="1">
      <alignment horizontal="center"/>
    </xf>
    <xf numFmtId="195" fontId="23" fillId="0" borderId="0" xfId="0" applyNumberFormat="1" applyFont="1" applyFill="1"/>
    <xf numFmtId="195" fontId="23" fillId="0" borderId="0" xfId="0" applyNumberFormat="1" applyFont="1" applyFill="1" applyBorder="1"/>
    <xf numFmtId="200" fontId="40" fillId="0" borderId="2" xfId="0" applyNumberFormat="1" applyFont="1" applyFill="1" applyBorder="1" applyAlignment="1">
      <alignment horizontal="center"/>
    </xf>
    <xf numFmtId="9" fontId="23" fillId="0" borderId="0" xfId="37" applyFont="1" applyFill="1"/>
    <xf numFmtId="168" fontId="32" fillId="0" borderId="0" xfId="37" applyNumberFormat="1" applyFont="1" applyFill="1"/>
    <xf numFmtId="168" fontId="140" fillId="0" borderId="0" xfId="37" applyNumberFormat="1" applyFont="1" applyFill="1"/>
    <xf numFmtId="43" fontId="23" fillId="0" borderId="0" xfId="0" applyNumberFormat="1" applyFont="1" applyFill="1"/>
    <xf numFmtId="0" fontId="23" fillId="0" borderId="0" xfId="0" applyNumberFormat="1" applyFont="1" applyFill="1"/>
    <xf numFmtId="185" fontId="23" fillId="0" borderId="2" xfId="0" applyNumberFormat="1" applyFont="1" applyFill="1" applyBorder="1"/>
    <xf numFmtId="0" fontId="40" fillId="0" borderId="21" xfId="45" applyNumberFormat="1" applyFont="1" applyFill="1" applyBorder="1" applyAlignment="1">
      <alignment horizontal="center"/>
    </xf>
    <xf numFmtId="172" fontId="33" fillId="0" borderId="22" xfId="45" applyFont="1" applyFill="1" applyBorder="1" applyAlignment="1">
      <alignment horizontal="center"/>
    </xf>
    <xf numFmtId="5" fontId="43" fillId="0" borderId="0" xfId="23" applyNumberFormat="1" applyFont="1" applyFill="1" applyBorder="1" applyAlignment="1">
      <alignment horizontal="right"/>
    </xf>
    <xf numFmtId="39" fontId="23" fillId="0" borderId="0" xfId="0" applyNumberFormat="1" applyFont="1" applyFill="1" applyBorder="1"/>
    <xf numFmtId="0" fontId="156" fillId="0" borderId="14" xfId="23" applyFont="1" applyBorder="1" applyAlignment="1">
      <alignment horizontal="right"/>
    </xf>
    <xf numFmtId="0" fontId="43" fillId="0" borderId="0" xfId="23" applyFont="1" applyFill="1"/>
    <xf numFmtId="0" fontId="43" fillId="0" borderId="2" xfId="23" applyFont="1" applyFill="1" applyBorder="1"/>
    <xf numFmtId="172" fontId="139" fillId="0" borderId="0" xfId="45" applyFont="1" applyFill="1" applyAlignment="1">
      <alignment horizontal="center"/>
    </xf>
    <xf numFmtId="172" fontId="46" fillId="0" borderId="0" xfId="45" applyFont="1" applyFill="1" applyAlignment="1">
      <alignment horizontal="center"/>
    </xf>
    <xf numFmtId="5" fontId="43" fillId="0" borderId="0" xfId="23" applyNumberFormat="1" applyFont="1" applyFill="1" applyAlignment="1">
      <alignment horizontal="right"/>
    </xf>
    <xf numFmtId="37" fontId="43" fillId="0" borderId="0" xfId="23" applyNumberFormat="1" applyFont="1" applyFill="1"/>
    <xf numFmtId="2" fontId="43" fillId="0" borderId="0" xfId="23" applyNumberFormat="1" applyFont="1" applyFill="1"/>
    <xf numFmtId="192" fontId="43" fillId="0" borderId="0" xfId="23" applyNumberFormat="1" applyFont="1" applyFill="1"/>
    <xf numFmtId="7" fontId="43" fillId="0" borderId="5" xfId="23" applyNumberFormat="1" applyFont="1" applyFill="1" applyBorder="1" applyAlignment="1">
      <alignment horizontal="right"/>
    </xf>
    <xf numFmtId="170" fontId="43" fillId="0" borderId="0" xfId="23" applyNumberFormat="1" applyFont="1" applyFill="1" applyAlignment="1">
      <alignment horizontal="right"/>
    </xf>
    <xf numFmtId="7" fontId="43" fillId="0" borderId="0" xfId="23" applyNumberFormat="1" applyFont="1" applyFill="1"/>
    <xf numFmtId="193" fontId="43" fillId="0" borderId="0" xfId="37" applyNumberFormat="1" applyFont="1" applyFill="1" applyAlignment="1">
      <alignment horizontal="right"/>
    </xf>
    <xf numFmtId="168" fontId="43" fillId="0" borderId="0" xfId="37" applyNumberFormat="1" applyFont="1" applyFill="1" applyAlignment="1">
      <alignment horizontal="right"/>
    </xf>
    <xf numFmtId="168" fontId="43" fillId="0" borderId="0" xfId="23" applyNumberFormat="1" applyFont="1" applyFill="1"/>
    <xf numFmtId="193" fontId="47" fillId="0" borderId="0" xfId="37" applyNumberFormat="1" applyFont="1" applyFill="1" applyAlignment="1">
      <alignment horizontal="right"/>
    </xf>
    <xf numFmtId="193" fontId="43" fillId="0" borderId="2" xfId="37" applyNumberFormat="1" applyFont="1" applyFill="1" applyBorder="1" applyAlignment="1">
      <alignment horizontal="right"/>
    </xf>
    <xf numFmtId="170" fontId="43" fillId="0" borderId="0" xfId="23" applyNumberFormat="1" applyFont="1" applyFill="1" applyAlignment="1">
      <alignment horizontal="centerContinuous"/>
    </xf>
    <xf numFmtId="0" fontId="0" fillId="0" borderId="14" xfId="0" applyFill="1" applyBorder="1"/>
    <xf numFmtId="39" fontId="23" fillId="0" borderId="0" xfId="0" applyNumberFormat="1" applyFont="1" applyFill="1"/>
    <xf numFmtId="170" fontId="43" fillId="0" borderId="2" xfId="23" applyNumberFormat="1" applyFont="1" applyBorder="1"/>
    <xf numFmtId="0" fontId="33" fillId="0" borderId="8" xfId="45" applyNumberFormat="1" applyFont="1" applyBorder="1" applyAlignment="1">
      <alignment horizontal="right"/>
    </xf>
    <xf numFmtId="4" fontId="23" fillId="0" borderId="1" xfId="0" applyNumberFormat="1" applyFont="1" applyBorder="1"/>
    <xf numFmtId="9" fontId="43" fillId="0" borderId="1" xfId="37" applyNumberFormat="1" applyFont="1" applyFill="1" applyBorder="1" applyAlignment="1">
      <alignment horizontal="right"/>
    </xf>
    <xf numFmtId="9" fontId="107" fillId="0" borderId="1" xfId="37" applyNumberFormat="1" applyFont="1" applyBorder="1"/>
    <xf numFmtId="168" fontId="107" fillId="0" borderId="1" xfId="37" applyNumberFormat="1" applyFont="1" applyBorder="1"/>
    <xf numFmtId="178" fontId="43" fillId="0" borderId="20" xfId="10" applyNumberFormat="1" applyFont="1" applyFill="1" applyBorder="1" applyAlignment="1">
      <alignment horizontal="right"/>
    </xf>
    <xf numFmtId="249" fontId="107" fillId="0" borderId="1" xfId="0" applyNumberFormat="1" applyFont="1" applyBorder="1"/>
    <xf numFmtId="1" fontId="107" fillId="0" borderId="1" xfId="0" applyNumberFormat="1" applyFont="1" applyBorder="1"/>
    <xf numFmtId="1" fontId="107" fillId="0" borderId="20" xfId="0" applyNumberFormat="1" applyFont="1" applyBorder="1"/>
    <xf numFmtId="0" fontId="23" fillId="0" borderId="22" xfId="0" applyFont="1" applyFill="1" applyBorder="1"/>
    <xf numFmtId="5" fontId="43" fillId="0" borderId="22" xfId="23" applyNumberFormat="1" applyFont="1" applyFill="1" applyBorder="1" applyAlignment="1">
      <alignment horizontal="right"/>
    </xf>
    <xf numFmtId="37" fontId="43" fillId="0" borderId="22" xfId="23" applyNumberFormat="1" applyFont="1" applyFill="1" applyBorder="1"/>
    <xf numFmtId="2" fontId="43" fillId="0" borderId="22" xfId="23" applyNumberFormat="1" applyFont="1" applyFill="1" applyBorder="1"/>
    <xf numFmtId="192" fontId="43" fillId="0" borderId="22" xfId="23" applyNumberFormat="1" applyFont="1" applyFill="1" applyBorder="1"/>
    <xf numFmtId="7" fontId="43" fillId="0" borderId="7" xfId="23" applyNumberFormat="1" applyFont="1" applyFill="1" applyBorder="1" applyAlignment="1">
      <alignment horizontal="right"/>
    </xf>
    <xf numFmtId="170" fontId="43" fillId="0" borderId="22" xfId="23" applyNumberFormat="1" applyFont="1" applyFill="1" applyBorder="1" applyAlignment="1">
      <alignment horizontal="right"/>
    </xf>
    <xf numFmtId="0" fontId="43" fillId="0" borderId="22" xfId="23" applyFont="1" applyFill="1" applyBorder="1"/>
    <xf numFmtId="168" fontId="43" fillId="0" borderId="22" xfId="37" applyNumberFormat="1" applyFont="1" applyFill="1" applyBorder="1" applyAlignment="1">
      <alignment horizontal="right"/>
    </xf>
    <xf numFmtId="168" fontId="43" fillId="0" borderId="22" xfId="23" applyNumberFormat="1" applyFont="1" applyFill="1" applyBorder="1"/>
    <xf numFmtId="168" fontId="47" fillId="0" borderId="22" xfId="37" applyNumberFormat="1" applyFont="1" applyFill="1" applyBorder="1" applyAlignment="1">
      <alignment horizontal="right"/>
    </xf>
    <xf numFmtId="168" fontId="43" fillId="0" borderId="23" xfId="37" applyNumberFormat="1" applyFont="1" applyFill="1" applyBorder="1" applyAlignment="1">
      <alignment horizontal="right"/>
    </xf>
    <xf numFmtId="0" fontId="156" fillId="0" borderId="21" xfId="23" applyFont="1" applyBorder="1" applyAlignment="1">
      <alignment horizontal="right"/>
    </xf>
    <xf numFmtId="0" fontId="156" fillId="0" borderId="21" xfId="23" applyFont="1" applyFill="1" applyBorder="1" applyAlignment="1">
      <alignment horizontal="right"/>
    </xf>
    <xf numFmtId="37" fontId="43" fillId="0" borderId="22" xfId="23" applyNumberFormat="1" applyFont="1" applyFill="1" applyBorder="1" applyAlignment="1">
      <alignment horizontal="right"/>
    </xf>
    <xf numFmtId="39" fontId="43" fillId="0" borderId="22" xfId="23" applyNumberFormat="1" applyFont="1" applyFill="1" applyBorder="1" applyAlignment="1">
      <alignment horizontal="right"/>
    </xf>
    <xf numFmtId="6" fontId="43" fillId="0" borderId="23" xfId="15" applyNumberFormat="1" applyFont="1" applyFill="1" applyBorder="1" applyAlignment="1">
      <alignment horizontal="right"/>
    </xf>
    <xf numFmtId="0" fontId="10" fillId="0" borderId="14" xfId="0" applyFont="1" applyFill="1" applyBorder="1" applyAlignment="1">
      <alignment horizontal="center"/>
    </xf>
    <xf numFmtId="231" fontId="114" fillId="0" borderId="0" xfId="0" applyNumberFormat="1" applyFont="1" applyFill="1"/>
    <xf numFmtId="170" fontId="114" fillId="0" borderId="0" xfId="0" applyNumberFormat="1" applyFont="1" applyFill="1"/>
    <xf numFmtId="44" fontId="4" fillId="0" borderId="5" xfId="0" applyNumberFormat="1" applyFont="1" applyFill="1" applyBorder="1"/>
    <xf numFmtId="168" fontId="114" fillId="0" borderId="0" xfId="37" applyNumberFormat="1" applyFont="1" applyFill="1"/>
    <xf numFmtId="0" fontId="130" fillId="0" borderId="0" xfId="0" applyFont="1" applyFill="1"/>
    <xf numFmtId="168" fontId="17" fillId="0" borderId="0" xfId="37" applyNumberFormat="1" applyFont="1" applyFill="1"/>
    <xf numFmtId="44" fontId="130" fillId="0" borderId="0" xfId="0" applyNumberFormat="1" applyFont="1" applyFill="1"/>
    <xf numFmtId="44" fontId="4" fillId="0" borderId="0" xfId="0" applyNumberFormat="1" applyFont="1" applyFill="1" applyBorder="1"/>
    <xf numFmtId="44" fontId="0" fillId="0" borderId="0" xfId="15" applyFont="1" applyFill="1"/>
    <xf numFmtId="175" fontId="157" fillId="0" borderId="0" xfId="0" applyNumberFormat="1" applyFont="1" applyFill="1"/>
    <xf numFmtId="186" fontId="157" fillId="0" borderId="0" xfId="0" applyNumberFormat="1" applyFont="1" applyFill="1"/>
    <xf numFmtId="185" fontId="157" fillId="0" borderId="0" xfId="0" applyNumberFormat="1" applyFont="1" applyFill="1"/>
    <xf numFmtId="167" fontId="157" fillId="0" borderId="0" xfId="0" applyNumberFormat="1" applyFont="1" applyFill="1"/>
    <xf numFmtId="175" fontId="4" fillId="0" borderId="0" xfId="0" applyNumberFormat="1" applyFont="1" applyFill="1" applyBorder="1"/>
    <xf numFmtId="204" fontId="157" fillId="0" borderId="0" xfId="0" applyNumberFormat="1" applyFont="1" applyFill="1" applyAlignment="1">
      <alignment horizontal="right"/>
    </xf>
    <xf numFmtId="204" fontId="157" fillId="0" borderId="0" xfId="0" applyNumberFormat="1" applyFont="1" applyFill="1" applyBorder="1" applyAlignment="1">
      <alignment horizontal="right"/>
    </xf>
    <xf numFmtId="0" fontId="152" fillId="0" borderId="0" xfId="0" applyFont="1" applyFill="1"/>
    <xf numFmtId="167" fontId="4" fillId="0" borderId="0" xfId="0" applyNumberFormat="1" applyFont="1" applyFill="1" applyAlignment="1">
      <alignment horizontal="center"/>
    </xf>
    <xf numFmtId="170" fontId="23" fillId="0" borderId="0" xfId="33" applyNumberFormat="1" applyFont="1" applyBorder="1" applyProtection="1"/>
    <xf numFmtId="0" fontId="40" fillId="0" borderId="14" xfId="45" applyNumberFormat="1" applyFont="1" applyFill="1" applyBorder="1" applyAlignment="1">
      <alignment horizontal="center"/>
    </xf>
    <xf numFmtId="172" fontId="33" fillId="0" borderId="0" xfId="45" applyFont="1" applyFill="1" applyBorder="1" applyAlignment="1">
      <alignment horizontal="center"/>
    </xf>
    <xf numFmtId="37" fontId="43" fillId="0" borderId="0" xfId="23" applyNumberFormat="1" applyFont="1" applyFill="1" applyBorder="1"/>
    <xf numFmtId="2" fontId="43" fillId="0" borderId="0" xfId="23" applyNumberFormat="1" applyFont="1" applyFill="1" applyBorder="1"/>
    <xf numFmtId="192" fontId="43" fillId="0" borderId="0" xfId="23" applyNumberFormat="1" applyFont="1" applyFill="1" applyBorder="1"/>
    <xf numFmtId="168" fontId="43" fillId="0" borderId="0" xfId="23" applyNumberFormat="1" applyFont="1" applyFill="1" applyBorder="1"/>
    <xf numFmtId="168" fontId="47" fillId="0" borderId="0" xfId="37" applyNumberFormat="1" applyFont="1" applyFill="1" applyBorder="1" applyAlignment="1">
      <alignment horizontal="right"/>
    </xf>
    <xf numFmtId="0" fontId="156" fillId="0" borderId="14" xfId="23" applyFont="1" applyFill="1" applyBorder="1" applyAlignment="1">
      <alignment horizontal="right"/>
    </xf>
    <xf numFmtId="37" fontId="43" fillId="0" borderId="0" xfId="23" applyNumberFormat="1" applyFont="1" applyFill="1" applyBorder="1" applyAlignment="1">
      <alignment horizontal="right"/>
    </xf>
    <xf numFmtId="6" fontId="43" fillId="0" borderId="2" xfId="15" applyNumberFormat="1" applyFont="1" applyFill="1" applyBorder="1" applyAlignment="1">
      <alignment horizontal="right"/>
    </xf>
    <xf numFmtId="167" fontId="4" fillId="0" borderId="0" xfId="0" applyNumberFormat="1" applyFont="1" applyFill="1" applyBorder="1" applyAlignment="1">
      <alignment horizontal="center"/>
    </xf>
    <xf numFmtId="211" fontId="1" fillId="0" borderId="1" xfId="29" applyNumberFormat="1" applyFont="1" applyFill="1" applyBorder="1" applyAlignment="1">
      <alignment horizontal="right"/>
    </xf>
    <xf numFmtId="220" fontId="1" fillId="0" borderId="1" xfId="29" applyNumberFormat="1" applyFont="1" applyFill="1" applyBorder="1" applyAlignment="1">
      <alignment horizontal="right"/>
    </xf>
    <xf numFmtId="211" fontId="1" fillId="0" borderId="0" xfId="29" applyNumberFormat="1" applyFont="1" applyFill="1" applyBorder="1" applyAlignment="1">
      <alignment horizontal="right"/>
    </xf>
    <xf numFmtId="220" fontId="1" fillId="0" borderId="0" xfId="29" applyNumberFormat="1" applyFont="1" applyFill="1" applyBorder="1" applyAlignment="1">
      <alignment horizontal="right"/>
    </xf>
    <xf numFmtId="195" fontId="4" fillId="0" borderId="1" xfId="37" applyNumberFormat="1" applyFont="1" applyFill="1" applyBorder="1" applyAlignment="1">
      <alignment horizontal="left"/>
    </xf>
    <xf numFmtId="236" fontId="8" fillId="0" borderId="0" xfId="0" applyNumberFormat="1" applyFont="1" applyFill="1" applyBorder="1" applyAlignment="1">
      <alignment horizontal="center"/>
    </xf>
    <xf numFmtId="195" fontId="4" fillId="0" borderId="4" xfId="37" applyNumberFormat="1" applyFont="1" applyFill="1" applyBorder="1" applyAlignment="1">
      <alignment horizontal="left"/>
    </xf>
    <xf numFmtId="0" fontId="4" fillId="0" borderId="4" xfId="0" applyFont="1" applyFill="1" applyBorder="1" applyAlignment="1">
      <alignment horizontal="center"/>
    </xf>
    <xf numFmtId="193" fontId="43" fillId="0" borderId="23" xfId="37" applyNumberFormat="1" applyFont="1" applyFill="1" applyBorder="1" applyAlignment="1">
      <alignment horizontal="right"/>
    </xf>
    <xf numFmtId="172" fontId="139" fillId="0" borderId="21" xfId="45" applyFont="1" applyFill="1" applyBorder="1" applyAlignment="1">
      <alignment horizontal="center"/>
    </xf>
    <xf numFmtId="172" fontId="46" fillId="0" borderId="22" xfId="45" applyFont="1" applyFill="1" applyBorder="1" applyAlignment="1">
      <alignment horizontal="center"/>
    </xf>
    <xf numFmtId="7" fontId="43" fillId="0" borderId="22" xfId="23" applyNumberFormat="1" applyFont="1" applyFill="1" applyBorder="1"/>
    <xf numFmtId="193" fontId="43" fillId="0" borderId="22" xfId="37" applyNumberFormat="1" applyFont="1" applyFill="1" applyBorder="1" applyAlignment="1">
      <alignment horizontal="right"/>
    </xf>
    <xf numFmtId="193" fontId="47" fillId="0" borderId="22" xfId="37" applyNumberFormat="1" applyFont="1" applyFill="1" applyBorder="1" applyAlignment="1">
      <alignment horizontal="right"/>
    </xf>
    <xf numFmtId="174" fontId="36" fillId="0" borderId="0" xfId="0" applyNumberFormat="1" applyFont="1" applyFill="1" applyAlignment="1">
      <alignment horizontal="right"/>
    </xf>
    <xf numFmtId="43" fontId="36" fillId="0" borderId="0" xfId="10" applyFont="1" applyFill="1" applyAlignment="1">
      <alignment horizontal="right"/>
    </xf>
    <xf numFmtId="170" fontId="152" fillId="0" borderId="0" xfId="0" applyNumberFormat="1" applyFont="1" applyFill="1" applyBorder="1"/>
    <xf numFmtId="254" fontId="152" fillId="0" borderId="0" xfId="0" quotePrefix="1" applyNumberFormat="1" applyFont="1" applyFill="1" applyAlignment="1" applyProtection="1">
      <alignment horizontal="left"/>
    </xf>
    <xf numFmtId="186" fontId="152" fillId="0" borderId="0" xfId="0" applyNumberFormat="1" applyFont="1" applyFill="1"/>
    <xf numFmtId="186" fontId="152" fillId="0" borderId="0" xfId="0" applyNumberFormat="1" applyFont="1" applyFill="1" applyBorder="1"/>
    <xf numFmtId="204" fontId="152" fillId="0" borderId="0" xfId="0" applyNumberFormat="1" applyFont="1" applyFill="1" applyBorder="1" applyAlignment="1">
      <alignment horizontal="right"/>
    </xf>
    <xf numFmtId="249" fontId="107" fillId="0" borderId="0" xfId="0" applyNumberFormat="1" applyFont="1" applyFill="1" applyBorder="1"/>
    <xf numFmtId="1" fontId="107" fillId="0" borderId="0" xfId="0" applyNumberFormat="1" applyFont="1" applyFill="1" applyBorder="1"/>
    <xf numFmtId="0" fontId="33" fillId="0" borderId="0" xfId="45" applyNumberFormat="1" applyFont="1" applyFill="1" applyBorder="1" applyAlignment="1">
      <alignment horizontal="right"/>
    </xf>
    <xf numFmtId="220" fontId="153" fillId="0" borderId="0" xfId="29" applyNumberFormat="1" applyFont="1" applyFill="1" applyBorder="1" applyAlignment="1">
      <alignment horizontal="right"/>
    </xf>
    <xf numFmtId="206" fontId="158" fillId="0" borderId="0" xfId="38" applyNumberFormat="1" applyFont="1" applyFill="1" applyBorder="1" applyAlignment="1">
      <alignment horizontal="center"/>
    </xf>
    <xf numFmtId="220" fontId="153" fillId="0" borderId="1" xfId="29" applyNumberFormat="1" applyFont="1" applyFill="1" applyBorder="1" applyAlignment="1">
      <alignment horizontal="right"/>
    </xf>
    <xf numFmtId="169" fontId="153" fillId="0" borderId="0" xfId="29" applyNumberFormat="1" applyFont="1" applyFill="1" applyBorder="1" applyAlignment="1">
      <alignment horizontal="right"/>
    </xf>
    <xf numFmtId="194" fontId="17" fillId="0" borderId="0" xfId="0" applyNumberFormat="1" applyFont="1" applyFill="1"/>
    <xf numFmtId="255" fontId="8" fillId="0" borderId="0" xfId="29" applyNumberFormat="1" applyFont="1" applyFill="1" applyBorder="1" applyAlignment="1">
      <alignment horizontal="right"/>
    </xf>
    <xf numFmtId="10" fontId="43" fillId="0" borderId="0" xfId="23" applyNumberFormat="1" applyFont="1" applyBorder="1"/>
    <xf numFmtId="0" fontId="0" fillId="0" borderId="0" xfId="0"/>
    <xf numFmtId="0" fontId="0" fillId="0" borderId="0" xfId="0"/>
    <xf numFmtId="170" fontId="152" fillId="0" borderId="2" xfId="0" applyNumberFormat="1" applyFont="1" applyFill="1" applyBorder="1"/>
    <xf numFmtId="186" fontId="152" fillId="0" borderId="2" xfId="0" applyNumberFormat="1" applyFont="1" applyFill="1" applyBorder="1"/>
    <xf numFmtId="204" fontId="152" fillId="0" borderId="2" xfId="0" applyNumberFormat="1" applyFont="1" applyFill="1" applyBorder="1" applyAlignment="1">
      <alignment horizontal="right"/>
    </xf>
    <xf numFmtId="204" fontId="152" fillId="0" borderId="14" xfId="0" applyNumberFormat="1" applyFont="1" applyFill="1" applyBorder="1" applyAlignment="1">
      <alignment horizontal="right"/>
    </xf>
    <xf numFmtId="170" fontId="152" fillId="0" borderId="0" xfId="0" applyNumberFormat="1" applyFont="1" applyFill="1"/>
    <xf numFmtId="0" fontId="33" fillId="0" borderId="14" xfId="23" applyFont="1" applyBorder="1" applyAlignment="1">
      <alignment horizontal="right"/>
    </xf>
    <xf numFmtId="206" fontId="158" fillId="0" borderId="0" xfId="37" applyNumberFormat="1" applyFont="1" applyFill="1" applyBorder="1" applyAlignment="1">
      <alignment horizontal="center"/>
    </xf>
    <xf numFmtId="220" fontId="153" fillId="0" borderId="20" xfId="29" applyNumberFormat="1" applyFont="1" applyFill="1" applyBorder="1" applyAlignment="1">
      <alignment horizontal="right"/>
    </xf>
    <xf numFmtId="204" fontId="4" fillId="0" borderId="0" xfId="0" applyNumberFormat="1" applyFont="1" applyFill="1" applyBorder="1"/>
    <xf numFmtId="204" fontId="4" fillId="0" borderId="14" xfId="0" applyNumberFormat="1" applyFont="1" applyFill="1" applyBorder="1"/>
    <xf numFmtId="1" fontId="4" fillId="0" borderId="0" xfId="0" applyNumberFormat="1" applyFont="1" applyFill="1" applyBorder="1" applyAlignment="1">
      <alignment horizontal="center"/>
    </xf>
    <xf numFmtId="1" fontId="4" fillId="0" borderId="14" xfId="0" applyNumberFormat="1" applyFont="1" applyFill="1" applyBorder="1" applyAlignment="1">
      <alignment horizontal="center"/>
    </xf>
    <xf numFmtId="167" fontId="4" fillId="0" borderId="14" xfId="0" applyNumberFormat="1" applyFont="1" applyFill="1" applyBorder="1"/>
    <xf numFmtId="202" fontId="4" fillId="0" borderId="14" xfId="0" applyNumberFormat="1" applyFont="1" applyFill="1" applyBorder="1"/>
    <xf numFmtId="170" fontId="158" fillId="0" borderId="0" xfId="0" applyNumberFormat="1" applyFont="1"/>
    <xf numFmtId="170" fontId="158" fillId="0" borderId="2" xfId="0" applyNumberFormat="1" applyFont="1" applyBorder="1"/>
    <xf numFmtId="170" fontId="158" fillId="0" borderId="0" xfId="0" applyNumberFormat="1" applyFont="1" applyFill="1" applyBorder="1"/>
    <xf numFmtId="175" fontId="158" fillId="0" borderId="0" xfId="0" applyNumberFormat="1" applyFont="1"/>
    <xf numFmtId="170" fontId="158" fillId="0" borderId="0" xfId="0" applyNumberFormat="1" applyFont="1" applyBorder="1"/>
    <xf numFmtId="172" fontId="158" fillId="0" borderId="0" xfId="0" applyNumberFormat="1" applyFont="1"/>
    <xf numFmtId="172" fontId="158" fillId="0" borderId="2" xfId="0" applyNumberFormat="1" applyFont="1" applyBorder="1"/>
    <xf numFmtId="172" fontId="158" fillId="0" borderId="0" xfId="0" applyNumberFormat="1" applyFont="1" applyFill="1"/>
    <xf numFmtId="170" fontId="158" fillId="0" borderId="2" xfId="0" applyNumberFormat="1" applyFont="1" applyFill="1" applyBorder="1"/>
    <xf numFmtId="170" fontId="158" fillId="0" borderId="0" xfId="0" applyNumberFormat="1" applyFont="1" applyFill="1"/>
    <xf numFmtId="211" fontId="153" fillId="0" borderId="0" xfId="29" applyNumberFormat="1" applyFont="1" applyFill="1" applyBorder="1" applyAlignment="1">
      <alignment horizontal="right"/>
    </xf>
    <xf numFmtId="207" fontId="158" fillId="0" borderId="0" xfId="29" applyNumberFormat="1" applyFont="1" applyFill="1" applyAlignment="1">
      <alignment horizontal="right"/>
    </xf>
    <xf numFmtId="196" fontId="1" fillId="0" borderId="0" xfId="33" applyNumberFormat="1" applyFont="1" applyFill="1" applyProtection="1"/>
    <xf numFmtId="170" fontId="153" fillId="0" borderId="0" xfId="19" applyNumberFormat="1" applyFont="1" applyFill="1" applyBorder="1"/>
    <xf numFmtId="170" fontId="0" fillId="0" borderId="0" xfId="0" applyNumberFormat="1"/>
    <xf numFmtId="168" fontId="1" fillId="0" borderId="0" xfId="33" applyNumberFormat="1" applyFont="1" applyFill="1" applyBorder="1" applyProtection="1"/>
    <xf numFmtId="0" fontId="1" fillId="15" borderId="0" xfId="46" applyFont="1" applyFill="1" applyAlignment="1">
      <alignment vertical="top"/>
    </xf>
    <xf numFmtId="0" fontId="1" fillId="15" borderId="0" xfId="1" applyFill="1" applyAlignment="1">
      <alignment vertical="top"/>
    </xf>
    <xf numFmtId="0" fontId="1" fillId="15" borderId="0" xfId="1" applyFill="1"/>
    <xf numFmtId="0" fontId="103" fillId="15" borderId="0" xfId="46" applyFont="1" applyFill="1" applyAlignment="1">
      <alignment horizontal="left" vertical="top"/>
    </xf>
    <xf numFmtId="0" fontId="1" fillId="15" borderId="0" xfId="1" applyFont="1" applyFill="1" applyAlignment="1">
      <alignment vertical="top"/>
    </xf>
    <xf numFmtId="0" fontId="27" fillId="15" borderId="0" xfId="46" applyFont="1" applyFill="1" applyAlignment="1">
      <alignment vertical="top"/>
    </xf>
    <xf numFmtId="0" fontId="0" fillId="15" borderId="0" xfId="0" applyFill="1" applyAlignment="1">
      <alignment vertical="top"/>
    </xf>
    <xf numFmtId="0" fontId="159" fillId="15" borderId="0" xfId="0" applyFont="1" applyFill="1" applyAlignment="1">
      <alignment vertical="top"/>
    </xf>
    <xf numFmtId="0" fontId="160" fillId="15" borderId="0" xfId="0" applyFont="1" applyFill="1" applyAlignment="1">
      <alignment vertical="top"/>
    </xf>
    <xf numFmtId="0" fontId="0" fillId="15" borderId="37" xfId="0" applyFill="1" applyBorder="1" applyAlignment="1">
      <alignment vertical="top"/>
    </xf>
    <xf numFmtId="0" fontId="159" fillId="15" borderId="37" xfId="0" applyFont="1" applyFill="1" applyBorder="1" applyAlignment="1">
      <alignment vertical="top"/>
    </xf>
    <xf numFmtId="9" fontId="159" fillId="15" borderId="37" xfId="0" applyNumberFormat="1" applyFont="1" applyFill="1" applyBorder="1" applyAlignment="1">
      <alignment vertical="top"/>
    </xf>
    <xf numFmtId="3" fontId="159" fillId="15" borderId="37" xfId="0" applyNumberFormat="1" applyFont="1" applyFill="1" applyBorder="1" applyAlignment="1">
      <alignment vertical="top"/>
    </xf>
    <xf numFmtId="2" fontId="1" fillId="0" borderId="0" xfId="1" applyNumberFormat="1" applyAlignment="1">
      <alignment horizontal="left"/>
    </xf>
    <xf numFmtId="0" fontId="1" fillId="0" borderId="0" xfId="1" applyNumberFormat="1" applyAlignment="1">
      <alignment horizontal="left"/>
    </xf>
    <xf numFmtId="1" fontId="1" fillId="0" borderId="0" xfId="1" applyNumberFormat="1" applyAlignment="1">
      <alignment horizontal="left"/>
    </xf>
    <xf numFmtId="0" fontId="1" fillId="0" borderId="0" xfId="1" applyFont="1"/>
    <xf numFmtId="256" fontId="1" fillId="0" borderId="0" xfId="1" applyNumberFormat="1" applyAlignment="1">
      <alignment horizontal="left"/>
    </xf>
    <xf numFmtId="49" fontId="1" fillId="0" borderId="0" xfId="1" applyNumberFormat="1"/>
    <xf numFmtId="0" fontId="0" fillId="15" borderId="42" xfId="0" applyFill="1" applyBorder="1" applyAlignment="1">
      <alignment vertical="top"/>
    </xf>
    <xf numFmtId="0" fontId="159" fillId="15" borderId="0" xfId="0" applyFont="1" applyFill="1" applyAlignment="1">
      <alignment vertical="top"/>
    </xf>
    <xf numFmtId="0" fontId="159" fillId="15" borderId="38" xfId="0" applyFont="1" applyFill="1" applyBorder="1" applyAlignment="1">
      <alignment vertical="top"/>
    </xf>
    <xf numFmtId="0" fontId="159" fillId="15" borderId="39" xfId="0" applyFont="1" applyFill="1" applyBorder="1" applyAlignment="1">
      <alignment vertical="top"/>
    </xf>
    <xf numFmtId="0" fontId="159" fillId="15" borderId="40" xfId="0" applyFont="1" applyFill="1" applyBorder="1" applyAlignment="1">
      <alignment vertical="top"/>
    </xf>
    <xf numFmtId="0" fontId="160" fillId="15" borderId="0" xfId="0" applyFont="1" applyFill="1" applyAlignment="1">
      <alignment vertical="top"/>
    </xf>
    <xf numFmtId="0" fontId="0" fillId="15" borderId="0" xfId="0" applyFill="1" applyAlignment="1">
      <alignment vertical="top"/>
    </xf>
    <xf numFmtId="0" fontId="0" fillId="15" borderId="41" xfId="0" applyFill="1" applyBorder="1" applyAlignment="1">
      <alignment vertical="top"/>
    </xf>
    <xf numFmtId="0" fontId="11" fillId="0" borderId="0" xfId="0" applyFont="1" applyAlignment="1">
      <alignment horizontal="center"/>
    </xf>
    <xf numFmtId="0" fontId="10" fillId="0" borderId="2" xfId="0" applyFont="1" applyBorder="1" applyAlignment="1">
      <alignment horizontal="center"/>
    </xf>
    <xf numFmtId="0" fontId="155" fillId="0" borderId="2" xfId="0" applyFont="1" applyFill="1" applyBorder="1" applyAlignment="1">
      <alignment horizontal="center"/>
    </xf>
    <xf numFmtId="0" fontId="155" fillId="0" borderId="0" xfId="0" applyFont="1" applyFill="1" applyBorder="1" applyAlignment="1">
      <alignment horizontal="center"/>
    </xf>
    <xf numFmtId="0" fontId="11" fillId="0" borderId="0" xfId="0" applyFont="1" applyFill="1"/>
    <xf numFmtId="0" fontId="0" fillId="0" borderId="0" xfId="0"/>
    <xf numFmtId="0" fontId="11" fillId="0" borderId="0" xfId="0" applyFont="1"/>
  </cellXfs>
  <cellStyles count="47">
    <cellStyle name=" 1" xfId="2"/>
    <cellStyle name="******************************************" xfId="3"/>
    <cellStyle name="_FY Guidancev2 " xfId="4"/>
    <cellStyle name="_SUMMARY " xfId="6"/>
    <cellStyle name="0_Capex &amp; Depreciation " xfId="7"/>
    <cellStyle name="0_Valuing BP " xfId="8"/>
    <cellStyle name="c_HardInc " xfId="9"/>
    <cellStyle name="Comma" xfId="10" builtinId="3"/>
    <cellStyle name="Comma 2" xfId="11"/>
    <cellStyle name="Comma 3" xfId="12"/>
    <cellStyle name="Comma 3 2" xfId="13"/>
    <cellStyle name="Comma_Lease Module TPG example 30062004 capex" xfId="14"/>
    <cellStyle name="Currency" xfId="15" builtinId="4"/>
    <cellStyle name="Hyperlink 2" xfId="16"/>
    <cellStyle name="Normal" xfId="0" builtinId="0"/>
    <cellStyle name="Normal 2" xfId="17"/>
    <cellStyle name="Normal 2 2" xfId="18"/>
    <cellStyle name="Normal 3" xfId="1"/>
    <cellStyle name="Normal_ABSANUAL" xfId="19"/>
    <cellStyle name="Normal_Analysis V5" xfId="20"/>
    <cellStyle name="Normal_AXP_interactive_final" xfId="21"/>
    <cellStyle name="Normal_dabr" xfId="22"/>
    <cellStyle name="Normal_DHQTR" xfId="23"/>
    <cellStyle name="Normal_DisclaimerSheet Samples" xfId="46"/>
    <cellStyle name="Normal_GAPQOR1" xfId="24"/>
    <cellStyle name="Normal_GM Demo" xfId="25"/>
    <cellStyle name="Normal_hd roic 2" xfId="26"/>
    <cellStyle name="Normal_LeaseT_Testing_Original (version 1)" xfId="27"/>
    <cellStyle name="Normal_QtrlyDIV" xfId="28"/>
    <cellStyle name="Normal_qtrP&amp;L" xfId="29"/>
    <cellStyle name="Normal_ROSTBS" xfId="30"/>
    <cellStyle name="Normal_RSH" xfId="31"/>
    <cellStyle name="Normal_Sheet1_1" xfId="32"/>
    <cellStyle name="Normal_STORESUM" xfId="33"/>
    <cellStyle name="Normal_Total" xfId="34"/>
    <cellStyle name="Normal_UA Model" xfId="35"/>
    <cellStyle name="p " xfId="36"/>
    <cellStyle name="Percent" xfId="37" builtinId="5"/>
    <cellStyle name="Percent 2" xfId="38"/>
    <cellStyle name="Percent 3" xfId="39"/>
    <cellStyle name="Percent 3 2" xfId="40"/>
    <cellStyle name="RRSInstruction 2" xfId="5"/>
    <cellStyle name="s_HardInc " xfId="41"/>
    <cellStyle name="s_Valuation " xfId="42"/>
    <cellStyle name="ssp " xfId="43"/>
    <cellStyle name="Style 32" xfId="44"/>
    <cellStyle name="Underline" xfId="45"/>
  </cellStyles>
  <dxfs count="2">
    <dxf>
      <font>
        <condense val="0"/>
        <extend val="0"/>
        <color indexed="10"/>
      </font>
      <fill>
        <patternFill patternType="solid">
          <bgColor indexed="22"/>
        </patternFill>
      </fill>
    </dxf>
    <dxf>
      <fill>
        <patternFill>
          <bgColor indexed="2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FFFFCC"/>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b">
        <v>0</v>
        <stp/>
        <stp>c45a123d-8080-407b-8d89-e15f2ef5298a</stp>
        <tr r="K190" s="89"/>
      </tp>
      <tp t="b">
        <v>0</v>
        <stp/>
        <stp>4ed02014-9a3c-42fd-9bab-1e8e026e977c</stp>
        <tr r="O190" s="89"/>
      </tp>
      <tp t="b">
        <v>0</v>
        <stp/>
        <stp>ecb988eb-c292-45d3-8e55-5c0c335c3de1</stp>
        <tr r="N190" s="89"/>
      </tp>
      <tp t="b">
        <v>0</v>
        <stp/>
        <stp>c30f9b13-32b5-4629-bf83-c8beb5cd6df9</stp>
        <tr r="F14" s="76"/>
      </tp>
      <tp t="b">
        <v>0</v>
        <stp/>
        <stp>05ebdaf1-74f6-4170-a991-f7c57526fc25</stp>
        <tr r="G56" s="89"/>
      </tp>
      <tp t="b">
        <v>0</v>
        <stp/>
        <stp>50cea95f-f54c-4eaa-a6ae-18946ba6a99b</stp>
        <tr r="M190" s="89"/>
      </tp>
      <tp t="b">
        <v>0</v>
        <stp/>
        <stp>f6d6a3b4-0225-422c-9b2d-49fb7aca4080</stp>
        <tr r="H81" s="89"/>
      </tp>
      <tp t="b">
        <v>0</v>
        <stp/>
        <stp>807651dc-a88e-47b8-a6fe-5e98acdc759f</stp>
        <tr r="J190" s="89"/>
      </tp>
      <tp t="b">
        <v>0</v>
        <stp/>
        <stp>49531cf7-9270-4d7d-841b-83b5927107da</stp>
        <tr r="H194" s="89"/>
      </tp>
      <tp t="b">
        <v>0</v>
        <stp/>
        <stp>7f5e7e04-af2a-4927-8cd2-bd7226d7db7a</stp>
        <tr r="I190" s="89"/>
      </tp>
      <tp t="b">
        <v>0</v>
        <stp/>
        <stp>a7ee1fb8-17e3-4e2f-ae7d-5bff46d2df93</stp>
        <tr r="H68" s="89"/>
      </tp>
      <tp t="b">
        <v>0</v>
        <stp/>
        <stp>9897d37d-a74e-4647-9cf7-b5b8f3a0791e</stp>
        <tr r="H77" s="89"/>
      </tp>
      <tp t="b">
        <v>0</v>
        <stp/>
        <stp>abd6d410-0355-4700-b8b5-cf049e3d213c</stp>
        <tr r="H190" s="89"/>
      </tp>
      <tp t="b">
        <v>0</v>
        <stp/>
        <stp>6699b8dc-5292-4bb1-bae7-a8284fafb794</stp>
        <tr r="L190" s="89"/>
      </tp>
      <tp t="b">
        <v>0</v>
        <stp/>
        <stp>5a098044-c23e-45ec-a940-ac0cbc4b1b0b</stp>
        <tr r="H79" s="89"/>
      </tp>
      <tp t="b">
        <v>0</v>
        <stp/>
        <stp>a86daa7f-4809-46cf-b330-91f1da872197</stp>
        <tr r="H78" s="89"/>
      </tp>
      <tp t="b">
        <v>0</v>
        <stp/>
        <stp>67b0a315-b79d-4c15-8610-c85e92e0418f</stp>
        <tr r="F8" s="76"/>
      </tp>
      <tp t="b">
        <v>0</v>
        <stp/>
        <stp>a05a8937-6e79-4bc3-94d3-5f4210dd1d85</stp>
        <tr r="H195" s="89"/>
      </tp>
      <tp t="b">
        <v>0</v>
        <stp/>
        <stp>13cdda5c-0ec6-43f5-b704-e5d1a9bc00f3</stp>
        <tr r="I4" s="89"/>
      </tp>
      <tp t="b">
        <v>0</v>
        <stp/>
        <stp>e05efe38-8886-426b-bb62-732cbd6b45e5</stp>
        <tr r="F18" s="76"/>
      </tp>
      <tp t="b">
        <v>0</v>
        <stp/>
        <stp>a7b04c04-9f61-4d46-ac86-b71d697d1075</stp>
        <tr r="F4" s="76"/>
      </tp>
      <tp t="b">
        <v>0</v>
        <stp/>
        <stp>bfd437ef-c0d9-42ac-9a2a-5e838b0679c7</stp>
        <tr r="P190" s="89"/>
      </tp>
      <tp t="b">
        <v>0</v>
        <stp/>
        <stp>ffb53655-0dcf-4a5f-8515-08dfd2767c7f</stp>
        <tr r="F20" s="76"/>
      </tp>
      <tp t="b">
        <v>0</v>
        <stp/>
        <stp>4ffdb857-7c5d-4398-a28b-0e4f900a8cc1</stp>
        <tr r="F11" s="76"/>
      </tp>
      <tp t="b">
        <v>0</v>
        <stp/>
        <stp>a6aa40dc-e18b-40d2-b821-2c88cf034955</stp>
        <tr r="H76" s="89"/>
      </tp>
      <tp t="b">
        <v>0</v>
        <stp/>
        <stp>f55e42fa-3ab3-49aa-aa6f-0d378c1d95fc</stp>
        <tr r="C4" s="89"/>
      </tp>
      <tp t="b">
        <v>0</v>
        <stp/>
        <stp>e191d96f-3629-4903-8135-683034c2bffd</stp>
        <tr r="H80" s="89"/>
      </tp>
      <tp t="b">
        <v>0</v>
        <stp/>
        <stp>ad6682a2-f4c7-475c-89cf-6c6101aa317d</stp>
        <tr r="H196" s="89"/>
      </tp>
      <tp t="b">
        <v>0</v>
        <stp/>
        <stp>5b7724f5-f1c2-4c5d-ab24-123f11554375</stp>
        <tr r="I191" s="89"/>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externalLinks/externalLink1.xml" Type="http://schemas.openxmlformats.org/officeDocument/2006/relationships/externalLink"/>
<Relationship Id="rId24" Target="theme/theme1.xml" Type="http://schemas.openxmlformats.org/officeDocument/2006/relationships/theme"/>
<Relationship Id="rId25" Target="styles.xml" Type="http://schemas.openxmlformats.org/officeDocument/2006/relationships/styles"/>
<Relationship Id="rId26" Target="sharedStrings.xml" Type="http://schemas.openxmlformats.org/officeDocument/2006/relationships/sharedStrings"/>
<Relationship Id="rId27" Target="calcChain.xml" Type="http://schemas.openxmlformats.org/officeDocument/2006/relationships/calcChain"/>
<Relationship Id="rId28" Target="../customXml/item1.xml" Type="http://schemas.openxmlformats.org/officeDocument/2006/relationships/customXml"/>
<Relationship Id="rId29" Target="../customXml/item2.xml" Type="http://schemas.openxmlformats.org/officeDocument/2006/relationships/customXml"/>
<Relationship Id="rId3" Target="worksheets/sheet3.xml" Type="http://schemas.openxmlformats.org/officeDocument/2006/relationships/worksheet"/>
<Relationship Id="rId30" Target="volatileDependencies.xml" Type="http://schemas.openxmlformats.org/officeDocument/2006/relationships/volatileDependencies"/>
<Relationship Id="rId31"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US"/>
              <a:t>Inventory vs. Forward Sales</a:t>
            </a:r>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layoutTarget val="inner"/>
          <c:xMode val="edge"/>
          <c:yMode val="edge"/>
          <c:x val="0.10629378074429438"/>
          <c:y val="0.12263918068336338"/>
          <c:w val="0.87846389337922159"/>
          <c:h val="0.7048994714806569"/>
        </c:manualLayout>
      </c:layout>
      <c:barChart>
        <c:barDir val="col"/>
        <c:grouping val="clustered"/>
        <c:varyColors val="0"/>
        <c:ser>
          <c:idx val="0"/>
          <c:order val="0"/>
          <c:tx>
            <c:strRef>
              <c:f>'Inv to Sales'!$B$3</c:f>
              <c:strCache>
                <c:ptCount val="1"/>
                <c:pt idx="0">
                  <c:v>Inventory Growth</c:v>
                </c:pt>
              </c:strCache>
            </c:strRef>
          </c:tx>
          <c:spPr>
            <a:solidFill>
              <a:srgbClr val="137CB1"/>
            </a:solidFill>
            <a:ln w="25400">
              <a:noFill/>
            </a:ln>
          </c:spPr>
          <c:invertIfNegative val="0"/>
          <c:cat>
            <c:strRef>
              <c:f>'Inv to Sales'!$C$2:$M$2</c:f>
              <c:strCache>
                <c:ptCount val="11"/>
                <c:pt idx="0">
                  <c:v>1Q15</c:v>
                </c:pt>
                <c:pt idx="1">
                  <c:v>2Q15</c:v>
                </c:pt>
                <c:pt idx="2">
                  <c:v>3Q15</c:v>
                </c:pt>
                <c:pt idx="3">
                  <c:v>4Q15</c:v>
                </c:pt>
                <c:pt idx="4">
                  <c:v>1Q16</c:v>
                </c:pt>
                <c:pt idx="5">
                  <c:v>2Q16</c:v>
                </c:pt>
                <c:pt idx="6">
                  <c:v>3Q16</c:v>
                </c:pt>
                <c:pt idx="7">
                  <c:v>4Q16</c:v>
                </c:pt>
                <c:pt idx="8">
                  <c:v>1Q17</c:v>
                </c:pt>
                <c:pt idx="9">
                  <c:v>2Q17</c:v>
                </c:pt>
                <c:pt idx="10">
                  <c:v>3Q17</c:v>
                </c:pt>
              </c:strCache>
            </c:strRef>
          </c:cat>
          <c:val>
            <c:numRef>
              <c:f>'Inv to Sales'!$C$3:$M$3</c:f>
              <c:numCache>
                <c:formatCode>0.0%</c:formatCode>
                <c:ptCount val="11"/>
                <c:pt idx="0">
                  <c:v>-2.2905687449734202E-2</c:v>
                </c:pt>
                <c:pt idx="1">
                  <c:v>-6.8636920090493603E-2</c:v>
                </c:pt>
                <c:pt idx="2">
                  <c:v>-8.3335253629457373E-2</c:v>
                </c:pt>
                <c:pt idx="3">
                  <c:v>-5.8041573176410788E-2</c:v>
                </c:pt>
                <c:pt idx="4">
                  <c:v>-1.815488785442243E-2</c:v>
                </c:pt>
                <c:pt idx="5">
                  <c:v>-1.3954277473809062E-2</c:v>
                </c:pt>
                <c:pt idx="6">
                  <c:v>-1.8704729441840651E-2</c:v>
                </c:pt>
                <c:pt idx="7">
                  <c:v>-3.029213483146076E-2</c:v>
                </c:pt>
                <c:pt idx="8">
                  <c:v>-5.2885651480539586E-2</c:v>
                </c:pt>
                <c:pt idx="9">
                  <c:v>-3.7809704060564386E-2</c:v>
                </c:pt>
                <c:pt idx="10">
                  <c:v>1.0550996483001285E-2</c:v>
                </c:pt>
              </c:numCache>
            </c:numRef>
          </c:val>
        </c:ser>
        <c:ser>
          <c:idx val="1"/>
          <c:order val="1"/>
          <c:tx>
            <c:strRef>
              <c:f>'Inv to Sales'!$B$4</c:f>
              <c:strCache>
                <c:ptCount val="1"/>
                <c:pt idx="0">
                  <c:v>Forward Sales Growth</c:v>
                </c:pt>
              </c:strCache>
            </c:strRef>
          </c:tx>
          <c:spPr>
            <a:solidFill>
              <a:srgbClr val="EACC80"/>
            </a:solidFill>
            <a:ln w="25400">
              <a:noFill/>
            </a:ln>
          </c:spPr>
          <c:invertIfNegative val="0"/>
          <c:cat>
            <c:strRef>
              <c:f>'Inv to Sales'!$C$2:$M$2</c:f>
              <c:strCache>
                <c:ptCount val="11"/>
                <c:pt idx="0">
                  <c:v>1Q15</c:v>
                </c:pt>
                <c:pt idx="1">
                  <c:v>2Q15</c:v>
                </c:pt>
                <c:pt idx="2">
                  <c:v>3Q15</c:v>
                </c:pt>
                <c:pt idx="3">
                  <c:v>4Q15</c:v>
                </c:pt>
                <c:pt idx="4">
                  <c:v>1Q16</c:v>
                </c:pt>
                <c:pt idx="5">
                  <c:v>2Q16</c:v>
                </c:pt>
                <c:pt idx="6">
                  <c:v>3Q16</c:v>
                </c:pt>
                <c:pt idx="7">
                  <c:v>4Q16</c:v>
                </c:pt>
                <c:pt idx="8">
                  <c:v>1Q17</c:v>
                </c:pt>
                <c:pt idx="9">
                  <c:v>2Q17</c:v>
                </c:pt>
                <c:pt idx="10">
                  <c:v>3Q17</c:v>
                </c:pt>
              </c:strCache>
            </c:strRef>
          </c:cat>
          <c:val>
            <c:numRef>
              <c:f>'Inv to Sales'!$C$4:$M$4</c:f>
              <c:numCache>
                <c:formatCode>0.0%</c:formatCode>
                <c:ptCount val="11"/>
                <c:pt idx="0">
                  <c:v>-2.4473024281670419E-3</c:v>
                </c:pt>
                <c:pt idx="1">
                  <c:v>-2.2289751133037217E-2</c:v>
                </c:pt>
                <c:pt idx="2">
                  <c:v>-5.5756725087958703E-2</c:v>
                </c:pt>
                <c:pt idx="3">
                  <c:v>-7.3877805486284309E-2</c:v>
                </c:pt>
                <c:pt idx="4">
                  <c:v>-5.9464916708733002E-2</c:v>
                </c:pt>
                <c:pt idx="5">
                  <c:v>1.1831166062673093E-2</c:v>
                </c:pt>
                <c:pt idx="6">
                  <c:v>1.3183915622940079E-2</c:v>
                </c:pt>
                <c:pt idx="7">
                  <c:v>9.312240547515005E-3</c:v>
                </c:pt>
                <c:pt idx="8">
                  <c:v>3.0163160154572877E-2</c:v>
                </c:pt>
                <c:pt idx="9">
                  <c:v>2.8336669124618297E-2</c:v>
                </c:pt>
                <c:pt idx="10">
                  <c:v>8.5149642160052164E-2</c:v>
                </c:pt>
              </c:numCache>
            </c:numRef>
          </c:val>
        </c:ser>
        <c:dLbls>
          <c:showLegendKey val="0"/>
          <c:showVal val="0"/>
          <c:showCatName val="0"/>
          <c:showSerName val="0"/>
          <c:showPercent val="0"/>
          <c:showBubbleSize val="0"/>
        </c:dLbls>
        <c:gapWidth val="60"/>
        <c:axId val="310758784"/>
        <c:axId val="321864832"/>
      </c:barChart>
      <c:lineChart>
        <c:grouping val="standard"/>
        <c:varyColors val="0"/>
        <c:ser>
          <c:idx val="2"/>
          <c:order val="2"/>
          <c:tx>
            <c:strRef>
              <c:f>'Inv to Sales'!$B$5</c:f>
              <c:strCache>
                <c:ptCount val="1"/>
                <c:pt idx="0">
                  <c:v>Spread</c:v>
                </c:pt>
              </c:strCache>
            </c:strRef>
          </c:tx>
          <c:spPr>
            <a:effectLst/>
          </c:spPr>
          <c:marker>
            <c:symbol val="none"/>
          </c:marker>
          <c:cat>
            <c:strRef>
              <c:f>'Inv to Sales'!$C$2:$M$2</c:f>
              <c:strCache>
                <c:ptCount val="11"/>
                <c:pt idx="0">
                  <c:v>1Q15</c:v>
                </c:pt>
                <c:pt idx="1">
                  <c:v>2Q15</c:v>
                </c:pt>
                <c:pt idx="2">
                  <c:v>3Q15</c:v>
                </c:pt>
                <c:pt idx="3">
                  <c:v>4Q15</c:v>
                </c:pt>
                <c:pt idx="4">
                  <c:v>1Q16</c:v>
                </c:pt>
                <c:pt idx="5">
                  <c:v>2Q16</c:v>
                </c:pt>
                <c:pt idx="6">
                  <c:v>3Q16</c:v>
                </c:pt>
                <c:pt idx="7">
                  <c:v>4Q16</c:v>
                </c:pt>
                <c:pt idx="8">
                  <c:v>1Q17</c:v>
                </c:pt>
                <c:pt idx="9">
                  <c:v>2Q17</c:v>
                </c:pt>
                <c:pt idx="10">
                  <c:v>3Q17</c:v>
                </c:pt>
              </c:strCache>
            </c:strRef>
          </c:cat>
          <c:val>
            <c:numRef>
              <c:f>'Inv to Sales'!$C$5:$M$5</c:f>
              <c:numCache>
                <c:formatCode>0.0%</c:formatCode>
                <c:ptCount val="11"/>
                <c:pt idx="0">
                  <c:v>2.045838502156716E-2</c:v>
                </c:pt>
                <c:pt idx="1">
                  <c:v>4.6347168957456386E-2</c:v>
                </c:pt>
                <c:pt idx="2">
                  <c:v>2.757852854149867E-2</c:v>
                </c:pt>
                <c:pt idx="3">
                  <c:v>-1.5836232309873521E-2</c:v>
                </c:pt>
                <c:pt idx="4">
                  <c:v>-4.1310028854310572E-2</c:v>
                </c:pt>
                <c:pt idx="5">
                  <c:v>2.5785443536482155E-2</c:v>
                </c:pt>
                <c:pt idx="6">
                  <c:v>3.188864506478073E-2</c:v>
                </c:pt>
                <c:pt idx="7">
                  <c:v>3.9604375378975765E-2</c:v>
                </c:pt>
                <c:pt idx="8">
                  <c:v>8.3048811635112463E-2</c:v>
                </c:pt>
                <c:pt idx="9">
                  <c:v>6.6146373185182683E-2</c:v>
                </c:pt>
                <c:pt idx="10">
                  <c:v>7.4598645677050879E-2</c:v>
                </c:pt>
              </c:numCache>
            </c:numRef>
          </c:val>
          <c:smooth val="0"/>
        </c:ser>
        <c:dLbls>
          <c:showLegendKey val="0"/>
          <c:showVal val="0"/>
          <c:showCatName val="0"/>
          <c:showSerName val="0"/>
          <c:showPercent val="0"/>
          <c:showBubbleSize val="0"/>
        </c:dLbls>
        <c:marker val="1"/>
        <c:smooth val="0"/>
        <c:axId val="310758784"/>
        <c:axId val="321864832"/>
      </c:lineChart>
      <c:catAx>
        <c:axId val="310758784"/>
        <c:scaling>
          <c:orientation val="minMax"/>
        </c:scaling>
        <c:delete val="0"/>
        <c:axPos val="b"/>
        <c:numFmt formatCode="General" sourceLinked="1"/>
        <c:majorTickMark val="none"/>
        <c:minorTickMark val="none"/>
        <c:tickLblPos val="low"/>
        <c:spPr>
          <a:ln w="12700">
            <a:solidFill>
              <a:srgbClr val="808080"/>
            </a:solidFill>
            <a:prstDash val="solid"/>
          </a:ln>
        </c:spPr>
        <c:txPr>
          <a:bodyPr rot="0" vert="horz"/>
          <a:lstStyle/>
          <a:p>
            <a:pPr>
              <a:defRPr sz="1200" b="0" i="0">
                <a:solidFill>
                  <a:srgbClr val="808080"/>
                </a:solidFill>
                <a:latin typeface="Arial"/>
                <a:ea typeface="Arial"/>
                <a:cs typeface="Arial"/>
              </a:defRPr>
            </a:pPr>
            <a:endParaRPr lang="en-US"/>
          </a:p>
        </c:txPr>
        <c:crossAx val="321864832"/>
        <c:crosses val="autoZero"/>
        <c:auto val="1"/>
        <c:lblAlgn val="ctr"/>
        <c:lblOffset val="100"/>
        <c:tickLblSkip val="1"/>
        <c:tickMarkSkip val="1"/>
        <c:noMultiLvlLbl val="0"/>
      </c:catAx>
      <c:valAx>
        <c:axId val="321864832"/>
        <c:scaling>
          <c:orientation val="minMax"/>
        </c:scaling>
        <c:delete val="0"/>
        <c:axPos val="l"/>
        <c:majorGridlines>
          <c:spPr>
            <a:ln w="12700">
              <a:solidFill>
                <a:srgbClr val="C0C0C0"/>
              </a:solidFill>
              <a:prstDash val="solid"/>
            </a:ln>
          </c:spPr>
        </c:majorGridlines>
        <c:numFmt formatCode="0%" sourceLinked="0"/>
        <c:majorTickMark val="none"/>
        <c:minorTickMark val="none"/>
        <c:tickLblPos val="nextTo"/>
        <c:spPr>
          <a:ln w="9525">
            <a:noFill/>
          </a:ln>
        </c:spPr>
        <c:txPr>
          <a:bodyPr rot="0" vert="horz"/>
          <a:lstStyle/>
          <a:p>
            <a:pPr>
              <a:defRPr sz="1400" b="0" i="0">
                <a:solidFill>
                  <a:srgbClr val="808080"/>
                </a:solidFill>
                <a:latin typeface="Arial"/>
                <a:ea typeface="Arial"/>
                <a:cs typeface="Arial"/>
              </a:defRPr>
            </a:pPr>
            <a:endParaRPr lang="en-US"/>
          </a:p>
        </c:txPr>
        <c:crossAx val="310758784"/>
        <c:crosses val="autoZero"/>
        <c:crossBetween val="between"/>
      </c:valAx>
      <c:spPr>
        <a:noFill/>
        <a:ln w="25400">
          <a:noFill/>
        </a:ln>
      </c:spPr>
    </c:plotArea>
    <c:legend>
      <c:legendPos val="b"/>
      <c:layout>
        <c:manualLayout>
          <c:xMode val="edge"/>
          <c:yMode val="edge"/>
          <c:x val="7.2994891182643615E-2"/>
          <c:y val="0.90999962180519944"/>
          <c:w val="0.89999990933775764"/>
          <c:h val="8.2549940623416251E-2"/>
        </c:manualLayout>
      </c:layout>
      <c:overlay val="0"/>
    </c:legend>
    <c:plotVisOnly val="1"/>
    <c:dispBlanksAs val="gap"/>
    <c:showDLblsOverMax val="0"/>
  </c:chart>
  <c:spPr>
    <a:solidFill>
      <a:srgbClr val="FFFFFF"/>
    </a:solidFill>
    <a:ln w="9525">
      <a:noFill/>
    </a:ln>
  </c:spPr>
  <c:txPr>
    <a:bodyPr/>
    <a:lstStyle/>
    <a:p>
      <a:pPr>
        <a:defRPr sz="1400" b="0" i="0">
          <a:solidFill>
            <a:srgbClr val="80808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s>

</file>

<file path=xl/drawings/_rels/drawing3.xml.rels><?xml version="1.0" encoding="UTF-8" standalone="yes"?>
<Relationships xmlns="http://schemas.openxmlformats.org/package/2006/relationships">
<Relationship Id="rId1" Target="../media/image5.png" Type="http://schemas.openxmlformats.org/officeDocument/2006/relationships/image"/>
</Relationships>

</file>

<file path=xl/drawings/_rels/vmlDrawing15.vml.rels><?xml version="1.0" encoding="UTF-8" standalone="yes"?>
<Relationships xmlns="http://schemas.openxmlformats.org/package/2006/relationships">
<Relationship Id="rId1" Target="../media/image4.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170</xdr:row>
      <xdr:rowOff>0</xdr:rowOff>
    </xdr:from>
    <xdr:to>
      <xdr:col>7</xdr:col>
      <xdr:colOff>390525</xdr:colOff>
      <xdr:row>193</xdr:row>
      <xdr:rowOff>104775</xdr:rowOff>
    </xdr:to>
    <xdr:pic>
      <xdr:nvPicPr>
        <xdr:cNvPr id="2805761" name="Picture 1" descr="C:\Users\casselau\AppData\Local\Temp\MercuryPriceRatingHistoryChart\TIF.N_2018_03_15_18_34_5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9464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333375</xdr:colOff>
      <xdr:row>8</xdr:row>
      <xdr:rowOff>66675</xdr:rowOff>
    </xdr:from>
    <xdr:to>
      <xdr:col>11</xdr:col>
      <xdr:colOff>371475</xdr:colOff>
      <xdr:row>28</xdr:row>
      <xdr:rowOff>142875</xdr:rowOff>
    </xdr:to>
    <xdr:graphicFrame macro="">
      <xdr:nvGraphicFramePr>
        <xdr:cNvPr id="989286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19050</xdr:colOff>
      <xdr:row>1</xdr:row>
      <xdr:rowOff>38100</xdr:rowOff>
    </xdr:from>
    <xdr:to>
      <xdr:col>11</xdr:col>
      <xdr:colOff>285750</xdr:colOff>
      <xdr:row>2</xdr:row>
      <xdr:rowOff>0</xdr:rowOff>
    </xdr:to>
    <xdr:sp macro="" textlink="">
      <xdr:nvSpPr>
        <xdr:cNvPr id="2" name="Text Box 7"/>
        <xdr:cNvSpPr txBox="1">
          <a:spLocks noChangeArrowheads="1"/>
        </xdr:cNvSpPr>
      </xdr:nvSpPr>
      <xdr:spPr bwMode="auto">
        <a:xfrm>
          <a:off x="19050" y="609600"/>
          <a:ext cx="7258050" cy="371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1. Enter Ticker in I3 and press refresh button.</a:t>
          </a:r>
        </a:p>
        <a:p>
          <a:pPr algn="l" rtl="0">
            <a:defRPr sz="1000"/>
          </a:pPr>
          <a:r>
            <a:rPr lang="en-GB" sz="1000" b="0" i="0" u="none" strike="noStrike" baseline="0">
              <a:solidFill>
                <a:srgbClr val="000000"/>
              </a:solidFill>
              <a:latin typeface="Arial"/>
              <a:cs typeface="Arial"/>
            </a:rPr>
            <a:t>2. Check all data in </a:t>
          </a:r>
          <a:r>
            <a:rPr lang="en-GB" sz="1000" b="1" i="0" u="none" strike="noStrike" baseline="0">
              <a:solidFill>
                <a:srgbClr val="0000FF"/>
              </a:solidFill>
              <a:latin typeface="Arial"/>
              <a:cs typeface="Arial"/>
            </a:rPr>
            <a:t>blue</a:t>
          </a:r>
          <a:r>
            <a:rPr lang="en-GB" sz="1000" b="0" i="0" u="none" strike="noStrike" baseline="0">
              <a:solidFill>
                <a:srgbClr val="000000"/>
              </a:solidFill>
              <a:latin typeface="Arial"/>
              <a:cs typeface="Arial"/>
            </a:rPr>
            <a:t> for accuracy.</a:t>
          </a:r>
          <a:endParaRPr lang="en-GB" sz="1000" b="1" i="0" u="none" strike="noStrike" baseline="0">
            <a:solidFill>
              <a:srgbClr val="000000"/>
            </a:solidFill>
            <a:latin typeface="Arial"/>
            <a:cs typeface="Arial"/>
          </a:endParaRPr>
        </a:p>
        <a:p>
          <a:pPr algn="l" rtl="0">
            <a:defRPr sz="1000"/>
          </a:pPr>
          <a:endParaRPr lang="en-GB" sz="1000" b="1" i="0" u="none" strike="noStrike" baseline="0">
            <a:solidFill>
              <a:srgbClr val="000000"/>
            </a:solidFill>
            <a:latin typeface="Arial"/>
            <a:cs typeface="Arial"/>
          </a:endParaRPr>
        </a:p>
      </xdr:txBody>
    </xdr:sp>
    <xdr:clientData/>
  </xdr:twoCellAnchor>
  <xdr:twoCellAnchor>
    <xdr:from>
      <xdr:col>2</xdr:col>
      <xdr:colOff>66675</xdr:colOff>
      <xdr:row>0</xdr:row>
      <xdr:rowOff>19050</xdr:rowOff>
    </xdr:from>
    <xdr:to>
      <xdr:col>4</xdr:col>
      <xdr:colOff>57150</xdr:colOff>
      <xdr:row>0</xdr:row>
      <xdr:rowOff>447675</xdr:rowOff>
    </xdr:to>
    <xdr:pic>
      <xdr:nvPicPr>
        <xdr:cNvPr id="8463923" name="Picture 8" descr="MS ModelWar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19050"/>
          <a:ext cx="178117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485775</xdr:colOff>
          <xdr:row>1</xdr:row>
          <xdr:rowOff>57150</xdr:rowOff>
        </xdr:from>
        <xdr:to>
          <xdr:col>16</xdr:col>
          <xdr:colOff>352425</xdr:colOff>
          <xdr:row>1</xdr:row>
          <xdr:rowOff>381000</xdr:rowOff>
        </xdr:to>
        <xdr:sp macro="" textlink="">
          <xdr:nvSpPr>
            <xdr:cNvPr id="575489" name="CommandButton2" hidden="1">
              <a:extLst>
                <a:ext uri="{63B3BB69-23CF-44E3-9099-C40C66FF867C}">
                  <a14:compatExt spid="_x0000_s57548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2.vml" Type="http://schemas.openxmlformats.org/officeDocument/2006/relationships/vmlDrawing"/>
<Relationship Id="rId3" Target="../comments12.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13.vml" Type="http://schemas.openxmlformats.org/officeDocument/2006/relationships/vmlDrawing"/>
<Relationship Id="rId3" Target="../comments13.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vmlDrawing14.vml" Type="http://schemas.openxmlformats.org/officeDocument/2006/relationships/vmlDrawing"/>
<Relationship Id="rId3" Target="../comments14.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drawing2.xml" Type="http://schemas.openxmlformats.org/officeDocument/2006/relationships/drawing"/>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 Id="rId2" Target="../drawings/drawing3.xml" Type="http://schemas.openxmlformats.org/officeDocument/2006/relationships/drawing"/>
<Relationship Id="rId3" Target="../drawings/vmlDrawing15.vml" Type="http://schemas.openxmlformats.org/officeDocument/2006/relationships/vmlDrawing"/>
<Relationship Id="rId4" Target="../activeX/activeX1.xml" Type="http://schemas.openxmlformats.org/officeDocument/2006/relationships/control"/>
<Relationship Id="rId5" Target="../media/image4.emf" Type="http://schemas.openxmlformats.org/officeDocument/2006/relationships/image"/>
<Relationship Id="rId6" Target="../comments15.xml" Type="http://schemas.openxmlformats.org/officeDocument/2006/relationships/comments"/>
</Relationships>

</file>

<file path=xl/worksheets/_rels/sheet21.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84"/>
  <sheetViews>
    <sheetView showGridLines="0" tabSelected="1" workbookViewId="0">
      <selection activeCell="A15" sqref="A15"/>
    </sheetView>
  </sheetViews>
  <sheetFormatPr defaultRowHeight="12.75"/>
  <cols>
    <col min="1" max="1" width="25.7109375" style="2476" customWidth="1"/>
    <col min="2" max="5" width="9.140625" style="2476"/>
    <col min="6" max="6" width="18.7109375" style="2476" customWidth="1"/>
    <col min="7" max="256" width="9.140625" style="2476"/>
    <col min="257" max="257" width="100.7109375" style="2476" customWidth="1"/>
    <col min="258" max="512" width="9.140625" style="2476"/>
    <col min="513" max="513" width="100.7109375" style="2476" customWidth="1"/>
    <col min="514" max="768" width="9.140625" style="2476"/>
    <col min="769" max="769" width="100.7109375" style="2476" customWidth="1"/>
    <col min="770" max="1024" width="9.140625" style="2476"/>
    <col min="1025" max="1025" width="100.7109375" style="2476" customWidth="1"/>
    <col min="1026" max="1280" width="9.140625" style="2476"/>
    <col min="1281" max="1281" width="100.7109375" style="2476" customWidth="1"/>
    <col min="1282" max="1536" width="9.140625" style="2476"/>
    <col min="1537" max="1537" width="100.7109375" style="2476" customWidth="1"/>
    <col min="1538" max="1792" width="9.140625" style="2476"/>
    <col min="1793" max="1793" width="100.7109375" style="2476" customWidth="1"/>
    <col min="1794" max="2048" width="9.140625" style="2476"/>
    <col min="2049" max="2049" width="100.7109375" style="2476" customWidth="1"/>
    <col min="2050" max="2304" width="9.140625" style="2476"/>
    <col min="2305" max="2305" width="100.7109375" style="2476" customWidth="1"/>
    <col min="2306" max="2560" width="9.140625" style="2476"/>
    <col min="2561" max="2561" width="100.7109375" style="2476" customWidth="1"/>
    <col min="2562" max="2816" width="9.140625" style="2476"/>
    <col min="2817" max="2817" width="100.7109375" style="2476" customWidth="1"/>
    <col min="2818" max="3072" width="9.140625" style="2476"/>
    <col min="3073" max="3073" width="100.7109375" style="2476" customWidth="1"/>
    <col min="3074" max="3328" width="9.140625" style="2476"/>
    <col min="3329" max="3329" width="100.7109375" style="2476" customWidth="1"/>
    <col min="3330" max="3584" width="9.140625" style="2476"/>
    <col min="3585" max="3585" width="100.7109375" style="2476" customWidth="1"/>
    <col min="3586" max="3840" width="9.140625" style="2476"/>
    <col min="3841" max="3841" width="100.7109375" style="2476" customWidth="1"/>
    <col min="3842" max="4096" width="9.140625" style="2476"/>
    <col min="4097" max="4097" width="100.7109375" style="2476" customWidth="1"/>
    <col min="4098" max="4352" width="9.140625" style="2476"/>
    <col min="4353" max="4353" width="100.7109375" style="2476" customWidth="1"/>
    <col min="4354" max="4608" width="9.140625" style="2476"/>
    <col min="4609" max="4609" width="100.7109375" style="2476" customWidth="1"/>
    <col min="4610" max="4864" width="9.140625" style="2476"/>
    <col min="4865" max="4865" width="100.7109375" style="2476" customWidth="1"/>
    <col min="4866" max="5120" width="9.140625" style="2476"/>
    <col min="5121" max="5121" width="100.7109375" style="2476" customWidth="1"/>
    <col min="5122" max="5376" width="9.140625" style="2476"/>
    <col min="5377" max="5377" width="100.7109375" style="2476" customWidth="1"/>
    <col min="5378" max="5632" width="9.140625" style="2476"/>
    <col min="5633" max="5633" width="100.7109375" style="2476" customWidth="1"/>
    <col min="5634" max="5888" width="9.140625" style="2476"/>
    <col min="5889" max="5889" width="100.7109375" style="2476" customWidth="1"/>
    <col min="5890" max="6144" width="9.140625" style="2476"/>
    <col min="6145" max="6145" width="100.7109375" style="2476" customWidth="1"/>
    <col min="6146" max="6400" width="9.140625" style="2476"/>
    <col min="6401" max="6401" width="100.7109375" style="2476" customWidth="1"/>
    <col min="6402" max="6656" width="9.140625" style="2476"/>
    <col min="6657" max="6657" width="100.7109375" style="2476" customWidth="1"/>
    <col min="6658" max="6912" width="9.140625" style="2476"/>
    <col min="6913" max="6913" width="100.7109375" style="2476" customWidth="1"/>
    <col min="6914" max="7168" width="9.140625" style="2476"/>
    <col min="7169" max="7169" width="100.7109375" style="2476" customWidth="1"/>
    <col min="7170" max="7424" width="9.140625" style="2476"/>
    <col min="7425" max="7425" width="100.7109375" style="2476" customWidth="1"/>
    <col min="7426" max="7680" width="9.140625" style="2476"/>
    <col min="7681" max="7681" width="100.7109375" style="2476" customWidth="1"/>
    <col min="7682" max="7936" width="9.140625" style="2476"/>
    <col min="7937" max="7937" width="100.7109375" style="2476" customWidth="1"/>
    <col min="7938" max="8192" width="9.140625" style="2476"/>
    <col min="8193" max="8193" width="100.7109375" style="2476" customWidth="1"/>
    <col min="8194" max="8448" width="9.140625" style="2476"/>
    <col min="8449" max="8449" width="100.7109375" style="2476" customWidth="1"/>
    <col min="8450" max="8704" width="9.140625" style="2476"/>
    <col min="8705" max="8705" width="100.7109375" style="2476" customWidth="1"/>
    <col min="8706" max="8960" width="9.140625" style="2476"/>
    <col min="8961" max="8961" width="100.7109375" style="2476" customWidth="1"/>
    <col min="8962" max="9216" width="9.140625" style="2476"/>
    <col min="9217" max="9217" width="100.7109375" style="2476" customWidth="1"/>
    <col min="9218" max="9472" width="9.140625" style="2476"/>
    <col min="9473" max="9473" width="100.7109375" style="2476" customWidth="1"/>
    <col min="9474" max="9728" width="9.140625" style="2476"/>
    <col min="9729" max="9729" width="100.7109375" style="2476" customWidth="1"/>
    <col min="9730" max="9984" width="9.140625" style="2476"/>
    <col min="9985" max="9985" width="100.7109375" style="2476" customWidth="1"/>
    <col min="9986" max="10240" width="9.140625" style="2476"/>
    <col min="10241" max="10241" width="100.7109375" style="2476" customWidth="1"/>
    <col min="10242" max="10496" width="9.140625" style="2476"/>
    <col min="10497" max="10497" width="100.7109375" style="2476" customWidth="1"/>
    <col min="10498" max="10752" width="9.140625" style="2476"/>
    <col min="10753" max="10753" width="100.7109375" style="2476" customWidth="1"/>
    <col min="10754" max="11008" width="9.140625" style="2476"/>
    <col min="11009" max="11009" width="100.7109375" style="2476" customWidth="1"/>
    <col min="11010" max="11264" width="9.140625" style="2476"/>
    <col min="11265" max="11265" width="100.7109375" style="2476" customWidth="1"/>
    <col min="11266" max="11520" width="9.140625" style="2476"/>
    <col min="11521" max="11521" width="100.7109375" style="2476" customWidth="1"/>
    <col min="11522" max="11776" width="9.140625" style="2476"/>
    <col min="11777" max="11777" width="100.7109375" style="2476" customWidth="1"/>
    <col min="11778" max="12032" width="9.140625" style="2476"/>
    <col min="12033" max="12033" width="100.7109375" style="2476" customWidth="1"/>
    <col min="12034" max="12288" width="9.140625" style="2476"/>
    <col min="12289" max="12289" width="100.7109375" style="2476" customWidth="1"/>
    <col min="12290" max="12544" width="9.140625" style="2476"/>
    <col min="12545" max="12545" width="100.7109375" style="2476" customWidth="1"/>
    <col min="12546" max="12800" width="9.140625" style="2476"/>
    <col min="12801" max="12801" width="100.7109375" style="2476" customWidth="1"/>
    <col min="12802" max="13056" width="9.140625" style="2476"/>
    <col min="13057" max="13057" width="100.7109375" style="2476" customWidth="1"/>
    <col min="13058" max="13312" width="9.140625" style="2476"/>
    <col min="13313" max="13313" width="100.7109375" style="2476" customWidth="1"/>
    <col min="13314" max="13568" width="9.140625" style="2476"/>
    <col min="13569" max="13569" width="100.7109375" style="2476" customWidth="1"/>
    <col min="13570" max="13824" width="9.140625" style="2476"/>
    <col min="13825" max="13825" width="100.7109375" style="2476" customWidth="1"/>
    <col min="13826" max="14080" width="9.140625" style="2476"/>
    <col min="14081" max="14081" width="100.7109375" style="2476" customWidth="1"/>
    <col min="14082" max="14336" width="9.140625" style="2476"/>
    <col min="14337" max="14337" width="100.7109375" style="2476" customWidth="1"/>
    <col min="14338" max="14592" width="9.140625" style="2476"/>
    <col min="14593" max="14593" width="100.7109375" style="2476" customWidth="1"/>
    <col min="14594" max="14848" width="9.140625" style="2476"/>
    <col min="14849" max="14849" width="100.7109375" style="2476" customWidth="1"/>
    <col min="14850" max="15104" width="9.140625" style="2476"/>
    <col min="15105" max="15105" width="100.7109375" style="2476" customWidth="1"/>
    <col min="15106" max="15360" width="9.140625" style="2476"/>
    <col min="15361" max="15361" width="100.7109375" style="2476" customWidth="1"/>
    <col min="15362" max="15616" width="9.140625" style="2476"/>
    <col min="15617" max="15617" width="100.7109375" style="2476" customWidth="1"/>
    <col min="15618" max="15872" width="9.140625" style="2476"/>
    <col min="15873" max="15873" width="100.7109375" style="2476" customWidth="1"/>
    <col min="15874" max="16128" width="9.140625" style="2476"/>
    <col min="16129" max="16129" width="100.7109375" style="2476" customWidth="1"/>
    <col min="16130" max="16384" width="9.140625" style="2476"/>
  </cols>
  <sheetData>
    <row r="1" spans="1:8" ht="30" customHeight="1">
      <c r="A1" s="2474"/>
      <c r="B1" s="2475"/>
      <c r="C1" s="2475"/>
      <c r="D1" s="2475"/>
      <c r="E1" s="2475"/>
      <c r="F1" s="2475"/>
      <c r="G1" s="2475"/>
      <c r="H1" s="2475"/>
    </row>
    <row r="2" spans="1:8" ht="14.25">
      <c r="A2" s="2477" t="s">
        <v>3117</v>
      </c>
      <c r="B2" s="2475"/>
      <c r="C2" s="2475"/>
      <c r="D2" s="2475"/>
      <c r="E2" s="2475"/>
      <c r="F2" s="2475"/>
      <c r="G2" s="2475"/>
      <c r="H2" s="2475"/>
    </row>
    <row r="3" spans="1:8" ht="14.25">
      <c r="A3" s="2477" t="s">
        <v>3118</v>
      </c>
      <c r="B3" s="2475"/>
      <c r="C3" s="2475"/>
      <c r="D3" s="2475"/>
      <c r="E3" s="2475"/>
      <c r="F3" s="2475"/>
      <c r="G3" s="2475"/>
      <c r="H3" s="2475"/>
    </row>
    <row r="4" spans="1:8" ht="14.25">
      <c r="A4" s="2477" t="s">
        <v>3119</v>
      </c>
      <c r="B4" s="2475"/>
      <c r="C4" s="2475"/>
      <c r="D4" s="2475"/>
      <c r="E4" s="2475"/>
      <c r="F4" s="2475"/>
      <c r="G4" s="2475"/>
      <c r="H4" s="2475"/>
    </row>
    <row r="5" spans="1:8" ht="14.25">
      <c r="A5" s="2477" t="s">
        <v>3120</v>
      </c>
      <c r="B5" s="2475"/>
      <c r="C5" s="2475"/>
      <c r="D5" s="2475"/>
      <c r="E5" s="2475"/>
      <c r="F5" s="2475"/>
      <c r="G5" s="2475"/>
      <c r="H5" s="2475"/>
    </row>
    <row r="6" spans="1:8" ht="14.25">
      <c r="A6" s="2477"/>
      <c r="B6" s="2475"/>
      <c r="C6" s="2475"/>
      <c r="D6" s="2475"/>
      <c r="E6" s="2475"/>
      <c r="F6" s="2475"/>
      <c r="G6" s="2475"/>
      <c r="H6" s="2475"/>
    </row>
    <row r="7" spans="1:8">
      <c r="A7" s="2474" t="s">
        <v>3121</v>
      </c>
      <c r="B7" s="2475"/>
      <c r="C7" s="2475"/>
      <c r="D7" s="2475"/>
      <c r="E7" s="2475"/>
      <c r="F7" s="2475"/>
      <c r="G7" s="2475"/>
      <c r="H7" s="2475"/>
    </row>
    <row r="8" spans="1:8">
      <c r="A8" s="2474" t="s">
        <v>3122</v>
      </c>
      <c r="B8" s="2475"/>
      <c r="C8" s="2475"/>
      <c r="D8" s="2475"/>
      <c r="E8" s="2475"/>
      <c r="F8" s="2475"/>
      <c r="G8" s="2475"/>
      <c r="H8" s="2475"/>
    </row>
    <row r="9" spans="1:8">
      <c r="A9" s="2474"/>
      <c r="B9" s="2475"/>
      <c r="C9" s="2475"/>
      <c r="D9" s="2475"/>
      <c r="E9" s="2475"/>
      <c r="F9" s="2475"/>
      <c r="G9" s="2475"/>
      <c r="H9" s="2475"/>
    </row>
    <row r="10" spans="1:8">
      <c r="A10" s="2478" t="s">
        <v>3123</v>
      </c>
      <c r="B10" s="2475"/>
      <c r="C10" s="2475"/>
      <c r="D10" s="2475"/>
      <c r="E10" s="2475"/>
      <c r="F10" s="2475"/>
      <c r="G10" s="2475"/>
      <c r="H10" s="2475"/>
    </row>
    <row r="11" spans="1:8">
      <c r="A11" s="2478" t="s">
        <v>3124</v>
      </c>
      <c r="B11" s="2475"/>
      <c r="C11" s="2475"/>
      <c r="D11" s="2475"/>
      <c r="E11" s="2475"/>
      <c r="F11" s="2475"/>
      <c r="G11" s="2475"/>
      <c r="H11" s="2475"/>
    </row>
    <row r="12" spans="1:8">
      <c r="A12" s="2478" t="s">
        <v>3125</v>
      </c>
      <c r="B12" s="2475"/>
      <c r="C12" s="2475"/>
      <c r="D12" s="2475"/>
      <c r="E12" s="2475"/>
      <c r="F12" s="2475"/>
      <c r="G12" s="2475"/>
      <c r="H12" s="2475"/>
    </row>
    <row r="13" spans="1:8">
      <c r="A13" s="2478" t="s">
        <v>3126</v>
      </c>
      <c r="B13" s="2475"/>
      <c r="C13" s="2475"/>
      <c r="D13" s="2475"/>
      <c r="E13" s="2475"/>
      <c r="F13" s="2475"/>
      <c r="G13" s="2475"/>
      <c r="H13" s="2475"/>
    </row>
    <row r="14" spans="1:8">
      <c r="A14" s="2478" t="s">
        <v>3127</v>
      </c>
      <c r="B14" s="2475"/>
      <c r="C14" s="2475"/>
      <c r="D14" s="2475"/>
      <c r="E14" s="2475"/>
      <c r="F14" s="2475"/>
      <c r="G14" s="2475"/>
      <c r="H14" s="2475"/>
    </row>
    <row r="15" spans="1:8">
      <c r="A15" s="2478" t="s">
        <v>3470</v>
      </c>
      <c r="B15" s="2475"/>
      <c r="C15" s="2475"/>
      <c r="D15" s="2475"/>
      <c r="E15" s="2475"/>
      <c r="F15" s="2475"/>
      <c r="G15" s="2475"/>
      <c r="H15" s="2475"/>
    </row>
    <row r="16" spans="1:8">
      <c r="A16" s="2478"/>
      <c r="B16" s="2475"/>
      <c r="C16" s="2475"/>
      <c r="D16" s="2475"/>
      <c r="E16" s="2475"/>
      <c r="F16" s="2475"/>
      <c r="G16" s="2475"/>
      <c r="H16" s="2475"/>
    </row>
    <row r="17" spans="1:8">
      <c r="A17" s="2478" t="s">
        <v>3114</v>
      </c>
      <c r="B17" s="2475"/>
      <c r="C17" s="2475"/>
      <c r="D17" s="2475"/>
      <c r="E17" s="2475"/>
      <c r="F17" s="2475"/>
      <c r="G17" s="2475"/>
      <c r="H17" s="2475"/>
    </row>
    <row r="18" spans="1:8">
      <c r="A18" s="2478"/>
      <c r="B18" s="2475"/>
      <c r="C18" s="2475"/>
      <c r="D18" s="2475"/>
      <c r="E18" s="2475"/>
      <c r="F18" s="2475"/>
      <c r="G18" s="2475"/>
      <c r="H18" s="2475"/>
    </row>
    <row r="19" spans="1:8">
      <c r="A19" s="2478" t="s">
        <v>3115</v>
      </c>
      <c r="B19" s="2475"/>
      <c r="C19" s="2475"/>
      <c r="D19" s="2475"/>
      <c r="E19" s="2475"/>
      <c r="F19" s="2475"/>
      <c r="G19" s="2475"/>
      <c r="H19" s="2475"/>
    </row>
    <row r="20" spans="1:8">
      <c r="A20" s="2474"/>
      <c r="B20" s="2475"/>
      <c r="C20" s="2475"/>
      <c r="D20" s="2475"/>
      <c r="E20" s="2475"/>
      <c r="F20" s="2475"/>
      <c r="G20" s="2475"/>
      <c r="H20" s="2475"/>
    </row>
    <row r="21" spans="1:8">
      <c r="A21" s="2479" t="s">
        <v>3116</v>
      </c>
      <c r="B21" s="2475"/>
      <c r="C21" s="2475"/>
      <c r="D21" s="2475"/>
      <c r="E21" s="2475"/>
      <c r="F21" s="2475"/>
      <c r="G21" s="2475"/>
      <c r="H21" s="2475"/>
    </row>
    <row r="22" spans="1:8">
      <c r="A22" s="2480"/>
      <c r="B22" s="2480"/>
      <c r="C22" s="2480"/>
      <c r="D22" s="2480"/>
      <c r="E22" s="2480"/>
      <c r="F22" s="2480"/>
      <c r="G22" s="2480"/>
      <c r="H22" s="2480"/>
    </row>
    <row r="23" spans="1:8" ht="15">
      <c r="A23" s="2481" t="s">
        <v>3400</v>
      </c>
      <c r="B23" s="2480"/>
      <c r="C23" s="2480"/>
      <c r="D23" s="2480"/>
      <c r="E23" s="2480"/>
      <c r="F23" s="2480"/>
      <c r="G23" s="2480"/>
      <c r="H23" s="2480"/>
    </row>
    <row r="24" spans="1:8" ht="15">
      <c r="A24" s="2481" t="s">
        <v>3401</v>
      </c>
      <c r="B24" s="2480"/>
      <c r="C24" s="2480"/>
      <c r="D24" s="2480"/>
      <c r="E24" s="2480"/>
      <c r="F24" s="2480"/>
      <c r="G24" s="2480"/>
      <c r="H24" s="2480"/>
    </row>
    <row r="25" spans="1:8" ht="15">
      <c r="A25" s="2481" t="s">
        <v>3402</v>
      </c>
      <c r="B25" s="2480"/>
      <c r="C25" s="2480"/>
      <c r="D25" s="2480"/>
      <c r="E25" s="2480"/>
      <c r="F25" s="2480"/>
      <c r="G25" s="2480"/>
      <c r="H25" s="2480"/>
    </row>
    <row r="26" spans="1:8" ht="15">
      <c r="A26" s="2481" t="s">
        <v>3403</v>
      </c>
      <c r="B26" s="2480"/>
      <c r="C26" s="2480"/>
      <c r="D26" s="2480"/>
      <c r="E26" s="2480"/>
      <c r="F26" s="2480"/>
      <c r="G26" s="2480"/>
      <c r="H26" s="2480"/>
    </row>
    <row r="27" spans="1:8">
      <c r="A27" s="2480"/>
      <c r="B27" s="2480"/>
      <c r="C27" s="2480"/>
      <c r="D27" s="2480"/>
      <c r="E27" s="2480"/>
      <c r="F27" s="2480"/>
      <c r="G27" s="2480"/>
      <c r="H27" s="2480"/>
    </row>
    <row r="28" spans="1:8">
      <c r="A28" s="2480"/>
      <c r="B28" s="2480"/>
      <c r="C28" s="2480"/>
      <c r="D28" s="2480"/>
      <c r="E28" s="2480"/>
      <c r="F28" s="2480"/>
      <c r="G28" s="2480"/>
      <c r="H28" s="2480"/>
    </row>
    <row r="29" spans="1:8" ht="15">
      <c r="A29" s="2481" t="s">
        <v>3395</v>
      </c>
      <c r="B29" s="2480"/>
      <c r="C29" s="2480"/>
      <c r="D29" s="2480"/>
      <c r="E29" s="2480"/>
      <c r="F29" s="2480"/>
      <c r="G29" s="2480"/>
      <c r="H29" s="2480"/>
    </row>
    <row r="30" spans="1:8" ht="15">
      <c r="A30" s="2481" t="s">
        <v>3396</v>
      </c>
      <c r="B30" s="2480"/>
      <c r="C30" s="2480"/>
      <c r="D30" s="2480"/>
      <c r="E30" s="2480"/>
      <c r="F30" s="2480"/>
      <c r="G30" s="2480"/>
      <c r="H30" s="2480"/>
    </row>
    <row r="31" spans="1:8" ht="15">
      <c r="A31" s="2481" t="s">
        <v>3397</v>
      </c>
      <c r="B31" s="2480"/>
      <c r="C31" s="2480"/>
      <c r="D31" s="2480"/>
      <c r="E31" s="2480"/>
      <c r="F31" s="2480"/>
      <c r="G31" s="2480"/>
      <c r="H31" s="2480"/>
    </row>
    <row r="32" spans="1:8" ht="15">
      <c r="A32" s="2481" t="s">
        <v>3398</v>
      </c>
      <c r="B32" s="2480"/>
      <c r="C32" s="2480"/>
      <c r="D32" s="2480"/>
      <c r="E32" s="2480"/>
      <c r="F32" s="2480"/>
      <c r="G32" s="2480"/>
      <c r="H32" s="2480"/>
    </row>
    <row r="33" spans="1:8" ht="15">
      <c r="A33" s="2481" t="s">
        <v>3399</v>
      </c>
      <c r="B33" s="2480"/>
      <c r="C33" s="2480"/>
      <c r="D33" s="2480"/>
      <c r="E33" s="2480"/>
      <c r="F33" s="2480"/>
      <c r="G33" s="2480"/>
      <c r="H33" s="2480"/>
    </row>
    <row r="34" spans="1:8">
      <c r="A34" s="2480"/>
      <c r="B34" s="2480"/>
      <c r="C34" s="2480"/>
      <c r="D34" s="2480"/>
      <c r="E34" s="2480"/>
      <c r="F34" s="2480"/>
      <c r="G34" s="2480"/>
      <c r="H34" s="2480"/>
    </row>
    <row r="35" spans="1:8" ht="15">
      <c r="A35" s="2481" t="s">
        <v>3391</v>
      </c>
      <c r="B35" s="2480"/>
      <c r="C35" s="2480"/>
      <c r="D35" s="2480"/>
      <c r="E35" s="2480"/>
      <c r="F35" s="2480"/>
      <c r="G35" s="2480"/>
      <c r="H35" s="2480"/>
    </row>
    <row r="36" spans="1:8" ht="15">
      <c r="A36" s="2481" t="s">
        <v>3392</v>
      </c>
      <c r="B36" s="2480"/>
      <c r="C36" s="2480"/>
      <c r="D36" s="2480"/>
      <c r="E36" s="2480"/>
      <c r="F36" s="2480"/>
      <c r="G36" s="2480"/>
      <c r="H36" s="2480"/>
    </row>
    <row r="37" spans="1:8" ht="15">
      <c r="A37" s="2481" t="s">
        <v>3393</v>
      </c>
      <c r="B37" s="2480"/>
      <c r="C37" s="2480"/>
      <c r="D37" s="2480"/>
      <c r="E37" s="2480"/>
      <c r="F37" s="2480"/>
      <c r="G37" s="2480"/>
      <c r="H37" s="2480"/>
    </row>
    <row r="38" spans="1:8" ht="15">
      <c r="A38" s="2481" t="s">
        <v>3394</v>
      </c>
      <c r="B38" s="2480"/>
      <c r="C38" s="2480"/>
      <c r="D38" s="2480"/>
      <c r="E38" s="2480"/>
      <c r="F38" s="2480"/>
      <c r="G38" s="2480"/>
      <c r="H38" s="2480"/>
    </row>
    <row r="39" spans="1:8">
      <c r="A39" s="2480"/>
      <c r="B39" s="2480"/>
      <c r="C39" s="2480"/>
      <c r="D39" s="2480"/>
      <c r="E39" s="2480"/>
      <c r="F39" s="2480"/>
      <c r="G39" s="2480"/>
      <c r="H39" s="2480"/>
    </row>
    <row r="40" spans="1:8" ht="15">
      <c r="A40" s="2481" t="s">
        <v>3385</v>
      </c>
      <c r="B40" s="2480"/>
      <c r="C40" s="2480"/>
      <c r="D40" s="2480"/>
      <c r="E40" s="2480"/>
      <c r="F40" s="2480"/>
      <c r="G40" s="2480"/>
      <c r="H40" s="2480"/>
    </row>
    <row r="41" spans="1:8" ht="15">
      <c r="A41" s="2481" t="s">
        <v>3386</v>
      </c>
      <c r="B41" s="2480"/>
      <c r="C41" s="2480"/>
      <c r="D41" s="2480"/>
      <c r="E41" s="2480"/>
      <c r="F41" s="2480"/>
      <c r="G41" s="2480"/>
      <c r="H41" s="2480"/>
    </row>
    <row r="42" spans="1:8" ht="15">
      <c r="A42" s="2481" t="s">
        <v>3387</v>
      </c>
      <c r="B42" s="2480"/>
      <c r="C42" s="2480"/>
      <c r="D42" s="2480"/>
      <c r="E42" s="2480"/>
      <c r="F42" s="2480"/>
      <c r="G42" s="2480"/>
      <c r="H42" s="2480"/>
    </row>
    <row r="43" spans="1:8" ht="15">
      <c r="A43" s="2481" t="s">
        <v>3388</v>
      </c>
      <c r="B43" s="2480"/>
      <c r="C43" s="2480"/>
      <c r="D43" s="2480"/>
      <c r="E43" s="2480"/>
      <c r="F43" s="2480"/>
      <c r="G43" s="2480"/>
      <c r="H43" s="2480"/>
    </row>
    <row r="44" spans="1:8" ht="15">
      <c r="A44" s="2481" t="s">
        <v>3389</v>
      </c>
      <c r="B44" s="2480"/>
      <c r="C44" s="2480"/>
      <c r="D44" s="2480"/>
      <c r="E44" s="2480"/>
      <c r="F44" s="2480"/>
      <c r="G44" s="2480"/>
      <c r="H44" s="2480"/>
    </row>
    <row r="45" spans="1:8" ht="15">
      <c r="A45" s="2481" t="s">
        <v>3390</v>
      </c>
      <c r="B45" s="2480"/>
      <c r="C45" s="2480"/>
      <c r="D45" s="2480"/>
      <c r="E45" s="2480"/>
      <c r="F45" s="2480"/>
      <c r="G45" s="2480"/>
      <c r="H45" s="2480"/>
    </row>
    <row r="46" spans="1:8">
      <c r="A46" s="2480"/>
      <c r="B46" s="2480"/>
      <c r="C46" s="2480"/>
      <c r="D46" s="2480"/>
      <c r="E46" s="2480"/>
      <c r="F46" s="2480"/>
      <c r="G46" s="2480"/>
      <c r="H46" s="2480"/>
    </row>
    <row r="47" spans="1:8" ht="15.75">
      <c r="A47" s="2482" t="s">
        <v>3128</v>
      </c>
      <c r="B47" s="2480"/>
      <c r="C47" s="2480"/>
      <c r="D47" s="2480"/>
      <c r="E47" s="2480"/>
      <c r="F47" s="2480"/>
      <c r="G47" s="2480"/>
      <c r="H47" s="2480"/>
    </row>
    <row r="48" spans="1:8">
      <c r="A48" s="2480"/>
      <c r="B48" s="2480"/>
      <c r="C48" s="2480"/>
      <c r="D48" s="2480"/>
      <c r="E48" s="2480"/>
      <c r="F48" s="2480"/>
      <c r="G48" s="2480"/>
      <c r="H48" s="2480"/>
    </row>
    <row r="49" spans="1:8" ht="15">
      <c r="A49" s="2481" t="s">
        <v>3381</v>
      </c>
      <c r="B49" s="2480"/>
      <c r="C49" s="2480"/>
      <c r="D49" s="2480"/>
      <c r="E49" s="2480"/>
      <c r="F49" s="2480"/>
      <c r="G49" s="2480"/>
      <c r="H49" s="2480"/>
    </row>
    <row r="50" spans="1:8" ht="15">
      <c r="A50" s="2481" t="s">
        <v>3382</v>
      </c>
      <c r="B50" s="2480"/>
      <c r="C50" s="2480"/>
      <c r="D50" s="2480"/>
      <c r="E50" s="2480"/>
      <c r="F50" s="2480"/>
      <c r="G50" s="2480"/>
      <c r="H50" s="2480"/>
    </row>
    <row r="51" spans="1:8" ht="15">
      <c r="A51" s="2481" t="s">
        <v>3383</v>
      </c>
      <c r="B51" s="2480"/>
      <c r="C51" s="2480"/>
      <c r="D51" s="2480"/>
      <c r="E51" s="2480"/>
      <c r="F51" s="2480"/>
      <c r="G51" s="2480"/>
      <c r="H51" s="2480"/>
    </row>
    <row r="52" spans="1:8" ht="15">
      <c r="A52" s="2481" t="s">
        <v>3384</v>
      </c>
      <c r="B52" s="2480"/>
      <c r="C52" s="2480"/>
      <c r="D52" s="2480"/>
      <c r="E52" s="2480"/>
      <c r="F52" s="2480"/>
      <c r="G52" s="2480"/>
      <c r="H52" s="2480"/>
    </row>
    <row r="53" spans="1:8">
      <c r="A53" s="2480"/>
      <c r="B53" s="2480"/>
      <c r="C53" s="2480"/>
      <c r="D53" s="2480"/>
      <c r="E53" s="2480"/>
      <c r="F53" s="2480"/>
      <c r="G53" s="2480"/>
      <c r="H53" s="2480"/>
    </row>
    <row r="54" spans="1:8" ht="15">
      <c r="A54" s="2481" t="s">
        <v>3129</v>
      </c>
      <c r="B54" s="2480"/>
      <c r="C54" s="2480"/>
      <c r="D54" s="2480"/>
      <c r="E54" s="2480"/>
      <c r="F54" s="2480"/>
      <c r="G54" s="2480"/>
      <c r="H54" s="2480"/>
    </row>
    <row r="55" spans="1:8">
      <c r="A55" s="2480"/>
      <c r="B55" s="2480"/>
      <c r="C55" s="2480"/>
      <c r="D55" s="2480"/>
      <c r="E55" s="2480"/>
      <c r="F55" s="2480"/>
      <c r="G55" s="2480"/>
      <c r="H55" s="2480"/>
    </row>
    <row r="56" spans="1:8" ht="15.75">
      <c r="A56" s="2482" t="s">
        <v>3130</v>
      </c>
      <c r="B56" s="2480"/>
      <c r="C56" s="2480"/>
      <c r="D56" s="2480"/>
      <c r="E56" s="2480"/>
      <c r="F56" s="2480"/>
      <c r="G56" s="2480"/>
      <c r="H56" s="2480"/>
    </row>
    <row r="57" spans="1:8">
      <c r="A57" s="2480"/>
      <c r="B57" s="2480"/>
      <c r="C57" s="2480"/>
      <c r="D57" s="2480"/>
      <c r="E57" s="2480"/>
      <c r="F57" s="2480"/>
      <c r="G57" s="2480"/>
      <c r="H57" s="2480"/>
    </row>
    <row r="58" spans="1:8" ht="15">
      <c r="A58" s="2481" t="s">
        <v>3379</v>
      </c>
      <c r="B58" s="2480"/>
      <c r="C58" s="2480"/>
      <c r="D58" s="2480"/>
      <c r="E58" s="2480"/>
      <c r="F58" s="2480"/>
      <c r="G58" s="2480"/>
      <c r="H58" s="2480"/>
    </row>
    <row r="59" spans="1:8" ht="15">
      <c r="A59" s="2481" t="s">
        <v>3380</v>
      </c>
      <c r="B59" s="2480"/>
      <c r="C59" s="2480"/>
      <c r="D59" s="2480"/>
      <c r="E59" s="2480"/>
      <c r="F59" s="2480"/>
      <c r="G59" s="2480"/>
      <c r="H59" s="2480"/>
    </row>
    <row r="60" spans="1:8">
      <c r="A60" s="2480"/>
      <c r="B60" s="2480"/>
      <c r="C60" s="2480"/>
      <c r="D60" s="2480"/>
      <c r="E60" s="2480"/>
      <c r="F60" s="2480"/>
      <c r="G60" s="2480"/>
      <c r="H60" s="2480"/>
    </row>
    <row r="61" spans="1:8" ht="15.75">
      <c r="A61" s="2482" t="s">
        <v>3131</v>
      </c>
      <c r="B61" s="2480"/>
      <c r="C61" s="2480"/>
      <c r="D61" s="2480"/>
      <c r="E61" s="2480"/>
      <c r="F61" s="2480"/>
      <c r="G61" s="2480"/>
      <c r="H61" s="2480"/>
    </row>
    <row r="62" spans="1:8">
      <c r="A62" s="2480"/>
      <c r="B62" s="2480"/>
      <c r="C62" s="2480"/>
      <c r="D62" s="2480"/>
      <c r="E62" s="2480"/>
      <c r="F62" s="2480"/>
      <c r="G62" s="2480"/>
      <c r="H62" s="2480"/>
    </row>
    <row r="63" spans="1:8" ht="15">
      <c r="A63" s="2481" t="s">
        <v>3377</v>
      </c>
      <c r="B63" s="2480"/>
      <c r="C63" s="2480"/>
      <c r="D63" s="2480"/>
      <c r="E63" s="2480"/>
      <c r="F63" s="2480"/>
      <c r="G63" s="2480"/>
      <c r="H63" s="2480"/>
    </row>
    <row r="64" spans="1:8" ht="15">
      <c r="A64" s="2481" t="s">
        <v>3378</v>
      </c>
      <c r="B64" s="2480"/>
      <c r="C64" s="2480"/>
      <c r="D64" s="2480"/>
      <c r="E64" s="2480"/>
      <c r="F64" s="2480"/>
      <c r="G64" s="2480"/>
      <c r="H64" s="2480"/>
    </row>
    <row r="65" spans="1:8">
      <c r="A65" s="2480"/>
      <c r="B65" s="2480"/>
      <c r="C65" s="2480"/>
      <c r="D65" s="2480"/>
      <c r="E65" s="2480"/>
      <c r="F65" s="2480"/>
      <c r="G65" s="2480"/>
      <c r="H65" s="2480"/>
    </row>
    <row r="66" spans="1:8" ht="15">
      <c r="A66" s="2481" t="s">
        <v>3375</v>
      </c>
      <c r="B66" s="2480"/>
      <c r="C66" s="2480"/>
      <c r="D66" s="2480"/>
      <c r="E66" s="2480"/>
      <c r="F66" s="2480"/>
      <c r="G66" s="2480"/>
      <c r="H66" s="2480"/>
    </row>
    <row r="67" spans="1:8" ht="15">
      <c r="A67" s="2481" t="s">
        <v>3376</v>
      </c>
      <c r="B67" s="2480"/>
      <c r="C67" s="2480"/>
      <c r="D67" s="2480"/>
      <c r="E67" s="2480"/>
      <c r="F67" s="2480"/>
      <c r="G67" s="2480"/>
      <c r="H67" s="2480"/>
    </row>
    <row r="68" spans="1:8">
      <c r="A68" s="2480"/>
      <c r="B68" s="2480"/>
      <c r="C68" s="2480"/>
      <c r="D68" s="2480"/>
      <c r="E68" s="2480"/>
      <c r="F68" s="2480"/>
      <c r="G68" s="2480"/>
      <c r="H68" s="2480"/>
    </row>
    <row r="69" spans="1:8" ht="15">
      <c r="A69" s="2481" t="s">
        <v>3373</v>
      </c>
      <c r="B69" s="2480"/>
      <c r="C69" s="2480"/>
      <c r="D69" s="2480"/>
      <c r="E69" s="2480"/>
      <c r="F69" s="2480"/>
      <c r="G69" s="2480"/>
      <c r="H69" s="2480"/>
    </row>
    <row r="70" spans="1:8" ht="15">
      <c r="A70" s="2481" t="s">
        <v>3374</v>
      </c>
      <c r="B70" s="2480"/>
      <c r="C70" s="2480"/>
      <c r="D70" s="2480"/>
      <c r="E70" s="2480"/>
      <c r="F70" s="2480"/>
      <c r="G70" s="2480"/>
      <c r="H70" s="2480"/>
    </row>
    <row r="71" spans="1:8">
      <c r="A71" s="2480"/>
      <c r="B71" s="2480"/>
      <c r="C71" s="2480"/>
      <c r="D71" s="2480"/>
      <c r="E71" s="2480"/>
      <c r="F71" s="2480"/>
      <c r="G71" s="2480"/>
      <c r="H71" s="2480"/>
    </row>
    <row r="72" spans="1:8" ht="15">
      <c r="A72" s="2481" t="s">
        <v>3132</v>
      </c>
      <c r="B72" s="2480"/>
      <c r="C72" s="2480"/>
      <c r="D72" s="2480"/>
      <c r="E72" s="2480"/>
      <c r="F72" s="2480"/>
      <c r="G72" s="2480"/>
      <c r="H72" s="2480"/>
    </row>
    <row r="73" spans="1:8">
      <c r="A73" s="2480"/>
      <c r="B73" s="2480"/>
      <c r="C73" s="2480"/>
      <c r="D73" s="2480"/>
      <c r="E73" s="2480"/>
      <c r="F73" s="2480"/>
      <c r="G73" s="2480"/>
      <c r="H73" s="2480"/>
    </row>
    <row r="74" spans="1:8" ht="15">
      <c r="A74" s="2481" t="s">
        <v>3368</v>
      </c>
      <c r="B74" s="2480"/>
      <c r="C74" s="2480"/>
      <c r="D74" s="2480"/>
      <c r="E74" s="2480"/>
      <c r="F74" s="2480"/>
      <c r="G74" s="2480"/>
      <c r="H74" s="2480"/>
    </row>
    <row r="75" spans="1:8" ht="15">
      <c r="A75" s="2481" t="s">
        <v>3369</v>
      </c>
      <c r="B75" s="2480"/>
      <c r="C75" s="2480"/>
      <c r="D75" s="2480"/>
      <c r="E75" s="2480"/>
      <c r="F75" s="2480"/>
      <c r="G75" s="2480"/>
      <c r="H75" s="2480"/>
    </row>
    <row r="76" spans="1:8" ht="15">
      <c r="A76" s="2481" t="s">
        <v>3370</v>
      </c>
      <c r="B76" s="2480"/>
      <c r="C76" s="2480"/>
      <c r="D76" s="2480"/>
      <c r="E76" s="2480"/>
      <c r="F76" s="2480"/>
      <c r="G76" s="2480"/>
      <c r="H76" s="2480"/>
    </row>
    <row r="77" spans="1:8" ht="15">
      <c r="A77" s="2481" t="s">
        <v>3371</v>
      </c>
      <c r="B77" s="2480"/>
      <c r="C77" s="2480"/>
      <c r="D77" s="2480"/>
      <c r="E77" s="2480"/>
      <c r="F77" s="2480"/>
      <c r="G77" s="2480"/>
      <c r="H77" s="2480"/>
    </row>
    <row r="78" spans="1:8" ht="15">
      <c r="A78" s="2481" t="s">
        <v>3372</v>
      </c>
      <c r="B78" s="2480"/>
      <c r="C78" s="2480"/>
      <c r="D78" s="2480"/>
      <c r="E78" s="2480"/>
      <c r="F78" s="2480"/>
      <c r="G78" s="2480"/>
      <c r="H78" s="2480"/>
    </row>
    <row r="79" spans="1:8" ht="15">
      <c r="A79" s="2481" t="s">
        <v>3257</v>
      </c>
      <c r="B79" s="2480"/>
      <c r="C79" s="2480"/>
      <c r="D79" s="2480"/>
      <c r="E79" s="2480"/>
      <c r="F79" s="2480"/>
      <c r="G79" s="2480"/>
      <c r="H79" s="2480"/>
    </row>
    <row r="80" spans="1:8">
      <c r="A80" s="2480"/>
      <c r="B80" s="2480"/>
      <c r="C80" s="2480"/>
      <c r="D80" s="2480"/>
      <c r="E80" s="2480"/>
      <c r="F80" s="2480"/>
      <c r="G80" s="2480"/>
      <c r="H80" s="2480"/>
    </row>
    <row r="81" spans="1:8" ht="15">
      <c r="A81" s="2481" t="s">
        <v>3361</v>
      </c>
      <c r="B81" s="2480"/>
      <c r="C81" s="2480"/>
      <c r="D81" s="2480"/>
      <c r="E81" s="2480"/>
      <c r="F81" s="2480"/>
      <c r="G81" s="2480"/>
      <c r="H81" s="2480"/>
    </row>
    <row r="82" spans="1:8" ht="15">
      <c r="A82" s="2481" t="s">
        <v>3362</v>
      </c>
      <c r="B82" s="2480"/>
      <c r="C82" s="2480"/>
      <c r="D82" s="2480"/>
      <c r="E82" s="2480"/>
      <c r="F82" s="2480"/>
      <c r="G82" s="2480"/>
      <c r="H82" s="2480"/>
    </row>
    <row r="83" spans="1:8" ht="15">
      <c r="A83" s="2481" t="s">
        <v>3363</v>
      </c>
      <c r="B83" s="2480"/>
      <c r="C83" s="2480"/>
      <c r="D83" s="2480"/>
      <c r="E83" s="2480"/>
      <c r="F83" s="2480"/>
      <c r="G83" s="2480"/>
      <c r="H83" s="2480"/>
    </row>
    <row r="84" spans="1:8" ht="15">
      <c r="A84" s="2481" t="s">
        <v>3364</v>
      </c>
      <c r="B84" s="2480"/>
      <c r="C84" s="2480"/>
      <c r="D84" s="2480"/>
      <c r="E84" s="2480"/>
      <c r="F84" s="2480"/>
      <c r="G84" s="2480"/>
      <c r="H84" s="2480"/>
    </row>
    <row r="85" spans="1:8" ht="15">
      <c r="A85" s="2481" t="s">
        <v>3365</v>
      </c>
      <c r="B85" s="2480"/>
      <c r="C85" s="2480"/>
      <c r="D85" s="2480"/>
      <c r="E85" s="2480"/>
      <c r="F85" s="2480"/>
      <c r="G85" s="2480"/>
      <c r="H85" s="2480"/>
    </row>
    <row r="86" spans="1:8" ht="15">
      <c r="A86" s="2481" t="s">
        <v>3366</v>
      </c>
      <c r="B86" s="2480"/>
      <c r="C86" s="2480"/>
      <c r="D86" s="2480"/>
      <c r="E86" s="2480"/>
      <c r="F86" s="2480"/>
      <c r="G86" s="2480"/>
      <c r="H86" s="2480"/>
    </row>
    <row r="87" spans="1:8" ht="15">
      <c r="A87" s="2481" t="s">
        <v>3367</v>
      </c>
      <c r="B87" s="2480"/>
      <c r="C87" s="2480"/>
      <c r="D87" s="2480"/>
      <c r="E87" s="2480"/>
      <c r="F87" s="2480"/>
      <c r="G87" s="2480"/>
      <c r="H87" s="2480"/>
    </row>
    <row r="88" spans="1:8">
      <c r="A88" s="2480"/>
      <c r="B88" s="2480"/>
      <c r="C88" s="2480"/>
      <c r="D88" s="2480"/>
      <c r="E88" s="2480"/>
      <c r="F88" s="2480"/>
      <c r="G88" s="2480"/>
      <c r="H88" s="2480"/>
    </row>
    <row r="89" spans="1:8" ht="15">
      <c r="A89" s="2481" t="s">
        <v>3359</v>
      </c>
      <c r="B89" s="2480"/>
      <c r="C89" s="2480"/>
      <c r="D89" s="2480"/>
      <c r="E89" s="2480"/>
      <c r="F89" s="2480"/>
      <c r="G89" s="2480"/>
      <c r="H89" s="2480"/>
    </row>
    <row r="90" spans="1:8" ht="15">
      <c r="A90" s="2481" t="s">
        <v>3360</v>
      </c>
      <c r="B90" s="2480"/>
      <c r="C90" s="2480"/>
      <c r="D90" s="2480"/>
      <c r="E90" s="2480"/>
      <c r="F90" s="2480"/>
      <c r="G90" s="2480"/>
      <c r="H90" s="2480"/>
    </row>
    <row r="91" spans="1:8">
      <c r="A91" s="2480"/>
      <c r="B91" s="2480"/>
      <c r="C91" s="2480"/>
      <c r="D91" s="2480"/>
      <c r="E91" s="2480"/>
      <c r="F91" s="2480"/>
      <c r="G91" s="2480"/>
      <c r="H91" s="2480"/>
    </row>
    <row r="92" spans="1:8" ht="15.75">
      <c r="A92" s="2482" t="s">
        <v>3133</v>
      </c>
      <c r="B92" s="2480"/>
      <c r="C92" s="2480"/>
      <c r="D92" s="2480"/>
      <c r="E92" s="2480"/>
      <c r="F92" s="2480"/>
      <c r="G92" s="2480"/>
      <c r="H92" s="2480"/>
    </row>
    <row r="93" spans="1:8">
      <c r="A93" s="2480"/>
      <c r="B93" s="2480"/>
      <c r="C93" s="2480"/>
      <c r="D93" s="2480"/>
      <c r="E93" s="2480"/>
      <c r="F93" s="2480"/>
      <c r="G93" s="2480"/>
      <c r="H93" s="2480"/>
    </row>
    <row r="94" spans="1:8" ht="15">
      <c r="A94" s="2481" t="s">
        <v>3350</v>
      </c>
      <c r="B94" s="2480"/>
      <c r="C94" s="2480"/>
      <c r="D94" s="2480"/>
      <c r="E94" s="2480"/>
      <c r="F94" s="2480"/>
      <c r="G94" s="2480"/>
      <c r="H94" s="2480"/>
    </row>
    <row r="95" spans="1:8" ht="15">
      <c r="A95" s="2481" t="s">
        <v>3351</v>
      </c>
      <c r="B95" s="2480"/>
      <c r="C95" s="2480"/>
      <c r="D95" s="2480"/>
      <c r="E95" s="2480"/>
      <c r="F95" s="2480"/>
      <c r="G95" s="2480"/>
      <c r="H95" s="2480"/>
    </row>
    <row r="96" spans="1:8" ht="15">
      <c r="A96" s="2481" t="s">
        <v>3352</v>
      </c>
      <c r="B96" s="2480"/>
      <c r="C96" s="2480"/>
      <c r="D96" s="2480"/>
      <c r="E96" s="2480"/>
      <c r="F96" s="2480"/>
      <c r="G96" s="2480"/>
      <c r="H96" s="2480"/>
    </row>
    <row r="97" spans="1:8" ht="15">
      <c r="A97" s="2481" t="s">
        <v>3353</v>
      </c>
      <c r="B97" s="2480"/>
      <c r="C97" s="2480"/>
      <c r="D97" s="2480"/>
      <c r="E97" s="2480"/>
      <c r="F97" s="2480"/>
      <c r="G97" s="2480"/>
      <c r="H97" s="2480"/>
    </row>
    <row r="98" spans="1:8" ht="15">
      <c r="A98" s="2481" t="s">
        <v>3354</v>
      </c>
      <c r="B98" s="2480"/>
      <c r="C98" s="2480"/>
      <c r="D98" s="2480"/>
      <c r="E98" s="2480"/>
      <c r="F98" s="2480"/>
      <c r="G98" s="2480"/>
      <c r="H98" s="2480"/>
    </row>
    <row r="99" spans="1:8" ht="15">
      <c r="A99" s="2481" t="s">
        <v>3355</v>
      </c>
      <c r="B99" s="2480"/>
      <c r="C99" s="2480"/>
      <c r="D99" s="2480"/>
      <c r="E99" s="2480"/>
      <c r="F99" s="2480"/>
      <c r="G99" s="2480"/>
      <c r="H99" s="2480"/>
    </row>
    <row r="100" spans="1:8" ht="15">
      <c r="A100" s="2481" t="s">
        <v>3356</v>
      </c>
      <c r="B100" s="2480"/>
      <c r="C100" s="2480"/>
      <c r="D100" s="2480"/>
      <c r="E100" s="2480"/>
      <c r="F100" s="2480"/>
      <c r="G100" s="2480"/>
      <c r="H100" s="2480"/>
    </row>
    <row r="101" spans="1:8" ht="15">
      <c r="A101" s="2481" t="s">
        <v>3357</v>
      </c>
      <c r="B101" s="2480"/>
      <c r="C101" s="2480"/>
      <c r="D101" s="2480"/>
      <c r="E101" s="2480"/>
      <c r="F101" s="2480"/>
      <c r="G101" s="2480"/>
      <c r="H101" s="2480"/>
    </row>
    <row r="102" spans="1:8" ht="15">
      <c r="A102" s="2481" t="s">
        <v>3358</v>
      </c>
      <c r="B102" s="2480"/>
      <c r="C102" s="2480"/>
      <c r="D102" s="2480"/>
      <c r="E102" s="2480"/>
      <c r="F102" s="2480"/>
      <c r="G102" s="2480"/>
      <c r="H102" s="2480"/>
    </row>
    <row r="103" spans="1:8">
      <c r="A103" s="2480"/>
      <c r="B103" s="2480"/>
      <c r="C103" s="2480"/>
      <c r="D103" s="2480"/>
      <c r="E103" s="2480"/>
      <c r="F103" s="2480"/>
      <c r="G103" s="2480"/>
      <c r="H103" s="2480"/>
    </row>
    <row r="104" spans="1:8" ht="15.75">
      <c r="A104" s="2498" t="s">
        <v>3134</v>
      </c>
      <c r="B104" s="2498"/>
      <c r="C104" s="2498"/>
      <c r="D104" s="2498"/>
      <c r="E104" s="2498"/>
      <c r="F104" s="2498"/>
      <c r="G104" s="2498"/>
      <c r="H104" s="2498"/>
    </row>
    <row r="105" spans="1:8" ht="15">
      <c r="A105" s="2494" t="s">
        <v>3135</v>
      </c>
      <c r="B105" s="2494"/>
      <c r="C105" s="2494"/>
      <c r="D105" s="2494"/>
      <c r="E105" s="2494"/>
      <c r="F105" s="2494"/>
      <c r="G105" s="2494"/>
      <c r="H105" s="2494"/>
    </row>
    <row r="106" spans="1:8">
      <c r="A106" s="2499"/>
      <c r="B106" s="2499"/>
      <c r="C106" s="2499"/>
      <c r="D106" s="2499"/>
      <c r="E106" s="2499"/>
      <c r="F106" s="2499"/>
      <c r="G106" s="2499"/>
      <c r="H106" s="2499"/>
    </row>
    <row r="107" spans="1:8" ht="15">
      <c r="A107" s="2494" t="s">
        <v>3348</v>
      </c>
      <c r="B107" s="2494"/>
      <c r="C107" s="2494"/>
      <c r="D107" s="2494"/>
      <c r="E107" s="2494"/>
      <c r="F107" s="2494"/>
      <c r="G107" s="2494"/>
      <c r="H107" s="2494"/>
    </row>
    <row r="108" spans="1:8" ht="15">
      <c r="A108" s="2481" t="s">
        <v>3349</v>
      </c>
      <c r="B108" s="2481"/>
      <c r="C108" s="2481"/>
      <c r="D108" s="2481"/>
      <c r="E108" s="2481"/>
      <c r="F108" s="2481"/>
      <c r="G108" s="2481"/>
      <c r="H108" s="2481"/>
    </row>
    <row r="109" spans="1:8">
      <c r="A109" s="2499"/>
      <c r="B109" s="2499"/>
      <c r="C109" s="2499"/>
      <c r="D109" s="2499"/>
      <c r="E109" s="2499"/>
      <c r="F109" s="2499"/>
      <c r="G109" s="2499"/>
      <c r="H109" s="2499"/>
    </row>
    <row r="110" spans="1:8" ht="15">
      <c r="A110" s="2494" t="s">
        <v>3341</v>
      </c>
      <c r="B110" s="2494"/>
      <c r="C110" s="2494"/>
      <c r="D110" s="2494"/>
      <c r="E110" s="2494"/>
      <c r="F110" s="2494"/>
      <c r="G110" s="2494"/>
      <c r="H110" s="2494"/>
    </row>
    <row r="111" spans="1:8" ht="15">
      <c r="A111" s="2481" t="s">
        <v>3342</v>
      </c>
      <c r="B111" s="2481"/>
      <c r="C111" s="2481"/>
      <c r="D111" s="2481"/>
      <c r="E111" s="2481"/>
      <c r="F111" s="2481"/>
      <c r="G111" s="2481"/>
      <c r="H111" s="2481"/>
    </row>
    <row r="112" spans="1:8" ht="15">
      <c r="A112" s="2481" t="s">
        <v>3343</v>
      </c>
      <c r="B112" s="2481"/>
      <c r="C112" s="2481"/>
      <c r="D112" s="2481"/>
      <c r="E112" s="2481"/>
      <c r="F112" s="2481"/>
      <c r="G112" s="2481"/>
      <c r="H112" s="2481"/>
    </row>
    <row r="113" spans="1:8" ht="15">
      <c r="A113" s="2481" t="s">
        <v>3344</v>
      </c>
      <c r="B113" s="2481"/>
      <c r="C113" s="2481"/>
      <c r="D113" s="2481"/>
      <c r="E113" s="2481"/>
      <c r="F113" s="2481"/>
      <c r="G113" s="2481"/>
      <c r="H113" s="2481"/>
    </row>
    <row r="114" spans="1:8" ht="15">
      <c r="A114" s="2481" t="s">
        <v>3345</v>
      </c>
      <c r="B114" s="2481"/>
      <c r="C114" s="2481"/>
      <c r="D114" s="2481"/>
      <c r="E114" s="2481"/>
      <c r="F114" s="2481"/>
      <c r="G114" s="2481"/>
      <c r="H114" s="2481"/>
    </row>
    <row r="115" spans="1:8" ht="15">
      <c r="A115" s="2481" t="s">
        <v>3346</v>
      </c>
      <c r="B115" s="2481"/>
      <c r="C115" s="2481"/>
      <c r="D115" s="2481"/>
      <c r="E115" s="2481"/>
      <c r="F115" s="2481"/>
      <c r="G115" s="2481"/>
      <c r="H115" s="2481"/>
    </row>
    <row r="116" spans="1:8" ht="15">
      <c r="A116" s="2481" t="s">
        <v>3347</v>
      </c>
      <c r="B116" s="2481"/>
      <c r="C116" s="2481"/>
      <c r="D116" s="2481"/>
      <c r="E116" s="2481"/>
      <c r="F116" s="2481"/>
      <c r="G116" s="2481"/>
      <c r="H116" s="2481"/>
    </row>
    <row r="117" spans="1:8">
      <c r="A117" s="2500"/>
      <c r="B117" s="2500"/>
      <c r="C117" s="2500"/>
      <c r="D117" s="2500"/>
      <c r="E117" s="2500"/>
      <c r="F117" s="2500"/>
      <c r="G117" s="2500"/>
      <c r="H117" s="2500"/>
    </row>
    <row r="118" spans="1:8" ht="15">
      <c r="A118" s="2483"/>
      <c r="B118" s="2495" t="s">
        <v>3136</v>
      </c>
      <c r="C118" s="2496"/>
      <c r="D118" s="2495" t="s">
        <v>3137</v>
      </c>
      <c r="E118" s="2497"/>
      <c r="F118" s="2496"/>
      <c r="G118" s="2495" t="s">
        <v>3138</v>
      </c>
      <c r="H118" s="2496"/>
    </row>
    <row r="119" spans="1:8" ht="15">
      <c r="A119" s="2484" t="s">
        <v>3139</v>
      </c>
      <c r="B119" s="2484" t="s">
        <v>37</v>
      </c>
      <c r="C119" s="2484" t="s">
        <v>1920</v>
      </c>
      <c r="D119" s="2484" t="s">
        <v>37</v>
      </c>
      <c r="E119" s="2484" t="s">
        <v>3140</v>
      </c>
      <c r="F119" s="2484" t="s">
        <v>3141</v>
      </c>
      <c r="G119" s="2484" t="s">
        <v>37</v>
      </c>
      <c r="H119" s="2484" t="s">
        <v>3142</v>
      </c>
    </row>
    <row r="120" spans="1:8" ht="15">
      <c r="A120" s="2484" t="s">
        <v>3143</v>
      </c>
      <c r="B120" s="2484">
        <v>1175</v>
      </c>
      <c r="C120" s="2485">
        <v>0.37</v>
      </c>
      <c r="D120" s="2484">
        <v>315</v>
      </c>
      <c r="E120" s="2485">
        <v>0.41</v>
      </c>
      <c r="F120" s="2485">
        <v>0.27</v>
      </c>
      <c r="G120" s="2484">
        <v>555</v>
      </c>
      <c r="H120" s="2485">
        <v>0.39</v>
      </c>
    </row>
    <row r="121" spans="1:8" ht="15">
      <c r="A121" s="2484" t="s">
        <v>3144</v>
      </c>
      <c r="B121" s="2484">
        <v>1369</v>
      </c>
      <c r="C121" s="2485">
        <v>0.43</v>
      </c>
      <c r="D121" s="2484">
        <v>357</v>
      </c>
      <c r="E121" s="2485">
        <v>0.47</v>
      </c>
      <c r="F121" s="2485">
        <v>0.26</v>
      </c>
      <c r="G121" s="2484">
        <v>643</v>
      </c>
      <c r="H121" s="2485">
        <v>0.45</v>
      </c>
    </row>
    <row r="122" spans="1:8" ht="15">
      <c r="A122" s="2484" t="s">
        <v>3145</v>
      </c>
      <c r="B122" s="2484">
        <v>53</v>
      </c>
      <c r="C122" s="2485">
        <v>0.02</v>
      </c>
      <c r="D122" s="2484">
        <v>5</v>
      </c>
      <c r="E122" s="2485">
        <v>0.01</v>
      </c>
      <c r="F122" s="2485">
        <v>0.09</v>
      </c>
      <c r="G122" s="2484">
        <v>7</v>
      </c>
      <c r="H122" s="2485">
        <v>0</v>
      </c>
    </row>
    <row r="123" spans="1:8" ht="15">
      <c r="A123" s="2484" t="s">
        <v>3146</v>
      </c>
      <c r="B123" s="2484">
        <v>552</v>
      </c>
      <c r="C123" s="2485">
        <v>0.18</v>
      </c>
      <c r="D123" s="2484">
        <v>87</v>
      </c>
      <c r="E123" s="2485">
        <v>0.11</v>
      </c>
      <c r="F123" s="2485">
        <v>0.16</v>
      </c>
      <c r="G123" s="2484">
        <v>222</v>
      </c>
      <c r="H123" s="2485">
        <v>0.16</v>
      </c>
    </row>
    <row r="124" spans="1:8" ht="15">
      <c r="A124" s="2484" t="s">
        <v>45</v>
      </c>
      <c r="B124" s="2486">
        <v>3149</v>
      </c>
      <c r="C124" s="2483"/>
      <c r="D124" s="2484">
        <v>764</v>
      </c>
      <c r="E124" s="2483"/>
      <c r="F124" s="2483"/>
      <c r="G124" s="2484">
        <v>1427</v>
      </c>
      <c r="H124" s="2483"/>
    </row>
    <row r="125" spans="1:8">
      <c r="A125" s="2493"/>
      <c r="B125" s="2493"/>
      <c r="C125" s="2493"/>
      <c r="D125" s="2493"/>
      <c r="E125" s="2493"/>
      <c r="F125" s="2493"/>
      <c r="G125" s="2493"/>
      <c r="H125" s="2493"/>
    </row>
    <row r="126" spans="1:8" ht="15">
      <c r="A126" s="2494" t="s">
        <v>3337</v>
      </c>
      <c r="B126" s="2494"/>
      <c r="C126" s="2494"/>
      <c r="D126" s="2494"/>
      <c r="E126" s="2494"/>
      <c r="F126" s="2494"/>
      <c r="G126" s="2494"/>
      <c r="H126" s="2494"/>
    </row>
    <row r="127" spans="1:8" ht="15">
      <c r="A127" s="2481" t="s">
        <v>3338</v>
      </c>
      <c r="B127" s="2481"/>
      <c r="C127" s="2481"/>
      <c r="D127" s="2481"/>
      <c r="E127" s="2481"/>
      <c r="F127" s="2481"/>
      <c r="G127" s="2481"/>
      <c r="H127" s="2481"/>
    </row>
    <row r="128" spans="1:8" ht="15">
      <c r="A128" s="2481" t="s">
        <v>3339</v>
      </c>
      <c r="B128" s="2481"/>
      <c r="C128" s="2481"/>
      <c r="D128" s="2481"/>
      <c r="E128" s="2481"/>
      <c r="F128" s="2481"/>
      <c r="G128" s="2481"/>
      <c r="H128" s="2481"/>
    </row>
    <row r="129" spans="1:8" ht="15">
      <c r="A129" s="2481" t="s">
        <v>3340</v>
      </c>
      <c r="B129" s="2481"/>
      <c r="C129" s="2481"/>
      <c r="D129" s="2481"/>
      <c r="E129" s="2481"/>
      <c r="F129" s="2481"/>
      <c r="G129" s="2481"/>
      <c r="H129" s="2481"/>
    </row>
    <row r="130" spans="1:8">
      <c r="A130" s="2480"/>
      <c r="B130" s="2480"/>
      <c r="C130" s="2480"/>
      <c r="D130" s="2480"/>
      <c r="E130" s="2480"/>
      <c r="F130" s="2480"/>
      <c r="G130" s="2480"/>
      <c r="H130" s="2480"/>
    </row>
    <row r="131" spans="1:8" ht="15.75">
      <c r="A131" s="2482" t="s">
        <v>3147</v>
      </c>
      <c r="B131" s="2480"/>
      <c r="C131" s="2480"/>
      <c r="D131" s="2480"/>
      <c r="E131" s="2480"/>
      <c r="F131" s="2480"/>
      <c r="G131" s="2480"/>
      <c r="H131" s="2480"/>
    </row>
    <row r="132" spans="1:8">
      <c r="A132" s="2480"/>
      <c r="B132" s="2480"/>
      <c r="C132" s="2480"/>
      <c r="D132" s="2480"/>
      <c r="E132" s="2480"/>
      <c r="F132" s="2480"/>
      <c r="G132" s="2480"/>
      <c r="H132" s="2480"/>
    </row>
    <row r="133" spans="1:8" ht="15">
      <c r="A133" s="2481" t="s">
        <v>3335</v>
      </c>
      <c r="B133" s="2480"/>
      <c r="C133" s="2480"/>
      <c r="D133" s="2480"/>
      <c r="E133" s="2480"/>
      <c r="F133" s="2480"/>
      <c r="G133" s="2480"/>
      <c r="H133" s="2480"/>
    </row>
    <row r="134" spans="1:8" ht="15">
      <c r="A134" s="2481" t="s">
        <v>3336</v>
      </c>
      <c r="B134" s="2480"/>
      <c r="C134" s="2480"/>
      <c r="D134" s="2480"/>
      <c r="E134" s="2480"/>
      <c r="F134" s="2480"/>
      <c r="G134" s="2480"/>
      <c r="H134" s="2480"/>
    </row>
    <row r="135" spans="1:8">
      <c r="A135" s="2480"/>
      <c r="B135" s="2480"/>
      <c r="C135" s="2480"/>
      <c r="D135" s="2480"/>
      <c r="E135" s="2480"/>
      <c r="F135" s="2480"/>
      <c r="G135" s="2480"/>
      <c r="H135" s="2480"/>
    </row>
    <row r="136" spans="1:8" ht="15">
      <c r="A136" s="2481" t="s">
        <v>3332</v>
      </c>
      <c r="B136" s="2480"/>
      <c r="C136" s="2480"/>
      <c r="D136" s="2480"/>
      <c r="E136" s="2480"/>
      <c r="F136" s="2480"/>
      <c r="G136" s="2480"/>
      <c r="H136" s="2480"/>
    </row>
    <row r="137" spans="1:8" ht="15">
      <c r="A137" s="2481" t="s">
        <v>3333</v>
      </c>
      <c r="B137" s="2480"/>
      <c r="C137" s="2480"/>
      <c r="D137" s="2480"/>
      <c r="E137" s="2480"/>
      <c r="F137" s="2480"/>
      <c r="G137" s="2480"/>
      <c r="H137" s="2480"/>
    </row>
    <row r="138" spans="1:8" ht="15">
      <c r="A138" s="2481" t="s">
        <v>3334</v>
      </c>
      <c r="B138" s="2480"/>
      <c r="C138" s="2480"/>
      <c r="D138" s="2480"/>
      <c r="E138" s="2480"/>
      <c r="F138" s="2480"/>
      <c r="G138" s="2480"/>
      <c r="H138" s="2480"/>
    </row>
    <row r="139" spans="1:8">
      <c r="A139" s="2480"/>
      <c r="B139" s="2480"/>
      <c r="C139" s="2480"/>
      <c r="D139" s="2480"/>
      <c r="E139" s="2480"/>
      <c r="F139" s="2480"/>
      <c r="G139" s="2480"/>
      <c r="H139" s="2480"/>
    </row>
    <row r="140" spans="1:8" ht="15">
      <c r="A140" s="2481" t="s">
        <v>3329</v>
      </c>
      <c r="B140" s="2480"/>
      <c r="C140" s="2480"/>
      <c r="D140" s="2480"/>
      <c r="E140" s="2480"/>
      <c r="F140" s="2480"/>
      <c r="G140" s="2480"/>
      <c r="H140" s="2480"/>
    </row>
    <row r="141" spans="1:8" ht="15">
      <c r="A141" s="2481" t="s">
        <v>3330</v>
      </c>
      <c r="B141" s="2480"/>
      <c r="C141" s="2480"/>
      <c r="D141" s="2480"/>
      <c r="E141" s="2480"/>
      <c r="F141" s="2480"/>
      <c r="G141" s="2480"/>
      <c r="H141" s="2480"/>
    </row>
    <row r="142" spans="1:8" ht="15">
      <c r="A142" s="2481" t="s">
        <v>3331</v>
      </c>
      <c r="B142" s="2480"/>
      <c r="C142" s="2480"/>
      <c r="D142" s="2480"/>
      <c r="E142" s="2480"/>
      <c r="F142" s="2480"/>
      <c r="G142" s="2480"/>
      <c r="H142" s="2480"/>
    </row>
    <row r="143" spans="1:8">
      <c r="A143" s="2480"/>
      <c r="B143" s="2480"/>
      <c r="C143" s="2480"/>
      <c r="D143" s="2480"/>
      <c r="E143" s="2480"/>
      <c r="F143" s="2480"/>
      <c r="G143" s="2480"/>
      <c r="H143" s="2480"/>
    </row>
    <row r="144" spans="1:8" ht="15">
      <c r="A144" s="2481" t="s">
        <v>3326</v>
      </c>
      <c r="B144" s="2480"/>
      <c r="C144" s="2480"/>
      <c r="D144" s="2480"/>
      <c r="E144" s="2480"/>
      <c r="F144" s="2480"/>
      <c r="G144" s="2480"/>
      <c r="H144" s="2480"/>
    </row>
    <row r="145" spans="1:8" ht="15">
      <c r="A145" s="2481" t="s">
        <v>3327</v>
      </c>
      <c r="B145" s="2480"/>
      <c r="C145" s="2480"/>
      <c r="D145" s="2480"/>
      <c r="E145" s="2480"/>
      <c r="F145" s="2480"/>
      <c r="G145" s="2480"/>
      <c r="H145" s="2480"/>
    </row>
    <row r="146" spans="1:8" ht="15">
      <c r="A146" s="2481" t="s">
        <v>3328</v>
      </c>
      <c r="B146" s="2480"/>
      <c r="C146" s="2480"/>
      <c r="D146" s="2480"/>
      <c r="E146" s="2480"/>
      <c r="F146" s="2480"/>
      <c r="G146" s="2480"/>
      <c r="H146" s="2480"/>
    </row>
    <row r="147" spans="1:8">
      <c r="A147" s="2480"/>
      <c r="B147" s="2480"/>
      <c r="C147" s="2480"/>
      <c r="D147" s="2480"/>
      <c r="E147" s="2480"/>
      <c r="F147" s="2480"/>
      <c r="G147" s="2480"/>
      <c r="H147" s="2480"/>
    </row>
    <row r="148" spans="1:8" ht="15">
      <c r="A148" s="2481" t="s">
        <v>3324</v>
      </c>
      <c r="B148" s="2480"/>
      <c r="C148" s="2480"/>
      <c r="D148" s="2480"/>
      <c r="E148" s="2480"/>
      <c r="F148" s="2480"/>
      <c r="G148" s="2480"/>
      <c r="H148" s="2480"/>
    </row>
    <row r="149" spans="1:8" ht="15">
      <c r="A149" s="2481" t="s">
        <v>3325</v>
      </c>
      <c r="B149" s="2480"/>
      <c r="C149" s="2480"/>
      <c r="D149" s="2480"/>
      <c r="E149" s="2480"/>
      <c r="F149" s="2480"/>
      <c r="G149" s="2480"/>
      <c r="H149" s="2480"/>
    </row>
    <row r="150" spans="1:8">
      <c r="A150" s="2480"/>
      <c r="B150" s="2480"/>
      <c r="C150" s="2480"/>
      <c r="D150" s="2480"/>
      <c r="E150" s="2480"/>
      <c r="F150" s="2480"/>
      <c r="G150" s="2480"/>
      <c r="H150" s="2480"/>
    </row>
    <row r="151" spans="1:8" ht="15.75">
      <c r="A151" s="2482" t="s">
        <v>3148</v>
      </c>
      <c r="B151" s="2480"/>
      <c r="C151" s="2480"/>
      <c r="D151" s="2480"/>
      <c r="E151" s="2480"/>
      <c r="F151" s="2480"/>
      <c r="G151" s="2480"/>
      <c r="H151" s="2480"/>
    </row>
    <row r="152" spans="1:8">
      <c r="A152" s="2480"/>
      <c r="B152" s="2480"/>
      <c r="C152" s="2480"/>
      <c r="D152" s="2480"/>
      <c r="E152" s="2480"/>
      <c r="F152" s="2480"/>
      <c r="G152" s="2480"/>
      <c r="H152" s="2480"/>
    </row>
    <row r="153" spans="1:8" ht="15">
      <c r="A153" s="2481" t="s">
        <v>3322</v>
      </c>
      <c r="B153" s="2480"/>
      <c r="C153" s="2480"/>
      <c r="D153" s="2480"/>
      <c r="E153" s="2480"/>
      <c r="F153" s="2480"/>
      <c r="G153" s="2480"/>
      <c r="H153" s="2480"/>
    </row>
    <row r="154" spans="1:8" ht="15">
      <c r="A154" s="2481" t="s">
        <v>3323</v>
      </c>
      <c r="B154" s="2480"/>
      <c r="C154" s="2480"/>
      <c r="D154" s="2480"/>
      <c r="E154" s="2480"/>
      <c r="F154" s="2480"/>
      <c r="G154" s="2480"/>
      <c r="H154" s="2480"/>
    </row>
    <row r="155" spans="1:8">
      <c r="A155" s="2480"/>
      <c r="B155" s="2480"/>
      <c r="C155" s="2480"/>
      <c r="D155" s="2480"/>
      <c r="E155" s="2480"/>
      <c r="F155" s="2480"/>
      <c r="G155" s="2480"/>
      <c r="H155" s="2480"/>
    </row>
    <row r="156" spans="1:8" ht="15">
      <c r="A156" s="2481" t="s">
        <v>3320</v>
      </c>
      <c r="B156" s="2480"/>
      <c r="C156" s="2480"/>
      <c r="D156" s="2480"/>
      <c r="E156" s="2480"/>
      <c r="F156" s="2480"/>
      <c r="G156" s="2480"/>
      <c r="H156" s="2480"/>
    </row>
    <row r="157" spans="1:8" ht="15">
      <c r="A157" s="2481" t="s">
        <v>3321</v>
      </c>
      <c r="B157" s="2480"/>
      <c r="C157" s="2480"/>
      <c r="D157" s="2480"/>
      <c r="E157" s="2480"/>
      <c r="F157" s="2480"/>
      <c r="G157" s="2480"/>
      <c r="H157" s="2480"/>
    </row>
    <row r="158" spans="1:8">
      <c r="A158" s="2480"/>
      <c r="B158" s="2480"/>
      <c r="C158" s="2480"/>
      <c r="D158" s="2480"/>
      <c r="E158" s="2480"/>
      <c r="F158" s="2480"/>
      <c r="G158" s="2480"/>
      <c r="H158" s="2480"/>
    </row>
    <row r="159" spans="1:8" ht="15">
      <c r="A159" s="2481" t="s">
        <v>3318</v>
      </c>
      <c r="B159" s="2480"/>
      <c r="C159" s="2480"/>
      <c r="D159" s="2480"/>
      <c r="E159" s="2480"/>
      <c r="F159" s="2480"/>
      <c r="G159" s="2480"/>
      <c r="H159" s="2480"/>
    </row>
    <row r="160" spans="1:8" ht="15">
      <c r="A160" s="2481" t="s">
        <v>3319</v>
      </c>
      <c r="B160" s="2480"/>
      <c r="C160" s="2480"/>
      <c r="D160" s="2480"/>
      <c r="E160" s="2480"/>
      <c r="F160" s="2480"/>
      <c r="G160" s="2480"/>
      <c r="H160" s="2480"/>
    </row>
    <row r="161" spans="1:8">
      <c r="A161" s="2480"/>
      <c r="B161" s="2480"/>
      <c r="C161" s="2480"/>
      <c r="D161" s="2480"/>
      <c r="E161" s="2480"/>
      <c r="F161" s="2480"/>
      <c r="G161" s="2480"/>
      <c r="H161" s="2480"/>
    </row>
    <row r="162" spans="1:8" ht="15">
      <c r="A162" s="2481" t="s">
        <v>3315</v>
      </c>
      <c r="B162" s="2480"/>
      <c r="C162" s="2480"/>
      <c r="D162" s="2480"/>
      <c r="E162" s="2480"/>
      <c r="F162" s="2480"/>
      <c r="G162" s="2480"/>
      <c r="H162" s="2480"/>
    </row>
    <row r="163" spans="1:8" ht="15">
      <c r="A163" s="2481" t="s">
        <v>3316</v>
      </c>
      <c r="B163" s="2480"/>
      <c r="C163" s="2480"/>
      <c r="D163" s="2480"/>
      <c r="E163" s="2480"/>
      <c r="F163" s="2480"/>
      <c r="G163" s="2480"/>
      <c r="H163" s="2480"/>
    </row>
    <row r="164" spans="1:8" ht="15">
      <c r="A164" s="2481" t="s">
        <v>3317</v>
      </c>
      <c r="B164" s="2480"/>
      <c r="C164" s="2480"/>
      <c r="D164" s="2480"/>
      <c r="E164" s="2480"/>
      <c r="F164" s="2480"/>
      <c r="G164" s="2480"/>
      <c r="H164" s="2480"/>
    </row>
    <row r="165" spans="1:8">
      <c r="A165" s="2480"/>
      <c r="B165" s="2480"/>
      <c r="C165" s="2480"/>
      <c r="D165" s="2480"/>
      <c r="E165" s="2480"/>
      <c r="F165" s="2480"/>
      <c r="G165" s="2480"/>
      <c r="H165" s="2480"/>
    </row>
    <row r="166" spans="1:8">
      <c r="A166" s="2480"/>
      <c r="B166" s="2480"/>
      <c r="C166" s="2480"/>
      <c r="D166" s="2480"/>
      <c r="E166" s="2480"/>
      <c r="F166" s="2480"/>
      <c r="G166" s="2480"/>
      <c r="H166" s="2480"/>
    </row>
    <row r="167" spans="1:8" ht="15">
      <c r="A167" s="2481" t="s">
        <v>3149</v>
      </c>
      <c r="B167" s="2480"/>
      <c r="C167" s="2480"/>
      <c r="D167" s="2480"/>
      <c r="E167" s="2480"/>
      <c r="F167" s="2480"/>
      <c r="G167" s="2480"/>
      <c r="H167" s="2480"/>
    </row>
    <row r="168" spans="1:8">
      <c r="A168" s="2480"/>
      <c r="B168" s="2480"/>
      <c r="C168" s="2480"/>
      <c r="D168" s="2480"/>
      <c r="E168" s="2480"/>
      <c r="F168" s="2480"/>
      <c r="G168" s="2480"/>
      <c r="H168" s="2480"/>
    </row>
    <row r="169" spans="1:8" ht="15.75">
      <c r="A169" s="2482" t="s">
        <v>3150</v>
      </c>
      <c r="B169" s="2480"/>
      <c r="C169" s="2480"/>
      <c r="D169" s="2480"/>
      <c r="E169" s="2480"/>
      <c r="F169" s="2480"/>
      <c r="G169" s="2480"/>
      <c r="H169" s="2480"/>
    </row>
    <row r="170" spans="1:8">
      <c r="A170" s="2480"/>
      <c r="B170" s="2480"/>
      <c r="C170" s="2480"/>
      <c r="D170" s="2480"/>
      <c r="E170" s="2480"/>
      <c r="F170" s="2480"/>
      <c r="G170" s="2480"/>
      <c r="H170" s="2480"/>
    </row>
    <row r="171" spans="1:8">
      <c r="A171" s="2480"/>
      <c r="B171" s="2480"/>
      <c r="C171" s="2480"/>
      <c r="D171" s="2480"/>
      <c r="E171" s="2480"/>
      <c r="F171" s="2480"/>
      <c r="G171" s="2480"/>
      <c r="H171" s="2480"/>
    </row>
    <row r="172" spans="1:8">
      <c r="A172" s="2480"/>
      <c r="B172" s="2480"/>
      <c r="C172" s="2480"/>
      <c r="D172" s="2480"/>
      <c r="E172" s="2480"/>
      <c r="F172" s="2480"/>
      <c r="G172" s="2480"/>
      <c r="H172" s="2480"/>
    </row>
    <row r="173" spans="1:8">
      <c r="A173" s="2480"/>
      <c r="B173" s="2480"/>
      <c r="C173" s="2480"/>
      <c r="D173" s="2480"/>
      <c r="E173" s="2480"/>
      <c r="F173" s="2480"/>
      <c r="G173" s="2480"/>
      <c r="H173" s="2480"/>
    </row>
    <row r="174" spans="1:8">
      <c r="A174" s="2480"/>
      <c r="B174" s="2480"/>
      <c r="C174" s="2480"/>
      <c r="D174" s="2480"/>
      <c r="E174" s="2480"/>
      <c r="F174" s="2480"/>
      <c r="G174" s="2480"/>
      <c r="H174" s="2480"/>
    </row>
    <row r="175" spans="1:8">
      <c r="A175" s="2480"/>
      <c r="B175" s="2480"/>
      <c r="C175" s="2480"/>
      <c r="D175" s="2480"/>
      <c r="E175" s="2480"/>
      <c r="F175" s="2480"/>
      <c r="G175" s="2480"/>
      <c r="H175" s="2480"/>
    </row>
    <row r="176" spans="1:8">
      <c r="A176" s="2480"/>
      <c r="B176" s="2480"/>
      <c r="C176" s="2480"/>
      <c r="D176" s="2480"/>
      <c r="E176" s="2480"/>
      <c r="F176" s="2480"/>
      <c r="G176" s="2480"/>
      <c r="H176" s="2480"/>
    </row>
    <row r="177" spans="1:8">
      <c r="A177" s="2480"/>
      <c r="B177" s="2480"/>
      <c r="C177" s="2480"/>
      <c r="D177" s="2480"/>
      <c r="E177" s="2480"/>
      <c r="F177" s="2480"/>
      <c r="G177" s="2480"/>
      <c r="H177" s="2480"/>
    </row>
    <row r="178" spans="1:8">
      <c r="A178" s="2480"/>
      <c r="B178" s="2480"/>
      <c r="C178" s="2480"/>
      <c r="D178" s="2480"/>
      <c r="E178" s="2480"/>
      <c r="F178" s="2480"/>
      <c r="G178" s="2480"/>
      <c r="H178" s="2480"/>
    </row>
    <row r="179" spans="1:8">
      <c r="A179" s="2480"/>
      <c r="B179" s="2480"/>
      <c r="C179" s="2480"/>
      <c r="D179" s="2480"/>
      <c r="E179" s="2480"/>
      <c r="F179" s="2480"/>
      <c r="G179" s="2480"/>
      <c r="H179" s="2480"/>
    </row>
    <row r="180" spans="1:8">
      <c r="A180" s="2480"/>
      <c r="B180" s="2480"/>
      <c r="C180" s="2480"/>
      <c r="D180" s="2480"/>
      <c r="E180" s="2480"/>
      <c r="F180" s="2480"/>
      <c r="G180" s="2480"/>
      <c r="H180" s="2480"/>
    </row>
    <row r="181" spans="1:8">
      <c r="A181" s="2480"/>
      <c r="B181" s="2480"/>
      <c r="C181" s="2480"/>
      <c r="D181" s="2480"/>
      <c r="E181" s="2480"/>
      <c r="F181" s="2480"/>
      <c r="G181" s="2480"/>
      <c r="H181" s="2480"/>
    </row>
    <row r="182" spans="1:8">
      <c r="A182" s="2480"/>
      <c r="B182" s="2480"/>
      <c r="C182" s="2480"/>
      <c r="D182" s="2480"/>
      <c r="E182" s="2480"/>
      <c r="F182" s="2480"/>
      <c r="G182" s="2480"/>
      <c r="H182" s="2480"/>
    </row>
    <row r="183" spans="1:8">
      <c r="A183" s="2480"/>
      <c r="B183" s="2480"/>
      <c r="C183" s="2480"/>
      <c r="D183" s="2480"/>
      <c r="E183" s="2480"/>
      <c r="F183" s="2480"/>
      <c r="G183" s="2480"/>
      <c r="H183" s="2480"/>
    </row>
    <row r="184" spans="1:8">
      <c r="A184" s="2480"/>
      <c r="B184" s="2480"/>
      <c r="C184" s="2480"/>
      <c r="D184" s="2480"/>
      <c r="E184" s="2480"/>
      <c r="F184" s="2480"/>
      <c r="G184" s="2480"/>
      <c r="H184" s="2480"/>
    </row>
    <row r="185" spans="1:8">
      <c r="A185" s="2480"/>
      <c r="B185" s="2480"/>
      <c r="C185" s="2480"/>
      <c r="D185" s="2480"/>
      <c r="E185" s="2480"/>
      <c r="F185" s="2480"/>
      <c r="G185" s="2480"/>
      <c r="H185" s="2480"/>
    </row>
    <row r="186" spans="1:8">
      <c r="A186" s="2480"/>
      <c r="B186" s="2480"/>
      <c r="C186" s="2480"/>
      <c r="D186" s="2480"/>
      <c r="E186" s="2480"/>
      <c r="F186" s="2480"/>
      <c r="G186" s="2480"/>
      <c r="H186" s="2480"/>
    </row>
    <row r="187" spans="1:8">
      <c r="A187" s="2480"/>
      <c r="B187" s="2480"/>
      <c r="C187" s="2480"/>
      <c r="D187" s="2480"/>
      <c r="E187" s="2480"/>
      <c r="F187" s="2480"/>
      <c r="G187" s="2480"/>
      <c r="H187" s="2480"/>
    </row>
    <row r="188" spans="1:8">
      <c r="A188" s="2480"/>
      <c r="B188" s="2480"/>
      <c r="C188" s="2480"/>
      <c r="D188" s="2480"/>
      <c r="E188" s="2480"/>
      <c r="F188" s="2480"/>
      <c r="G188" s="2480"/>
      <c r="H188" s="2480"/>
    </row>
    <row r="189" spans="1:8">
      <c r="A189" s="2480"/>
      <c r="B189" s="2480"/>
      <c r="C189" s="2480"/>
      <c r="D189" s="2480"/>
      <c r="E189" s="2480"/>
      <c r="F189" s="2480"/>
      <c r="G189" s="2480"/>
      <c r="H189" s="2480"/>
    </row>
    <row r="190" spans="1:8">
      <c r="A190" s="2480"/>
      <c r="B190" s="2480"/>
      <c r="C190" s="2480"/>
      <c r="D190" s="2480"/>
      <c r="E190" s="2480"/>
      <c r="F190" s="2480"/>
      <c r="G190" s="2480"/>
      <c r="H190" s="2480"/>
    </row>
    <row r="191" spans="1:8">
      <c r="A191" s="2480"/>
      <c r="B191" s="2480"/>
      <c r="C191" s="2480"/>
      <c r="D191" s="2480"/>
      <c r="E191" s="2480"/>
      <c r="F191" s="2480"/>
      <c r="G191" s="2480"/>
      <c r="H191" s="2480"/>
    </row>
    <row r="192" spans="1:8">
      <c r="A192" s="2480"/>
      <c r="B192" s="2480"/>
      <c r="C192" s="2480"/>
      <c r="D192" s="2480"/>
      <c r="E192" s="2480"/>
      <c r="F192" s="2480"/>
      <c r="G192" s="2480"/>
      <c r="H192" s="2480"/>
    </row>
    <row r="193" spans="1:8">
      <c r="A193" s="2480"/>
      <c r="B193" s="2480"/>
      <c r="C193" s="2480"/>
      <c r="D193" s="2480"/>
      <c r="E193" s="2480"/>
      <c r="F193" s="2480"/>
      <c r="G193" s="2480"/>
      <c r="H193" s="2480"/>
    </row>
    <row r="194" spans="1:8">
      <c r="A194" s="2480"/>
      <c r="B194" s="2480"/>
      <c r="C194" s="2480"/>
      <c r="D194" s="2480"/>
      <c r="E194" s="2480"/>
      <c r="F194" s="2480"/>
      <c r="G194" s="2480"/>
      <c r="H194" s="2480"/>
    </row>
    <row r="195" spans="1:8">
      <c r="A195" s="2480"/>
      <c r="B195" s="2480"/>
      <c r="C195" s="2480"/>
      <c r="D195" s="2480"/>
      <c r="E195" s="2480"/>
      <c r="F195" s="2480"/>
      <c r="G195" s="2480"/>
      <c r="H195" s="2480"/>
    </row>
    <row r="196" spans="1:8" ht="15.75">
      <c r="A196" s="2482" t="s">
        <v>3151</v>
      </c>
      <c r="B196" s="2480"/>
      <c r="C196" s="2480"/>
      <c r="D196" s="2480"/>
      <c r="E196" s="2480"/>
      <c r="F196" s="2480"/>
      <c r="G196" s="2480"/>
      <c r="H196" s="2480"/>
    </row>
    <row r="197" spans="1:8">
      <c r="A197" s="2480"/>
      <c r="B197" s="2480"/>
      <c r="C197" s="2480"/>
      <c r="D197" s="2480"/>
      <c r="E197" s="2480"/>
      <c r="F197" s="2480"/>
      <c r="G197" s="2480"/>
      <c r="H197" s="2480"/>
    </row>
    <row r="198" spans="1:8" ht="15">
      <c r="A198" s="2481" t="s">
        <v>3310</v>
      </c>
      <c r="B198" s="2480"/>
      <c r="C198" s="2480"/>
      <c r="D198" s="2480"/>
      <c r="E198" s="2480"/>
      <c r="F198" s="2480"/>
      <c r="G198" s="2480"/>
      <c r="H198" s="2480"/>
    </row>
    <row r="199" spans="1:8" ht="15">
      <c r="A199" s="2481" t="s">
        <v>3311</v>
      </c>
      <c r="B199" s="2480"/>
      <c r="C199" s="2480"/>
      <c r="D199" s="2480"/>
      <c r="E199" s="2480"/>
      <c r="F199" s="2480"/>
      <c r="G199" s="2480"/>
      <c r="H199" s="2480"/>
    </row>
    <row r="200" spans="1:8" ht="15">
      <c r="A200" s="2481" t="s">
        <v>3312</v>
      </c>
      <c r="B200" s="2480"/>
      <c r="C200" s="2480"/>
      <c r="D200" s="2480"/>
      <c r="E200" s="2480"/>
      <c r="F200" s="2480"/>
      <c r="G200" s="2480"/>
      <c r="H200" s="2480"/>
    </row>
    <row r="201" spans="1:8" ht="15">
      <c r="A201" s="2481" t="s">
        <v>3313</v>
      </c>
      <c r="B201" s="2480"/>
      <c r="C201" s="2480"/>
      <c r="D201" s="2480"/>
      <c r="E201" s="2480"/>
      <c r="F201" s="2480"/>
      <c r="G201" s="2480"/>
      <c r="H201" s="2480"/>
    </row>
    <row r="202" spans="1:8" ht="15">
      <c r="A202" s="2481" t="s">
        <v>3314</v>
      </c>
      <c r="B202" s="2480"/>
      <c r="C202" s="2480"/>
      <c r="D202" s="2480"/>
      <c r="E202" s="2480"/>
      <c r="F202" s="2480"/>
      <c r="G202" s="2480"/>
      <c r="H202" s="2480"/>
    </row>
    <row r="203" spans="1:8">
      <c r="A203" s="2480"/>
      <c r="B203" s="2480"/>
      <c r="C203" s="2480"/>
      <c r="D203" s="2480"/>
      <c r="E203" s="2480"/>
      <c r="F203" s="2480"/>
      <c r="G203" s="2480"/>
      <c r="H203" s="2480"/>
    </row>
    <row r="204" spans="1:8" ht="15">
      <c r="A204" s="2481" t="s">
        <v>3307</v>
      </c>
      <c r="B204" s="2480"/>
      <c r="C204" s="2480"/>
      <c r="D204" s="2480"/>
      <c r="E204" s="2480"/>
      <c r="F204" s="2480"/>
      <c r="G204" s="2480"/>
      <c r="H204" s="2480"/>
    </row>
    <row r="205" spans="1:8" ht="15">
      <c r="A205" s="2481" t="s">
        <v>3308</v>
      </c>
      <c r="B205" s="2480"/>
      <c r="C205" s="2480"/>
      <c r="D205" s="2480"/>
      <c r="E205" s="2480"/>
      <c r="F205" s="2480"/>
      <c r="G205" s="2480"/>
      <c r="H205" s="2480"/>
    </row>
    <row r="206" spans="1:8" ht="15">
      <c r="A206" s="2481" t="s">
        <v>3309</v>
      </c>
      <c r="B206" s="2480"/>
      <c r="C206" s="2480"/>
      <c r="D206" s="2480"/>
      <c r="E206" s="2480"/>
      <c r="F206" s="2480"/>
      <c r="G206" s="2480"/>
      <c r="H206" s="2480"/>
    </row>
    <row r="207" spans="1:8" ht="15.75">
      <c r="A207" s="2482" t="s">
        <v>3152</v>
      </c>
      <c r="B207" s="2480"/>
      <c r="C207" s="2480"/>
      <c r="D207" s="2480"/>
      <c r="E207" s="2480"/>
      <c r="F207" s="2480"/>
      <c r="G207" s="2480"/>
      <c r="H207" s="2480"/>
    </row>
    <row r="208" spans="1:8">
      <c r="A208" s="2480"/>
      <c r="B208" s="2480"/>
      <c r="C208" s="2480"/>
      <c r="D208" s="2480"/>
      <c r="E208" s="2480"/>
      <c r="F208" s="2480"/>
      <c r="G208" s="2480"/>
      <c r="H208" s="2480"/>
    </row>
    <row r="209" spans="1:8" ht="15">
      <c r="A209" s="2481" t="s">
        <v>3300</v>
      </c>
      <c r="B209" s="2480"/>
      <c r="C209" s="2480"/>
      <c r="D209" s="2480"/>
      <c r="E209" s="2480"/>
      <c r="F209" s="2480"/>
      <c r="G209" s="2480"/>
      <c r="H209" s="2480"/>
    </row>
    <row r="210" spans="1:8" ht="15">
      <c r="A210" s="2481" t="s">
        <v>3301</v>
      </c>
      <c r="B210" s="2480"/>
      <c r="C210" s="2480"/>
      <c r="D210" s="2480"/>
      <c r="E210" s="2480"/>
      <c r="F210" s="2480"/>
      <c r="G210" s="2480"/>
      <c r="H210" s="2480"/>
    </row>
    <row r="211" spans="1:8" ht="15">
      <c r="A211" s="2481" t="s">
        <v>3302</v>
      </c>
      <c r="B211" s="2480"/>
      <c r="C211" s="2480"/>
      <c r="D211" s="2480"/>
      <c r="E211" s="2480"/>
      <c r="F211" s="2480"/>
      <c r="G211" s="2480"/>
      <c r="H211" s="2480"/>
    </row>
    <row r="212" spans="1:8" ht="15">
      <c r="A212" s="2481" t="s">
        <v>3303</v>
      </c>
      <c r="B212" s="2480"/>
      <c r="C212" s="2480"/>
      <c r="D212" s="2480"/>
      <c r="E212" s="2480"/>
      <c r="F212" s="2480"/>
      <c r="G212" s="2480"/>
      <c r="H212" s="2480"/>
    </row>
    <row r="213" spans="1:8" ht="15">
      <c r="A213" s="2481" t="s">
        <v>3304</v>
      </c>
      <c r="B213" s="2480"/>
      <c r="C213" s="2480"/>
      <c r="D213" s="2480"/>
      <c r="E213" s="2480"/>
      <c r="F213" s="2480"/>
      <c r="G213" s="2480"/>
      <c r="H213" s="2480"/>
    </row>
    <row r="214" spans="1:8" ht="15">
      <c r="A214" s="2481" t="s">
        <v>3305</v>
      </c>
      <c r="B214" s="2480"/>
      <c r="C214" s="2480"/>
      <c r="D214" s="2480"/>
      <c r="E214" s="2480"/>
      <c r="F214" s="2480"/>
      <c r="G214" s="2480"/>
      <c r="H214" s="2480"/>
    </row>
    <row r="215" spans="1:8" ht="15">
      <c r="A215" s="2481" t="s">
        <v>3306</v>
      </c>
      <c r="B215" s="2480"/>
      <c r="C215" s="2480"/>
      <c r="D215" s="2480"/>
      <c r="E215" s="2480"/>
      <c r="F215" s="2480"/>
      <c r="G215" s="2480"/>
      <c r="H215" s="2480"/>
    </row>
    <row r="216" spans="1:8">
      <c r="A216" s="2480"/>
      <c r="B216" s="2480"/>
      <c r="C216" s="2480"/>
      <c r="D216" s="2480"/>
      <c r="E216" s="2480"/>
      <c r="F216" s="2480"/>
      <c r="G216" s="2480"/>
      <c r="H216" s="2480"/>
    </row>
    <row r="217" spans="1:8" ht="15">
      <c r="A217" s="2481" t="s">
        <v>3297</v>
      </c>
      <c r="B217" s="2480"/>
      <c r="C217" s="2480"/>
      <c r="D217" s="2480"/>
      <c r="E217" s="2480"/>
      <c r="F217" s="2480"/>
      <c r="G217" s="2480"/>
      <c r="H217" s="2480"/>
    </row>
    <row r="218" spans="1:8" ht="15">
      <c r="A218" s="2481" t="s">
        <v>3298</v>
      </c>
      <c r="B218" s="2480"/>
      <c r="C218" s="2480"/>
      <c r="D218" s="2480"/>
      <c r="E218" s="2480"/>
      <c r="F218" s="2480"/>
      <c r="G218" s="2480"/>
      <c r="H218" s="2480"/>
    </row>
    <row r="219" spans="1:8" ht="15">
      <c r="A219" s="2481" t="s">
        <v>3299</v>
      </c>
      <c r="B219" s="2480"/>
      <c r="C219" s="2480"/>
      <c r="D219" s="2480"/>
      <c r="E219" s="2480"/>
      <c r="F219" s="2480"/>
      <c r="G219" s="2480"/>
      <c r="H219" s="2480"/>
    </row>
    <row r="220" spans="1:8">
      <c r="A220" s="2480"/>
      <c r="B220" s="2480"/>
      <c r="C220" s="2480"/>
      <c r="D220" s="2480"/>
      <c r="E220" s="2480"/>
      <c r="F220" s="2480"/>
      <c r="G220" s="2480"/>
      <c r="H220" s="2480"/>
    </row>
    <row r="221" spans="1:8" ht="15">
      <c r="A221" s="2481" t="s">
        <v>3292</v>
      </c>
      <c r="B221" s="2480"/>
      <c r="C221" s="2480"/>
      <c r="D221" s="2480"/>
      <c r="E221" s="2480"/>
      <c r="F221" s="2480"/>
      <c r="G221" s="2480"/>
      <c r="H221" s="2480"/>
    </row>
    <row r="222" spans="1:8" ht="15">
      <c r="A222" s="2481" t="s">
        <v>3293</v>
      </c>
      <c r="B222" s="2480"/>
      <c r="C222" s="2480"/>
      <c r="D222" s="2480"/>
      <c r="E222" s="2480"/>
      <c r="F222" s="2480"/>
      <c r="G222" s="2480"/>
      <c r="H222" s="2480"/>
    </row>
    <row r="223" spans="1:8" ht="15">
      <c r="A223" s="2481" t="s">
        <v>3294</v>
      </c>
      <c r="B223" s="2480"/>
      <c r="C223" s="2480"/>
      <c r="D223" s="2480"/>
      <c r="E223" s="2480"/>
      <c r="F223" s="2480"/>
      <c r="G223" s="2480"/>
      <c r="H223" s="2480"/>
    </row>
    <row r="224" spans="1:8" ht="15">
      <c r="A224" s="2481" t="s">
        <v>3295</v>
      </c>
      <c r="B224" s="2480"/>
      <c r="C224" s="2480"/>
      <c r="D224" s="2480"/>
      <c r="E224" s="2480"/>
      <c r="F224" s="2480"/>
      <c r="G224" s="2480"/>
      <c r="H224" s="2480"/>
    </row>
    <row r="225" spans="1:8" ht="15">
      <c r="A225" s="2481" t="s">
        <v>3296</v>
      </c>
      <c r="B225" s="2480"/>
      <c r="C225" s="2480"/>
      <c r="D225" s="2480"/>
      <c r="E225" s="2480"/>
      <c r="F225" s="2480"/>
      <c r="G225" s="2480"/>
      <c r="H225" s="2480"/>
    </row>
    <row r="226" spans="1:8">
      <c r="A226" s="2480"/>
      <c r="B226" s="2480"/>
      <c r="C226" s="2480"/>
      <c r="D226" s="2480"/>
      <c r="E226" s="2480"/>
      <c r="F226" s="2480"/>
      <c r="G226" s="2480"/>
      <c r="H226" s="2480"/>
    </row>
    <row r="227" spans="1:8" ht="15">
      <c r="A227" s="2481" t="s">
        <v>3286</v>
      </c>
      <c r="B227" s="2480"/>
      <c r="C227" s="2480"/>
      <c r="D227" s="2480"/>
      <c r="E227" s="2480"/>
      <c r="F227" s="2480"/>
      <c r="G227" s="2480"/>
      <c r="H227" s="2480"/>
    </row>
    <row r="228" spans="1:8" ht="15">
      <c r="A228" s="2481" t="s">
        <v>3287</v>
      </c>
      <c r="B228" s="2480"/>
      <c r="C228" s="2480"/>
      <c r="D228" s="2480"/>
      <c r="E228" s="2480"/>
      <c r="F228" s="2480"/>
      <c r="G228" s="2480"/>
      <c r="H228" s="2480"/>
    </row>
    <row r="229" spans="1:8" ht="15">
      <c r="A229" s="2481" t="s">
        <v>3288</v>
      </c>
      <c r="B229" s="2480"/>
      <c r="C229" s="2480"/>
      <c r="D229" s="2480"/>
      <c r="E229" s="2480"/>
      <c r="F229" s="2480"/>
      <c r="G229" s="2480"/>
      <c r="H229" s="2480"/>
    </row>
    <row r="230" spans="1:8" ht="15">
      <c r="A230" s="2481" t="s">
        <v>3289</v>
      </c>
      <c r="B230" s="2480"/>
      <c r="C230" s="2480"/>
      <c r="D230" s="2480"/>
      <c r="E230" s="2480"/>
      <c r="F230" s="2480"/>
      <c r="G230" s="2480"/>
      <c r="H230" s="2480"/>
    </row>
    <row r="231" spans="1:8" ht="15">
      <c r="A231" s="2481" t="s">
        <v>3290</v>
      </c>
      <c r="B231" s="2480"/>
      <c r="C231" s="2480"/>
      <c r="D231" s="2480"/>
      <c r="E231" s="2480"/>
      <c r="F231" s="2480"/>
      <c r="G231" s="2480"/>
      <c r="H231" s="2480"/>
    </row>
    <row r="232" spans="1:8" ht="15">
      <c r="A232" s="2481" t="s">
        <v>3291</v>
      </c>
      <c r="B232" s="2480"/>
      <c r="C232" s="2480"/>
      <c r="D232" s="2480"/>
      <c r="E232" s="2480"/>
      <c r="F232" s="2480"/>
      <c r="G232" s="2480"/>
      <c r="H232" s="2480"/>
    </row>
    <row r="233" spans="1:8">
      <c r="A233" s="2480"/>
      <c r="B233" s="2480"/>
      <c r="C233" s="2480"/>
      <c r="D233" s="2480"/>
      <c r="E233" s="2480"/>
      <c r="F233" s="2480"/>
      <c r="G233" s="2480"/>
      <c r="H233" s="2480"/>
    </row>
    <row r="234" spans="1:8" ht="15">
      <c r="A234" s="2481" t="s">
        <v>3276</v>
      </c>
      <c r="B234" s="2480"/>
      <c r="C234" s="2480"/>
      <c r="D234" s="2480"/>
      <c r="E234" s="2480"/>
      <c r="F234" s="2480"/>
      <c r="G234" s="2480"/>
      <c r="H234" s="2480"/>
    </row>
    <row r="235" spans="1:8" ht="15">
      <c r="A235" s="2481" t="s">
        <v>3277</v>
      </c>
      <c r="B235" s="2480"/>
      <c r="C235" s="2480"/>
      <c r="D235" s="2480"/>
      <c r="E235" s="2480"/>
      <c r="F235" s="2480"/>
      <c r="G235" s="2480"/>
      <c r="H235" s="2480"/>
    </row>
    <row r="236" spans="1:8" ht="15">
      <c r="A236" s="2481" t="s">
        <v>3278</v>
      </c>
      <c r="B236" s="2480"/>
      <c r="C236" s="2480"/>
      <c r="D236" s="2480"/>
      <c r="E236" s="2480"/>
      <c r="F236" s="2480"/>
      <c r="G236" s="2480"/>
      <c r="H236" s="2480"/>
    </row>
    <row r="237" spans="1:8" ht="15">
      <c r="A237" s="2481" t="s">
        <v>3279</v>
      </c>
      <c r="B237" s="2480"/>
      <c r="C237" s="2480"/>
      <c r="D237" s="2480"/>
      <c r="E237" s="2480"/>
      <c r="F237" s="2480"/>
      <c r="G237" s="2480"/>
      <c r="H237" s="2480"/>
    </row>
    <row r="238" spans="1:8" ht="15">
      <c r="A238" s="2481" t="s">
        <v>3280</v>
      </c>
      <c r="B238" s="2480"/>
      <c r="C238" s="2480"/>
      <c r="D238" s="2480"/>
      <c r="E238" s="2480"/>
      <c r="F238" s="2480"/>
      <c r="G238" s="2480"/>
      <c r="H238" s="2480"/>
    </row>
    <row r="239" spans="1:8" ht="15">
      <c r="A239" s="2481" t="s">
        <v>3281</v>
      </c>
      <c r="B239" s="2480"/>
      <c r="C239" s="2480"/>
      <c r="D239" s="2480"/>
      <c r="E239" s="2480"/>
      <c r="F239" s="2480"/>
      <c r="G239" s="2480"/>
      <c r="H239" s="2480"/>
    </row>
    <row r="240" spans="1:8" ht="15">
      <c r="A240" s="2481" t="s">
        <v>3282</v>
      </c>
      <c r="B240" s="2480"/>
      <c r="C240" s="2480"/>
      <c r="D240" s="2480"/>
      <c r="E240" s="2480"/>
      <c r="F240" s="2480"/>
      <c r="G240" s="2480"/>
      <c r="H240" s="2480"/>
    </row>
    <row r="241" spans="1:8" ht="15">
      <c r="A241" s="2481" t="s">
        <v>3283</v>
      </c>
      <c r="B241" s="2480"/>
      <c r="C241" s="2480"/>
      <c r="D241" s="2480"/>
      <c r="E241" s="2480"/>
      <c r="F241" s="2480"/>
      <c r="G241" s="2480"/>
      <c r="H241" s="2480"/>
    </row>
    <row r="242" spans="1:8" ht="15">
      <c r="A242" s="2481" t="s">
        <v>3284</v>
      </c>
      <c r="B242" s="2480"/>
      <c r="C242" s="2480"/>
      <c r="D242" s="2480"/>
      <c r="E242" s="2480"/>
      <c r="F242" s="2480"/>
      <c r="G242" s="2480"/>
      <c r="H242" s="2480"/>
    </row>
    <row r="243" spans="1:8" ht="15">
      <c r="A243" s="2481" t="s">
        <v>3285</v>
      </c>
      <c r="B243" s="2480"/>
      <c r="C243" s="2480"/>
      <c r="D243" s="2480"/>
      <c r="E243" s="2480"/>
      <c r="F243" s="2480"/>
      <c r="G243" s="2480"/>
      <c r="H243" s="2480"/>
    </row>
    <row r="244" spans="1:8">
      <c r="A244" s="2480"/>
      <c r="B244" s="2480"/>
      <c r="C244" s="2480"/>
      <c r="D244" s="2480"/>
      <c r="E244" s="2480"/>
      <c r="F244" s="2480"/>
      <c r="G244" s="2480"/>
      <c r="H244" s="2480"/>
    </row>
    <row r="245" spans="1:8" ht="15">
      <c r="A245" s="2481" t="s">
        <v>3274</v>
      </c>
      <c r="B245" s="2480"/>
      <c r="C245" s="2480"/>
      <c r="D245" s="2480"/>
      <c r="E245" s="2480"/>
      <c r="F245" s="2480"/>
      <c r="G245" s="2480"/>
      <c r="H245" s="2480"/>
    </row>
    <row r="246" spans="1:8" ht="15">
      <c r="A246" s="2481" t="s">
        <v>3275</v>
      </c>
      <c r="B246" s="2480"/>
      <c r="C246" s="2480"/>
      <c r="D246" s="2480"/>
      <c r="E246" s="2480"/>
      <c r="F246" s="2480"/>
      <c r="G246" s="2480"/>
      <c r="H246" s="2480"/>
    </row>
    <row r="247" spans="1:8">
      <c r="A247" s="2480"/>
      <c r="B247" s="2480"/>
      <c r="C247" s="2480"/>
      <c r="D247" s="2480"/>
      <c r="E247" s="2480"/>
      <c r="F247" s="2480"/>
      <c r="G247" s="2480"/>
      <c r="H247" s="2480"/>
    </row>
    <row r="248" spans="1:8" ht="15">
      <c r="A248" s="2481" t="s">
        <v>3258</v>
      </c>
      <c r="B248" s="2480"/>
      <c r="C248" s="2480"/>
      <c r="D248" s="2480"/>
      <c r="E248" s="2480"/>
      <c r="F248" s="2480"/>
      <c r="G248" s="2480"/>
      <c r="H248" s="2480"/>
    </row>
    <row r="249" spans="1:8" ht="15">
      <c r="A249" s="2481" t="s">
        <v>3259</v>
      </c>
      <c r="B249" s="2480"/>
      <c r="C249" s="2480"/>
      <c r="D249" s="2480"/>
      <c r="E249" s="2480"/>
      <c r="F249" s="2480"/>
      <c r="G249" s="2480"/>
      <c r="H249" s="2480"/>
    </row>
    <row r="250" spans="1:8" ht="15">
      <c r="A250" s="2481" t="s">
        <v>3260</v>
      </c>
      <c r="B250" s="2480"/>
      <c r="C250" s="2480"/>
      <c r="D250" s="2480"/>
      <c r="E250" s="2480"/>
      <c r="F250" s="2480"/>
      <c r="G250" s="2480"/>
      <c r="H250" s="2480"/>
    </row>
    <row r="251" spans="1:8" ht="15">
      <c r="A251" s="2481" t="s">
        <v>3261</v>
      </c>
      <c r="B251" s="2480"/>
      <c r="C251" s="2480"/>
      <c r="D251" s="2480"/>
      <c r="E251" s="2480"/>
      <c r="F251" s="2480"/>
      <c r="G251" s="2480"/>
      <c r="H251" s="2480"/>
    </row>
    <row r="252" spans="1:8" ht="15">
      <c r="A252" s="2481" t="s">
        <v>3262</v>
      </c>
      <c r="B252" s="2480"/>
      <c r="C252" s="2480"/>
      <c r="D252" s="2480"/>
      <c r="E252" s="2480"/>
      <c r="F252" s="2480"/>
      <c r="G252" s="2480"/>
      <c r="H252" s="2480"/>
    </row>
    <row r="253" spans="1:8" ht="15">
      <c r="A253" s="2481" t="s">
        <v>3263</v>
      </c>
      <c r="B253" s="2480"/>
      <c r="C253" s="2480"/>
      <c r="D253" s="2480"/>
      <c r="E253" s="2480"/>
      <c r="F253" s="2480"/>
      <c r="G253" s="2480"/>
      <c r="H253" s="2480"/>
    </row>
    <row r="254" spans="1:8" ht="15">
      <c r="A254" s="2481" t="s">
        <v>3264</v>
      </c>
      <c r="B254" s="2480"/>
      <c r="C254" s="2480"/>
      <c r="D254" s="2480"/>
      <c r="E254" s="2480"/>
      <c r="F254" s="2480"/>
      <c r="G254" s="2480"/>
      <c r="H254" s="2480"/>
    </row>
    <row r="255" spans="1:8" ht="15">
      <c r="A255" s="2481" t="s">
        <v>3265</v>
      </c>
      <c r="B255" s="2480"/>
      <c r="C255" s="2480"/>
      <c r="D255" s="2480"/>
      <c r="E255" s="2480"/>
      <c r="F255" s="2480"/>
      <c r="G255" s="2480"/>
      <c r="H255" s="2480"/>
    </row>
    <row r="256" spans="1:8" ht="15">
      <c r="A256" s="2481" t="s">
        <v>3266</v>
      </c>
      <c r="B256" s="2480"/>
      <c r="C256" s="2480"/>
      <c r="D256" s="2480"/>
      <c r="E256" s="2480"/>
      <c r="F256" s="2480"/>
      <c r="G256" s="2480"/>
      <c r="H256" s="2480"/>
    </row>
    <row r="257" spans="1:8" ht="15">
      <c r="A257" s="2481" t="s">
        <v>3267</v>
      </c>
      <c r="B257" s="2480"/>
      <c r="C257" s="2480"/>
      <c r="D257" s="2480"/>
      <c r="E257" s="2480"/>
      <c r="F257" s="2480"/>
      <c r="G257" s="2480"/>
      <c r="H257" s="2480"/>
    </row>
    <row r="258" spans="1:8" ht="15">
      <c r="A258" s="2481" t="s">
        <v>3268</v>
      </c>
      <c r="B258" s="2480"/>
      <c r="C258" s="2480"/>
      <c r="D258" s="2480"/>
      <c r="E258" s="2480"/>
      <c r="F258" s="2480"/>
      <c r="G258" s="2480"/>
      <c r="H258" s="2480"/>
    </row>
    <row r="259" spans="1:8" ht="15">
      <c r="A259" s="2481" t="s">
        <v>3269</v>
      </c>
      <c r="B259" s="2480"/>
      <c r="C259" s="2480"/>
      <c r="D259" s="2480"/>
      <c r="E259" s="2480"/>
      <c r="F259" s="2480"/>
      <c r="G259" s="2480"/>
      <c r="H259" s="2480"/>
    </row>
    <row r="260" spans="1:8" ht="15">
      <c r="A260" s="2481" t="s">
        <v>3270</v>
      </c>
      <c r="B260" s="2480"/>
      <c r="C260" s="2480"/>
      <c r="D260" s="2480"/>
      <c r="E260" s="2480"/>
      <c r="F260" s="2480"/>
      <c r="G260" s="2480"/>
      <c r="H260" s="2480"/>
    </row>
    <row r="261" spans="1:8" ht="15">
      <c r="A261" s="2481" t="s">
        <v>3271</v>
      </c>
      <c r="B261" s="2480"/>
      <c r="C261" s="2480"/>
      <c r="D261" s="2480"/>
      <c r="E261" s="2480"/>
      <c r="F261" s="2480"/>
      <c r="G261" s="2480"/>
      <c r="H261" s="2480"/>
    </row>
    <row r="262" spans="1:8" ht="15">
      <c r="A262" s="2481" t="s">
        <v>3272</v>
      </c>
      <c r="B262" s="2480"/>
      <c r="C262" s="2480"/>
      <c r="D262" s="2480"/>
      <c r="E262" s="2480"/>
      <c r="F262" s="2480"/>
      <c r="G262" s="2480"/>
      <c r="H262" s="2480"/>
    </row>
    <row r="263" spans="1:8" ht="15">
      <c r="A263" s="2481" t="s">
        <v>3273</v>
      </c>
      <c r="B263" s="2480"/>
      <c r="C263" s="2480"/>
      <c r="D263" s="2480"/>
      <c r="E263" s="2480"/>
      <c r="F263" s="2480"/>
      <c r="G263" s="2480"/>
      <c r="H263" s="2480"/>
    </row>
    <row r="264" spans="1:8">
      <c r="A264" s="2480"/>
      <c r="B264" s="2480"/>
      <c r="C264" s="2480"/>
      <c r="D264" s="2480"/>
      <c r="E264" s="2480"/>
      <c r="F264" s="2480"/>
      <c r="G264" s="2480"/>
      <c r="H264" s="2480"/>
    </row>
    <row r="265" spans="1:8" ht="15">
      <c r="A265" s="2481" t="s">
        <v>3251</v>
      </c>
      <c r="B265" s="2480"/>
      <c r="C265" s="2480"/>
      <c r="D265" s="2480"/>
      <c r="E265" s="2480"/>
      <c r="F265" s="2480"/>
      <c r="G265" s="2480"/>
      <c r="H265" s="2480"/>
    </row>
    <row r="266" spans="1:8" ht="15">
      <c r="A266" s="2481" t="s">
        <v>3252</v>
      </c>
      <c r="B266" s="2480"/>
      <c r="C266" s="2480"/>
      <c r="D266" s="2480"/>
      <c r="E266" s="2480"/>
      <c r="F266" s="2480"/>
      <c r="G266" s="2480"/>
      <c r="H266" s="2480"/>
    </row>
    <row r="267" spans="1:8" ht="15">
      <c r="A267" s="2481" t="s">
        <v>3253</v>
      </c>
      <c r="B267" s="2480"/>
      <c r="C267" s="2480"/>
      <c r="D267" s="2480"/>
      <c r="E267" s="2480"/>
      <c r="F267" s="2480"/>
      <c r="G267" s="2480"/>
      <c r="H267" s="2480"/>
    </row>
    <row r="268" spans="1:8" ht="15">
      <c r="A268" s="2481" t="s">
        <v>3254</v>
      </c>
      <c r="B268" s="2480"/>
      <c r="C268" s="2480"/>
      <c r="D268" s="2480"/>
      <c r="E268" s="2480"/>
      <c r="F268" s="2480"/>
      <c r="G268" s="2480"/>
      <c r="H268" s="2480"/>
    </row>
    <row r="269" spans="1:8" ht="15">
      <c r="A269" s="2481" t="s">
        <v>3255</v>
      </c>
      <c r="B269" s="2480"/>
      <c r="C269" s="2480"/>
      <c r="D269" s="2480"/>
      <c r="E269" s="2480"/>
      <c r="F269" s="2480"/>
      <c r="G269" s="2480"/>
      <c r="H269" s="2480"/>
    </row>
    <row r="270" spans="1:8" ht="15">
      <c r="A270" s="2481" t="s">
        <v>3256</v>
      </c>
      <c r="B270" s="2480"/>
      <c r="C270" s="2480"/>
      <c r="D270" s="2480"/>
      <c r="E270" s="2480"/>
      <c r="F270" s="2480"/>
      <c r="G270" s="2480"/>
      <c r="H270" s="2480"/>
    </row>
    <row r="271" spans="1:8" ht="15">
      <c r="A271" s="2481" t="s">
        <v>3257</v>
      </c>
      <c r="B271" s="2480"/>
      <c r="C271" s="2480"/>
      <c r="D271" s="2480"/>
      <c r="E271" s="2480"/>
      <c r="F271" s="2480"/>
      <c r="G271" s="2480"/>
      <c r="H271" s="2480"/>
    </row>
    <row r="272" spans="1:8">
      <c r="A272" s="2480"/>
      <c r="B272" s="2480"/>
      <c r="C272" s="2480"/>
      <c r="D272" s="2480"/>
      <c r="E272" s="2480"/>
      <c r="F272" s="2480"/>
      <c r="G272" s="2480"/>
      <c r="H272" s="2480"/>
    </row>
    <row r="273" spans="1:8" ht="15">
      <c r="A273" s="2481" t="s">
        <v>3242</v>
      </c>
      <c r="B273" s="2480"/>
      <c r="C273" s="2480"/>
      <c r="D273" s="2480"/>
      <c r="E273" s="2480"/>
      <c r="F273" s="2480"/>
      <c r="G273" s="2480"/>
      <c r="H273" s="2480"/>
    </row>
    <row r="274" spans="1:8" ht="15">
      <c r="A274" s="2481" t="s">
        <v>3243</v>
      </c>
      <c r="B274" s="2480"/>
      <c r="C274" s="2480"/>
      <c r="D274" s="2480"/>
      <c r="E274" s="2480"/>
      <c r="F274" s="2480"/>
      <c r="G274" s="2480"/>
      <c r="H274" s="2480"/>
    </row>
    <row r="275" spans="1:8" ht="15">
      <c r="A275" s="2481" t="s">
        <v>3244</v>
      </c>
      <c r="B275" s="2480"/>
      <c r="C275" s="2480"/>
      <c r="D275" s="2480"/>
      <c r="E275" s="2480"/>
      <c r="F275" s="2480"/>
      <c r="G275" s="2480"/>
      <c r="H275" s="2480"/>
    </row>
    <row r="276" spans="1:8" ht="15">
      <c r="A276" s="2481" t="s">
        <v>3245</v>
      </c>
      <c r="B276" s="2480"/>
      <c r="C276" s="2480"/>
      <c r="D276" s="2480"/>
      <c r="E276" s="2480"/>
      <c r="F276" s="2480"/>
      <c r="G276" s="2480"/>
      <c r="H276" s="2480"/>
    </row>
    <row r="277" spans="1:8" ht="15">
      <c r="A277" s="2481" t="s">
        <v>3246</v>
      </c>
      <c r="B277" s="2480"/>
      <c r="C277" s="2480"/>
      <c r="D277" s="2480"/>
      <c r="E277" s="2480"/>
      <c r="F277" s="2480"/>
      <c r="G277" s="2480"/>
      <c r="H277" s="2480"/>
    </row>
    <row r="278" spans="1:8" ht="15">
      <c r="A278" s="2481" t="s">
        <v>3247</v>
      </c>
      <c r="B278" s="2480"/>
      <c r="C278" s="2480"/>
      <c r="D278" s="2480"/>
      <c r="E278" s="2480"/>
      <c r="F278" s="2480"/>
      <c r="G278" s="2480"/>
      <c r="H278" s="2480"/>
    </row>
    <row r="279" spans="1:8" ht="15">
      <c r="A279" s="2481" t="s">
        <v>3248</v>
      </c>
      <c r="B279" s="2480"/>
      <c r="C279" s="2480"/>
      <c r="D279" s="2480"/>
      <c r="E279" s="2480"/>
      <c r="F279" s="2480"/>
      <c r="G279" s="2480"/>
      <c r="H279" s="2480"/>
    </row>
    <row r="280" spans="1:8" ht="15">
      <c r="A280" s="2481" t="s">
        <v>3249</v>
      </c>
      <c r="B280" s="2480"/>
      <c r="C280" s="2480"/>
      <c r="D280" s="2480"/>
      <c r="E280" s="2480"/>
      <c r="F280" s="2480"/>
      <c r="G280" s="2480"/>
      <c r="H280" s="2480"/>
    </row>
    <row r="281" spans="1:8" ht="15">
      <c r="A281" s="2481" t="s">
        <v>3250</v>
      </c>
      <c r="B281" s="2480"/>
      <c r="C281" s="2480"/>
      <c r="D281" s="2480"/>
      <c r="E281" s="2480"/>
      <c r="F281" s="2480"/>
      <c r="G281" s="2480"/>
      <c r="H281" s="2480"/>
    </row>
    <row r="282" spans="1:8">
      <c r="A282" s="2480"/>
      <c r="B282" s="2480"/>
      <c r="C282" s="2480"/>
      <c r="D282" s="2480"/>
      <c r="E282" s="2480"/>
      <c r="F282" s="2480"/>
      <c r="G282" s="2480"/>
      <c r="H282" s="2480"/>
    </row>
    <row r="283" spans="1:8" ht="15">
      <c r="A283" s="2481" t="s">
        <v>3235</v>
      </c>
      <c r="B283" s="2480"/>
      <c r="C283" s="2480"/>
      <c r="D283" s="2480"/>
      <c r="E283" s="2480"/>
      <c r="F283" s="2480"/>
      <c r="G283" s="2480"/>
      <c r="H283" s="2480"/>
    </row>
    <row r="284" spans="1:8" ht="15">
      <c r="A284" s="2481" t="s">
        <v>3236</v>
      </c>
      <c r="B284" s="2480"/>
      <c r="C284" s="2480"/>
      <c r="D284" s="2480"/>
      <c r="E284" s="2480"/>
      <c r="F284" s="2480"/>
      <c r="G284" s="2480"/>
      <c r="H284" s="2480"/>
    </row>
    <row r="285" spans="1:8" ht="15">
      <c r="A285" s="2481" t="s">
        <v>3237</v>
      </c>
      <c r="B285" s="2480"/>
      <c r="C285" s="2480"/>
      <c r="D285" s="2480"/>
      <c r="E285" s="2480"/>
      <c r="F285" s="2480"/>
      <c r="G285" s="2480"/>
      <c r="H285" s="2480"/>
    </row>
    <row r="286" spans="1:8" ht="15">
      <c r="A286" s="2481" t="s">
        <v>3238</v>
      </c>
      <c r="B286" s="2480"/>
      <c r="C286" s="2480"/>
      <c r="D286" s="2480"/>
      <c r="E286" s="2480"/>
      <c r="F286" s="2480"/>
      <c r="G286" s="2480"/>
      <c r="H286" s="2480"/>
    </row>
    <row r="287" spans="1:8" ht="15">
      <c r="A287" s="2481" t="s">
        <v>3239</v>
      </c>
      <c r="B287" s="2480"/>
      <c r="C287" s="2480"/>
      <c r="D287" s="2480"/>
      <c r="E287" s="2480"/>
      <c r="F287" s="2480"/>
      <c r="G287" s="2480"/>
      <c r="H287" s="2480"/>
    </row>
    <row r="288" spans="1:8" ht="15">
      <c r="A288" s="2481" t="s">
        <v>3240</v>
      </c>
      <c r="B288" s="2480"/>
      <c r="C288" s="2480"/>
      <c r="D288" s="2480"/>
      <c r="E288" s="2480"/>
      <c r="F288" s="2480"/>
      <c r="G288" s="2480"/>
      <c r="H288" s="2480"/>
    </row>
    <row r="289" spans="1:8" ht="15">
      <c r="A289" s="2481" t="s">
        <v>3241</v>
      </c>
      <c r="B289" s="2480"/>
      <c r="C289" s="2480"/>
      <c r="D289" s="2480"/>
      <c r="E289" s="2480"/>
      <c r="F289" s="2480"/>
      <c r="G289" s="2480"/>
      <c r="H289" s="2480"/>
    </row>
    <row r="290" spans="1:8">
      <c r="A290" s="2480"/>
      <c r="B290" s="2480"/>
      <c r="C290" s="2480"/>
      <c r="D290" s="2480"/>
      <c r="E290" s="2480"/>
      <c r="F290" s="2480"/>
      <c r="G290" s="2480"/>
      <c r="H290" s="2480"/>
    </row>
    <row r="291" spans="1:8" ht="15">
      <c r="A291" s="2481" t="s">
        <v>3232</v>
      </c>
      <c r="B291" s="2480"/>
      <c r="C291" s="2480"/>
      <c r="D291" s="2480"/>
      <c r="E291" s="2480"/>
      <c r="F291" s="2480"/>
      <c r="G291" s="2480"/>
      <c r="H291" s="2480"/>
    </row>
    <row r="292" spans="1:8" ht="15">
      <c r="A292" s="2481" t="s">
        <v>3233</v>
      </c>
      <c r="B292" s="2480"/>
      <c r="C292" s="2480"/>
      <c r="D292" s="2480"/>
      <c r="E292" s="2480"/>
      <c r="F292" s="2480"/>
      <c r="G292" s="2480"/>
      <c r="H292" s="2480"/>
    </row>
    <row r="293" spans="1:8" ht="15">
      <c r="A293" s="2481" t="s">
        <v>3234</v>
      </c>
      <c r="B293" s="2480"/>
      <c r="C293" s="2480"/>
      <c r="D293" s="2480"/>
      <c r="E293" s="2480"/>
      <c r="F293" s="2480"/>
      <c r="G293" s="2480"/>
      <c r="H293" s="2480"/>
    </row>
    <row r="294" spans="1:8">
      <c r="A294" s="2480"/>
      <c r="B294" s="2480"/>
      <c r="C294" s="2480"/>
      <c r="D294" s="2480"/>
      <c r="E294" s="2480"/>
      <c r="F294" s="2480"/>
      <c r="G294" s="2480"/>
      <c r="H294" s="2480"/>
    </row>
    <row r="295" spans="1:8" ht="15">
      <c r="A295" s="2481" t="s">
        <v>3230</v>
      </c>
      <c r="B295" s="2480"/>
      <c r="C295" s="2480"/>
      <c r="D295" s="2480"/>
      <c r="E295" s="2480"/>
      <c r="F295" s="2480"/>
      <c r="G295" s="2480"/>
      <c r="H295" s="2480"/>
    </row>
    <row r="296" spans="1:8" ht="15">
      <c r="A296" s="2481" t="s">
        <v>3231</v>
      </c>
      <c r="B296" s="2480"/>
      <c r="C296" s="2480"/>
      <c r="D296" s="2480"/>
      <c r="E296" s="2480"/>
      <c r="F296" s="2480"/>
      <c r="G296" s="2480"/>
      <c r="H296" s="2480"/>
    </row>
    <row r="297" spans="1:8">
      <c r="A297" s="2480"/>
      <c r="B297" s="2480"/>
      <c r="C297" s="2480"/>
      <c r="D297" s="2480"/>
      <c r="E297" s="2480"/>
      <c r="F297" s="2480"/>
      <c r="G297" s="2480"/>
      <c r="H297" s="2480"/>
    </row>
    <row r="298" spans="1:8" ht="15">
      <c r="A298" s="2481" t="s">
        <v>3217</v>
      </c>
      <c r="B298" s="2480"/>
      <c r="C298" s="2480"/>
      <c r="D298" s="2480"/>
      <c r="E298" s="2480"/>
      <c r="F298" s="2480"/>
      <c r="G298" s="2480"/>
      <c r="H298" s="2480"/>
    </row>
    <row r="299" spans="1:8" ht="15">
      <c r="A299" s="2481" t="s">
        <v>3218</v>
      </c>
      <c r="B299" s="2480"/>
      <c r="C299" s="2480"/>
      <c r="D299" s="2480"/>
      <c r="E299" s="2480"/>
      <c r="F299" s="2480"/>
      <c r="G299" s="2480"/>
      <c r="H299" s="2480"/>
    </row>
    <row r="300" spans="1:8" ht="15">
      <c r="A300" s="2481" t="s">
        <v>3219</v>
      </c>
      <c r="B300" s="2480"/>
      <c r="C300" s="2480"/>
      <c r="D300" s="2480"/>
      <c r="E300" s="2480"/>
      <c r="F300" s="2480"/>
      <c r="G300" s="2480"/>
      <c r="H300" s="2480"/>
    </row>
    <row r="301" spans="1:8" ht="15">
      <c r="A301" s="2481" t="s">
        <v>3220</v>
      </c>
      <c r="B301" s="2480"/>
      <c r="C301" s="2480"/>
      <c r="D301" s="2480"/>
      <c r="E301" s="2480"/>
      <c r="F301" s="2480"/>
      <c r="G301" s="2480"/>
      <c r="H301" s="2480"/>
    </row>
    <row r="302" spans="1:8" ht="15">
      <c r="A302" s="2481" t="s">
        <v>3221</v>
      </c>
      <c r="B302" s="2480"/>
      <c r="C302" s="2480"/>
      <c r="D302" s="2480"/>
      <c r="E302" s="2480"/>
      <c r="F302" s="2480"/>
      <c r="G302" s="2480"/>
      <c r="H302" s="2480"/>
    </row>
    <row r="303" spans="1:8" ht="15">
      <c r="A303" s="2481" t="s">
        <v>3222</v>
      </c>
      <c r="B303" s="2480"/>
      <c r="C303" s="2480"/>
      <c r="D303" s="2480"/>
      <c r="E303" s="2480"/>
      <c r="F303" s="2480"/>
      <c r="G303" s="2480"/>
      <c r="H303" s="2480"/>
    </row>
    <row r="304" spans="1:8" ht="15">
      <c r="A304" s="2481" t="s">
        <v>3223</v>
      </c>
      <c r="B304" s="2480"/>
      <c r="C304" s="2480"/>
      <c r="D304" s="2480"/>
      <c r="E304" s="2480"/>
      <c r="F304" s="2480"/>
      <c r="G304" s="2480"/>
      <c r="H304" s="2480"/>
    </row>
    <row r="305" spans="1:8" ht="15">
      <c r="A305" s="2481" t="s">
        <v>3224</v>
      </c>
      <c r="B305" s="2480"/>
      <c r="C305" s="2480"/>
      <c r="D305" s="2480"/>
      <c r="E305" s="2480"/>
      <c r="F305" s="2480"/>
      <c r="G305" s="2480"/>
      <c r="H305" s="2480"/>
    </row>
    <row r="306" spans="1:8" ht="15">
      <c r="A306" s="2481" t="s">
        <v>3225</v>
      </c>
      <c r="B306" s="2480"/>
      <c r="C306" s="2480"/>
      <c r="D306" s="2480"/>
      <c r="E306" s="2480"/>
      <c r="F306" s="2480"/>
      <c r="G306" s="2480"/>
      <c r="H306" s="2480"/>
    </row>
    <row r="307" spans="1:8" ht="15">
      <c r="A307" s="2481" t="s">
        <v>3226</v>
      </c>
      <c r="B307" s="2480"/>
      <c r="C307" s="2480"/>
      <c r="D307" s="2480"/>
      <c r="E307" s="2480"/>
      <c r="F307" s="2480"/>
      <c r="G307" s="2480"/>
      <c r="H307" s="2480"/>
    </row>
    <row r="308" spans="1:8" ht="15">
      <c r="A308" s="2481" t="s">
        <v>3227</v>
      </c>
      <c r="B308" s="2480"/>
      <c r="C308" s="2480"/>
      <c r="D308" s="2480"/>
      <c r="E308" s="2480"/>
      <c r="F308" s="2480"/>
      <c r="G308" s="2480"/>
      <c r="H308" s="2480"/>
    </row>
    <row r="309" spans="1:8" ht="15">
      <c r="A309" s="2481" t="s">
        <v>3228</v>
      </c>
      <c r="B309" s="2480"/>
      <c r="C309" s="2480"/>
      <c r="D309" s="2480"/>
      <c r="E309" s="2480"/>
      <c r="F309" s="2480"/>
      <c r="G309" s="2480"/>
      <c r="H309" s="2480"/>
    </row>
    <row r="310" spans="1:8" ht="15">
      <c r="A310" s="2481" t="s">
        <v>3229</v>
      </c>
      <c r="B310" s="2480"/>
      <c r="C310" s="2480"/>
      <c r="D310" s="2480"/>
      <c r="E310" s="2480"/>
      <c r="F310" s="2480"/>
      <c r="G310" s="2480"/>
      <c r="H310" s="2480"/>
    </row>
    <row r="311" spans="1:8">
      <c r="A311" s="2480"/>
      <c r="B311" s="2480"/>
      <c r="C311" s="2480"/>
      <c r="D311" s="2480"/>
      <c r="E311" s="2480"/>
      <c r="F311" s="2480"/>
      <c r="G311" s="2480"/>
      <c r="H311" s="2480"/>
    </row>
    <row r="312" spans="1:8" ht="15">
      <c r="A312" s="2481" t="s">
        <v>3209</v>
      </c>
      <c r="B312" s="2480"/>
      <c r="C312" s="2480"/>
      <c r="D312" s="2480"/>
      <c r="E312" s="2480"/>
      <c r="F312" s="2480"/>
      <c r="G312" s="2480"/>
      <c r="H312" s="2480"/>
    </row>
    <row r="313" spans="1:8" ht="15">
      <c r="A313" s="2481" t="s">
        <v>3210</v>
      </c>
      <c r="B313" s="2480"/>
      <c r="C313" s="2480"/>
      <c r="D313" s="2480"/>
      <c r="E313" s="2480"/>
      <c r="F313" s="2480"/>
      <c r="G313" s="2480"/>
      <c r="H313" s="2480"/>
    </row>
    <row r="314" spans="1:8" ht="15">
      <c r="A314" s="2481" t="s">
        <v>3211</v>
      </c>
      <c r="B314" s="2480"/>
      <c r="C314" s="2480"/>
      <c r="D314" s="2480"/>
      <c r="E314" s="2480"/>
      <c r="F314" s="2480"/>
      <c r="G314" s="2480"/>
      <c r="H314" s="2480"/>
    </row>
    <row r="315" spans="1:8" ht="15">
      <c r="A315" s="2481" t="s">
        <v>3212</v>
      </c>
      <c r="B315" s="2480"/>
      <c r="C315" s="2480"/>
      <c r="D315" s="2480"/>
      <c r="E315" s="2480"/>
      <c r="F315" s="2480"/>
      <c r="G315" s="2480"/>
      <c r="H315" s="2480"/>
    </row>
    <row r="316" spans="1:8" ht="15">
      <c r="A316" s="2481" t="s">
        <v>3213</v>
      </c>
      <c r="B316" s="2480"/>
      <c r="C316" s="2480"/>
      <c r="D316" s="2480"/>
      <c r="E316" s="2480"/>
      <c r="F316" s="2480"/>
      <c r="G316" s="2480"/>
      <c r="H316" s="2480"/>
    </row>
    <row r="317" spans="1:8" ht="15">
      <c r="A317" s="2481" t="s">
        <v>3214</v>
      </c>
      <c r="B317" s="2480"/>
      <c r="C317" s="2480"/>
      <c r="D317" s="2480"/>
      <c r="E317" s="2480"/>
      <c r="F317" s="2480"/>
      <c r="G317" s="2480"/>
      <c r="H317" s="2480"/>
    </row>
    <row r="318" spans="1:8" ht="15">
      <c r="A318" s="2481" t="s">
        <v>3215</v>
      </c>
      <c r="B318" s="2480"/>
      <c r="C318" s="2480"/>
      <c r="D318" s="2480"/>
      <c r="E318" s="2480"/>
      <c r="F318" s="2480"/>
      <c r="G318" s="2480"/>
      <c r="H318" s="2480"/>
    </row>
    <row r="319" spans="1:8" ht="15">
      <c r="A319" s="2481" t="s">
        <v>3216</v>
      </c>
      <c r="B319" s="2480"/>
      <c r="C319" s="2480"/>
      <c r="D319" s="2480"/>
      <c r="E319" s="2480"/>
      <c r="F319" s="2480"/>
      <c r="G319" s="2480"/>
      <c r="H319" s="2480"/>
    </row>
    <row r="320" spans="1:8">
      <c r="A320" s="2480"/>
      <c r="B320" s="2480"/>
      <c r="C320" s="2480"/>
      <c r="D320" s="2480"/>
      <c r="E320" s="2480"/>
      <c r="F320" s="2480"/>
      <c r="G320" s="2480"/>
      <c r="H320" s="2480"/>
    </row>
    <row r="321" spans="1:8" ht="15">
      <c r="A321" s="2481" t="s">
        <v>3174</v>
      </c>
      <c r="B321" s="2480"/>
      <c r="C321" s="2480"/>
      <c r="D321" s="2480"/>
      <c r="E321" s="2480"/>
      <c r="F321" s="2480"/>
      <c r="G321" s="2480"/>
      <c r="H321" s="2480"/>
    </row>
    <row r="322" spans="1:8" ht="15">
      <c r="A322" s="2481" t="s">
        <v>3175</v>
      </c>
      <c r="B322" s="2480"/>
      <c r="C322" s="2480"/>
      <c r="D322" s="2480"/>
      <c r="E322" s="2480"/>
      <c r="F322" s="2480"/>
      <c r="G322" s="2480"/>
      <c r="H322" s="2480"/>
    </row>
    <row r="323" spans="1:8" ht="15">
      <c r="A323" s="2481" t="s">
        <v>3176</v>
      </c>
      <c r="B323" s="2480"/>
      <c r="C323" s="2480"/>
      <c r="D323" s="2480"/>
      <c r="E323" s="2480"/>
      <c r="F323" s="2480"/>
      <c r="G323" s="2480"/>
      <c r="H323" s="2480"/>
    </row>
    <row r="324" spans="1:8" ht="15">
      <c r="A324" s="2481" t="s">
        <v>3177</v>
      </c>
      <c r="B324" s="2480"/>
      <c r="C324" s="2480"/>
      <c r="D324" s="2480"/>
      <c r="E324" s="2480"/>
      <c r="F324" s="2480"/>
      <c r="G324" s="2480"/>
      <c r="H324" s="2480"/>
    </row>
    <row r="325" spans="1:8" ht="15">
      <c r="A325" s="2481" t="s">
        <v>3178</v>
      </c>
      <c r="B325" s="2480"/>
      <c r="C325" s="2480"/>
      <c r="D325" s="2480"/>
      <c r="E325" s="2480"/>
      <c r="F325" s="2480"/>
      <c r="G325" s="2480"/>
      <c r="H325" s="2480"/>
    </row>
    <row r="326" spans="1:8" ht="15">
      <c r="A326" s="2481" t="s">
        <v>3179</v>
      </c>
      <c r="B326" s="2480"/>
      <c r="C326" s="2480"/>
      <c r="D326" s="2480"/>
      <c r="E326" s="2480"/>
      <c r="F326" s="2480"/>
      <c r="G326" s="2480"/>
      <c r="H326" s="2480"/>
    </row>
    <row r="327" spans="1:8" ht="15">
      <c r="A327" s="2481" t="s">
        <v>3180</v>
      </c>
      <c r="B327" s="2480"/>
      <c r="C327" s="2480"/>
      <c r="D327" s="2480"/>
      <c r="E327" s="2480"/>
      <c r="F327" s="2480"/>
      <c r="G327" s="2480"/>
      <c r="H327" s="2480"/>
    </row>
    <row r="328" spans="1:8" ht="15">
      <c r="A328" s="2481" t="s">
        <v>3181</v>
      </c>
      <c r="B328" s="2480"/>
      <c r="C328" s="2480"/>
      <c r="D328" s="2480"/>
      <c r="E328" s="2480"/>
      <c r="F328" s="2480"/>
      <c r="G328" s="2480"/>
      <c r="H328" s="2480"/>
    </row>
    <row r="329" spans="1:8" ht="15">
      <c r="A329" s="2481" t="s">
        <v>3182</v>
      </c>
      <c r="B329" s="2480"/>
      <c r="C329" s="2480"/>
      <c r="D329" s="2480"/>
      <c r="E329" s="2480"/>
      <c r="F329" s="2480"/>
      <c r="G329" s="2480"/>
      <c r="H329" s="2480"/>
    </row>
    <row r="330" spans="1:8" ht="15">
      <c r="A330" s="2481" t="s">
        <v>3183</v>
      </c>
      <c r="B330" s="2480"/>
      <c r="C330" s="2480"/>
      <c r="D330" s="2480"/>
      <c r="E330" s="2480"/>
      <c r="F330" s="2480"/>
      <c r="G330" s="2480"/>
      <c r="H330" s="2480"/>
    </row>
    <row r="331" spans="1:8" ht="15">
      <c r="A331" s="2481" t="s">
        <v>3184</v>
      </c>
      <c r="B331" s="2480"/>
      <c r="C331" s="2480"/>
      <c r="D331" s="2480"/>
      <c r="E331" s="2480"/>
      <c r="F331" s="2480"/>
      <c r="G331" s="2480"/>
      <c r="H331" s="2480"/>
    </row>
    <row r="332" spans="1:8" ht="15">
      <c r="A332" s="2481" t="s">
        <v>3185</v>
      </c>
      <c r="B332" s="2480"/>
      <c r="C332" s="2480"/>
      <c r="D332" s="2480"/>
      <c r="E332" s="2480"/>
      <c r="F332" s="2480"/>
      <c r="G332" s="2480"/>
      <c r="H332" s="2480"/>
    </row>
    <row r="333" spans="1:8" ht="15">
      <c r="A333" s="2481" t="s">
        <v>3186</v>
      </c>
      <c r="B333" s="2480"/>
      <c r="C333" s="2480"/>
      <c r="D333" s="2480"/>
      <c r="E333" s="2480"/>
      <c r="F333" s="2480"/>
      <c r="G333" s="2480"/>
      <c r="H333" s="2480"/>
    </row>
    <row r="334" spans="1:8" ht="15">
      <c r="A334" s="2481" t="s">
        <v>3187</v>
      </c>
      <c r="B334" s="2480"/>
      <c r="C334" s="2480"/>
      <c r="D334" s="2480"/>
      <c r="E334" s="2480"/>
      <c r="F334" s="2480"/>
      <c r="G334" s="2480"/>
      <c r="H334" s="2480"/>
    </row>
    <row r="335" spans="1:8" ht="15">
      <c r="A335" s="2481" t="s">
        <v>3188</v>
      </c>
      <c r="B335" s="2480"/>
      <c r="C335" s="2480"/>
      <c r="D335" s="2480"/>
      <c r="E335" s="2480"/>
      <c r="F335" s="2480"/>
      <c r="G335" s="2480"/>
      <c r="H335" s="2480"/>
    </row>
    <row r="336" spans="1:8" ht="15">
      <c r="A336" s="2481" t="s">
        <v>3189</v>
      </c>
      <c r="B336" s="2480"/>
      <c r="C336" s="2480"/>
      <c r="D336" s="2480"/>
      <c r="E336" s="2480"/>
      <c r="F336" s="2480"/>
      <c r="G336" s="2480"/>
      <c r="H336" s="2480"/>
    </row>
    <row r="337" spans="1:8" ht="15">
      <c r="A337" s="2481" t="s">
        <v>3190</v>
      </c>
      <c r="B337" s="2480"/>
      <c r="C337" s="2480"/>
      <c r="D337" s="2480"/>
      <c r="E337" s="2480"/>
      <c r="F337" s="2480"/>
      <c r="G337" s="2480"/>
      <c r="H337" s="2480"/>
    </row>
    <row r="338" spans="1:8" ht="15">
      <c r="A338" s="2481" t="s">
        <v>3191</v>
      </c>
      <c r="B338" s="2480"/>
      <c r="C338" s="2480"/>
      <c r="D338" s="2480"/>
      <c r="E338" s="2480"/>
      <c r="F338" s="2480"/>
      <c r="G338" s="2480"/>
      <c r="H338" s="2480"/>
    </row>
    <row r="339" spans="1:8" ht="15">
      <c r="A339" s="2481" t="s">
        <v>3192</v>
      </c>
      <c r="B339" s="2480"/>
      <c r="C339" s="2480"/>
      <c r="D339" s="2480"/>
      <c r="E339" s="2480"/>
      <c r="F339" s="2480"/>
      <c r="G339" s="2480"/>
      <c r="H339" s="2480"/>
    </row>
    <row r="340" spans="1:8" ht="15">
      <c r="A340" s="2481" t="s">
        <v>3193</v>
      </c>
      <c r="B340" s="2480"/>
      <c r="C340" s="2480"/>
      <c r="D340" s="2480"/>
      <c r="E340" s="2480"/>
      <c r="F340" s="2480"/>
      <c r="G340" s="2480"/>
      <c r="H340" s="2480"/>
    </row>
    <row r="341" spans="1:8" ht="15">
      <c r="A341" s="2481" t="s">
        <v>3194</v>
      </c>
      <c r="B341" s="2480"/>
      <c r="C341" s="2480"/>
      <c r="D341" s="2480"/>
      <c r="E341" s="2480"/>
      <c r="F341" s="2480"/>
      <c r="G341" s="2480"/>
      <c r="H341" s="2480"/>
    </row>
    <row r="342" spans="1:8" ht="15">
      <c r="A342" s="2481" t="s">
        <v>3195</v>
      </c>
      <c r="B342" s="2480"/>
      <c r="C342" s="2480"/>
      <c r="D342" s="2480"/>
      <c r="E342" s="2480"/>
      <c r="F342" s="2480"/>
      <c r="G342" s="2480"/>
      <c r="H342" s="2480"/>
    </row>
    <row r="343" spans="1:8" ht="15">
      <c r="A343" s="2481" t="s">
        <v>3196</v>
      </c>
      <c r="B343" s="2480"/>
      <c r="C343" s="2480"/>
      <c r="D343" s="2480"/>
      <c r="E343" s="2480"/>
      <c r="F343" s="2480"/>
      <c r="G343" s="2480"/>
      <c r="H343" s="2480"/>
    </row>
    <row r="344" spans="1:8" ht="15">
      <c r="A344" s="2481" t="s">
        <v>3197</v>
      </c>
      <c r="B344" s="2480"/>
      <c r="C344" s="2480"/>
      <c r="D344" s="2480"/>
      <c r="E344" s="2480"/>
      <c r="F344" s="2480"/>
      <c r="G344" s="2480"/>
      <c r="H344" s="2480"/>
    </row>
    <row r="345" spans="1:8" ht="15">
      <c r="A345" s="2481" t="s">
        <v>3198</v>
      </c>
      <c r="B345" s="2480"/>
      <c r="C345" s="2480"/>
      <c r="D345" s="2480"/>
      <c r="E345" s="2480"/>
      <c r="F345" s="2480"/>
      <c r="G345" s="2480"/>
      <c r="H345" s="2480"/>
    </row>
    <row r="346" spans="1:8" ht="15">
      <c r="A346" s="2481" t="s">
        <v>3199</v>
      </c>
      <c r="B346" s="2480"/>
      <c r="C346" s="2480"/>
      <c r="D346" s="2480"/>
      <c r="E346" s="2480"/>
      <c r="F346" s="2480"/>
      <c r="G346" s="2480"/>
      <c r="H346" s="2480"/>
    </row>
    <row r="347" spans="1:8" ht="15">
      <c r="A347" s="2481" t="s">
        <v>3200</v>
      </c>
      <c r="B347" s="2480"/>
      <c r="C347" s="2480"/>
      <c r="D347" s="2480"/>
      <c r="E347" s="2480"/>
      <c r="F347" s="2480"/>
      <c r="G347" s="2480"/>
      <c r="H347" s="2480"/>
    </row>
    <row r="348" spans="1:8" ht="15">
      <c r="A348" s="2481" t="s">
        <v>3201</v>
      </c>
      <c r="B348" s="2480"/>
      <c r="C348" s="2480"/>
      <c r="D348" s="2480"/>
      <c r="E348" s="2480"/>
      <c r="F348" s="2480"/>
      <c r="G348" s="2480"/>
      <c r="H348" s="2480"/>
    </row>
    <row r="349" spans="1:8" ht="15">
      <c r="A349" s="2481" t="s">
        <v>3202</v>
      </c>
      <c r="B349" s="2480"/>
      <c r="C349" s="2480"/>
      <c r="D349" s="2480"/>
      <c r="E349" s="2480"/>
      <c r="F349" s="2480"/>
      <c r="G349" s="2480"/>
      <c r="H349" s="2480"/>
    </row>
    <row r="350" spans="1:8" ht="15">
      <c r="A350" s="2481" t="s">
        <v>3203</v>
      </c>
      <c r="B350" s="2480"/>
      <c r="C350" s="2480"/>
      <c r="D350" s="2480"/>
      <c r="E350" s="2480"/>
      <c r="F350" s="2480"/>
      <c r="G350" s="2480"/>
      <c r="H350" s="2480"/>
    </row>
    <row r="351" spans="1:8" ht="15">
      <c r="A351" s="2481" t="s">
        <v>3204</v>
      </c>
      <c r="B351" s="2480"/>
      <c r="C351" s="2480"/>
      <c r="D351" s="2480"/>
      <c r="E351" s="2480"/>
      <c r="F351" s="2480"/>
      <c r="G351" s="2480"/>
      <c r="H351" s="2480"/>
    </row>
    <row r="352" spans="1:8" ht="15">
      <c r="A352" s="2481" t="s">
        <v>3205</v>
      </c>
      <c r="B352" s="2480"/>
      <c r="C352" s="2480"/>
      <c r="D352" s="2480"/>
      <c r="E352" s="2480"/>
      <c r="F352" s="2480"/>
      <c r="G352" s="2480"/>
      <c r="H352" s="2480"/>
    </row>
    <row r="353" spans="1:8" ht="15">
      <c r="A353" s="2481" t="s">
        <v>3206</v>
      </c>
      <c r="B353" s="2480"/>
      <c r="C353" s="2480"/>
      <c r="D353" s="2480"/>
      <c r="E353" s="2480"/>
      <c r="F353" s="2480"/>
      <c r="G353" s="2480"/>
      <c r="H353" s="2480"/>
    </row>
    <row r="354" spans="1:8" ht="15">
      <c r="A354" s="2481" t="s">
        <v>3207</v>
      </c>
      <c r="B354" s="2480"/>
      <c r="C354" s="2480"/>
      <c r="D354" s="2480"/>
      <c r="E354" s="2480"/>
      <c r="F354" s="2480"/>
      <c r="G354" s="2480"/>
      <c r="H354" s="2480"/>
    </row>
    <row r="355" spans="1:8" ht="15">
      <c r="A355" s="2481" t="s">
        <v>3208</v>
      </c>
      <c r="B355" s="2480"/>
      <c r="C355" s="2480"/>
      <c r="D355" s="2480"/>
      <c r="E355" s="2480"/>
      <c r="F355" s="2480"/>
      <c r="G355" s="2480"/>
      <c r="H355" s="2480"/>
    </row>
    <row r="356" spans="1:8">
      <c r="A356" s="2480"/>
      <c r="B356" s="2480"/>
      <c r="C356" s="2480"/>
      <c r="D356" s="2480"/>
      <c r="E356" s="2480"/>
      <c r="F356" s="2480"/>
      <c r="G356" s="2480"/>
      <c r="H356" s="2480"/>
    </row>
    <row r="357" spans="1:8" ht="15">
      <c r="A357" s="2481" t="s">
        <v>3166</v>
      </c>
      <c r="B357" s="2480"/>
      <c r="C357" s="2480"/>
      <c r="D357" s="2480"/>
      <c r="E357" s="2480"/>
      <c r="F357" s="2480"/>
      <c r="G357" s="2480"/>
      <c r="H357" s="2480"/>
    </row>
    <row r="358" spans="1:8" ht="15">
      <c r="A358" s="2481" t="s">
        <v>3170</v>
      </c>
      <c r="B358" s="2480"/>
      <c r="C358" s="2480"/>
      <c r="D358" s="2480"/>
      <c r="E358" s="2480"/>
      <c r="F358" s="2480"/>
      <c r="G358" s="2480"/>
      <c r="H358" s="2480"/>
    </row>
    <row r="359" spans="1:8" ht="15">
      <c r="A359" s="2481" t="s">
        <v>3171</v>
      </c>
      <c r="B359" s="2480"/>
      <c r="C359" s="2480"/>
      <c r="D359" s="2480"/>
      <c r="E359" s="2480"/>
      <c r="F359" s="2480"/>
      <c r="G359" s="2480"/>
      <c r="H359" s="2480"/>
    </row>
    <row r="360" spans="1:8" ht="15">
      <c r="A360" s="2481" t="s">
        <v>3172</v>
      </c>
      <c r="B360" s="2480"/>
      <c r="C360" s="2480"/>
      <c r="D360" s="2480"/>
      <c r="E360" s="2480"/>
      <c r="F360" s="2480"/>
      <c r="G360" s="2480"/>
      <c r="H360" s="2480"/>
    </row>
    <row r="361" spans="1:8" ht="15">
      <c r="A361" s="2481" t="s">
        <v>3173</v>
      </c>
      <c r="B361" s="2480"/>
      <c r="C361" s="2480"/>
      <c r="D361" s="2480"/>
      <c r="E361" s="2480"/>
      <c r="F361" s="2480"/>
      <c r="G361" s="2480"/>
      <c r="H361" s="2480"/>
    </row>
    <row r="362" spans="1:8">
      <c r="A362" s="2480"/>
      <c r="B362" s="2480"/>
      <c r="C362" s="2480"/>
      <c r="D362" s="2480"/>
      <c r="E362" s="2480"/>
      <c r="F362" s="2480"/>
      <c r="G362" s="2480"/>
      <c r="H362" s="2480"/>
    </row>
    <row r="363" spans="1:8" ht="15">
      <c r="A363" s="2481" t="s">
        <v>3166</v>
      </c>
      <c r="B363" s="2480"/>
      <c r="C363" s="2480"/>
      <c r="D363" s="2480"/>
      <c r="E363" s="2480"/>
      <c r="F363" s="2480"/>
      <c r="G363" s="2480"/>
      <c r="H363" s="2480"/>
    </row>
    <row r="364" spans="1:8" ht="15">
      <c r="A364" s="2481" t="s">
        <v>3167</v>
      </c>
      <c r="B364" s="2480"/>
      <c r="C364" s="2480"/>
      <c r="D364" s="2480"/>
      <c r="E364" s="2480"/>
      <c r="F364" s="2480"/>
      <c r="G364" s="2480"/>
      <c r="H364" s="2480"/>
    </row>
    <row r="365" spans="1:8" ht="15">
      <c r="A365" s="2481" t="s">
        <v>3168</v>
      </c>
      <c r="B365" s="2480"/>
      <c r="C365" s="2480"/>
      <c r="D365" s="2480"/>
      <c r="E365" s="2480"/>
      <c r="F365" s="2480"/>
      <c r="G365" s="2480"/>
      <c r="H365" s="2480"/>
    </row>
    <row r="366" spans="1:8" ht="15">
      <c r="A366" s="2481" t="s">
        <v>3169</v>
      </c>
      <c r="B366" s="2480"/>
      <c r="C366" s="2480"/>
      <c r="D366" s="2480"/>
      <c r="E366" s="2480"/>
      <c r="F366" s="2480"/>
      <c r="G366" s="2480"/>
      <c r="H366" s="2480"/>
    </row>
    <row r="367" spans="1:8">
      <c r="A367" s="2480"/>
      <c r="B367" s="2480"/>
      <c r="C367" s="2480"/>
      <c r="D367" s="2480"/>
      <c r="E367" s="2480"/>
      <c r="F367" s="2480"/>
      <c r="G367" s="2480"/>
      <c r="H367" s="2480"/>
    </row>
    <row r="368" spans="1:8" ht="15">
      <c r="A368" s="2481" t="s">
        <v>3160</v>
      </c>
      <c r="B368" s="2480"/>
      <c r="C368" s="2480"/>
      <c r="D368" s="2480"/>
      <c r="E368" s="2480"/>
      <c r="F368" s="2480"/>
      <c r="G368" s="2480"/>
      <c r="H368" s="2480"/>
    </row>
    <row r="369" spans="1:8" ht="15">
      <c r="A369" s="2481" t="s">
        <v>3161</v>
      </c>
      <c r="B369" s="2480"/>
      <c r="C369" s="2480"/>
      <c r="D369" s="2480"/>
      <c r="E369" s="2480"/>
      <c r="F369" s="2480"/>
      <c r="G369" s="2480"/>
      <c r="H369" s="2480"/>
    </row>
    <row r="370" spans="1:8" ht="15">
      <c r="A370" s="2481" t="s">
        <v>3162</v>
      </c>
      <c r="B370" s="2480"/>
      <c r="C370" s="2480"/>
      <c r="D370" s="2480"/>
      <c r="E370" s="2480"/>
      <c r="F370" s="2480"/>
      <c r="G370" s="2480"/>
      <c r="H370" s="2480"/>
    </row>
    <row r="371" spans="1:8" ht="15">
      <c r="A371" s="2481" t="s">
        <v>3163</v>
      </c>
      <c r="B371" s="2480"/>
      <c r="C371" s="2480"/>
      <c r="D371" s="2480"/>
      <c r="E371" s="2480"/>
      <c r="F371" s="2480"/>
      <c r="G371" s="2480"/>
      <c r="H371" s="2480"/>
    </row>
    <row r="372" spans="1:8" ht="15">
      <c r="A372" s="2481" t="s">
        <v>3164</v>
      </c>
      <c r="B372" s="2480"/>
      <c r="C372" s="2480"/>
      <c r="D372" s="2480"/>
      <c r="E372" s="2480"/>
      <c r="F372" s="2480"/>
      <c r="G372" s="2480"/>
      <c r="H372" s="2480"/>
    </row>
    <row r="373" spans="1:8" ht="15">
      <c r="A373" s="2481" t="s">
        <v>3165</v>
      </c>
      <c r="B373" s="2480"/>
      <c r="C373" s="2480"/>
      <c r="D373" s="2480"/>
      <c r="E373" s="2480"/>
      <c r="F373" s="2480"/>
      <c r="G373" s="2480"/>
      <c r="H373" s="2480"/>
    </row>
    <row r="374" spans="1:8">
      <c r="A374" s="2480"/>
      <c r="B374" s="2480"/>
      <c r="C374" s="2480"/>
      <c r="D374" s="2480"/>
      <c r="E374" s="2480"/>
      <c r="F374" s="2480"/>
      <c r="G374" s="2480"/>
      <c r="H374" s="2480"/>
    </row>
    <row r="375" spans="1:8" ht="15">
      <c r="A375" s="2481" t="s">
        <v>3155</v>
      </c>
      <c r="B375" s="2480"/>
      <c r="C375" s="2480"/>
      <c r="D375" s="2480"/>
      <c r="E375" s="2480"/>
      <c r="F375" s="2480"/>
      <c r="G375" s="2480"/>
      <c r="H375" s="2480"/>
    </row>
    <row r="376" spans="1:8" ht="15">
      <c r="A376" s="2481" t="s">
        <v>3156</v>
      </c>
      <c r="B376" s="2480"/>
      <c r="C376" s="2480"/>
      <c r="D376" s="2480"/>
      <c r="E376" s="2480"/>
      <c r="F376" s="2480"/>
      <c r="G376" s="2480"/>
      <c r="H376" s="2480"/>
    </row>
    <row r="377" spans="1:8" ht="15">
      <c r="A377" s="2481" t="s">
        <v>3157</v>
      </c>
      <c r="B377" s="2480"/>
      <c r="C377" s="2480"/>
      <c r="D377" s="2480"/>
      <c r="E377" s="2480"/>
      <c r="F377" s="2480"/>
      <c r="G377" s="2480"/>
      <c r="H377" s="2480"/>
    </row>
    <row r="378" spans="1:8" ht="15">
      <c r="A378" s="2481" t="s">
        <v>3158</v>
      </c>
      <c r="B378" s="2480"/>
      <c r="C378" s="2480"/>
      <c r="D378" s="2480"/>
      <c r="E378" s="2480"/>
      <c r="F378" s="2480"/>
      <c r="G378" s="2480"/>
      <c r="H378" s="2480"/>
    </row>
    <row r="379" spans="1:8" ht="15">
      <c r="A379" s="2481" t="s">
        <v>3159</v>
      </c>
      <c r="B379" s="2480"/>
      <c r="C379" s="2480"/>
      <c r="D379" s="2480"/>
      <c r="E379" s="2480"/>
      <c r="F379" s="2480"/>
      <c r="G379" s="2480"/>
      <c r="H379" s="2480"/>
    </row>
    <row r="380" spans="1:8">
      <c r="A380" s="2480"/>
      <c r="B380" s="2480"/>
      <c r="C380" s="2480"/>
      <c r="D380" s="2480"/>
      <c r="E380" s="2480"/>
      <c r="F380" s="2480"/>
      <c r="G380" s="2480"/>
      <c r="H380" s="2480"/>
    </row>
    <row r="381" spans="1:8" ht="15">
      <c r="A381" s="2481" t="s">
        <v>3153</v>
      </c>
      <c r="B381" s="2480"/>
      <c r="C381" s="2480"/>
      <c r="D381" s="2480"/>
      <c r="E381" s="2480"/>
      <c r="F381" s="2480"/>
      <c r="G381" s="2480"/>
      <c r="H381" s="2480"/>
    </row>
    <row r="382" spans="1:8" ht="15">
      <c r="A382" s="2481" t="s">
        <v>3154</v>
      </c>
      <c r="B382" s="2480"/>
      <c r="C382" s="2480"/>
      <c r="D382" s="2480"/>
      <c r="E382" s="2480"/>
      <c r="F382" s="2480"/>
      <c r="G382" s="2480"/>
      <c r="H382" s="2480"/>
    </row>
    <row r="384" spans="1:8">
      <c r="A384" s="2476" t="s">
        <v>3404</v>
      </c>
    </row>
  </sheetData>
  <mergeCells count="12">
    <mergeCell ref="A110:H110"/>
    <mergeCell ref="A117:H117"/>
    <mergeCell ref="A104:H104"/>
    <mergeCell ref="A105:H105"/>
    <mergeCell ref="A106:H106"/>
    <mergeCell ref="A107:H107"/>
    <mergeCell ref="A109:H109"/>
    <mergeCell ref="A125:H125"/>
    <mergeCell ref="A126:H126"/>
    <mergeCell ref="B118:C118"/>
    <mergeCell ref="D118:F118"/>
    <mergeCell ref="G118:H118"/>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B55"/>
  <sheetViews>
    <sheetView showGridLines="0" workbookViewId="0">
      <selection activeCell="F9" sqref="F9"/>
    </sheetView>
  </sheetViews>
  <sheetFormatPr defaultRowHeight="12.75" outlineLevelCol="1"/>
  <cols>
    <col min="1" max="1" width="2.7109375" customWidth="1"/>
    <col min="2" max="2" width="26.85546875" bestFit="1" customWidth="1"/>
    <col min="3" max="3" width="8.42578125" customWidth="1" outlineLevel="1"/>
    <col min="4" max="4" width="8" customWidth="1" outlineLevel="1"/>
    <col min="5" max="5" width="8.42578125" customWidth="1"/>
    <col min="7" max="7" width="2.7109375" customWidth="1"/>
    <col min="11" max="11" width="2.7109375" customWidth="1"/>
    <col min="12" max="12" width="12.42578125" bestFit="1" customWidth="1"/>
    <col min="13" max="13" width="12.42578125" hidden="1" customWidth="1" outlineLevel="1"/>
    <col min="14" max="14" width="2.7109375" customWidth="1" collapsed="1"/>
    <col min="15" max="15" width="54.28515625" hidden="1" customWidth="1" outlineLevel="1"/>
    <col min="16" max="16" width="29" customWidth="1" collapsed="1"/>
    <col min="17" max="17" width="19.5703125" bestFit="1" customWidth="1"/>
    <col min="21" max="21" width="2.7109375" customWidth="1"/>
    <col min="25" max="25" width="2.7109375" customWidth="1"/>
    <col min="29" max="29" width="2.7109375" customWidth="1"/>
  </cols>
  <sheetData>
    <row r="1" spans="1:28" ht="13.5" thickBot="1">
      <c r="A1" s="1585" t="s">
        <v>781</v>
      </c>
      <c r="B1" s="1585" t="s">
        <v>781</v>
      </c>
      <c r="C1" s="643"/>
      <c r="D1" s="643"/>
      <c r="E1" s="643"/>
      <c r="F1" s="2192" t="s">
        <v>3106</v>
      </c>
      <c r="G1" s="256"/>
      <c r="H1" s="256"/>
      <c r="I1" s="256"/>
      <c r="J1" s="256"/>
      <c r="K1" s="256"/>
      <c r="L1" s="256"/>
      <c r="M1" s="256"/>
      <c r="N1" s="256"/>
      <c r="O1" s="1523"/>
      <c r="P1" s="256"/>
      <c r="Q1" s="1522" t="str">
        <f>B1&amp;" - Old vs. New"</f>
        <v>TIF - Old vs. New</v>
      </c>
      <c r="R1" s="643"/>
      <c r="S1" s="643"/>
      <c r="T1" s="643"/>
      <c r="U1" s="256"/>
      <c r="V1" s="256"/>
      <c r="W1" s="256"/>
      <c r="X1" s="256"/>
      <c r="Y1" s="256"/>
      <c r="Z1" s="256"/>
      <c r="AA1" s="256"/>
      <c r="AB1" s="256"/>
    </row>
    <row r="2" spans="1:28">
      <c r="A2" s="256"/>
      <c r="B2" s="1524"/>
      <c r="C2" s="1525" t="s">
        <v>352</v>
      </c>
      <c r="D2" s="1525" t="s">
        <v>353</v>
      </c>
      <c r="E2" s="1525" t="s">
        <v>354</v>
      </c>
      <c r="F2" s="1526" t="s">
        <v>355</v>
      </c>
      <c r="G2" s="256"/>
      <c r="H2" s="1527" t="s">
        <v>356</v>
      </c>
      <c r="I2" s="1528"/>
      <c r="J2" s="1529"/>
      <c r="K2" s="256"/>
      <c r="L2" s="2120" t="s">
        <v>357</v>
      </c>
      <c r="M2" s="1987"/>
      <c r="N2" s="256"/>
      <c r="O2" s="1530" t="s">
        <v>358</v>
      </c>
      <c r="P2" s="256"/>
      <c r="Q2" s="1531"/>
      <c r="R2" s="1532" t="s">
        <v>359</v>
      </c>
      <c r="S2" s="1532" t="s">
        <v>359</v>
      </c>
      <c r="T2" s="1532" t="s">
        <v>359</v>
      </c>
      <c r="U2" s="256"/>
      <c r="V2" s="1532" t="s">
        <v>360</v>
      </c>
      <c r="W2" s="1532" t="s">
        <v>360</v>
      </c>
      <c r="X2" s="1532" t="s">
        <v>360</v>
      </c>
      <c r="Y2" s="256"/>
      <c r="Z2" s="1532" t="s">
        <v>1457</v>
      </c>
      <c r="AA2" s="1532" t="s">
        <v>1457</v>
      </c>
      <c r="AB2" s="1532" t="s">
        <v>1457</v>
      </c>
    </row>
    <row r="3" spans="1:28">
      <c r="A3" s="256"/>
      <c r="B3" s="1533"/>
      <c r="C3" s="1534" t="s">
        <v>3104</v>
      </c>
      <c r="D3" s="1534" t="s">
        <v>3098</v>
      </c>
      <c r="E3" s="1534" t="s">
        <v>3105</v>
      </c>
      <c r="F3" s="1535" t="str">
        <f>E3</f>
        <v>3Q17E</v>
      </c>
      <c r="G3" s="256"/>
      <c r="H3" s="1533" t="str">
        <f>D3</f>
        <v>3Q16</v>
      </c>
      <c r="I3" s="1534" t="str">
        <f>E2&amp;" "&amp;E3</f>
        <v>MS 3Q17E</v>
      </c>
      <c r="J3" s="1535" t="s">
        <v>355</v>
      </c>
      <c r="K3" s="256"/>
      <c r="L3" s="1536" t="s">
        <v>777</v>
      </c>
      <c r="M3" s="1535" t="s">
        <v>2436</v>
      </c>
      <c r="N3" s="256"/>
      <c r="O3" s="1536" t="s">
        <v>778</v>
      </c>
      <c r="P3" s="256"/>
      <c r="Q3" s="1532"/>
      <c r="R3" s="1532" t="s">
        <v>167</v>
      </c>
      <c r="S3" s="1532" t="s">
        <v>546</v>
      </c>
      <c r="T3" s="1532" t="s">
        <v>1126</v>
      </c>
      <c r="U3" s="256"/>
      <c r="V3" s="1532" t="str">
        <f>R3</f>
        <v>3Q12E</v>
      </c>
      <c r="W3" s="1532" t="str">
        <f>S3</f>
        <v>2012E</v>
      </c>
      <c r="X3" s="1532" t="str">
        <f>T3</f>
        <v>2013E</v>
      </c>
      <c r="Y3" s="256"/>
      <c r="Z3" s="1532" t="str">
        <f>V3</f>
        <v>3Q12E</v>
      </c>
      <c r="AA3" s="1532" t="str">
        <f>W3</f>
        <v>2012E</v>
      </c>
      <c r="AB3" s="1532" t="str">
        <f>X3</f>
        <v>2013E</v>
      </c>
    </row>
    <row r="4" spans="1:28" ht="22.5">
      <c r="A4" s="256"/>
      <c r="B4" s="1537" t="s">
        <v>411</v>
      </c>
      <c r="C4" s="1538">
        <f>sumry!CP9</f>
        <v>959.7</v>
      </c>
      <c r="D4" s="1538">
        <f>sumry!CK9</f>
        <v>931.6</v>
      </c>
      <c r="E4" s="1623">
        <v>959.7</v>
      </c>
      <c r="F4" s="1624" t="str">
        <f>_xll.ThomsonONEAddinShim.SpreadsheetFormulas.TF($A$1,"TF.ES.Sales.Mean(period=#1,scale=6)",,F1)</f>
        <v xml:space="preserve">$957.0 </v>
      </c>
      <c r="G4" s="256"/>
      <c r="H4" s="1625">
        <f>IF(ISERROR(C4-D4)=TRUE,"NA",C4-D4)</f>
        <v>28.100000000000023</v>
      </c>
      <c r="I4" s="1626">
        <f>IF(ISERROR(C4-E4)=TRUE,"NA",C4-E4)</f>
        <v>0</v>
      </c>
      <c r="J4" s="1627">
        <f>IF(ISERROR(C4-F4)=TRUE,"NA",C4-F4)</f>
        <v>2.7000000000000455</v>
      </c>
      <c r="K4" s="256"/>
      <c r="L4" s="2121">
        <f>((C$4*E$24)-(C$4*E$25)-E$13)*(1-E$28)/E$21-E$20</f>
        <v>0</v>
      </c>
      <c r="M4" s="1988">
        <f>((C$4*F$24)-(C$4*F$25)-F$13)*(1-F$28)/F$21-F$20</f>
        <v>2.262501351205537E-3</v>
      </c>
      <c r="N4" s="256"/>
      <c r="O4" s="1957" t="s">
        <v>2432</v>
      </c>
      <c r="P4" s="256"/>
      <c r="Q4" s="1542" t="s">
        <v>411</v>
      </c>
      <c r="R4" s="1543">
        <f>sumry!BV9</f>
        <v>925.88400000000001</v>
      </c>
      <c r="S4" s="1543">
        <f>sumry!DP9</f>
        <v>3794.2489999999998</v>
      </c>
      <c r="T4" s="1543">
        <f>sumry!DQ9</f>
        <v>4031.13</v>
      </c>
      <c r="U4" s="256"/>
      <c r="V4" s="1544">
        <v>831.03841207082735</v>
      </c>
      <c r="W4" s="1544">
        <v>3770.1943504088204</v>
      </c>
      <c r="X4" s="1544">
        <v>4150.0111699999998</v>
      </c>
      <c r="Y4" s="256"/>
      <c r="Z4" s="1545">
        <f>IF(ISERROR(R4-V4)=TRUE,"NA",R4-V4)</f>
        <v>94.845587929172666</v>
      </c>
      <c r="AA4" s="1543">
        <f>IF(ISERROR(S4-W4)=TRUE,"NA",S4-W4)</f>
        <v>24.054649591179441</v>
      </c>
      <c r="AB4" s="1543">
        <f>IF(ISERROR(T4-X4)=TRUE,"NA",T4-X4)</f>
        <v>-118.88116999999966</v>
      </c>
    </row>
    <row r="5" spans="1:28">
      <c r="A5" s="256"/>
      <c r="B5" s="1718" t="s">
        <v>46</v>
      </c>
      <c r="C5" s="1719">
        <f>sumry!CP44</f>
        <v>-0.01</v>
      </c>
      <c r="D5" s="1719">
        <f>sumry!CK44</f>
        <v>-0.09</v>
      </c>
      <c r="E5" s="1720">
        <v>-0.01</v>
      </c>
      <c r="F5" s="2193"/>
      <c r="G5" s="982"/>
      <c r="H5" s="1721">
        <f>IF(ISERROR(C5-D5)=TRUE,"NA",C5-D5)</f>
        <v>0.08</v>
      </c>
      <c r="I5" s="1722">
        <f>IF(ISERROR(C5-E5)=TRUE,"NA",C5-E5)</f>
        <v>0</v>
      </c>
      <c r="J5" s="1723">
        <f>IF(ISERROR(C5-F5)=TRUE,"NA",C5-F5)</f>
        <v>-0.01</v>
      </c>
      <c r="K5" s="256"/>
      <c r="L5" s="2122"/>
      <c r="M5" s="1989"/>
      <c r="N5" s="256"/>
      <c r="O5" s="1958"/>
      <c r="P5" s="256"/>
      <c r="Q5" s="1542"/>
      <c r="R5" s="1553"/>
      <c r="S5" s="1553"/>
      <c r="T5" s="1553"/>
      <c r="U5" s="256"/>
      <c r="V5" s="1554"/>
      <c r="W5" s="1554"/>
      <c r="X5" s="1554"/>
      <c r="Y5" s="256"/>
      <c r="Z5" s="1553"/>
      <c r="AA5" s="1553"/>
      <c r="AB5" s="1553"/>
    </row>
    <row r="6" spans="1:28">
      <c r="A6" s="256"/>
      <c r="B6" s="1537" t="s">
        <v>469</v>
      </c>
      <c r="C6" s="1563">
        <f>sumry!CP11</f>
        <v>361.5</v>
      </c>
      <c r="D6" s="1563">
        <f>sumry!CK11</f>
        <v>354.5</v>
      </c>
      <c r="E6" s="1574">
        <v>361.5</v>
      </c>
      <c r="F6" s="1575">
        <f>F4-F8</f>
        <v>369</v>
      </c>
      <c r="G6" s="256"/>
      <c r="H6" s="1628">
        <f>IF(ISERROR(C6-D6)=TRUE,"NA",C6-D6)</f>
        <v>7</v>
      </c>
      <c r="I6" s="1629">
        <f>IF(ISERROR(C6-E6)=TRUE,"NA",C6-E6)</f>
        <v>0</v>
      </c>
      <c r="J6" s="1630">
        <f>IF(ISERROR(C6-F6)=TRUE,"NA",C6-F6)</f>
        <v>-7.5</v>
      </c>
      <c r="K6" s="256"/>
      <c r="L6" s="2122"/>
      <c r="M6" s="1989"/>
      <c r="N6" s="256"/>
      <c r="O6" s="1959"/>
      <c r="P6" s="256"/>
      <c r="Q6" s="1542" t="s">
        <v>469</v>
      </c>
      <c r="R6" s="1561">
        <f>sumry!BV11</f>
        <v>393.755</v>
      </c>
      <c r="S6" s="1561">
        <f>sumry!DP11</f>
        <v>1630.9649999999999</v>
      </c>
      <c r="T6" s="1561">
        <f>sumry!DQ11</f>
        <v>1690.6869999999999</v>
      </c>
      <c r="U6" s="256"/>
      <c r="V6" s="1562">
        <v>359.83963242666817</v>
      </c>
      <c r="W6" s="1562">
        <v>1573.816762611204</v>
      </c>
      <c r="X6" s="1562">
        <v>1703.9945864019999</v>
      </c>
      <c r="Y6" s="256"/>
      <c r="Z6" s="1561">
        <f>IF(ISERROR(R6-V6)=TRUE,"NA",R6-V6)</f>
        <v>33.915367573331821</v>
      </c>
      <c r="AA6" s="1561">
        <f>IF(ISERROR(S6-W6)=TRUE,"NA",S6-W6)</f>
        <v>57.148237388795906</v>
      </c>
      <c r="AB6" s="1561">
        <f>IF(ISERROR(T6-X6)=TRUE,"NA",T6-X6)</f>
        <v>-13.30758640199997</v>
      </c>
    </row>
    <row r="7" spans="1:28">
      <c r="A7" s="256"/>
      <c r="B7" s="1537"/>
      <c r="C7" s="1619"/>
      <c r="D7" s="1619"/>
      <c r="E7" s="1620"/>
      <c r="F7" s="1621"/>
      <c r="G7" s="256"/>
      <c r="H7" s="1628"/>
      <c r="I7" s="1629"/>
      <c r="J7" s="1630"/>
      <c r="K7" s="256"/>
      <c r="L7" s="2122"/>
      <c r="M7" s="1989"/>
      <c r="N7" s="256"/>
      <c r="O7" s="1958"/>
      <c r="P7" s="256"/>
      <c r="Q7" s="1542"/>
      <c r="R7" s="643"/>
      <c r="S7" s="643"/>
      <c r="T7" s="643"/>
      <c r="U7" s="256"/>
      <c r="V7" s="996"/>
      <c r="W7" s="996"/>
      <c r="X7" s="996"/>
      <c r="Y7" s="256"/>
      <c r="Z7" s="643"/>
      <c r="AA7" s="643"/>
      <c r="AB7" s="643"/>
    </row>
    <row r="8" spans="1:28">
      <c r="A8" s="256"/>
      <c r="B8" s="1537" t="s">
        <v>470</v>
      </c>
      <c r="C8" s="1563">
        <f>sumry!CP13</f>
        <v>598.20000000000005</v>
      </c>
      <c r="D8" s="1563">
        <f>sumry!CK13</f>
        <v>577.1</v>
      </c>
      <c r="E8" s="1574">
        <v>598.20000000000005</v>
      </c>
      <c r="F8" s="2194">
        <f>_xll.ThomsonONEAddinShim.SpreadsheetFormulas.TF($A$1,"TF.ES.GPM.Mean(period=#1)*TF.ES.Sales.Mean(period=#1,scale=6)",,F$1)</f>
        <v>588</v>
      </c>
      <c r="G8" s="256"/>
      <c r="H8" s="1628">
        <f>IF(ISERROR(C8-D8)=TRUE,"NA",C8-D8)</f>
        <v>21.100000000000023</v>
      </c>
      <c r="I8" s="1629">
        <f>IF(ISERROR(C8-E8)=TRUE,"NA",C8-E8)</f>
        <v>0</v>
      </c>
      <c r="J8" s="1630">
        <f>IF(ISERROR(C8-F8)=TRUE,"NA",C8-F8)</f>
        <v>10.200000000000045</v>
      </c>
      <c r="K8" s="256"/>
      <c r="L8" s="2121">
        <f>(C$8-(C$4*E$25)-E$13)*(1-E$28)/E$21-(E$20+L$4)</f>
        <v>0</v>
      </c>
      <c r="M8" s="1988">
        <f>(C$8-(C$4*F$25)-F$13)*(1-F$28)/F$21-(F$20+M$4)</f>
        <v>4.4766965733434083E-2</v>
      </c>
      <c r="N8" s="256"/>
      <c r="O8" s="1959"/>
      <c r="P8" s="256"/>
      <c r="Q8" s="1542" t="s">
        <v>470</v>
      </c>
      <c r="R8" s="1561">
        <f>sumry!BV13</f>
        <v>532.12900000000002</v>
      </c>
      <c r="S8" s="1561">
        <f>sumry!DP13</f>
        <v>2163.2839999999997</v>
      </c>
      <c r="T8" s="1561">
        <f>sumry!DQ13</f>
        <v>2340.4430000000002</v>
      </c>
      <c r="U8" s="256"/>
      <c r="V8" s="1562">
        <v>471.19877964415917</v>
      </c>
      <c r="W8" s="1562">
        <v>2196.3775877976163</v>
      </c>
      <c r="X8" s="1562">
        <v>2446.0165835979997</v>
      </c>
      <c r="Y8" s="256"/>
      <c r="Z8" s="1561">
        <f t="shared" ref="Z8:AB9" si="0">IF(ISERROR(R8-V8)=TRUE,"NA",R8-V8)</f>
        <v>60.930220355840845</v>
      </c>
      <c r="AA8" s="1561">
        <f t="shared" si="0"/>
        <v>-33.093587797616692</v>
      </c>
      <c r="AB8" s="1561">
        <f t="shared" si="0"/>
        <v>-105.57358359799946</v>
      </c>
    </row>
    <row r="9" spans="1:28">
      <c r="A9" s="256"/>
      <c r="B9" s="1537" t="s">
        <v>471</v>
      </c>
      <c r="C9" s="1563">
        <f>sumry!CP14</f>
        <v>416.9</v>
      </c>
      <c r="D9" s="1563">
        <f>sumry!CK14</f>
        <v>402.2</v>
      </c>
      <c r="E9" s="1574">
        <v>416.9</v>
      </c>
      <c r="F9" s="1575">
        <f>F8-F11</f>
        <v>435</v>
      </c>
      <c r="G9" s="256"/>
      <c r="H9" s="1628">
        <f>IF(ISERROR(C9-D9)=TRUE,"NA",C9-D9)</f>
        <v>14.699999999999989</v>
      </c>
      <c r="I9" s="1629">
        <f>IF(ISERROR(C9-E9)=TRUE,"NA",C9-E9)</f>
        <v>0</v>
      </c>
      <c r="J9" s="1630">
        <f>IF(ISERROR(C9-F9)=TRUE,"NA",C9-F9)</f>
        <v>-18.100000000000023</v>
      </c>
      <c r="K9" s="256"/>
      <c r="L9" s="2121">
        <f>(C$8-C$9-E$13)*(1-E$28)/E$21-(E$20+L$4+L$8)</f>
        <v>0</v>
      </c>
      <c r="M9" s="1988">
        <f>(C$8-C$9-F$13)*(1-F$28)/F$21-(F$20+M$4+M$8)</f>
        <v>0.10130156739811924</v>
      </c>
      <c r="N9" s="256"/>
      <c r="O9" s="1956"/>
      <c r="P9" s="256"/>
      <c r="Q9" s="1542" t="s">
        <v>471</v>
      </c>
      <c r="R9" s="1561">
        <f>sumry!BV14</f>
        <v>355.24299999999999</v>
      </c>
      <c r="S9" s="1561">
        <f>sumry!DP14</f>
        <v>1466.067</v>
      </c>
      <c r="T9" s="1561">
        <f>sumry!DQ14</f>
        <v>1546.5029999999999</v>
      </c>
      <c r="U9" s="256"/>
      <c r="V9" s="1562">
        <v>334.0774416524726</v>
      </c>
      <c r="W9" s="1562">
        <v>1452.4929648172242</v>
      </c>
      <c r="X9" s="1562">
        <v>1566.629216675</v>
      </c>
      <c r="Y9" s="256"/>
      <c r="Z9" s="1561">
        <f t="shared" si="0"/>
        <v>21.165558347527394</v>
      </c>
      <c r="AA9" s="1561">
        <f t="shared" si="0"/>
        <v>13.574035182775788</v>
      </c>
      <c r="AB9" s="1561">
        <f t="shared" si="0"/>
        <v>-20.126216675000023</v>
      </c>
    </row>
    <row r="10" spans="1:28">
      <c r="A10" s="256"/>
      <c r="B10" s="1537"/>
      <c r="C10" s="1563"/>
      <c r="D10" s="1563"/>
      <c r="E10" s="1574"/>
      <c r="F10" s="1575"/>
      <c r="G10" s="256"/>
      <c r="H10" s="1628"/>
      <c r="I10" s="1629"/>
      <c r="J10" s="1630"/>
      <c r="K10" s="256"/>
      <c r="L10" s="2123" t="s">
        <v>779</v>
      </c>
      <c r="M10" s="1990" t="s">
        <v>779</v>
      </c>
      <c r="N10" s="256"/>
      <c r="O10" s="1960"/>
      <c r="P10" s="256"/>
      <c r="Q10" s="1542"/>
      <c r="R10" s="1561"/>
      <c r="S10" s="1561"/>
      <c r="T10" s="1561"/>
      <c r="U10" s="256"/>
      <c r="V10" s="1562"/>
      <c r="W10" s="1562"/>
      <c r="X10" s="1562"/>
      <c r="Y10" s="256"/>
      <c r="Z10" s="1561"/>
      <c r="AA10" s="1561"/>
      <c r="AB10" s="1561"/>
    </row>
    <row r="11" spans="1:28">
      <c r="A11" s="256"/>
      <c r="B11" s="1537" t="s">
        <v>472</v>
      </c>
      <c r="C11" s="1563">
        <f>sumry!CP16</f>
        <v>181.30000000000007</v>
      </c>
      <c r="D11" s="1563">
        <f>sumry!CK16</f>
        <v>174.90000000000003</v>
      </c>
      <c r="E11" s="1574">
        <v>181.30000000000007</v>
      </c>
      <c r="F11" s="2195">
        <f>_xll.ThomsonONEAddinShim.SpreadsheetFormulas.TF($A$1,"TF.ES.EBIT.Mean(period=#1,scale=6)",,F$1)</f>
        <v>153</v>
      </c>
      <c r="G11" s="256"/>
      <c r="H11" s="1628">
        <f>IF(ISERROR(C11-D11)=TRUE,"NA",C11-D11)</f>
        <v>6.4000000000000341</v>
      </c>
      <c r="I11" s="1629">
        <f>IF(ISERROR(C11-E11)=TRUE,"NA",C11-E11)</f>
        <v>0</v>
      </c>
      <c r="J11" s="1630">
        <f>IF(ISERROR(C11-F11)=TRUE,"NA",C11-F11)</f>
        <v>28.300000000000068</v>
      </c>
      <c r="K11" s="256"/>
      <c r="L11" s="2121">
        <f>(C$11-E$13)*(1-E$28)/E$21-(E$20)</f>
        <v>0</v>
      </c>
      <c r="M11" s="1988">
        <f>(C$11-F$13)*(1-F$28)/F$21-(F$20)</f>
        <v>0.14833103448275886</v>
      </c>
      <c r="N11" s="256"/>
      <c r="O11" s="1956"/>
      <c r="P11" s="256"/>
      <c r="Q11" s="1542" t="s">
        <v>472</v>
      </c>
      <c r="R11" s="1561">
        <f>sumry!BV16</f>
        <v>176.88600000000002</v>
      </c>
      <c r="S11" s="1561">
        <f>sumry!DP16</f>
        <v>697.21699999999964</v>
      </c>
      <c r="T11" s="1561">
        <f>sumry!DQ16</f>
        <v>793.94000000000028</v>
      </c>
      <c r="U11" s="256"/>
      <c r="V11" s="1562">
        <v>137.12133799168657</v>
      </c>
      <c r="W11" s="1562">
        <v>743.88462298039212</v>
      </c>
      <c r="X11" s="1562">
        <v>879.38736692299972</v>
      </c>
      <c r="Y11" s="256"/>
      <c r="Z11" s="1561">
        <f>IF(ISERROR(R11-V11)=TRUE,"NA",R11-V11)</f>
        <v>39.764662008313451</v>
      </c>
      <c r="AA11" s="1561">
        <f>IF(ISERROR(S11-W11)=TRUE,"NA",S11-W11)</f>
        <v>-46.66762298039248</v>
      </c>
      <c r="AB11" s="1561">
        <f>IF(ISERROR(T11-X11)=TRUE,"NA",T11-X11)</f>
        <v>-85.447366922999436</v>
      </c>
    </row>
    <row r="12" spans="1:28">
      <c r="A12" s="256"/>
      <c r="B12" s="1537"/>
      <c r="C12" s="1563"/>
      <c r="D12" s="1563"/>
      <c r="E12" s="1574"/>
      <c r="F12" s="1622"/>
      <c r="G12" s="256"/>
      <c r="H12" s="1628"/>
      <c r="I12" s="1629"/>
      <c r="J12" s="1630"/>
      <c r="K12" s="256"/>
      <c r="L12" s="1552"/>
      <c r="M12" s="1991"/>
      <c r="N12" s="256"/>
      <c r="O12" s="1961"/>
      <c r="P12" s="256"/>
      <c r="Q12" s="1542"/>
      <c r="R12" s="1561"/>
      <c r="S12" s="1561"/>
      <c r="T12" s="1561"/>
      <c r="U12" s="256"/>
      <c r="V12" s="1562"/>
      <c r="W12" s="1562"/>
      <c r="X12" s="1562"/>
      <c r="Y12" s="256"/>
      <c r="Z12" s="1561"/>
      <c r="AA12" s="1561"/>
      <c r="AB12" s="1561"/>
    </row>
    <row r="13" spans="1:28">
      <c r="A13" s="256"/>
      <c r="B13" s="1537" t="s">
        <v>780</v>
      </c>
      <c r="C13" s="1563">
        <f>sumry!CP18</f>
        <v>8.8000000000000007</v>
      </c>
      <c r="D13" s="1563">
        <f>sumry!CK18</f>
        <v>13.4</v>
      </c>
      <c r="E13" s="1574">
        <v>8.8000000000000007</v>
      </c>
      <c r="F13" s="1575">
        <f>F11-F14</f>
        <v>8</v>
      </c>
      <c r="G13" s="256"/>
      <c r="H13" s="1628">
        <f>IF(ISERROR(C13-D13)=TRUE,"NA",C13-D13)</f>
        <v>-4.5999999999999996</v>
      </c>
      <c r="I13" s="1629">
        <f>IF(ISERROR(C13-E13)=TRUE,"NA",C13-E13)</f>
        <v>0</v>
      </c>
      <c r="J13" s="1630">
        <f>IF(ISERROR(C13-F13)=TRUE,"NA",C13-F13)</f>
        <v>0.80000000000000071</v>
      </c>
      <c r="K13" s="256"/>
      <c r="L13" s="2121">
        <f>(C$11-C$13)*(1-E$28)/E$21-(E$20+L11)</f>
        <v>0</v>
      </c>
      <c r="M13" s="1988">
        <f>(C$11-C$13)*(1-F$28)/F$21-(F$20+M11)</f>
        <v>-4.1931034482758367E-3</v>
      </c>
      <c r="N13" s="256"/>
      <c r="O13" s="1962" t="s">
        <v>1179</v>
      </c>
      <c r="P13" s="256"/>
      <c r="Q13" s="1542" t="s">
        <v>956</v>
      </c>
      <c r="R13" s="1561">
        <f>sumry!BV18</f>
        <v>14.694000000000001</v>
      </c>
      <c r="S13" s="1561">
        <f>sumry!DP18</f>
        <v>53.641000000000005</v>
      </c>
      <c r="T13" s="1561">
        <f>sumry!DQ18</f>
        <v>56.952000000000005</v>
      </c>
      <c r="U13" s="256"/>
      <c r="V13" s="1562">
        <v>14.5</v>
      </c>
      <c r="W13" s="1562">
        <v>55.054000000000002</v>
      </c>
      <c r="X13" s="1562">
        <v>53.043429199999999</v>
      </c>
      <c r="Y13" s="256"/>
      <c r="Z13" s="1561">
        <f t="shared" ref="Z13:AB14" si="1">IF(ISERROR(R13-V13)=TRUE,"NA",R13-V13)</f>
        <v>0.19400000000000084</v>
      </c>
      <c r="AA13" s="1561">
        <f t="shared" si="1"/>
        <v>-1.4129999999999967</v>
      </c>
      <c r="AB13" s="1561">
        <f t="shared" si="1"/>
        <v>3.9085708000000068</v>
      </c>
    </row>
    <row r="14" spans="1:28">
      <c r="A14" s="256"/>
      <c r="B14" s="1537" t="s">
        <v>473</v>
      </c>
      <c r="C14" s="1563">
        <f>sumry!CP19</f>
        <v>172.50000000000006</v>
      </c>
      <c r="D14" s="1563">
        <f>sumry!CK19</f>
        <v>161.50000000000003</v>
      </c>
      <c r="E14" s="1574">
        <v>172.50000000000006</v>
      </c>
      <c r="F14" s="2195">
        <f>_xll.ThomsonONEAddinShim.SpreadsheetFormulas.TF($A$1,"TF.ES.PBT.Mean(period=#1,scale=6)",,F$1)</f>
        <v>145</v>
      </c>
      <c r="G14" s="256"/>
      <c r="H14" s="1628">
        <f>IF(ISERROR(C14-D14)=TRUE,"NA",C14-D14)</f>
        <v>11.000000000000028</v>
      </c>
      <c r="I14" s="1629">
        <f>IF(ISERROR(C14-E14)=TRUE,"NA",C14-E14)</f>
        <v>0</v>
      </c>
      <c r="J14" s="1630">
        <f>IF(ISERROR(C14-F14)=TRUE,"NA",C14-F14)</f>
        <v>27.500000000000057</v>
      </c>
      <c r="K14" s="256"/>
      <c r="L14" s="1552"/>
      <c r="M14" s="1991"/>
      <c r="N14" s="256"/>
      <c r="O14" s="1961"/>
      <c r="P14" s="256"/>
      <c r="Q14" s="1542" t="s">
        <v>473</v>
      </c>
      <c r="R14" s="1561">
        <f>sumry!BV19</f>
        <v>162.19200000000004</v>
      </c>
      <c r="S14" s="1561">
        <f>sumry!DP19</f>
        <v>643.57599999999968</v>
      </c>
      <c r="T14" s="1561">
        <f>sumry!DQ19</f>
        <v>736.98800000000028</v>
      </c>
      <c r="U14" s="256"/>
      <c r="V14" s="1562">
        <v>122.62133799168657</v>
      </c>
      <c r="W14" s="1562">
        <v>688.83062298039215</v>
      </c>
      <c r="X14" s="1562">
        <v>826.34393772299973</v>
      </c>
      <c r="Y14" s="256"/>
      <c r="Z14" s="1561">
        <f t="shared" si="1"/>
        <v>39.570662008313462</v>
      </c>
      <c r="AA14" s="1561">
        <f t="shared" si="1"/>
        <v>-45.254622980392469</v>
      </c>
      <c r="AB14" s="1561">
        <f t="shared" si="1"/>
        <v>-89.355937722999442</v>
      </c>
    </row>
    <row r="15" spans="1:28">
      <c r="A15" s="256"/>
      <c r="B15" s="1537"/>
      <c r="C15" s="1563"/>
      <c r="D15" s="1563"/>
      <c r="E15" s="1574"/>
      <c r="F15" s="1575"/>
      <c r="G15" s="256"/>
      <c r="H15" s="1628"/>
      <c r="I15" s="1629"/>
      <c r="J15" s="1630"/>
      <c r="K15" s="256"/>
      <c r="L15" s="1552"/>
      <c r="M15" s="1991"/>
      <c r="N15" s="256"/>
      <c r="O15" s="1958"/>
      <c r="P15" s="256"/>
      <c r="Q15" s="1542"/>
      <c r="R15" s="1564"/>
      <c r="S15" s="1564"/>
      <c r="T15" s="1564"/>
      <c r="U15" s="256"/>
      <c r="V15" s="1565"/>
      <c r="W15" s="1565"/>
      <c r="X15" s="1565"/>
      <c r="Y15" s="256"/>
      <c r="Z15" s="1564"/>
      <c r="AA15" s="1564"/>
      <c r="AB15" s="1564"/>
    </row>
    <row r="16" spans="1:28">
      <c r="A16" s="256"/>
      <c r="B16" s="1537" t="s">
        <v>474</v>
      </c>
      <c r="C16" s="1563">
        <f>sumry!CP21</f>
        <v>57.5</v>
      </c>
      <c r="D16" s="1563">
        <f>sumry!CK21</f>
        <v>55.8</v>
      </c>
      <c r="E16" s="1574">
        <v>57.5</v>
      </c>
      <c r="F16" s="1575">
        <f>F14-F18</f>
        <v>50</v>
      </c>
      <c r="G16" s="256"/>
      <c r="H16" s="1628">
        <f>IF(ISERROR(C16-D16)=TRUE,"NA",C16-D16)</f>
        <v>1.7000000000000028</v>
      </c>
      <c r="I16" s="1629">
        <f>IF(ISERROR(C16-E16)=TRUE,"NA",C16-E16)</f>
        <v>0</v>
      </c>
      <c r="J16" s="1630">
        <f>IF(ISERROR(C16-F16)=TRUE,"NA",C16-F16)</f>
        <v>7.5</v>
      </c>
      <c r="K16" s="256"/>
      <c r="L16" s="2121">
        <f>(C$11-C$13-C16)/E$21-(E$20+L$11+L$13)</f>
        <v>0</v>
      </c>
      <c r="M16" s="1988">
        <f>(C$11-C$13-C16)/F$21-(F$20+M$11+M$13)</f>
        <v>1.5862068965517451E-2</v>
      </c>
      <c r="N16" s="256"/>
      <c r="O16" s="1956" t="s">
        <v>1180</v>
      </c>
      <c r="P16" s="256"/>
      <c r="Q16" s="1542" t="s">
        <v>474</v>
      </c>
      <c r="R16" s="1561">
        <f>sumry!BV21</f>
        <v>55.411000000000001</v>
      </c>
      <c r="S16" s="1561">
        <f>sumry!DP21</f>
        <v>227.41900000000001</v>
      </c>
      <c r="T16" s="1561">
        <f>sumry!DQ21</f>
        <v>255.96600000000001</v>
      </c>
      <c r="U16" s="256"/>
      <c r="V16" s="1562">
        <v>42.304361607131867</v>
      </c>
      <c r="W16" s="1562">
        <v>237.61486992823518</v>
      </c>
      <c r="X16" s="1562">
        <v>285.0506361469146</v>
      </c>
      <c r="Y16" s="256"/>
      <c r="Z16" s="1561">
        <f>IF(ISERROR(R16-V16)=TRUE,"NA",R16-V16)</f>
        <v>13.106638392868135</v>
      </c>
      <c r="AA16" s="1561">
        <f>IF(ISERROR(S16-W16)=TRUE,"NA",S16-W16)</f>
        <v>-10.195869928235169</v>
      </c>
      <c r="AB16" s="1561">
        <f>IF(ISERROR(T16-X16)=TRUE,"NA",T16-X16)</f>
        <v>-29.08463614691459</v>
      </c>
    </row>
    <row r="17" spans="1:28">
      <c r="A17" s="256"/>
      <c r="B17" s="1537"/>
      <c r="C17" s="1563"/>
      <c r="D17" s="1563"/>
      <c r="E17" s="1574"/>
      <c r="F17" s="1575"/>
      <c r="G17" s="256"/>
      <c r="H17" s="1628"/>
      <c r="I17" s="1629"/>
      <c r="J17" s="1630"/>
      <c r="K17" s="256"/>
      <c r="L17" s="1552"/>
      <c r="M17" s="1991"/>
      <c r="N17" s="256"/>
      <c r="O17" s="1958"/>
      <c r="P17" s="256"/>
      <c r="Q17" s="1542"/>
      <c r="R17" s="1561"/>
      <c r="S17" s="1561"/>
      <c r="T17" s="1561"/>
      <c r="U17" s="256"/>
      <c r="V17" s="1562"/>
      <c r="W17" s="1562"/>
      <c r="X17" s="1562"/>
      <c r="Y17" s="256"/>
      <c r="Z17" s="1561"/>
      <c r="AA17" s="1561"/>
      <c r="AB17" s="1561"/>
    </row>
    <row r="18" spans="1:28">
      <c r="A18" s="256"/>
      <c r="B18" s="1537" t="s">
        <v>475</v>
      </c>
      <c r="C18" s="1563">
        <f>sumry!CP23</f>
        <v>115.00000000000006</v>
      </c>
      <c r="D18" s="1563">
        <f>sumry!CK23</f>
        <v>105.70000000000003</v>
      </c>
      <c r="E18" s="1574">
        <v>115.00000000000006</v>
      </c>
      <c r="F18" s="2196" t="str">
        <f>_xll.ThomsonONEAddinShim.SpreadsheetFormulas.TF($A$1,"TF.ES.NetInc.Mean(period=#1,scale=6)",,F$1)</f>
        <v xml:space="preserve">$95 </v>
      </c>
      <c r="G18" s="256"/>
      <c r="H18" s="1628">
        <f>IF(ISERROR(C18-D18)=TRUE,"NA",C18-D18)</f>
        <v>9.3000000000000256</v>
      </c>
      <c r="I18" s="1629">
        <f>IF(ISERROR(C18-E18)=TRUE,"NA",C18-E18)</f>
        <v>0</v>
      </c>
      <c r="J18" s="1630">
        <f>IF(ISERROR(C18-F18)=TRUE,"NA",C18-F18)</f>
        <v>20.000000000000057</v>
      </c>
      <c r="K18" s="256"/>
      <c r="L18" s="1552"/>
      <c r="M18" s="1991"/>
      <c r="N18" s="256"/>
      <c r="O18" s="1959"/>
      <c r="P18" s="256"/>
      <c r="Q18" s="1542" t="s">
        <v>475</v>
      </c>
      <c r="R18" s="1561">
        <f>sumry!BV23</f>
        <v>106.78100000000003</v>
      </c>
      <c r="S18" s="1561">
        <f>sumry!DP23</f>
        <v>416.1569999999997</v>
      </c>
      <c r="T18" s="1561">
        <f>sumry!DQ23</f>
        <v>481.02200000000028</v>
      </c>
      <c r="U18" s="256"/>
      <c r="V18" s="1562">
        <v>80.316976384554707</v>
      </c>
      <c r="W18" s="1562">
        <v>451.21575305215697</v>
      </c>
      <c r="X18" s="1562">
        <v>541.29330157608513</v>
      </c>
      <c r="Y18" s="256"/>
      <c r="Z18" s="1561">
        <f>IF(ISERROR(R18-V18)=TRUE,"NA",R18-V18)</f>
        <v>26.464023615445328</v>
      </c>
      <c r="AA18" s="1561">
        <f>IF(ISERROR(S18-W18)=TRUE,"NA",S18-W18)</f>
        <v>-35.058753052157272</v>
      </c>
      <c r="AB18" s="1561">
        <f>IF(ISERROR(T18-X18)=TRUE,"NA",T18-X18)</f>
        <v>-60.271301576084852</v>
      </c>
    </row>
    <row r="19" spans="1:28">
      <c r="A19" s="256"/>
      <c r="B19" s="1537"/>
      <c r="C19" s="1555"/>
      <c r="D19" s="1555"/>
      <c r="E19" s="1556"/>
      <c r="F19" s="1557"/>
      <c r="G19" s="256"/>
      <c r="H19" s="1539"/>
      <c r="I19" s="1540"/>
      <c r="J19" s="1541"/>
      <c r="K19" s="256"/>
      <c r="L19" s="1552"/>
      <c r="M19" s="1991"/>
      <c r="N19" s="256"/>
      <c r="O19" s="1958"/>
      <c r="P19" s="256"/>
      <c r="Q19" s="1542"/>
      <c r="R19" s="1561"/>
      <c r="S19" s="1561"/>
      <c r="T19" s="1561"/>
      <c r="U19" s="256"/>
      <c r="V19" s="1562"/>
      <c r="W19" s="1562"/>
      <c r="X19" s="1562"/>
      <c r="Y19" s="256"/>
      <c r="Z19" s="1561"/>
      <c r="AA19" s="1561"/>
      <c r="AB19" s="1561"/>
    </row>
    <row r="20" spans="1:28">
      <c r="A20" s="256"/>
      <c r="B20" s="1537" t="s">
        <v>476</v>
      </c>
      <c r="C20" s="1566">
        <f>sumry!CP25</f>
        <v>0.919264588329337</v>
      </c>
      <c r="D20" s="1566">
        <f>sumry!CK25</f>
        <v>0.84156050955414041</v>
      </c>
      <c r="E20" s="1567">
        <v>0.919264588329337</v>
      </c>
      <c r="F20" s="2197" t="str">
        <f>_xll.ThomsonONEAddinShim.SpreadsheetFormulas.TF($A$1,"TF.ES.EPS.Mean(period=#1)",,F$1)</f>
        <v xml:space="preserve">$0.76 </v>
      </c>
      <c r="G20" s="256"/>
      <c r="H20" s="1568">
        <f>IF(ISERROR(C20-D20)=TRUE,"NA",C20-D20)</f>
        <v>7.7704078775196583E-2</v>
      </c>
      <c r="I20" s="1569">
        <f>IF(ISERROR(C20-E20)=TRUE,"NA",C20-E20)</f>
        <v>0</v>
      </c>
      <c r="J20" s="1570">
        <f>IF(ISERROR(C20-F20)=TRUE,"NA",C20-F20)</f>
        <v>0.15926458832933699</v>
      </c>
      <c r="K20" s="256"/>
      <c r="L20" s="2124">
        <f>ROUNDDOWN(L11+L13+L16,2)</f>
        <v>0</v>
      </c>
      <c r="M20" s="1570">
        <f>ROUNDDOWN(M11+M13+M16,2)</f>
        <v>0.16</v>
      </c>
      <c r="N20" s="256"/>
      <c r="O20" s="1963" t="s">
        <v>2435</v>
      </c>
      <c r="P20" s="1809"/>
      <c r="Q20" s="1542" t="s">
        <v>476</v>
      </c>
      <c r="R20" s="1571">
        <f>sumry!BV25</f>
        <v>0.82923173695940888</v>
      </c>
      <c r="S20" s="1571">
        <f>sumry!DP25</f>
        <v>3.25296105149816</v>
      </c>
      <c r="T20" s="1571">
        <f>sumry!DQ25</f>
        <v>3.7326939156379946</v>
      </c>
      <c r="U20" s="256"/>
      <c r="V20" s="1572">
        <v>0.62275704725559977</v>
      </c>
      <c r="W20" s="1572">
        <v>3.5040440556974213</v>
      </c>
      <c r="X20" s="1572">
        <v>4.2035668368104764</v>
      </c>
      <c r="Y20" s="256"/>
      <c r="Z20" s="1571">
        <f t="shared" ref="Z20:AB21" si="2">IF(ISERROR(R20-V20)=TRUE,"NA",R20-V20)</f>
        <v>0.20647468970380911</v>
      </c>
      <c r="AA20" s="1571">
        <f t="shared" si="2"/>
        <v>-0.25108300419926133</v>
      </c>
      <c r="AB20" s="1571">
        <f t="shared" si="2"/>
        <v>-0.47087292117248181</v>
      </c>
    </row>
    <row r="21" spans="1:28">
      <c r="A21" s="256"/>
      <c r="B21" s="1537" t="s">
        <v>477</v>
      </c>
      <c r="C21" s="1563">
        <f>sumry!CP26</f>
        <v>125.1</v>
      </c>
      <c r="D21" s="1563">
        <f>sumry!CK26</f>
        <v>125.6</v>
      </c>
      <c r="E21" s="1574">
        <v>125.1</v>
      </c>
      <c r="F21" s="1575">
        <f>F18/F20</f>
        <v>125</v>
      </c>
      <c r="G21" s="256"/>
      <c r="H21" s="1645">
        <f>IF(ISERROR(C21-D21)=TRUE,"NA",C21-D21)</f>
        <v>-0.5</v>
      </c>
      <c r="I21" s="1646">
        <f>IF(ISERROR(C21-E21)=TRUE,"NA",C21-E21)</f>
        <v>0</v>
      </c>
      <c r="J21" s="1647">
        <f>IF(ISERROR(C21-F21)=TRUE,"NA",C21-F21)</f>
        <v>9.9999999999994316E-2</v>
      </c>
      <c r="K21" s="256"/>
      <c r="L21" s="2121">
        <f>-C18/E21+C18/C21</f>
        <v>0</v>
      </c>
      <c r="M21" s="1988">
        <f>-C18/F21+C18/C21</f>
        <v>-7.3541167066348834E-4</v>
      </c>
      <c r="N21" s="256"/>
      <c r="O21" s="1956"/>
      <c r="P21" s="256"/>
      <c r="Q21" s="1542" t="s">
        <v>477</v>
      </c>
      <c r="R21" s="1561">
        <f>sumry!BV26</f>
        <v>128.77099999999999</v>
      </c>
      <c r="S21" s="1561">
        <f>sumry!DP26</f>
        <v>127.93174999999999</v>
      </c>
      <c r="T21" s="1561">
        <f>sumry!DQ26</f>
        <v>128.86724999999998</v>
      </c>
      <c r="U21" s="256"/>
      <c r="V21" s="1562">
        <v>128.97</v>
      </c>
      <c r="W21" s="1562">
        <v>128.77000000000001</v>
      </c>
      <c r="X21" s="1562">
        <v>128.77000000000001</v>
      </c>
      <c r="Y21" s="256"/>
      <c r="Z21" s="1561">
        <f t="shared" si="2"/>
        <v>-0.19900000000001228</v>
      </c>
      <c r="AA21" s="1561">
        <f t="shared" si="2"/>
        <v>-0.83825000000001637</v>
      </c>
      <c r="AB21" s="1561">
        <f t="shared" si="2"/>
        <v>9.7249999999974079E-2</v>
      </c>
    </row>
    <row r="22" spans="1:28">
      <c r="A22" s="256"/>
      <c r="B22" s="1537"/>
      <c r="C22" s="1555"/>
      <c r="D22" s="1727"/>
      <c r="E22" s="1556"/>
      <c r="F22" s="1557"/>
      <c r="G22" s="256"/>
      <c r="H22" s="1558"/>
      <c r="I22" s="1559"/>
      <c r="J22" s="1560"/>
      <c r="K22" s="256"/>
      <c r="L22" s="2122"/>
      <c r="M22" s="1989"/>
      <c r="N22" s="256"/>
      <c r="O22" s="1956"/>
      <c r="P22" s="256"/>
      <c r="Q22" s="1542"/>
      <c r="R22" s="1561"/>
      <c r="S22" s="1561"/>
      <c r="T22" s="1561"/>
      <c r="U22" s="256"/>
      <c r="V22" s="1562"/>
      <c r="W22" s="1562"/>
      <c r="X22" s="1562"/>
      <c r="Y22" s="256"/>
      <c r="Z22" s="1561"/>
      <c r="AA22" s="1561"/>
      <c r="AB22" s="1561"/>
    </row>
    <row r="23" spans="1:28">
      <c r="A23" s="256"/>
      <c r="B23" s="1573" t="s">
        <v>479</v>
      </c>
      <c r="C23" s="1563"/>
      <c r="D23" s="1563"/>
      <c r="E23" s="1574"/>
      <c r="F23" s="1993"/>
      <c r="G23" s="256"/>
      <c r="H23" s="1576"/>
      <c r="I23" s="1563"/>
      <c r="J23" s="1575"/>
      <c r="K23" s="256"/>
      <c r="L23" s="1552"/>
      <c r="M23" s="1991"/>
      <c r="N23" s="256"/>
      <c r="O23" s="1962"/>
      <c r="P23" s="256"/>
      <c r="Q23" s="1577" t="s">
        <v>479</v>
      </c>
      <c r="R23" s="1578"/>
      <c r="S23" s="1578"/>
      <c r="T23" s="1578"/>
      <c r="U23" s="256"/>
      <c r="V23" s="1579"/>
      <c r="W23" s="1579"/>
      <c r="X23" s="1579"/>
      <c r="Y23" s="256"/>
      <c r="Z23" s="1578"/>
      <c r="AA23" s="1578"/>
      <c r="AB23" s="1578"/>
    </row>
    <row r="24" spans="1:28">
      <c r="A24" s="256"/>
      <c r="B24" s="1537" t="s">
        <v>480</v>
      </c>
      <c r="C24" s="1546">
        <f>sumry!CP33</f>
        <v>0.62331978743357297</v>
      </c>
      <c r="D24" s="1546">
        <f>sumry!CK33</f>
        <v>0.61947187634177758</v>
      </c>
      <c r="E24" s="1547">
        <v>0.62331978743357297</v>
      </c>
      <c r="F24" s="1548">
        <f>F8/F4</f>
        <v>0.61442006269592475</v>
      </c>
      <c r="G24" s="256"/>
      <c r="H24" s="1549">
        <f t="shared" ref="H24:H29" si="3">IF(ISERROR((C24-D24)*10000)=TRUE,"NA",(C24-D24)*10000)</f>
        <v>38.479110917953861</v>
      </c>
      <c r="I24" s="1550">
        <f t="shared" ref="I24:I29" si="4">IF(ISERROR((C24-E24)*10000)=TRUE,"NA",(C24-E24)*10000)</f>
        <v>0</v>
      </c>
      <c r="J24" s="1551">
        <f t="shared" ref="J24:J29" si="5">IF(ISERROR((C24-F24)*10000)=TRUE,"NA",(C24-F24)*10000)</f>
        <v>88.997247376482179</v>
      </c>
      <c r="K24" s="256"/>
      <c r="L24" s="1552"/>
      <c r="M24" s="1991"/>
      <c r="N24" s="256"/>
      <c r="O24" s="1956" t="s">
        <v>2433</v>
      </c>
      <c r="P24" s="256"/>
      <c r="Q24" s="1542" t="s">
        <v>480</v>
      </c>
      <c r="R24" s="1553">
        <f>sumry!BV33</f>
        <v>0.57472534356355653</v>
      </c>
      <c r="S24" s="1553">
        <f>sumry!DP33</f>
        <v>0.57014813735208203</v>
      </c>
      <c r="T24" s="1553">
        <f>sumry!DQ33</f>
        <v>0.58059229049919014</v>
      </c>
      <c r="U24" s="256"/>
      <c r="V24" s="1554">
        <v>0.56700000000000006</v>
      </c>
      <c r="W24" s="1554">
        <v>0.58256349239912597</v>
      </c>
      <c r="X24" s="1554">
        <v>0.58939999999999992</v>
      </c>
      <c r="Y24" s="256"/>
      <c r="Z24" s="1580">
        <f t="shared" ref="Z24:AB29" si="6">IF(ISERROR((R24-V24)*10000)=TRUE,"NA",(R24-V24)*10000)</f>
        <v>77.253435635564756</v>
      </c>
      <c r="AA24" s="1580">
        <f t="shared" si="6"/>
        <v>-124.15355047043941</v>
      </c>
      <c r="AB24" s="1580">
        <f t="shared" si="6"/>
        <v>-88.0770950080978</v>
      </c>
    </row>
    <row r="25" spans="1:28">
      <c r="A25" s="256"/>
      <c r="B25" s="1537" t="s">
        <v>481</v>
      </c>
      <c r="C25" s="1546">
        <f>sumry!CP34</f>
        <v>0.43440658539126809</v>
      </c>
      <c r="D25" s="1546">
        <f>sumry!CK34</f>
        <v>0.43173035637612706</v>
      </c>
      <c r="E25" s="1547">
        <v>0.43440658539126809</v>
      </c>
      <c r="F25" s="1548">
        <f>F9/F4</f>
        <v>0.45454545454545453</v>
      </c>
      <c r="G25" s="256"/>
      <c r="H25" s="1549">
        <f t="shared" si="3"/>
        <v>26.762290151410294</v>
      </c>
      <c r="I25" s="1550">
        <f t="shared" si="4"/>
        <v>0</v>
      </c>
      <c r="J25" s="1551">
        <f t="shared" si="5"/>
        <v>-201.38869154186446</v>
      </c>
      <c r="K25" s="256"/>
      <c r="L25" s="1552"/>
      <c r="M25" s="1991"/>
      <c r="N25" s="256"/>
      <c r="O25" s="1956" t="s">
        <v>2434</v>
      </c>
      <c r="P25" s="256"/>
      <c r="Q25" s="1542" t="s">
        <v>481</v>
      </c>
      <c r="R25" s="1553">
        <f>sumry!BV34</f>
        <v>0.3836798130219336</v>
      </c>
      <c r="S25" s="1553">
        <f>sumry!DP34</f>
        <v>0.38639187886720139</v>
      </c>
      <c r="T25" s="1553">
        <f>sumry!DQ34</f>
        <v>0.38364007114630388</v>
      </c>
      <c r="U25" s="256"/>
      <c r="V25" s="1554">
        <v>0.40200000000000002</v>
      </c>
      <c r="W25" s="1554">
        <v>0.38525678779920813</v>
      </c>
      <c r="X25" s="1554">
        <v>0.3775</v>
      </c>
      <c r="Y25" s="256"/>
      <c r="Z25" s="1580">
        <f t="shared" si="6"/>
        <v>-183.20186978066423</v>
      </c>
      <c r="AA25" s="1580">
        <f t="shared" si="6"/>
        <v>11.350910679932547</v>
      </c>
      <c r="AB25" s="1580">
        <f t="shared" si="6"/>
        <v>61.400711463038824</v>
      </c>
    </row>
    <row r="26" spans="1:28">
      <c r="A26" s="256"/>
      <c r="B26" s="1537" t="s">
        <v>448</v>
      </c>
      <c r="C26" s="1546">
        <f>sumry!CP35</f>
        <v>0.18891320204230494</v>
      </c>
      <c r="D26" s="1546">
        <f>sumry!CK35</f>
        <v>0.18774151996565053</v>
      </c>
      <c r="E26" s="1547">
        <v>0.18891320204230494</v>
      </c>
      <c r="F26" s="1548">
        <f>F11/F4</f>
        <v>0.15987460815047022</v>
      </c>
      <c r="G26" s="256"/>
      <c r="H26" s="1549">
        <f t="shared" si="3"/>
        <v>11.716820766544123</v>
      </c>
      <c r="I26" s="1550">
        <f t="shared" si="4"/>
        <v>0</v>
      </c>
      <c r="J26" s="1551">
        <f t="shared" si="5"/>
        <v>290.38593891834716</v>
      </c>
      <c r="K26" s="256"/>
      <c r="L26" s="1552"/>
      <c r="M26" s="1991"/>
      <c r="N26" s="256"/>
      <c r="O26" s="1956" t="s">
        <v>1178</v>
      </c>
      <c r="P26" s="256"/>
      <c r="Q26" s="1542" t="s">
        <v>448</v>
      </c>
      <c r="R26" s="1553">
        <f>sumry!BV35</f>
        <v>0.19104553054162296</v>
      </c>
      <c r="S26" s="1553">
        <f>sumry!DP35</f>
        <v>0.18375625848488059</v>
      </c>
      <c r="T26" s="1553">
        <f>sumry!DQ35</f>
        <v>0.19695221935288623</v>
      </c>
      <c r="U26" s="256"/>
      <c r="V26" s="1554">
        <v>0.16500000000000001</v>
      </c>
      <c r="W26" s="1554">
        <v>0.19730670459991781</v>
      </c>
      <c r="X26" s="1554">
        <v>0.21189999999999995</v>
      </c>
      <c r="Y26" s="256"/>
      <c r="Z26" s="1580">
        <f t="shared" si="6"/>
        <v>260.45530541622952</v>
      </c>
      <c r="AA26" s="1580">
        <f t="shared" si="6"/>
        <v>-135.50446115037224</v>
      </c>
      <c r="AB26" s="1580">
        <f t="shared" si="6"/>
        <v>-149.47780647113717</v>
      </c>
    </row>
    <row r="27" spans="1:28">
      <c r="A27" s="256"/>
      <c r="B27" s="1537" t="s">
        <v>482</v>
      </c>
      <c r="C27" s="1546">
        <f>sumry!CP37</f>
        <v>0.17974366989684282</v>
      </c>
      <c r="D27" s="1546">
        <f>sumry!CK37</f>
        <v>0.17335766423357668</v>
      </c>
      <c r="E27" s="1547">
        <v>0.17974366989684282</v>
      </c>
      <c r="F27" s="1548">
        <f>F14/F4</f>
        <v>0.15151515151515152</v>
      </c>
      <c r="G27" s="256"/>
      <c r="H27" s="1549">
        <f t="shared" si="3"/>
        <v>63.860056632661369</v>
      </c>
      <c r="I27" s="1550">
        <f t="shared" si="4"/>
        <v>0</v>
      </c>
      <c r="J27" s="1551">
        <f t="shared" si="5"/>
        <v>282.28518381691299</v>
      </c>
      <c r="K27" s="256"/>
      <c r="L27" s="1552"/>
      <c r="M27" s="1991"/>
      <c r="N27" s="256"/>
      <c r="O27" s="1960"/>
      <c r="P27" s="256"/>
      <c r="Q27" s="1542" t="s">
        <v>482</v>
      </c>
      <c r="R27" s="1553">
        <f>sumry!BV37</f>
        <v>0.17517529193721895</v>
      </c>
      <c r="S27" s="1553">
        <f>sumry!DP37</f>
        <v>0.16961880994104492</v>
      </c>
      <c r="T27" s="1553">
        <f>sumry!DQ37</f>
        <v>0.18282417089004827</v>
      </c>
      <c r="U27" s="256"/>
      <c r="V27" s="1554">
        <v>0.14755194971810262</v>
      </c>
      <c r="W27" s="1554">
        <v>0.1827042743580842</v>
      </c>
      <c r="X27" s="1554">
        <v>0.19911848519747471</v>
      </c>
      <c r="Y27" s="256"/>
      <c r="Z27" s="1580">
        <f t="shared" si="6"/>
        <v>276.2334221911633</v>
      </c>
      <c r="AA27" s="1580">
        <f t="shared" si="6"/>
        <v>-130.85464417039282</v>
      </c>
      <c r="AB27" s="1580">
        <f t="shared" si="6"/>
        <v>-162.9431430742645</v>
      </c>
    </row>
    <row r="28" spans="1:28">
      <c r="A28" s="256"/>
      <c r="B28" s="1537" t="s">
        <v>483</v>
      </c>
      <c r="C28" s="1546">
        <f>sumry!CP38</f>
        <v>0.3333333333333332</v>
      </c>
      <c r="D28" s="1546">
        <f>sumry!CK38</f>
        <v>0.34551083591331261</v>
      </c>
      <c r="E28" s="1547">
        <v>0.3333333333333332</v>
      </c>
      <c r="F28" s="1548">
        <f>F16/F14</f>
        <v>0.34482758620689657</v>
      </c>
      <c r="G28" s="1553"/>
      <c r="H28" s="1549">
        <f t="shared" si="3"/>
        <v>-121.77502579979405</v>
      </c>
      <c r="I28" s="1550">
        <f t="shared" si="4"/>
        <v>0</v>
      </c>
      <c r="J28" s="1551">
        <f t="shared" si="5"/>
        <v>-114.94252873563372</v>
      </c>
      <c r="K28" s="1553"/>
      <c r="L28" s="2125"/>
      <c r="M28" s="1548"/>
      <c r="N28" s="1553"/>
      <c r="O28" s="1956"/>
      <c r="P28" s="256"/>
      <c r="Q28" s="1542" t="s">
        <v>483</v>
      </c>
      <c r="R28" s="1553">
        <f>sumry!BV38</f>
        <v>0.34163830521850641</v>
      </c>
      <c r="S28" s="1553">
        <f>sumry!DP38</f>
        <v>0.35336774522356351</v>
      </c>
      <c r="T28" s="1553">
        <f>sumry!DQ38</f>
        <v>0.34731366046665607</v>
      </c>
      <c r="U28" s="256"/>
      <c r="V28" s="1554">
        <v>0.34499999999999997</v>
      </c>
      <c r="W28" s="1554">
        <v>0.34495398723729359</v>
      </c>
      <c r="X28" s="1554">
        <v>0.34495398723729359</v>
      </c>
      <c r="Y28" s="256"/>
      <c r="Z28" s="1580">
        <f t="shared" si="6"/>
        <v>-33.616947814935628</v>
      </c>
      <c r="AA28" s="1580">
        <f t="shared" si="6"/>
        <v>84.137579862699212</v>
      </c>
      <c r="AB28" s="1580">
        <f t="shared" si="6"/>
        <v>23.5967322936248</v>
      </c>
    </row>
    <row r="29" spans="1:28">
      <c r="A29" s="256"/>
      <c r="B29" s="1537" t="s">
        <v>449</v>
      </c>
      <c r="C29" s="1546">
        <f>sumry!CP39</f>
        <v>0.1198291132645619</v>
      </c>
      <c r="D29" s="1546">
        <f>sumry!CK39</f>
        <v>0.11346071275225422</v>
      </c>
      <c r="E29" s="1547">
        <v>0.1198291132645619</v>
      </c>
      <c r="F29" s="1548">
        <f>F18/F4</f>
        <v>9.9268547544409613E-2</v>
      </c>
      <c r="G29" s="1553"/>
      <c r="H29" s="1549">
        <f t="shared" si="3"/>
        <v>63.684005123076787</v>
      </c>
      <c r="I29" s="1550">
        <f t="shared" si="4"/>
        <v>0</v>
      </c>
      <c r="J29" s="1551">
        <f t="shared" si="5"/>
        <v>205.60565720152289</v>
      </c>
      <c r="K29" s="1553"/>
      <c r="L29" s="2125"/>
      <c r="M29" s="1548"/>
      <c r="N29" s="1553"/>
      <c r="O29" s="1960"/>
      <c r="P29" s="256"/>
      <c r="Q29" s="1542" t="s">
        <v>449</v>
      </c>
      <c r="R29" s="1553">
        <f>sumry!BV39</f>
        <v>0.11532870208363039</v>
      </c>
      <c r="S29" s="1553">
        <f>sumry!DP39</f>
        <v>0.10968099352467371</v>
      </c>
      <c r="T29" s="1553">
        <f>sumry!DQ39</f>
        <v>0.11932683887644414</v>
      </c>
      <c r="U29" s="256"/>
      <c r="V29" s="1554">
        <v>9.6646527065357229E-2</v>
      </c>
      <c r="W29" s="1554">
        <v>0.11967970643296663</v>
      </c>
      <c r="X29" s="1554">
        <v>0.1304317697959558</v>
      </c>
      <c r="Y29" s="256"/>
      <c r="Z29" s="1580">
        <f t="shared" si="6"/>
        <v>186.82175018273156</v>
      </c>
      <c r="AA29" s="1580">
        <f t="shared" si="6"/>
        <v>-99.987129082929201</v>
      </c>
      <c r="AB29" s="1580">
        <f t="shared" si="6"/>
        <v>-111.04930919511661</v>
      </c>
    </row>
    <row r="30" spans="1:28">
      <c r="A30" s="256"/>
      <c r="B30" s="1537"/>
      <c r="C30" s="1546"/>
      <c r="D30" s="1546"/>
      <c r="E30" s="1547"/>
      <c r="F30" s="1548"/>
      <c r="G30" s="1553"/>
      <c r="H30" s="1549"/>
      <c r="I30" s="1550"/>
      <c r="J30" s="1551"/>
      <c r="K30" s="1553"/>
      <c r="L30" s="2125"/>
      <c r="M30" s="1548"/>
      <c r="N30" s="1553"/>
      <c r="O30" s="1552"/>
      <c r="P30" s="256"/>
      <c r="Q30" s="1542"/>
      <c r="R30" s="1553"/>
      <c r="S30" s="1553"/>
      <c r="T30" s="1553"/>
      <c r="U30" s="256"/>
      <c r="V30" s="1554"/>
      <c r="W30" s="1554"/>
      <c r="X30" s="1554"/>
      <c r="Y30" s="256"/>
      <c r="Z30" s="1553"/>
      <c r="AA30" s="1553"/>
      <c r="AB30" s="1553"/>
    </row>
    <row r="31" spans="1:28">
      <c r="A31" s="256"/>
      <c r="B31" s="1573" t="s">
        <v>484</v>
      </c>
      <c r="C31" s="1546"/>
      <c r="D31" s="1546"/>
      <c r="E31" s="1547"/>
      <c r="F31" s="1548"/>
      <c r="G31" s="1553"/>
      <c r="H31" s="1549"/>
      <c r="I31" s="1550"/>
      <c r="J31" s="1551"/>
      <c r="K31" s="1553"/>
      <c r="L31" s="2125"/>
      <c r="M31" s="1548"/>
      <c r="N31" s="1553"/>
      <c r="O31" s="1552"/>
      <c r="P31" s="256"/>
      <c r="Q31" s="1577" t="s">
        <v>484</v>
      </c>
      <c r="R31" s="1553"/>
      <c r="S31" s="1553"/>
      <c r="T31" s="1553"/>
      <c r="U31" s="256"/>
      <c r="V31" s="1554"/>
      <c r="W31" s="1554"/>
      <c r="X31" s="1554"/>
      <c r="Y31" s="256"/>
      <c r="Z31" s="1553"/>
      <c r="AA31" s="1553"/>
      <c r="AB31" s="1553"/>
    </row>
    <row r="32" spans="1:28">
      <c r="A32" s="256"/>
      <c r="B32" s="1537" t="s">
        <v>1015</v>
      </c>
      <c r="C32" s="1546">
        <f>sumry!CP43</f>
        <v>3.0163160154572877E-2</v>
      </c>
      <c r="D32" s="1546">
        <f>sumry!CK43</f>
        <v>-5.9464916708732996E-2</v>
      </c>
      <c r="E32" s="1547">
        <v>3.0163160154572877E-2</v>
      </c>
      <c r="F32" s="1548">
        <f>F4/D4-1</f>
        <v>2.726492056676677E-2</v>
      </c>
      <c r="G32" s="1553"/>
      <c r="H32" s="1549">
        <f>IF(ISERROR((C32-D32)*10000)=TRUE,"NA",(C32-D32)*10000)</f>
        <v>896.28076863305876</v>
      </c>
      <c r="I32" s="1550">
        <f>IF(ISERROR((C32-E32)*10000)=TRUE,"NA",(C32-E32)*10000)</f>
        <v>0</v>
      </c>
      <c r="J32" s="1551">
        <f>IF(ISERROR((C32-F32)*10000)=TRUE,"NA",(C32-F32)*10000)</f>
        <v>28.982395878061062</v>
      </c>
      <c r="K32" s="1553"/>
      <c r="L32" s="2125"/>
      <c r="M32" s="1548"/>
      <c r="N32" s="1553"/>
      <c r="O32" s="1552"/>
      <c r="P32" s="256"/>
      <c r="Q32" s="1542" t="s">
        <v>1015</v>
      </c>
      <c r="R32" s="1553">
        <f>sumry!BV43</f>
        <v>4.4345110194468962E-2</v>
      </c>
      <c r="S32" s="1553">
        <f>sumry!DP43</f>
        <v>4.1535716922911359E-2</v>
      </c>
      <c r="T32" s="1553">
        <f>sumry!DQ43</f>
        <v>6.2431590546640603E-2</v>
      </c>
      <c r="U32" s="256"/>
      <c r="V32" s="1554">
        <v>1.1282288131340579E-2</v>
      </c>
      <c r="W32" s="1554">
        <v>3.4932624530377598E-2</v>
      </c>
      <c r="X32" s="1554">
        <v>0.10074197356695791</v>
      </c>
      <c r="Y32" s="256"/>
      <c r="Z32" s="1580">
        <f t="shared" ref="Z32:AB36" si="7">IF(ISERROR((R32-V32)*10000)=TRUE,"NA",(R32-V32)*10000)</f>
        <v>330.62822063128385</v>
      </c>
      <c r="AA32" s="1580">
        <f t="shared" si="7"/>
        <v>66.030923925337603</v>
      </c>
      <c r="AB32" s="1580">
        <f t="shared" si="7"/>
        <v>-383.10383020317306</v>
      </c>
    </row>
    <row r="33" spans="1:28">
      <c r="A33" s="256"/>
      <c r="B33" s="1537" t="s">
        <v>485</v>
      </c>
      <c r="C33" s="1546">
        <f>sumry!CP44</f>
        <v>-0.01</v>
      </c>
      <c r="D33" s="1546">
        <f>sumry!CK44</f>
        <v>-0.09</v>
      </c>
      <c r="E33" s="1547">
        <v>-0.01</v>
      </c>
      <c r="F33" s="1548"/>
      <c r="G33" s="1553"/>
      <c r="H33" s="1549">
        <f>IF(ISERROR((C33-D33)*10000)=TRUE,"NA",(C33-D33)*10000)</f>
        <v>800</v>
      </c>
      <c r="I33" s="1550">
        <f>IF(ISERROR((C33-E33)*10000)=TRUE,"NA",(C33-E33)*10000)</f>
        <v>0</v>
      </c>
      <c r="J33" s="1551">
        <f>IF(ISERROR((C33-F33)*10000)=TRUE,"NA",(C33-F33)*10000)</f>
        <v>-100</v>
      </c>
      <c r="K33" s="1553"/>
      <c r="L33" s="2125"/>
      <c r="M33" s="1548"/>
      <c r="N33" s="1553"/>
      <c r="O33" s="1552"/>
      <c r="P33" s="256"/>
      <c r="Q33" s="1542" t="s">
        <v>485</v>
      </c>
      <c r="R33" s="1553">
        <f>sumry!BV44</f>
        <v>0.05</v>
      </c>
      <c r="S33" s="1553">
        <f>sumry!DP44</f>
        <v>0.01</v>
      </c>
      <c r="T33" s="1553">
        <f>sumry!DQ44</f>
        <v>0.06</v>
      </c>
      <c r="U33" s="256"/>
      <c r="V33" s="1554">
        <v>-1.7301778244536586E-2</v>
      </c>
      <c r="W33" s="1554">
        <v>3.9811772599293513E-3</v>
      </c>
      <c r="X33" s="1554">
        <v>3.4886765910869734E-2</v>
      </c>
      <c r="Y33" s="256"/>
      <c r="Z33" s="1580">
        <f t="shared" si="7"/>
        <v>673.01778244536592</v>
      </c>
      <c r="AA33" s="1580">
        <f t="shared" si="7"/>
        <v>60.188227400706488</v>
      </c>
      <c r="AB33" s="1580">
        <f t="shared" si="7"/>
        <v>251.13234089130265</v>
      </c>
    </row>
    <row r="34" spans="1:28">
      <c r="A34" s="256"/>
      <c r="B34" s="1537" t="s">
        <v>261</v>
      </c>
      <c r="C34" s="1546">
        <f>sumry!CP45</f>
        <v>3.6548980606663228E-2</v>
      </c>
      <c r="D34" s="1546">
        <f>sumry!CK45</f>
        <v>-2.0457866536775393E-2</v>
      </c>
      <c r="E34" s="1547">
        <v>3.6548980606663228E-2</v>
      </c>
      <c r="F34" s="1548">
        <f>F9/D9-1</f>
        <v>8.155146693187465E-2</v>
      </c>
      <c r="G34" s="1553"/>
      <c r="H34" s="1549">
        <f>IF(ISERROR((C34-D34)*10000)=TRUE,"NA",(C34-D34)*10000)</f>
        <v>570.0684714343862</v>
      </c>
      <c r="I34" s="1550">
        <f>IF(ISERROR((C34-E34)*10000)=TRUE,"NA",(C34-E34)*10000)</f>
        <v>0</v>
      </c>
      <c r="J34" s="1551">
        <f>IF(ISERROR((C34-F34)*10000)=TRUE,"NA",(C34-F34)*10000)</f>
        <v>-450.02486325211419</v>
      </c>
      <c r="K34" s="1553"/>
      <c r="L34" s="2125"/>
      <c r="M34" s="1548"/>
      <c r="N34" s="1553"/>
      <c r="O34" s="1552"/>
      <c r="P34" s="256"/>
      <c r="Q34" s="1542" t="s">
        <v>486</v>
      </c>
      <c r="R34" s="1553">
        <f>sumry!BV45</f>
        <v>3.093893470929987E-2</v>
      </c>
      <c r="S34" s="1553">
        <f>sumry!DP45</f>
        <v>4.7023938329823212E-2</v>
      </c>
      <c r="T34" s="1553">
        <f>sumry!DQ45</f>
        <v>5.4865159641407812E-2</v>
      </c>
      <c r="U34" s="256"/>
      <c r="V34" s="1554">
        <v>1.3363105306099854E-2</v>
      </c>
      <c r="W34" s="1554">
        <v>3.7329743060372733E-2</v>
      </c>
      <c r="X34" s="1554">
        <v>7.8579555717254834E-2</v>
      </c>
      <c r="Y34" s="256"/>
      <c r="Z34" s="1580">
        <f t="shared" si="7"/>
        <v>175.75829403200015</v>
      </c>
      <c r="AA34" s="1580">
        <f t="shared" si="7"/>
        <v>96.941952694504778</v>
      </c>
      <c r="AB34" s="1580">
        <f t="shared" si="7"/>
        <v>-237.14396075847023</v>
      </c>
    </row>
    <row r="35" spans="1:28">
      <c r="A35" s="256"/>
      <c r="B35" s="1537" t="s">
        <v>487</v>
      </c>
      <c r="C35" s="1546">
        <f>sumry!CP46</f>
        <v>3.6592338479131126E-2</v>
      </c>
      <c r="D35" s="1546">
        <f>sumry!CK46</f>
        <v>-4.1118421052631526E-2</v>
      </c>
      <c r="E35" s="1547">
        <v>3.6592338479131126E-2</v>
      </c>
      <c r="F35" s="1548">
        <f>F11/D11-1</f>
        <v>-0.12521440823327634</v>
      </c>
      <c r="G35" s="1553"/>
      <c r="H35" s="1549">
        <f>IF(ISERROR((C35-D35)*10000)=TRUE,"NA",(C35-D35)*10000)</f>
        <v>777.10759531762653</v>
      </c>
      <c r="I35" s="1550">
        <f>IF(ISERROR((C35-E35)*10000)=TRUE,"NA",(C35-E35)*10000)</f>
        <v>0</v>
      </c>
      <c r="J35" s="1551">
        <f>IF(ISERROR((C35-F35)*10000)=TRUE,"NA",(C35-F35)*10000)</f>
        <v>1618.0674671240747</v>
      </c>
      <c r="K35" s="1553"/>
      <c r="L35" s="2125"/>
      <c r="M35" s="1548"/>
      <c r="N35" s="1553"/>
      <c r="O35" s="1552"/>
      <c r="P35" s="256"/>
      <c r="Q35" s="1542" t="s">
        <v>487</v>
      </c>
      <c r="R35" s="1553">
        <f>sumry!BV46</f>
        <v>0.14430068572907251</v>
      </c>
      <c r="S35" s="1553">
        <f>sumry!DP46</f>
        <v>-7.1793158169406346E-2</v>
      </c>
      <c r="T35" s="1553">
        <f>sumry!DQ46</f>
        <v>0.1387272542121043</v>
      </c>
      <c r="U35" s="256"/>
      <c r="V35" s="1554">
        <v>-6.1949978507654713E-2</v>
      </c>
      <c r="W35" s="1554">
        <v>-9.6644278854761678E-3</v>
      </c>
      <c r="X35" s="1554">
        <v>0.18215559208592391</v>
      </c>
      <c r="Y35" s="256"/>
      <c r="Z35" s="1580">
        <f t="shared" si="7"/>
        <v>2062.5066423672724</v>
      </c>
      <c r="AA35" s="1580">
        <f t="shared" si="7"/>
        <v>-621.28730283930179</v>
      </c>
      <c r="AB35" s="1580">
        <f t="shared" si="7"/>
        <v>-434.28337873819612</v>
      </c>
    </row>
    <row r="36" spans="1:28">
      <c r="A36" s="256"/>
      <c r="B36" s="1537" t="s">
        <v>488</v>
      </c>
      <c r="C36" s="1546">
        <f>sumry!CP47</f>
        <v>9.2333323502031162E-2</v>
      </c>
      <c r="D36" s="1546">
        <f>sumry!CK47</f>
        <v>-1.9188470879347608E-2</v>
      </c>
      <c r="E36" s="1547">
        <v>9.2333323502031162E-2</v>
      </c>
      <c r="F36" s="1548">
        <f>F20/D20-1</f>
        <v>-9.6915799432356065E-2</v>
      </c>
      <c r="G36" s="1553"/>
      <c r="H36" s="1549">
        <f>IF(ISERROR((C36-D36)*10000)=TRUE,"NA",(C36-D36)*10000)</f>
        <v>1115.2179438137878</v>
      </c>
      <c r="I36" s="1550">
        <f>IF(ISERROR((C36-E36)*10000)=TRUE,"NA",(C36-E36)*10000)</f>
        <v>0</v>
      </c>
      <c r="J36" s="1551">
        <f>IF(ISERROR((C36-F36)*10000)=TRUE,"NA",(C36-F36)*10000)</f>
        <v>1892.4912293438722</v>
      </c>
      <c r="K36" s="1553"/>
      <c r="L36" s="2125"/>
      <c r="M36" s="1548"/>
      <c r="N36" s="1553"/>
      <c r="O36" s="1552"/>
      <c r="P36" s="256"/>
      <c r="Q36" s="1542" t="s">
        <v>488</v>
      </c>
      <c r="R36" s="1553">
        <f>sumry!BV47</f>
        <v>0.15317056715557587</v>
      </c>
      <c r="S36" s="1553">
        <f>sumry!DP47</f>
        <v>-9.7343936656733798E-2</v>
      </c>
      <c r="T36" s="1553">
        <f>sumry!DQ47</f>
        <v>0.14747574795551044</v>
      </c>
      <c r="U36" s="256"/>
      <c r="V36" s="1554">
        <v>-0.10559175850897762</v>
      </c>
      <c r="W36" s="1554">
        <v>-2.7671538938191853E-2</v>
      </c>
      <c r="X36" s="1554">
        <v>0.19963298691283904</v>
      </c>
      <c r="Y36" s="256"/>
      <c r="Z36" s="1580">
        <f t="shared" si="7"/>
        <v>2587.6232566455346</v>
      </c>
      <c r="AA36" s="1580">
        <f t="shared" si="7"/>
        <v>-696.72397718541947</v>
      </c>
      <c r="AB36" s="1580">
        <f t="shared" si="7"/>
        <v>-521.57238957328605</v>
      </c>
    </row>
    <row r="37" spans="1:28" ht="13.5" thickBot="1">
      <c r="A37" s="256"/>
      <c r="B37" s="1581"/>
      <c r="C37" s="1582"/>
      <c r="D37" s="1582"/>
      <c r="E37" s="1582"/>
      <c r="F37" s="1583"/>
      <c r="G37" s="256"/>
      <c r="H37" s="2189"/>
      <c r="I37" s="2190"/>
      <c r="J37" s="2191"/>
      <c r="K37" s="256"/>
      <c r="L37" s="1584"/>
      <c r="M37" s="1992"/>
      <c r="N37" s="256"/>
      <c r="O37" s="1584"/>
      <c r="P37" s="587"/>
      <c r="Q37" s="256"/>
      <c r="R37" s="643"/>
      <c r="S37" s="643"/>
      <c r="T37" s="643"/>
      <c r="U37" s="256"/>
      <c r="V37" s="256"/>
      <c r="W37" s="256"/>
      <c r="X37" s="256"/>
      <c r="Y37" s="256"/>
      <c r="Z37" s="256"/>
      <c r="AA37" s="256"/>
      <c r="AB37" s="256"/>
    </row>
    <row r="38" spans="1:28">
      <c r="A38" s="256"/>
      <c r="B38" s="268"/>
      <c r="C38" s="256"/>
      <c r="D38" s="256"/>
      <c r="E38" s="256"/>
      <c r="F38" s="256"/>
      <c r="G38" s="256"/>
      <c r="H38" s="256"/>
      <c r="I38" s="256"/>
      <c r="J38" s="256"/>
      <c r="K38" s="256"/>
      <c r="L38" s="256"/>
      <c r="M38" s="256"/>
      <c r="N38" s="256"/>
      <c r="O38" s="587"/>
      <c r="P38" s="587"/>
      <c r="Q38" s="268"/>
      <c r="R38" s="256"/>
      <c r="S38" s="256"/>
      <c r="T38" s="256"/>
      <c r="U38" s="256"/>
      <c r="V38" s="256"/>
      <c r="W38" s="256"/>
      <c r="X38" s="256"/>
      <c r="Y38" s="256"/>
      <c r="Z38" s="256"/>
      <c r="AA38" s="256"/>
      <c r="AB38" s="256"/>
    </row>
    <row r="39" spans="1:28">
      <c r="A39" s="621"/>
      <c r="B39" s="621"/>
      <c r="C39" s="1599" t="str">
        <f>C3</f>
        <v>3Q17</v>
      </c>
      <c r="D39" s="1599"/>
      <c r="E39" s="621"/>
      <c r="F39" s="621"/>
      <c r="G39" s="621"/>
      <c r="H39" s="621"/>
      <c r="I39" s="621"/>
      <c r="J39" s="621"/>
      <c r="K39" s="621"/>
      <c r="L39" s="621"/>
      <c r="M39" s="621"/>
      <c r="N39" s="621"/>
      <c r="O39" s="587"/>
      <c r="P39" s="621"/>
      <c r="Q39" s="621"/>
      <c r="R39" s="621"/>
      <c r="S39" s="621"/>
      <c r="T39" s="621"/>
      <c r="U39" s="621"/>
      <c r="V39" s="621"/>
      <c r="W39" s="621"/>
      <c r="X39" s="621"/>
      <c r="Y39" s="621"/>
      <c r="Z39" s="621"/>
      <c r="AA39" s="621"/>
      <c r="AB39" s="621"/>
    </row>
    <row r="40" spans="1:28">
      <c r="A40" s="621"/>
      <c r="B40" s="1642" t="s">
        <v>254</v>
      </c>
      <c r="C40" s="1648">
        <f>turn!AF187</f>
        <v>-9.68397070139787</v>
      </c>
      <c r="D40" s="1648"/>
      <c r="E40" s="629"/>
      <c r="G40" s="621"/>
      <c r="K40" s="621"/>
      <c r="N40" s="621"/>
      <c r="O40" s="256"/>
      <c r="P40" s="621"/>
      <c r="U40" s="621"/>
      <c r="Y40" s="621"/>
    </row>
    <row r="41" spans="1:28" ht="13.5" thickBot="1">
      <c r="A41" s="621"/>
      <c r="B41" s="1643" t="s">
        <v>255</v>
      </c>
      <c r="C41" s="1649">
        <f>qtrSales!AK188</f>
        <v>-1.5037323003932235</v>
      </c>
      <c r="D41" s="1649"/>
      <c r="E41" s="216"/>
      <c r="G41" s="621"/>
      <c r="K41" s="621"/>
      <c r="N41" s="621"/>
      <c r="O41" s="621"/>
      <c r="P41" s="621"/>
      <c r="U41" s="621"/>
      <c r="Y41" s="621"/>
    </row>
    <row r="42" spans="1:28" ht="13.5" thickTop="1">
      <c r="A42" s="621"/>
      <c r="B42" s="1644" t="s">
        <v>48</v>
      </c>
      <c r="C42" s="1650">
        <f>C41-C40</f>
        <v>8.1802384010046474</v>
      </c>
      <c r="D42" s="1650"/>
      <c r="E42" s="216"/>
      <c r="G42" s="621"/>
      <c r="K42" s="621"/>
      <c r="N42" s="621"/>
      <c r="P42" s="621"/>
      <c r="U42" s="621"/>
      <c r="Y42" s="621"/>
    </row>
    <row r="43" spans="1:28">
      <c r="A43" s="621"/>
      <c r="G43" s="621"/>
      <c r="K43" s="621"/>
      <c r="N43" s="621"/>
      <c r="P43" s="621"/>
      <c r="U43" s="621"/>
      <c r="Y43" s="621"/>
    </row>
    <row r="44" spans="1:28">
      <c r="A44" s="621"/>
      <c r="G44" s="621"/>
      <c r="K44" s="621"/>
      <c r="N44" s="621"/>
      <c r="P44" s="621"/>
      <c r="U44" s="621"/>
      <c r="Y44" s="621"/>
    </row>
    <row r="45" spans="1:28">
      <c r="A45" s="621"/>
      <c r="C45" s="1599" t="str">
        <f>C3</f>
        <v>3Q17</v>
      </c>
      <c r="D45" s="1599" t="s">
        <v>2449</v>
      </c>
      <c r="G45" s="621"/>
      <c r="K45" s="621"/>
      <c r="N45" s="621"/>
      <c r="P45" s="621"/>
      <c r="U45" s="621"/>
      <c r="Y45" s="621"/>
    </row>
    <row r="46" spans="1:28">
      <c r="A46" s="621"/>
      <c r="B46" s="1506" t="s">
        <v>259</v>
      </c>
      <c r="C46" s="1717">
        <f>sumry!BZ44+sumry!CE44</f>
        <v>0.1</v>
      </c>
      <c r="D46" s="1717">
        <f>sumry!CC44+sumry!BX44</f>
        <v>0.06</v>
      </c>
      <c r="E46" s="1717"/>
      <c r="G46" s="621"/>
      <c r="K46" s="621"/>
      <c r="N46" s="621"/>
      <c r="P46" s="621"/>
      <c r="U46" s="621"/>
      <c r="Y46" s="621"/>
    </row>
    <row r="47" spans="1:28">
      <c r="A47" s="621"/>
      <c r="B47" s="1506" t="s">
        <v>256</v>
      </c>
      <c r="C47" s="1717">
        <f>SeqQtrSales!H205/100</f>
        <v>0.01</v>
      </c>
      <c r="D47" s="1717">
        <f>'segSales&amp;comps'!G211/100</f>
        <v>0</v>
      </c>
      <c r="E47" s="1815">
        <v>-0.01</v>
      </c>
      <c r="F47" s="1717">
        <v>-0.01</v>
      </c>
      <c r="G47" s="621"/>
      <c r="K47" s="621"/>
      <c r="N47" s="621"/>
      <c r="P47" s="621"/>
      <c r="U47" s="621"/>
      <c r="Y47" s="621"/>
    </row>
    <row r="48" spans="1:28">
      <c r="A48" s="621"/>
      <c r="B48" s="1506" t="s">
        <v>257</v>
      </c>
      <c r="C48" s="1717">
        <f>SeqQtrSales!H392/100</f>
        <v>0.02</v>
      </c>
      <c r="D48" s="1717">
        <f>'segSales&amp;comps'!S211/100</f>
        <v>0.03</v>
      </c>
      <c r="E48" s="1815">
        <v>0.06</v>
      </c>
      <c r="F48" s="1717">
        <v>0.06</v>
      </c>
      <c r="G48" s="621"/>
      <c r="K48" s="621"/>
      <c r="N48" s="621"/>
      <c r="P48" s="621"/>
      <c r="U48" s="621"/>
      <c r="Y48" s="621"/>
    </row>
    <row r="49" spans="1:25">
      <c r="A49" s="621"/>
      <c r="B49" s="1506" t="s">
        <v>258</v>
      </c>
      <c r="C49" s="1717">
        <f>SeqQtrSales!H486/100</f>
        <v>0.17</v>
      </c>
      <c r="D49" s="1717">
        <f>'segSales&amp;comps'!AI211/100</f>
        <v>0.04</v>
      </c>
      <c r="E49" s="1815">
        <v>0.04</v>
      </c>
      <c r="F49" s="1717">
        <v>4.1000000000000002E-2</v>
      </c>
      <c r="G49" s="621"/>
      <c r="K49" s="621"/>
      <c r="N49" s="621"/>
      <c r="P49" s="621"/>
      <c r="U49" s="621"/>
      <c r="Y49" s="621"/>
    </row>
    <row r="50" spans="1:25">
      <c r="A50" s="621"/>
      <c r="B50" s="1506" t="s">
        <v>260</v>
      </c>
      <c r="C50" s="1717">
        <f>SeqQtrSales!H562/100</f>
        <v>-0.05</v>
      </c>
      <c r="D50" s="1717">
        <f>'segSales&amp;comps'!Y211/100</f>
        <v>-0.05</v>
      </c>
      <c r="E50" s="1815">
        <v>-0.08</v>
      </c>
      <c r="F50" s="1717">
        <v>-7.4999999999999997E-2</v>
      </c>
      <c r="G50" s="621"/>
      <c r="K50" s="621"/>
      <c r="N50" s="621"/>
      <c r="P50" s="621"/>
      <c r="U50" s="621"/>
      <c r="Y50" s="621"/>
    </row>
    <row r="51" spans="1:25">
      <c r="A51" s="621"/>
      <c r="G51" s="621"/>
      <c r="K51" s="621"/>
      <c r="N51" s="621"/>
      <c r="P51" s="621"/>
      <c r="U51" s="621"/>
      <c r="Y51" s="621"/>
    </row>
    <row r="52" spans="1:25">
      <c r="A52" s="621"/>
      <c r="B52" s="132" t="s">
        <v>2450</v>
      </c>
      <c r="C52" s="736">
        <f>'segSales&amp;comps'!E215</f>
        <v>443.7</v>
      </c>
      <c r="E52" s="736">
        <v>422.2281361983471</v>
      </c>
      <c r="G52" s="621"/>
      <c r="K52" s="621"/>
      <c r="N52" s="621"/>
      <c r="P52" s="621"/>
      <c r="U52" s="621"/>
      <c r="Y52" s="621"/>
    </row>
    <row r="53" spans="1:25">
      <c r="A53" s="621"/>
      <c r="B53" s="132" t="s">
        <v>2451</v>
      </c>
      <c r="C53" s="736">
        <f>'segSales&amp;comps'!Q215</f>
        <v>259</v>
      </c>
      <c r="E53" s="736">
        <v>256.82688355555553</v>
      </c>
      <c r="G53" s="621"/>
      <c r="K53" s="621"/>
      <c r="N53" s="621"/>
      <c r="P53" s="621"/>
      <c r="U53" s="621"/>
      <c r="Y53" s="621"/>
    </row>
    <row r="54" spans="1:25">
      <c r="A54" s="621"/>
      <c r="B54" s="132" t="s">
        <v>2452</v>
      </c>
      <c r="C54" s="736">
        <f>'segSales&amp;comps'!AG215</f>
        <v>106.7</v>
      </c>
      <c r="E54" s="736">
        <v>93.249723333333336</v>
      </c>
      <c r="G54" s="621"/>
      <c r="K54" s="621"/>
      <c r="N54" s="621"/>
      <c r="P54" s="621"/>
      <c r="U54" s="621"/>
      <c r="Y54" s="621"/>
    </row>
    <row r="55" spans="1:25">
      <c r="A55" s="621"/>
      <c r="B55" s="132" t="s">
        <v>2453</v>
      </c>
      <c r="C55" s="736">
        <f>'segSales&amp;comps'!W215</f>
        <v>121.8</v>
      </c>
      <c r="E55" s="736">
        <v>99.989049999999992</v>
      </c>
      <c r="G55" s="621"/>
      <c r="K55" s="621"/>
      <c r="N55" s="621"/>
      <c r="P55" s="621"/>
      <c r="U55" s="621"/>
      <c r="Y55" s="621"/>
    </row>
  </sheetData>
  <phoneticPr fontId="56"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C182"/>
  <sheetViews>
    <sheetView topLeftCell="A76" zoomScale="85" zoomScaleNormal="85" zoomScaleSheetLayoutView="85" workbookViewId="0">
      <selection activeCell="R112" sqref="R112"/>
    </sheetView>
  </sheetViews>
  <sheetFormatPr defaultRowHeight="12.75" outlineLevelRow="2" outlineLevelCol="1"/>
  <cols>
    <col min="1" max="1" width="20" customWidth="1"/>
    <col min="2" max="2" width="1" customWidth="1"/>
    <col min="3" max="10" width="9.140625" hidden="1" customWidth="1" outlineLevel="1"/>
    <col min="11" max="11" width="9.140625" collapsed="1"/>
    <col min="12" max="12" width="10.5703125" bestFit="1" customWidth="1"/>
    <col min="13" max="19" width="10.7109375" bestFit="1" customWidth="1"/>
    <col min="20" max="21" width="10.7109375" customWidth="1"/>
    <col min="22" max="22" width="8.7109375" bestFit="1" customWidth="1"/>
    <col min="23" max="23" width="9.42578125" bestFit="1" customWidth="1"/>
    <col min="24" max="24" width="7.42578125" customWidth="1"/>
    <col min="25" max="25" width="8.28515625" bestFit="1" customWidth="1"/>
  </cols>
  <sheetData>
    <row r="1" spans="1:23">
      <c r="T1" s="621"/>
      <c r="U1" s="621"/>
    </row>
    <row r="2" spans="1:23">
      <c r="T2" s="621"/>
      <c r="U2" s="621"/>
      <c r="V2" s="132" t="s">
        <v>828</v>
      </c>
      <c r="W2" s="230" t="s">
        <v>829</v>
      </c>
    </row>
    <row r="3" spans="1:23">
      <c r="A3" s="1671" t="s">
        <v>1833</v>
      </c>
      <c r="B3" s="1506"/>
      <c r="C3" s="1607" t="s">
        <v>584</v>
      </c>
      <c r="D3" s="1607" t="s">
        <v>64</v>
      </c>
      <c r="E3" s="1607" t="s">
        <v>1364</v>
      </c>
      <c r="F3" s="1607" t="s">
        <v>1891</v>
      </c>
      <c r="G3" s="1607" t="s">
        <v>1892</v>
      </c>
      <c r="H3" s="1607" t="s">
        <v>158</v>
      </c>
      <c r="I3" s="1607" t="s">
        <v>159</v>
      </c>
      <c r="J3" s="1607" t="s">
        <v>1592</v>
      </c>
      <c r="K3" s="1607" t="s">
        <v>705</v>
      </c>
      <c r="L3" s="1607" t="s">
        <v>1126</v>
      </c>
      <c r="M3" s="1607" t="s">
        <v>2396</v>
      </c>
      <c r="N3" s="1607" t="s">
        <v>2459</v>
      </c>
      <c r="O3" s="1607" t="s">
        <v>2460</v>
      </c>
      <c r="P3" s="1607" t="s">
        <v>1832</v>
      </c>
      <c r="Q3" s="1607" t="s">
        <v>1307</v>
      </c>
      <c r="R3" s="1607" t="s">
        <v>2440</v>
      </c>
      <c r="S3" s="1607" t="s">
        <v>2457</v>
      </c>
      <c r="T3" s="2380" t="s">
        <v>3103</v>
      </c>
      <c r="U3" s="319"/>
      <c r="V3" s="789">
        <v>62.98</v>
      </c>
      <c r="W3" s="1688">
        <f>Y62/-Y103</f>
        <v>-6.4279420192322503</v>
      </c>
    </row>
    <row r="4" spans="1:23">
      <c r="A4" s="136" t="s">
        <v>468</v>
      </c>
      <c r="B4" s="1506"/>
      <c r="C4" s="220" t="s">
        <v>1988</v>
      </c>
      <c r="D4" s="220" t="s">
        <v>1988</v>
      </c>
      <c r="E4" s="220" t="s">
        <v>1988</v>
      </c>
      <c r="F4" s="220" t="s">
        <v>1988</v>
      </c>
      <c r="G4" s="220" t="s">
        <v>1988</v>
      </c>
      <c r="H4" s="220" t="s">
        <v>1988</v>
      </c>
      <c r="I4" s="220" t="s">
        <v>1988</v>
      </c>
      <c r="J4" s="220" t="s">
        <v>1988</v>
      </c>
      <c r="K4" s="220" t="s">
        <v>1988</v>
      </c>
      <c r="L4" s="220" t="s">
        <v>1988</v>
      </c>
      <c r="M4" s="220" t="s">
        <v>1988</v>
      </c>
      <c r="N4" s="220" t="s">
        <v>1988</v>
      </c>
      <c r="O4" s="220" t="s">
        <v>1988</v>
      </c>
      <c r="P4" s="220" t="s">
        <v>1988</v>
      </c>
      <c r="Q4" s="220" t="s">
        <v>1988</v>
      </c>
      <c r="R4" s="220" t="s">
        <v>1988</v>
      </c>
      <c r="S4" s="220" t="s">
        <v>1988</v>
      </c>
      <c r="T4" s="270" t="s">
        <v>1988</v>
      </c>
      <c r="U4" s="270"/>
    </row>
    <row r="5" spans="1:23">
      <c r="C5" s="132"/>
      <c r="D5" s="132"/>
      <c r="E5" s="132"/>
      <c r="F5" s="132"/>
      <c r="G5" s="132"/>
      <c r="H5" s="132"/>
      <c r="I5" s="132"/>
      <c r="J5" s="132"/>
      <c r="K5" s="132"/>
      <c r="L5" s="132"/>
      <c r="M5" s="132"/>
      <c r="T5" s="621"/>
      <c r="U5" s="621"/>
    </row>
    <row r="6" spans="1:23">
      <c r="A6" s="1672" t="s">
        <v>411</v>
      </c>
      <c r="C6" s="1673">
        <f>'yrP&amp;L'!P7</f>
        <v>2204.8310000000001</v>
      </c>
      <c r="D6" s="1673">
        <f>'yrP&amp;L'!Q7</f>
        <v>2395.1530000000002</v>
      </c>
      <c r="E6" s="1673">
        <f>'yrP&amp;L'!R7</f>
        <v>2560.7339999999995</v>
      </c>
      <c r="F6" s="1673">
        <f>'yrP&amp;L'!S7</f>
        <v>2938.7709999999997</v>
      </c>
      <c r="G6" s="1673">
        <f>'yrP&amp;L'!T7</f>
        <v>2848.8589999999999</v>
      </c>
      <c r="H6" s="1673">
        <f>'yrP&amp;L'!U7</f>
        <v>2709.7300000000005</v>
      </c>
      <c r="I6" s="1673">
        <f>'yrP&amp;L'!V7</f>
        <v>3085.2899999999995</v>
      </c>
      <c r="J6" s="1673">
        <f>'yrP&amp;L'!W7</f>
        <v>3642.9369999999999</v>
      </c>
      <c r="K6" s="1673">
        <f>'yrP&amp;L'!X7</f>
        <v>3794.2489999999998</v>
      </c>
      <c r="L6" s="1673">
        <f>'yrP&amp;L'!Y7</f>
        <v>4031.13</v>
      </c>
      <c r="M6" s="1673">
        <f>'yrP&amp;L'!Z7</f>
        <v>4249.9129999999996</v>
      </c>
      <c r="N6" s="1673">
        <f>'yrP&amp;L'!AA7</f>
        <v>4104.7000000000007</v>
      </c>
      <c r="O6" s="1673">
        <f>'yrP&amp;L'!AB7</f>
        <v>4001.7999999999997</v>
      </c>
      <c r="P6" s="1673">
        <f>'yrP&amp;L'!AC7</f>
        <v>4169.8</v>
      </c>
      <c r="Q6" s="1673">
        <f>'yrP&amp;L'!AD7</f>
        <v>4384.6194342418175</v>
      </c>
      <c r="R6" s="1673">
        <f>'yrP&amp;L'!AE7</f>
        <v>4623.2488669288232</v>
      </c>
      <c r="S6" s="1673">
        <f>'yrP&amp;L'!AF7</f>
        <v>4869.5236592022247</v>
      </c>
      <c r="T6" s="2381">
        <f>'yrP&amp;L'!AG7</f>
        <v>5072.1522777848559</v>
      </c>
      <c r="U6" s="2381"/>
    </row>
    <row r="7" spans="1:23" outlineLevel="1">
      <c r="A7" s="1672"/>
      <c r="C7" s="1674"/>
      <c r="D7" s="1674"/>
      <c r="E7" s="1674"/>
      <c r="F7" s="1674"/>
      <c r="G7" s="1674"/>
      <c r="H7" s="1674"/>
      <c r="I7" s="1674"/>
      <c r="J7" s="1674"/>
      <c r="K7" s="1674"/>
      <c r="L7" s="1674"/>
      <c r="M7" s="1674"/>
      <c r="T7" s="621"/>
      <c r="U7" s="621"/>
    </row>
    <row r="8" spans="1:23" outlineLevel="1">
      <c r="A8" s="1672" t="s">
        <v>469</v>
      </c>
      <c r="C8" s="1673">
        <f>'yrP&amp;L'!P11</f>
        <v>974.25800000000004</v>
      </c>
      <c r="D8" s="1673">
        <f>'yrP&amp;L'!Q11</f>
        <v>1052.8129999999999</v>
      </c>
      <c r="E8" s="1673">
        <f>'yrP&amp;L'!R11</f>
        <v>1087.914</v>
      </c>
      <c r="F8" s="1673">
        <f>'yrP&amp;L'!S11</f>
        <v>1262.2939999999999</v>
      </c>
      <c r="G8" s="1673">
        <f>'yrP&amp;L'!T11</f>
        <v>1202.4170000000001</v>
      </c>
      <c r="H8" s="1673">
        <f>'yrP&amp;L'!U11</f>
        <v>1179.4850000000001</v>
      </c>
      <c r="I8" s="1673">
        <f>'yrP&amp;L'!V11</f>
        <v>1262.002</v>
      </c>
      <c r="J8" s="1673">
        <f>'yrP&amp;L'!W11</f>
        <v>1491.57</v>
      </c>
      <c r="K8" s="1673">
        <f>'yrP&amp;L'!X11</f>
        <v>1630.9649999999999</v>
      </c>
      <c r="L8" s="1673">
        <f>'yrP&amp;L'!Y11</f>
        <v>1690.6869999999999</v>
      </c>
      <c r="M8" s="1673">
        <f>'yrP&amp;L'!Z11</f>
        <v>1712.7380000000001</v>
      </c>
      <c r="N8" s="1673">
        <f>'yrP&amp;L'!AA11</f>
        <v>1613.3999999999999</v>
      </c>
      <c r="O8" s="1673">
        <f>'yrP&amp;L'!AB11</f>
        <v>1511.4</v>
      </c>
      <c r="P8" s="1673">
        <f>'yrP&amp;L'!AC11</f>
        <v>1565</v>
      </c>
      <c r="Q8" s="1673">
        <f>'yrP&amp;L'!AD11</f>
        <v>1636.5887581401394</v>
      </c>
      <c r="R8" s="1673">
        <f>'yrP&amp;L'!AE11</f>
        <v>1719.8485784975221</v>
      </c>
      <c r="S8" s="1673">
        <f>'yrP&amp;L'!AF11</f>
        <v>1807.5671822958657</v>
      </c>
      <c r="T8" s="2381">
        <f>'yrP&amp;L'!AG11</f>
        <v>1881.7684950581815</v>
      </c>
      <c r="U8" s="2381"/>
    </row>
    <row r="9" spans="1:23" outlineLevel="1">
      <c r="A9" s="1672"/>
      <c r="C9" s="1674"/>
      <c r="D9" s="1674"/>
      <c r="E9" s="1674"/>
      <c r="F9" s="1674"/>
      <c r="G9" s="1674"/>
      <c r="H9" s="1674"/>
      <c r="I9" s="1674"/>
      <c r="J9" s="1674"/>
      <c r="K9" s="1674"/>
      <c r="L9" s="1674"/>
      <c r="M9" s="1674"/>
      <c r="T9" s="621"/>
      <c r="U9" s="621"/>
    </row>
    <row r="10" spans="1:23">
      <c r="A10" s="1672" t="s">
        <v>470</v>
      </c>
      <c r="C10" s="1673">
        <f t="shared" ref="C10:P10" si="0">C6-C8</f>
        <v>1230.5730000000001</v>
      </c>
      <c r="D10" s="1673">
        <f t="shared" si="0"/>
        <v>1342.3400000000004</v>
      </c>
      <c r="E10" s="1673">
        <f t="shared" si="0"/>
        <v>1472.8199999999995</v>
      </c>
      <c r="F10" s="1673">
        <f t="shared" si="0"/>
        <v>1676.4769999999999</v>
      </c>
      <c r="G10" s="1673">
        <f t="shared" si="0"/>
        <v>1646.4419999999998</v>
      </c>
      <c r="H10" s="1673">
        <f t="shared" si="0"/>
        <v>1530.2450000000003</v>
      </c>
      <c r="I10" s="1673">
        <f t="shared" si="0"/>
        <v>1823.2879999999996</v>
      </c>
      <c r="J10" s="1673">
        <f t="shared" si="0"/>
        <v>2151.3670000000002</v>
      </c>
      <c r="K10" s="1673">
        <f>K6-K8</f>
        <v>2163.2839999999997</v>
      </c>
      <c r="L10" s="1673">
        <f t="shared" si="0"/>
        <v>2340.4430000000002</v>
      </c>
      <c r="M10" s="1673">
        <f t="shared" si="0"/>
        <v>2537.1749999999993</v>
      </c>
      <c r="N10" s="1673">
        <f t="shared" si="0"/>
        <v>2491.3000000000011</v>
      </c>
      <c r="O10" s="1673">
        <f t="shared" si="0"/>
        <v>2490.3999999999996</v>
      </c>
      <c r="P10" s="1673">
        <f t="shared" si="0"/>
        <v>2604.8000000000002</v>
      </c>
      <c r="Q10" s="1673">
        <f>Q6-Q8</f>
        <v>2748.0306761016782</v>
      </c>
      <c r="R10" s="1673">
        <f>R6-R8</f>
        <v>2903.4002884313013</v>
      </c>
      <c r="S10" s="1673">
        <f>S6-S8</f>
        <v>3061.9564769063591</v>
      </c>
      <c r="T10" s="2381">
        <f>T6-T8</f>
        <v>3190.3837827266743</v>
      </c>
      <c r="U10" s="2381"/>
    </row>
    <row r="11" spans="1:23">
      <c r="A11" s="1672" t="s">
        <v>471</v>
      </c>
      <c r="C11" s="1674">
        <f>'yrP&amp;L'!P14</f>
        <v>936.04399999999998</v>
      </c>
      <c r="D11" s="1674">
        <f>'yrP&amp;L'!Q14</f>
        <v>959.63499999999999</v>
      </c>
      <c r="E11" s="1674">
        <f>'yrP&amp;L'!R14</f>
        <v>1010.754</v>
      </c>
      <c r="F11" s="1674">
        <f>'yrP&amp;L'!S14</f>
        <v>1131.4770000000001</v>
      </c>
      <c r="G11" s="1674">
        <f>'yrP&amp;L'!T14</f>
        <v>1153.944</v>
      </c>
      <c r="H11" s="1674">
        <f>'yrP&amp;L'!U14</f>
        <v>1090.1689999999999</v>
      </c>
      <c r="I11" s="1674">
        <f>'yrP&amp;L'!V14</f>
        <v>1210.8719999999998</v>
      </c>
      <c r="J11" s="1674">
        <f>'yrP&amp;L'!W14</f>
        <v>1400.223</v>
      </c>
      <c r="K11" s="1674">
        <f>'yrP&amp;L'!X14</f>
        <v>1466.067</v>
      </c>
      <c r="L11" s="1674">
        <f>'yrP&amp;L'!Y14</f>
        <v>1546.5029999999999</v>
      </c>
      <c r="M11" s="1674">
        <f>'yrP&amp;L'!Z14</f>
        <v>1645.7460000000001</v>
      </c>
      <c r="N11" s="1674">
        <f>'yrP&amp;L'!AA14</f>
        <v>1684.4999999999998</v>
      </c>
      <c r="O11" s="1674">
        <f>'yrP&amp;L'!AB14</f>
        <v>1731.2</v>
      </c>
      <c r="P11" s="1674">
        <f>'yrP&amp;L'!AC14</f>
        <v>1810.4</v>
      </c>
      <c r="Q11" s="1674">
        <f>'yrP&amp;L'!AD14</f>
        <v>1955.8699025102042</v>
      </c>
      <c r="R11" s="1674">
        <f>'yrP&amp;L'!AE14</f>
        <v>2057.3457457833265</v>
      </c>
      <c r="S11" s="1674">
        <f>'yrP&amp;L'!AF14</f>
        <v>2156.2250762947451</v>
      </c>
      <c r="T11" s="2382">
        <f>'yrP&amp;L'!AG14</f>
        <v>2233.7758631364504</v>
      </c>
      <c r="U11" s="2382"/>
    </row>
    <row r="12" spans="1:23" outlineLevel="1">
      <c r="A12" s="1672" t="s">
        <v>1834</v>
      </c>
      <c r="C12" s="1674">
        <f>'yrP&amp;L'!P28</f>
        <v>106.83199999999999</v>
      </c>
      <c r="D12" s="1674">
        <f>'yrP&amp;L'!Q28</f>
        <v>109.449</v>
      </c>
      <c r="E12" s="1674">
        <f>'yrP&amp;L'!R28</f>
        <v>115.297</v>
      </c>
      <c r="F12" s="1674">
        <f>'yrP&amp;L'!S28</f>
        <v>128.07599999999999</v>
      </c>
      <c r="G12" s="1674">
        <f>'yrP&amp;L'!T28</f>
        <v>135.83199999999999</v>
      </c>
      <c r="H12" s="1674">
        <f>'yrP&amp;L'!U28</f>
        <v>139.41900000000001</v>
      </c>
      <c r="I12" s="1674">
        <f>'yrP&amp;L'!V28</f>
        <v>147.87</v>
      </c>
      <c r="J12" s="1674">
        <f>'yrP&amp;L'!W28</f>
        <v>145.934</v>
      </c>
      <c r="K12" s="1674">
        <f>'yrP&amp;L'!X28</f>
        <v>163.649</v>
      </c>
      <c r="L12" s="1674">
        <f>'yrP&amp;L'!Y28</f>
        <v>180.62899999999999</v>
      </c>
      <c r="M12" s="1674">
        <f>'yrP&amp;L'!Z28</f>
        <v>194.15799999999999</v>
      </c>
      <c r="N12" s="1674">
        <f>'yrP&amp;L'!AA28</f>
        <v>202.5</v>
      </c>
      <c r="O12" s="1674">
        <f>'yrP&amp;L'!AB28</f>
        <v>208.5</v>
      </c>
      <c r="P12" s="1674">
        <f>'yrP&amp;L'!AC28</f>
        <v>206.9</v>
      </c>
      <c r="Q12" s="1674">
        <f>'yrP&amp;L'!AD28</f>
        <v>210.46173284360725</v>
      </c>
      <c r="R12" s="1674">
        <f>'yrP&amp;L'!AE28</f>
        <v>217.29269674565469</v>
      </c>
      <c r="S12" s="1674">
        <f>'yrP&amp;L'!AF28</f>
        <v>228.86761198250457</v>
      </c>
      <c r="T12" s="2382">
        <f>'yrP&amp;L'!AG28</f>
        <v>202.88609111139425</v>
      </c>
      <c r="U12" s="2382"/>
    </row>
    <row r="13" spans="1:23">
      <c r="A13" s="1675" t="s">
        <v>487</v>
      </c>
      <c r="C13" s="1673">
        <f>C10-C11</f>
        <v>294.52900000000011</v>
      </c>
      <c r="D13" s="1673">
        <f t="shared" ref="D13:P13" si="1">D10-D11</f>
        <v>382.70500000000038</v>
      </c>
      <c r="E13" s="1673">
        <f t="shared" si="1"/>
        <v>462.06599999999946</v>
      </c>
      <c r="F13" s="1673">
        <f t="shared" si="1"/>
        <v>544.99999999999977</v>
      </c>
      <c r="G13" s="1673">
        <f t="shared" si="1"/>
        <v>492.49799999999982</v>
      </c>
      <c r="H13" s="1673">
        <f t="shared" si="1"/>
        <v>440.07600000000048</v>
      </c>
      <c r="I13" s="1673">
        <f t="shared" si="1"/>
        <v>612.41599999999971</v>
      </c>
      <c r="J13" s="1673">
        <f t="shared" si="1"/>
        <v>751.14400000000023</v>
      </c>
      <c r="K13" s="1673">
        <f>K10-K11</f>
        <v>697.21699999999964</v>
      </c>
      <c r="L13" s="1673">
        <f>L10-L11</f>
        <v>793.94000000000028</v>
      </c>
      <c r="M13" s="1673">
        <f t="shared" si="1"/>
        <v>891.42899999999918</v>
      </c>
      <c r="N13" s="1673">
        <f t="shared" si="1"/>
        <v>806.80000000000132</v>
      </c>
      <c r="O13" s="1673">
        <f t="shared" si="1"/>
        <v>759.19999999999959</v>
      </c>
      <c r="P13" s="1673">
        <f t="shared" si="1"/>
        <v>794.40000000000009</v>
      </c>
      <c r="Q13" s="1673">
        <f>Q10-Q11</f>
        <v>792.16077359147403</v>
      </c>
      <c r="R13" s="1673">
        <f>R10-R11</f>
        <v>846.05454264797481</v>
      </c>
      <c r="S13" s="1673">
        <f>S10-S11</f>
        <v>905.73140061161394</v>
      </c>
      <c r="T13" s="2381">
        <f>T10-T11</f>
        <v>956.6079195902239</v>
      </c>
      <c r="U13" s="2381"/>
    </row>
    <row r="14" spans="1:23" outlineLevel="1">
      <c r="A14" s="1672"/>
      <c r="C14" s="1674"/>
      <c r="D14" s="1674"/>
      <c r="E14" s="1674"/>
      <c r="F14" s="1674"/>
      <c r="G14" s="1674"/>
      <c r="H14" s="1674"/>
      <c r="I14" s="1674"/>
      <c r="J14" s="1674"/>
      <c r="K14" s="1674"/>
      <c r="L14" s="1674"/>
      <c r="M14" s="1674"/>
      <c r="T14" s="621"/>
      <c r="U14" s="621"/>
    </row>
    <row r="15" spans="1:23" outlineLevel="1">
      <c r="A15" s="1672" t="s">
        <v>1835</v>
      </c>
      <c r="C15" s="1674">
        <f>'yrP&amp;L'!P34</f>
        <v>15.978</v>
      </c>
      <c r="D15" s="1674">
        <f>'yrP&amp;L'!Q34</f>
        <v>14.731</v>
      </c>
      <c r="E15" s="1674">
        <f>'yrP&amp;L'!R34</f>
        <v>10.488</v>
      </c>
      <c r="F15" s="1674">
        <f>'yrP&amp;L'!S34</f>
        <v>8.1310000000000002</v>
      </c>
      <c r="G15" s="1674">
        <f>'yrP&amp;L'!T34</f>
        <v>28.9</v>
      </c>
      <c r="H15" s="1674">
        <f>'yrP&amp;L'!U34</f>
        <v>50.517999999999994</v>
      </c>
      <c r="I15" s="1674">
        <f>'yrP&amp;L'!V34</f>
        <v>47.347000000000001</v>
      </c>
      <c r="J15" s="1674">
        <f>'yrP&amp;L'!W34</f>
        <v>43.475000000000001</v>
      </c>
      <c r="K15" s="1674">
        <f>'yrP&amp;L'!X34</f>
        <v>53.641000000000005</v>
      </c>
      <c r="L15" s="1674">
        <f>'yrP&amp;L'!Y34</f>
        <v>56.952000000000005</v>
      </c>
      <c r="M15" s="1674">
        <f>'yrP&amp;L'!Z34</f>
        <v>60.113</v>
      </c>
      <c r="N15" s="1674">
        <f>'yrP&amp;L'!AA34</f>
        <v>50.199999999999996</v>
      </c>
      <c r="O15" s="1674">
        <f>'yrP&amp;L'!AB34</f>
        <v>44.599999999999994</v>
      </c>
      <c r="P15" s="1674">
        <f>'yrP&amp;L'!AC34</f>
        <v>34</v>
      </c>
      <c r="Q15" s="1674">
        <f>'yrP&amp;L'!AD34</f>
        <v>32.9</v>
      </c>
      <c r="R15" s="1674">
        <f>'yrP&amp;L'!AE34</f>
        <v>32.9</v>
      </c>
      <c r="S15" s="1674">
        <f>'yrP&amp;L'!AF34</f>
        <v>32.9</v>
      </c>
      <c r="T15" s="2382">
        <f>'yrP&amp;L'!AG34</f>
        <v>32.9</v>
      </c>
      <c r="U15" s="2382"/>
    </row>
    <row r="16" spans="1:23" outlineLevel="1">
      <c r="A16" s="1675" t="s">
        <v>1381</v>
      </c>
      <c r="C16" s="1673">
        <f t="shared" ref="C16:K16" si="2">C13-C15</f>
        <v>278.5510000000001</v>
      </c>
      <c r="D16" s="1673">
        <f t="shared" si="2"/>
        <v>367.97400000000039</v>
      </c>
      <c r="E16" s="1673">
        <f t="shared" si="2"/>
        <v>451.57799999999946</v>
      </c>
      <c r="F16" s="1673">
        <f t="shared" si="2"/>
        <v>536.8689999999998</v>
      </c>
      <c r="G16" s="1673">
        <f t="shared" si="2"/>
        <v>463.59799999999984</v>
      </c>
      <c r="H16" s="1673">
        <f t="shared" si="2"/>
        <v>389.5580000000005</v>
      </c>
      <c r="I16" s="1673">
        <f t="shared" si="2"/>
        <v>565.06899999999973</v>
      </c>
      <c r="J16" s="1673">
        <f t="shared" si="2"/>
        <v>707.66900000000021</v>
      </c>
      <c r="K16" s="1673">
        <f t="shared" si="2"/>
        <v>643.57599999999968</v>
      </c>
      <c r="L16" s="1673">
        <f t="shared" ref="L16:Q16" si="3">L13-L15</f>
        <v>736.98800000000028</v>
      </c>
      <c r="M16" s="1673">
        <f t="shared" si="3"/>
        <v>831.31599999999912</v>
      </c>
      <c r="N16" s="1673">
        <f t="shared" si="3"/>
        <v>756.60000000000127</v>
      </c>
      <c r="O16" s="1673">
        <f t="shared" si="3"/>
        <v>714.59999999999957</v>
      </c>
      <c r="P16" s="1673">
        <f t="shared" si="3"/>
        <v>760.40000000000009</v>
      </c>
      <c r="Q16" s="1673">
        <f t="shared" si="3"/>
        <v>759.26077359147405</v>
      </c>
      <c r="R16" s="1673">
        <f>R13-R15</f>
        <v>813.15454264797484</v>
      </c>
      <c r="S16" s="1673">
        <f>S13-S15</f>
        <v>872.83140061161396</v>
      </c>
      <c r="T16" s="2381">
        <f>T13-T15</f>
        <v>923.70791959022392</v>
      </c>
      <c r="U16" s="2381"/>
    </row>
    <row r="17" spans="1:25" outlineLevel="1">
      <c r="A17" s="1672"/>
      <c r="C17" s="1674"/>
      <c r="D17" s="1674"/>
      <c r="E17" s="1674"/>
      <c r="F17" s="1674"/>
      <c r="G17" s="1674"/>
      <c r="H17" s="1674"/>
      <c r="I17" s="1674"/>
      <c r="J17" s="1674"/>
      <c r="K17" s="1674"/>
      <c r="L17" s="1674"/>
      <c r="M17" s="1674"/>
      <c r="T17" s="621"/>
      <c r="U17" s="621"/>
    </row>
    <row r="18" spans="1:25">
      <c r="A18" s="1672" t="s">
        <v>474</v>
      </c>
      <c r="C18" s="1674">
        <f>'yrP&amp;L'!P43</f>
        <v>167.84899999999999</v>
      </c>
      <c r="D18" s="1674">
        <f>'yrP&amp;L'!Q43</f>
        <v>113.319</v>
      </c>
      <c r="E18" s="1674">
        <f>'yrP&amp;L'!R43</f>
        <v>163.91499999999999</v>
      </c>
      <c r="F18" s="1674">
        <f>'yrP&amp;L'!S43</f>
        <v>195.779</v>
      </c>
      <c r="G18" s="1674">
        <f>'yrP&amp;L'!T43</f>
        <v>162.11892</v>
      </c>
      <c r="H18" s="1674">
        <f>'yrP&amp;L'!U43</f>
        <v>134.31200000000001</v>
      </c>
      <c r="I18" s="1674">
        <f>'yrP&amp;L'!V43</f>
        <v>188.72899999999998</v>
      </c>
      <c r="J18" s="1674">
        <f>'yrP&amp;L'!W43</f>
        <v>242.48500000000001</v>
      </c>
      <c r="K18" s="1674">
        <f>'yrP&amp;L'!X43</f>
        <v>227.41900000000001</v>
      </c>
      <c r="L18" s="1674">
        <f>'yrP&amp;L'!Y43</f>
        <v>255.96600000000001</v>
      </c>
      <c r="M18" s="1674">
        <f>'yrP&amp;L'!Z43</f>
        <v>253.358</v>
      </c>
      <c r="N18" s="1674">
        <f>'yrP&amp;L'!AA43</f>
        <v>262.15699999999998</v>
      </c>
      <c r="O18" s="1674">
        <f>'yrP&amp;L'!AB43</f>
        <v>244.5</v>
      </c>
      <c r="P18" s="1674">
        <f>'yrP&amp;L'!AC43</f>
        <v>244.2</v>
      </c>
      <c r="Q18" s="1674">
        <f>'yrP&amp;L'!AD43</f>
        <v>212.5930166056128</v>
      </c>
      <c r="R18" s="1674">
        <f>'yrP&amp;L'!AE43</f>
        <v>203.28863566199371</v>
      </c>
      <c r="S18" s="1674">
        <f>'yrP&amp;L'!AF43</f>
        <v>218.20785015290349</v>
      </c>
      <c r="T18" s="2382">
        <f>'yrP&amp;L'!AG43</f>
        <v>230.92697989755598</v>
      </c>
      <c r="U18" s="2382"/>
      <c r="V18" s="132" t="s">
        <v>2461</v>
      </c>
      <c r="W18" s="132" t="s">
        <v>830</v>
      </c>
      <c r="X18" s="132" t="s">
        <v>831</v>
      </c>
      <c r="Y18" s="132" t="s">
        <v>832</v>
      </c>
    </row>
    <row r="19" spans="1:25" outlineLevel="1">
      <c r="A19" s="1672" t="s">
        <v>2448</v>
      </c>
      <c r="C19" s="1674"/>
      <c r="D19" s="1674"/>
      <c r="E19" s="1674">
        <f>'yrP&amp;L'!R37</f>
        <v>0</v>
      </c>
      <c r="F19" s="1674">
        <f>'yrP&amp;L'!S37</f>
        <v>0</v>
      </c>
      <c r="G19" s="1674">
        <f>'yrP&amp;L'!T37</f>
        <v>0</v>
      </c>
      <c r="H19" s="1674">
        <f>'yrP&amp;L'!U37</f>
        <v>0</v>
      </c>
      <c r="I19" s="1674">
        <f>'yrP&amp;L'!V37</f>
        <v>0</v>
      </c>
      <c r="J19" s="1674">
        <f>'yrP&amp;L'!W37</f>
        <v>0</v>
      </c>
      <c r="K19" s="1674">
        <f>'yrP&amp;L'!X37</f>
        <v>0</v>
      </c>
      <c r="L19" s="1674">
        <f>'yrP&amp;L'!Y37</f>
        <v>0</v>
      </c>
      <c r="M19" s="1674">
        <f>'yrP&amp;L'!Z37</f>
        <v>-32.822999999999993</v>
      </c>
      <c r="N19" s="1674">
        <f>'yrP&amp;L'!AA37</f>
        <v>0</v>
      </c>
      <c r="O19" s="1674">
        <f>'yrP&amp;L'!AB37</f>
        <v>0</v>
      </c>
      <c r="P19" s="1674">
        <f>'yrP&amp;L'!AC37</f>
        <v>0</v>
      </c>
      <c r="Q19" s="1674">
        <f>'yrP&amp;L'!AD37</f>
        <v>0</v>
      </c>
      <c r="R19" s="1674">
        <f>'yrP&amp;L'!AE37</f>
        <v>0</v>
      </c>
      <c r="S19" s="1674">
        <f>'yrP&amp;L'!AF37</f>
        <v>0</v>
      </c>
      <c r="T19" s="2382">
        <f>'yrP&amp;L'!AG37</f>
        <v>0</v>
      </c>
      <c r="U19" s="2382"/>
      <c r="V19" s="132"/>
      <c r="W19" s="132"/>
      <c r="X19" s="132"/>
    </row>
    <row r="20" spans="1:25" outlineLevel="1">
      <c r="A20" s="1672"/>
      <c r="C20" s="1674"/>
      <c r="D20" s="1674"/>
      <c r="E20" s="1674"/>
      <c r="F20" s="1674"/>
      <c r="G20" s="1674"/>
      <c r="H20" s="1674"/>
      <c r="I20" s="1674"/>
      <c r="J20" s="1674"/>
      <c r="K20" s="1674"/>
      <c r="L20" s="1674"/>
      <c r="M20" s="1674"/>
      <c r="T20" s="621"/>
      <c r="U20" s="621"/>
      <c r="V20" s="132"/>
      <c r="W20" s="132"/>
      <c r="X20" s="132"/>
    </row>
    <row r="21" spans="1:25" outlineLevel="1">
      <c r="A21" s="1672" t="s">
        <v>1836</v>
      </c>
      <c r="C21" s="1673">
        <f t="shared" ref="C21:K21" si="4">C16-C18+C19</f>
        <v>110.70200000000011</v>
      </c>
      <c r="D21" s="1673">
        <f t="shared" si="4"/>
        <v>254.65500000000037</v>
      </c>
      <c r="E21" s="1673">
        <f t="shared" si="4"/>
        <v>287.66299999999944</v>
      </c>
      <c r="F21" s="1673">
        <f t="shared" si="4"/>
        <v>341.0899999999998</v>
      </c>
      <c r="G21" s="1673">
        <f t="shared" si="4"/>
        <v>301.47907999999984</v>
      </c>
      <c r="H21" s="1673">
        <f t="shared" si="4"/>
        <v>255.24600000000049</v>
      </c>
      <c r="I21" s="1673">
        <f t="shared" si="4"/>
        <v>376.33999999999975</v>
      </c>
      <c r="J21" s="1673">
        <f t="shared" si="4"/>
        <v>465.1840000000002</v>
      </c>
      <c r="K21" s="1673">
        <f t="shared" si="4"/>
        <v>416.1569999999997</v>
      </c>
      <c r="L21" s="1673">
        <f t="shared" ref="L21:Q21" si="5">L16-L18+L19</f>
        <v>481.02200000000028</v>
      </c>
      <c r="M21" s="1673">
        <f t="shared" si="5"/>
        <v>545.1349999999992</v>
      </c>
      <c r="N21" s="1673">
        <f t="shared" si="5"/>
        <v>494.44300000000129</v>
      </c>
      <c r="O21" s="1673">
        <f t="shared" si="5"/>
        <v>470.09999999999957</v>
      </c>
      <c r="P21" s="1673">
        <f t="shared" si="5"/>
        <v>516.20000000000005</v>
      </c>
      <c r="Q21" s="1673">
        <f t="shared" si="5"/>
        <v>546.66775698586127</v>
      </c>
      <c r="R21" s="1673">
        <f>R16-R18+R19</f>
        <v>609.86590698598116</v>
      </c>
      <c r="S21" s="1673">
        <f>S16-S18+S19</f>
        <v>654.6235504587105</v>
      </c>
      <c r="T21" s="2381">
        <f>T16-T18+T19</f>
        <v>692.78093969266797</v>
      </c>
      <c r="U21" s="2381"/>
      <c r="V21" s="132"/>
      <c r="W21" s="132"/>
      <c r="X21" s="132"/>
    </row>
    <row r="22" spans="1:25" outlineLevel="1">
      <c r="A22" s="1672"/>
      <c r="C22" s="1674"/>
      <c r="D22" s="1674"/>
      <c r="E22" s="1674"/>
      <c r="F22" s="1674"/>
      <c r="G22" s="1674"/>
      <c r="H22" s="1674"/>
      <c r="I22" s="1674"/>
      <c r="J22" s="1674"/>
      <c r="K22" s="1674"/>
      <c r="L22" s="1674"/>
      <c r="M22" s="1674"/>
      <c r="T22" s="621"/>
      <c r="U22" s="621"/>
      <c r="V22" s="132"/>
      <c r="W22" s="132"/>
      <c r="X22" s="132"/>
    </row>
    <row r="23" spans="1:25">
      <c r="A23" s="1676" t="s">
        <v>1837</v>
      </c>
      <c r="B23" s="1676"/>
      <c r="C23" s="1677">
        <f t="shared" ref="C23:P23" si="6">C21/C24</f>
        <v>0.74751676311507043</v>
      </c>
      <c r="D23" s="1677">
        <f t="shared" si="6"/>
        <v>1.7492684334171398</v>
      </c>
      <c r="E23" s="1677">
        <f t="shared" si="6"/>
        <v>2.0424663272768542</v>
      </c>
      <c r="F23" s="1677">
        <f t="shared" si="6"/>
        <v>2.4691617199942075</v>
      </c>
      <c r="G23" s="1677">
        <f t="shared" si="6"/>
        <v>2.3849306225773264</v>
      </c>
      <c r="H23" s="1677">
        <f t="shared" si="6"/>
        <v>2.0357305216815718</v>
      </c>
      <c r="I23" s="1677">
        <f t="shared" si="6"/>
        <v>2.9308599286637675</v>
      </c>
      <c r="J23" s="1677">
        <f t="shared" si="6"/>
        <v>3.603765801394843</v>
      </c>
      <c r="K23" s="1677">
        <f>K21/K24</f>
        <v>3.25296105149816</v>
      </c>
      <c r="L23" s="1677">
        <f t="shared" si="6"/>
        <v>3.7326939156379946</v>
      </c>
      <c r="M23" s="1677">
        <f t="shared" si="6"/>
        <v>4.1965742879137737</v>
      </c>
      <c r="N23" s="1677">
        <f>N21/N24</f>
        <v>3.8299225406661606</v>
      </c>
      <c r="O23" s="1677">
        <f t="shared" si="6"/>
        <v>3.7458167330677257</v>
      </c>
      <c r="P23" s="1677">
        <f t="shared" si="6"/>
        <v>4.1262989608313356</v>
      </c>
      <c r="Q23" s="1677">
        <f>Q21/Q24</f>
        <v>4.3988554173072725</v>
      </c>
      <c r="R23" s="1677">
        <f>R21/R24</f>
        <v>4.9471985965198222</v>
      </c>
      <c r="S23" s="1677">
        <f>S21/S24</f>
        <v>5.3457501197422577</v>
      </c>
      <c r="T23" s="2383">
        <f>T21/T24</f>
        <v>5.6954020564782768</v>
      </c>
      <c r="U23" s="2388"/>
      <c r="V23" s="1692">
        <f>P23</f>
        <v>4.1262989608313356</v>
      </c>
      <c r="W23" s="132">
        <v>18</v>
      </c>
      <c r="X23" s="789">
        <f>V23*W23</f>
        <v>74.27338129496404</v>
      </c>
      <c r="Y23" s="1689">
        <f>X23/$V$3-1</f>
        <v>0.17931694656976882</v>
      </c>
    </row>
    <row r="24" spans="1:25">
      <c r="A24" s="1672" t="s">
        <v>1838</v>
      </c>
      <c r="C24" s="1674">
        <f>'yrP&amp;L'!P52</f>
        <v>148.09299999999999</v>
      </c>
      <c r="D24" s="1674">
        <f>'yrP&amp;L'!Q52</f>
        <v>145.578</v>
      </c>
      <c r="E24" s="1674">
        <f>'yrP&amp;L'!R52</f>
        <v>140.84100000000001</v>
      </c>
      <c r="F24" s="1674">
        <f>'yrP&amp;L'!S52</f>
        <v>138.13999999999999</v>
      </c>
      <c r="G24" s="1674">
        <f>'yrP&amp;L'!T52</f>
        <v>126.41</v>
      </c>
      <c r="H24" s="1674">
        <f>'yrP&amp;L'!U52</f>
        <v>125.383</v>
      </c>
      <c r="I24" s="1674">
        <f>'yrP&amp;L'!V52</f>
        <v>128.40600000000001</v>
      </c>
      <c r="J24" s="1674">
        <f>'yrP&amp;L'!W52</f>
        <v>129.08275</v>
      </c>
      <c r="K24" s="1674">
        <f>'yrP&amp;L'!X52</f>
        <v>127.93174999999999</v>
      </c>
      <c r="L24" s="1674">
        <f>'yrP&amp;L'!Y52</f>
        <v>128.86724999999998</v>
      </c>
      <c r="M24" s="1674">
        <f>'yrP&amp;L'!Z52</f>
        <v>129.9</v>
      </c>
      <c r="N24" s="1674">
        <f>'yrP&amp;L'!AA52</f>
        <v>129.1</v>
      </c>
      <c r="O24" s="1674">
        <f>'yrP&amp;L'!AB52</f>
        <v>125.5</v>
      </c>
      <c r="P24" s="1674">
        <f>'yrP&amp;L'!AC52</f>
        <v>125.1</v>
      </c>
      <c r="Q24" s="1674">
        <f>'yrP&amp;L'!AD52</f>
        <v>124.27500000000001</v>
      </c>
      <c r="R24" s="1674">
        <f>'yrP&amp;L'!AE52</f>
        <v>123.27500000000001</v>
      </c>
      <c r="S24" s="1674">
        <f>'yrP&amp;L'!AF52</f>
        <v>122.45681818181819</v>
      </c>
      <c r="T24" s="2382">
        <f>'yrP&amp;L'!AG52</f>
        <v>121.63863636363638</v>
      </c>
      <c r="U24" s="2382"/>
    </row>
    <row r="25" spans="1:25" outlineLevel="1">
      <c r="A25" s="1672"/>
      <c r="C25" s="1674"/>
      <c r="D25" s="1674"/>
      <c r="E25" s="1674"/>
      <c r="F25" s="1674"/>
      <c r="G25" s="1674"/>
      <c r="H25" s="1674"/>
      <c r="I25" s="1674"/>
      <c r="J25" s="1674"/>
      <c r="K25" s="1674"/>
      <c r="L25" s="1674"/>
      <c r="M25" s="1674"/>
      <c r="T25" s="621"/>
      <c r="U25" s="621"/>
    </row>
    <row r="26" spans="1:25" outlineLevel="1">
      <c r="A26" s="1672" t="s">
        <v>446</v>
      </c>
      <c r="C26" s="1673">
        <f t="shared" ref="C26:P26" si="7">C13+C12</f>
        <v>401.3610000000001</v>
      </c>
      <c r="D26" s="1673">
        <f t="shared" si="7"/>
        <v>492.15400000000039</v>
      </c>
      <c r="E26" s="1673">
        <f t="shared" si="7"/>
        <v>577.36299999999949</v>
      </c>
      <c r="F26" s="1673">
        <f t="shared" si="7"/>
        <v>673.07599999999979</v>
      </c>
      <c r="G26" s="1673">
        <f t="shared" si="7"/>
        <v>628.32999999999981</v>
      </c>
      <c r="H26" s="1673">
        <f t="shared" si="7"/>
        <v>579.49500000000046</v>
      </c>
      <c r="I26" s="1673">
        <f t="shared" si="7"/>
        <v>760.28599999999972</v>
      </c>
      <c r="J26" s="1673">
        <f t="shared" si="7"/>
        <v>897.0780000000002</v>
      </c>
      <c r="K26" s="1673">
        <f>K13+K12</f>
        <v>860.86599999999964</v>
      </c>
      <c r="L26" s="1673">
        <f t="shared" si="7"/>
        <v>974.5690000000003</v>
      </c>
      <c r="M26" s="1673">
        <f t="shared" si="7"/>
        <v>1085.5869999999991</v>
      </c>
      <c r="N26" s="1673">
        <f t="shared" si="7"/>
        <v>1009.3000000000013</v>
      </c>
      <c r="O26" s="1673">
        <f t="shared" si="7"/>
        <v>967.69999999999959</v>
      </c>
      <c r="P26" s="1673">
        <f t="shared" si="7"/>
        <v>1001.3000000000001</v>
      </c>
      <c r="Q26" s="1673">
        <f>Q13+Q12</f>
        <v>1002.6225064350813</v>
      </c>
      <c r="R26" s="1673">
        <f>R13+R12</f>
        <v>1063.3472393936295</v>
      </c>
      <c r="S26" s="1673">
        <f>S13+S12</f>
        <v>1134.5990125941184</v>
      </c>
      <c r="T26" s="2381">
        <f>T13+T12</f>
        <v>1159.4940107016182</v>
      </c>
      <c r="U26" s="2381"/>
    </row>
    <row r="27" spans="1:25">
      <c r="A27" s="1672"/>
      <c r="C27" s="1674"/>
      <c r="D27" s="1674"/>
      <c r="E27" s="1674"/>
      <c r="F27" s="1674"/>
      <c r="G27" s="1674"/>
      <c r="H27" s="1674"/>
      <c r="I27" s="1674"/>
      <c r="J27" s="1674"/>
      <c r="K27" s="1674"/>
      <c r="L27" s="1674"/>
      <c r="M27" s="1674"/>
      <c r="T27" s="621"/>
      <c r="U27" s="621"/>
    </row>
    <row r="28" spans="1:25">
      <c r="A28" s="1678" t="s">
        <v>479</v>
      </c>
      <c r="C28" s="1674"/>
      <c r="D28" s="1674"/>
      <c r="E28" s="1674"/>
      <c r="F28" s="1674"/>
      <c r="G28" s="1674"/>
      <c r="H28" s="1674"/>
      <c r="I28" s="1674"/>
      <c r="J28" s="1674"/>
      <c r="K28" s="1674"/>
      <c r="L28" s="1674"/>
      <c r="M28" s="1674"/>
      <c r="T28" s="621"/>
      <c r="U28" s="621"/>
    </row>
    <row r="29" spans="1:25">
      <c r="A29" s="1672" t="s">
        <v>884</v>
      </c>
      <c r="C29" s="1679">
        <f>C10/C6</f>
        <v>0.55812577018374654</v>
      </c>
      <c r="D29" s="1679">
        <f t="shared" ref="D29:M29" si="8">D10/D6</f>
        <v>0.56044018899836467</v>
      </c>
      <c r="E29" s="1679">
        <f t="shared" si="8"/>
        <v>0.57515540466131965</v>
      </c>
      <c r="F29" s="1679">
        <f t="shared" si="8"/>
        <v>0.57046874356661337</v>
      </c>
      <c r="G29" s="1679">
        <f t="shared" si="8"/>
        <v>0.57793032227990215</v>
      </c>
      <c r="H29" s="1679">
        <f t="shared" si="8"/>
        <v>0.56472231550744911</v>
      </c>
      <c r="I29" s="1679">
        <f t="shared" si="8"/>
        <v>0.59096162759416448</v>
      </c>
      <c r="J29" s="1679">
        <f t="shared" si="8"/>
        <v>0.59055838736711619</v>
      </c>
      <c r="K29" s="1679">
        <f>K10/K6</f>
        <v>0.57014813735208203</v>
      </c>
      <c r="L29" s="1679">
        <f t="shared" si="8"/>
        <v>0.58059229049919014</v>
      </c>
      <c r="M29" s="1679">
        <f t="shared" si="8"/>
        <v>0.59699457377127474</v>
      </c>
      <c r="N29" s="1679">
        <f t="shared" ref="N29:S29" si="9">N10/N6</f>
        <v>0.60693838770190289</v>
      </c>
      <c r="O29" s="1679">
        <f t="shared" si="9"/>
        <v>0.62231995601979107</v>
      </c>
      <c r="P29" s="1679">
        <f t="shared" si="9"/>
        <v>0.62468223895630492</v>
      </c>
      <c r="Q29" s="1679">
        <f t="shared" si="9"/>
        <v>0.6267432595497</v>
      </c>
      <c r="R29" s="1679">
        <f t="shared" si="9"/>
        <v>0.62800000000000011</v>
      </c>
      <c r="S29" s="1679">
        <f t="shared" si="9"/>
        <v>0.62880000000000003</v>
      </c>
      <c r="T29" s="2384">
        <f>T10/T6</f>
        <v>0.629</v>
      </c>
      <c r="U29" s="2384"/>
    </row>
    <row r="30" spans="1:25">
      <c r="A30" s="1672" t="s">
        <v>481</v>
      </c>
      <c r="C30" s="1679">
        <f>C11/C6</f>
        <v>0.42454228918225473</v>
      </c>
      <c r="D30" s="1679">
        <f t="shared" ref="D30:M30" si="10">D11/D6</f>
        <v>0.40065707702180192</v>
      </c>
      <c r="E30" s="1679">
        <f t="shared" si="10"/>
        <v>0.39471260974392508</v>
      </c>
      <c r="F30" s="1679">
        <f t="shared" si="10"/>
        <v>0.38501707006092006</v>
      </c>
      <c r="G30" s="1679">
        <f t="shared" si="10"/>
        <v>0.40505479562168573</v>
      </c>
      <c r="H30" s="1679">
        <f t="shared" si="10"/>
        <v>0.40231646695427209</v>
      </c>
      <c r="I30" s="1679">
        <f t="shared" si="10"/>
        <v>0.39246618632284164</v>
      </c>
      <c r="J30" s="1679">
        <f t="shared" si="10"/>
        <v>0.38436651525952825</v>
      </c>
      <c r="K30" s="1679">
        <f>K11/K6</f>
        <v>0.38639187886720139</v>
      </c>
      <c r="L30" s="1679">
        <f t="shared" si="10"/>
        <v>0.38364007114630388</v>
      </c>
      <c r="M30" s="1679">
        <f t="shared" si="10"/>
        <v>0.38724228001843808</v>
      </c>
      <c r="N30" s="1679">
        <f t="shared" ref="N30:S30" si="11">N11/N6</f>
        <v>0.41038321923648485</v>
      </c>
      <c r="O30" s="1679">
        <f t="shared" si="11"/>
        <v>0.43260532760257886</v>
      </c>
      <c r="P30" s="1679">
        <f t="shared" si="11"/>
        <v>0.43416950453259151</v>
      </c>
      <c r="Q30" s="1679">
        <f t="shared" si="11"/>
        <v>0.44607517980597799</v>
      </c>
      <c r="R30" s="1679">
        <f t="shared" si="11"/>
        <v>0.44500000000000006</v>
      </c>
      <c r="S30" s="1679">
        <f t="shared" si="11"/>
        <v>0.44280000000000003</v>
      </c>
      <c r="T30" s="2384">
        <f>T11/T6</f>
        <v>0.44039999999999996</v>
      </c>
      <c r="U30" s="2384"/>
    </row>
    <row r="31" spans="1:25">
      <c r="A31" s="1672" t="s">
        <v>448</v>
      </c>
      <c r="C31" s="1679">
        <f t="shared" ref="C31:P31" si="12">C13/C6</f>
        <v>0.13358348100149176</v>
      </c>
      <c r="D31" s="1679">
        <f t="shared" si="12"/>
        <v>0.15978311197656281</v>
      </c>
      <c r="E31" s="1679">
        <f t="shared" si="12"/>
        <v>0.18044279491739459</v>
      </c>
      <c r="F31" s="1679">
        <f t="shared" si="12"/>
        <v>0.1854516735056933</v>
      </c>
      <c r="G31" s="1679">
        <f t="shared" si="12"/>
        <v>0.17287552665821646</v>
      </c>
      <c r="H31" s="1679">
        <f t="shared" si="12"/>
        <v>0.16240584855317702</v>
      </c>
      <c r="I31" s="1679">
        <f t="shared" si="12"/>
        <v>0.1984954412713229</v>
      </c>
      <c r="J31" s="1679">
        <f t="shared" si="12"/>
        <v>0.20619187210758799</v>
      </c>
      <c r="K31" s="1679">
        <f>K13/K6</f>
        <v>0.18375625848488059</v>
      </c>
      <c r="L31" s="1679">
        <f t="shared" si="12"/>
        <v>0.19695221935288623</v>
      </c>
      <c r="M31" s="1679">
        <f t="shared" si="12"/>
        <v>0.20975229375283666</v>
      </c>
      <c r="N31" s="1679">
        <f t="shared" si="12"/>
        <v>0.19655516846541798</v>
      </c>
      <c r="O31" s="1679">
        <f t="shared" si="12"/>
        <v>0.18971462841721218</v>
      </c>
      <c r="P31" s="1679">
        <f t="shared" si="12"/>
        <v>0.19051273442371339</v>
      </c>
      <c r="Q31" s="1679">
        <f>Q13/Q6</f>
        <v>0.18066807974372201</v>
      </c>
      <c r="R31" s="1679">
        <f>R13/R6</f>
        <v>0.18300000000000002</v>
      </c>
      <c r="S31" s="1679">
        <f>S13/S6</f>
        <v>0.18600000000000003</v>
      </c>
      <c r="T31" s="2384">
        <f>T13/T6</f>
        <v>0.18860000000000002</v>
      </c>
      <c r="U31" s="2384"/>
    </row>
    <row r="32" spans="1:25">
      <c r="A32" s="1672" t="s">
        <v>483</v>
      </c>
      <c r="C32" s="1679">
        <f>C18/C16</f>
        <v>0.6025790609260061</v>
      </c>
      <c r="D32" s="1679">
        <f t="shared" ref="D32:M32" si="13">D18/D16</f>
        <v>0.30795382282443834</v>
      </c>
      <c r="E32" s="1679">
        <f t="shared" si="13"/>
        <v>0.36298269623409507</v>
      </c>
      <c r="F32" s="1679">
        <f t="shared" si="13"/>
        <v>0.36466810339207528</v>
      </c>
      <c r="G32" s="1679">
        <f t="shared" si="13"/>
        <v>0.34969719455217679</v>
      </c>
      <c r="H32" s="1679">
        <f t="shared" si="13"/>
        <v>0.34478049481720269</v>
      </c>
      <c r="I32" s="1679">
        <f t="shared" si="13"/>
        <v>0.33399283981248323</v>
      </c>
      <c r="J32" s="1679">
        <f t="shared" si="13"/>
        <v>0.34265313303253347</v>
      </c>
      <c r="K32" s="1679">
        <f>K18/K16</f>
        <v>0.35336774522356351</v>
      </c>
      <c r="L32" s="1679">
        <f t="shared" si="13"/>
        <v>0.34731366046665607</v>
      </c>
      <c r="M32" s="1679">
        <f t="shared" si="13"/>
        <v>0.30476738087562405</v>
      </c>
      <c r="N32" s="1679">
        <f t="shared" ref="N32:S32" si="14">N18/N16</f>
        <v>0.34649352365847153</v>
      </c>
      <c r="O32" s="1679">
        <f t="shared" si="14"/>
        <v>0.34214945424013454</v>
      </c>
      <c r="P32" s="1679">
        <f t="shared" si="14"/>
        <v>0.32114676486059962</v>
      </c>
      <c r="Q32" s="1679">
        <f t="shared" si="14"/>
        <v>0.28000000000000008</v>
      </c>
      <c r="R32" s="1679">
        <f t="shared" si="14"/>
        <v>0.25</v>
      </c>
      <c r="S32" s="1679">
        <f t="shared" si="14"/>
        <v>0.25</v>
      </c>
      <c r="T32" s="2384">
        <f>T18/T16</f>
        <v>0.25</v>
      </c>
      <c r="U32" s="2384"/>
    </row>
    <row r="33" spans="1:21">
      <c r="A33" s="1672"/>
      <c r="C33" s="1674"/>
      <c r="D33" s="1674"/>
      <c r="E33" s="1674"/>
      <c r="F33" s="1674"/>
      <c r="G33" s="1674"/>
      <c r="H33" s="1674"/>
      <c r="I33" s="1674"/>
      <c r="J33" s="1674"/>
      <c r="K33" s="1674"/>
      <c r="L33" s="1674"/>
      <c r="M33" s="1674"/>
      <c r="T33" s="621"/>
      <c r="U33" s="621"/>
    </row>
    <row r="34" spans="1:21">
      <c r="A34" s="1678" t="s">
        <v>484</v>
      </c>
      <c r="C34" s="1674"/>
      <c r="D34" s="1674"/>
      <c r="E34" s="1674"/>
      <c r="F34" s="1674"/>
      <c r="G34" s="1674"/>
      <c r="H34" s="1674"/>
      <c r="I34" s="1674"/>
      <c r="J34" s="1674"/>
      <c r="K34" s="1674"/>
      <c r="L34" s="1674"/>
      <c r="M34" s="1674"/>
      <c r="T34" s="621"/>
      <c r="U34" s="621"/>
    </row>
    <row r="35" spans="1:21">
      <c r="A35" s="1672" t="s">
        <v>1015</v>
      </c>
      <c r="C35" s="1680" t="s">
        <v>814</v>
      </c>
      <c r="D35" s="1679">
        <f>((D6/C6)-1)</f>
        <v>8.6320448143191175E-2</v>
      </c>
      <c r="E35" s="1679">
        <f t="shared" ref="E35:M35" si="15">((E6/D6)-1)</f>
        <v>6.9131700563596299E-2</v>
      </c>
      <c r="F35" s="1679">
        <f t="shared" si="15"/>
        <v>0.14762837530176909</v>
      </c>
      <c r="G35" s="1679">
        <f t="shared" si="15"/>
        <v>-3.0595102510539207E-2</v>
      </c>
      <c r="H35" s="1679">
        <f t="shared" si="15"/>
        <v>-4.8836744816082356E-2</v>
      </c>
      <c r="I35" s="1679">
        <f t="shared" si="15"/>
        <v>0.1385968343709516</v>
      </c>
      <c r="J35" s="1679">
        <f t="shared" si="15"/>
        <v>0.18074378745596054</v>
      </c>
      <c r="K35" s="1679">
        <f t="shared" si="15"/>
        <v>4.1535716922911359E-2</v>
      </c>
      <c r="L35" s="1679">
        <f t="shared" si="15"/>
        <v>6.2431590546640603E-2</v>
      </c>
      <c r="M35" s="1679">
        <f t="shared" si="15"/>
        <v>5.4273367517296389E-2</v>
      </c>
      <c r="N35" s="1679">
        <f t="shared" ref="N35:T35" si="16">((N6/M6)-1)</f>
        <v>-3.4168464154442413E-2</v>
      </c>
      <c r="O35" s="1679">
        <f t="shared" si="16"/>
        <v>-2.5068823543742735E-2</v>
      </c>
      <c r="P35" s="1679">
        <f t="shared" si="16"/>
        <v>4.1981108501174536E-2</v>
      </c>
      <c r="Q35" s="1679">
        <f t="shared" si="16"/>
        <v>5.1517922740135669E-2</v>
      </c>
      <c r="R35" s="1679">
        <f t="shared" si="16"/>
        <v>5.4424206311594947E-2</v>
      </c>
      <c r="S35" s="1679">
        <f t="shared" si="16"/>
        <v>5.3268772536789522E-2</v>
      </c>
      <c r="T35" s="2384">
        <f t="shared" si="16"/>
        <v>4.1611589297797513E-2</v>
      </c>
      <c r="U35" s="2384"/>
    </row>
    <row r="36" spans="1:21">
      <c r="A36" s="1672" t="s">
        <v>1839</v>
      </c>
      <c r="C36" s="1679">
        <f>yrSales!P39</f>
        <v>0.04</v>
      </c>
      <c r="D36" s="1679">
        <f>yrSales!Q39</f>
        <v>0.05</v>
      </c>
      <c r="E36" s="1679">
        <f>yrSales!R39</f>
        <v>0.06</v>
      </c>
      <c r="F36" s="1679">
        <f>yrSales!S39</f>
        <v>7.0000000000000007E-2</v>
      </c>
      <c r="G36" s="1679">
        <f>yrSales!T39</f>
        <v>-0.09</v>
      </c>
      <c r="H36" s="1679">
        <f>yrSales!U39</f>
        <v>-0.08</v>
      </c>
      <c r="I36" s="1679">
        <f>yrSales!V39</f>
        <v>0.08</v>
      </c>
      <c r="J36" s="1679">
        <f>yrSales!W39</f>
        <v>0.13678577190955957</v>
      </c>
      <c r="K36" s="1679">
        <f>yrSales!X39</f>
        <v>0.01</v>
      </c>
      <c r="L36" s="1679">
        <f>yrSales!Y39</f>
        <v>0.06</v>
      </c>
      <c r="M36" s="1679">
        <f>yrSales!Z39</f>
        <v>0.04</v>
      </c>
      <c r="N36" s="1679">
        <f>yrSales!AA39</f>
        <v>0</v>
      </c>
      <c r="O36" s="1679">
        <f>yrSales!AB39</f>
        <v>-0.05</v>
      </c>
      <c r="P36" s="1679">
        <f>yrSales!AC39</f>
        <v>0</v>
      </c>
      <c r="Q36" s="1679">
        <f>yrSales!AD39</f>
        <v>2.4713862390184554E-2</v>
      </c>
      <c r="R36" s="1679">
        <f>yrSales!AE39</f>
        <v>1.9856031509175563E-2</v>
      </c>
      <c r="S36" s="1679">
        <f>yrSales!AF39</f>
        <v>1.9970011794872428E-2</v>
      </c>
      <c r="T36" s="2384">
        <f>yrSales!AG39</f>
        <v>2.0061948467113358E-2</v>
      </c>
      <c r="U36" s="2384"/>
    </row>
    <row r="37" spans="1:21">
      <c r="A37" s="1672" t="s">
        <v>471</v>
      </c>
      <c r="C37" s="1681" t="s">
        <v>814</v>
      </c>
      <c r="D37" s="1679">
        <f>((D11/C11)-1)</f>
        <v>2.5202875078522036E-2</v>
      </c>
      <c r="E37" s="1679">
        <f t="shared" ref="E37:M37" si="17">((E11/D11)-1)</f>
        <v>5.3269211731543864E-2</v>
      </c>
      <c r="F37" s="1679">
        <f t="shared" si="17"/>
        <v>0.11943855774995704</v>
      </c>
      <c r="G37" s="1679">
        <f t="shared" si="17"/>
        <v>1.9856347057872092E-2</v>
      </c>
      <c r="H37" s="1679">
        <f t="shared" si="17"/>
        <v>-5.5266980026760448E-2</v>
      </c>
      <c r="I37" s="1679">
        <f t="shared" si="17"/>
        <v>0.11071953064157936</v>
      </c>
      <c r="J37" s="1679">
        <f t="shared" si="17"/>
        <v>0.15637573583334996</v>
      </c>
      <c r="K37" s="1679">
        <f t="shared" si="17"/>
        <v>4.7023938329823212E-2</v>
      </c>
      <c r="L37" s="1679">
        <f t="shared" si="17"/>
        <v>5.4865159641407812E-2</v>
      </c>
      <c r="M37" s="1679">
        <f t="shared" si="17"/>
        <v>6.4172523428664752E-2</v>
      </c>
      <c r="N37" s="1679">
        <f t="shared" ref="N37:T37" si="18">((N11/M11)-1)</f>
        <v>2.3547983710730414E-2</v>
      </c>
      <c r="O37" s="1679">
        <f t="shared" si="18"/>
        <v>2.7723360047491985E-2</v>
      </c>
      <c r="P37" s="1679">
        <f t="shared" si="18"/>
        <v>4.5748613678373351E-2</v>
      </c>
      <c r="Q37" s="1679">
        <f t="shared" si="18"/>
        <v>8.0352354457691177E-2</v>
      </c>
      <c r="R37" s="1679">
        <f t="shared" si="18"/>
        <v>5.1882716300755138E-2</v>
      </c>
      <c r="S37" s="1679">
        <f t="shared" si="18"/>
        <v>4.8061601077056926E-2</v>
      </c>
      <c r="T37" s="2384">
        <f t="shared" si="18"/>
        <v>3.59659980278908E-2</v>
      </c>
      <c r="U37" s="2384"/>
    </row>
    <row r="38" spans="1:21">
      <c r="A38" s="1672" t="s">
        <v>487</v>
      </c>
      <c r="C38" s="1681" t="s">
        <v>814</v>
      </c>
      <c r="D38" s="1679">
        <f>((D13/C13)-1)</f>
        <v>0.29937968756896693</v>
      </c>
      <c r="E38" s="1679">
        <f t="shared" ref="E38:M38" si="19">((E13/D13)-1)</f>
        <v>0.20736859983537981</v>
      </c>
      <c r="F38" s="1679">
        <f t="shared" si="19"/>
        <v>0.17948518177057049</v>
      </c>
      <c r="G38" s="1679">
        <f t="shared" si="19"/>
        <v>-9.6333944954128392E-2</v>
      </c>
      <c r="H38" s="1679">
        <f t="shared" si="19"/>
        <v>-0.10644104138493837</v>
      </c>
      <c r="I38" s="1679">
        <f t="shared" si="19"/>
        <v>0.39161417573328028</v>
      </c>
      <c r="J38" s="1679">
        <f t="shared" si="19"/>
        <v>0.22652576026753146</v>
      </c>
      <c r="K38" s="1679">
        <f t="shared" si="19"/>
        <v>-7.1793158169406346E-2</v>
      </c>
      <c r="L38" s="1679">
        <f t="shared" si="19"/>
        <v>0.1387272542121043</v>
      </c>
      <c r="M38" s="1679">
        <f t="shared" si="19"/>
        <v>0.12279139481572776</v>
      </c>
      <c r="N38" s="1679">
        <f t="shared" ref="N38:T38" si="20">((N13/M13)-1)</f>
        <v>-9.4936332562658321E-2</v>
      </c>
      <c r="O38" s="1679">
        <f t="shared" si="20"/>
        <v>-5.8998512642540524E-2</v>
      </c>
      <c r="P38" s="1679">
        <f t="shared" si="20"/>
        <v>4.6364594309800555E-2</v>
      </c>
      <c r="Q38" s="1679">
        <f t="shared" si="20"/>
        <v>-2.8187643611858881E-3</v>
      </c>
      <c r="R38" s="1679">
        <f t="shared" si="20"/>
        <v>6.8033877532409193E-2</v>
      </c>
      <c r="S38" s="1679">
        <f t="shared" si="20"/>
        <v>7.0535473725917175E-2</v>
      </c>
      <c r="T38" s="2384">
        <f t="shared" si="20"/>
        <v>5.6171751298734307E-2</v>
      </c>
      <c r="U38" s="2384"/>
    </row>
    <row r="39" spans="1:21">
      <c r="A39" s="1672" t="s">
        <v>488</v>
      </c>
      <c r="C39" s="1681" t="s">
        <v>814</v>
      </c>
      <c r="D39" s="1679">
        <f>((D23/C23)-1)</f>
        <v>1.3401059611393125</v>
      </c>
      <c r="E39" s="1679">
        <f t="shared" ref="E39:M39" si="21">((E23/D23)-1)</f>
        <v>0.16761172171097938</v>
      </c>
      <c r="F39" s="1679">
        <f t="shared" si="21"/>
        <v>0.20891183713478934</v>
      </c>
      <c r="G39" s="1679">
        <f t="shared" si="21"/>
        <v>-3.4113236380919898E-2</v>
      </c>
      <c r="H39" s="1679">
        <f t="shared" si="21"/>
        <v>-0.14641939584740793</v>
      </c>
      <c r="I39" s="1679">
        <f t="shared" si="21"/>
        <v>0.43970918422090222</v>
      </c>
      <c r="J39" s="1679">
        <f t="shared" si="21"/>
        <v>0.22959332383989617</v>
      </c>
      <c r="K39" s="1679">
        <f t="shared" si="21"/>
        <v>-9.7343936656733798E-2</v>
      </c>
      <c r="L39" s="1679">
        <f t="shared" si="21"/>
        <v>0.14747574795551044</v>
      </c>
      <c r="M39" s="1679">
        <f t="shared" si="21"/>
        <v>0.12427495603975669</v>
      </c>
      <c r="N39" s="1679">
        <f t="shared" ref="N39:T39" si="22">((N23/M23)-1)</f>
        <v>-8.7369297453777528E-2</v>
      </c>
      <c r="O39" s="1679">
        <f t="shared" si="22"/>
        <v>-2.1960185018208178E-2</v>
      </c>
      <c r="P39" s="1679">
        <f t="shared" si="22"/>
        <v>0.10157523842657534</v>
      </c>
      <c r="Q39" s="1679">
        <f t="shared" si="22"/>
        <v>6.6053492261022306E-2</v>
      </c>
      <c r="R39" s="1679">
        <f t="shared" si="22"/>
        <v>0.12465587685721524</v>
      </c>
      <c r="S39" s="1679">
        <f t="shared" si="22"/>
        <v>8.0561051966420383E-2</v>
      </c>
      <c r="T39" s="2384">
        <f t="shared" si="22"/>
        <v>6.5407459926854372E-2</v>
      </c>
      <c r="U39" s="2384"/>
    </row>
    <row r="40" spans="1:21">
      <c r="A40" s="1672" t="s">
        <v>446</v>
      </c>
      <c r="C40" s="1681" t="s">
        <v>814</v>
      </c>
      <c r="D40" s="1679">
        <f>((D26/C26)-1)</f>
        <v>0.22621281091087631</v>
      </c>
      <c r="E40" s="1679">
        <f t="shared" ref="E40:M40" si="23">((E26/D26)-1)</f>
        <v>0.17313483178029454</v>
      </c>
      <c r="F40" s="1679">
        <f t="shared" si="23"/>
        <v>0.16577612351328441</v>
      </c>
      <c r="G40" s="1679">
        <f t="shared" si="23"/>
        <v>-6.6479862600954398E-2</v>
      </c>
      <c r="H40" s="1679">
        <f t="shared" si="23"/>
        <v>-7.772189772889937E-2</v>
      </c>
      <c r="I40" s="1679">
        <f t="shared" si="23"/>
        <v>0.31198025867349877</v>
      </c>
      <c r="J40" s="1679">
        <f t="shared" si="23"/>
        <v>0.17992176628268908</v>
      </c>
      <c r="K40" s="1679">
        <f t="shared" si="23"/>
        <v>-4.0366612490776221E-2</v>
      </c>
      <c r="L40" s="1679">
        <f t="shared" si="23"/>
        <v>0.13207978942135101</v>
      </c>
      <c r="M40" s="1679">
        <f t="shared" si="23"/>
        <v>0.1139149716438741</v>
      </c>
      <c r="N40" s="1679">
        <f t="shared" ref="N40:T40" si="24">((N26/M26)-1)</f>
        <v>-7.0272580640702076E-2</v>
      </c>
      <c r="O40" s="1679">
        <f t="shared" si="24"/>
        <v>-4.1216684831072659E-2</v>
      </c>
      <c r="P40" s="1679">
        <f t="shared" si="24"/>
        <v>3.4721504598533182E-2</v>
      </c>
      <c r="Q40" s="1679">
        <f t="shared" si="24"/>
        <v>1.3207894088496097E-3</v>
      </c>
      <c r="R40" s="1679">
        <f t="shared" si="24"/>
        <v>6.0565898499985504E-2</v>
      </c>
      <c r="S40" s="1679">
        <f t="shared" si="24"/>
        <v>6.7007060874225921E-2</v>
      </c>
      <c r="T40" s="2384">
        <f t="shared" si="24"/>
        <v>2.1941670873289798E-2</v>
      </c>
      <c r="U40" s="2384"/>
    </row>
    <row r="41" spans="1:21">
      <c r="A41" s="852"/>
      <c r="B41" s="852"/>
      <c r="C41" s="852"/>
      <c r="D41" s="852"/>
      <c r="E41" s="852"/>
      <c r="F41" s="852"/>
      <c r="G41" s="852"/>
      <c r="H41" s="852"/>
      <c r="I41" s="852"/>
      <c r="J41" s="852"/>
      <c r="K41" s="852"/>
      <c r="L41" s="852"/>
      <c r="M41" s="852"/>
      <c r="N41" s="852"/>
      <c r="O41" s="852"/>
      <c r="P41" s="852"/>
      <c r="Q41" s="852"/>
      <c r="R41" s="852"/>
      <c r="S41" s="852"/>
      <c r="T41" s="852"/>
      <c r="U41" s="621"/>
    </row>
    <row r="42" spans="1:21" outlineLevel="1">
      <c r="A42" s="1671" t="s">
        <v>1840</v>
      </c>
      <c r="C42" s="1308" t="s">
        <v>584</v>
      </c>
      <c r="D42" s="1308" t="s">
        <v>64</v>
      </c>
      <c r="E42" s="1308" t="s">
        <v>1364</v>
      </c>
      <c r="F42" s="1308" t="s">
        <v>1891</v>
      </c>
      <c r="G42" s="1308" t="s">
        <v>1892</v>
      </c>
      <c r="H42" s="1308" t="s">
        <v>158</v>
      </c>
      <c r="I42" s="1308" t="s">
        <v>159</v>
      </c>
      <c r="J42" s="1308" t="s">
        <v>1592</v>
      </c>
      <c r="K42" s="1308" t="s">
        <v>705</v>
      </c>
      <c r="L42" s="1308" t="s">
        <v>1126</v>
      </c>
      <c r="M42" s="1308" t="s">
        <v>2396</v>
      </c>
      <c r="N42" s="1308" t="s">
        <v>2459</v>
      </c>
      <c r="O42" s="1308" t="s">
        <v>2460</v>
      </c>
      <c r="P42" s="1308" t="s">
        <v>1832</v>
      </c>
      <c r="Q42" s="1308" t="s">
        <v>1307</v>
      </c>
      <c r="R42" s="1607" t="s">
        <v>2440</v>
      </c>
      <c r="S42" s="1607" t="s">
        <v>2457</v>
      </c>
      <c r="T42" s="2380" t="s">
        <v>3103</v>
      </c>
      <c r="U42" s="319"/>
    </row>
    <row r="43" spans="1:21" outlineLevel="1">
      <c r="A43" s="136" t="s">
        <v>468</v>
      </c>
      <c r="C43" s="220" t="s">
        <v>1988</v>
      </c>
      <c r="D43" s="220" t="s">
        <v>1988</v>
      </c>
      <c r="E43" s="220" t="s">
        <v>1988</v>
      </c>
      <c r="F43" s="220" t="s">
        <v>1988</v>
      </c>
      <c r="G43" s="220" t="s">
        <v>1988</v>
      </c>
      <c r="H43" s="220" t="s">
        <v>1988</v>
      </c>
      <c r="I43" s="220" t="s">
        <v>1988</v>
      </c>
      <c r="J43" s="220" t="s">
        <v>1988</v>
      </c>
      <c r="K43" s="220" t="s">
        <v>1988</v>
      </c>
      <c r="L43" s="220" t="s">
        <v>1988</v>
      </c>
      <c r="M43" s="220" t="s">
        <v>1988</v>
      </c>
      <c r="N43" s="220" t="s">
        <v>1988</v>
      </c>
      <c r="O43" s="220" t="s">
        <v>1988</v>
      </c>
      <c r="P43" s="220" t="s">
        <v>1988</v>
      </c>
      <c r="Q43" s="220" t="s">
        <v>1988</v>
      </c>
      <c r="R43" s="220" t="s">
        <v>1988</v>
      </c>
      <c r="S43" s="220" t="s">
        <v>1988</v>
      </c>
      <c r="T43" s="270" t="s">
        <v>1988</v>
      </c>
      <c r="U43" s="270"/>
    </row>
    <row r="44" spans="1:21" outlineLevel="1">
      <c r="A44" s="1506"/>
      <c r="T44" s="621"/>
      <c r="U44" s="621"/>
    </row>
    <row r="45" spans="1:21" outlineLevel="1">
      <c r="A45" s="1506" t="s">
        <v>411</v>
      </c>
      <c r="C45" s="1682">
        <f>C6</f>
        <v>2204.8310000000001</v>
      </c>
      <c r="D45" s="1682">
        <f t="shared" ref="D45:J45" si="25">D6</f>
        <v>2395.1530000000002</v>
      </c>
      <c r="E45" s="1682">
        <f t="shared" si="25"/>
        <v>2560.7339999999995</v>
      </c>
      <c r="F45" s="1682">
        <f t="shared" si="25"/>
        <v>2938.7709999999997</v>
      </c>
      <c r="G45" s="1682">
        <f t="shared" si="25"/>
        <v>2848.8589999999999</v>
      </c>
      <c r="H45" s="1682">
        <f t="shared" si="25"/>
        <v>2709.7300000000005</v>
      </c>
      <c r="I45" s="1682">
        <f t="shared" si="25"/>
        <v>3085.2899999999995</v>
      </c>
      <c r="J45" s="1682">
        <f t="shared" si="25"/>
        <v>3642.9369999999999</v>
      </c>
      <c r="K45" s="1682">
        <f t="shared" ref="K45:P45" si="26">K6</f>
        <v>3794.2489999999998</v>
      </c>
      <c r="L45" s="1682">
        <f t="shared" si="26"/>
        <v>4031.13</v>
      </c>
      <c r="M45" s="1682">
        <f t="shared" si="26"/>
        <v>4249.9129999999996</v>
      </c>
      <c r="N45" s="1682">
        <f t="shared" si="26"/>
        <v>4104.7000000000007</v>
      </c>
      <c r="O45" s="1682">
        <f t="shared" si="26"/>
        <v>4001.7999999999997</v>
      </c>
      <c r="P45" s="1682">
        <f t="shared" si="26"/>
        <v>4169.8</v>
      </c>
      <c r="Q45" s="1682">
        <f>(P45*(1+Q74))</f>
        <v>4469.2085708472259</v>
      </c>
      <c r="R45" s="1682">
        <f>(Q45*(1+R74))</f>
        <v>4824.8153396408688</v>
      </c>
      <c r="S45" s="1682">
        <f>(R45*(1+S74))</f>
        <v>5202.5924015433402</v>
      </c>
      <c r="T45" s="1704">
        <f>(S45*(1+T74))</f>
        <v>5548.8230572544962</v>
      </c>
      <c r="U45" s="1704"/>
    </row>
    <row r="46" spans="1:21" outlineLevel="2">
      <c r="A46" s="1506"/>
      <c r="C46" s="250"/>
      <c r="D46" s="250"/>
      <c r="E46" s="250"/>
      <c r="F46" s="250"/>
      <c r="G46" s="250"/>
      <c r="H46" s="250"/>
      <c r="I46" s="250"/>
      <c r="J46" s="250"/>
      <c r="K46" s="250"/>
      <c r="L46" s="250"/>
      <c r="M46" s="250"/>
      <c r="N46" s="250"/>
      <c r="O46" s="250"/>
      <c r="P46" s="250"/>
      <c r="T46" s="621"/>
      <c r="U46" s="621"/>
    </row>
    <row r="47" spans="1:21" outlineLevel="2">
      <c r="A47" s="1506" t="s">
        <v>469</v>
      </c>
      <c r="C47" s="1682">
        <f>C8</f>
        <v>974.25800000000004</v>
      </c>
      <c r="D47" s="1682">
        <f t="shared" ref="D47:J47" si="27">D8</f>
        <v>1052.8129999999999</v>
      </c>
      <c r="E47" s="1682">
        <f t="shared" si="27"/>
        <v>1087.914</v>
      </c>
      <c r="F47" s="1682">
        <f t="shared" si="27"/>
        <v>1262.2939999999999</v>
      </c>
      <c r="G47" s="1682">
        <f t="shared" si="27"/>
        <v>1202.4170000000001</v>
      </c>
      <c r="H47" s="1682">
        <f t="shared" si="27"/>
        <v>1179.4850000000001</v>
      </c>
      <c r="I47" s="1682">
        <f t="shared" si="27"/>
        <v>1262.002</v>
      </c>
      <c r="J47" s="1682">
        <f t="shared" si="27"/>
        <v>1491.57</v>
      </c>
      <c r="K47" s="1682">
        <f t="shared" ref="K47:P47" si="28">K8</f>
        <v>1630.9649999999999</v>
      </c>
      <c r="L47" s="1682">
        <f t="shared" si="28"/>
        <v>1690.6869999999999</v>
      </c>
      <c r="M47" s="1682">
        <f t="shared" si="28"/>
        <v>1712.7380000000001</v>
      </c>
      <c r="N47" s="1682">
        <f t="shared" si="28"/>
        <v>1613.3999999999999</v>
      </c>
      <c r="O47" s="1682">
        <f t="shared" si="28"/>
        <v>1511.4</v>
      </c>
      <c r="P47" s="1682">
        <f t="shared" si="28"/>
        <v>1565</v>
      </c>
      <c r="Q47" s="1682">
        <f>Q45-Q49</f>
        <v>1650.2853892635903</v>
      </c>
      <c r="R47" s="1682">
        <f>R45-R49</f>
        <v>1770.7072296481983</v>
      </c>
      <c r="S47" s="1682">
        <f>S45-S49</f>
        <v>1905.1893374451711</v>
      </c>
      <c r="T47" s="1704">
        <f>T45-T49</f>
        <v>2030.8692389551456</v>
      </c>
      <c r="U47" s="1704"/>
    </row>
    <row r="48" spans="1:21" outlineLevel="2">
      <c r="A48" s="1506"/>
      <c r="C48" s="250"/>
      <c r="D48" s="250"/>
      <c r="E48" s="250"/>
      <c r="F48" s="250"/>
      <c r="G48" s="250"/>
      <c r="H48" s="250"/>
      <c r="I48" s="250"/>
      <c r="J48" s="250"/>
      <c r="K48" s="250"/>
      <c r="L48" s="250"/>
      <c r="M48" s="250"/>
      <c r="N48" s="250"/>
      <c r="O48" s="250"/>
      <c r="P48" s="250"/>
      <c r="T48" s="621"/>
      <c r="U48" s="621"/>
    </row>
    <row r="49" spans="1:25" outlineLevel="1">
      <c r="A49" s="1506" t="s">
        <v>470</v>
      </c>
      <c r="C49" s="1682">
        <f>C45-C47</f>
        <v>1230.5730000000001</v>
      </c>
      <c r="D49" s="1682">
        <f t="shared" ref="D49:J49" si="29">D45-D47</f>
        <v>1342.3400000000004</v>
      </c>
      <c r="E49" s="1682">
        <f t="shared" si="29"/>
        <v>1472.8199999999995</v>
      </c>
      <c r="F49" s="1682">
        <f t="shared" si="29"/>
        <v>1676.4769999999999</v>
      </c>
      <c r="G49" s="1682">
        <f t="shared" si="29"/>
        <v>1646.4419999999998</v>
      </c>
      <c r="H49" s="1682">
        <f t="shared" si="29"/>
        <v>1530.2450000000003</v>
      </c>
      <c r="I49" s="1682">
        <f t="shared" si="29"/>
        <v>1823.2879999999996</v>
      </c>
      <c r="J49" s="1682">
        <f t="shared" si="29"/>
        <v>2151.3670000000002</v>
      </c>
      <c r="K49" s="1682">
        <f t="shared" ref="K49:P49" si="30">K45-K47</f>
        <v>2163.2839999999997</v>
      </c>
      <c r="L49" s="1682">
        <f t="shared" si="30"/>
        <v>2340.4430000000002</v>
      </c>
      <c r="M49" s="1682">
        <f t="shared" si="30"/>
        <v>2537.1749999999993</v>
      </c>
      <c r="N49" s="1682">
        <f t="shared" si="30"/>
        <v>2491.3000000000011</v>
      </c>
      <c r="O49" s="1682">
        <f t="shared" si="30"/>
        <v>2490.3999999999996</v>
      </c>
      <c r="P49" s="1682">
        <f t="shared" si="30"/>
        <v>2604.8000000000002</v>
      </c>
      <c r="Q49" s="1682">
        <f>Q45*Q68</f>
        <v>2818.9231815836356</v>
      </c>
      <c r="R49" s="1682">
        <f>R45*R68</f>
        <v>3054.1081099926705</v>
      </c>
      <c r="S49" s="1682">
        <f>S45*S68</f>
        <v>3297.4030640981691</v>
      </c>
      <c r="T49" s="1704">
        <f>T45*T68</f>
        <v>3517.9538182993506</v>
      </c>
      <c r="U49" s="1704"/>
    </row>
    <row r="50" spans="1:25" outlineLevel="1">
      <c r="A50" s="1506" t="s">
        <v>471</v>
      </c>
      <c r="C50" s="250">
        <f t="shared" ref="C50:J51" si="31">C11</f>
        <v>936.04399999999998</v>
      </c>
      <c r="D50" s="250">
        <f t="shared" si="31"/>
        <v>959.63499999999999</v>
      </c>
      <c r="E50" s="250">
        <f t="shared" si="31"/>
        <v>1010.754</v>
      </c>
      <c r="F50" s="250">
        <f t="shared" si="31"/>
        <v>1131.4770000000001</v>
      </c>
      <c r="G50" s="250">
        <f t="shared" si="31"/>
        <v>1153.944</v>
      </c>
      <c r="H50" s="250">
        <f t="shared" si="31"/>
        <v>1090.1689999999999</v>
      </c>
      <c r="I50" s="250">
        <f t="shared" si="31"/>
        <v>1210.8719999999998</v>
      </c>
      <c r="J50" s="250">
        <f t="shared" si="31"/>
        <v>1400.223</v>
      </c>
      <c r="K50" s="250">
        <f t="shared" ref="K50:M51" si="32">K11</f>
        <v>1466.067</v>
      </c>
      <c r="L50" s="250">
        <f t="shared" si="32"/>
        <v>1546.5029999999999</v>
      </c>
      <c r="M50" s="250">
        <f t="shared" si="32"/>
        <v>1645.7460000000001</v>
      </c>
      <c r="N50" s="250">
        <f t="shared" ref="N50:P51" si="33">N11</f>
        <v>1684.4999999999998</v>
      </c>
      <c r="O50" s="250">
        <f t="shared" si="33"/>
        <v>1731.2</v>
      </c>
      <c r="P50" s="250">
        <f t="shared" si="33"/>
        <v>1810.4</v>
      </c>
      <c r="Q50" s="250">
        <f>Q45*Q69</f>
        <v>1971.256973976858</v>
      </c>
      <c r="R50" s="250">
        <f>R45*R69</f>
        <v>2118.0939341023418</v>
      </c>
      <c r="S50" s="250">
        <f>S45*S69</f>
        <v>2251.6819913879576</v>
      </c>
      <c r="T50" s="612">
        <f>T45*T69</f>
        <v>2388.213443842335</v>
      </c>
      <c r="U50" s="612"/>
    </row>
    <row r="51" spans="1:25" outlineLevel="2">
      <c r="A51" s="1506" t="s">
        <v>1834</v>
      </c>
      <c r="C51" s="250">
        <f t="shared" si="31"/>
        <v>106.83199999999999</v>
      </c>
      <c r="D51" s="250">
        <f t="shared" si="31"/>
        <v>109.449</v>
      </c>
      <c r="E51" s="250">
        <f t="shared" si="31"/>
        <v>115.297</v>
      </c>
      <c r="F51" s="250">
        <f t="shared" si="31"/>
        <v>128.07599999999999</v>
      </c>
      <c r="G51" s="250">
        <f t="shared" si="31"/>
        <v>135.83199999999999</v>
      </c>
      <c r="H51" s="250">
        <f t="shared" si="31"/>
        <v>139.41900000000001</v>
      </c>
      <c r="I51" s="250">
        <f t="shared" si="31"/>
        <v>147.87</v>
      </c>
      <c r="J51" s="250">
        <f t="shared" si="31"/>
        <v>145.934</v>
      </c>
      <c r="K51" s="250">
        <f t="shared" si="32"/>
        <v>163.649</v>
      </c>
      <c r="L51" s="250">
        <f t="shared" si="32"/>
        <v>180.62899999999999</v>
      </c>
      <c r="M51" s="250">
        <f t="shared" si="32"/>
        <v>194.15799999999999</v>
      </c>
      <c r="N51" s="250">
        <f t="shared" si="33"/>
        <v>202.5</v>
      </c>
      <c r="O51" s="250">
        <f t="shared" si="33"/>
        <v>208.5</v>
      </c>
      <c r="P51" s="250">
        <f t="shared" si="33"/>
        <v>206.9</v>
      </c>
      <c r="Q51" s="250">
        <f>Q12</f>
        <v>210.46173284360725</v>
      </c>
      <c r="R51" s="250">
        <f>R12</f>
        <v>217.29269674565469</v>
      </c>
      <c r="S51" s="250">
        <f>S12</f>
        <v>228.86761198250457</v>
      </c>
      <c r="T51" s="612">
        <f>T12</f>
        <v>202.88609111139425</v>
      </c>
      <c r="U51" s="612"/>
    </row>
    <row r="52" spans="1:25" outlineLevel="1">
      <c r="A52" s="1683" t="s">
        <v>487</v>
      </c>
      <c r="C52" s="1682">
        <f>C49-C50</f>
        <v>294.52900000000011</v>
      </c>
      <c r="D52" s="1682">
        <f t="shared" ref="D52:J52" si="34">D49-D50</f>
        <v>382.70500000000038</v>
      </c>
      <c r="E52" s="1682">
        <f t="shared" si="34"/>
        <v>462.06599999999946</v>
      </c>
      <c r="F52" s="1682">
        <f t="shared" si="34"/>
        <v>544.99999999999977</v>
      </c>
      <c r="G52" s="1682">
        <f t="shared" si="34"/>
        <v>492.49799999999982</v>
      </c>
      <c r="H52" s="1682">
        <f t="shared" si="34"/>
        <v>440.07600000000048</v>
      </c>
      <c r="I52" s="1682">
        <f t="shared" si="34"/>
        <v>612.41599999999971</v>
      </c>
      <c r="J52" s="1682">
        <f t="shared" si="34"/>
        <v>751.14400000000023</v>
      </c>
      <c r="K52" s="1682">
        <f t="shared" ref="K52:T52" si="35">K49-K50</f>
        <v>697.21699999999964</v>
      </c>
      <c r="L52" s="1682">
        <f t="shared" si="35"/>
        <v>793.94000000000028</v>
      </c>
      <c r="M52" s="1682">
        <f t="shared" si="35"/>
        <v>891.42899999999918</v>
      </c>
      <c r="N52" s="1682">
        <f t="shared" si="35"/>
        <v>806.80000000000132</v>
      </c>
      <c r="O52" s="1682">
        <f t="shared" si="35"/>
        <v>759.19999999999959</v>
      </c>
      <c r="P52" s="1682">
        <f t="shared" si="35"/>
        <v>794.40000000000009</v>
      </c>
      <c r="Q52" s="1682">
        <f t="shared" si="35"/>
        <v>847.66620760677756</v>
      </c>
      <c r="R52" s="1682">
        <f t="shared" si="35"/>
        <v>936.01417589032872</v>
      </c>
      <c r="S52" s="1682">
        <f t="shared" si="35"/>
        <v>1045.7210727102115</v>
      </c>
      <c r="T52" s="1704">
        <f t="shared" si="35"/>
        <v>1129.7403744570156</v>
      </c>
      <c r="U52" s="1704"/>
    </row>
    <row r="53" spans="1:25" outlineLevel="2">
      <c r="A53" s="1506"/>
      <c r="C53" s="250"/>
      <c r="D53" s="250"/>
      <c r="E53" s="250"/>
      <c r="F53" s="250"/>
      <c r="G53" s="250"/>
      <c r="H53" s="250"/>
      <c r="I53" s="250"/>
      <c r="J53" s="250"/>
      <c r="K53" s="250"/>
      <c r="L53" s="250"/>
      <c r="M53" s="250"/>
      <c r="N53" s="250"/>
      <c r="O53" s="250"/>
      <c r="P53" s="250"/>
      <c r="T53" s="621"/>
      <c r="U53" s="621"/>
    </row>
    <row r="54" spans="1:25" outlineLevel="2">
      <c r="A54" s="1506" t="s">
        <v>1835</v>
      </c>
      <c r="C54" s="250">
        <f>C15</f>
        <v>15.978</v>
      </c>
      <c r="D54" s="250">
        <f t="shared" ref="D54:J54" si="36">D15</f>
        <v>14.731</v>
      </c>
      <c r="E54" s="250">
        <f t="shared" si="36"/>
        <v>10.488</v>
      </c>
      <c r="F54" s="250">
        <f t="shared" si="36"/>
        <v>8.1310000000000002</v>
      </c>
      <c r="G54" s="250">
        <f t="shared" si="36"/>
        <v>28.9</v>
      </c>
      <c r="H54" s="250">
        <f t="shared" si="36"/>
        <v>50.517999999999994</v>
      </c>
      <c r="I54" s="250">
        <f t="shared" si="36"/>
        <v>47.347000000000001</v>
      </c>
      <c r="J54" s="250">
        <f t="shared" si="36"/>
        <v>43.475000000000001</v>
      </c>
      <c r="K54" s="250">
        <f t="shared" ref="K54:T54" si="37">K15</f>
        <v>53.641000000000005</v>
      </c>
      <c r="L54" s="250">
        <f t="shared" si="37"/>
        <v>56.952000000000005</v>
      </c>
      <c r="M54" s="250">
        <f t="shared" si="37"/>
        <v>60.113</v>
      </c>
      <c r="N54" s="250">
        <f t="shared" si="37"/>
        <v>50.199999999999996</v>
      </c>
      <c r="O54" s="250">
        <f t="shared" si="37"/>
        <v>44.599999999999994</v>
      </c>
      <c r="P54" s="250">
        <f t="shared" si="37"/>
        <v>34</v>
      </c>
      <c r="Q54" s="250">
        <f t="shared" si="37"/>
        <v>32.9</v>
      </c>
      <c r="R54" s="250">
        <f t="shared" si="37"/>
        <v>32.9</v>
      </c>
      <c r="S54" s="250">
        <f t="shared" si="37"/>
        <v>32.9</v>
      </c>
      <c r="T54" s="612">
        <f t="shared" si="37"/>
        <v>32.9</v>
      </c>
      <c r="U54" s="612"/>
    </row>
    <row r="55" spans="1:25" outlineLevel="2">
      <c r="A55" s="1683" t="s">
        <v>1381</v>
      </c>
      <c r="C55" s="1682">
        <f>C52-C54</f>
        <v>278.5510000000001</v>
      </c>
      <c r="D55" s="1682">
        <f t="shared" ref="D55:K55" si="38">D52-D54</f>
        <v>367.97400000000039</v>
      </c>
      <c r="E55" s="1682">
        <f t="shared" si="38"/>
        <v>451.57799999999946</v>
      </c>
      <c r="F55" s="1682">
        <f t="shared" si="38"/>
        <v>536.8689999999998</v>
      </c>
      <c r="G55" s="1682">
        <f t="shared" si="38"/>
        <v>463.59799999999984</v>
      </c>
      <c r="H55" s="1682">
        <f t="shared" si="38"/>
        <v>389.5580000000005</v>
      </c>
      <c r="I55" s="1682">
        <f t="shared" si="38"/>
        <v>565.06899999999973</v>
      </c>
      <c r="J55" s="1682">
        <f t="shared" si="38"/>
        <v>707.66900000000021</v>
      </c>
      <c r="K55" s="1682">
        <f t="shared" si="38"/>
        <v>643.57599999999968</v>
      </c>
      <c r="L55" s="1682">
        <f t="shared" ref="L55:Q55" si="39">L52-L54</f>
        <v>736.98800000000028</v>
      </c>
      <c r="M55" s="1682">
        <f>M52-M54</f>
        <v>831.31599999999912</v>
      </c>
      <c r="N55" s="1682">
        <f>N52-N54</f>
        <v>756.60000000000127</v>
      </c>
      <c r="O55" s="1682">
        <f>O52-O54</f>
        <v>714.59999999999957</v>
      </c>
      <c r="P55" s="1682">
        <f>P52-P54</f>
        <v>760.40000000000009</v>
      </c>
      <c r="Q55" s="1682">
        <f t="shared" si="39"/>
        <v>814.76620760677758</v>
      </c>
      <c r="R55" s="1682">
        <f>R52-R54</f>
        <v>903.11417589032874</v>
      </c>
      <c r="S55" s="1682">
        <f>S52-S54</f>
        <v>1012.8210727102115</v>
      </c>
      <c r="T55" s="1704">
        <f>T52-T54</f>
        <v>1096.8403744570155</v>
      </c>
      <c r="U55" s="1704"/>
    </row>
    <row r="56" spans="1:25" outlineLevel="2">
      <c r="A56" s="1506"/>
      <c r="C56" s="250"/>
      <c r="D56" s="250"/>
      <c r="E56" s="250"/>
      <c r="F56" s="250"/>
      <c r="G56" s="250"/>
      <c r="H56" s="250"/>
      <c r="I56" s="250"/>
      <c r="J56" s="250"/>
      <c r="K56" s="250"/>
      <c r="L56" s="250"/>
      <c r="M56" s="250"/>
      <c r="N56" s="250"/>
      <c r="O56" s="250"/>
      <c r="P56" s="250"/>
      <c r="T56" s="621"/>
      <c r="U56" s="621"/>
    </row>
    <row r="57" spans="1:25" outlineLevel="1">
      <c r="A57" s="1506" t="s">
        <v>474</v>
      </c>
      <c r="C57" s="250">
        <f>C18</f>
        <v>167.84899999999999</v>
      </c>
      <c r="D57" s="250">
        <f t="shared" ref="D57:J57" si="40">D18</f>
        <v>113.319</v>
      </c>
      <c r="E57" s="250">
        <f t="shared" si="40"/>
        <v>163.91499999999999</v>
      </c>
      <c r="F57" s="250">
        <f t="shared" si="40"/>
        <v>195.779</v>
      </c>
      <c r="G57" s="250">
        <f t="shared" si="40"/>
        <v>162.11892</v>
      </c>
      <c r="H57" s="250">
        <f t="shared" si="40"/>
        <v>134.31200000000001</v>
      </c>
      <c r="I57" s="250">
        <f t="shared" si="40"/>
        <v>188.72899999999998</v>
      </c>
      <c r="J57" s="250">
        <f t="shared" si="40"/>
        <v>242.48500000000001</v>
      </c>
      <c r="K57" s="250">
        <f t="shared" ref="K57:P57" si="41">K18</f>
        <v>227.41900000000001</v>
      </c>
      <c r="L57" s="250">
        <f t="shared" si="41"/>
        <v>255.96600000000001</v>
      </c>
      <c r="M57" s="250">
        <f t="shared" si="41"/>
        <v>253.358</v>
      </c>
      <c r="N57" s="250">
        <f t="shared" si="41"/>
        <v>262.15699999999998</v>
      </c>
      <c r="O57" s="250">
        <f t="shared" si="41"/>
        <v>244.5</v>
      </c>
      <c r="P57" s="250">
        <f t="shared" si="41"/>
        <v>244.2</v>
      </c>
      <c r="Q57" s="250">
        <f>Q55*Q71</f>
        <v>228.13453812989778</v>
      </c>
      <c r="R57" s="250">
        <f>R55*R71</f>
        <v>225.77854397258218</v>
      </c>
      <c r="S57" s="250">
        <f>S55*S71</f>
        <v>253.20526817755288</v>
      </c>
      <c r="T57" s="612">
        <f>T55*T71</f>
        <v>274.21009361425388</v>
      </c>
      <c r="U57" s="612"/>
      <c r="V57" s="132" t="s">
        <v>2461</v>
      </c>
      <c r="W57" s="132" t="s">
        <v>830</v>
      </c>
      <c r="X57" s="132" t="s">
        <v>831</v>
      </c>
      <c r="Y57" s="132" t="s">
        <v>833</v>
      </c>
    </row>
    <row r="58" spans="1:25" outlineLevel="2">
      <c r="A58" s="1506"/>
      <c r="C58" s="250"/>
      <c r="D58" s="250"/>
      <c r="E58" s="250"/>
      <c r="F58" s="250"/>
      <c r="G58" s="250"/>
      <c r="H58" s="250"/>
      <c r="I58" s="250"/>
      <c r="J58" s="250"/>
      <c r="K58" s="250"/>
      <c r="L58" s="250"/>
      <c r="M58" s="250"/>
      <c r="N58" s="250"/>
      <c r="O58" s="250"/>
      <c r="P58" s="250"/>
      <c r="T58" s="621"/>
      <c r="U58" s="621"/>
      <c r="V58" s="132"/>
      <c r="W58" s="132"/>
      <c r="X58" s="132"/>
    </row>
    <row r="59" spans="1:25" outlineLevel="2">
      <c r="A59" s="132" t="s">
        <v>2448</v>
      </c>
      <c r="C59" s="250">
        <f>C19</f>
        <v>0</v>
      </c>
      <c r="D59" s="250">
        <f t="shared" ref="D59:Q59" si="42">D19</f>
        <v>0</v>
      </c>
      <c r="E59" s="250">
        <f t="shared" si="42"/>
        <v>0</v>
      </c>
      <c r="F59" s="250">
        <f t="shared" si="42"/>
        <v>0</v>
      </c>
      <c r="G59" s="250">
        <f t="shared" si="42"/>
        <v>0</v>
      </c>
      <c r="H59" s="250">
        <f t="shared" si="42"/>
        <v>0</v>
      </c>
      <c r="I59" s="250">
        <f t="shared" si="42"/>
        <v>0</v>
      </c>
      <c r="J59" s="250">
        <f t="shared" si="42"/>
        <v>0</v>
      </c>
      <c r="K59" s="250">
        <f t="shared" si="42"/>
        <v>0</v>
      </c>
      <c r="L59" s="250">
        <f t="shared" si="42"/>
        <v>0</v>
      </c>
      <c r="M59" s="250">
        <f>M19</f>
        <v>-32.822999999999993</v>
      </c>
      <c r="N59" s="250">
        <f>N19</f>
        <v>0</v>
      </c>
      <c r="O59" s="250">
        <f>O19</f>
        <v>0</v>
      </c>
      <c r="P59" s="250">
        <f>P19</f>
        <v>0</v>
      </c>
      <c r="Q59" s="250">
        <f t="shared" si="42"/>
        <v>0</v>
      </c>
      <c r="R59" s="250">
        <f>R19</f>
        <v>0</v>
      </c>
      <c r="S59" s="250">
        <f>S19</f>
        <v>0</v>
      </c>
      <c r="T59" s="612">
        <f>T19</f>
        <v>0</v>
      </c>
      <c r="U59" s="612"/>
      <c r="V59" s="132"/>
      <c r="W59" s="132"/>
      <c r="X59" s="132"/>
    </row>
    <row r="60" spans="1:25" outlineLevel="2">
      <c r="A60" s="1506" t="s">
        <v>1836</v>
      </c>
      <c r="C60" s="1682">
        <f t="shared" ref="C60:L60" si="43">C55-C57+C59</f>
        <v>110.70200000000011</v>
      </c>
      <c r="D60" s="1682">
        <f t="shared" si="43"/>
        <v>254.65500000000037</v>
      </c>
      <c r="E60" s="1682">
        <f t="shared" si="43"/>
        <v>287.66299999999944</v>
      </c>
      <c r="F60" s="1682">
        <f t="shared" si="43"/>
        <v>341.0899999999998</v>
      </c>
      <c r="G60" s="1682">
        <f t="shared" si="43"/>
        <v>301.47907999999984</v>
      </c>
      <c r="H60" s="1682">
        <f t="shared" si="43"/>
        <v>255.24600000000049</v>
      </c>
      <c r="I60" s="1682">
        <f t="shared" si="43"/>
        <v>376.33999999999975</v>
      </c>
      <c r="J60" s="1682">
        <f t="shared" si="43"/>
        <v>465.1840000000002</v>
      </c>
      <c r="K60" s="1682">
        <f t="shared" si="43"/>
        <v>416.1569999999997</v>
      </c>
      <c r="L60" s="1682">
        <f t="shared" si="43"/>
        <v>481.02200000000028</v>
      </c>
      <c r="M60" s="1682">
        <f t="shared" ref="M60:S60" si="44">M55-M57+M59</f>
        <v>545.1349999999992</v>
      </c>
      <c r="N60" s="1682">
        <f t="shared" si="44"/>
        <v>494.44300000000129</v>
      </c>
      <c r="O60" s="1682">
        <f>O55-O57+O59</f>
        <v>470.09999999999957</v>
      </c>
      <c r="P60" s="1682">
        <f>P55-P57+P59</f>
        <v>516.20000000000005</v>
      </c>
      <c r="Q60" s="1682">
        <f t="shared" si="44"/>
        <v>586.63166947687978</v>
      </c>
      <c r="R60" s="1682">
        <f t="shared" si="44"/>
        <v>677.33563191774658</v>
      </c>
      <c r="S60" s="1682">
        <f t="shared" si="44"/>
        <v>759.61580453265867</v>
      </c>
      <c r="T60" s="1704">
        <f>T55-T57+T59</f>
        <v>822.63028084276164</v>
      </c>
      <c r="U60" s="1704"/>
      <c r="V60" s="132"/>
      <c r="W60" s="132"/>
      <c r="X60" s="132"/>
    </row>
    <row r="61" spans="1:25" outlineLevel="2">
      <c r="A61" s="1506"/>
      <c r="C61" s="250"/>
      <c r="D61" s="250"/>
      <c r="E61" s="250"/>
      <c r="F61" s="250"/>
      <c r="G61" s="250"/>
      <c r="H61" s="250"/>
      <c r="I61" s="250"/>
      <c r="J61" s="250"/>
      <c r="K61" s="250"/>
      <c r="L61" s="250"/>
      <c r="M61" s="250"/>
      <c r="N61" s="250"/>
      <c r="O61" s="250"/>
      <c r="P61" s="250"/>
      <c r="T61" s="621"/>
      <c r="U61" s="621"/>
      <c r="V61" s="132"/>
      <c r="W61" s="132"/>
      <c r="X61" s="132"/>
    </row>
    <row r="62" spans="1:25" outlineLevel="1">
      <c r="A62" s="1676" t="s">
        <v>1837</v>
      </c>
      <c r="B62" s="1676"/>
      <c r="C62" s="1677">
        <f>C60/C63</f>
        <v>0.74751676311507043</v>
      </c>
      <c r="D62" s="1677">
        <f t="shared" ref="D62:J62" si="45">D60/D63</f>
        <v>1.7492684334171398</v>
      </c>
      <c r="E62" s="1677">
        <f t="shared" si="45"/>
        <v>2.0424663272768542</v>
      </c>
      <c r="F62" s="1677">
        <f t="shared" si="45"/>
        <v>2.4691617199942075</v>
      </c>
      <c r="G62" s="1677">
        <f t="shared" si="45"/>
        <v>2.3849306225773264</v>
      </c>
      <c r="H62" s="1677">
        <f t="shared" si="45"/>
        <v>2.0357305216815718</v>
      </c>
      <c r="I62" s="1677">
        <f t="shared" si="45"/>
        <v>2.9308599286637675</v>
      </c>
      <c r="J62" s="1677">
        <f t="shared" si="45"/>
        <v>3.603765801394843</v>
      </c>
      <c r="K62" s="1677">
        <f t="shared" ref="K62:S62" si="46">K60/K63</f>
        <v>3.25296105149816</v>
      </c>
      <c r="L62" s="1677">
        <f t="shared" si="46"/>
        <v>3.7326939156379946</v>
      </c>
      <c r="M62" s="1677">
        <f t="shared" si="46"/>
        <v>4.1965742879137737</v>
      </c>
      <c r="N62" s="1677">
        <f t="shared" si="46"/>
        <v>3.8299225406661606</v>
      </c>
      <c r="O62" s="1677">
        <f t="shared" si="46"/>
        <v>3.7458167330677257</v>
      </c>
      <c r="P62" s="1677">
        <f t="shared" ref="P62" si="47">P60/P63</f>
        <v>4.1262989608313356</v>
      </c>
      <c r="Q62" s="1677">
        <f t="shared" si="46"/>
        <v>4.7204318606065563</v>
      </c>
      <c r="R62" s="1677">
        <f t="shared" si="46"/>
        <v>5.4945092834536329</v>
      </c>
      <c r="S62" s="1677">
        <f t="shared" si="46"/>
        <v>6.2031319759167385</v>
      </c>
      <c r="T62" s="2383">
        <f>T60/T63</f>
        <v>6.7629028525404058</v>
      </c>
      <c r="U62" s="2388"/>
      <c r="V62" s="1692">
        <f>P62</f>
        <v>4.1262989608313356</v>
      </c>
      <c r="W62" s="132">
        <v>20</v>
      </c>
      <c r="X62" s="789">
        <f>V62*W62</f>
        <v>82.525979216626709</v>
      </c>
      <c r="Y62" s="215">
        <f>X62/$V$3-1</f>
        <v>0.31035216285529876</v>
      </c>
    </row>
    <row r="63" spans="1:25" outlineLevel="1">
      <c r="A63" s="1506" t="s">
        <v>1838</v>
      </c>
      <c r="C63" s="250">
        <f>C24</f>
        <v>148.09299999999999</v>
      </c>
      <c r="D63" s="250">
        <f t="shared" ref="D63:J63" si="48">D24</f>
        <v>145.578</v>
      </c>
      <c r="E63" s="250">
        <f t="shared" si="48"/>
        <v>140.84100000000001</v>
      </c>
      <c r="F63" s="250">
        <f t="shared" si="48"/>
        <v>138.13999999999999</v>
      </c>
      <c r="G63" s="250">
        <f t="shared" si="48"/>
        <v>126.41</v>
      </c>
      <c r="H63" s="250">
        <f t="shared" si="48"/>
        <v>125.383</v>
      </c>
      <c r="I63" s="250">
        <f t="shared" si="48"/>
        <v>128.40600000000001</v>
      </c>
      <c r="J63" s="250">
        <f t="shared" si="48"/>
        <v>129.08275</v>
      </c>
      <c r="K63" s="250">
        <f t="shared" ref="K63:T63" si="49">K24</f>
        <v>127.93174999999999</v>
      </c>
      <c r="L63" s="250">
        <f t="shared" si="49"/>
        <v>128.86724999999998</v>
      </c>
      <c r="M63" s="250">
        <f t="shared" si="49"/>
        <v>129.9</v>
      </c>
      <c r="N63" s="250">
        <f t="shared" si="49"/>
        <v>129.1</v>
      </c>
      <c r="O63" s="250">
        <f t="shared" si="49"/>
        <v>125.5</v>
      </c>
      <c r="P63" s="250">
        <f t="shared" si="49"/>
        <v>125.1</v>
      </c>
      <c r="Q63" s="250">
        <f t="shared" si="49"/>
        <v>124.27500000000001</v>
      </c>
      <c r="R63" s="250">
        <f t="shared" si="49"/>
        <v>123.27500000000001</v>
      </c>
      <c r="S63" s="250">
        <f t="shared" si="49"/>
        <v>122.45681818181819</v>
      </c>
      <c r="T63" s="612">
        <f t="shared" si="49"/>
        <v>121.63863636363638</v>
      </c>
      <c r="U63" s="612"/>
    </row>
    <row r="64" spans="1:25" outlineLevel="2">
      <c r="A64" s="1506"/>
      <c r="P64" s="2442"/>
      <c r="T64" s="621"/>
      <c r="U64" s="621"/>
    </row>
    <row r="65" spans="1:21" outlineLevel="2">
      <c r="A65" s="1506" t="s">
        <v>446</v>
      </c>
      <c r="C65" s="1682">
        <f>C51+C52</f>
        <v>401.3610000000001</v>
      </c>
      <c r="D65" s="1682">
        <f t="shared" ref="D65:J65" si="50">D51+D52</f>
        <v>492.15400000000039</v>
      </c>
      <c r="E65" s="1682">
        <f t="shared" si="50"/>
        <v>577.36299999999949</v>
      </c>
      <c r="F65" s="1682">
        <f t="shared" si="50"/>
        <v>673.07599999999979</v>
      </c>
      <c r="G65" s="1682">
        <f t="shared" si="50"/>
        <v>628.32999999999981</v>
      </c>
      <c r="H65" s="1682">
        <f t="shared" si="50"/>
        <v>579.49500000000046</v>
      </c>
      <c r="I65" s="1682">
        <f t="shared" si="50"/>
        <v>760.28599999999972</v>
      </c>
      <c r="J65" s="1682">
        <f t="shared" si="50"/>
        <v>897.0780000000002</v>
      </c>
      <c r="K65" s="1682">
        <f t="shared" ref="K65:T65" si="51">K51+K52</f>
        <v>860.86599999999964</v>
      </c>
      <c r="L65" s="1682">
        <f t="shared" si="51"/>
        <v>974.5690000000003</v>
      </c>
      <c r="M65" s="1682">
        <f t="shared" si="51"/>
        <v>1085.5869999999991</v>
      </c>
      <c r="N65" s="1682">
        <f t="shared" si="51"/>
        <v>1009.3000000000013</v>
      </c>
      <c r="O65" s="1682">
        <f t="shared" si="51"/>
        <v>967.69999999999959</v>
      </c>
      <c r="P65" s="1682">
        <f t="shared" si="51"/>
        <v>1001.3000000000001</v>
      </c>
      <c r="Q65" s="1682">
        <f t="shared" si="51"/>
        <v>1058.1279404503848</v>
      </c>
      <c r="R65" s="1682">
        <f t="shared" si="51"/>
        <v>1153.3068726359834</v>
      </c>
      <c r="S65" s="1682">
        <f t="shared" si="51"/>
        <v>1274.588684692716</v>
      </c>
      <c r="T65" s="1704">
        <f t="shared" si="51"/>
        <v>1332.6264655684099</v>
      </c>
      <c r="U65" s="1704"/>
    </row>
    <row r="66" spans="1:21" outlineLevel="1">
      <c r="A66" s="1506"/>
      <c r="P66" s="2442"/>
      <c r="Q66" s="2037"/>
      <c r="R66" s="2037"/>
      <c r="S66" s="2037"/>
      <c r="T66" s="2385"/>
      <c r="U66" s="2385"/>
    </row>
    <row r="67" spans="1:21" outlineLevel="1">
      <c r="A67" s="136" t="s">
        <v>479</v>
      </c>
      <c r="P67" s="2442"/>
      <c r="Q67" s="2037">
        <f>P50*0.82*(1.03)+P50*0.18*(1+Q74)</f>
        <v>1878.3347727543592</v>
      </c>
      <c r="R67" s="2037">
        <f>Q50*0.82*(1.03)+Q50*0.18*(1+R74)</f>
        <v>2047.9827730441471</v>
      </c>
      <c r="S67" s="2037">
        <f>R50*0.82*(1.03)+R50*0.18*(1+S74)</f>
        <v>2200.0509883127925</v>
      </c>
      <c r="T67" s="2385">
        <f>S50*0.82*(1.03)+S50*0.18*(1+T74)</f>
        <v>2334.046121378623</v>
      </c>
      <c r="U67" s="2385"/>
    </row>
    <row r="68" spans="1:21" outlineLevel="1">
      <c r="A68" s="1506" t="s">
        <v>884</v>
      </c>
      <c r="C68" s="215">
        <f>C49/C45</f>
        <v>0.55812577018374654</v>
      </c>
      <c r="D68" s="215">
        <f t="shared" ref="D68:J68" si="52">D49/D45</f>
        <v>0.56044018899836467</v>
      </c>
      <c r="E68" s="215">
        <f t="shared" si="52"/>
        <v>0.57515540466131965</v>
      </c>
      <c r="F68" s="215">
        <f t="shared" si="52"/>
        <v>0.57046874356661337</v>
      </c>
      <c r="G68" s="215">
        <f t="shared" si="52"/>
        <v>0.57793032227990215</v>
      </c>
      <c r="H68" s="215">
        <f t="shared" si="52"/>
        <v>0.56472231550744911</v>
      </c>
      <c r="I68" s="215">
        <f t="shared" si="52"/>
        <v>0.59096162759416448</v>
      </c>
      <c r="J68" s="215">
        <f t="shared" si="52"/>
        <v>0.59055838736711619</v>
      </c>
      <c r="K68" s="215">
        <f t="shared" ref="K68:P68" si="53">K49/K45</f>
        <v>0.57014813735208203</v>
      </c>
      <c r="L68" s="215">
        <f t="shared" si="53"/>
        <v>0.58059229049919014</v>
      </c>
      <c r="M68" s="215">
        <f t="shared" si="53"/>
        <v>0.59699457377127474</v>
      </c>
      <c r="N68" s="215">
        <f t="shared" si="53"/>
        <v>0.60693838770190289</v>
      </c>
      <c r="O68" s="215">
        <f t="shared" si="53"/>
        <v>0.62231995601979107</v>
      </c>
      <c r="P68" s="215">
        <f t="shared" si="53"/>
        <v>0.62468223895630492</v>
      </c>
      <c r="Q68" s="2050">
        <f>Q29+0.004</f>
        <v>0.63074325954970001</v>
      </c>
      <c r="R68" s="2050">
        <f>R29+0.005</f>
        <v>0.63300000000000012</v>
      </c>
      <c r="S68" s="2050">
        <f t="shared" ref="S68:T68" si="54">S29+0.005</f>
        <v>0.63380000000000003</v>
      </c>
      <c r="T68" s="2050">
        <f t="shared" si="54"/>
        <v>0.63400000000000001</v>
      </c>
      <c r="U68" s="2255"/>
    </row>
    <row r="69" spans="1:21" outlineLevel="1">
      <c r="A69" s="1506" t="s">
        <v>481</v>
      </c>
      <c r="C69" s="215">
        <f>C50/C45</f>
        <v>0.42454228918225473</v>
      </c>
      <c r="D69" s="215">
        <f t="shared" ref="D69:J69" si="55">D50/D45</f>
        <v>0.40065707702180192</v>
      </c>
      <c r="E69" s="215">
        <f t="shared" si="55"/>
        <v>0.39471260974392508</v>
      </c>
      <c r="F69" s="215">
        <f t="shared" si="55"/>
        <v>0.38501707006092006</v>
      </c>
      <c r="G69" s="215">
        <f t="shared" si="55"/>
        <v>0.40505479562168573</v>
      </c>
      <c r="H69" s="215">
        <f t="shared" si="55"/>
        <v>0.40231646695427209</v>
      </c>
      <c r="I69" s="215">
        <f t="shared" si="55"/>
        <v>0.39246618632284164</v>
      </c>
      <c r="J69" s="215">
        <f t="shared" si="55"/>
        <v>0.38436651525952825</v>
      </c>
      <c r="K69" s="215">
        <f t="shared" ref="K69:P69" si="56">K50/K45</f>
        <v>0.38639187886720139</v>
      </c>
      <c r="L69" s="215">
        <f t="shared" si="56"/>
        <v>0.38364007114630388</v>
      </c>
      <c r="M69" s="215">
        <f t="shared" si="56"/>
        <v>0.38724228001843808</v>
      </c>
      <c r="N69" s="215">
        <f t="shared" si="56"/>
        <v>0.41038321923648485</v>
      </c>
      <c r="O69" s="215">
        <f t="shared" si="56"/>
        <v>0.43260532760257886</v>
      </c>
      <c r="P69" s="215">
        <f t="shared" si="56"/>
        <v>0.43416950453259151</v>
      </c>
      <c r="Q69" s="1684">
        <f>Q30-0.005</f>
        <v>0.44107517980597799</v>
      </c>
      <c r="R69" s="1684">
        <f>R30-0.006</f>
        <v>0.43900000000000006</v>
      </c>
      <c r="S69" s="1684">
        <f>S30-0.01</f>
        <v>0.43280000000000002</v>
      </c>
      <c r="T69" s="2386">
        <f>T30-0.01</f>
        <v>0.43039999999999995</v>
      </c>
      <c r="U69" s="2386"/>
    </row>
    <row r="70" spans="1:21" outlineLevel="1">
      <c r="A70" s="1506" t="s">
        <v>448</v>
      </c>
      <c r="C70" s="215">
        <f>C52/C45</f>
        <v>0.13358348100149176</v>
      </c>
      <c r="D70" s="215">
        <f t="shared" ref="D70:J70" si="57">D52/D45</f>
        <v>0.15978311197656281</v>
      </c>
      <c r="E70" s="215">
        <f t="shared" si="57"/>
        <v>0.18044279491739459</v>
      </c>
      <c r="F70" s="215">
        <f t="shared" si="57"/>
        <v>0.1854516735056933</v>
      </c>
      <c r="G70" s="215">
        <f t="shared" si="57"/>
        <v>0.17287552665821646</v>
      </c>
      <c r="H70" s="215">
        <f t="shared" si="57"/>
        <v>0.16240584855317702</v>
      </c>
      <c r="I70" s="215">
        <f t="shared" si="57"/>
        <v>0.1984954412713229</v>
      </c>
      <c r="J70" s="215">
        <f t="shared" si="57"/>
        <v>0.20619187210758799</v>
      </c>
      <c r="K70" s="215">
        <f t="shared" ref="K70:T70" si="58">K52/K45</f>
        <v>0.18375625848488059</v>
      </c>
      <c r="L70" s="215">
        <f t="shared" si="58"/>
        <v>0.19695221935288623</v>
      </c>
      <c r="M70" s="215">
        <f t="shared" si="58"/>
        <v>0.20975229375283666</v>
      </c>
      <c r="N70" s="215">
        <f t="shared" si="58"/>
        <v>0.19655516846541798</v>
      </c>
      <c r="O70" s="215">
        <f t="shared" si="58"/>
        <v>0.18971462841721218</v>
      </c>
      <c r="P70" s="215">
        <f t="shared" si="58"/>
        <v>0.19051273442371339</v>
      </c>
      <c r="Q70" s="215">
        <f t="shared" si="58"/>
        <v>0.18966807974372202</v>
      </c>
      <c r="R70" s="215">
        <f t="shared" si="58"/>
        <v>0.19400000000000003</v>
      </c>
      <c r="S70" s="215">
        <f t="shared" si="58"/>
        <v>0.20100000000000001</v>
      </c>
      <c r="T70" s="387">
        <f t="shared" si="58"/>
        <v>0.20360000000000003</v>
      </c>
      <c r="U70" s="387"/>
    </row>
    <row r="71" spans="1:21" outlineLevel="1">
      <c r="A71" s="1506" t="s">
        <v>483</v>
      </c>
      <c r="C71" s="215">
        <f>C57/C55</f>
        <v>0.6025790609260061</v>
      </c>
      <c r="D71" s="215">
        <f t="shared" ref="D71:J71" si="59">D57/D55</f>
        <v>0.30795382282443834</v>
      </c>
      <c r="E71" s="215">
        <f t="shared" si="59"/>
        <v>0.36298269623409507</v>
      </c>
      <c r="F71" s="215">
        <f t="shared" si="59"/>
        <v>0.36466810339207528</v>
      </c>
      <c r="G71" s="215">
        <f t="shared" si="59"/>
        <v>0.34969719455217679</v>
      </c>
      <c r="H71" s="215">
        <f t="shared" si="59"/>
        <v>0.34478049481720269</v>
      </c>
      <c r="I71" s="215">
        <f t="shared" si="59"/>
        <v>0.33399283981248323</v>
      </c>
      <c r="J71" s="215">
        <f t="shared" si="59"/>
        <v>0.34265313303253347</v>
      </c>
      <c r="K71" s="215">
        <f t="shared" ref="K71:P71" si="60">K57/K55</f>
        <v>0.35336774522356351</v>
      </c>
      <c r="L71" s="215">
        <f t="shared" si="60"/>
        <v>0.34731366046665607</v>
      </c>
      <c r="M71" s="215">
        <f t="shared" si="60"/>
        <v>0.30476738087562405</v>
      </c>
      <c r="N71" s="215">
        <f t="shared" si="60"/>
        <v>0.34649352365847153</v>
      </c>
      <c r="O71" s="215">
        <f t="shared" si="60"/>
        <v>0.34214945424013454</v>
      </c>
      <c r="P71" s="215">
        <f t="shared" si="60"/>
        <v>0.32114676486059962</v>
      </c>
      <c r="Q71" s="2050">
        <f>Q32</f>
        <v>0.28000000000000008</v>
      </c>
      <c r="R71" s="2050">
        <f>R32</f>
        <v>0.25</v>
      </c>
      <c r="S71" s="2050">
        <f>S32</f>
        <v>0.25</v>
      </c>
      <c r="T71" s="2255">
        <f>T32</f>
        <v>0.25</v>
      </c>
      <c r="U71" s="2255"/>
    </row>
    <row r="72" spans="1:21" outlineLevel="1">
      <c r="A72" s="1506"/>
      <c r="P72" s="2442"/>
      <c r="T72" s="621"/>
      <c r="U72" s="621"/>
    </row>
    <row r="73" spans="1:21" outlineLevel="1">
      <c r="A73" s="136" t="s">
        <v>484</v>
      </c>
      <c r="P73" s="2442"/>
      <c r="T73" s="621"/>
      <c r="U73" s="621"/>
    </row>
    <row r="74" spans="1:21" outlineLevel="1">
      <c r="A74" s="1506" t="s">
        <v>1015</v>
      </c>
      <c r="C74" s="1685" t="s">
        <v>814</v>
      </c>
      <c r="D74" s="215">
        <f>((D45/C45)-1)</f>
        <v>8.6320448143191175E-2</v>
      </c>
      <c r="E74" s="215">
        <f t="shared" ref="E74:P74" si="61">((E45/D45)-1)</f>
        <v>6.9131700563596299E-2</v>
      </c>
      <c r="F74" s="215">
        <f t="shared" si="61"/>
        <v>0.14762837530176909</v>
      </c>
      <c r="G74" s="215">
        <f t="shared" si="61"/>
        <v>-3.0595102510539207E-2</v>
      </c>
      <c r="H74" s="215">
        <f t="shared" si="61"/>
        <v>-4.8836744816082356E-2</v>
      </c>
      <c r="I74" s="215">
        <f t="shared" si="61"/>
        <v>0.1385968343709516</v>
      </c>
      <c r="J74" s="215">
        <f t="shared" si="61"/>
        <v>0.18074378745596054</v>
      </c>
      <c r="K74" s="215">
        <f t="shared" si="61"/>
        <v>4.1535716922911359E-2</v>
      </c>
      <c r="L74" s="215">
        <f t="shared" si="61"/>
        <v>6.2431590546640603E-2</v>
      </c>
      <c r="M74" s="215">
        <f t="shared" si="61"/>
        <v>5.4273367517296389E-2</v>
      </c>
      <c r="N74" s="215">
        <f t="shared" si="61"/>
        <v>-3.4168464154442413E-2</v>
      </c>
      <c r="O74" s="215">
        <f t="shared" si="61"/>
        <v>-2.5068823543742735E-2</v>
      </c>
      <c r="P74" s="215">
        <f t="shared" si="61"/>
        <v>4.1981108501174536E-2</v>
      </c>
      <c r="Q74" s="215">
        <f>Q75+Q81</f>
        <v>7.1804060349951113E-2</v>
      </c>
      <c r="R74" s="215">
        <f>R75+R81</f>
        <v>7.9568174802419386E-2</v>
      </c>
      <c r="S74" s="215">
        <f>S75+S81</f>
        <v>7.8298760741917092E-2</v>
      </c>
      <c r="T74" s="387">
        <f>T75+T81</f>
        <v>6.6549640830684154E-2</v>
      </c>
      <c r="U74" s="387"/>
    </row>
    <row r="75" spans="1:21" outlineLevel="1">
      <c r="A75" s="1506" t="s">
        <v>1839</v>
      </c>
      <c r="C75" s="215">
        <f>C36</f>
        <v>0.04</v>
      </c>
      <c r="D75" s="215">
        <f t="shared" ref="D75:J75" si="62">D36</f>
        <v>0.05</v>
      </c>
      <c r="E75" s="215">
        <f t="shared" si="62"/>
        <v>0.06</v>
      </c>
      <c r="F75" s="215">
        <f t="shared" si="62"/>
        <v>7.0000000000000007E-2</v>
      </c>
      <c r="G75" s="215">
        <f t="shared" si="62"/>
        <v>-0.09</v>
      </c>
      <c r="H75" s="215">
        <f t="shared" si="62"/>
        <v>-0.08</v>
      </c>
      <c r="I75" s="215">
        <f t="shared" si="62"/>
        <v>0.08</v>
      </c>
      <c r="J75" s="215">
        <f t="shared" si="62"/>
        <v>0.13678577190955957</v>
      </c>
      <c r="K75" s="215">
        <f t="shared" ref="K75:P75" si="63">K36</f>
        <v>0.01</v>
      </c>
      <c r="L75" s="215">
        <f t="shared" si="63"/>
        <v>0.06</v>
      </c>
      <c r="M75" s="215">
        <f t="shared" si="63"/>
        <v>0.04</v>
      </c>
      <c r="N75" s="215">
        <f t="shared" si="63"/>
        <v>0</v>
      </c>
      <c r="O75" s="215">
        <f t="shared" si="63"/>
        <v>-0.05</v>
      </c>
      <c r="P75" s="215">
        <f t="shared" si="63"/>
        <v>0</v>
      </c>
      <c r="Q75" s="2050">
        <v>0.04</v>
      </c>
      <c r="R75" s="2050">
        <v>0.04</v>
      </c>
      <c r="S75" s="2050">
        <v>0.04</v>
      </c>
      <c r="T75" s="2255">
        <v>0.04</v>
      </c>
      <c r="U75" s="2255"/>
    </row>
    <row r="76" spans="1:21" outlineLevel="1">
      <c r="A76" s="1506" t="s">
        <v>471</v>
      </c>
      <c r="C76" s="1685" t="s">
        <v>814</v>
      </c>
      <c r="D76" s="215">
        <f>((D50/C50)-1)</f>
        <v>2.5202875078522036E-2</v>
      </c>
      <c r="E76" s="215">
        <f t="shared" ref="E76:P76" si="64">((E50/D50)-1)</f>
        <v>5.3269211731543864E-2</v>
      </c>
      <c r="F76" s="215">
        <f t="shared" si="64"/>
        <v>0.11943855774995704</v>
      </c>
      <c r="G76" s="215">
        <f t="shared" si="64"/>
        <v>1.9856347057872092E-2</v>
      </c>
      <c r="H76" s="215">
        <f t="shared" si="64"/>
        <v>-5.5266980026760448E-2</v>
      </c>
      <c r="I76" s="215">
        <f t="shared" si="64"/>
        <v>0.11071953064157936</v>
      </c>
      <c r="J76" s="215">
        <f t="shared" si="64"/>
        <v>0.15637573583334996</v>
      </c>
      <c r="K76" s="215">
        <f t="shared" si="64"/>
        <v>4.7023938329823212E-2</v>
      </c>
      <c r="L76" s="215">
        <f t="shared" si="64"/>
        <v>5.4865159641407812E-2</v>
      </c>
      <c r="M76" s="215">
        <f t="shared" si="64"/>
        <v>6.4172523428664752E-2</v>
      </c>
      <c r="N76" s="215">
        <f t="shared" si="64"/>
        <v>2.3547983710730414E-2</v>
      </c>
      <c r="O76" s="215">
        <f t="shared" si="64"/>
        <v>2.7723360047491985E-2</v>
      </c>
      <c r="P76" s="215">
        <f t="shared" si="64"/>
        <v>4.5748613678373351E-2</v>
      </c>
      <c r="Q76" s="215">
        <f>((Q50/P50)-1)</f>
        <v>8.8851620623540573E-2</v>
      </c>
      <c r="R76" s="215">
        <f>((R50/Q50)-1)</f>
        <v>7.4488999691020297E-2</v>
      </c>
      <c r="S76" s="215">
        <f>((S50/R50)-1)</f>
        <v>6.3069939975174405E-2</v>
      </c>
      <c r="T76" s="387">
        <f>((T50/S50)-1)</f>
        <v>6.0635317498905827E-2</v>
      </c>
      <c r="U76" s="387"/>
    </row>
    <row r="77" spans="1:21" outlineLevel="1">
      <c r="A77" s="1506" t="s">
        <v>487</v>
      </c>
      <c r="C77" s="1685" t="s">
        <v>814</v>
      </c>
      <c r="D77" s="215">
        <f>((D52/C52)-1)</f>
        <v>0.29937968756896693</v>
      </c>
      <c r="E77" s="215">
        <f t="shared" ref="E77:P77" si="65">((E52/D52)-1)</f>
        <v>0.20736859983537981</v>
      </c>
      <c r="F77" s="215">
        <f t="shared" si="65"/>
        <v>0.17948518177057049</v>
      </c>
      <c r="G77" s="215">
        <f t="shared" si="65"/>
        <v>-9.6333944954128392E-2</v>
      </c>
      <c r="H77" s="215">
        <f t="shared" si="65"/>
        <v>-0.10644104138493837</v>
      </c>
      <c r="I77" s="215">
        <f t="shared" si="65"/>
        <v>0.39161417573328028</v>
      </c>
      <c r="J77" s="215">
        <f t="shared" si="65"/>
        <v>0.22652576026753146</v>
      </c>
      <c r="K77" s="215">
        <f t="shared" si="65"/>
        <v>-7.1793158169406346E-2</v>
      </c>
      <c r="L77" s="215">
        <f t="shared" si="65"/>
        <v>0.1387272542121043</v>
      </c>
      <c r="M77" s="215">
        <f t="shared" si="65"/>
        <v>0.12279139481572776</v>
      </c>
      <c r="N77" s="215">
        <f t="shared" si="65"/>
        <v>-9.4936332562658321E-2</v>
      </c>
      <c r="O77" s="215">
        <f t="shared" si="65"/>
        <v>-5.8998512642540524E-2</v>
      </c>
      <c r="P77" s="215">
        <f t="shared" si="65"/>
        <v>4.6364594309800555E-2</v>
      </c>
      <c r="Q77" s="215">
        <f>((Q52/P52)-1)</f>
        <v>6.7052124379125777E-2</v>
      </c>
      <c r="R77" s="215">
        <f>((R52/Q52)-1)</f>
        <v>0.10422495021122136</v>
      </c>
      <c r="S77" s="215">
        <f>((S52/R52)-1)</f>
        <v>0.11720644798518198</v>
      </c>
      <c r="T77" s="387">
        <f>((T52/S52)-1)</f>
        <v>8.0345805338941867E-2</v>
      </c>
      <c r="U77" s="387"/>
    </row>
    <row r="78" spans="1:21" outlineLevel="1">
      <c r="A78" s="1506" t="s">
        <v>488</v>
      </c>
      <c r="C78" s="1685" t="s">
        <v>814</v>
      </c>
      <c r="D78" s="215">
        <f t="shared" ref="D78:P78" si="66">((D62/C62)-1)</f>
        <v>1.3401059611393125</v>
      </c>
      <c r="E78" s="215">
        <f t="shared" si="66"/>
        <v>0.16761172171097938</v>
      </c>
      <c r="F78" s="215">
        <f t="shared" si="66"/>
        <v>0.20891183713478934</v>
      </c>
      <c r="G78" s="215">
        <f t="shared" si="66"/>
        <v>-3.4113236380919898E-2</v>
      </c>
      <c r="H78" s="215">
        <f t="shared" si="66"/>
        <v>-0.14641939584740793</v>
      </c>
      <c r="I78" s="215">
        <f t="shared" si="66"/>
        <v>0.43970918422090222</v>
      </c>
      <c r="J78" s="215">
        <f t="shared" si="66"/>
        <v>0.22959332383989617</v>
      </c>
      <c r="K78" s="215">
        <f t="shared" si="66"/>
        <v>-9.7343936656733798E-2</v>
      </c>
      <c r="L78" s="215">
        <f t="shared" si="66"/>
        <v>0.14747574795551044</v>
      </c>
      <c r="M78" s="215">
        <f t="shared" si="66"/>
        <v>0.12427495603975669</v>
      </c>
      <c r="N78" s="215">
        <f t="shared" si="66"/>
        <v>-8.7369297453777528E-2</v>
      </c>
      <c r="O78" s="215">
        <f t="shared" si="66"/>
        <v>-2.1960185018208178E-2</v>
      </c>
      <c r="P78" s="215">
        <f t="shared" si="66"/>
        <v>0.10157523842657534</v>
      </c>
      <c r="Q78" s="215">
        <f>((Q62/P62)-1)</f>
        <v>0.14398687671809385</v>
      </c>
      <c r="R78" s="215">
        <f>((R62/Q62)-1)</f>
        <v>0.16398445008961771</v>
      </c>
      <c r="S78" s="215">
        <f>((S62/R62)-1)</f>
        <v>0.1289692410925718</v>
      </c>
      <c r="T78" s="387">
        <f>((T62/S62)-1)</f>
        <v>9.0240039837446995E-2</v>
      </c>
      <c r="U78" s="387"/>
    </row>
    <row r="79" spans="1:21" outlineLevel="2">
      <c r="A79" s="1506" t="s">
        <v>446</v>
      </c>
      <c r="C79" s="1685" t="s">
        <v>814</v>
      </c>
      <c r="D79" s="215">
        <f t="shared" ref="D79:P79" si="67">((D65/C65)-1)</f>
        <v>0.22621281091087631</v>
      </c>
      <c r="E79" s="215">
        <f t="shared" si="67"/>
        <v>0.17313483178029454</v>
      </c>
      <c r="F79" s="215">
        <f t="shared" si="67"/>
        <v>0.16577612351328441</v>
      </c>
      <c r="G79" s="215">
        <f t="shared" si="67"/>
        <v>-6.6479862600954398E-2</v>
      </c>
      <c r="H79" s="215">
        <f t="shared" si="67"/>
        <v>-7.772189772889937E-2</v>
      </c>
      <c r="I79" s="215">
        <f t="shared" si="67"/>
        <v>0.31198025867349877</v>
      </c>
      <c r="J79" s="215">
        <f t="shared" si="67"/>
        <v>0.17992176628268908</v>
      </c>
      <c r="K79" s="215">
        <f t="shared" si="67"/>
        <v>-4.0366612490776221E-2</v>
      </c>
      <c r="L79" s="215">
        <f t="shared" si="67"/>
        <v>0.13207978942135101</v>
      </c>
      <c r="M79" s="215">
        <f t="shared" si="67"/>
        <v>0.1139149716438741</v>
      </c>
      <c r="N79" s="215">
        <f t="shared" si="67"/>
        <v>-7.0272580640702076E-2</v>
      </c>
      <c r="O79" s="215">
        <f t="shared" si="67"/>
        <v>-4.1216684831072659E-2</v>
      </c>
      <c r="P79" s="215">
        <f t="shared" si="67"/>
        <v>3.4721504598533182E-2</v>
      </c>
      <c r="Q79" s="215">
        <f>((Q65/P65)-1)</f>
        <v>5.6754160042329804E-2</v>
      </c>
      <c r="R79" s="215">
        <f>((R65/Q65)-1)</f>
        <v>8.9950306146425296E-2</v>
      </c>
      <c r="S79" s="215">
        <f>((S65/R65)-1)</f>
        <v>0.10516005317780897</v>
      </c>
      <c r="T79" s="387">
        <f>((T65/S65)-1)</f>
        <v>4.553451758414595E-2</v>
      </c>
      <c r="U79" s="387"/>
    </row>
    <row r="80" spans="1:21" outlineLevel="1">
      <c r="A80" s="1506" t="s">
        <v>1841</v>
      </c>
      <c r="C80" s="1685" t="s">
        <v>814</v>
      </c>
      <c r="D80" s="215">
        <f>D35-D36</f>
        <v>3.6320448143191172E-2</v>
      </c>
      <c r="E80" s="215">
        <f t="shared" ref="E80:J80" si="68">E35-E36</f>
        <v>9.1317005635963011E-3</v>
      </c>
      <c r="F80" s="215">
        <f t="shared" si="68"/>
        <v>7.7628375301769081E-2</v>
      </c>
      <c r="G80" s="215">
        <f t="shared" si="68"/>
        <v>5.940489748946079E-2</v>
      </c>
      <c r="H80" s="215">
        <f t="shared" si="68"/>
        <v>3.1163255183917646E-2</v>
      </c>
      <c r="I80" s="215">
        <f t="shared" si="68"/>
        <v>5.8596834370951603E-2</v>
      </c>
      <c r="J80" s="215">
        <f t="shared" si="68"/>
        <v>4.3958015546400969E-2</v>
      </c>
      <c r="K80" s="215">
        <f t="shared" ref="K80:T80" si="69">K35-K36</f>
        <v>3.1535716922911357E-2</v>
      </c>
      <c r="L80" s="215">
        <f t="shared" si="69"/>
        <v>2.4315905466406051E-3</v>
      </c>
      <c r="M80" s="215">
        <f t="shared" si="69"/>
        <v>1.4273367517296388E-2</v>
      </c>
      <c r="N80" s="215">
        <f t="shared" si="69"/>
        <v>-3.4168464154442413E-2</v>
      </c>
      <c r="O80" s="215">
        <f t="shared" si="69"/>
        <v>2.4931176456257267E-2</v>
      </c>
      <c r="P80" s="215">
        <f t="shared" si="69"/>
        <v>4.1981108501174536E-2</v>
      </c>
      <c r="Q80" s="215">
        <f t="shared" si="69"/>
        <v>2.6804060349951114E-2</v>
      </c>
      <c r="R80" s="215">
        <f t="shared" si="69"/>
        <v>3.4568174802419388E-2</v>
      </c>
      <c r="S80" s="215">
        <f t="shared" si="69"/>
        <v>3.3298760741917094E-2</v>
      </c>
      <c r="T80" s="387">
        <f t="shared" si="69"/>
        <v>2.1549640830684155E-2</v>
      </c>
      <c r="U80" s="387"/>
    </row>
    <row r="81" spans="1:21" outlineLevel="1">
      <c r="A81" s="1506" t="s">
        <v>1842</v>
      </c>
      <c r="C81" s="1685" t="s">
        <v>814</v>
      </c>
      <c r="D81" s="215">
        <f>D80</f>
        <v>3.6320448143191172E-2</v>
      </c>
      <c r="E81" s="215">
        <f t="shared" ref="E81:K81" si="70">E80</f>
        <v>9.1317005635963011E-3</v>
      </c>
      <c r="F81" s="215">
        <f t="shared" si="70"/>
        <v>7.7628375301769081E-2</v>
      </c>
      <c r="G81" s="215">
        <f t="shared" si="70"/>
        <v>5.940489748946079E-2</v>
      </c>
      <c r="H81" s="215">
        <f t="shared" si="70"/>
        <v>3.1163255183917646E-2</v>
      </c>
      <c r="I81" s="215">
        <f t="shared" si="70"/>
        <v>5.8596834370951603E-2</v>
      </c>
      <c r="J81" s="215">
        <f t="shared" si="70"/>
        <v>4.3958015546400969E-2</v>
      </c>
      <c r="K81" s="215">
        <f t="shared" si="70"/>
        <v>3.1535716922911357E-2</v>
      </c>
      <c r="L81" s="215">
        <f>L80</f>
        <v>2.4315905466406051E-3</v>
      </c>
      <c r="M81" s="215">
        <f>M80</f>
        <v>1.4273367517296388E-2</v>
      </c>
      <c r="N81" s="215">
        <f>N80</f>
        <v>-3.4168464154442413E-2</v>
      </c>
      <c r="O81" s="215">
        <f>O80</f>
        <v>2.4931176456257267E-2</v>
      </c>
      <c r="P81" s="215">
        <f>P80</f>
        <v>4.1981108501174536E-2</v>
      </c>
      <c r="Q81" s="2050">
        <f>Q80+0.005</f>
        <v>3.1804060349951112E-2</v>
      </c>
      <c r="R81" s="2050">
        <f>R80+0.005</f>
        <v>3.9568174802419386E-2</v>
      </c>
      <c r="S81" s="2050">
        <f>S80+0.005</f>
        <v>3.8298760741917091E-2</v>
      </c>
      <c r="T81" s="2255">
        <f>T80+0.005</f>
        <v>2.6549640830684156E-2</v>
      </c>
      <c r="U81" s="2255"/>
    </row>
    <row r="82" spans="1:21" outlineLevel="1">
      <c r="A82" s="852"/>
      <c r="B82" s="852"/>
      <c r="C82" s="852"/>
      <c r="D82" s="852"/>
      <c r="E82" s="852"/>
      <c r="F82" s="852"/>
      <c r="G82" s="852"/>
      <c r="H82" s="852"/>
      <c r="I82" s="852"/>
      <c r="J82" s="852"/>
      <c r="K82" s="852"/>
      <c r="L82" s="852"/>
      <c r="M82" s="852"/>
      <c r="N82" s="852"/>
      <c r="O82" s="852"/>
      <c r="P82" s="852"/>
      <c r="Q82" s="852"/>
      <c r="R82" s="852"/>
      <c r="S82" s="852"/>
      <c r="T82" s="852"/>
      <c r="U82" s="621"/>
    </row>
    <row r="83" spans="1:21">
      <c r="A83" s="1671" t="s">
        <v>1843</v>
      </c>
      <c r="C83" s="1308" t="s">
        <v>584</v>
      </c>
      <c r="D83" s="1308" t="s">
        <v>64</v>
      </c>
      <c r="E83" s="1308" t="s">
        <v>1364</v>
      </c>
      <c r="F83" s="1308" t="s">
        <v>1891</v>
      </c>
      <c r="G83" s="1308" t="s">
        <v>1892</v>
      </c>
      <c r="H83" s="1308" t="s">
        <v>158</v>
      </c>
      <c r="I83" s="1308" t="s">
        <v>159</v>
      </c>
      <c r="J83" s="1308" t="s">
        <v>1592</v>
      </c>
      <c r="K83" s="1308" t="s">
        <v>705</v>
      </c>
      <c r="L83" s="1308" t="s">
        <v>1126</v>
      </c>
      <c r="M83" s="1308" t="s">
        <v>2396</v>
      </c>
      <c r="N83" s="1308" t="s">
        <v>2459</v>
      </c>
      <c r="O83" s="1308" t="s">
        <v>2460</v>
      </c>
      <c r="P83" s="1308" t="s">
        <v>1832</v>
      </c>
      <c r="Q83" s="1308" t="s">
        <v>1307</v>
      </c>
      <c r="R83" s="1607" t="s">
        <v>2440</v>
      </c>
      <c r="S83" s="1607" t="s">
        <v>2457</v>
      </c>
      <c r="T83" s="2380" t="s">
        <v>3103</v>
      </c>
      <c r="U83" s="319"/>
    </row>
    <row r="84" spans="1:21">
      <c r="A84" s="136" t="s">
        <v>468</v>
      </c>
      <c r="C84" s="220" t="s">
        <v>1988</v>
      </c>
      <c r="D84" s="220" t="s">
        <v>1988</v>
      </c>
      <c r="E84" s="220" t="s">
        <v>1988</v>
      </c>
      <c r="F84" s="220" t="s">
        <v>1988</v>
      </c>
      <c r="G84" s="220" t="s">
        <v>1988</v>
      </c>
      <c r="H84" s="220" t="s">
        <v>1988</v>
      </c>
      <c r="I84" s="220" t="s">
        <v>1988</v>
      </c>
      <c r="J84" s="220" t="s">
        <v>1988</v>
      </c>
      <c r="K84" s="220" t="s">
        <v>1988</v>
      </c>
      <c r="L84" s="220" t="s">
        <v>1988</v>
      </c>
      <c r="M84" s="220" t="s">
        <v>1988</v>
      </c>
      <c r="N84" s="220" t="s">
        <v>1988</v>
      </c>
      <c r="O84" s="220" t="s">
        <v>1988</v>
      </c>
      <c r="P84" s="220" t="s">
        <v>1988</v>
      </c>
      <c r="Q84" s="220" t="s">
        <v>1988</v>
      </c>
      <c r="R84" s="220" t="s">
        <v>1988</v>
      </c>
      <c r="S84" s="220" t="s">
        <v>1988</v>
      </c>
      <c r="T84" s="270" t="s">
        <v>1988</v>
      </c>
      <c r="U84" s="270"/>
    </row>
    <row r="85" spans="1:21">
      <c r="A85" s="1506"/>
      <c r="T85" s="621"/>
      <c r="U85" s="621"/>
    </row>
    <row r="86" spans="1:21">
      <c r="A86" s="1506" t="s">
        <v>411</v>
      </c>
      <c r="C86" s="1682">
        <f>C6</f>
        <v>2204.8310000000001</v>
      </c>
      <c r="D86" s="1682">
        <f t="shared" ref="D86:J86" si="71">D6</f>
        <v>2395.1530000000002</v>
      </c>
      <c r="E86" s="1682">
        <f t="shared" si="71"/>
        <v>2560.7339999999995</v>
      </c>
      <c r="F86" s="1682">
        <f t="shared" si="71"/>
        <v>2938.7709999999997</v>
      </c>
      <c r="G86" s="1682">
        <f t="shared" si="71"/>
        <v>2848.8589999999999</v>
      </c>
      <c r="H86" s="1682">
        <f t="shared" si="71"/>
        <v>2709.7300000000005</v>
      </c>
      <c r="I86" s="1682">
        <f t="shared" si="71"/>
        <v>3085.2899999999995</v>
      </c>
      <c r="J86" s="1682">
        <f t="shared" si="71"/>
        <v>3642.9369999999999</v>
      </c>
      <c r="K86" s="1682">
        <f t="shared" ref="K86:P86" si="72">K6</f>
        <v>3794.2489999999998</v>
      </c>
      <c r="L86" s="1682">
        <f t="shared" si="72"/>
        <v>4031.13</v>
      </c>
      <c r="M86" s="1682">
        <f t="shared" si="72"/>
        <v>4249.9129999999996</v>
      </c>
      <c r="N86" s="1682">
        <f t="shared" si="72"/>
        <v>4104.7000000000007</v>
      </c>
      <c r="O86" s="1682">
        <f t="shared" si="72"/>
        <v>4001.7999999999997</v>
      </c>
      <c r="P86" s="1682">
        <f t="shared" si="72"/>
        <v>4169.8</v>
      </c>
      <c r="Q86" s="1682">
        <f>(P86*(1+Q115))</f>
        <v>4156.4735708472263</v>
      </c>
      <c r="R86" s="1682">
        <f>(Q86*(1+R115))</f>
        <v>4217.0258043889644</v>
      </c>
      <c r="S86" s="1682">
        <f>(R86*(1+S115))</f>
        <v>4273.1070216040234</v>
      </c>
      <c r="T86" s="1704">
        <f>(S86*(1+T115))</f>
        <v>4279.7288027185841</v>
      </c>
      <c r="U86" s="1704"/>
    </row>
    <row r="87" spans="1:21" outlineLevel="1">
      <c r="A87" s="1506"/>
      <c r="C87" s="250"/>
      <c r="D87" s="250"/>
      <c r="E87" s="250"/>
      <c r="F87" s="250"/>
      <c r="G87" s="250"/>
      <c r="H87" s="250"/>
      <c r="I87" s="250"/>
      <c r="J87" s="250"/>
      <c r="K87" s="250"/>
      <c r="L87" s="250"/>
      <c r="M87" s="250"/>
      <c r="N87" s="250"/>
      <c r="O87" s="250"/>
      <c r="P87" s="250"/>
      <c r="T87" s="621"/>
      <c r="U87" s="621"/>
    </row>
    <row r="88" spans="1:21" outlineLevel="1">
      <c r="A88" s="1506" t="s">
        <v>469</v>
      </c>
      <c r="C88" s="1682">
        <f>C8</f>
        <v>974.25800000000004</v>
      </c>
      <c r="D88" s="1682">
        <f t="shared" ref="D88:J88" si="73">D8</f>
        <v>1052.8129999999999</v>
      </c>
      <c r="E88" s="1682">
        <f t="shared" si="73"/>
        <v>1087.914</v>
      </c>
      <c r="F88" s="1682">
        <f t="shared" si="73"/>
        <v>1262.2939999999999</v>
      </c>
      <c r="G88" s="1682">
        <f t="shared" si="73"/>
        <v>1202.4170000000001</v>
      </c>
      <c r="H88" s="1682">
        <f t="shared" si="73"/>
        <v>1179.4850000000001</v>
      </c>
      <c r="I88" s="1682">
        <f t="shared" si="73"/>
        <v>1262.002</v>
      </c>
      <c r="J88" s="1682">
        <f t="shared" si="73"/>
        <v>1491.57</v>
      </c>
      <c r="K88" s="1682">
        <f t="shared" ref="K88:P88" si="74">K8</f>
        <v>1630.9649999999999</v>
      </c>
      <c r="L88" s="1682">
        <f t="shared" si="74"/>
        <v>1690.6869999999999</v>
      </c>
      <c r="M88" s="1682">
        <f t="shared" si="74"/>
        <v>1712.7380000000001</v>
      </c>
      <c r="N88" s="1682">
        <f t="shared" si="74"/>
        <v>1613.3999999999999</v>
      </c>
      <c r="O88" s="1682">
        <f t="shared" si="74"/>
        <v>1511.4</v>
      </c>
      <c r="P88" s="1682">
        <f t="shared" si="74"/>
        <v>1565</v>
      </c>
      <c r="Q88" s="1682">
        <f>Q86-Q90</f>
        <v>1572.2141446764908</v>
      </c>
      <c r="R88" s="1682">
        <f>R86-R90</f>
        <v>1598.2527798634169</v>
      </c>
      <c r="S88" s="1682">
        <f>S86-S90</f>
        <v>1620.3621825922455</v>
      </c>
      <c r="T88" s="1704">
        <f>T86-T90</f>
        <v>1622.0172162303434</v>
      </c>
      <c r="U88" s="1704"/>
    </row>
    <row r="89" spans="1:21" outlineLevel="1">
      <c r="A89" s="1506"/>
      <c r="C89" s="250"/>
      <c r="D89" s="250"/>
      <c r="E89" s="250"/>
      <c r="F89" s="250"/>
      <c r="G89" s="250"/>
      <c r="H89" s="250"/>
      <c r="I89" s="250"/>
      <c r="J89" s="250"/>
      <c r="K89" s="250"/>
      <c r="L89" s="250"/>
      <c r="M89" s="250"/>
      <c r="N89" s="250"/>
      <c r="O89" s="250"/>
      <c r="P89" s="250"/>
      <c r="T89" s="621"/>
      <c r="U89" s="621"/>
    </row>
    <row r="90" spans="1:21">
      <c r="A90" s="1506" t="s">
        <v>470</v>
      </c>
      <c r="C90" s="1682">
        <f>C86-C88</f>
        <v>1230.5730000000001</v>
      </c>
      <c r="D90" s="1682">
        <f t="shared" ref="D90:J90" si="75">D86-D88</f>
        <v>1342.3400000000004</v>
      </c>
      <c r="E90" s="1682">
        <f t="shared" si="75"/>
        <v>1472.8199999999995</v>
      </c>
      <c r="F90" s="1682">
        <f t="shared" si="75"/>
        <v>1676.4769999999999</v>
      </c>
      <c r="G90" s="1682">
        <f t="shared" si="75"/>
        <v>1646.4419999999998</v>
      </c>
      <c r="H90" s="1682">
        <f t="shared" si="75"/>
        <v>1530.2450000000003</v>
      </c>
      <c r="I90" s="1682">
        <f t="shared" si="75"/>
        <v>1823.2879999999996</v>
      </c>
      <c r="J90" s="1682">
        <f t="shared" si="75"/>
        <v>2151.3670000000002</v>
      </c>
      <c r="K90" s="1682">
        <f t="shared" ref="K90:P90" si="76">K86-K88</f>
        <v>2163.2839999999997</v>
      </c>
      <c r="L90" s="1682">
        <f t="shared" si="76"/>
        <v>2340.4430000000002</v>
      </c>
      <c r="M90" s="1682">
        <f t="shared" si="76"/>
        <v>2537.1749999999993</v>
      </c>
      <c r="N90" s="1682">
        <f t="shared" si="76"/>
        <v>2491.3000000000011</v>
      </c>
      <c r="O90" s="1682">
        <f t="shared" si="76"/>
        <v>2490.3999999999996</v>
      </c>
      <c r="P90" s="1682">
        <f t="shared" si="76"/>
        <v>2604.8000000000002</v>
      </c>
      <c r="Q90" s="1682">
        <f>Q86*Q109</f>
        <v>2584.2594261707354</v>
      </c>
      <c r="R90" s="1682">
        <f>R86*R109</f>
        <v>2618.7730245255475</v>
      </c>
      <c r="S90" s="1682">
        <f>S86*S109</f>
        <v>2652.7448390117779</v>
      </c>
      <c r="T90" s="1704">
        <f>T86*T109</f>
        <v>2657.7115864882408</v>
      </c>
      <c r="U90" s="1704"/>
    </row>
    <row r="91" spans="1:21">
      <c r="A91" s="1506" t="s">
        <v>471</v>
      </c>
      <c r="C91" s="250">
        <f t="shared" ref="C91:J92" si="77">C11</f>
        <v>936.04399999999998</v>
      </c>
      <c r="D91" s="250">
        <f t="shared" si="77"/>
        <v>959.63499999999999</v>
      </c>
      <c r="E91" s="250">
        <f t="shared" si="77"/>
        <v>1010.754</v>
      </c>
      <c r="F91" s="250">
        <f t="shared" si="77"/>
        <v>1131.4770000000001</v>
      </c>
      <c r="G91" s="250">
        <f t="shared" si="77"/>
        <v>1153.944</v>
      </c>
      <c r="H91" s="250">
        <f t="shared" si="77"/>
        <v>1090.1689999999999</v>
      </c>
      <c r="I91" s="250">
        <f t="shared" si="77"/>
        <v>1210.8719999999998</v>
      </c>
      <c r="J91" s="250">
        <f t="shared" si="77"/>
        <v>1400.223</v>
      </c>
      <c r="K91" s="250">
        <f t="shared" ref="K91:M92" si="78">K11</f>
        <v>1466.067</v>
      </c>
      <c r="L91" s="250">
        <f t="shared" si="78"/>
        <v>1546.5029999999999</v>
      </c>
      <c r="M91" s="250">
        <f t="shared" si="78"/>
        <v>1645.7460000000001</v>
      </c>
      <c r="N91" s="250">
        <f t="shared" ref="N91:P92" si="79">N11</f>
        <v>1684.4999999999998</v>
      </c>
      <c r="O91" s="250">
        <f t="shared" si="79"/>
        <v>1731.2</v>
      </c>
      <c r="P91" s="250">
        <f t="shared" si="79"/>
        <v>1810.4</v>
      </c>
      <c r="Q91" s="250">
        <f>Q86*Q110</f>
        <v>1895.6644311829441</v>
      </c>
      <c r="R91" s="250">
        <f>R86*R110</f>
        <v>1922.9637668013681</v>
      </c>
      <c r="S91" s="250">
        <f>S86*S110</f>
        <v>1947.682180447114</v>
      </c>
      <c r="T91" s="612">
        <f>T86*T110</f>
        <v>1948.9884967580431</v>
      </c>
      <c r="U91" s="612"/>
    </row>
    <row r="92" spans="1:21" outlineLevel="1">
      <c r="A92" s="1506" t="s">
        <v>1834</v>
      </c>
      <c r="C92" s="250">
        <f t="shared" si="77"/>
        <v>106.83199999999999</v>
      </c>
      <c r="D92" s="250">
        <f t="shared" si="77"/>
        <v>109.449</v>
      </c>
      <c r="E92" s="250">
        <f t="shared" si="77"/>
        <v>115.297</v>
      </c>
      <c r="F92" s="250">
        <f t="shared" si="77"/>
        <v>128.07599999999999</v>
      </c>
      <c r="G92" s="250">
        <f t="shared" si="77"/>
        <v>135.83199999999999</v>
      </c>
      <c r="H92" s="250">
        <f t="shared" si="77"/>
        <v>139.41900000000001</v>
      </c>
      <c r="I92" s="250">
        <f t="shared" si="77"/>
        <v>147.87</v>
      </c>
      <c r="J92" s="250">
        <f t="shared" si="77"/>
        <v>145.934</v>
      </c>
      <c r="K92" s="250">
        <f t="shared" si="78"/>
        <v>163.649</v>
      </c>
      <c r="L92" s="250">
        <f t="shared" si="78"/>
        <v>180.62899999999999</v>
      </c>
      <c r="M92" s="250">
        <f t="shared" si="78"/>
        <v>194.15799999999999</v>
      </c>
      <c r="N92" s="250">
        <f t="shared" si="79"/>
        <v>202.5</v>
      </c>
      <c r="O92" s="250">
        <f t="shared" si="79"/>
        <v>208.5</v>
      </c>
      <c r="P92" s="250">
        <f t="shared" si="79"/>
        <v>206.9</v>
      </c>
      <c r="Q92" s="250">
        <f>Q12</f>
        <v>210.46173284360725</v>
      </c>
      <c r="R92" s="250">
        <f>R12</f>
        <v>217.29269674565469</v>
      </c>
      <c r="S92" s="250">
        <f>S12</f>
        <v>228.86761198250457</v>
      </c>
      <c r="T92" s="612">
        <f>T12</f>
        <v>202.88609111139425</v>
      </c>
      <c r="U92" s="612"/>
    </row>
    <row r="93" spans="1:21">
      <c r="A93" s="1683" t="s">
        <v>487</v>
      </c>
      <c r="C93" s="1682">
        <f>C90-C91</f>
        <v>294.52900000000011</v>
      </c>
      <c r="D93" s="1682">
        <f t="shared" ref="D93:J93" si="80">D90-D91</f>
        <v>382.70500000000038</v>
      </c>
      <c r="E93" s="1682">
        <f t="shared" si="80"/>
        <v>462.06599999999946</v>
      </c>
      <c r="F93" s="1682">
        <f t="shared" si="80"/>
        <v>544.99999999999977</v>
      </c>
      <c r="G93" s="1682">
        <f t="shared" si="80"/>
        <v>492.49799999999982</v>
      </c>
      <c r="H93" s="1682">
        <f t="shared" si="80"/>
        <v>440.07600000000048</v>
      </c>
      <c r="I93" s="1682">
        <f t="shared" si="80"/>
        <v>612.41599999999971</v>
      </c>
      <c r="J93" s="1682">
        <f t="shared" si="80"/>
        <v>751.14400000000023</v>
      </c>
      <c r="K93" s="1682">
        <f t="shared" ref="K93:T93" si="81">K90-K91</f>
        <v>697.21699999999964</v>
      </c>
      <c r="L93" s="1682">
        <f t="shared" si="81"/>
        <v>793.94000000000028</v>
      </c>
      <c r="M93" s="1682">
        <f t="shared" si="81"/>
        <v>891.42899999999918</v>
      </c>
      <c r="N93" s="1682">
        <f t="shared" si="81"/>
        <v>806.80000000000132</v>
      </c>
      <c r="O93" s="1682">
        <f t="shared" si="81"/>
        <v>759.19999999999959</v>
      </c>
      <c r="P93" s="1682">
        <f t="shared" si="81"/>
        <v>794.40000000000009</v>
      </c>
      <c r="Q93" s="1682">
        <f t="shared" si="81"/>
        <v>688.59499498779132</v>
      </c>
      <c r="R93" s="1682">
        <f t="shared" si="81"/>
        <v>695.80925772417936</v>
      </c>
      <c r="S93" s="1682">
        <f t="shared" si="81"/>
        <v>705.06265856466393</v>
      </c>
      <c r="T93" s="1704">
        <f t="shared" si="81"/>
        <v>708.72308973019767</v>
      </c>
      <c r="U93" s="1704"/>
    </row>
    <row r="94" spans="1:21" outlineLevel="1">
      <c r="A94" s="1506"/>
      <c r="C94" s="250"/>
      <c r="D94" s="250"/>
      <c r="E94" s="250"/>
      <c r="F94" s="250"/>
      <c r="G94" s="250"/>
      <c r="H94" s="250"/>
      <c r="I94" s="250"/>
      <c r="J94" s="250"/>
      <c r="K94" s="250"/>
      <c r="L94" s="250"/>
      <c r="M94" s="250"/>
      <c r="N94" s="250"/>
      <c r="O94" s="250"/>
      <c r="P94" s="250"/>
      <c r="Q94" s="2472">
        <f>+Q91-P91</f>
        <v>85.264431182944008</v>
      </c>
      <c r="R94" s="2472">
        <f t="shared" ref="R94:T94" si="82">+R91-Q91</f>
        <v>27.299335618424038</v>
      </c>
      <c r="S94" s="2472">
        <f t="shared" si="82"/>
        <v>24.718413645745841</v>
      </c>
      <c r="T94" s="2472">
        <f t="shared" si="82"/>
        <v>1.3063163109291054</v>
      </c>
      <c r="U94" s="621"/>
    </row>
    <row r="95" spans="1:21" outlineLevel="1">
      <c r="A95" s="1506" t="s">
        <v>1835</v>
      </c>
      <c r="C95" s="250">
        <f>C15</f>
        <v>15.978</v>
      </c>
      <c r="D95" s="250">
        <f t="shared" ref="D95:J95" si="83">D15</f>
        <v>14.731</v>
      </c>
      <c r="E95" s="250">
        <f t="shared" si="83"/>
        <v>10.488</v>
      </c>
      <c r="F95" s="250">
        <f t="shared" si="83"/>
        <v>8.1310000000000002</v>
      </c>
      <c r="G95" s="250">
        <f t="shared" si="83"/>
        <v>28.9</v>
      </c>
      <c r="H95" s="250">
        <f t="shared" si="83"/>
        <v>50.517999999999994</v>
      </c>
      <c r="I95" s="250">
        <f t="shared" si="83"/>
        <v>47.347000000000001</v>
      </c>
      <c r="J95" s="250">
        <f t="shared" si="83"/>
        <v>43.475000000000001</v>
      </c>
      <c r="K95" s="250">
        <f t="shared" ref="K95:T95" si="84">K15</f>
        <v>53.641000000000005</v>
      </c>
      <c r="L95" s="250">
        <f t="shared" si="84"/>
        <v>56.952000000000005</v>
      </c>
      <c r="M95" s="250">
        <f t="shared" si="84"/>
        <v>60.113</v>
      </c>
      <c r="N95" s="250">
        <f t="shared" si="84"/>
        <v>50.199999999999996</v>
      </c>
      <c r="O95" s="250">
        <f t="shared" si="84"/>
        <v>44.599999999999994</v>
      </c>
      <c r="P95" s="250">
        <f t="shared" si="84"/>
        <v>34</v>
      </c>
      <c r="Q95" s="250">
        <f t="shared" si="84"/>
        <v>32.9</v>
      </c>
      <c r="R95" s="250">
        <f t="shared" si="84"/>
        <v>32.9</v>
      </c>
      <c r="S95" s="250">
        <f t="shared" si="84"/>
        <v>32.9</v>
      </c>
      <c r="T95" s="612">
        <f t="shared" si="84"/>
        <v>32.9</v>
      </c>
      <c r="U95" s="612"/>
    </row>
    <row r="96" spans="1:21" outlineLevel="1">
      <c r="A96" s="1683" t="s">
        <v>1381</v>
      </c>
      <c r="C96" s="1682">
        <f t="shared" ref="C96:K96" si="85">C93-C95</f>
        <v>278.5510000000001</v>
      </c>
      <c r="D96" s="1682">
        <f t="shared" si="85"/>
        <v>367.97400000000039</v>
      </c>
      <c r="E96" s="1682">
        <f t="shared" si="85"/>
        <v>451.57799999999946</v>
      </c>
      <c r="F96" s="1682">
        <f t="shared" si="85"/>
        <v>536.8689999999998</v>
      </c>
      <c r="G96" s="1682">
        <f t="shared" si="85"/>
        <v>463.59799999999984</v>
      </c>
      <c r="H96" s="1682">
        <f t="shared" si="85"/>
        <v>389.5580000000005</v>
      </c>
      <c r="I96" s="1682">
        <f t="shared" si="85"/>
        <v>565.06899999999973</v>
      </c>
      <c r="J96" s="1682">
        <f t="shared" si="85"/>
        <v>707.66900000000021</v>
      </c>
      <c r="K96" s="1682">
        <f t="shared" si="85"/>
        <v>643.57599999999968</v>
      </c>
      <c r="L96" s="1682">
        <f t="shared" ref="L96:Q96" si="86">L93-L95</f>
        <v>736.98800000000028</v>
      </c>
      <c r="M96" s="1682">
        <f t="shared" si="86"/>
        <v>831.31599999999912</v>
      </c>
      <c r="N96" s="1682">
        <f>N93-N95</f>
        <v>756.60000000000127</v>
      </c>
      <c r="O96" s="1682">
        <f>O93-O95</f>
        <v>714.59999999999957</v>
      </c>
      <c r="P96" s="1682">
        <f>P93-P95</f>
        <v>760.40000000000009</v>
      </c>
      <c r="Q96" s="1682">
        <f t="shared" si="86"/>
        <v>655.69499498779135</v>
      </c>
      <c r="R96" s="1682">
        <f>R93-R95</f>
        <v>662.90925772417938</v>
      </c>
      <c r="S96" s="1682">
        <f>S93-S95</f>
        <v>672.16265856466396</v>
      </c>
      <c r="T96" s="1704">
        <f>T93-T95</f>
        <v>675.82308973019769</v>
      </c>
      <c r="U96" s="1704"/>
    </row>
    <row r="97" spans="1:25" outlineLevel="1">
      <c r="A97" s="1506"/>
      <c r="C97" s="250"/>
      <c r="D97" s="250"/>
      <c r="E97" s="250"/>
      <c r="F97" s="250"/>
      <c r="G97" s="250"/>
      <c r="H97" s="250"/>
      <c r="I97" s="250"/>
      <c r="J97" s="250"/>
      <c r="K97" s="250"/>
      <c r="L97" s="250"/>
      <c r="M97" s="250"/>
      <c r="N97" s="250"/>
      <c r="O97" s="250"/>
      <c r="P97" s="250"/>
      <c r="T97" s="621"/>
      <c r="U97" s="621"/>
    </row>
    <row r="98" spans="1:25">
      <c r="A98" s="1506" t="s">
        <v>474</v>
      </c>
      <c r="C98" s="250">
        <f>C18</f>
        <v>167.84899999999999</v>
      </c>
      <c r="D98" s="250">
        <f t="shared" ref="D98:J98" si="87">D18</f>
        <v>113.319</v>
      </c>
      <c r="E98" s="250">
        <f t="shared" si="87"/>
        <v>163.91499999999999</v>
      </c>
      <c r="F98" s="250">
        <f t="shared" si="87"/>
        <v>195.779</v>
      </c>
      <c r="G98" s="250">
        <f t="shared" si="87"/>
        <v>162.11892</v>
      </c>
      <c r="H98" s="250">
        <f t="shared" si="87"/>
        <v>134.31200000000001</v>
      </c>
      <c r="I98" s="250">
        <f t="shared" si="87"/>
        <v>188.72899999999998</v>
      </c>
      <c r="J98" s="250">
        <f t="shared" si="87"/>
        <v>242.48500000000001</v>
      </c>
      <c r="K98" s="250">
        <f t="shared" ref="K98:P98" si="88">K18</f>
        <v>227.41900000000001</v>
      </c>
      <c r="L98" s="250">
        <f t="shared" si="88"/>
        <v>255.96600000000001</v>
      </c>
      <c r="M98" s="250">
        <f t="shared" si="88"/>
        <v>253.358</v>
      </c>
      <c r="N98" s="250">
        <f t="shared" si="88"/>
        <v>262.15699999999998</v>
      </c>
      <c r="O98" s="250">
        <f t="shared" si="88"/>
        <v>244.5</v>
      </c>
      <c r="P98" s="250">
        <f t="shared" si="88"/>
        <v>244.2</v>
      </c>
      <c r="Q98" s="250">
        <f>Q96*Q112</f>
        <v>190.15154854645954</v>
      </c>
      <c r="R98" s="250">
        <f>R96*R112</f>
        <v>172.35640700828665</v>
      </c>
      <c r="S98" s="250">
        <f>S96*S112</f>
        <v>174.76229122681264</v>
      </c>
      <c r="T98" s="612">
        <f>T96*T112</f>
        <v>175.71400332985141</v>
      </c>
      <c r="U98" s="612"/>
      <c r="V98" s="132" t="s">
        <v>2439</v>
      </c>
      <c r="W98" s="132" t="s">
        <v>830</v>
      </c>
      <c r="X98" s="132" t="s">
        <v>831</v>
      </c>
      <c r="Y98" s="132" t="s">
        <v>834</v>
      </c>
    </row>
    <row r="99" spans="1:25" outlineLevel="1">
      <c r="A99" s="1506"/>
      <c r="C99" s="250"/>
      <c r="D99" s="250"/>
      <c r="E99" s="250"/>
      <c r="F99" s="250"/>
      <c r="G99" s="250"/>
      <c r="H99" s="250"/>
      <c r="I99" s="250"/>
      <c r="J99" s="250"/>
      <c r="K99" s="250"/>
      <c r="L99" s="250"/>
      <c r="M99" s="250"/>
      <c r="N99" s="250"/>
      <c r="O99" s="250"/>
      <c r="P99" s="250"/>
      <c r="T99" s="621"/>
      <c r="U99" s="621"/>
      <c r="V99" s="132"/>
      <c r="W99" s="132"/>
      <c r="X99" s="132"/>
    </row>
    <row r="100" spans="1:25" outlineLevel="1">
      <c r="A100" s="132" t="s">
        <v>2448</v>
      </c>
      <c r="C100" s="250">
        <f>C19</f>
        <v>0</v>
      </c>
      <c r="D100" s="250">
        <f t="shared" ref="D100:Q100" si="89">D19</f>
        <v>0</v>
      </c>
      <c r="E100" s="250">
        <f t="shared" si="89"/>
        <v>0</v>
      </c>
      <c r="F100" s="250">
        <f t="shared" si="89"/>
        <v>0</v>
      </c>
      <c r="G100" s="250">
        <f t="shared" si="89"/>
        <v>0</v>
      </c>
      <c r="H100" s="250">
        <f t="shared" si="89"/>
        <v>0</v>
      </c>
      <c r="I100" s="250">
        <f t="shared" si="89"/>
        <v>0</v>
      </c>
      <c r="J100" s="250">
        <f t="shared" si="89"/>
        <v>0</v>
      </c>
      <c r="K100" s="250">
        <f t="shared" si="89"/>
        <v>0</v>
      </c>
      <c r="L100" s="250">
        <f t="shared" si="89"/>
        <v>0</v>
      </c>
      <c r="M100" s="250">
        <f>M19</f>
        <v>-32.822999999999993</v>
      </c>
      <c r="N100" s="250">
        <f>N19</f>
        <v>0</v>
      </c>
      <c r="O100" s="250">
        <f>O19</f>
        <v>0</v>
      </c>
      <c r="P100" s="250">
        <f>P19</f>
        <v>0</v>
      </c>
      <c r="Q100" s="250">
        <f t="shared" si="89"/>
        <v>0</v>
      </c>
      <c r="R100" s="250">
        <f>R19</f>
        <v>0</v>
      </c>
      <c r="S100" s="250">
        <f>S19</f>
        <v>0</v>
      </c>
      <c r="T100" s="612">
        <f>T19</f>
        <v>0</v>
      </c>
      <c r="U100" s="612"/>
      <c r="V100" s="132"/>
      <c r="W100" s="132"/>
      <c r="X100" s="132"/>
    </row>
    <row r="101" spans="1:25" outlineLevel="1">
      <c r="A101" s="1506" t="s">
        <v>1836</v>
      </c>
      <c r="C101" s="1682">
        <f>C96-C98+C100</f>
        <v>110.70200000000011</v>
      </c>
      <c r="D101" s="1682">
        <f t="shared" ref="D101:Q101" si="90">D96-D98+D100</f>
        <v>254.65500000000037</v>
      </c>
      <c r="E101" s="1682">
        <f t="shared" si="90"/>
        <v>287.66299999999944</v>
      </c>
      <c r="F101" s="1682">
        <f t="shared" si="90"/>
        <v>341.0899999999998</v>
      </c>
      <c r="G101" s="1682">
        <f t="shared" si="90"/>
        <v>301.47907999999984</v>
      </c>
      <c r="H101" s="1682">
        <f t="shared" si="90"/>
        <v>255.24600000000049</v>
      </c>
      <c r="I101" s="1682">
        <f t="shared" si="90"/>
        <v>376.33999999999975</v>
      </c>
      <c r="J101" s="1682">
        <f t="shared" si="90"/>
        <v>465.1840000000002</v>
      </c>
      <c r="K101" s="1682">
        <f t="shared" si="90"/>
        <v>416.1569999999997</v>
      </c>
      <c r="L101" s="1682">
        <f t="shared" si="90"/>
        <v>481.02200000000028</v>
      </c>
      <c r="M101" s="1682">
        <f>M96-M98+M100</f>
        <v>545.1349999999992</v>
      </c>
      <c r="N101" s="1682">
        <f>N96-N98+N100</f>
        <v>494.44300000000129</v>
      </c>
      <c r="O101" s="1682">
        <f>O96-O98+O100</f>
        <v>470.09999999999957</v>
      </c>
      <c r="P101" s="1682">
        <f>P96-P98+P100</f>
        <v>516.20000000000005</v>
      </c>
      <c r="Q101" s="1682">
        <f t="shared" si="90"/>
        <v>465.54344644133181</v>
      </c>
      <c r="R101" s="1682">
        <f>R96-R98+R100</f>
        <v>490.55285071589276</v>
      </c>
      <c r="S101" s="1682">
        <f>S96-S98+S100</f>
        <v>497.40036733785132</v>
      </c>
      <c r="T101" s="1704">
        <f>T96-T98+T100</f>
        <v>500.10908640034631</v>
      </c>
      <c r="U101" s="1704"/>
      <c r="V101" s="132"/>
      <c r="W101" s="132"/>
      <c r="X101" s="132"/>
    </row>
    <row r="102" spans="1:25" outlineLevel="1">
      <c r="A102" s="1506"/>
      <c r="P102" s="2442"/>
      <c r="T102" s="621"/>
      <c r="U102" s="621"/>
      <c r="V102" s="132"/>
      <c r="W102" s="132"/>
      <c r="X102" s="132"/>
    </row>
    <row r="103" spans="1:25">
      <c r="A103" s="1676" t="s">
        <v>1837</v>
      </c>
      <c r="B103" s="1676"/>
      <c r="C103" s="1677">
        <f t="shared" ref="C103:J103" si="91">C101/C104</f>
        <v>0.74751676311507043</v>
      </c>
      <c r="D103" s="1677">
        <f t="shared" si="91"/>
        <v>1.7492684334171398</v>
      </c>
      <c r="E103" s="1677">
        <f t="shared" si="91"/>
        <v>2.0424663272768542</v>
      </c>
      <c r="F103" s="1677">
        <f t="shared" si="91"/>
        <v>2.4691617199942075</v>
      </c>
      <c r="G103" s="1677">
        <f t="shared" si="91"/>
        <v>2.3849306225773264</v>
      </c>
      <c r="H103" s="1677">
        <f t="shared" si="91"/>
        <v>2.0357305216815718</v>
      </c>
      <c r="I103" s="1677">
        <f t="shared" si="91"/>
        <v>2.9308599286637675</v>
      </c>
      <c r="J103" s="1677">
        <f t="shared" si="91"/>
        <v>3.603765801394843</v>
      </c>
      <c r="K103" s="1677">
        <f t="shared" ref="K103:T103" si="92">K101/K104</f>
        <v>3.25296105149816</v>
      </c>
      <c r="L103" s="1677">
        <f t="shared" si="92"/>
        <v>3.7326939156379946</v>
      </c>
      <c r="M103" s="1677">
        <f t="shared" si="92"/>
        <v>4.1965742879137737</v>
      </c>
      <c r="N103" s="1677">
        <f t="shared" si="92"/>
        <v>3.8299225406661606</v>
      </c>
      <c r="O103" s="1677">
        <f t="shared" si="92"/>
        <v>3.7458167330677257</v>
      </c>
      <c r="P103" s="1677">
        <f t="shared" si="92"/>
        <v>4.1262989608313356</v>
      </c>
      <c r="Q103" s="1677">
        <f t="shared" si="92"/>
        <v>3.7460748054019857</v>
      </c>
      <c r="R103" s="1677">
        <f t="shared" si="92"/>
        <v>3.9793376655111965</v>
      </c>
      <c r="S103" s="1677">
        <f t="shared" si="92"/>
        <v>4.0618429804319627</v>
      </c>
      <c r="T103" s="2383">
        <f t="shared" si="92"/>
        <v>4.1114328584322477</v>
      </c>
      <c r="U103" s="2388"/>
      <c r="V103" s="1692">
        <f>P103</f>
        <v>4.1262989608313356</v>
      </c>
      <c r="W103" s="132">
        <v>16</v>
      </c>
      <c r="X103" s="789">
        <f>V103*W103</f>
        <v>66.02078337330137</v>
      </c>
      <c r="Y103" s="215">
        <f>X103/$V$3-1</f>
        <v>4.8281730284239099E-2</v>
      </c>
    </row>
    <row r="104" spans="1:25">
      <c r="A104" s="1506" t="s">
        <v>1838</v>
      </c>
      <c r="C104" s="250">
        <f>C63</f>
        <v>148.09299999999999</v>
      </c>
      <c r="D104" s="250">
        <f t="shared" ref="D104:J104" si="93">D63</f>
        <v>145.578</v>
      </c>
      <c r="E104" s="250">
        <f t="shared" si="93"/>
        <v>140.84100000000001</v>
      </c>
      <c r="F104" s="250">
        <f t="shared" si="93"/>
        <v>138.13999999999999</v>
      </c>
      <c r="G104" s="250">
        <f t="shared" si="93"/>
        <v>126.41</v>
      </c>
      <c r="H104" s="250">
        <f t="shared" si="93"/>
        <v>125.383</v>
      </c>
      <c r="I104" s="250">
        <f t="shared" si="93"/>
        <v>128.40600000000001</v>
      </c>
      <c r="J104" s="250">
        <f t="shared" si="93"/>
        <v>129.08275</v>
      </c>
      <c r="K104" s="250">
        <f t="shared" ref="K104:S104" si="94">K63</f>
        <v>127.93174999999999</v>
      </c>
      <c r="L104" s="250">
        <f t="shared" si="94"/>
        <v>128.86724999999998</v>
      </c>
      <c r="M104" s="250">
        <f t="shared" si="94"/>
        <v>129.9</v>
      </c>
      <c r="N104" s="250">
        <f t="shared" si="94"/>
        <v>129.1</v>
      </c>
      <c r="O104" s="250">
        <f t="shared" si="94"/>
        <v>125.5</v>
      </c>
      <c r="P104" s="250">
        <f t="shared" ref="P104" si="95">P63</f>
        <v>125.1</v>
      </c>
      <c r="Q104" s="250">
        <f t="shared" si="94"/>
        <v>124.27500000000001</v>
      </c>
      <c r="R104" s="250">
        <f t="shared" si="94"/>
        <v>123.27500000000001</v>
      </c>
      <c r="S104" s="250">
        <f t="shared" si="94"/>
        <v>122.45681818181819</v>
      </c>
      <c r="T104" s="612">
        <f>T63</f>
        <v>121.63863636363638</v>
      </c>
      <c r="U104" s="612"/>
    </row>
    <row r="105" spans="1:25" outlineLevel="1">
      <c r="A105" s="1506"/>
      <c r="P105" s="2442"/>
      <c r="T105" s="621"/>
      <c r="U105" s="621"/>
    </row>
    <row r="106" spans="1:25" outlineLevel="1">
      <c r="A106" s="1506" t="s">
        <v>446</v>
      </c>
      <c r="C106" s="1682">
        <f>C92+C93</f>
        <v>401.3610000000001</v>
      </c>
      <c r="D106" s="1682">
        <f t="shared" ref="D106:J106" si="96">D92+D93</f>
        <v>492.15400000000039</v>
      </c>
      <c r="E106" s="1682">
        <f t="shared" si="96"/>
        <v>577.36299999999949</v>
      </c>
      <c r="F106" s="1682">
        <f t="shared" si="96"/>
        <v>673.07599999999979</v>
      </c>
      <c r="G106" s="1682">
        <f t="shared" si="96"/>
        <v>628.32999999999981</v>
      </c>
      <c r="H106" s="1682">
        <f t="shared" si="96"/>
        <v>579.49500000000046</v>
      </c>
      <c r="I106" s="1682">
        <f t="shared" si="96"/>
        <v>760.28599999999972</v>
      </c>
      <c r="J106" s="1682">
        <f t="shared" si="96"/>
        <v>897.0780000000002</v>
      </c>
      <c r="K106" s="1682">
        <f t="shared" ref="K106:T106" si="97">K92+K93</f>
        <v>860.86599999999964</v>
      </c>
      <c r="L106" s="1682">
        <f t="shared" si="97"/>
        <v>974.5690000000003</v>
      </c>
      <c r="M106" s="1682">
        <f t="shared" si="97"/>
        <v>1085.5869999999991</v>
      </c>
      <c r="N106" s="1682">
        <f t="shared" si="97"/>
        <v>1009.3000000000013</v>
      </c>
      <c r="O106" s="1682">
        <f t="shared" si="97"/>
        <v>967.69999999999959</v>
      </c>
      <c r="P106" s="1682">
        <f t="shared" si="97"/>
        <v>1001.3000000000001</v>
      </c>
      <c r="Q106" s="1682">
        <f t="shared" si="97"/>
        <v>899.05672783139858</v>
      </c>
      <c r="R106" s="1682">
        <f t="shared" si="97"/>
        <v>913.10195446983403</v>
      </c>
      <c r="S106" s="1682">
        <f t="shared" si="97"/>
        <v>933.93027054716845</v>
      </c>
      <c r="T106" s="1704">
        <f t="shared" si="97"/>
        <v>911.60918084159198</v>
      </c>
      <c r="U106" s="1704"/>
    </row>
    <row r="107" spans="1:25">
      <c r="A107" s="1506"/>
      <c r="L107" s="131"/>
      <c r="M107" s="131"/>
      <c r="N107" s="131"/>
      <c r="O107" s="131"/>
      <c r="P107" s="131"/>
      <c r="Q107" s="131"/>
      <c r="R107" s="131"/>
      <c r="S107" s="131"/>
      <c r="T107" s="247"/>
      <c r="U107" s="247"/>
    </row>
    <row r="108" spans="1:25">
      <c r="A108" s="136" t="s">
        <v>479</v>
      </c>
      <c r="L108" s="2032">
        <f t="shared" ref="L108:S108" si="98">K91*0.82*(1.03)+K88*0.18*(1+L115)</f>
        <v>1550.1421612336621</v>
      </c>
      <c r="M108" s="2032">
        <f t="shared" si="98"/>
        <v>1627.0167636433885</v>
      </c>
      <c r="N108" s="2032">
        <f t="shared" si="98"/>
        <v>1687.7560187473887</v>
      </c>
      <c r="O108" s="2032">
        <f t="shared" si="98"/>
        <v>1705.8604128170141</v>
      </c>
      <c r="P108" s="2032">
        <f t="shared" si="98"/>
        <v>1745.6445645299616</v>
      </c>
      <c r="Q108" s="2032">
        <f t="shared" si="98"/>
        <v>1809.8635438005813</v>
      </c>
      <c r="R108" s="2032">
        <f t="shared" si="98"/>
        <v>1888.1994969064497</v>
      </c>
      <c r="S108" s="2032">
        <f t="shared" si="98"/>
        <v>1915.6465584542616</v>
      </c>
      <c r="T108" s="2387"/>
      <c r="U108" s="2387"/>
    </row>
    <row r="109" spans="1:25">
      <c r="A109" s="1506" t="s">
        <v>884</v>
      </c>
      <c r="C109" s="215">
        <f>C90/C86</f>
        <v>0.55812577018374654</v>
      </c>
      <c r="D109" s="215">
        <f t="shared" ref="D109:J109" si="99">D90/D86</f>
        <v>0.56044018899836467</v>
      </c>
      <c r="E109" s="215">
        <f t="shared" si="99"/>
        <v>0.57515540466131965</v>
      </c>
      <c r="F109" s="215">
        <f t="shared" si="99"/>
        <v>0.57046874356661337</v>
      </c>
      <c r="G109" s="215">
        <f t="shared" si="99"/>
        <v>0.57793032227990215</v>
      </c>
      <c r="H109" s="215">
        <f t="shared" si="99"/>
        <v>0.56472231550744911</v>
      </c>
      <c r="I109" s="215">
        <f t="shared" si="99"/>
        <v>0.59096162759416448</v>
      </c>
      <c r="J109" s="215">
        <f t="shared" si="99"/>
        <v>0.59055838736711619</v>
      </c>
      <c r="K109" s="215">
        <f t="shared" ref="K109:P109" si="100">K90/K86</f>
        <v>0.57014813735208203</v>
      </c>
      <c r="L109" s="215">
        <f t="shared" si="100"/>
        <v>0.58059229049919014</v>
      </c>
      <c r="M109" s="215">
        <f t="shared" si="100"/>
        <v>0.59699457377127474</v>
      </c>
      <c r="N109" s="215">
        <f t="shared" si="100"/>
        <v>0.60693838770190289</v>
      </c>
      <c r="O109" s="215">
        <f t="shared" si="100"/>
        <v>0.62231995601979107</v>
      </c>
      <c r="P109" s="215">
        <f t="shared" si="100"/>
        <v>0.62468223895630492</v>
      </c>
      <c r="Q109" s="2050">
        <f>Q29-0.005</f>
        <v>0.6217432595497</v>
      </c>
      <c r="R109" s="2050">
        <f>R29-0.007</f>
        <v>0.62100000000000011</v>
      </c>
      <c r="S109" s="2050">
        <f>S29-0.008</f>
        <v>0.62080000000000002</v>
      </c>
      <c r="T109" s="2050">
        <f>T29-0.008</f>
        <v>0.621</v>
      </c>
      <c r="U109" s="2255"/>
    </row>
    <row r="110" spans="1:25">
      <c r="A110" s="1506" t="s">
        <v>481</v>
      </c>
      <c r="C110" s="215">
        <f>C91/C86</f>
        <v>0.42454228918225473</v>
      </c>
      <c r="D110" s="215">
        <f t="shared" ref="D110:J110" si="101">D91/D86</f>
        <v>0.40065707702180192</v>
      </c>
      <c r="E110" s="215">
        <f t="shared" si="101"/>
        <v>0.39471260974392508</v>
      </c>
      <c r="F110" s="215">
        <f t="shared" si="101"/>
        <v>0.38501707006092006</v>
      </c>
      <c r="G110" s="215">
        <f t="shared" si="101"/>
        <v>0.40505479562168573</v>
      </c>
      <c r="H110" s="215">
        <f t="shared" si="101"/>
        <v>0.40231646695427209</v>
      </c>
      <c r="I110" s="215">
        <f t="shared" si="101"/>
        <v>0.39246618632284164</v>
      </c>
      <c r="J110" s="215">
        <f t="shared" si="101"/>
        <v>0.38436651525952825</v>
      </c>
      <c r="K110" s="215">
        <f t="shared" ref="K110:P110" si="102">K91/K86</f>
        <v>0.38639187886720139</v>
      </c>
      <c r="L110" s="215">
        <f t="shared" si="102"/>
        <v>0.38364007114630388</v>
      </c>
      <c r="M110" s="215">
        <f t="shared" si="102"/>
        <v>0.38724228001843808</v>
      </c>
      <c r="N110" s="215">
        <f t="shared" si="102"/>
        <v>0.41038321923648485</v>
      </c>
      <c r="O110" s="215">
        <f t="shared" si="102"/>
        <v>0.43260532760257886</v>
      </c>
      <c r="P110" s="215">
        <f t="shared" si="102"/>
        <v>0.43416950453259151</v>
      </c>
      <c r="Q110" s="2050">
        <f>Q30+0.01</f>
        <v>0.456075179805978</v>
      </c>
      <c r="R110" s="2050">
        <f>R30+0.011</f>
        <v>0.45600000000000007</v>
      </c>
      <c r="S110" s="2050">
        <f>S30+0.013</f>
        <v>0.45580000000000004</v>
      </c>
      <c r="T110" s="2050">
        <f>T30+0.015</f>
        <v>0.45539999999999997</v>
      </c>
      <c r="U110" s="2255"/>
    </row>
    <row r="111" spans="1:25">
      <c r="A111" s="1506" t="s">
        <v>448</v>
      </c>
      <c r="C111" s="215">
        <f>C93/C86</f>
        <v>0.13358348100149176</v>
      </c>
      <c r="D111" s="215">
        <f t="shared" ref="D111:J111" si="103">D93/D86</f>
        <v>0.15978311197656281</v>
      </c>
      <c r="E111" s="215">
        <f t="shared" si="103"/>
        <v>0.18044279491739459</v>
      </c>
      <c r="F111" s="215">
        <f t="shared" si="103"/>
        <v>0.1854516735056933</v>
      </c>
      <c r="G111" s="215">
        <f t="shared" si="103"/>
        <v>0.17287552665821646</v>
      </c>
      <c r="H111" s="215">
        <f t="shared" si="103"/>
        <v>0.16240584855317702</v>
      </c>
      <c r="I111" s="215">
        <f t="shared" si="103"/>
        <v>0.1984954412713229</v>
      </c>
      <c r="J111" s="215">
        <f t="shared" si="103"/>
        <v>0.20619187210758799</v>
      </c>
      <c r="K111" s="215">
        <f t="shared" ref="K111:Q111" si="104">K93/K86</f>
        <v>0.18375625848488059</v>
      </c>
      <c r="L111" s="215">
        <f>L93/L86</f>
        <v>0.19695221935288623</v>
      </c>
      <c r="M111" s="215">
        <f>M93/M86</f>
        <v>0.20975229375283666</v>
      </c>
      <c r="N111" s="215">
        <f>N93/N86</f>
        <v>0.19655516846541798</v>
      </c>
      <c r="O111" s="215">
        <f>O93/O86</f>
        <v>0.18971462841721218</v>
      </c>
      <c r="P111" s="215">
        <f>P93/P86</f>
        <v>0.19051273442371339</v>
      </c>
      <c r="Q111" s="215">
        <f t="shared" si="104"/>
        <v>0.16566807974372202</v>
      </c>
      <c r="R111" s="215">
        <f>R93/R86</f>
        <v>0.16500000000000006</v>
      </c>
      <c r="S111" s="215">
        <f>S93/S86</f>
        <v>0.16500000000000001</v>
      </c>
      <c r="T111" s="387">
        <f>T93/T86</f>
        <v>0.16560000000000002</v>
      </c>
      <c r="U111" s="387"/>
    </row>
    <row r="112" spans="1:25">
      <c r="A112" s="1506" t="s">
        <v>483</v>
      </c>
      <c r="C112" s="215">
        <f>C98/C96</f>
        <v>0.6025790609260061</v>
      </c>
      <c r="D112" s="215">
        <f t="shared" ref="D112:J112" si="105">D98/D96</f>
        <v>0.30795382282443834</v>
      </c>
      <c r="E112" s="215">
        <f t="shared" si="105"/>
        <v>0.36298269623409507</v>
      </c>
      <c r="F112" s="215">
        <f t="shared" si="105"/>
        <v>0.36466810339207528</v>
      </c>
      <c r="G112" s="215">
        <f t="shared" si="105"/>
        <v>0.34969719455217679</v>
      </c>
      <c r="H112" s="215">
        <f t="shared" si="105"/>
        <v>0.34478049481720269</v>
      </c>
      <c r="I112" s="215">
        <f t="shared" si="105"/>
        <v>0.33399283981248323</v>
      </c>
      <c r="J112" s="215">
        <f t="shared" si="105"/>
        <v>0.34265313303253347</v>
      </c>
      <c r="K112" s="215">
        <f t="shared" ref="K112:P112" si="106">K98/K96</f>
        <v>0.35336774522356351</v>
      </c>
      <c r="L112" s="215">
        <f t="shared" si="106"/>
        <v>0.34731366046665607</v>
      </c>
      <c r="M112" s="215">
        <f t="shared" si="106"/>
        <v>0.30476738087562405</v>
      </c>
      <c r="N112" s="215">
        <f t="shared" si="106"/>
        <v>0.34649352365847153</v>
      </c>
      <c r="O112" s="215">
        <f t="shared" si="106"/>
        <v>0.34214945424013454</v>
      </c>
      <c r="P112" s="215">
        <f t="shared" si="106"/>
        <v>0.32114676486059962</v>
      </c>
      <c r="Q112" s="2050">
        <f>+Q32+0.01</f>
        <v>0.29000000000000009</v>
      </c>
      <c r="R112" s="2050">
        <f>+R32+0.01</f>
        <v>0.26</v>
      </c>
      <c r="S112" s="2050">
        <f t="shared" ref="S112:T112" si="107">+S32+0.01</f>
        <v>0.26</v>
      </c>
      <c r="T112" s="2050">
        <f t="shared" si="107"/>
        <v>0.26</v>
      </c>
      <c r="U112" s="2255"/>
    </row>
    <row r="113" spans="1:29">
      <c r="A113" s="1506"/>
      <c r="P113" s="2442"/>
      <c r="T113" s="621"/>
      <c r="U113" s="621"/>
    </row>
    <row r="114" spans="1:29">
      <c r="A114" s="136" t="s">
        <v>484</v>
      </c>
      <c r="P114" s="2442"/>
      <c r="T114" s="621"/>
      <c r="U114" s="621"/>
    </row>
    <row r="115" spans="1:29">
      <c r="A115" s="1506" t="s">
        <v>1015</v>
      </c>
      <c r="C115" s="200" t="s">
        <v>814</v>
      </c>
      <c r="D115" s="1686">
        <f>((D86/C86)-1)</f>
        <v>8.6320448143191175E-2</v>
      </c>
      <c r="E115" s="1686">
        <f t="shared" ref="E115:K115" si="108">((E86/D86)-1)</f>
        <v>6.9131700563596299E-2</v>
      </c>
      <c r="F115" s="1686">
        <f t="shared" si="108"/>
        <v>0.14762837530176909</v>
      </c>
      <c r="G115" s="1686">
        <f t="shared" si="108"/>
        <v>-3.0595102510539207E-2</v>
      </c>
      <c r="H115" s="1686">
        <f t="shared" si="108"/>
        <v>-4.8836744816082356E-2</v>
      </c>
      <c r="I115" s="1686">
        <f t="shared" si="108"/>
        <v>0.1385968343709516</v>
      </c>
      <c r="J115" s="1686">
        <f t="shared" si="108"/>
        <v>0.18074378745596054</v>
      </c>
      <c r="K115" s="1686">
        <f t="shared" si="108"/>
        <v>4.1535716922911359E-2</v>
      </c>
      <c r="L115" s="1686">
        <f>((L86/K86)-1)</f>
        <v>6.2431590546640603E-2</v>
      </c>
      <c r="M115" s="1686">
        <f>((M86/L86)-1)</f>
        <v>5.4273367517296389E-2</v>
      </c>
      <c r="N115" s="1686">
        <f>((N86/M86)-1)</f>
        <v>-3.4168464154442413E-2</v>
      </c>
      <c r="O115" s="1686">
        <f>((O86/N86)-1)</f>
        <v>-2.5068823543742735E-2</v>
      </c>
      <c r="P115" s="1686">
        <f>((P86/O86)-1)</f>
        <v>4.1981108501174536E-2</v>
      </c>
      <c r="Q115" s="1686">
        <f>Q116+Q122</f>
        <v>-3.1959396500488881E-3</v>
      </c>
      <c r="R115" s="1686">
        <f>R116+R122</f>
        <v>1.4568174802419386E-2</v>
      </c>
      <c r="S115" s="1686">
        <f>S116+S122</f>
        <v>1.3298760741917092E-2</v>
      </c>
      <c r="T115" s="1705">
        <f>T116+T122</f>
        <v>1.5496408306841548E-3</v>
      </c>
      <c r="U115" s="1705"/>
    </row>
    <row r="116" spans="1:29">
      <c r="A116" s="1506" t="s">
        <v>1839</v>
      </c>
      <c r="C116" s="215">
        <f>C36</f>
        <v>0.04</v>
      </c>
      <c r="D116" s="215">
        <f t="shared" ref="D116:J116" si="109">D36</f>
        <v>0.05</v>
      </c>
      <c r="E116" s="215">
        <f t="shared" si="109"/>
        <v>0.06</v>
      </c>
      <c r="F116" s="215">
        <f t="shared" si="109"/>
        <v>7.0000000000000007E-2</v>
      </c>
      <c r="G116" s="215">
        <f t="shared" si="109"/>
        <v>-0.09</v>
      </c>
      <c r="H116" s="215">
        <f t="shared" si="109"/>
        <v>-0.08</v>
      </c>
      <c r="I116" s="215">
        <f t="shared" si="109"/>
        <v>0.08</v>
      </c>
      <c r="J116" s="215">
        <f t="shared" si="109"/>
        <v>0.13678577190955957</v>
      </c>
      <c r="K116" s="215">
        <f t="shared" ref="K116:P116" si="110">K36</f>
        <v>0.01</v>
      </c>
      <c r="L116" s="215">
        <f t="shared" si="110"/>
        <v>0.06</v>
      </c>
      <c r="M116" s="215">
        <f t="shared" si="110"/>
        <v>0.04</v>
      </c>
      <c r="N116" s="215">
        <f t="shared" si="110"/>
        <v>0</v>
      </c>
      <c r="O116" s="215">
        <f t="shared" si="110"/>
        <v>-0.05</v>
      </c>
      <c r="P116" s="215">
        <f t="shared" si="110"/>
        <v>0</v>
      </c>
      <c r="Q116" s="2050">
        <v>-0.02</v>
      </c>
      <c r="R116" s="2050">
        <v>-0.01</v>
      </c>
      <c r="S116" s="2050">
        <v>-0.01</v>
      </c>
      <c r="T116" s="2255">
        <v>-0.01</v>
      </c>
      <c r="U116" s="2255"/>
    </row>
    <row r="117" spans="1:29">
      <c r="A117" s="1506" t="s">
        <v>471</v>
      </c>
      <c r="C117" s="200" t="s">
        <v>814</v>
      </c>
      <c r="D117" s="1686">
        <f>((D91/C91)-1)</f>
        <v>2.5202875078522036E-2</v>
      </c>
      <c r="E117" s="1686">
        <f>((E91/D91)-1)</f>
        <v>5.3269211731543864E-2</v>
      </c>
      <c r="F117" s="1686">
        <f t="shared" ref="F117:K117" si="111">((F91/E91)-1)</f>
        <v>0.11943855774995704</v>
      </c>
      <c r="G117" s="1686">
        <f t="shared" si="111"/>
        <v>1.9856347057872092E-2</v>
      </c>
      <c r="H117" s="1686">
        <f t="shared" si="111"/>
        <v>-5.5266980026760448E-2</v>
      </c>
      <c r="I117" s="1686">
        <f t="shared" si="111"/>
        <v>0.11071953064157936</v>
      </c>
      <c r="J117" s="1686">
        <f t="shared" si="111"/>
        <v>0.15637573583334996</v>
      </c>
      <c r="K117" s="1686">
        <f t="shared" si="111"/>
        <v>4.7023938329823212E-2</v>
      </c>
      <c r="L117" s="1686">
        <f t="shared" ref="L117:T117" si="112">((L91/K91)-1)</f>
        <v>5.4865159641407812E-2</v>
      </c>
      <c r="M117" s="1686">
        <f t="shared" si="112"/>
        <v>6.4172523428664752E-2</v>
      </c>
      <c r="N117" s="1686">
        <f t="shared" si="112"/>
        <v>2.3547983710730414E-2</v>
      </c>
      <c r="O117" s="1686">
        <f t="shared" si="112"/>
        <v>2.7723360047491985E-2</v>
      </c>
      <c r="P117" s="1686">
        <f t="shared" si="112"/>
        <v>4.5748613678373351E-2</v>
      </c>
      <c r="Q117" s="1686">
        <f>((Q91/P91)-1)</f>
        <v>4.7097012363535029E-2</v>
      </c>
      <c r="R117" s="1686">
        <f t="shared" si="112"/>
        <v>1.4400932553969348E-2</v>
      </c>
      <c r="S117" s="1686">
        <f t="shared" si="112"/>
        <v>1.2854331460889767E-2</v>
      </c>
      <c r="T117" s="1705">
        <f t="shared" si="112"/>
        <v>6.7070301512406338E-4</v>
      </c>
      <c r="U117" s="1705"/>
    </row>
    <row r="118" spans="1:29">
      <c r="A118" s="1506" t="s">
        <v>487</v>
      </c>
      <c r="C118" s="200" t="s">
        <v>814</v>
      </c>
      <c r="D118" s="1686">
        <f>((D93/C93)-1)</f>
        <v>0.29937968756896693</v>
      </c>
      <c r="E118" s="1686">
        <f t="shared" ref="E118:K118" si="113">((E93/D93)-1)</f>
        <v>0.20736859983537981</v>
      </c>
      <c r="F118" s="1686">
        <f t="shared" si="113"/>
        <v>0.17948518177057049</v>
      </c>
      <c r="G118" s="1686">
        <f t="shared" si="113"/>
        <v>-9.6333944954128392E-2</v>
      </c>
      <c r="H118" s="1686">
        <f t="shared" si="113"/>
        <v>-0.10644104138493837</v>
      </c>
      <c r="I118" s="1686">
        <f t="shared" si="113"/>
        <v>0.39161417573328028</v>
      </c>
      <c r="J118" s="1686">
        <f t="shared" si="113"/>
        <v>0.22652576026753146</v>
      </c>
      <c r="K118" s="1686">
        <f t="shared" si="113"/>
        <v>-7.1793158169406346E-2</v>
      </c>
      <c r="L118" s="1686">
        <f t="shared" ref="L118:T118" si="114">((L93/K93)-1)</f>
        <v>0.1387272542121043</v>
      </c>
      <c r="M118" s="1686">
        <f t="shared" si="114"/>
        <v>0.12279139481572776</v>
      </c>
      <c r="N118" s="1686">
        <f t="shared" si="114"/>
        <v>-9.4936332562658321E-2</v>
      </c>
      <c r="O118" s="1686">
        <f t="shared" si="114"/>
        <v>-5.8998512642540524E-2</v>
      </c>
      <c r="P118" s="1686">
        <f t="shared" si="114"/>
        <v>4.6364594309800555E-2</v>
      </c>
      <c r="Q118" s="1686">
        <f t="shared" si="114"/>
        <v>-0.13318857629935643</v>
      </c>
      <c r="R118" s="1686">
        <f t="shared" si="114"/>
        <v>1.0476786483927247E-2</v>
      </c>
      <c r="S118" s="1686">
        <f t="shared" si="114"/>
        <v>1.3298760741916826E-2</v>
      </c>
      <c r="T118" s="1705">
        <f t="shared" si="114"/>
        <v>5.1916395246141001E-3</v>
      </c>
      <c r="U118" s="1705"/>
    </row>
    <row r="119" spans="1:29">
      <c r="A119" s="1506" t="s">
        <v>488</v>
      </c>
      <c r="C119" s="200" t="s">
        <v>814</v>
      </c>
      <c r="D119" s="1686">
        <f>((D103/C103)-1)</f>
        <v>1.3401059611393125</v>
      </c>
      <c r="E119" s="1686">
        <f t="shared" ref="E119:K119" si="115">((E103/D103)-1)</f>
        <v>0.16761172171097938</v>
      </c>
      <c r="F119" s="1686">
        <f t="shared" si="115"/>
        <v>0.20891183713478934</v>
      </c>
      <c r="G119" s="1686">
        <f t="shared" si="115"/>
        <v>-3.4113236380919898E-2</v>
      </c>
      <c r="H119" s="1686">
        <f t="shared" si="115"/>
        <v>-0.14641939584740793</v>
      </c>
      <c r="I119" s="1686">
        <f t="shared" si="115"/>
        <v>0.43970918422090222</v>
      </c>
      <c r="J119" s="1686">
        <f t="shared" si="115"/>
        <v>0.22959332383989617</v>
      </c>
      <c r="K119" s="1686">
        <f t="shared" si="115"/>
        <v>-9.7343936656733798E-2</v>
      </c>
      <c r="L119" s="1686">
        <f t="shared" ref="L119:T119" si="116">((L103/K103)-1)</f>
        <v>0.14747574795551044</v>
      </c>
      <c r="M119" s="1686">
        <f t="shared" si="116"/>
        <v>0.12427495603975669</v>
      </c>
      <c r="N119" s="1686">
        <f t="shared" si="116"/>
        <v>-8.7369297453777528E-2</v>
      </c>
      <c r="O119" s="1686">
        <f t="shared" si="116"/>
        <v>-2.1960185018208178E-2</v>
      </c>
      <c r="P119" s="1686">
        <f t="shared" si="116"/>
        <v>0.10157523842657534</v>
      </c>
      <c r="Q119" s="1686">
        <f t="shared" si="116"/>
        <v>-9.214653592447053E-2</v>
      </c>
      <c r="R119" s="1686">
        <f t="shared" si="116"/>
        <v>6.226860706914783E-2</v>
      </c>
      <c r="S119" s="1686">
        <f t="shared" si="116"/>
        <v>2.073342899142161E-2</v>
      </c>
      <c r="T119" s="1705">
        <f t="shared" si="116"/>
        <v>1.2208713689619621E-2</v>
      </c>
      <c r="U119" s="1705"/>
    </row>
    <row r="120" spans="1:29">
      <c r="A120" s="1506" t="s">
        <v>446</v>
      </c>
      <c r="C120" s="200" t="s">
        <v>814</v>
      </c>
      <c r="D120" s="1686">
        <f>((D106/C106)-1)</f>
        <v>0.22621281091087631</v>
      </c>
      <c r="E120" s="1686">
        <f t="shared" ref="E120:K120" si="117">((E106/D106)-1)</f>
        <v>0.17313483178029454</v>
      </c>
      <c r="F120" s="1686">
        <f t="shared" si="117"/>
        <v>0.16577612351328441</v>
      </c>
      <c r="G120" s="1686">
        <f t="shared" si="117"/>
        <v>-6.6479862600954398E-2</v>
      </c>
      <c r="H120" s="1686">
        <f t="shared" si="117"/>
        <v>-7.772189772889937E-2</v>
      </c>
      <c r="I120" s="1686">
        <f t="shared" si="117"/>
        <v>0.31198025867349877</v>
      </c>
      <c r="J120" s="1686">
        <f t="shared" si="117"/>
        <v>0.17992176628268908</v>
      </c>
      <c r="K120" s="1686">
        <f t="shared" si="117"/>
        <v>-4.0366612490776221E-2</v>
      </c>
      <c r="L120" s="1686">
        <f t="shared" ref="L120:T120" si="118">((L106/K106)-1)</f>
        <v>0.13207978942135101</v>
      </c>
      <c r="M120" s="1686">
        <f t="shared" si="118"/>
        <v>0.1139149716438741</v>
      </c>
      <c r="N120" s="1686">
        <f t="shared" si="118"/>
        <v>-7.0272580640702076E-2</v>
      </c>
      <c r="O120" s="1686">
        <f t="shared" si="118"/>
        <v>-4.1216684831072659E-2</v>
      </c>
      <c r="P120" s="1686">
        <f t="shared" si="118"/>
        <v>3.4721504598533182E-2</v>
      </c>
      <c r="Q120" s="1686">
        <f t="shared" si="118"/>
        <v>-0.10211052848157542</v>
      </c>
      <c r="R120" s="1686">
        <f t="shared" si="118"/>
        <v>1.5622180674086827E-2</v>
      </c>
      <c r="S120" s="1686">
        <f t="shared" si="118"/>
        <v>2.2810504320328384E-2</v>
      </c>
      <c r="T120" s="1705">
        <f t="shared" si="118"/>
        <v>-2.3900167292467245E-2</v>
      </c>
      <c r="U120" s="1705"/>
    </row>
    <row r="121" spans="1:29" outlineLevel="1">
      <c r="A121" s="1506" t="s">
        <v>1841</v>
      </c>
      <c r="C121" s="200" t="s">
        <v>814</v>
      </c>
      <c r="D121" s="215">
        <f>D35-D36</f>
        <v>3.6320448143191172E-2</v>
      </c>
      <c r="E121" s="215">
        <f t="shared" ref="E121:J121" si="119">E35-E36</f>
        <v>9.1317005635963011E-3</v>
      </c>
      <c r="F121" s="215">
        <f t="shared" si="119"/>
        <v>7.7628375301769081E-2</v>
      </c>
      <c r="G121" s="215">
        <f t="shared" si="119"/>
        <v>5.940489748946079E-2</v>
      </c>
      <c r="H121" s="215">
        <f t="shared" si="119"/>
        <v>3.1163255183917646E-2</v>
      </c>
      <c r="I121" s="215">
        <f t="shared" si="119"/>
        <v>5.8596834370951603E-2</v>
      </c>
      <c r="J121" s="215">
        <f t="shared" si="119"/>
        <v>4.3958015546400969E-2</v>
      </c>
      <c r="K121" s="215">
        <f t="shared" ref="K121:Q121" si="120">K35-K36</f>
        <v>3.1535716922911357E-2</v>
      </c>
      <c r="L121" s="215">
        <f t="shared" si="120"/>
        <v>2.4315905466406051E-3</v>
      </c>
      <c r="M121" s="215">
        <f t="shared" si="120"/>
        <v>1.4273367517296388E-2</v>
      </c>
      <c r="N121" s="215">
        <f>N35-N36</f>
        <v>-3.4168464154442413E-2</v>
      </c>
      <c r="O121" s="215">
        <f>O35-O36</f>
        <v>2.4931176456257267E-2</v>
      </c>
      <c r="P121" s="215">
        <f>P35-P36</f>
        <v>4.1981108501174536E-2</v>
      </c>
      <c r="Q121" s="215">
        <f t="shared" si="120"/>
        <v>2.6804060349951114E-2</v>
      </c>
      <c r="R121" s="215">
        <f>R35-R36</f>
        <v>3.4568174802419388E-2</v>
      </c>
      <c r="S121" s="215">
        <f>S35-S36</f>
        <v>3.3298760741917094E-2</v>
      </c>
      <c r="T121" s="387">
        <f>T35-T36</f>
        <v>2.1549640830684155E-2</v>
      </c>
      <c r="U121" s="387"/>
    </row>
    <row r="122" spans="1:29" outlineLevel="1">
      <c r="A122" s="1506" t="s">
        <v>1844</v>
      </c>
      <c r="C122" s="200" t="s">
        <v>814</v>
      </c>
      <c r="D122" s="215">
        <f t="shared" ref="D122:K122" si="121">D121</f>
        <v>3.6320448143191172E-2</v>
      </c>
      <c r="E122" s="215">
        <f t="shared" si="121"/>
        <v>9.1317005635963011E-3</v>
      </c>
      <c r="F122" s="215">
        <f t="shared" si="121"/>
        <v>7.7628375301769081E-2</v>
      </c>
      <c r="G122" s="215">
        <f t="shared" si="121"/>
        <v>5.940489748946079E-2</v>
      </c>
      <c r="H122" s="215">
        <f t="shared" si="121"/>
        <v>3.1163255183917646E-2</v>
      </c>
      <c r="I122" s="215">
        <f t="shared" si="121"/>
        <v>5.8596834370951603E-2</v>
      </c>
      <c r="J122" s="215">
        <f t="shared" si="121"/>
        <v>4.3958015546400969E-2</v>
      </c>
      <c r="K122" s="215">
        <f t="shared" si="121"/>
        <v>3.1535716922911357E-2</v>
      </c>
      <c r="L122" s="215">
        <f>L121</f>
        <v>2.4315905466406051E-3</v>
      </c>
      <c r="M122" s="215">
        <f>M121</f>
        <v>1.4273367517296388E-2</v>
      </c>
      <c r="N122" s="215">
        <f>N121</f>
        <v>-3.4168464154442413E-2</v>
      </c>
      <c r="O122" s="215">
        <f>O121</f>
        <v>2.4931176456257267E-2</v>
      </c>
      <c r="P122" s="215">
        <f>P121</f>
        <v>4.1981108501174536E-2</v>
      </c>
      <c r="Q122" s="2050">
        <f>Q121-0.01</f>
        <v>1.6804060349951112E-2</v>
      </c>
      <c r="R122" s="2050">
        <f t="shared" ref="R122:T122" si="122">R121-0.01</f>
        <v>2.4568174802419386E-2</v>
      </c>
      <c r="S122" s="2050">
        <f t="shared" si="122"/>
        <v>2.3298760741917092E-2</v>
      </c>
      <c r="T122" s="2050">
        <f t="shared" si="122"/>
        <v>1.1549640830684155E-2</v>
      </c>
      <c r="U122" s="2255"/>
    </row>
    <row r="123" spans="1:29">
      <c r="A123" s="1693"/>
      <c r="B123" s="1693"/>
      <c r="C123" s="1693"/>
      <c r="D123" s="1693"/>
      <c r="E123" s="1693"/>
      <c r="F123" s="1693"/>
      <c r="G123" s="1693"/>
      <c r="H123" s="1693"/>
      <c r="I123" s="1693"/>
      <c r="J123" s="1693"/>
      <c r="K123" s="1693"/>
      <c r="L123" s="1693"/>
      <c r="M123" s="1693"/>
      <c r="N123" s="1693"/>
      <c r="O123" s="1693"/>
      <c r="P123" s="1693"/>
      <c r="Q123" s="1693"/>
      <c r="R123" s="1693"/>
      <c r="S123" s="1693"/>
      <c r="T123" s="1693"/>
      <c r="U123" s="247"/>
      <c r="V123" s="131"/>
      <c r="W123" s="131"/>
      <c r="X123" s="131"/>
      <c r="Y123" s="131"/>
      <c r="Z123" s="131"/>
      <c r="AA123" s="131"/>
      <c r="AB123" s="131"/>
      <c r="AC123" s="131"/>
    </row>
    <row r="124" spans="1:29">
      <c r="A124" s="1694" t="s">
        <v>766</v>
      </c>
      <c r="B124" s="131"/>
      <c r="C124" s="1308" t="str">
        <f t="shared" ref="C124:P125" si="123">C83</f>
        <v>2004A</v>
      </c>
      <c r="D124" s="1308" t="str">
        <f t="shared" si="123"/>
        <v>2005A</v>
      </c>
      <c r="E124" s="1308" t="str">
        <f t="shared" si="123"/>
        <v>2006A</v>
      </c>
      <c r="F124" s="1308" t="str">
        <f t="shared" si="123"/>
        <v>2007A</v>
      </c>
      <c r="G124" s="1308" t="str">
        <f t="shared" si="123"/>
        <v>2008A</v>
      </c>
      <c r="H124" s="1308" t="str">
        <f t="shared" si="123"/>
        <v>2009A</v>
      </c>
      <c r="I124" s="1308" t="str">
        <f t="shared" si="123"/>
        <v>2010A</v>
      </c>
      <c r="J124" s="1308" t="str">
        <f t="shared" si="123"/>
        <v>2011A</v>
      </c>
      <c r="K124" s="1308" t="str">
        <f>K83</f>
        <v>2012A</v>
      </c>
      <c r="L124" s="1308" t="str">
        <f t="shared" si="123"/>
        <v>2013E</v>
      </c>
      <c r="M124" s="1308" t="str">
        <f t="shared" si="123"/>
        <v>2014E</v>
      </c>
      <c r="N124" s="1308" t="str">
        <f t="shared" si="123"/>
        <v>2015A</v>
      </c>
      <c r="O124" s="1308" t="str">
        <f t="shared" si="123"/>
        <v>2016A</v>
      </c>
      <c r="P124" s="1308" t="str">
        <f t="shared" si="123"/>
        <v>2017E</v>
      </c>
      <c r="Q124" s="1308" t="str">
        <f t="shared" ref="Q124:S125" si="124">Q83</f>
        <v>2018E</v>
      </c>
      <c r="R124" s="1308" t="str">
        <f t="shared" si="124"/>
        <v>2019E</v>
      </c>
      <c r="S124" s="1308" t="str">
        <f t="shared" si="124"/>
        <v>2020E</v>
      </c>
      <c r="T124" s="319" t="str">
        <f>T83</f>
        <v>2021E</v>
      </c>
      <c r="U124" s="319"/>
      <c r="V124" s="131"/>
      <c r="W124" s="131"/>
      <c r="X124" s="131"/>
      <c r="Y124" s="131"/>
      <c r="Z124" s="131"/>
      <c r="AA124" s="131"/>
      <c r="AB124" s="131"/>
      <c r="AC124" s="131"/>
    </row>
    <row r="125" spans="1:29">
      <c r="A125" s="136" t="s">
        <v>468</v>
      </c>
      <c r="B125" s="131"/>
      <c r="C125" s="220" t="str">
        <f t="shared" si="123"/>
        <v>Jan</v>
      </c>
      <c r="D125" s="220" t="str">
        <f t="shared" si="123"/>
        <v>Jan</v>
      </c>
      <c r="E125" s="220" t="str">
        <f t="shared" si="123"/>
        <v>Jan</v>
      </c>
      <c r="F125" s="220" t="str">
        <f t="shared" si="123"/>
        <v>Jan</v>
      </c>
      <c r="G125" s="220" t="str">
        <f t="shared" si="123"/>
        <v>Jan</v>
      </c>
      <c r="H125" s="220" t="str">
        <f t="shared" si="123"/>
        <v>Jan</v>
      </c>
      <c r="I125" s="220" t="str">
        <f t="shared" si="123"/>
        <v>Jan</v>
      </c>
      <c r="J125" s="220" t="str">
        <f t="shared" si="123"/>
        <v>Jan</v>
      </c>
      <c r="K125" s="220" t="str">
        <f>K84</f>
        <v>Jan</v>
      </c>
      <c r="L125" s="220" t="str">
        <f t="shared" si="123"/>
        <v>Jan</v>
      </c>
      <c r="M125" s="220" t="str">
        <f t="shared" si="123"/>
        <v>Jan</v>
      </c>
      <c r="N125" s="220" t="str">
        <f t="shared" si="123"/>
        <v>Jan</v>
      </c>
      <c r="O125" s="220" t="str">
        <f t="shared" si="123"/>
        <v>Jan</v>
      </c>
      <c r="P125" s="220" t="str">
        <f t="shared" si="123"/>
        <v>Jan</v>
      </c>
      <c r="Q125" s="220" t="str">
        <f t="shared" si="124"/>
        <v>Jan</v>
      </c>
      <c r="R125" s="220" t="str">
        <f t="shared" si="124"/>
        <v>Jan</v>
      </c>
      <c r="S125" s="220" t="str">
        <f t="shared" si="124"/>
        <v>Jan</v>
      </c>
      <c r="T125" s="270" t="str">
        <f>T84</f>
        <v>Jan</v>
      </c>
      <c r="U125" s="270"/>
      <c r="V125" s="131"/>
      <c r="W125" s="131"/>
      <c r="X125" s="131"/>
      <c r="Y125" s="131"/>
      <c r="Z125" s="131"/>
      <c r="AA125" s="131"/>
      <c r="AB125" s="131"/>
      <c r="AC125" s="131"/>
    </row>
    <row r="126" spans="1:29">
      <c r="A126" s="132"/>
      <c r="B126" s="131"/>
      <c r="C126" s="131"/>
      <c r="D126" s="131"/>
      <c r="E126" s="131"/>
      <c r="F126" s="131"/>
      <c r="G126" s="131"/>
      <c r="H126" s="131"/>
      <c r="I126" s="131"/>
      <c r="J126" s="131"/>
      <c r="K126" s="131"/>
      <c r="L126" s="131"/>
      <c r="M126" s="131"/>
      <c r="N126" s="131"/>
      <c r="O126" s="131"/>
      <c r="P126" s="131"/>
      <c r="Q126" s="131"/>
      <c r="R126" s="131"/>
      <c r="S126" s="131"/>
      <c r="T126" s="247"/>
      <c r="U126" s="247"/>
      <c r="V126" s="131"/>
      <c r="W126" s="131"/>
      <c r="X126" s="131"/>
      <c r="Y126" s="131"/>
      <c r="Z126" s="131"/>
      <c r="AA126" s="131"/>
      <c r="AB126" s="131"/>
      <c r="AC126" s="131"/>
    </row>
    <row r="127" spans="1:29">
      <c r="A127" s="132" t="s">
        <v>411</v>
      </c>
      <c r="B127" s="131"/>
      <c r="C127" s="1682">
        <f t="shared" ref="C127:J127" si="125">C6</f>
        <v>2204.8310000000001</v>
      </c>
      <c r="D127" s="1682">
        <f t="shared" si="125"/>
        <v>2395.1530000000002</v>
      </c>
      <c r="E127" s="1682">
        <f t="shared" si="125"/>
        <v>2560.7339999999995</v>
      </c>
      <c r="F127" s="1682">
        <f t="shared" si="125"/>
        <v>2938.7709999999997</v>
      </c>
      <c r="G127" s="1682">
        <f t="shared" si="125"/>
        <v>2848.8589999999999</v>
      </c>
      <c r="H127" s="1682">
        <f t="shared" si="125"/>
        <v>2709.7300000000005</v>
      </c>
      <c r="I127" s="1682">
        <f t="shared" si="125"/>
        <v>3085.2899999999995</v>
      </c>
      <c r="J127" s="1682">
        <f t="shared" si="125"/>
        <v>3642.9369999999999</v>
      </c>
      <c r="K127" s="1682">
        <f>K6</f>
        <v>3794.2489999999998</v>
      </c>
      <c r="L127" s="1682">
        <f t="shared" ref="L127:T127" si="126">(K127*(1+L168))</f>
        <v>4031.1300000000006</v>
      </c>
      <c r="M127" s="1682">
        <f t="shared" si="126"/>
        <v>4249.9129999999996</v>
      </c>
      <c r="N127" s="1682">
        <f t="shared" si="126"/>
        <v>4104.7000000000007</v>
      </c>
      <c r="O127" s="1682">
        <f t="shared" si="126"/>
        <v>4001.7999999999997</v>
      </c>
      <c r="P127" s="1682">
        <f t="shared" si="126"/>
        <v>4169.8</v>
      </c>
      <c r="Q127" s="1682">
        <f t="shared" si="126"/>
        <v>4384.6194342418175</v>
      </c>
      <c r="R127" s="1682">
        <f t="shared" si="126"/>
        <v>4623.2488669288232</v>
      </c>
      <c r="S127" s="1682">
        <f t="shared" si="126"/>
        <v>4869.5236592022247</v>
      </c>
      <c r="T127" s="1704">
        <f t="shared" si="126"/>
        <v>4967.2157919125293</v>
      </c>
      <c r="U127" s="1704"/>
      <c r="V127" s="131"/>
      <c r="W127" s="131"/>
      <c r="X127" s="131"/>
      <c r="Y127" s="131"/>
      <c r="Z127" s="131"/>
      <c r="AA127" s="131"/>
      <c r="AB127" s="131"/>
      <c r="AC127" s="131"/>
    </row>
    <row r="128" spans="1:29">
      <c r="A128" s="132"/>
      <c r="B128" s="131"/>
      <c r="C128" s="250"/>
      <c r="D128" s="250"/>
      <c r="E128" s="250"/>
      <c r="F128" s="250"/>
      <c r="G128" s="250"/>
      <c r="H128" s="250"/>
      <c r="I128" s="250"/>
      <c r="J128" s="250"/>
      <c r="K128" s="250"/>
      <c r="L128" s="250"/>
      <c r="M128" s="250"/>
      <c r="T128" s="621"/>
      <c r="U128" s="621"/>
      <c r="V128" s="131"/>
      <c r="W128" s="131"/>
      <c r="X128" s="131"/>
      <c r="Y128" s="131"/>
      <c r="Z128" s="131"/>
      <c r="AA128" s="131"/>
      <c r="AB128" s="131"/>
      <c r="AC128" s="131"/>
    </row>
    <row r="129" spans="1:29">
      <c r="A129" s="132" t="s">
        <v>469</v>
      </c>
      <c r="B129" s="131"/>
      <c r="C129" s="1682">
        <f t="shared" ref="C129:J129" si="127">C8</f>
        <v>974.25800000000004</v>
      </c>
      <c r="D129" s="1682">
        <f t="shared" si="127"/>
        <v>1052.8129999999999</v>
      </c>
      <c r="E129" s="1682">
        <f t="shared" si="127"/>
        <v>1087.914</v>
      </c>
      <c r="F129" s="1682">
        <f t="shared" si="127"/>
        <v>1262.2939999999999</v>
      </c>
      <c r="G129" s="1682">
        <f t="shared" si="127"/>
        <v>1202.4170000000001</v>
      </c>
      <c r="H129" s="1682">
        <f t="shared" si="127"/>
        <v>1179.4850000000001</v>
      </c>
      <c r="I129" s="1682">
        <f t="shared" si="127"/>
        <v>1262.002</v>
      </c>
      <c r="J129" s="1682">
        <f t="shared" si="127"/>
        <v>1491.57</v>
      </c>
      <c r="K129" s="1682">
        <f>K8</f>
        <v>1630.9649999999999</v>
      </c>
      <c r="L129" s="1682">
        <f t="shared" ref="L129:Q129" si="128">L127-L131</f>
        <v>1690.6869999999999</v>
      </c>
      <c r="M129" s="1682">
        <f t="shared" si="128"/>
        <v>1712.7380000000003</v>
      </c>
      <c r="N129" s="1682">
        <f t="shared" si="128"/>
        <v>1613.3999999999996</v>
      </c>
      <c r="O129" s="1682">
        <f t="shared" si="128"/>
        <v>1511.4</v>
      </c>
      <c r="P129" s="1682">
        <f t="shared" si="128"/>
        <v>1565</v>
      </c>
      <c r="Q129" s="1682">
        <f t="shared" si="128"/>
        <v>1636.5887581401394</v>
      </c>
      <c r="R129" s="1682">
        <f>R127-R131</f>
        <v>1719.8485784975219</v>
      </c>
      <c r="S129" s="1682">
        <f>S127-S131</f>
        <v>1807.5671822958657</v>
      </c>
      <c r="T129" s="1704">
        <f>T127-T131</f>
        <v>1842.8370587995482</v>
      </c>
      <c r="U129" s="1704"/>
      <c r="V129" s="131"/>
      <c r="W129" s="131"/>
      <c r="X129" s="131"/>
      <c r="Y129" s="131"/>
      <c r="Z129" s="131"/>
      <c r="AA129" s="131"/>
      <c r="AB129" s="131"/>
      <c r="AC129" s="131"/>
    </row>
    <row r="130" spans="1:29">
      <c r="A130" s="132"/>
      <c r="B130" s="131"/>
      <c r="C130" s="250"/>
      <c r="D130" s="250"/>
      <c r="E130" s="250"/>
      <c r="F130" s="250"/>
      <c r="G130" s="250"/>
      <c r="H130" s="250"/>
      <c r="I130" s="250"/>
      <c r="J130" s="250"/>
      <c r="K130" s="250"/>
      <c r="L130" s="250"/>
      <c r="M130" s="250"/>
      <c r="T130" s="621"/>
      <c r="U130" s="621"/>
      <c r="V130" s="131"/>
      <c r="W130" s="131"/>
      <c r="X130" s="131"/>
      <c r="Y130" s="131"/>
      <c r="Z130" s="131"/>
      <c r="AA130" s="131"/>
      <c r="AB130" s="131"/>
      <c r="AC130" s="131"/>
    </row>
    <row r="131" spans="1:29">
      <c r="A131" s="132" t="s">
        <v>470</v>
      </c>
      <c r="B131" s="131"/>
      <c r="C131" s="1682">
        <f t="shared" ref="C131:J131" si="129">C127-C129</f>
        <v>1230.5730000000001</v>
      </c>
      <c r="D131" s="1682">
        <f t="shared" si="129"/>
        <v>1342.3400000000004</v>
      </c>
      <c r="E131" s="1682">
        <f t="shared" si="129"/>
        <v>1472.8199999999995</v>
      </c>
      <c r="F131" s="1682">
        <f t="shared" si="129"/>
        <v>1676.4769999999999</v>
      </c>
      <c r="G131" s="1682">
        <f t="shared" si="129"/>
        <v>1646.4419999999998</v>
      </c>
      <c r="H131" s="1682">
        <f t="shared" si="129"/>
        <v>1530.2450000000003</v>
      </c>
      <c r="I131" s="1682">
        <f t="shared" si="129"/>
        <v>1823.2879999999996</v>
      </c>
      <c r="J131" s="1682">
        <f t="shared" si="129"/>
        <v>2151.3670000000002</v>
      </c>
      <c r="K131" s="1682">
        <f>K127-K129</f>
        <v>2163.2839999999997</v>
      </c>
      <c r="L131" s="1682">
        <f t="shared" ref="L131:Q131" si="130">L127*L153</f>
        <v>2340.4430000000007</v>
      </c>
      <c r="M131" s="1682">
        <f t="shared" si="130"/>
        <v>2537.1749999999993</v>
      </c>
      <c r="N131" s="1682">
        <f t="shared" si="130"/>
        <v>2491.3000000000011</v>
      </c>
      <c r="O131" s="1682">
        <f t="shared" si="130"/>
        <v>2490.3999999999996</v>
      </c>
      <c r="P131" s="1682">
        <f t="shared" si="130"/>
        <v>2604.8000000000002</v>
      </c>
      <c r="Q131" s="1682">
        <f t="shared" si="130"/>
        <v>2748.0306761016782</v>
      </c>
      <c r="R131" s="1682">
        <f>R127*R153</f>
        <v>2903.4002884313013</v>
      </c>
      <c r="S131" s="1682">
        <f>S127*S153</f>
        <v>3061.9564769063591</v>
      </c>
      <c r="T131" s="1704">
        <f>T127*T153</f>
        <v>3124.3787331129811</v>
      </c>
      <c r="U131" s="1704"/>
      <c r="V131" s="131"/>
      <c r="W131" s="131"/>
      <c r="X131" s="131"/>
      <c r="Y131" s="131"/>
      <c r="Z131" s="131"/>
      <c r="AA131" s="131"/>
      <c r="AB131" s="131"/>
      <c r="AC131" s="131"/>
    </row>
    <row r="132" spans="1:29">
      <c r="A132" s="132" t="s">
        <v>471</v>
      </c>
      <c r="B132" s="131"/>
      <c r="C132" s="250">
        <f t="shared" ref="C132:P133" si="131">C11</f>
        <v>936.04399999999998</v>
      </c>
      <c r="D132" s="250">
        <f t="shared" si="131"/>
        <v>959.63499999999999</v>
      </c>
      <c r="E132" s="250">
        <f t="shared" si="131"/>
        <v>1010.754</v>
      </c>
      <c r="F132" s="250">
        <f t="shared" si="131"/>
        <v>1131.4770000000001</v>
      </c>
      <c r="G132" s="250">
        <f t="shared" si="131"/>
        <v>1153.944</v>
      </c>
      <c r="H132" s="250">
        <f t="shared" si="131"/>
        <v>1090.1689999999999</v>
      </c>
      <c r="I132" s="250">
        <f t="shared" si="131"/>
        <v>1210.8719999999998</v>
      </c>
      <c r="J132" s="250">
        <f t="shared" si="131"/>
        <v>1400.223</v>
      </c>
      <c r="K132" s="250">
        <f>K11</f>
        <v>1466.067</v>
      </c>
      <c r="L132" s="250">
        <f t="shared" ref="L132:Q132" si="132">L127*L157</f>
        <v>1546.5030000000002</v>
      </c>
      <c r="M132" s="250">
        <f t="shared" si="132"/>
        <v>1645.7460000000001</v>
      </c>
      <c r="N132" s="250">
        <f t="shared" si="132"/>
        <v>1684.4999999999998</v>
      </c>
      <c r="O132" s="250">
        <f t="shared" si="132"/>
        <v>1731.2</v>
      </c>
      <c r="P132" s="250">
        <f t="shared" si="132"/>
        <v>1810.4</v>
      </c>
      <c r="Q132" s="250">
        <f t="shared" si="132"/>
        <v>1955.8699025102044</v>
      </c>
      <c r="R132" s="250">
        <f>R127*R157</f>
        <v>2057.3457457833265</v>
      </c>
      <c r="S132" s="250">
        <f>S127*S157</f>
        <v>2156.2250762947451</v>
      </c>
      <c r="T132" s="612">
        <f>T127*T157</f>
        <v>2187.5618347582777</v>
      </c>
      <c r="U132" s="612"/>
      <c r="V132" s="131"/>
      <c r="W132" s="131"/>
      <c r="X132" s="131"/>
      <c r="Y132" s="131"/>
      <c r="Z132" s="131"/>
      <c r="AA132" s="131"/>
      <c r="AB132" s="131"/>
      <c r="AC132" s="131"/>
    </row>
    <row r="133" spans="1:29">
      <c r="A133" s="132" t="s">
        <v>1834</v>
      </c>
      <c r="B133" s="131"/>
      <c r="C133" s="250">
        <f>C12</f>
        <v>106.83199999999999</v>
      </c>
      <c r="D133" s="250">
        <f>D12</f>
        <v>109.449</v>
      </c>
      <c r="E133" s="250">
        <f>E12</f>
        <v>115.297</v>
      </c>
      <c r="F133" s="250">
        <f>F12</f>
        <v>128.07599999999999</v>
      </c>
      <c r="G133" s="250">
        <f>G12</f>
        <v>135.83199999999999</v>
      </c>
      <c r="H133" s="250">
        <f t="shared" si="131"/>
        <v>139.41900000000001</v>
      </c>
      <c r="I133" s="250">
        <f t="shared" si="131"/>
        <v>147.87</v>
      </c>
      <c r="J133" s="250">
        <f t="shared" si="131"/>
        <v>145.934</v>
      </c>
      <c r="K133" s="250">
        <f>K12</f>
        <v>163.649</v>
      </c>
      <c r="L133" s="250">
        <f t="shared" si="131"/>
        <v>180.62899999999999</v>
      </c>
      <c r="M133" s="250">
        <f t="shared" si="131"/>
        <v>194.15799999999999</v>
      </c>
      <c r="N133" s="250">
        <f t="shared" si="131"/>
        <v>202.5</v>
      </c>
      <c r="O133" s="250">
        <f t="shared" si="131"/>
        <v>208.5</v>
      </c>
      <c r="P133" s="250">
        <f t="shared" si="131"/>
        <v>206.9</v>
      </c>
      <c r="Q133" s="250">
        <f>Q12</f>
        <v>210.46173284360725</v>
      </c>
      <c r="R133" s="250">
        <f>R12</f>
        <v>217.29269674565469</v>
      </c>
      <c r="S133" s="250">
        <f>S12</f>
        <v>228.86761198250457</v>
      </c>
      <c r="T133" s="612">
        <f>T12</f>
        <v>202.88609111139425</v>
      </c>
      <c r="U133" s="612"/>
      <c r="V133" s="131"/>
      <c r="W133" s="131"/>
      <c r="X133" s="131"/>
      <c r="Y133" s="131"/>
      <c r="Z133" s="131"/>
      <c r="AA133" s="131"/>
      <c r="AB133" s="131"/>
      <c r="AC133" s="131"/>
    </row>
    <row r="134" spans="1:29">
      <c r="A134" s="1695" t="s">
        <v>487</v>
      </c>
      <c r="B134" s="131"/>
      <c r="C134" s="1682">
        <f>C131-C132</f>
        <v>294.52900000000011</v>
      </c>
      <c r="D134" s="1682">
        <f t="shared" ref="D134:P134" si="133">D131-D132</f>
        <v>382.70500000000038</v>
      </c>
      <c r="E134" s="1682">
        <f t="shared" si="133"/>
        <v>462.06599999999946</v>
      </c>
      <c r="F134" s="1682">
        <f t="shared" si="133"/>
        <v>544.99999999999977</v>
      </c>
      <c r="G134" s="1682">
        <f t="shared" si="133"/>
        <v>492.49799999999982</v>
      </c>
      <c r="H134" s="1682">
        <f t="shared" si="133"/>
        <v>440.07600000000048</v>
      </c>
      <c r="I134" s="1682">
        <f t="shared" si="133"/>
        <v>612.41599999999971</v>
      </c>
      <c r="J134" s="1682">
        <f t="shared" si="133"/>
        <v>751.14400000000023</v>
      </c>
      <c r="K134" s="1682">
        <f>K131-K132</f>
        <v>697.21699999999964</v>
      </c>
      <c r="L134" s="1682">
        <f t="shared" si="133"/>
        <v>793.94000000000051</v>
      </c>
      <c r="M134" s="1682">
        <f t="shared" si="133"/>
        <v>891.42899999999918</v>
      </c>
      <c r="N134" s="1682">
        <f t="shared" si="133"/>
        <v>806.80000000000132</v>
      </c>
      <c r="O134" s="1682">
        <f t="shared" si="133"/>
        <v>759.19999999999959</v>
      </c>
      <c r="P134" s="1682">
        <f t="shared" si="133"/>
        <v>794.40000000000009</v>
      </c>
      <c r="Q134" s="1682">
        <f>Q131-Q132</f>
        <v>792.1607735914738</v>
      </c>
      <c r="R134" s="1682">
        <f>R131-R132</f>
        <v>846.05454264797481</v>
      </c>
      <c r="S134" s="1682">
        <f>S131-S132</f>
        <v>905.73140061161394</v>
      </c>
      <c r="T134" s="1704">
        <f>T131-T132</f>
        <v>936.81689835470343</v>
      </c>
      <c r="U134" s="1704"/>
      <c r="V134" s="131"/>
      <c r="W134" s="131"/>
      <c r="X134" s="131"/>
      <c r="Y134" s="131"/>
      <c r="Z134" s="131"/>
      <c r="AA134" s="131"/>
      <c r="AB134" s="131"/>
      <c r="AC134" s="131"/>
    </row>
    <row r="135" spans="1:29">
      <c r="A135" s="132"/>
      <c r="B135" s="131"/>
      <c r="C135" s="250"/>
      <c r="D135" s="250"/>
      <c r="E135" s="250"/>
      <c r="F135" s="250"/>
      <c r="G135" s="250"/>
      <c r="H135" s="250"/>
      <c r="I135" s="250"/>
      <c r="J135" s="250"/>
      <c r="K135" s="250"/>
      <c r="L135" s="250"/>
      <c r="M135" s="250"/>
      <c r="T135" s="621"/>
      <c r="U135" s="621"/>
      <c r="V135" s="131"/>
      <c r="W135" s="131"/>
      <c r="X135" s="131"/>
      <c r="Y135" s="131"/>
      <c r="Z135" s="131"/>
      <c r="AA135" s="131"/>
      <c r="AB135" s="131"/>
      <c r="AC135" s="131"/>
    </row>
    <row r="136" spans="1:29">
      <c r="A136" s="132" t="s">
        <v>1835</v>
      </c>
      <c r="B136" s="131"/>
      <c r="C136" s="250">
        <f>C15</f>
        <v>15.978</v>
      </c>
      <c r="D136" s="250">
        <f>D15</f>
        <v>14.731</v>
      </c>
      <c r="E136" s="250">
        <f>E15</f>
        <v>10.488</v>
      </c>
      <c r="F136" s="250">
        <f>F15</f>
        <v>8.1310000000000002</v>
      </c>
      <c r="G136" s="250">
        <f>G15</f>
        <v>28.9</v>
      </c>
      <c r="H136" s="250">
        <f t="shared" ref="H136:P136" si="134">H15</f>
        <v>50.517999999999994</v>
      </c>
      <c r="I136" s="250">
        <f t="shared" si="134"/>
        <v>47.347000000000001</v>
      </c>
      <c r="J136" s="250">
        <f t="shared" si="134"/>
        <v>43.475000000000001</v>
      </c>
      <c r="K136" s="250">
        <f>K15</f>
        <v>53.641000000000005</v>
      </c>
      <c r="L136" s="250">
        <f t="shared" si="134"/>
        <v>56.952000000000005</v>
      </c>
      <c r="M136" s="250">
        <f t="shared" si="134"/>
        <v>60.113</v>
      </c>
      <c r="N136" s="250">
        <f t="shared" si="134"/>
        <v>50.199999999999996</v>
      </c>
      <c r="O136" s="250">
        <f t="shared" si="134"/>
        <v>44.599999999999994</v>
      </c>
      <c r="P136" s="250">
        <f t="shared" si="134"/>
        <v>34</v>
      </c>
      <c r="Q136" s="250">
        <f>Q15</f>
        <v>32.9</v>
      </c>
      <c r="R136" s="250">
        <f>R15</f>
        <v>32.9</v>
      </c>
      <c r="S136" s="250">
        <f>S15</f>
        <v>32.9</v>
      </c>
      <c r="T136" s="612">
        <f>T15</f>
        <v>32.9</v>
      </c>
      <c r="U136" s="612"/>
      <c r="V136" s="131"/>
      <c r="W136" s="131"/>
      <c r="X136" s="131"/>
      <c r="Y136" s="131"/>
      <c r="Z136" s="131"/>
      <c r="AA136" s="131"/>
      <c r="AB136" s="131"/>
      <c r="AC136" s="131"/>
    </row>
    <row r="137" spans="1:29">
      <c r="A137" s="1695" t="s">
        <v>1381</v>
      </c>
      <c r="B137" s="131"/>
      <c r="C137" s="1682">
        <f>C134-C136</f>
        <v>278.5510000000001</v>
      </c>
      <c r="D137" s="1682">
        <f>D134-D136</f>
        <v>367.97400000000039</v>
      </c>
      <c r="E137" s="1682">
        <f>E134-E136</f>
        <v>451.57799999999946</v>
      </c>
      <c r="F137" s="1682">
        <f>F134-F136</f>
        <v>536.8689999999998</v>
      </c>
      <c r="G137" s="1682">
        <f>G134-G136</f>
        <v>463.59799999999984</v>
      </c>
      <c r="H137" s="1682">
        <f t="shared" ref="H137:Q137" si="135">H134-H136</f>
        <v>389.5580000000005</v>
      </c>
      <c r="I137" s="1682">
        <f t="shared" si="135"/>
        <v>565.06899999999973</v>
      </c>
      <c r="J137" s="1682">
        <f t="shared" si="135"/>
        <v>707.66900000000021</v>
      </c>
      <c r="K137" s="1682">
        <f t="shared" si="135"/>
        <v>643.57599999999968</v>
      </c>
      <c r="L137" s="1682">
        <f t="shared" si="135"/>
        <v>736.98800000000051</v>
      </c>
      <c r="M137" s="1682">
        <f t="shared" si="135"/>
        <v>831.31599999999912</v>
      </c>
      <c r="N137" s="1682">
        <f t="shared" si="135"/>
        <v>756.60000000000127</v>
      </c>
      <c r="O137" s="1682">
        <f t="shared" si="135"/>
        <v>714.59999999999957</v>
      </c>
      <c r="P137" s="1682">
        <f t="shared" si="135"/>
        <v>760.40000000000009</v>
      </c>
      <c r="Q137" s="1682">
        <f t="shared" si="135"/>
        <v>759.26077359147382</v>
      </c>
      <c r="R137" s="1682">
        <f>R134-R136</f>
        <v>813.15454264797484</v>
      </c>
      <c r="S137" s="1682">
        <f>S134-S136</f>
        <v>872.83140061161396</v>
      </c>
      <c r="T137" s="1704">
        <f>T134-T136</f>
        <v>903.91689835470345</v>
      </c>
      <c r="U137" s="1704"/>
      <c r="V137" s="131"/>
      <c r="W137" s="131"/>
      <c r="X137" s="131"/>
      <c r="Y137" s="131"/>
      <c r="Z137" s="131"/>
      <c r="AA137" s="131"/>
      <c r="AB137" s="131"/>
      <c r="AC137" s="131"/>
    </row>
    <row r="138" spans="1:29">
      <c r="A138" s="132"/>
      <c r="B138" s="131"/>
      <c r="C138" s="250"/>
      <c r="D138" s="250"/>
      <c r="E138" s="250"/>
      <c r="F138" s="250"/>
      <c r="G138" s="250"/>
      <c r="H138" s="250"/>
      <c r="I138" s="250"/>
      <c r="J138" s="250"/>
      <c r="K138" s="250"/>
      <c r="L138" s="250"/>
      <c r="M138" s="250"/>
      <c r="T138" s="621"/>
      <c r="U138" s="621"/>
      <c r="V138" s="131"/>
      <c r="W138" s="131"/>
      <c r="X138" s="131"/>
      <c r="Y138" s="131"/>
      <c r="Z138" s="131"/>
      <c r="AA138" s="131"/>
      <c r="AB138" s="131"/>
      <c r="AC138" s="131"/>
    </row>
    <row r="139" spans="1:29">
      <c r="A139" s="132" t="s">
        <v>474</v>
      </c>
      <c r="B139" s="131"/>
      <c r="C139" s="250">
        <f t="shared" ref="C139:J139" si="136">C18</f>
        <v>167.84899999999999</v>
      </c>
      <c r="D139" s="250">
        <f t="shared" si="136"/>
        <v>113.319</v>
      </c>
      <c r="E139" s="250">
        <f t="shared" si="136"/>
        <v>163.91499999999999</v>
      </c>
      <c r="F139" s="250">
        <f t="shared" si="136"/>
        <v>195.779</v>
      </c>
      <c r="G139" s="250">
        <f>G18</f>
        <v>162.11892</v>
      </c>
      <c r="H139" s="250">
        <f t="shared" si="136"/>
        <v>134.31200000000001</v>
      </c>
      <c r="I139" s="250">
        <f t="shared" si="136"/>
        <v>188.72899999999998</v>
      </c>
      <c r="J139" s="250">
        <f t="shared" si="136"/>
        <v>242.48500000000001</v>
      </c>
      <c r="K139" s="250">
        <f>K18</f>
        <v>227.41900000000001</v>
      </c>
      <c r="L139" s="250">
        <f t="shared" ref="L139:Q139" si="137">L137*L162</f>
        <v>255.96600000000009</v>
      </c>
      <c r="M139" s="250">
        <f t="shared" si="137"/>
        <v>253.358</v>
      </c>
      <c r="N139" s="250">
        <f t="shared" si="137"/>
        <v>262.15699999999998</v>
      </c>
      <c r="O139" s="250">
        <f t="shared" si="137"/>
        <v>244.5</v>
      </c>
      <c r="P139" s="250">
        <f t="shared" si="137"/>
        <v>244.2</v>
      </c>
      <c r="Q139" s="250">
        <f t="shared" si="137"/>
        <v>212.59301660561275</v>
      </c>
      <c r="R139" s="250">
        <f>R137*R162</f>
        <v>203.28863566199371</v>
      </c>
      <c r="S139" s="250">
        <f>S137*S162</f>
        <v>218.20785015290349</v>
      </c>
      <c r="T139" s="612">
        <f>T137*T162</f>
        <v>225.97922458867586</v>
      </c>
      <c r="U139" s="612"/>
      <c r="V139" s="131"/>
      <c r="W139" s="131"/>
      <c r="X139" s="131"/>
      <c r="Y139" s="131"/>
      <c r="Z139" s="131"/>
      <c r="AA139" s="131"/>
      <c r="AB139" s="131"/>
      <c r="AC139" s="131"/>
    </row>
    <row r="140" spans="1:29">
      <c r="A140" s="132"/>
      <c r="B140" s="131"/>
      <c r="C140" s="250"/>
      <c r="D140" s="250"/>
      <c r="E140" s="250"/>
      <c r="F140" s="250"/>
      <c r="G140" s="250"/>
      <c r="H140" s="250"/>
      <c r="I140" s="250"/>
      <c r="J140" s="250"/>
      <c r="K140" s="250"/>
      <c r="L140" s="250"/>
      <c r="M140" s="250"/>
      <c r="T140" s="621"/>
      <c r="U140" s="621"/>
      <c r="V140" s="131"/>
      <c r="W140" s="131"/>
      <c r="X140" s="131"/>
      <c r="Y140" s="131"/>
      <c r="Z140" s="131"/>
      <c r="AA140" s="131"/>
      <c r="AB140" s="131"/>
      <c r="AC140" s="131"/>
    </row>
    <row r="141" spans="1:29">
      <c r="A141" s="132"/>
      <c r="B141" s="131"/>
      <c r="C141" s="250"/>
      <c r="D141" s="250"/>
      <c r="E141" s="250"/>
      <c r="F141" s="250"/>
      <c r="G141" s="250"/>
      <c r="H141" s="250"/>
      <c r="I141" s="250"/>
      <c r="J141" s="250"/>
      <c r="K141" s="250"/>
      <c r="L141" s="250"/>
      <c r="M141" s="250"/>
      <c r="T141" s="621"/>
      <c r="U141" s="621"/>
      <c r="V141" s="131"/>
      <c r="W141" s="131"/>
      <c r="X141" s="131"/>
      <c r="Y141" s="131"/>
      <c r="Z141" s="131"/>
      <c r="AA141" s="131"/>
      <c r="AB141" s="131"/>
      <c r="AC141" s="131"/>
    </row>
    <row r="142" spans="1:29">
      <c r="A142" s="132" t="s">
        <v>1836</v>
      </c>
      <c r="B142" s="131"/>
      <c r="C142" s="1682">
        <f t="shared" ref="C142:P142" si="138">C137-C139</f>
        <v>110.70200000000011</v>
      </c>
      <c r="D142" s="1682">
        <f t="shared" si="138"/>
        <v>254.65500000000037</v>
      </c>
      <c r="E142" s="1682">
        <f t="shared" si="138"/>
        <v>287.66299999999944</v>
      </c>
      <c r="F142" s="1682">
        <f t="shared" si="138"/>
        <v>341.0899999999998</v>
      </c>
      <c r="G142" s="1682">
        <f t="shared" si="138"/>
        <v>301.47907999999984</v>
      </c>
      <c r="H142" s="1682">
        <f t="shared" si="138"/>
        <v>255.24600000000049</v>
      </c>
      <c r="I142" s="1682">
        <f t="shared" si="138"/>
        <v>376.33999999999975</v>
      </c>
      <c r="J142" s="1682">
        <f t="shared" si="138"/>
        <v>465.1840000000002</v>
      </c>
      <c r="K142" s="1682">
        <f>K137-K139</f>
        <v>416.1569999999997</v>
      </c>
      <c r="L142" s="1682">
        <f t="shared" si="138"/>
        <v>481.02200000000039</v>
      </c>
      <c r="M142" s="1682">
        <f t="shared" si="138"/>
        <v>577.95799999999917</v>
      </c>
      <c r="N142" s="1682">
        <f t="shared" si="138"/>
        <v>494.44300000000129</v>
      </c>
      <c r="O142" s="1682">
        <f t="shared" si="138"/>
        <v>470.09999999999957</v>
      </c>
      <c r="P142" s="1682">
        <f t="shared" si="138"/>
        <v>516.20000000000005</v>
      </c>
      <c r="Q142" s="1682">
        <f>Q137-Q139</f>
        <v>546.66775698586105</v>
      </c>
      <c r="R142" s="1682">
        <f>R137-R139</f>
        <v>609.86590698598116</v>
      </c>
      <c r="S142" s="1682">
        <f>S137-S139</f>
        <v>654.6235504587105</v>
      </c>
      <c r="T142" s="1704">
        <f>T137-T139</f>
        <v>677.93767376602761</v>
      </c>
      <c r="U142" s="1704"/>
      <c r="V142" s="131"/>
      <c r="W142" s="131"/>
      <c r="X142" s="131"/>
      <c r="Y142" s="131"/>
      <c r="Z142" s="131"/>
      <c r="AA142" s="131"/>
      <c r="AB142" s="131"/>
      <c r="AC142" s="131"/>
    </row>
    <row r="143" spans="1:29">
      <c r="A143" s="132"/>
      <c r="B143" s="131"/>
      <c r="T143" s="621"/>
      <c r="U143" s="621"/>
      <c r="V143" s="131"/>
      <c r="W143" s="131"/>
      <c r="X143" s="131"/>
      <c r="Y143" s="131"/>
      <c r="Z143" s="131"/>
      <c r="AA143" s="131"/>
      <c r="AB143" s="131"/>
      <c r="AC143" s="131"/>
    </row>
    <row r="144" spans="1:29">
      <c r="A144" s="1696" t="s">
        <v>1837</v>
      </c>
      <c r="B144" s="131"/>
      <c r="C144" s="1677">
        <f t="shared" ref="C144:P144" si="139">C142/C145</f>
        <v>0.74751676311507043</v>
      </c>
      <c r="D144" s="1677">
        <f t="shared" si="139"/>
        <v>1.7492684334171398</v>
      </c>
      <c r="E144" s="1677">
        <f t="shared" si="139"/>
        <v>2.0424663272768542</v>
      </c>
      <c r="F144" s="1677">
        <f t="shared" si="139"/>
        <v>2.4691617199942075</v>
      </c>
      <c r="G144" s="1677">
        <f t="shared" si="139"/>
        <v>2.3849306225773264</v>
      </c>
      <c r="H144" s="1677">
        <f t="shared" si="139"/>
        <v>2.0357305216815718</v>
      </c>
      <c r="I144" s="1677">
        <f t="shared" si="139"/>
        <v>2.9308599286637675</v>
      </c>
      <c r="J144" s="1677">
        <f t="shared" si="139"/>
        <v>3.603765801394843</v>
      </c>
      <c r="K144" s="1677">
        <f>K142/K145</f>
        <v>3.25296105149816</v>
      </c>
      <c r="L144" s="1677">
        <f t="shared" si="139"/>
        <v>3.7326939156379955</v>
      </c>
      <c r="M144" s="1677">
        <f t="shared" si="139"/>
        <v>4.4492532717474917</v>
      </c>
      <c r="N144" s="1677">
        <f t="shared" si="139"/>
        <v>3.8299225406661606</v>
      </c>
      <c r="O144" s="1677">
        <f t="shared" si="139"/>
        <v>3.7458167330677257</v>
      </c>
      <c r="P144" s="1677">
        <f t="shared" si="139"/>
        <v>4.1262989608313356</v>
      </c>
      <c r="Q144" s="1677">
        <f>Q142/Q145</f>
        <v>4.3988554173072707</v>
      </c>
      <c r="R144" s="1677">
        <f>R142/R145</f>
        <v>4.9471985965198222</v>
      </c>
      <c r="S144" s="1677">
        <f>S142/S145</f>
        <v>5.3457501197422577</v>
      </c>
      <c r="T144" s="2383">
        <f>T142/T145</f>
        <v>5.5733744970582038</v>
      </c>
      <c r="U144" s="2388"/>
      <c r="V144" s="131"/>
      <c r="W144" s="131"/>
      <c r="X144" s="131"/>
      <c r="Y144" s="131"/>
      <c r="Z144" s="131"/>
      <c r="AA144" s="131"/>
      <c r="AB144" s="131"/>
      <c r="AC144" s="131"/>
    </row>
    <row r="145" spans="1:29">
      <c r="A145" s="132" t="s">
        <v>1838</v>
      </c>
      <c r="B145" s="131"/>
      <c r="C145" s="250">
        <f t="shared" ref="C145:J145" si="140">C24</f>
        <v>148.09299999999999</v>
      </c>
      <c r="D145" s="250">
        <f t="shared" si="140"/>
        <v>145.578</v>
      </c>
      <c r="E145" s="250">
        <f t="shared" si="140"/>
        <v>140.84100000000001</v>
      </c>
      <c r="F145" s="250">
        <f t="shared" si="140"/>
        <v>138.13999999999999</v>
      </c>
      <c r="G145" s="250">
        <f>G24</f>
        <v>126.41</v>
      </c>
      <c r="H145" s="250">
        <f t="shared" si="140"/>
        <v>125.383</v>
      </c>
      <c r="I145" s="250">
        <f t="shared" si="140"/>
        <v>128.40600000000001</v>
      </c>
      <c r="J145" s="250">
        <f t="shared" si="140"/>
        <v>129.08275</v>
      </c>
      <c r="K145" s="250">
        <f>K24</f>
        <v>127.93174999999999</v>
      </c>
      <c r="L145" s="612">
        <f t="shared" ref="L145:Q145" si="141">INDEX(L146:L148,MATCH($AA$150,$AC$150:$AC$152,0))</f>
        <v>128.86724999999998</v>
      </c>
      <c r="M145" s="612">
        <f t="shared" si="141"/>
        <v>129.9</v>
      </c>
      <c r="N145" s="612">
        <f t="shared" si="141"/>
        <v>129.1</v>
      </c>
      <c r="O145" s="612">
        <f t="shared" si="141"/>
        <v>125.5</v>
      </c>
      <c r="P145" s="612">
        <f t="shared" si="141"/>
        <v>125.1</v>
      </c>
      <c r="Q145" s="612">
        <f t="shared" si="141"/>
        <v>124.27500000000001</v>
      </c>
      <c r="R145" s="612">
        <f>INDEX(R146:R148,MATCH($AA$150,$AC$150:$AC$152,0))</f>
        <v>123.27500000000001</v>
      </c>
      <c r="S145" s="612">
        <f>INDEX(S146:S148,MATCH($AA$150,$AC$150:$AC$152,0))</f>
        <v>122.45681818181819</v>
      </c>
      <c r="T145" s="612">
        <f>INDEX(T146:T148,MATCH($AA$150,$AC$150:$AC$152,0))</f>
        <v>121.63863636363638</v>
      </c>
      <c r="U145" s="612"/>
      <c r="V145" s="131"/>
      <c r="W145" s="131"/>
      <c r="X145" s="131"/>
      <c r="Y145" s="131"/>
      <c r="Z145" s="131"/>
      <c r="AA145" s="131"/>
      <c r="AB145" s="131"/>
      <c r="AC145" s="131"/>
    </row>
    <row r="146" spans="1:29" hidden="1" outlineLevel="1">
      <c r="A146" s="1695" t="s">
        <v>882</v>
      </c>
      <c r="B146" s="131"/>
      <c r="C146" s="250"/>
      <c r="D146" s="250"/>
      <c r="E146" s="250"/>
      <c r="F146" s="250"/>
      <c r="G146" s="250"/>
      <c r="H146" s="250"/>
      <c r="I146" s="250"/>
      <c r="J146" s="250"/>
      <c r="K146" s="250"/>
      <c r="L146" s="612">
        <f t="shared" ref="L146:Q146" si="142">L63</f>
        <v>128.86724999999998</v>
      </c>
      <c r="M146" s="612">
        <f t="shared" si="142"/>
        <v>129.9</v>
      </c>
      <c r="N146" s="612">
        <f t="shared" si="142"/>
        <v>129.1</v>
      </c>
      <c r="O146" s="612">
        <f t="shared" si="142"/>
        <v>125.5</v>
      </c>
      <c r="P146" s="612">
        <f t="shared" si="142"/>
        <v>125.1</v>
      </c>
      <c r="Q146" s="612">
        <f t="shared" si="142"/>
        <v>124.27500000000001</v>
      </c>
      <c r="R146" s="612">
        <f>R63</f>
        <v>123.27500000000001</v>
      </c>
      <c r="S146" s="612">
        <f>S63</f>
        <v>122.45681818181819</v>
      </c>
      <c r="T146" s="612">
        <f>T63</f>
        <v>121.63863636363638</v>
      </c>
      <c r="U146" s="612"/>
      <c r="V146" s="131"/>
      <c r="W146" s="131"/>
      <c r="X146" s="131"/>
      <c r="Y146" s="131"/>
      <c r="Z146" s="131"/>
      <c r="AA146" s="131"/>
      <c r="AB146" s="131"/>
      <c r="AC146" s="131"/>
    </row>
    <row r="147" spans="1:29" hidden="1" outlineLevel="1">
      <c r="A147" s="1695" t="s">
        <v>883</v>
      </c>
      <c r="B147" s="131"/>
      <c r="C147" s="250"/>
      <c r="D147" s="250"/>
      <c r="E147" s="250"/>
      <c r="F147" s="250"/>
      <c r="G147" s="250"/>
      <c r="H147" s="250"/>
      <c r="I147" s="250"/>
      <c r="J147" s="250"/>
      <c r="K147" s="250"/>
      <c r="L147" s="612">
        <f t="shared" ref="L147:Q147" si="143">L24</f>
        <v>128.86724999999998</v>
      </c>
      <c r="M147" s="612">
        <f t="shared" si="143"/>
        <v>129.9</v>
      </c>
      <c r="N147" s="612">
        <f t="shared" si="143"/>
        <v>129.1</v>
      </c>
      <c r="O147" s="612">
        <f t="shared" si="143"/>
        <v>125.5</v>
      </c>
      <c r="P147" s="612">
        <f t="shared" si="143"/>
        <v>125.1</v>
      </c>
      <c r="Q147" s="612">
        <f t="shared" si="143"/>
        <v>124.27500000000001</v>
      </c>
      <c r="R147" s="612">
        <f>R24</f>
        <v>123.27500000000001</v>
      </c>
      <c r="S147" s="612">
        <f>S24</f>
        <v>122.45681818181819</v>
      </c>
      <c r="T147" s="612">
        <f>T24</f>
        <v>121.63863636363638</v>
      </c>
      <c r="U147" s="612"/>
      <c r="V147" s="131"/>
      <c r="W147" s="131"/>
      <c r="X147" s="131"/>
      <c r="Y147" s="131"/>
      <c r="Z147" s="131"/>
      <c r="AA147" s="131"/>
      <c r="AB147" s="131"/>
      <c r="AC147" s="131"/>
    </row>
    <row r="148" spans="1:29" hidden="1" outlineLevel="1">
      <c r="A148" s="1695" t="s">
        <v>881</v>
      </c>
      <c r="B148" s="131"/>
      <c r="C148" s="250"/>
      <c r="D148" s="250"/>
      <c r="E148" s="250"/>
      <c r="F148" s="250"/>
      <c r="G148" s="250"/>
      <c r="H148" s="250"/>
      <c r="I148" s="250"/>
      <c r="J148" s="250"/>
      <c r="K148" s="250"/>
      <c r="L148" s="612">
        <f t="shared" ref="L148:Q148" si="144">L104</f>
        <v>128.86724999999998</v>
      </c>
      <c r="M148" s="612">
        <f t="shared" si="144"/>
        <v>129.9</v>
      </c>
      <c r="N148" s="612">
        <f t="shared" si="144"/>
        <v>129.1</v>
      </c>
      <c r="O148" s="612">
        <f t="shared" si="144"/>
        <v>125.5</v>
      </c>
      <c r="P148" s="612">
        <f t="shared" si="144"/>
        <v>125.1</v>
      </c>
      <c r="Q148" s="612">
        <f t="shared" si="144"/>
        <v>124.27500000000001</v>
      </c>
      <c r="R148" s="612">
        <f>R104</f>
        <v>123.27500000000001</v>
      </c>
      <c r="S148" s="612">
        <f>S104</f>
        <v>122.45681818181819</v>
      </c>
      <c r="T148" s="612">
        <f>T104</f>
        <v>121.63863636363638</v>
      </c>
      <c r="U148" s="612"/>
      <c r="V148" s="131"/>
      <c r="W148" s="131"/>
      <c r="X148" s="131"/>
      <c r="Y148" s="131"/>
      <c r="Z148" s="131"/>
      <c r="AA148" s="131"/>
      <c r="AB148" s="131"/>
      <c r="AC148" s="131"/>
    </row>
    <row r="149" spans="1:29" ht="13.5" collapsed="1" thickBot="1">
      <c r="A149" s="132"/>
      <c r="B149" s="131"/>
      <c r="L149" s="621"/>
      <c r="M149" s="621"/>
      <c r="N149" s="621"/>
      <c r="O149" s="621"/>
      <c r="P149" s="621"/>
      <c r="Q149" s="621"/>
      <c r="R149" s="621"/>
      <c r="S149" s="621"/>
      <c r="T149" s="621"/>
      <c r="U149" s="621"/>
      <c r="V149" s="131"/>
      <c r="W149" s="131"/>
      <c r="X149" s="131"/>
      <c r="Y149" s="131"/>
      <c r="Z149" s="131"/>
      <c r="AA149" s="131"/>
      <c r="AB149" s="131"/>
      <c r="AC149" s="131"/>
    </row>
    <row r="150" spans="1:29" ht="13.5" thickBot="1">
      <c r="A150" s="132" t="s">
        <v>446</v>
      </c>
      <c r="B150" s="131"/>
      <c r="C150" s="1682">
        <f>C133+C134</f>
        <v>401.3610000000001</v>
      </c>
      <c r="D150" s="1682">
        <f>D133+D134</f>
        <v>492.15400000000039</v>
      </c>
      <c r="E150" s="1682">
        <f>E133+E134</f>
        <v>577.36299999999949</v>
      </c>
      <c r="F150" s="1682">
        <f>F133+F134</f>
        <v>673.07599999999979</v>
      </c>
      <c r="G150" s="1682">
        <f t="shared" ref="G150:P150" si="145">G133+G134</f>
        <v>628.32999999999981</v>
      </c>
      <c r="H150" s="1682">
        <f>H133+H134</f>
        <v>579.49500000000046</v>
      </c>
      <c r="I150" s="1682">
        <f>I133+I134</f>
        <v>760.28599999999972</v>
      </c>
      <c r="J150" s="1682">
        <f>J133+J134</f>
        <v>897.0780000000002</v>
      </c>
      <c r="K150" s="1682">
        <f>K133+K134</f>
        <v>860.86599999999964</v>
      </c>
      <c r="L150" s="1704">
        <f t="shared" si="145"/>
        <v>974.56900000000053</v>
      </c>
      <c r="M150" s="1704">
        <f t="shared" si="145"/>
        <v>1085.5869999999991</v>
      </c>
      <c r="N150" s="1704">
        <f t="shared" si="145"/>
        <v>1009.3000000000013</v>
      </c>
      <c r="O150" s="1704">
        <f t="shared" si="145"/>
        <v>967.69999999999959</v>
      </c>
      <c r="P150" s="1704">
        <f t="shared" si="145"/>
        <v>1001.3000000000001</v>
      </c>
      <c r="Q150" s="1704">
        <f>Q133+Q134</f>
        <v>1002.622506435081</v>
      </c>
      <c r="R150" s="1704">
        <f>R133+R134</f>
        <v>1063.3472393936295</v>
      </c>
      <c r="S150" s="1704">
        <f>S133+S134</f>
        <v>1134.5990125941184</v>
      </c>
      <c r="T150" s="1704">
        <f>T133+T134</f>
        <v>1139.7029894660977</v>
      </c>
      <c r="U150" s="1704"/>
      <c r="V150" s="131"/>
      <c r="W150" s="131"/>
      <c r="X150" s="131"/>
      <c r="Y150" s="131"/>
      <c r="Z150" s="1699" t="s">
        <v>379</v>
      </c>
      <c r="AA150" s="1700" t="str">
        <f>AC151</f>
        <v>Base</v>
      </c>
      <c r="AB150" s="131"/>
      <c r="AC150" s="1701" t="s">
        <v>882</v>
      </c>
    </row>
    <row r="151" spans="1:29">
      <c r="A151" s="132"/>
      <c r="B151" s="131"/>
      <c r="L151" s="621"/>
      <c r="M151" s="621"/>
      <c r="N151" s="621"/>
      <c r="O151" s="621"/>
      <c r="P151" s="621"/>
      <c r="Q151" s="621"/>
      <c r="R151" s="621"/>
      <c r="S151" s="621"/>
      <c r="T151" s="621"/>
      <c r="U151" s="621"/>
      <c r="V151" s="131"/>
      <c r="W151" s="131"/>
      <c r="X151" s="131"/>
      <c r="Y151" s="131"/>
      <c r="Z151" s="131"/>
      <c r="AA151" s="131"/>
      <c r="AB151" s="131"/>
      <c r="AC151" s="1701" t="s">
        <v>883</v>
      </c>
    </row>
    <row r="152" spans="1:29">
      <c r="A152" s="136" t="s">
        <v>479</v>
      </c>
      <c r="B152" s="131"/>
      <c r="L152" s="621"/>
      <c r="M152" s="621"/>
      <c r="N152" s="621"/>
      <c r="O152" s="621"/>
      <c r="P152" s="621"/>
      <c r="Q152" s="621"/>
      <c r="R152" s="621"/>
      <c r="S152" s="621"/>
      <c r="T152" s="621"/>
      <c r="U152" s="621"/>
      <c r="V152" s="131"/>
      <c r="W152" s="131"/>
      <c r="X152" s="131"/>
      <c r="Y152" s="131"/>
      <c r="Z152" s="131"/>
      <c r="AA152" s="131"/>
      <c r="AB152" s="131"/>
      <c r="AC152" s="1702" t="s">
        <v>881</v>
      </c>
    </row>
    <row r="153" spans="1:29">
      <c r="A153" s="132" t="s">
        <v>884</v>
      </c>
      <c r="B153" s="131"/>
      <c r="C153" s="215">
        <f>C131/C127</f>
        <v>0.55812577018374654</v>
      </c>
      <c r="D153" s="215">
        <f t="shared" ref="D153:J153" si="146">D131/D127</f>
        <v>0.56044018899836467</v>
      </c>
      <c r="E153" s="215">
        <f t="shared" si="146"/>
        <v>0.57515540466131965</v>
      </c>
      <c r="F153" s="215">
        <f t="shared" si="146"/>
        <v>0.57046874356661337</v>
      </c>
      <c r="G153" s="215">
        <f t="shared" si="146"/>
        <v>0.57793032227990215</v>
      </c>
      <c r="H153" s="215">
        <f t="shared" si="146"/>
        <v>0.56472231550744911</v>
      </c>
      <c r="I153" s="215">
        <f t="shared" si="146"/>
        <v>0.59096162759416448</v>
      </c>
      <c r="J153" s="215">
        <f t="shared" si="146"/>
        <v>0.59055838736711619</v>
      </c>
      <c r="K153" s="215">
        <f>K131/K127</f>
        <v>0.57014813735208203</v>
      </c>
      <c r="L153" s="387">
        <f t="shared" ref="L153:Q153" si="147">INDEX(L154:L156,MATCH($AA$150,$AC$150:$AC$152,0))</f>
        <v>0.58059229049919014</v>
      </c>
      <c r="M153" s="387">
        <f t="shared" si="147"/>
        <v>0.59699457377127474</v>
      </c>
      <c r="N153" s="387">
        <f t="shared" si="147"/>
        <v>0.60693838770190289</v>
      </c>
      <c r="O153" s="387">
        <f t="shared" si="147"/>
        <v>0.62231995601979107</v>
      </c>
      <c r="P153" s="387">
        <f t="shared" si="147"/>
        <v>0.62468223895630492</v>
      </c>
      <c r="Q153" s="387">
        <f t="shared" si="147"/>
        <v>0.6267432595497</v>
      </c>
      <c r="R153" s="387">
        <f>INDEX(R154:R156,MATCH($AA$150,$AC$150:$AC$152,0))</f>
        <v>0.62800000000000011</v>
      </c>
      <c r="S153" s="387">
        <f>INDEX(S154:S156,MATCH($AA$150,$AC$150:$AC$152,0))</f>
        <v>0.62880000000000003</v>
      </c>
      <c r="T153" s="387">
        <f>INDEX(T154:T156,MATCH($AA$150,$AC$150:$AC$152,0))</f>
        <v>0.629</v>
      </c>
      <c r="U153" s="387"/>
      <c r="V153" s="131"/>
      <c r="W153" s="131"/>
      <c r="X153" s="131"/>
      <c r="Y153" s="131"/>
      <c r="Z153" s="131"/>
      <c r="AA153" s="131"/>
      <c r="AB153" s="131"/>
      <c r="AC153" s="131"/>
    </row>
    <row r="154" spans="1:29" hidden="1" outlineLevel="1">
      <c r="A154" s="1695" t="s">
        <v>882</v>
      </c>
      <c r="B154" s="131"/>
      <c r="C154" s="215"/>
      <c r="D154" s="215"/>
      <c r="E154" s="215"/>
      <c r="F154" s="215"/>
      <c r="G154" s="215"/>
      <c r="H154" s="215"/>
      <c r="I154" s="215"/>
      <c r="J154" s="215"/>
      <c r="K154" s="215"/>
      <c r="L154" s="387">
        <f t="shared" ref="L154:Q154" si="148">L68</f>
        <v>0.58059229049919014</v>
      </c>
      <c r="M154" s="387">
        <f t="shared" si="148"/>
        <v>0.59699457377127474</v>
      </c>
      <c r="N154" s="387">
        <f t="shared" si="148"/>
        <v>0.60693838770190289</v>
      </c>
      <c r="O154" s="387">
        <f t="shared" si="148"/>
        <v>0.62231995601979107</v>
      </c>
      <c r="P154" s="387">
        <f t="shared" si="148"/>
        <v>0.62468223895630492</v>
      </c>
      <c r="Q154" s="387">
        <f t="shared" si="148"/>
        <v>0.63074325954970001</v>
      </c>
      <c r="R154" s="387">
        <f>R68</f>
        <v>0.63300000000000012</v>
      </c>
      <c r="S154" s="387">
        <f>S68</f>
        <v>0.63380000000000003</v>
      </c>
      <c r="T154" s="387">
        <f>T68</f>
        <v>0.63400000000000001</v>
      </c>
      <c r="U154" s="387"/>
      <c r="V154" s="131"/>
      <c r="W154" s="131"/>
      <c r="X154" s="131"/>
      <c r="Y154" s="131"/>
      <c r="Z154" s="131"/>
      <c r="AA154" s="131"/>
      <c r="AB154" s="131"/>
      <c r="AC154" s="131"/>
    </row>
    <row r="155" spans="1:29" hidden="1" outlineLevel="1">
      <c r="A155" s="1695" t="s">
        <v>883</v>
      </c>
      <c r="B155" s="131"/>
      <c r="C155" s="215"/>
      <c r="D155" s="215"/>
      <c r="E155" s="215"/>
      <c r="F155" s="215"/>
      <c r="G155" s="215"/>
      <c r="H155" s="215"/>
      <c r="I155" s="215"/>
      <c r="J155" s="215"/>
      <c r="K155" s="215"/>
      <c r="L155" s="387">
        <f t="shared" ref="L155:Q155" si="149">L29</f>
        <v>0.58059229049919014</v>
      </c>
      <c r="M155" s="387">
        <f t="shared" si="149"/>
        <v>0.59699457377127474</v>
      </c>
      <c r="N155" s="387">
        <f t="shared" si="149"/>
        <v>0.60693838770190289</v>
      </c>
      <c r="O155" s="387">
        <f t="shared" si="149"/>
        <v>0.62231995601979107</v>
      </c>
      <c r="P155" s="387">
        <f t="shared" si="149"/>
        <v>0.62468223895630492</v>
      </c>
      <c r="Q155" s="387">
        <f t="shared" si="149"/>
        <v>0.6267432595497</v>
      </c>
      <c r="R155" s="387">
        <f>R29</f>
        <v>0.62800000000000011</v>
      </c>
      <c r="S155" s="387">
        <f>S29</f>
        <v>0.62880000000000003</v>
      </c>
      <c r="T155" s="387">
        <f>T29</f>
        <v>0.629</v>
      </c>
      <c r="U155" s="387"/>
      <c r="V155" s="131"/>
      <c r="W155" s="131"/>
      <c r="X155" s="131"/>
      <c r="Y155" s="131"/>
      <c r="Z155" s="131"/>
      <c r="AA155" s="131"/>
      <c r="AB155" s="131"/>
      <c r="AC155" s="131"/>
    </row>
    <row r="156" spans="1:29" hidden="1" outlineLevel="1">
      <c r="A156" s="1695" t="s">
        <v>881</v>
      </c>
      <c r="B156" s="131"/>
      <c r="C156" s="215"/>
      <c r="D156" s="215"/>
      <c r="E156" s="215"/>
      <c r="F156" s="215"/>
      <c r="G156" s="215"/>
      <c r="H156" s="215"/>
      <c r="I156" s="215"/>
      <c r="J156" s="215"/>
      <c r="K156" s="215"/>
      <c r="L156" s="387">
        <f t="shared" ref="L156:Q156" si="150">L109</f>
        <v>0.58059229049919014</v>
      </c>
      <c r="M156" s="387">
        <f t="shared" si="150"/>
        <v>0.59699457377127474</v>
      </c>
      <c r="N156" s="387">
        <f t="shared" si="150"/>
        <v>0.60693838770190289</v>
      </c>
      <c r="O156" s="387">
        <f t="shared" si="150"/>
        <v>0.62231995601979107</v>
      </c>
      <c r="P156" s="387">
        <f t="shared" si="150"/>
        <v>0.62468223895630492</v>
      </c>
      <c r="Q156" s="387">
        <f t="shared" si="150"/>
        <v>0.6217432595497</v>
      </c>
      <c r="R156" s="387">
        <f>R109</f>
        <v>0.62100000000000011</v>
      </c>
      <c r="S156" s="387">
        <f>S109</f>
        <v>0.62080000000000002</v>
      </c>
      <c r="T156" s="387">
        <f>T109</f>
        <v>0.621</v>
      </c>
      <c r="U156" s="387"/>
      <c r="V156" s="131"/>
      <c r="W156" s="131"/>
      <c r="X156" s="131"/>
      <c r="Y156" s="131"/>
      <c r="Z156" s="131"/>
      <c r="AA156" s="131"/>
      <c r="AB156" s="131"/>
      <c r="AC156" s="131"/>
    </row>
    <row r="157" spans="1:29" collapsed="1">
      <c r="A157" s="132" t="s">
        <v>481</v>
      </c>
      <c r="B157" s="131"/>
      <c r="C157" s="215">
        <f>C132/C127</f>
        <v>0.42454228918225473</v>
      </c>
      <c r="D157" s="215">
        <f t="shared" ref="D157:J157" si="151">D132/D127</f>
        <v>0.40065707702180192</v>
      </c>
      <c r="E157" s="215">
        <f t="shared" si="151"/>
        <v>0.39471260974392508</v>
      </c>
      <c r="F157" s="215">
        <f t="shared" si="151"/>
        <v>0.38501707006092006</v>
      </c>
      <c r="G157" s="215">
        <f t="shared" si="151"/>
        <v>0.40505479562168573</v>
      </c>
      <c r="H157" s="215">
        <f t="shared" si="151"/>
        <v>0.40231646695427209</v>
      </c>
      <c r="I157" s="215">
        <f t="shared" si="151"/>
        <v>0.39246618632284164</v>
      </c>
      <c r="J157" s="215">
        <f t="shared" si="151"/>
        <v>0.38436651525952825</v>
      </c>
      <c r="K157" s="215">
        <f>K132/K127</f>
        <v>0.38639187886720139</v>
      </c>
      <c r="L157" s="387">
        <f t="shared" ref="L157:Q157" si="152">INDEX(L158:L160,MATCH($AA$150,$AC$150:$AC$152,0))</f>
        <v>0.38364007114630388</v>
      </c>
      <c r="M157" s="387">
        <f t="shared" si="152"/>
        <v>0.38724228001843808</v>
      </c>
      <c r="N157" s="387">
        <f t="shared" si="152"/>
        <v>0.41038321923648485</v>
      </c>
      <c r="O157" s="387">
        <f t="shared" si="152"/>
        <v>0.43260532760257886</v>
      </c>
      <c r="P157" s="387">
        <f t="shared" si="152"/>
        <v>0.43416950453259151</v>
      </c>
      <c r="Q157" s="387">
        <f t="shared" si="152"/>
        <v>0.44607517980597799</v>
      </c>
      <c r="R157" s="387">
        <f>INDEX(R158:R160,MATCH($AA$150,$AC$150:$AC$152,0))</f>
        <v>0.44500000000000006</v>
      </c>
      <c r="S157" s="387">
        <f>INDEX(S158:S160,MATCH($AA$150,$AC$150:$AC$152,0))</f>
        <v>0.44280000000000003</v>
      </c>
      <c r="T157" s="387">
        <f>INDEX(T158:T160,MATCH($AA$150,$AC$150:$AC$152,0))</f>
        <v>0.44039999999999996</v>
      </c>
      <c r="U157" s="387"/>
      <c r="V157" s="131"/>
      <c r="W157" s="131"/>
      <c r="X157" s="131"/>
      <c r="Y157" s="131"/>
      <c r="Z157" s="131"/>
      <c r="AA157" s="131"/>
      <c r="AB157" s="131"/>
      <c r="AC157" s="131"/>
    </row>
    <row r="158" spans="1:29" hidden="1" outlineLevel="1">
      <c r="A158" s="1695" t="s">
        <v>882</v>
      </c>
      <c r="B158" s="131"/>
      <c r="C158" s="215"/>
      <c r="D158" s="215"/>
      <c r="E158" s="215"/>
      <c r="F158" s="215"/>
      <c r="G158" s="215"/>
      <c r="H158" s="215"/>
      <c r="I158" s="215"/>
      <c r="J158" s="215"/>
      <c r="K158" s="215"/>
      <c r="L158" s="387">
        <f t="shared" ref="L158:Q158" si="153">L69</f>
        <v>0.38364007114630388</v>
      </c>
      <c r="M158" s="387">
        <f t="shared" si="153"/>
        <v>0.38724228001843808</v>
      </c>
      <c r="N158" s="387">
        <f t="shared" si="153"/>
        <v>0.41038321923648485</v>
      </c>
      <c r="O158" s="387">
        <f t="shared" si="153"/>
        <v>0.43260532760257886</v>
      </c>
      <c r="P158" s="387">
        <f t="shared" si="153"/>
        <v>0.43416950453259151</v>
      </c>
      <c r="Q158" s="387">
        <f t="shared" si="153"/>
        <v>0.44107517980597799</v>
      </c>
      <c r="R158" s="387">
        <f>R69</f>
        <v>0.43900000000000006</v>
      </c>
      <c r="S158" s="387">
        <f>S69</f>
        <v>0.43280000000000002</v>
      </c>
      <c r="T158" s="387">
        <f>T69</f>
        <v>0.43039999999999995</v>
      </c>
      <c r="U158" s="387"/>
      <c r="V158" s="131"/>
      <c r="W158" s="131"/>
      <c r="X158" s="131"/>
      <c r="Y158" s="131"/>
      <c r="Z158" s="131"/>
      <c r="AA158" s="131"/>
      <c r="AB158" s="131"/>
      <c r="AC158" s="131"/>
    </row>
    <row r="159" spans="1:29" hidden="1" outlineLevel="1">
      <c r="A159" s="1695" t="s">
        <v>883</v>
      </c>
      <c r="B159" s="131"/>
      <c r="C159" s="215"/>
      <c r="D159" s="215"/>
      <c r="E159" s="215"/>
      <c r="F159" s="215"/>
      <c r="G159" s="215"/>
      <c r="H159" s="215"/>
      <c r="I159" s="215"/>
      <c r="J159" s="215"/>
      <c r="K159" s="215"/>
      <c r="L159" s="387">
        <f t="shared" ref="L159:Q159" si="154">L30</f>
        <v>0.38364007114630388</v>
      </c>
      <c r="M159" s="387">
        <f t="shared" si="154"/>
        <v>0.38724228001843808</v>
      </c>
      <c r="N159" s="387">
        <f t="shared" si="154"/>
        <v>0.41038321923648485</v>
      </c>
      <c r="O159" s="387">
        <f t="shared" si="154"/>
        <v>0.43260532760257886</v>
      </c>
      <c r="P159" s="387">
        <f t="shared" si="154"/>
        <v>0.43416950453259151</v>
      </c>
      <c r="Q159" s="387">
        <f t="shared" si="154"/>
        <v>0.44607517980597799</v>
      </c>
      <c r="R159" s="387">
        <f>R30</f>
        <v>0.44500000000000006</v>
      </c>
      <c r="S159" s="387">
        <f>S30</f>
        <v>0.44280000000000003</v>
      </c>
      <c r="T159" s="387">
        <f>T30</f>
        <v>0.44039999999999996</v>
      </c>
      <c r="U159" s="387"/>
      <c r="V159" s="131"/>
      <c r="W159" s="131"/>
      <c r="X159" s="131"/>
      <c r="Y159" s="131"/>
      <c r="Z159" s="131"/>
      <c r="AA159" s="131"/>
      <c r="AB159" s="131"/>
      <c r="AC159" s="131"/>
    </row>
    <row r="160" spans="1:29" hidden="1" outlineLevel="1">
      <c r="A160" s="1695" t="s">
        <v>881</v>
      </c>
      <c r="B160" s="131"/>
      <c r="C160" s="215"/>
      <c r="D160" s="215"/>
      <c r="E160" s="215"/>
      <c r="F160" s="215"/>
      <c r="G160" s="215"/>
      <c r="H160" s="215"/>
      <c r="I160" s="215"/>
      <c r="J160" s="215"/>
      <c r="K160" s="215"/>
      <c r="L160" s="387">
        <f t="shared" ref="L160:Q160" si="155">L110</f>
        <v>0.38364007114630388</v>
      </c>
      <c r="M160" s="387">
        <f t="shared" si="155"/>
        <v>0.38724228001843808</v>
      </c>
      <c r="N160" s="387">
        <f t="shared" si="155"/>
        <v>0.41038321923648485</v>
      </c>
      <c r="O160" s="387">
        <f t="shared" si="155"/>
        <v>0.43260532760257886</v>
      </c>
      <c r="P160" s="387">
        <f t="shared" si="155"/>
        <v>0.43416950453259151</v>
      </c>
      <c r="Q160" s="387">
        <f t="shared" si="155"/>
        <v>0.456075179805978</v>
      </c>
      <c r="R160" s="387">
        <f>R110</f>
        <v>0.45600000000000007</v>
      </c>
      <c r="S160" s="387">
        <f>S110</f>
        <v>0.45580000000000004</v>
      </c>
      <c r="T160" s="387">
        <f>T110</f>
        <v>0.45539999999999997</v>
      </c>
      <c r="U160" s="387"/>
      <c r="V160" s="131"/>
      <c r="W160" s="131"/>
      <c r="X160" s="131"/>
      <c r="Y160" s="131"/>
      <c r="Z160" s="131"/>
      <c r="AA160" s="131"/>
      <c r="AB160" s="131"/>
      <c r="AC160" s="131"/>
    </row>
    <row r="161" spans="1:29" collapsed="1">
      <c r="A161" s="132" t="s">
        <v>448</v>
      </c>
      <c r="B161" s="131"/>
      <c r="C161" s="215">
        <f>C134/C127</f>
        <v>0.13358348100149176</v>
      </c>
      <c r="D161" s="215">
        <f>D134/D127</f>
        <v>0.15978311197656281</v>
      </c>
      <c r="E161" s="215">
        <f>E134/E127</f>
        <v>0.18044279491739459</v>
      </c>
      <c r="F161" s="215">
        <f>F134/F127</f>
        <v>0.1854516735056933</v>
      </c>
      <c r="G161" s="215">
        <f t="shared" ref="G161:P161" si="156">G134/G127</f>
        <v>0.17287552665821646</v>
      </c>
      <c r="H161" s="215">
        <f t="shared" si="156"/>
        <v>0.16240584855317702</v>
      </c>
      <c r="I161" s="215">
        <f t="shared" si="156"/>
        <v>0.1984954412713229</v>
      </c>
      <c r="J161" s="215">
        <f t="shared" si="156"/>
        <v>0.20619187210758799</v>
      </c>
      <c r="K161" s="215">
        <f>K134/K127</f>
        <v>0.18375625848488059</v>
      </c>
      <c r="L161" s="387">
        <f t="shared" si="156"/>
        <v>0.19695221935288626</v>
      </c>
      <c r="M161" s="387">
        <f t="shared" si="156"/>
        <v>0.20975229375283666</v>
      </c>
      <c r="N161" s="387">
        <f t="shared" si="156"/>
        <v>0.19655516846541798</v>
      </c>
      <c r="O161" s="387">
        <f t="shared" si="156"/>
        <v>0.18971462841721218</v>
      </c>
      <c r="P161" s="387">
        <f t="shared" si="156"/>
        <v>0.19051273442371339</v>
      </c>
      <c r="Q161" s="387">
        <f>Q134/Q127</f>
        <v>0.18066807974372198</v>
      </c>
      <c r="R161" s="387">
        <f>R134/R127</f>
        <v>0.18300000000000002</v>
      </c>
      <c r="S161" s="387">
        <f>S134/S127</f>
        <v>0.18600000000000003</v>
      </c>
      <c r="T161" s="387">
        <f>T134/T127</f>
        <v>0.18860000000000007</v>
      </c>
      <c r="U161" s="387"/>
      <c r="V161" s="131"/>
      <c r="W161" s="131"/>
      <c r="X161" s="131"/>
      <c r="Y161" s="131"/>
      <c r="Z161" s="131"/>
      <c r="AA161" s="131"/>
      <c r="AB161" s="131"/>
      <c r="AC161" s="131"/>
    </row>
    <row r="162" spans="1:29">
      <c r="A162" s="132" t="s">
        <v>483</v>
      </c>
      <c r="B162" s="131"/>
      <c r="C162" s="215">
        <f>C139/C137</f>
        <v>0.6025790609260061</v>
      </c>
      <c r="D162" s="215">
        <f t="shared" ref="D162:J162" si="157">D139/D137</f>
        <v>0.30795382282443834</v>
      </c>
      <c r="E162" s="215">
        <f t="shared" si="157"/>
        <v>0.36298269623409507</v>
      </c>
      <c r="F162" s="215">
        <f t="shared" si="157"/>
        <v>0.36466810339207528</v>
      </c>
      <c r="G162" s="215">
        <f t="shared" si="157"/>
        <v>0.34969719455217679</v>
      </c>
      <c r="H162" s="215">
        <f t="shared" si="157"/>
        <v>0.34478049481720269</v>
      </c>
      <c r="I162" s="215">
        <f t="shared" si="157"/>
        <v>0.33399283981248323</v>
      </c>
      <c r="J162" s="215">
        <f t="shared" si="157"/>
        <v>0.34265313303253347</v>
      </c>
      <c r="K162" s="215">
        <f>K139/K137</f>
        <v>0.35336774522356351</v>
      </c>
      <c r="L162" s="387">
        <f t="shared" ref="L162:Q162" si="158">INDEX(L163:L165,MATCH($AA$150,$AC$150:$AC$152,0))</f>
        <v>0.34731366046665607</v>
      </c>
      <c r="M162" s="387">
        <f t="shared" si="158"/>
        <v>0.30476738087562405</v>
      </c>
      <c r="N162" s="387">
        <f t="shared" si="158"/>
        <v>0.34649352365847153</v>
      </c>
      <c r="O162" s="387">
        <f t="shared" si="158"/>
        <v>0.34214945424013454</v>
      </c>
      <c r="P162" s="387">
        <f t="shared" si="158"/>
        <v>0.32114676486059962</v>
      </c>
      <c r="Q162" s="387">
        <f t="shared" si="158"/>
        <v>0.28000000000000008</v>
      </c>
      <c r="R162" s="387">
        <f>INDEX(R163:R165,MATCH($AA$150,$AC$150:$AC$152,0))</f>
        <v>0.25</v>
      </c>
      <c r="S162" s="387">
        <f>INDEX(S163:S165,MATCH($AA$150,$AC$150:$AC$152,0))</f>
        <v>0.25</v>
      </c>
      <c r="T162" s="387">
        <f>INDEX(T163:T165,MATCH($AA$150,$AC$150:$AC$152,0))</f>
        <v>0.25</v>
      </c>
      <c r="U162" s="387"/>
      <c r="V162" s="131"/>
      <c r="W162" s="131"/>
      <c r="X162" s="131"/>
      <c r="Y162" s="131"/>
      <c r="Z162" s="131"/>
      <c r="AA162" s="131"/>
      <c r="AB162" s="131"/>
      <c r="AC162" s="131"/>
    </row>
    <row r="163" spans="1:29" hidden="1" outlineLevel="1">
      <c r="A163" s="1695" t="s">
        <v>882</v>
      </c>
      <c r="B163" s="131"/>
      <c r="C163" s="215"/>
      <c r="D163" s="215"/>
      <c r="E163" s="215"/>
      <c r="F163" s="215"/>
      <c r="G163" s="215"/>
      <c r="H163" s="215"/>
      <c r="I163" s="215"/>
      <c r="J163" s="215"/>
      <c r="K163" s="215"/>
      <c r="L163" s="387">
        <f t="shared" ref="L163:Q163" si="159">L71</f>
        <v>0.34731366046665607</v>
      </c>
      <c r="M163" s="387">
        <f t="shared" si="159"/>
        <v>0.30476738087562405</v>
      </c>
      <c r="N163" s="387">
        <f t="shared" si="159"/>
        <v>0.34649352365847153</v>
      </c>
      <c r="O163" s="387">
        <f t="shared" si="159"/>
        <v>0.34214945424013454</v>
      </c>
      <c r="P163" s="387">
        <f t="shared" si="159"/>
        <v>0.32114676486059962</v>
      </c>
      <c r="Q163" s="387">
        <f t="shared" si="159"/>
        <v>0.28000000000000008</v>
      </c>
      <c r="R163" s="387">
        <f>R71</f>
        <v>0.25</v>
      </c>
      <c r="S163" s="387">
        <f>S71</f>
        <v>0.25</v>
      </c>
      <c r="T163" s="387">
        <f>T71</f>
        <v>0.25</v>
      </c>
      <c r="U163" s="387"/>
      <c r="V163" s="131"/>
      <c r="W163" s="131"/>
      <c r="X163" s="131"/>
      <c r="Y163" s="131"/>
      <c r="Z163" s="131"/>
      <c r="AA163" s="131"/>
      <c r="AB163" s="131"/>
      <c r="AC163" s="131"/>
    </row>
    <row r="164" spans="1:29" hidden="1" outlineLevel="1">
      <c r="A164" s="1695" t="s">
        <v>883</v>
      </c>
      <c r="B164" s="131"/>
      <c r="C164" s="215"/>
      <c r="D164" s="215"/>
      <c r="E164" s="215"/>
      <c r="F164" s="215"/>
      <c r="G164" s="215"/>
      <c r="H164" s="215"/>
      <c r="I164" s="215"/>
      <c r="J164" s="215"/>
      <c r="K164" s="215"/>
      <c r="L164" s="387">
        <f t="shared" ref="L164:Q164" si="160">L32</f>
        <v>0.34731366046665607</v>
      </c>
      <c r="M164" s="387">
        <f t="shared" si="160"/>
        <v>0.30476738087562405</v>
      </c>
      <c r="N164" s="387">
        <f t="shared" si="160"/>
        <v>0.34649352365847153</v>
      </c>
      <c r="O164" s="387">
        <f t="shared" si="160"/>
        <v>0.34214945424013454</v>
      </c>
      <c r="P164" s="387">
        <f t="shared" si="160"/>
        <v>0.32114676486059962</v>
      </c>
      <c r="Q164" s="387">
        <f t="shared" si="160"/>
        <v>0.28000000000000008</v>
      </c>
      <c r="R164" s="387">
        <f>R32</f>
        <v>0.25</v>
      </c>
      <c r="S164" s="387">
        <f>S32</f>
        <v>0.25</v>
      </c>
      <c r="T164" s="387">
        <f>T32</f>
        <v>0.25</v>
      </c>
      <c r="U164" s="387"/>
      <c r="V164" s="131"/>
      <c r="W164" s="131"/>
      <c r="X164" s="131"/>
      <c r="Y164" s="131"/>
      <c r="Z164" s="131"/>
      <c r="AA164" s="131"/>
      <c r="AB164" s="131"/>
      <c r="AC164" s="131"/>
    </row>
    <row r="165" spans="1:29" hidden="1" outlineLevel="1">
      <c r="A165" s="1695" t="s">
        <v>881</v>
      </c>
      <c r="B165" s="131"/>
      <c r="C165" s="215"/>
      <c r="D165" s="215"/>
      <c r="E165" s="215"/>
      <c r="F165" s="215"/>
      <c r="G165" s="215"/>
      <c r="H165" s="215"/>
      <c r="I165" s="215"/>
      <c r="J165" s="215"/>
      <c r="K165" s="215"/>
      <c r="L165" s="387">
        <f t="shared" ref="L165:Q165" si="161">L112</f>
        <v>0.34731366046665607</v>
      </c>
      <c r="M165" s="387">
        <f t="shared" si="161"/>
        <v>0.30476738087562405</v>
      </c>
      <c r="N165" s="387">
        <f t="shared" si="161"/>
        <v>0.34649352365847153</v>
      </c>
      <c r="O165" s="387">
        <f t="shared" si="161"/>
        <v>0.34214945424013454</v>
      </c>
      <c r="P165" s="387">
        <f t="shared" si="161"/>
        <v>0.32114676486059962</v>
      </c>
      <c r="Q165" s="387">
        <f t="shared" si="161"/>
        <v>0.29000000000000009</v>
      </c>
      <c r="R165" s="387">
        <f>R112</f>
        <v>0.26</v>
      </c>
      <c r="S165" s="387">
        <f>S112</f>
        <v>0.26</v>
      </c>
      <c r="T165" s="387">
        <f>T112</f>
        <v>0.26</v>
      </c>
      <c r="U165" s="387"/>
      <c r="V165" s="131"/>
      <c r="W165" s="131"/>
      <c r="X165" s="131"/>
      <c r="Y165" s="131"/>
      <c r="Z165" s="131"/>
      <c r="AA165" s="131"/>
      <c r="AB165" s="131"/>
      <c r="AC165" s="131"/>
    </row>
    <row r="166" spans="1:29" collapsed="1">
      <c r="A166" s="132"/>
      <c r="B166" s="131"/>
      <c r="L166" s="621"/>
      <c r="M166" s="621"/>
      <c r="N166" s="621"/>
      <c r="O166" s="621"/>
      <c r="P166" s="621"/>
      <c r="Q166" s="621"/>
      <c r="R166" s="621"/>
      <c r="S166" s="621"/>
      <c r="T166" s="621"/>
      <c r="U166" s="621"/>
      <c r="V166" s="131"/>
      <c r="W166" s="131"/>
      <c r="X166" s="131"/>
      <c r="Y166" s="131"/>
      <c r="Z166" s="131"/>
      <c r="AA166" s="131"/>
      <c r="AB166" s="131"/>
      <c r="AC166" s="131"/>
    </row>
    <row r="167" spans="1:29">
      <c r="A167" s="136" t="s">
        <v>484</v>
      </c>
      <c r="B167" s="131"/>
      <c r="L167" s="621"/>
      <c r="M167" s="621"/>
      <c r="N167" s="621"/>
      <c r="O167" s="621"/>
      <c r="P167" s="621"/>
      <c r="Q167" s="621"/>
      <c r="R167" s="621"/>
      <c r="S167" s="621"/>
      <c r="T167" s="621"/>
      <c r="U167" s="621"/>
      <c r="V167" s="131"/>
      <c r="W167" s="131"/>
      <c r="X167" s="131"/>
      <c r="Y167" s="131"/>
      <c r="Z167" s="131"/>
      <c r="AA167" s="131"/>
      <c r="AB167" s="131"/>
      <c r="AC167" s="131"/>
    </row>
    <row r="168" spans="1:29">
      <c r="A168" s="132" t="s">
        <v>1015</v>
      </c>
      <c r="B168" s="131"/>
      <c r="C168" s="1703" t="s">
        <v>814</v>
      </c>
      <c r="D168" s="1686">
        <f t="shared" ref="D168:K168" si="162">((D127/C127)-1)</f>
        <v>8.6320448143191175E-2</v>
      </c>
      <c r="E168" s="1686">
        <f t="shared" si="162"/>
        <v>6.9131700563596299E-2</v>
      </c>
      <c r="F168" s="1686">
        <f t="shared" si="162"/>
        <v>0.14762837530176909</v>
      </c>
      <c r="G168" s="1686">
        <f t="shared" si="162"/>
        <v>-3.0595102510539207E-2</v>
      </c>
      <c r="H168" s="1686">
        <f t="shared" si="162"/>
        <v>-4.8836744816082356E-2</v>
      </c>
      <c r="I168" s="1686">
        <f t="shared" si="162"/>
        <v>0.1385968343709516</v>
      </c>
      <c r="J168" s="1686">
        <f t="shared" si="162"/>
        <v>0.18074378745596054</v>
      </c>
      <c r="K168" s="1686">
        <f t="shared" si="162"/>
        <v>4.1535716922911359E-2</v>
      </c>
      <c r="L168" s="1705">
        <f t="shared" ref="L168:Q168" si="163">L169+L178</f>
        <v>6.2431590546640603E-2</v>
      </c>
      <c r="M168" s="1705">
        <f t="shared" si="163"/>
        <v>5.4273367517296389E-2</v>
      </c>
      <c r="N168" s="1705">
        <f t="shared" si="163"/>
        <v>-3.4168464154442413E-2</v>
      </c>
      <c r="O168" s="1705">
        <f t="shared" si="163"/>
        <v>-2.5068823543742735E-2</v>
      </c>
      <c r="P168" s="1705">
        <f t="shared" si="163"/>
        <v>4.1981108501174536E-2</v>
      </c>
      <c r="Q168" s="1705">
        <f t="shared" si="163"/>
        <v>5.1517922740135669E-2</v>
      </c>
      <c r="R168" s="1705">
        <f>R169+R178</f>
        <v>5.4424206311594947E-2</v>
      </c>
      <c r="S168" s="1705">
        <f>S169+S178</f>
        <v>5.3268772536789522E-2</v>
      </c>
      <c r="T168" s="1705">
        <f>T169+T178</f>
        <v>2.0061948467113358E-2</v>
      </c>
      <c r="U168" s="1705"/>
      <c r="V168" s="131"/>
      <c r="W168" s="131"/>
      <c r="X168" s="131"/>
      <c r="Y168" s="131"/>
      <c r="Z168" s="131"/>
      <c r="AA168" s="131"/>
      <c r="AB168" s="131"/>
      <c r="AC168" s="131"/>
    </row>
    <row r="169" spans="1:29">
      <c r="A169" s="132" t="s">
        <v>1839</v>
      </c>
      <c r="B169" s="131"/>
      <c r="C169" s="1685">
        <f>C75</f>
        <v>0.04</v>
      </c>
      <c r="D169" s="1685">
        <f t="shared" ref="D169:J169" si="164">D75</f>
        <v>0.05</v>
      </c>
      <c r="E169" s="1685">
        <f t="shared" si="164"/>
        <v>0.06</v>
      </c>
      <c r="F169" s="1685">
        <f t="shared" si="164"/>
        <v>7.0000000000000007E-2</v>
      </c>
      <c r="G169" s="1685">
        <f t="shared" si="164"/>
        <v>-0.09</v>
      </c>
      <c r="H169" s="1685">
        <f t="shared" si="164"/>
        <v>-0.08</v>
      </c>
      <c r="I169" s="1685">
        <f t="shared" si="164"/>
        <v>0.08</v>
      </c>
      <c r="J169" s="1685">
        <f t="shared" si="164"/>
        <v>0.13678577190955957</v>
      </c>
      <c r="K169" s="1685">
        <f>K75</f>
        <v>0.01</v>
      </c>
      <c r="L169" s="387">
        <f t="shared" ref="L169:Q169" si="165">INDEX(L170:L172,MATCH($AA$150,$AC$150:$AC$152,0))</f>
        <v>0.06</v>
      </c>
      <c r="M169" s="387">
        <f t="shared" si="165"/>
        <v>0.04</v>
      </c>
      <c r="N169" s="387">
        <f t="shared" si="165"/>
        <v>0</v>
      </c>
      <c r="O169" s="387">
        <f t="shared" si="165"/>
        <v>-0.05</v>
      </c>
      <c r="P169" s="387">
        <f t="shared" si="165"/>
        <v>0</v>
      </c>
      <c r="Q169" s="387">
        <f t="shared" si="165"/>
        <v>2.4713862390184554E-2</v>
      </c>
      <c r="R169" s="387">
        <f>INDEX(R170:R172,MATCH($AA$150,$AC$150:$AC$152,0))</f>
        <v>1.9856031509175563E-2</v>
      </c>
      <c r="S169" s="387">
        <f>INDEX(S170:S172,MATCH($AA$150,$AC$150:$AC$152,0))</f>
        <v>1.9970011794872428E-2</v>
      </c>
      <c r="T169" s="387">
        <f>INDEX(T170:T172,MATCH($AA$150,$AC$150:$AC$152,0))</f>
        <v>2.0061948467113358E-2</v>
      </c>
      <c r="U169" s="387"/>
      <c r="V169" s="131"/>
      <c r="W169" s="131"/>
      <c r="X169" s="131"/>
      <c r="Y169" s="131"/>
      <c r="Z169" s="131"/>
      <c r="AA169" s="131"/>
      <c r="AB169" s="131"/>
      <c r="AC169" s="131"/>
    </row>
    <row r="170" spans="1:29" hidden="1" outlineLevel="1">
      <c r="A170" s="1695" t="s">
        <v>882</v>
      </c>
      <c r="B170" s="131"/>
      <c r="C170" s="1685"/>
      <c r="D170" s="1685"/>
      <c r="E170" s="1685"/>
      <c r="F170" s="1685"/>
      <c r="G170" s="1685"/>
      <c r="H170" s="215"/>
      <c r="I170" s="215"/>
      <c r="J170" s="215"/>
      <c r="K170" s="215"/>
      <c r="L170" s="387">
        <f t="shared" ref="L170:Q170" si="166">L75</f>
        <v>0.06</v>
      </c>
      <c r="M170" s="387">
        <f t="shared" si="166"/>
        <v>0.04</v>
      </c>
      <c r="N170" s="387">
        <f t="shared" si="166"/>
        <v>0</v>
      </c>
      <c r="O170" s="387">
        <f t="shared" si="166"/>
        <v>-0.05</v>
      </c>
      <c r="P170" s="387">
        <f t="shared" si="166"/>
        <v>0</v>
      </c>
      <c r="Q170" s="387">
        <f t="shared" si="166"/>
        <v>0.04</v>
      </c>
      <c r="R170" s="387">
        <f>R75</f>
        <v>0.04</v>
      </c>
      <c r="S170" s="387">
        <f>S75</f>
        <v>0.04</v>
      </c>
      <c r="T170" s="387">
        <f>T75</f>
        <v>0.04</v>
      </c>
      <c r="U170" s="387"/>
      <c r="V170" s="131"/>
      <c r="W170" s="131"/>
      <c r="X170" s="131"/>
      <c r="Y170" s="131"/>
      <c r="Z170" s="131"/>
      <c r="AA170" s="131"/>
      <c r="AB170" s="131"/>
      <c r="AC170" s="131"/>
    </row>
    <row r="171" spans="1:29" hidden="1" outlineLevel="1">
      <c r="A171" s="1695" t="s">
        <v>883</v>
      </c>
      <c r="B171" s="131"/>
      <c r="C171" s="1685"/>
      <c r="D171" s="1685"/>
      <c r="E171" s="1685"/>
      <c r="F171" s="1685"/>
      <c r="G171" s="1685"/>
      <c r="H171" s="215"/>
      <c r="I171" s="215"/>
      <c r="J171" s="215"/>
      <c r="K171" s="215"/>
      <c r="L171" s="387">
        <f t="shared" ref="L171:Q171" si="167">L36</f>
        <v>0.06</v>
      </c>
      <c r="M171" s="387">
        <f t="shared" si="167"/>
        <v>0.04</v>
      </c>
      <c r="N171" s="387">
        <f t="shared" si="167"/>
        <v>0</v>
      </c>
      <c r="O171" s="387">
        <f t="shared" si="167"/>
        <v>-0.05</v>
      </c>
      <c r="P171" s="387">
        <f t="shared" si="167"/>
        <v>0</v>
      </c>
      <c r="Q171" s="387">
        <f t="shared" si="167"/>
        <v>2.4713862390184554E-2</v>
      </c>
      <c r="R171" s="387">
        <f>R36</f>
        <v>1.9856031509175563E-2</v>
      </c>
      <c r="S171" s="387">
        <f>S36</f>
        <v>1.9970011794872428E-2</v>
      </c>
      <c r="T171" s="387">
        <f>T36</f>
        <v>2.0061948467113358E-2</v>
      </c>
      <c r="U171" s="387"/>
      <c r="V171" s="131"/>
      <c r="W171" s="131"/>
      <c r="X171" s="131"/>
      <c r="Y171" s="131"/>
      <c r="Z171" s="131"/>
      <c r="AA171" s="131"/>
      <c r="AB171" s="131"/>
      <c r="AC171" s="131"/>
    </row>
    <row r="172" spans="1:29" hidden="1" outlineLevel="1">
      <c r="A172" s="1695" t="s">
        <v>881</v>
      </c>
      <c r="B172" s="131"/>
      <c r="C172" s="1685"/>
      <c r="D172" s="1685"/>
      <c r="E172" s="1685"/>
      <c r="F172" s="1685"/>
      <c r="G172" s="1685"/>
      <c r="H172" s="215"/>
      <c r="I172" s="215"/>
      <c r="J172" s="215"/>
      <c r="K172" s="215"/>
      <c r="L172" s="387">
        <f t="shared" ref="L172:Q172" si="168">L116</f>
        <v>0.06</v>
      </c>
      <c r="M172" s="387">
        <f t="shared" si="168"/>
        <v>0.04</v>
      </c>
      <c r="N172" s="387">
        <f t="shared" si="168"/>
        <v>0</v>
      </c>
      <c r="O172" s="387">
        <f t="shared" si="168"/>
        <v>-0.05</v>
      </c>
      <c r="P172" s="387">
        <f t="shared" si="168"/>
        <v>0</v>
      </c>
      <c r="Q172" s="387">
        <f t="shared" si="168"/>
        <v>-0.02</v>
      </c>
      <c r="R172" s="387">
        <f>R116</f>
        <v>-0.01</v>
      </c>
      <c r="S172" s="387">
        <f>S116</f>
        <v>-0.01</v>
      </c>
      <c r="T172" s="387">
        <f>T116</f>
        <v>-0.01</v>
      </c>
      <c r="U172" s="387"/>
      <c r="V172" s="131"/>
      <c r="W172" s="131"/>
      <c r="X172" s="131"/>
      <c r="Y172" s="131"/>
      <c r="Z172" s="131"/>
      <c r="AA172" s="131"/>
      <c r="AB172" s="131"/>
      <c r="AC172" s="131"/>
    </row>
    <row r="173" spans="1:29" collapsed="1">
      <c r="A173" s="132" t="s">
        <v>471</v>
      </c>
      <c r="B173" s="131"/>
      <c r="C173" s="1703" t="s">
        <v>814</v>
      </c>
      <c r="D173" s="1686">
        <f>((D132/C132)-1)</f>
        <v>2.5202875078522036E-2</v>
      </c>
      <c r="E173" s="1686">
        <f>((E132/D132)-1)</f>
        <v>5.3269211731543864E-2</v>
      </c>
      <c r="F173" s="1686">
        <f>((F132/E132)-1)</f>
        <v>0.11943855774995704</v>
      </c>
      <c r="G173" s="1686">
        <f>((G132/F132)-1)</f>
        <v>1.9856347057872092E-2</v>
      </c>
      <c r="H173" s="1686">
        <f t="shared" ref="H173:T173" si="169">((H132/G132)-1)</f>
        <v>-5.5266980026760448E-2</v>
      </c>
      <c r="I173" s="1686">
        <f t="shared" si="169"/>
        <v>0.11071953064157936</v>
      </c>
      <c r="J173" s="1686">
        <f t="shared" si="169"/>
        <v>0.15637573583334996</v>
      </c>
      <c r="K173" s="1686">
        <f t="shared" si="169"/>
        <v>4.7023938329823212E-2</v>
      </c>
      <c r="L173" s="1705">
        <f t="shared" si="169"/>
        <v>5.4865159641408034E-2</v>
      </c>
      <c r="M173" s="1705">
        <f t="shared" si="169"/>
        <v>6.417252342866453E-2</v>
      </c>
      <c r="N173" s="1705">
        <f t="shared" si="169"/>
        <v>2.3547983710730414E-2</v>
      </c>
      <c r="O173" s="1705">
        <f t="shared" si="169"/>
        <v>2.7723360047491985E-2</v>
      </c>
      <c r="P173" s="1705">
        <f t="shared" si="169"/>
        <v>4.5748613678373351E-2</v>
      </c>
      <c r="Q173" s="1705">
        <f t="shared" si="169"/>
        <v>8.0352354457691177E-2</v>
      </c>
      <c r="R173" s="1705">
        <f t="shared" si="169"/>
        <v>5.1882716300754916E-2</v>
      </c>
      <c r="S173" s="1705">
        <f t="shared" si="169"/>
        <v>4.8061601077056926E-2</v>
      </c>
      <c r="T173" s="1705">
        <f t="shared" si="169"/>
        <v>1.4533157418511022E-2</v>
      </c>
      <c r="U173" s="1705"/>
      <c r="V173" s="131"/>
      <c r="W173" s="131"/>
      <c r="X173" s="131"/>
      <c r="Y173" s="131"/>
      <c r="Z173" s="131"/>
      <c r="AA173" s="131"/>
      <c r="AB173" s="131"/>
      <c r="AC173" s="131"/>
    </row>
    <row r="174" spans="1:29">
      <c r="A174" s="132" t="s">
        <v>487</v>
      </c>
      <c r="B174" s="131"/>
      <c r="C174" s="1703" t="s">
        <v>814</v>
      </c>
      <c r="D174" s="1686">
        <f>((D134/C134)-1)</f>
        <v>0.29937968756896693</v>
      </c>
      <c r="E174" s="1686">
        <f>((E134/D134)-1)</f>
        <v>0.20736859983537981</v>
      </c>
      <c r="F174" s="1686">
        <f>((F134/E134)-1)</f>
        <v>0.17948518177057049</v>
      </c>
      <c r="G174" s="1686">
        <f>((G134/F134)-1)</f>
        <v>-9.6333944954128392E-2</v>
      </c>
      <c r="H174" s="1686">
        <f t="shared" ref="H174:T174" si="170">((H134/G134)-1)</f>
        <v>-0.10644104138493837</v>
      </c>
      <c r="I174" s="1686">
        <f t="shared" si="170"/>
        <v>0.39161417573328028</v>
      </c>
      <c r="J174" s="1686">
        <f t="shared" si="170"/>
        <v>0.22652576026753146</v>
      </c>
      <c r="K174" s="1686">
        <f t="shared" si="170"/>
        <v>-7.1793158169406346E-2</v>
      </c>
      <c r="L174" s="1705">
        <f t="shared" si="170"/>
        <v>0.13872725421210452</v>
      </c>
      <c r="M174" s="1705">
        <f t="shared" si="170"/>
        <v>0.12279139481572732</v>
      </c>
      <c r="N174" s="1705">
        <f t="shared" si="170"/>
        <v>-9.4936332562658321E-2</v>
      </c>
      <c r="O174" s="1705">
        <f t="shared" si="170"/>
        <v>-5.8998512642540524E-2</v>
      </c>
      <c r="P174" s="1705">
        <f t="shared" si="170"/>
        <v>4.6364594309800555E-2</v>
      </c>
      <c r="Q174" s="1705">
        <f t="shared" si="170"/>
        <v>-2.8187643611862212E-3</v>
      </c>
      <c r="R174" s="1705">
        <f t="shared" si="170"/>
        <v>6.8033877532409415E-2</v>
      </c>
      <c r="S174" s="1705">
        <f t="shared" si="170"/>
        <v>7.0535473725917175E-2</v>
      </c>
      <c r="T174" s="1705">
        <f t="shared" si="170"/>
        <v>3.4320878929557264E-2</v>
      </c>
      <c r="U174" s="1705"/>
      <c r="V174" s="131"/>
      <c r="W174" s="131"/>
      <c r="X174" s="131"/>
      <c r="Y174" s="131"/>
      <c r="Z174" s="131"/>
      <c r="AA174" s="131"/>
      <c r="AB174" s="131"/>
      <c r="AC174" s="131"/>
    </row>
    <row r="175" spans="1:29">
      <c r="A175" s="132" t="s">
        <v>488</v>
      </c>
      <c r="B175" s="131"/>
      <c r="C175" s="1703" t="s">
        <v>814</v>
      </c>
      <c r="D175" s="1686">
        <f>((D144/C144)-1)</f>
        <v>1.3401059611393125</v>
      </c>
      <c r="E175" s="1686">
        <f>((E144/D144)-1)</f>
        <v>0.16761172171097938</v>
      </c>
      <c r="F175" s="1686">
        <f>((F144/E144)-1)</f>
        <v>0.20891183713478934</v>
      </c>
      <c r="G175" s="1686">
        <f>((G144/F144)-1)</f>
        <v>-3.4113236380919898E-2</v>
      </c>
      <c r="H175" s="1686">
        <f t="shared" ref="H175:T175" si="171">((H144/G144)-1)</f>
        <v>-0.14641939584740793</v>
      </c>
      <c r="I175" s="1686">
        <f t="shared" si="171"/>
        <v>0.43970918422090222</v>
      </c>
      <c r="J175" s="1686">
        <f t="shared" si="171"/>
        <v>0.22959332383989617</v>
      </c>
      <c r="K175" s="1686">
        <f t="shared" si="171"/>
        <v>-9.7343936656733798E-2</v>
      </c>
      <c r="L175" s="1705">
        <f t="shared" si="171"/>
        <v>0.14747574795551066</v>
      </c>
      <c r="M175" s="1705">
        <f t="shared" si="171"/>
        <v>0.19196842074500009</v>
      </c>
      <c r="N175" s="1705">
        <f t="shared" si="171"/>
        <v>-0.13919880331696255</v>
      </c>
      <c r="O175" s="1705">
        <f t="shared" si="171"/>
        <v>-2.1960185018208178E-2</v>
      </c>
      <c r="P175" s="1705">
        <f t="shared" si="171"/>
        <v>0.10157523842657534</v>
      </c>
      <c r="Q175" s="1705">
        <f t="shared" si="171"/>
        <v>6.6053492261021862E-2</v>
      </c>
      <c r="R175" s="1705">
        <f t="shared" si="171"/>
        <v>0.12465587685721569</v>
      </c>
      <c r="S175" s="1705">
        <f t="shared" si="171"/>
        <v>8.0561051966420383E-2</v>
      </c>
      <c r="T175" s="1705">
        <f t="shared" si="171"/>
        <v>4.2580437210357536E-2</v>
      </c>
      <c r="U175" s="1705"/>
      <c r="V175" s="131"/>
      <c r="W175" s="131"/>
      <c r="X175" s="131"/>
      <c r="Y175" s="131"/>
      <c r="Z175" s="131"/>
      <c r="AA175" s="131"/>
      <c r="AB175" s="131"/>
      <c r="AC175" s="131"/>
    </row>
    <row r="176" spans="1:29">
      <c r="A176" s="132" t="s">
        <v>446</v>
      </c>
      <c r="B176" s="131"/>
      <c r="C176" s="1703" t="s">
        <v>814</v>
      </c>
      <c r="D176" s="1686">
        <f>((D150/C150)-1)</f>
        <v>0.22621281091087631</v>
      </c>
      <c r="E176" s="1686">
        <f>((E150/D150)-1)</f>
        <v>0.17313483178029454</v>
      </c>
      <c r="F176" s="1686">
        <f>((F150/E150)-1)</f>
        <v>0.16577612351328441</v>
      </c>
      <c r="G176" s="1686">
        <f>((G150/F150)-1)</f>
        <v>-6.6479862600954398E-2</v>
      </c>
      <c r="H176" s="1686">
        <f t="shared" ref="H176:T176" si="172">((H150/G150)-1)</f>
        <v>-7.772189772889937E-2</v>
      </c>
      <c r="I176" s="1686">
        <f t="shared" si="172"/>
        <v>0.31198025867349877</v>
      </c>
      <c r="J176" s="1686">
        <f t="shared" si="172"/>
        <v>0.17992176628268908</v>
      </c>
      <c r="K176" s="1686">
        <f t="shared" si="172"/>
        <v>-4.0366612490776221E-2</v>
      </c>
      <c r="L176" s="1705">
        <f t="shared" si="172"/>
        <v>0.13207978942135123</v>
      </c>
      <c r="M176" s="1705">
        <f t="shared" si="172"/>
        <v>0.11391497164387387</v>
      </c>
      <c r="N176" s="1705">
        <f t="shared" si="172"/>
        <v>-7.0272580640702076E-2</v>
      </c>
      <c r="O176" s="1705">
        <f t="shared" si="172"/>
        <v>-4.1216684831072659E-2</v>
      </c>
      <c r="P176" s="1705">
        <f t="shared" si="172"/>
        <v>3.4721504598533182E-2</v>
      </c>
      <c r="Q176" s="1705">
        <f t="shared" si="172"/>
        <v>1.3207894088493877E-3</v>
      </c>
      <c r="R176" s="1705">
        <f t="shared" si="172"/>
        <v>6.0565898499985726E-2</v>
      </c>
      <c r="S176" s="1705">
        <f t="shared" si="172"/>
        <v>6.7007060874225921E-2</v>
      </c>
      <c r="T176" s="1705">
        <f t="shared" si="172"/>
        <v>4.4984852051912494E-3</v>
      </c>
      <c r="U176" s="1705"/>
      <c r="V176" s="131"/>
      <c r="W176" s="131"/>
      <c r="X176" s="131"/>
      <c r="Y176" s="131"/>
      <c r="Z176" s="131"/>
      <c r="AA176" s="131"/>
      <c r="AB176" s="131"/>
      <c r="AC176" s="131"/>
    </row>
    <row r="177" spans="1:29">
      <c r="A177" s="132" t="s">
        <v>1841</v>
      </c>
      <c r="B177" s="131"/>
      <c r="C177" s="1703" t="s">
        <v>814</v>
      </c>
      <c r="D177" s="215">
        <f t="shared" ref="D177:P177" si="173">D35-D36</f>
        <v>3.6320448143191172E-2</v>
      </c>
      <c r="E177" s="215">
        <f t="shared" si="173"/>
        <v>9.1317005635963011E-3</v>
      </c>
      <c r="F177" s="215">
        <f t="shared" si="173"/>
        <v>7.7628375301769081E-2</v>
      </c>
      <c r="G177" s="215">
        <f t="shared" si="173"/>
        <v>5.940489748946079E-2</v>
      </c>
      <c r="H177" s="215">
        <f t="shared" si="173"/>
        <v>3.1163255183917646E-2</v>
      </c>
      <c r="I177" s="215">
        <f t="shared" si="173"/>
        <v>5.8596834370951603E-2</v>
      </c>
      <c r="J177" s="215">
        <f t="shared" si="173"/>
        <v>4.3958015546400969E-2</v>
      </c>
      <c r="K177" s="215">
        <f>K35-K36</f>
        <v>3.1535716922911357E-2</v>
      </c>
      <c r="L177" s="387">
        <f t="shared" si="173"/>
        <v>2.4315905466406051E-3</v>
      </c>
      <c r="M177" s="387">
        <f t="shared" si="173"/>
        <v>1.4273367517296388E-2</v>
      </c>
      <c r="N177" s="387">
        <f t="shared" si="173"/>
        <v>-3.4168464154442413E-2</v>
      </c>
      <c r="O177" s="387">
        <f t="shared" si="173"/>
        <v>2.4931176456257267E-2</v>
      </c>
      <c r="P177" s="387">
        <f t="shared" si="173"/>
        <v>4.1981108501174536E-2</v>
      </c>
      <c r="Q177" s="387">
        <f>Q35-Q36</f>
        <v>2.6804060349951114E-2</v>
      </c>
      <c r="R177" s="387">
        <f>R35-R36</f>
        <v>3.4568174802419388E-2</v>
      </c>
      <c r="S177" s="387">
        <f>S35-S36</f>
        <v>3.3298760741917094E-2</v>
      </c>
      <c r="T177" s="387">
        <f>T35-T36</f>
        <v>2.1549640830684155E-2</v>
      </c>
      <c r="U177" s="387"/>
      <c r="V177" s="131"/>
      <c r="W177" s="131"/>
      <c r="X177" s="131"/>
      <c r="Y177" s="131"/>
      <c r="Z177" s="131"/>
      <c r="AA177" s="131"/>
      <c r="AB177" s="131"/>
      <c r="AC177" s="131"/>
    </row>
    <row r="178" spans="1:29">
      <c r="A178" s="132" t="s">
        <v>1844</v>
      </c>
      <c r="B178" s="131"/>
      <c r="C178" s="1703" t="s">
        <v>814</v>
      </c>
      <c r="D178" s="215">
        <f>D177</f>
        <v>3.6320448143191172E-2</v>
      </c>
      <c r="E178" s="215">
        <f t="shared" ref="E178:K178" si="174">E177</f>
        <v>9.1317005635963011E-3</v>
      </c>
      <c r="F178" s="215">
        <f t="shared" si="174"/>
        <v>7.7628375301769081E-2</v>
      </c>
      <c r="G178" s="215">
        <f t="shared" si="174"/>
        <v>5.940489748946079E-2</v>
      </c>
      <c r="H178" s="215">
        <f t="shared" si="174"/>
        <v>3.1163255183917646E-2</v>
      </c>
      <c r="I178" s="215">
        <f t="shared" si="174"/>
        <v>5.8596834370951603E-2</v>
      </c>
      <c r="J178" s="215">
        <f t="shared" si="174"/>
        <v>4.3958015546400969E-2</v>
      </c>
      <c r="K178" s="215">
        <f t="shared" si="174"/>
        <v>3.1535716922911357E-2</v>
      </c>
      <c r="L178" s="387">
        <f t="shared" ref="L178:Q178" si="175">INDEX(L179:L181,MATCH($AA$150,$AC$150:$AC$152,0))</f>
        <v>2.4315905466406051E-3</v>
      </c>
      <c r="M178" s="387">
        <f t="shared" si="175"/>
        <v>1.4273367517296388E-2</v>
      </c>
      <c r="N178" s="387">
        <f t="shared" si="175"/>
        <v>-3.4168464154442413E-2</v>
      </c>
      <c r="O178" s="387">
        <f t="shared" si="175"/>
        <v>2.4931176456257267E-2</v>
      </c>
      <c r="P178" s="387">
        <f t="shared" si="175"/>
        <v>4.1981108501174536E-2</v>
      </c>
      <c r="Q178" s="387">
        <f t="shared" si="175"/>
        <v>2.6804060349951114E-2</v>
      </c>
      <c r="R178" s="387">
        <f>INDEX(R179:R181,MATCH($AA$150,$AC$150:$AC$152,0))</f>
        <v>3.4568174802419388E-2</v>
      </c>
      <c r="S178" s="387">
        <f>INDEX(S179:S181,MATCH($AA$150,$AC$150:$AC$152,0))</f>
        <v>3.3298760741917094E-2</v>
      </c>
      <c r="T178" s="387">
        <f>INDEX(T179:T181,MATCH($AA$150,$AC$150:$AC$152,0))</f>
        <v>0</v>
      </c>
      <c r="U178" s="387"/>
      <c r="V178" s="131"/>
      <c r="W178" s="131"/>
      <c r="X178" s="131"/>
      <c r="Y178" s="131"/>
      <c r="Z178" s="131"/>
      <c r="AA178" s="131"/>
      <c r="AB178" s="131"/>
      <c r="AC178" s="131"/>
    </row>
    <row r="179" spans="1:29" hidden="1" outlineLevel="1">
      <c r="A179" s="1695" t="s">
        <v>882</v>
      </c>
      <c r="B179" s="131"/>
      <c r="C179" s="1703"/>
      <c r="D179" s="1703"/>
      <c r="E179" s="1703"/>
      <c r="F179" s="1703"/>
      <c r="G179" s="1703"/>
      <c r="H179" s="215"/>
      <c r="I179" s="215"/>
      <c r="J179" s="215"/>
      <c r="K179" s="215"/>
      <c r="L179" s="387">
        <f t="shared" ref="L179:Q179" si="176">L81</f>
        <v>2.4315905466406051E-3</v>
      </c>
      <c r="M179" s="387">
        <f t="shared" si="176"/>
        <v>1.4273367517296388E-2</v>
      </c>
      <c r="N179" s="387">
        <f t="shared" si="176"/>
        <v>-3.4168464154442413E-2</v>
      </c>
      <c r="O179" s="387">
        <f t="shared" si="176"/>
        <v>2.4931176456257267E-2</v>
      </c>
      <c r="P179" s="387">
        <f t="shared" si="176"/>
        <v>4.1981108501174536E-2</v>
      </c>
      <c r="Q179" s="387">
        <f t="shared" si="176"/>
        <v>3.1804060349951112E-2</v>
      </c>
      <c r="R179" s="387">
        <f>R81</f>
        <v>3.9568174802419386E-2</v>
      </c>
      <c r="S179" s="387">
        <f>S81</f>
        <v>3.8298760741917091E-2</v>
      </c>
      <c r="T179" s="387"/>
      <c r="U179" s="387"/>
      <c r="V179" s="131"/>
      <c r="W179" s="131"/>
      <c r="X179" s="131"/>
      <c r="Y179" s="131"/>
      <c r="Z179" s="131"/>
      <c r="AA179" s="131"/>
      <c r="AB179" s="131"/>
      <c r="AC179" s="131"/>
    </row>
    <row r="180" spans="1:29" hidden="1" outlineLevel="1">
      <c r="A180" s="1695" t="s">
        <v>883</v>
      </c>
      <c r="B180" s="131"/>
      <c r="C180" s="1703"/>
      <c r="D180" s="1703"/>
      <c r="E180" s="1703"/>
      <c r="F180" s="1703"/>
      <c r="G180" s="1703"/>
      <c r="H180" s="215"/>
      <c r="I180" s="215"/>
      <c r="J180" s="215"/>
      <c r="K180" s="215"/>
      <c r="L180" s="387">
        <f t="shared" ref="L180:P181" si="177">L121</f>
        <v>2.4315905466406051E-3</v>
      </c>
      <c r="M180" s="387">
        <f t="shared" si="177"/>
        <v>1.4273367517296388E-2</v>
      </c>
      <c r="N180" s="387">
        <f t="shared" si="177"/>
        <v>-3.4168464154442413E-2</v>
      </c>
      <c r="O180" s="387">
        <f t="shared" si="177"/>
        <v>2.4931176456257267E-2</v>
      </c>
      <c r="P180" s="387">
        <f t="shared" si="177"/>
        <v>4.1981108501174536E-2</v>
      </c>
      <c r="Q180" s="387">
        <f t="shared" ref="Q180:S181" si="178">Q121</f>
        <v>2.6804060349951114E-2</v>
      </c>
      <c r="R180" s="387">
        <f t="shared" si="178"/>
        <v>3.4568174802419388E-2</v>
      </c>
      <c r="S180" s="387">
        <f t="shared" si="178"/>
        <v>3.3298760741917094E-2</v>
      </c>
      <c r="T180" s="387"/>
      <c r="U180" s="387"/>
      <c r="V180" s="131"/>
      <c r="W180" s="131"/>
      <c r="X180" s="131"/>
      <c r="Y180" s="131"/>
      <c r="Z180" s="131"/>
      <c r="AA180" s="131"/>
      <c r="AB180" s="131"/>
      <c r="AC180" s="131"/>
    </row>
    <row r="181" spans="1:29" hidden="1" outlineLevel="1">
      <c r="A181" s="1695" t="s">
        <v>881</v>
      </c>
      <c r="B181" s="131"/>
      <c r="C181" s="1703"/>
      <c r="D181" s="1703"/>
      <c r="E181" s="1703"/>
      <c r="F181" s="1703"/>
      <c r="G181" s="1703"/>
      <c r="H181" s="215"/>
      <c r="I181" s="215"/>
      <c r="J181" s="215"/>
      <c r="K181" s="215"/>
      <c r="L181" s="387">
        <f t="shared" si="177"/>
        <v>2.4315905466406051E-3</v>
      </c>
      <c r="M181" s="387">
        <f t="shared" si="177"/>
        <v>1.4273367517296388E-2</v>
      </c>
      <c r="N181" s="387">
        <f t="shared" si="177"/>
        <v>-3.4168464154442413E-2</v>
      </c>
      <c r="O181" s="387">
        <f t="shared" si="177"/>
        <v>2.4931176456257267E-2</v>
      </c>
      <c r="P181" s="387">
        <f t="shared" si="177"/>
        <v>4.1981108501174536E-2</v>
      </c>
      <c r="Q181" s="387">
        <f t="shared" si="178"/>
        <v>1.6804060349951112E-2</v>
      </c>
      <c r="R181" s="387">
        <f t="shared" si="178"/>
        <v>2.4568174802419386E-2</v>
      </c>
      <c r="S181" s="387">
        <f t="shared" si="178"/>
        <v>2.3298760741917092E-2</v>
      </c>
      <c r="T181" s="387"/>
      <c r="U181" s="387"/>
      <c r="V181" s="131"/>
      <c r="W181" s="131"/>
      <c r="X181" s="131"/>
      <c r="Y181" s="131"/>
      <c r="Z181" s="131"/>
      <c r="AA181" s="131"/>
      <c r="AB181" s="131"/>
      <c r="AC181" s="131"/>
    </row>
    <row r="182" spans="1:29" collapsed="1"/>
  </sheetData>
  <phoneticPr fontId="56" type="noConversion"/>
  <pageMargins left="0.75" right="0.75" top="1" bottom="1" header="0.5" footer="0.5"/>
  <pageSetup scale="61" orientation="landscape" r:id="rId1"/>
  <headerFooter alignWithMargins="0"/>
  <rowBreaks count="1" manualBreakCount="1">
    <brk id="81" max="21"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G70"/>
  <sheetViews>
    <sheetView showGridLines="0" zoomScaleNormal="100" zoomScaleSheetLayoutView="85" workbookViewId="0">
      <pane xSplit="2" ySplit="7" topLeftCell="CI26" activePane="bottomRight" state="frozen"/>
      <selection activeCell="C39" sqref="C39"/>
      <selection pane="topRight" activeCell="C39" sqref="C39"/>
      <selection pane="bottomLeft" activeCell="C39" sqref="C39"/>
      <selection pane="bottomRight" activeCell="DU60" sqref="DU60"/>
    </sheetView>
  </sheetViews>
  <sheetFormatPr defaultRowHeight="12.75" outlineLevelRow="1" outlineLevelCol="2"/>
  <cols>
    <col min="1" max="1" width="21.85546875" customWidth="1"/>
    <col min="2" max="2" width="2.140625" customWidth="1"/>
    <col min="3" max="6" width="8.5703125" hidden="1" customWidth="1" outlineLevel="1"/>
    <col min="7" max="7" width="2.140625" hidden="1" customWidth="1" outlineLevel="1"/>
    <col min="8" max="11" width="8.5703125" hidden="1" customWidth="1" outlineLevel="1"/>
    <col min="12" max="12" width="2.140625" hidden="1" customWidth="1" outlineLevel="1"/>
    <col min="13" max="16" width="8.5703125" hidden="1" customWidth="1" outlineLevel="1"/>
    <col min="17" max="17" width="2.140625" hidden="1" customWidth="1" outlineLevel="1"/>
    <col min="18" max="21" width="8.5703125" hidden="1" customWidth="1" outlineLevel="1"/>
    <col min="22" max="22" width="4" hidden="1" customWidth="1" outlineLevel="1"/>
    <col min="23" max="23" width="8.5703125" hidden="1" customWidth="1" outlineLevel="1" collapsed="1"/>
    <col min="24" max="26" width="8.5703125" hidden="1" customWidth="1" outlineLevel="1"/>
    <col min="27" max="27" width="2.140625" hidden="1" customWidth="1" outlineLevel="1"/>
    <col min="28" max="31" width="8.5703125" hidden="1" customWidth="1" outlineLevel="1"/>
    <col min="32" max="32" width="2.140625" hidden="1" customWidth="1" outlineLevel="1"/>
    <col min="33" max="36" width="8.5703125" hidden="1" customWidth="1" outlineLevel="1"/>
    <col min="37" max="37" width="1.140625" hidden="1" customWidth="1" outlineLevel="1"/>
    <col min="38" max="41" width="8.5703125" hidden="1" customWidth="1" outlineLevel="1"/>
    <col min="42" max="42" width="2.140625" hidden="1" customWidth="1" outlineLevel="1"/>
    <col min="43" max="43" width="8.5703125" hidden="1" customWidth="1" outlineLevel="1" collapsed="1"/>
    <col min="44" max="46" width="8.5703125" hidden="1" customWidth="1" outlineLevel="1"/>
    <col min="47" max="47" width="2.140625" hidden="1" customWidth="1" outlineLevel="1"/>
    <col min="48" max="51" width="8.5703125" hidden="1" customWidth="1" outlineLevel="1"/>
    <col min="52" max="52" width="2.140625" hidden="1" customWidth="1" outlineLevel="1"/>
    <col min="53" max="53" width="7.85546875" hidden="1" customWidth="1" outlineLevel="1"/>
    <col min="54" max="56" width="8" hidden="1" customWidth="1" outlineLevel="1"/>
    <col min="57" max="57" width="2.140625" hidden="1" customWidth="1" outlineLevel="1" collapsed="1"/>
    <col min="58" max="58" width="7.85546875" hidden="1" customWidth="1" outlineLevel="1" collapsed="1"/>
    <col min="59" max="61" width="7.85546875" hidden="1" customWidth="1" outlineLevel="1"/>
    <col min="62" max="62" width="2.140625" hidden="1" customWidth="1" outlineLevel="1"/>
    <col min="63" max="66" width="7.85546875" hidden="1" customWidth="1" outlineLevel="1"/>
    <col min="67" max="67" width="2.140625" hidden="1" customWidth="1" outlineLevel="1"/>
    <col min="68" max="68" width="7.85546875" hidden="1" customWidth="1" outlineLevel="1"/>
    <col min="69" max="71" width="8" hidden="1" customWidth="1" outlineLevel="1"/>
    <col min="72" max="72" width="2.140625" hidden="1" customWidth="1" outlineLevel="1"/>
    <col min="73" max="75" width="7.85546875" hidden="1" customWidth="1" outlineLevel="1"/>
    <col min="76" max="76" width="8.85546875" hidden="1" customWidth="1" outlineLevel="1"/>
    <col min="77" max="77" width="2.140625" hidden="1" customWidth="1" outlineLevel="1"/>
    <col min="78" max="80" width="7.85546875" hidden="1" customWidth="1" outlineLevel="1"/>
    <col min="81" max="81" width="8.85546875" hidden="1" customWidth="1" outlineLevel="1"/>
    <col min="82" max="82" width="2.140625" hidden="1" customWidth="1" outlineLevel="1"/>
    <col min="83" max="83" width="7.140625" hidden="1" customWidth="1" outlineLevel="1"/>
    <col min="84" max="84" width="7" hidden="1" customWidth="1" outlineLevel="1"/>
    <col min="85" max="85" width="6.42578125" hidden="1" customWidth="1" outlineLevel="1"/>
    <col min="86" max="86" width="7.140625" hidden="1" customWidth="1" outlineLevel="1"/>
    <col min="87" max="87" width="1.5703125" customWidth="1" collapsed="1"/>
    <col min="88" max="88" width="7.140625" customWidth="1"/>
    <col min="89" max="89" width="7.85546875" customWidth="1"/>
    <col min="90" max="90" width="6.42578125" customWidth="1"/>
    <col min="91" max="91" width="8" customWidth="1"/>
    <col min="92" max="92" width="2.140625" customWidth="1"/>
    <col min="93" max="94" width="6.5703125" customWidth="1"/>
    <col min="95" max="96" width="6.7109375" customWidth="1"/>
    <col min="97" max="97" width="2.140625" customWidth="1"/>
    <col min="98" max="98" width="6.140625" customWidth="1"/>
    <col min="99" max="99" width="7.140625" customWidth="1"/>
    <col min="100" max="100" width="6.85546875" customWidth="1"/>
    <col min="101" max="101" width="6.7109375" customWidth="1"/>
    <col min="102" max="102" width="1.28515625" customWidth="1"/>
    <col min="103" max="103" width="2.140625" hidden="1" customWidth="1" outlineLevel="1"/>
    <col min="104" max="108" width="7.140625" hidden="1" customWidth="1" outlineLevel="1"/>
    <col min="109" max="109" width="7.140625" hidden="1" customWidth="1" outlineLevel="1" collapsed="1"/>
    <col min="110" max="110" width="6.85546875" hidden="1" customWidth="1" outlineLevel="1"/>
    <col min="111" max="111" width="7.140625" hidden="1" customWidth="1" outlineLevel="1" collapsed="1"/>
    <col min="112" max="114" width="7.140625" hidden="1" customWidth="1" outlineLevel="1"/>
    <col min="115" max="116" width="6.85546875" hidden="1" customWidth="1" outlineLevel="1"/>
    <col min="117" max="118" width="7.140625" hidden="1" customWidth="1" outlineLevel="1"/>
    <col min="119" max="119" width="7.140625" customWidth="1" collapsed="1"/>
    <col min="120" max="120" width="7.140625" customWidth="1"/>
    <col min="121" max="123" width="7.5703125" customWidth="1"/>
    <col min="124" max="125" width="6.85546875" customWidth="1"/>
    <col min="126" max="126" width="7" customWidth="1"/>
    <col min="127" max="127" width="7.28515625" customWidth="1"/>
    <col min="128" max="128" width="7.42578125" customWidth="1"/>
    <col min="129" max="130" width="9.140625" hidden="1" customWidth="1" outlineLevel="2"/>
    <col min="131" max="131" width="35.42578125" hidden="1" customWidth="1" outlineLevel="1" collapsed="1"/>
    <col min="132" max="136" width="9.140625" hidden="1" customWidth="1" outlineLevel="1"/>
    <col min="137" max="137" width="9.140625" collapsed="1"/>
  </cols>
  <sheetData>
    <row r="1" spans="1:130">
      <c r="A1" s="1498" t="s">
        <v>136</v>
      </c>
      <c r="B1" s="458"/>
      <c r="C1" s="458"/>
      <c r="D1" s="458"/>
      <c r="E1" s="458"/>
      <c r="F1" s="458"/>
      <c r="G1" s="458"/>
      <c r="H1" s="458"/>
      <c r="I1" s="458"/>
      <c r="J1" s="458"/>
      <c r="K1" s="458"/>
      <c r="L1" s="459"/>
      <c r="M1" s="458"/>
      <c r="N1" s="458"/>
      <c r="O1" s="458"/>
      <c r="P1" s="458"/>
      <c r="Q1" s="459"/>
      <c r="R1" s="458"/>
      <c r="S1" s="458"/>
      <c r="T1" s="458"/>
      <c r="U1" s="458"/>
      <c r="V1" s="459"/>
      <c r="W1" s="458"/>
      <c r="X1" s="458"/>
      <c r="Y1" s="458"/>
      <c r="Z1" s="458"/>
      <c r="AA1" s="459"/>
      <c r="AB1" s="458"/>
      <c r="AC1" s="458"/>
      <c r="AD1" s="458"/>
      <c r="AE1" s="458"/>
      <c r="AF1" s="459"/>
      <c r="AG1" s="458"/>
      <c r="AH1" s="458"/>
      <c r="AI1" s="458"/>
      <c r="AJ1" s="458"/>
      <c r="AK1" s="459"/>
      <c r="AL1" s="458"/>
      <c r="AM1" s="458"/>
      <c r="AN1" s="458"/>
      <c r="AO1" s="458"/>
      <c r="AP1" s="459"/>
      <c r="AQ1" s="458"/>
      <c r="AR1" s="458"/>
      <c r="AS1" s="458"/>
      <c r="AT1" s="458"/>
      <c r="AU1" s="459"/>
      <c r="AV1" s="459"/>
      <c r="AW1" s="459"/>
      <c r="AX1" s="459"/>
      <c r="AY1" s="459"/>
      <c r="AZ1" s="459"/>
      <c r="BA1" s="459"/>
      <c r="BB1" s="459"/>
      <c r="BC1" s="459"/>
      <c r="BD1" s="459"/>
      <c r="BE1" s="459"/>
      <c r="BF1" s="459"/>
      <c r="BG1" s="459"/>
      <c r="BH1" s="459"/>
      <c r="BI1" s="459"/>
      <c r="BJ1" s="459"/>
      <c r="BK1" s="459"/>
      <c r="BL1" s="459"/>
      <c r="BM1" s="459"/>
      <c r="BN1" s="459"/>
      <c r="BO1" s="459"/>
      <c r="BP1" s="459"/>
      <c r="BQ1" s="459"/>
      <c r="BR1" s="459"/>
      <c r="BS1" s="459"/>
      <c r="BT1" s="459"/>
      <c r="BU1" s="459"/>
      <c r="BV1" s="459"/>
      <c r="BW1" s="459"/>
      <c r="BX1" s="459"/>
      <c r="BY1" s="459"/>
      <c r="BZ1" s="459"/>
      <c r="CA1" s="459"/>
      <c r="CB1" s="459"/>
      <c r="CC1" s="459"/>
      <c r="CD1" s="459"/>
      <c r="CE1" s="459"/>
      <c r="CF1" s="459"/>
      <c r="CG1" s="459"/>
      <c r="CH1" s="459"/>
      <c r="CI1" s="459"/>
      <c r="CJ1" s="459"/>
      <c r="CK1" s="459"/>
      <c r="CL1" s="459"/>
      <c r="CM1" s="459"/>
      <c r="CN1" s="459"/>
      <c r="CO1" s="459"/>
      <c r="CP1" s="459"/>
      <c r="CQ1" s="459"/>
      <c r="CR1" s="459"/>
      <c r="CS1" s="459"/>
      <c r="CT1" s="2334"/>
      <c r="CU1" s="2334"/>
      <c r="CV1" s="2334"/>
      <c r="CW1" s="2334"/>
      <c r="CX1" s="459"/>
      <c r="CY1" s="459"/>
      <c r="CZ1" s="459"/>
      <c r="DA1" s="459"/>
      <c r="DB1" s="459"/>
      <c r="DC1" s="458"/>
      <c r="DD1" s="458"/>
      <c r="DE1" s="1593"/>
      <c r="DF1" s="1593"/>
      <c r="DG1" s="484"/>
      <c r="DH1" s="484"/>
      <c r="DI1" s="459"/>
      <c r="DJ1" s="459"/>
      <c r="DK1" s="459"/>
      <c r="DL1" s="459"/>
      <c r="DM1" s="459"/>
      <c r="DN1" s="330"/>
      <c r="DO1" s="330"/>
      <c r="DP1" s="330"/>
      <c r="DQ1" s="426"/>
      <c r="DR1" s="426"/>
      <c r="DS1" s="426"/>
      <c r="DT1" s="426"/>
      <c r="DU1" s="330"/>
      <c r="DV1" s="330"/>
      <c r="DW1" s="330"/>
      <c r="DX1" s="330"/>
      <c r="DY1" s="405"/>
      <c r="DZ1" s="330"/>
    </row>
    <row r="2" spans="1:130">
      <c r="A2" s="460" t="s">
        <v>3107</v>
      </c>
      <c r="B2" s="461"/>
      <c r="C2" s="461"/>
      <c r="D2" s="461"/>
      <c r="E2" s="461"/>
      <c r="F2" s="461"/>
      <c r="G2" s="461"/>
      <c r="H2" s="461"/>
      <c r="I2" s="461"/>
      <c r="J2" s="461"/>
      <c r="K2" s="461"/>
      <c r="L2" s="462"/>
      <c r="M2" s="461"/>
      <c r="N2" s="461"/>
      <c r="O2" s="461"/>
      <c r="P2" s="461"/>
      <c r="Q2" s="462"/>
      <c r="R2" s="461"/>
      <c r="S2" s="461"/>
      <c r="T2" s="461"/>
      <c r="U2" s="461"/>
      <c r="V2" s="462"/>
      <c r="W2" s="461"/>
      <c r="X2" s="461"/>
      <c r="Y2" s="461"/>
      <c r="Z2" s="461"/>
      <c r="AA2" s="462"/>
      <c r="AB2" s="461"/>
      <c r="AC2" s="461"/>
      <c r="AD2" s="461"/>
      <c r="AE2" s="461"/>
      <c r="AF2" s="462"/>
      <c r="AG2" s="461"/>
      <c r="AH2" s="461"/>
      <c r="AI2" s="461"/>
      <c r="AJ2" s="461"/>
      <c r="AK2" s="462"/>
      <c r="AL2" s="461"/>
      <c r="AM2" s="461"/>
      <c r="AN2" s="461"/>
      <c r="AO2" s="461"/>
      <c r="AP2" s="462"/>
      <c r="AQ2" s="461"/>
      <c r="AR2" s="461"/>
      <c r="AS2" s="461"/>
      <c r="AT2" s="461"/>
      <c r="AU2" s="462"/>
      <c r="AV2" s="462"/>
      <c r="AW2" s="462"/>
      <c r="AX2" s="462"/>
      <c r="AY2" s="462"/>
      <c r="AZ2" s="462"/>
      <c r="BA2" s="462"/>
      <c r="BB2" s="462"/>
      <c r="BC2" s="462"/>
      <c r="BD2" s="462"/>
      <c r="BE2" s="462"/>
      <c r="BF2" s="462"/>
      <c r="BG2" s="462"/>
      <c r="BH2" s="462"/>
      <c r="BI2" s="462"/>
      <c r="BJ2" s="462"/>
      <c r="BK2" s="462"/>
      <c r="BL2" s="462"/>
      <c r="BM2" s="462"/>
      <c r="BN2" s="462"/>
      <c r="BO2" s="462"/>
      <c r="BP2" s="462"/>
      <c r="BQ2" s="462"/>
      <c r="BR2" s="462"/>
      <c r="BS2" s="462"/>
      <c r="BT2" s="462"/>
      <c r="BU2" s="462"/>
      <c r="BV2" s="462"/>
      <c r="BW2" s="462"/>
      <c r="BX2" s="462"/>
      <c r="BY2" s="462"/>
      <c r="BZ2" s="462"/>
      <c r="CA2" s="462"/>
      <c r="CB2" s="462"/>
      <c r="CC2" s="462"/>
      <c r="CD2" s="462"/>
      <c r="CE2" s="462"/>
      <c r="CF2" s="462"/>
      <c r="CG2" s="462"/>
      <c r="CH2" s="462"/>
      <c r="CI2" s="462"/>
      <c r="CJ2" s="462"/>
      <c r="CK2" s="462"/>
      <c r="CL2" s="462"/>
      <c r="CM2" s="462"/>
      <c r="CN2" s="462"/>
      <c r="CO2" s="462"/>
      <c r="CP2" s="462"/>
      <c r="CQ2" s="462"/>
      <c r="CR2" s="462"/>
      <c r="CS2" s="462"/>
      <c r="CT2" s="2335"/>
      <c r="CU2" s="2335"/>
      <c r="CV2" s="2335"/>
      <c r="CW2" s="2335"/>
      <c r="CX2" s="462"/>
      <c r="CY2" s="462"/>
      <c r="CZ2" s="462"/>
      <c r="DA2" s="462"/>
      <c r="DB2" s="462"/>
      <c r="DC2" s="461"/>
      <c r="DD2" s="461"/>
      <c r="DE2" s="461"/>
      <c r="DF2" s="461"/>
      <c r="DG2" s="462"/>
      <c r="DH2" s="462"/>
      <c r="DI2" s="462"/>
      <c r="DJ2" s="462"/>
      <c r="DK2" s="462"/>
      <c r="DL2" s="462"/>
      <c r="DM2" s="462"/>
      <c r="DN2" s="340"/>
      <c r="DO2" s="340"/>
      <c r="DP2" s="340"/>
      <c r="DQ2" s="340"/>
      <c r="DR2" s="340"/>
      <c r="DS2" s="340"/>
      <c r="DT2" s="340"/>
      <c r="DU2" s="330"/>
      <c r="DV2" s="330"/>
      <c r="DW2" s="330"/>
      <c r="DX2" s="330"/>
      <c r="DY2" s="405"/>
      <c r="DZ2" s="330"/>
    </row>
    <row r="3" spans="1:130">
      <c r="A3" s="459" t="s">
        <v>850</v>
      </c>
      <c r="B3" s="458"/>
      <c r="C3" s="458"/>
      <c r="D3" s="458"/>
      <c r="E3" s="458"/>
      <c r="F3" s="458"/>
      <c r="G3" s="458"/>
      <c r="H3" s="458"/>
      <c r="I3" s="458"/>
      <c r="J3" s="458"/>
      <c r="K3" s="458"/>
      <c r="L3" s="459"/>
      <c r="M3" s="458"/>
      <c r="N3" s="458"/>
      <c r="O3" s="458"/>
      <c r="P3" s="458"/>
      <c r="Q3" s="459"/>
      <c r="R3" s="458"/>
      <c r="S3" s="458"/>
      <c r="T3" s="458"/>
      <c r="U3" s="458"/>
      <c r="V3" s="459"/>
      <c r="W3" s="458"/>
      <c r="X3" s="458"/>
      <c r="Y3" s="458"/>
      <c r="Z3" s="458"/>
      <c r="AA3" s="459"/>
      <c r="AB3" s="458"/>
      <c r="AC3" s="458"/>
      <c r="AD3" s="458"/>
      <c r="AE3" s="458"/>
      <c r="AF3" s="459"/>
      <c r="AG3" s="458"/>
      <c r="AH3" s="458"/>
      <c r="AI3" s="458"/>
      <c r="AJ3" s="458"/>
      <c r="AK3" s="459"/>
      <c r="AL3" s="458"/>
      <c r="AM3" s="458"/>
      <c r="AN3" s="458"/>
      <c r="AO3" s="458"/>
      <c r="AP3" s="459"/>
      <c r="AQ3" s="458"/>
      <c r="AR3" s="458"/>
      <c r="AS3" s="458"/>
      <c r="AT3" s="458"/>
      <c r="AU3" s="459"/>
      <c r="AV3" s="459"/>
      <c r="AW3" s="459"/>
      <c r="AX3" s="459"/>
      <c r="AY3" s="459"/>
      <c r="AZ3" s="459"/>
      <c r="BA3" s="459"/>
      <c r="BB3" s="459"/>
      <c r="BC3" s="459"/>
      <c r="BD3" s="459"/>
      <c r="BE3" s="459"/>
      <c r="BF3" s="459"/>
      <c r="BG3" s="459"/>
      <c r="BH3" s="459"/>
      <c r="BI3" s="459"/>
      <c r="BJ3" s="459"/>
      <c r="BK3" s="459"/>
      <c r="BL3" s="459"/>
      <c r="BM3" s="459"/>
      <c r="BN3" s="459"/>
      <c r="BO3" s="459"/>
      <c r="BP3" s="459"/>
      <c r="BQ3" s="459"/>
      <c r="BR3" s="459"/>
      <c r="BS3" s="459"/>
      <c r="BT3" s="459"/>
      <c r="BU3" s="459"/>
      <c r="BV3" s="459"/>
      <c r="BW3" s="459"/>
      <c r="BX3" s="459"/>
      <c r="BY3" s="459"/>
      <c r="BZ3" s="459"/>
      <c r="CA3" s="459"/>
      <c r="CB3" s="459"/>
      <c r="CC3" s="459"/>
      <c r="CD3" s="459"/>
      <c r="CE3" s="459"/>
      <c r="CF3" s="459"/>
      <c r="CG3" s="459"/>
      <c r="CH3" s="459"/>
      <c r="CI3" s="459"/>
      <c r="CJ3" s="459"/>
      <c r="CK3" s="459"/>
      <c r="CL3" s="459"/>
      <c r="CM3" s="459"/>
      <c r="CN3" s="459"/>
      <c r="CO3" s="459"/>
      <c r="CP3" s="459"/>
      <c r="CQ3" s="459"/>
      <c r="CR3" s="459"/>
      <c r="CS3" s="459"/>
      <c r="CT3" s="2334"/>
      <c r="CU3" s="2334"/>
      <c r="CV3" s="2334"/>
      <c r="CW3" s="2334"/>
      <c r="CX3" s="459"/>
      <c r="CY3" s="459"/>
      <c r="CZ3" s="459"/>
      <c r="DA3" s="459"/>
      <c r="DB3" s="459"/>
      <c r="DC3" s="458"/>
      <c r="DD3" s="458"/>
      <c r="DE3" s="1593"/>
      <c r="DF3" s="1593"/>
      <c r="DG3" s="484"/>
      <c r="DH3" s="484"/>
      <c r="DI3" s="459"/>
      <c r="DJ3" s="459"/>
      <c r="DK3" s="459"/>
      <c r="DL3" s="459"/>
      <c r="DM3" s="459"/>
      <c r="DN3" s="330"/>
      <c r="DO3" s="330"/>
      <c r="DP3" s="330"/>
      <c r="DQ3" s="426"/>
      <c r="DR3" s="426"/>
      <c r="DS3" s="426"/>
      <c r="DT3" s="426"/>
      <c r="DU3" s="330"/>
      <c r="DV3" s="330"/>
      <c r="DW3" s="330"/>
      <c r="DX3" s="330"/>
      <c r="DY3" s="405"/>
      <c r="DZ3" s="330"/>
    </row>
    <row r="4" spans="1:130">
      <c r="A4" s="459"/>
      <c r="B4" s="458"/>
      <c r="C4" s="458"/>
      <c r="D4" s="458"/>
      <c r="E4" s="458"/>
      <c r="F4" s="458"/>
      <c r="G4" s="458"/>
      <c r="H4" s="458"/>
      <c r="I4" s="458"/>
      <c r="J4" s="458"/>
      <c r="K4" s="458"/>
      <c r="L4" s="459"/>
      <c r="M4" s="458"/>
      <c r="N4" s="458"/>
      <c r="O4" s="458"/>
      <c r="P4" s="458"/>
      <c r="Q4" s="459"/>
      <c r="R4" s="458"/>
      <c r="S4" s="458"/>
      <c r="T4" s="458"/>
      <c r="U4" s="458"/>
      <c r="V4" s="459"/>
      <c r="W4" s="458"/>
      <c r="X4" s="458"/>
      <c r="Y4" s="458"/>
      <c r="Z4" s="458"/>
      <c r="AA4" s="459"/>
      <c r="AB4" s="458"/>
      <c r="AC4" s="458"/>
      <c r="AD4" s="458"/>
      <c r="AE4" s="458"/>
      <c r="AF4" s="459"/>
      <c r="AG4" s="458"/>
      <c r="AH4" s="458"/>
      <c r="AI4" s="458"/>
      <c r="AJ4" s="458"/>
      <c r="AK4" s="459"/>
      <c r="AL4" s="458"/>
      <c r="AM4" s="458"/>
      <c r="AN4" s="458"/>
      <c r="AO4" s="458"/>
      <c r="AP4" s="459"/>
      <c r="AQ4" s="458"/>
      <c r="AR4" s="458"/>
      <c r="AS4" s="458"/>
      <c r="AT4" s="458"/>
      <c r="AU4" s="459"/>
      <c r="AV4" s="459"/>
      <c r="AW4" s="459"/>
      <c r="AX4" s="459"/>
      <c r="AY4" s="459"/>
      <c r="AZ4" s="459"/>
      <c r="BA4" s="459"/>
      <c r="BB4" s="459"/>
      <c r="BC4" s="459"/>
      <c r="BD4" s="459"/>
      <c r="BE4" s="459"/>
      <c r="BF4" s="459"/>
      <c r="BG4" s="459"/>
      <c r="BH4" s="459"/>
      <c r="BI4" s="459"/>
      <c r="BJ4" s="459"/>
      <c r="BK4" s="459"/>
      <c r="BL4" s="459"/>
      <c r="BM4" s="459"/>
      <c r="BN4" s="459"/>
      <c r="BO4" s="459"/>
      <c r="BP4" s="459"/>
      <c r="BQ4" s="459"/>
      <c r="BR4" s="459"/>
      <c r="BS4" s="459"/>
      <c r="BT4" s="459"/>
      <c r="BU4" s="459"/>
      <c r="BV4" s="459"/>
      <c r="BW4" s="459"/>
      <c r="BX4" s="459"/>
      <c r="BY4" s="459"/>
      <c r="BZ4" s="459"/>
      <c r="CA4" s="459"/>
      <c r="CB4" s="459"/>
      <c r="CC4" s="459"/>
      <c r="CD4" s="459"/>
      <c r="CE4" s="459"/>
      <c r="CF4" s="459"/>
      <c r="CG4" s="459"/>
      <c r="CH4" s="459"/>
      <c r="CI4" s="459"/>
      <c r="CJ4" s="459"/>
      <c r="CK4" s="459"/>
      <c r="CL4" s="459"/>
      <c r="CM4" s="459"/>
      <c r="CN4" s="459"/>
      <c r="CO4" s="459"/>
      <c r="CP4" s="459"/>
      <c r="CQ4" s="459"/>
      <c r="CR4" s="459"/>
      <c r="CS4" s="459"/>
      <c r="CT4" s="2334"/>
      <c r="CU4" s="2334"/>
      <c r="CV4" s="2334"/>
      <c r="CW4" s="2334"/>
      <c r="CX4" s="459"/>
      <c r="CY4" s="459"/>
      <c r="CZ4" s="459"/>
      <c r="DA4" s="459"/>
      <c r="DB4" s="459"/>
      <c r="DC4" s="458"/>
      <c r="DD4" s="458"/>
      <c r="DE4" s="1593"/>
      <c r="DF4" s="1593"/>
      <c r="DG4" s="484"/>
      <c r="DH4" s="484"/>
      <c r="DI4" s="459"/>
      <c r="DJ4" s="459"/>
      <c r="DK4" s="459"/>
      <c r="DL4" s="459"/>
      <c r="DM4" s="459"/>
      <c r="DN4" s="330"/>
      <c r="DO4" s="330"/>
      <c r="DP4" s="330"/>
      <c r="DQ4" s="426"/>
      <c r="DR4" s="426"/>
      <c r="DS4" s="426"/>
      <c r="DT4" s="426"/>
      <c r="DU4" s="330"/>
      <c r="DV4" s="330"/>
      <c r="DW4" s="330"/>
      <c r="DX4" s="330"/>
      <c r="DY4" s="405"/>
      <c r="DZ4" s="330"/>
    </row>
    <row r="5" spans="1:130">
      <c r="A5" s="463"/>
      <c r="B5" s="464"/>
      <c r="C5" s="465"/>
      <c r="D5" s="465"/>
      <c r="E5" s="465"/>
      <c r="F5" s="465"/>
      <c r="G5" s="465"/>
      <c r="H5" s="465"/>
      <c r="I5" s="465"/>
      <c r="J5" s="465"/>
      <c r="K5" s="465"/>
      <c r="L5" s="466"/>
      <c r="M5" s="465"/>
      <c r="N5" s="465"/>
      <c r="O5" s="465"/>
      <c r="P5" s="465"/>
      <c r="Q5" s="466"/>
      <c r="R5" s="465"/>
      <c r="S5" s="465"/>
      <c r="T5" s="465"/>
      <c r="U5" s="465"/>
      <c r="V5" s="466" t="s">
        <v>2363</v>
      </c>
      <c r="W5" s="465"/>
      <c r="X5" s="465"/>
      <c r="Y5" s="465"/>
      <c r="Z5" s="465"/>
      <c r="AA5" s="466" t="s">
        <v>2363</v>
      </c>
      <c r="AB5" s="465"/>
      <c r="AC5" s="465"/>
      <c r="AD5" s="465"/>
      <c r="AE5" s="465"/>
      <c r="AF5" s="459"/>
      <c r="AG5" s="465"/>
      <c r="AH5" s="465"/>
      <c r="AI5" s="465"/>
      <c r="AJ5" s="465"/>
      <c r="AK5" s="459"/>
      <c r="AL5" s="465"/>
      <c r="AM5" s="465"/>
      <c r="AN5" s="465"/>
      <c r="AO5" s="465"/>
      <c r="AP5" s="459"/>
      <c r="AQ5" s="465"/>
      <c r="AR5" s="465"/>
      <c r="AS5" s="465"/>
      <c r="AT5" s="465"/>
      <c r="AU5" s="459"/>
      <c r="AV5" s="459"/>
      <c r="AW5" s="459"/>
      <c r="AX5" s="459"/>
      <c r="AY5" s="459"/>
      <c r="AZ5" s="459"/>
      <c r="BA5" s="459"/>
      <c r="BB5" s="459"/>
      <c r="BC5" s="459"/>
      <c r="BD5" s="459"/>
      <c r="BE5" s="459"/>
      <c r="BF5" s="459"/>
      <c r="BG5" s="459"/>
      <c r="BH5" s="459"/>
      <c r="BI5" s="459"/>
      <c r="BJ5" s="459"/>
      <c r="BK5" s="459"/>
      <c r="BL5" s="459"/>
      <c r="BM5" s="459"/>
      <c r="BN5" s="459"/>
      <c r="BO5" s="459"/>
      <c r="BP5" s="459"/>
      <c r="BQ5" s="459"/>
      <c r="BR5" s="459"/>
      <c r="BS5" s="459"/>
      <c r="BT5" s="459"/>
      <c r="BU5" s="459"/>
      <c r="BV5" s="459"/>
      <c r="BW5" s="1807"/>
      <c r="BX5" s="459"/>
      <c r="BY5" s="459"/>
      <c r="BZ5" s="459"/>
      <c r="CA5" s="459"/>
      <c r="CB5" s="459"/>
      <c r="CC5" s="459"/>
      <c r="CD5" s="459"/>
      <c r="CE5" s="459"/>
      <c r="CF5" s="459"/>
      <c r="CG5" s="459"/>
      <c r="CH5" s="459"/>
      <c r="CI5" s="459"/>
      <c r="CJ5" s="459"/>
      <c r="CK5" s="459"/>
      <c r="CL5" s="459"/>
      <c r="CM5" s="459"/>
      <c r="CN5" s="459"/>
      <c r="CO5" s="459"/>
      <c r="CP5" s="459"/>
      <c r="CQ5" s="459"/>
      <c r="CR5" s="459"/>
      <c r="CS5" s="459"/>
      <c r="CT5" s="2334"/>
      <c r="CU5" s="2334"/>
      <c r="CV5" s="2334"/>
      <c r="CW5" s="2334"/>
      <c r="CX5" s="459"/>
      <c r="CY5" s="459"/>
      <c r="CZ5" s="464"/>
      <c r="DA5" s="464"/>
      <c r="DB5" s="464"/>
      <c r="DC5" s="464"/>
      <c r="DD5" s="464"/>
      <c r="DE5" s="464"/>
      <c r="DF5" s="464"/>
      <c r="DG5" s="464"/>
      <c r="DH5" s="464"/>
      <c r="DI5" s="464" t="s">
        <v>466</v>
      </c>
      <c r="DJ5" s="464"/>
      <c r="DK5" s="464"/>
      <c r="DL5" s="464"/>
      <c r="DM5" s="464"/>
      <c r="DN5" s="1595"/>
      <c r="DO5" s="1595"/>
      <c r="DP5" s="1595"/>
      <c r="DQ5" s="1638"/>
      <c r="DR5" s="1595"/>
      <c r="DS5" s="1595"/>
      <c r="DT5" s="1595"/>
      <c r="DU5" s="330"/>
      <c r="DV5" s="330"/>
      <c r="DW5" s="330"/>
      <c r="DX5" s="330"/>
      <c r="DY5" s="405"/>
      <c r="DZ5" s="330"/>
    </row>
    <row r="6" spans="1:130">
      <c r="A6" s="467"/>
      <c r="B6" s="2215" t="s">
        <v>467</v>
      </c>
      <c r="C6" s="2216">
        <v>1999</v>
      </c>
      <c r="D6" s="2217"/>
      <c r="E6" s="2217"/>
      <c r="F6" s="2217"/>
      <c r="G6" s="2218"/>
      <c r="H6" s="2219" t="s">
        <v>1969</v>
      </c>
      <c r="I6" s="2219"/>
      <c r="J6" s="2219"/>
      <c r="K6" s="2219"/>
      <c r="L6" s="2198"/>
      <c r="M6" s="2219" t="str">
        <f>+DE6</f>
        <v>2001A</v>
      </c>
      <c r="N6" s="2219"/>
      <c r="O6" s="2219"/>
      <c r="P6" s="2219"/>
      <c r="Q6" s="2198"/>
      <c r="R6" s="2219" t="str">
        <f>DF6</f>
        <v>2002A</v>
      </c>
      <c r="S6" s="2219"/>
      <c r="T6" s="2219"/>
      <c r="U6" s="2219"/>
      <c r="V6" s="2198"/>
      <c r="W6" s="2219" t="s">
        <v>1528</v>
      </c>
      <c r="X6" s="2219"/>
      <c r="Y6" s="2219"/>
      <c r="Z6" s="2219"/>
      <c r="AA6" s="2198"/>
      <c r="AB6" s="2219" t="s">
        <v>584</v>
      </c>
      <c r="AC6" s="2219"/>
      <c r="AD6" s="2219"/>
      <c r="AE6" s="2219"/>
      <c r="AF6" s="2198"/>
      <c r="AG6" s="2220" t="s">
        <v>64</v>
      </c>
      <c r="AH6" s="2219"/>
      <c r="AI6" s="2219"/>
      <c r="AJ6" s="2219"/>
      <c r="AK6" s="2198"/>
      <c r="AL6" s="2219" t="s">
        <v>1364</v>
      </c>
      <c r="AM6" s="2219"/>
      <c r="AN6" s="2219"/>
      <c r="AO6" s="2219"/>
      <c r="AP6" s="2198"/>
      <c r="AQ6" s="2221" t="s">
        <v>1891</v>
      </c>
      <c r="AR6" s="2221"/>
      <c r="AS6" s="2221"/>
      <c r="AT6" s="2221"/>
      <c r="AU6" s="2222"/>
      <c r="AV6" s="2223" t="s">
        <v>1892</v>
      </c>
      <c r="AW6" s="2223"/>
      <c r="AX6" s="2223"/>
      <c r="AY6" s="2223"/>
      <c r="AZ6" s="2198"/>
      <c r="BA6" s="2223" t="s">
        <v>158</v>
      </c>
      <c r="BB6" s="2224"/>
      <c r="BC6" s="2224"/>
      <c r="BD6" s="2224"/>
      <c r="BE6" s="2198"/>
      <c r="BF6" s="2223" t="s">
        <v>159</v>
      </c>
      <c r="BG6" s="2224"/>
      <c r="BH6" s="2224"/>
      <c r="BI6" s="2224"/>
      <c r="BJ6" s="2198"/>
      <c r="BK6" s="2224" t="s">
        <v>1592</v>
      </c>
      <c r="BL6" s="2224"/>
      <c r="BM6" s="2224"/>
      <c r="BN6" s="2224"/>
      <c r="BO6" s="2198"/>
      <c r="BP6" s="2224" t="s">
        <v>705</v>
      </c>
      <c r="BQ6" s="2224"/>
      <c r="BR6" s="2224"/>
      <c r="BS6" s="2224"/>
      <c r="BT6" s="2198"/>
      <c r="BU6" s="2224" t="s">
        <v>1177</v>
      </c>
      <c r="BV6" s="2224"/>
      <c r="BW6" s="2224"/>
      <c r="BX6" s="2224"/>
      <c r="BY6" s="2198"/>
      <c r="BZ6" s="2501" t="s">
        <v>2454</v>
      </c>
      <c r="CA6" s="2501"/>
      <c r="CB6" s="2501"/>
      <c r="CC6" s="2501"/>
      <c r="CD6" s="2198"/>
      <c r="CE6" s="2502" t="s">
        <v>2459</v>
      </c>
      <c r="CF6" s="2502"/>
      <c r="CG6" s="2502"/>
      <c r="CH6" s="2502"/>
      <c r="CI6" s="2225"/>
      <c r="CJ6" s="2502" t="s">
        <v>2460</v>
      </c>
      <c r="CK6" s="2502"/>
      <c r="CL6" s="2502"/>
      <c r="CM6" s="2502"/>
      <c r="CN6" s="2225"/>
      <c r="CO6" s="2502" t="s">
        <v>3110</v>
      </c>
      <c r="CP6" s="2502"/>
      <c r="CQ6" s="2502"/>
      <c r="CR6" s="2502"/>
      <c r="CS6" s="1308"/>
      <c r="CT6" s="2503" t="s">
        <v>1307</v>
      </c>
      <c r="CU6" s="2503"/>
      <c r="CV6" s="2503"/>
      <c r="CW6" s="2504"/>
      <c r="CX6" s="467"/>
      <c r="CY6" s="467"/>
      <c r="CZ6" s="468">
        <v>1996</v>
      </c>
      <c r="DA6" s="468">
        <v>1997</v>
      </c>
      <c r="DB6" s="468">
        <v>1998</v>
      </c>
      <c r="DC6" s="469">
        <v>1999</v>
      </c>
      <c r="DD6" s="469">
        <v>2000</v>
      </c>
      <c r="DE6" s="469" t="s">
        <v>1529</v>
      </c>
      <c r="DF6" s="469" t="s">
        <v>1530</v>
      </c>
      <c r="DG6" s="469" t="s">
        <v>1528</v>
      </c>
      <c r="DH6" s="469" t="s">
        <v>584</v>
      </c>
      <c r="DI6" s="470" t="s">
        <v>64</v>
      </c>
      <c r="DJ6" s="470" t="s">
        <v>1364</v>
      </c>
      <c r="DK6" s="471" t="s">
        <v>1891</v>
      </c>
      <c r="DL6" s="470" t="s">
        <v>1892</v>
      </c>
      <c r="DM6" s="471" t="s">
        <v>158</v>
      </c>
      <c r="DN6" s="470" t="s">
        <v>159</v>
      </c>
      <c r="DO6" s="470" t="s">
        <v>1592</v>
      </c>
      <c r="DP6" s="471" t="s">
        <v>705</v>
      </c>
      <c r="DQ6" s="471" t="s">
        <v>1177</v>
      </c>
      <c r="DR6" s="471" t="s">
        <v>2454</v>
      </c>
      <c r="DS6" s="471" t="s">
        <v>2459</v>
      </c>
      <c r="DT6" s="471" t="s">
        <v>2460</v>
      </c>
      <c r="DU6" s="471" t="s">
        <v>3110</v>
      </c>
      <c r="DV6" s="1227" t="s">
        <v>1307</v>
      </c>
      <c r="DW6" s="1227" t="s">
        <v>2440</v>
      </c>
      <c r="DX6" s="1228" t="s">
        <v>2457</v>
      </c>
      <c r="DY6" s="2400" t="s">
        <v>3103</v>
      </c>
      <c r="DZ6" s="2329" t="s">
        <v>3109</v>
      </c>
    </row>
    <row r="7" spans="1:130">
      <c r="A7" s="472" t="s">
        <v>468</v>
      </c>
      <c r="B7" s="473"/>
      <c r="C7" s="474" t="s">
        <v>1985</v>
      </c>
      <c r="D7" s="474" t="s">
        <v>1986</v>
      </c>
      <c r="E7" s="474" t="s">
        <v>1987</v>
      </c>
      <c r="F7" s="474" t="s">
        <v>1988</v>
      </c>
      <c r="G7" s="473"/>
      <c r="H7" s="475" t="s">
        <v>1985</v>
      </c>
      <c r="I7" s="475" t="str">
        <f>D7</f>
        <v>Jul</v>
      </c>
      <c r="J7" s="475" t="str">
        <f>E7</f>
        <v>Oct</v>
      </c>
      <c r="K7" s="475" t="str">
        <f>F7</f>
        <v>Jan</v>
      </c>
      <c r="L7" s="476"/>
      <c r="M7" s="475" t="str">
        <f>+H7</f>
        <v>Apr</v>
      </c>
      <c r="N7" s="475" t="str">
        <f>+I7</f>
        <v>Jul</v>
      </c>
      <c r="O7" s="475" t="str">
        <f>+J7</f>
        <v>Oct</v>
      </c>
      <c r="P7" s="475" t="str">
        <f>+K7</f>
        <v>Jan</v>
      </c>
      <c r="Q7" s="476"/>
      <c r="R7" s="475" t="str">
        <f>+M7</f>
        <v>Apr</v>
      </c>
      <c r="S7" s="475" t="str">
        <f>+N7</f>
        <v>Jul</v>
      </c>
      <c r="T7" s="475" t="str">
        <f>+O7</f>
        <v>Oct</v>
      </c>
      <c r="U7" s="475" t="str">
        <f>+P7</f>
        <v>Jan</v>
      </c>
      <c r="V7" s="477"/>
      <c r="W7" s="475" t="str">
        <f>+R7</f>
        <v>Apr</v>
      </c>
      <c r="X7" s="475" t="str">
        <f>+S7</f>
        <v>Jul</v>
      </c>
      <c r="Y7" s="475" t="str">
        <f>+T7</f>
        <v>Oct</v>
      </c>
      <c r="Z7" s="475" t="str">
        <f>+U7</f>
        <v>Jan</v>
      </c>
      <c r="AA7" s="477"/>
      <c r="AB7" s="475" t="str">
        <f>+W7</f>
        <v>Apr</v>
      </c>
      <c r="AC7" s="475" t="str">
        <f>+X7</f>
        <v>Jul</v>
      </c>
      <c r="AD7" s="475" t="str">
        <f>+Y7</f>
        <v>Oct</v>
      </c>
      <c r="AE7" s="475" t="str">
        <f>+Z7</f>
        <v>Jan</v>
      </c>
      <c r="AF7" s="476"/>
      <c r="AG7" s="475" t="s">
        <v>1985</v>
      </c>
      <c r="AH7" s="475" t="str">
        <f>+AC7</f>
        <v>Jul</v>
      </c>
      <c r="AI7" s="475" t="str">
        <f>+AD7</f>
        <v>Oct</v>
      </c>
      <c r="AJ7" s="475" t="str">
        <f>+AE7</f>
        <v>Jan</v>
      </c>
      <c r="AK7" s="476"/>
      <c r="AL7" s="475" t="s">
        <v>1985</v>
      </c>
      <c r="AM7" s="475" t="str">
        <f>+AH7</f>
        <v>Jul</v>
      </c>
      <c r="AN7" s="475" t="str">
        <f>+AI7</f>
        <v>Oct</v>
      </c>
      <c r="AO7" s="475" t="str">
        <f>+AJ7</f>
        <v>Jan</v>
      </c>
      <c r="AP7" s="476"/>
      <c r="AQ7" s="1220" t="s">
        <v>1985</v>
      </c>
      <c r="AR7" s="1220" t="str">
        <f>+AM7</f>
        <v>Jul</v>
      </c>
      <c r="AS7" s="1220" t="str">
        <f>+AN7</f>
        <v>Oct</v>
      </c>
      <c r="AT7" s="1220" t="str">
        <f>+AO7</f>
        <v>Jan</v>
      </c>
      <c r="AU7" s="1221"/>
      <c r="AV7" s="1220" t="s">
        <v>1985</v>
      </c>
      <c r="AW7" s="1220" t="str">
        <f>+AR7</f>
        <v>Jul</v>
      </c>
      <c r="AX7" s="1220" t="str">
        <f>+AS7</f>
        <v>Oct</v>
      </c>
      <c r="AY7" s="1220" t="str">
        <f>+AT7</f>
        <v>Jan</v>
      </c>
      <c r="AZ7" s="476"/>
      <c r="BA7" s="1220" t="s">
        <v>1985</v>
      </c>
      <c r="BB7" s="1220" t="str">
        <f>+AW7</f>
        <v>Jul</v>
      </c>
      <c r="BC7" s="1220" t="str">
        <f>+AX7</f>
        <v>Oct</v>
      </c>
      <c r="BD7" s="1220" t="str">
        <f>+AY7</f>
        <v>Jan</v>
      </c>
      <c r="BE7" s="476"/>
      <c r="BF7" s="475" t="s">
        <v>1985</v>
      </c>
      <c r="BG7" s="475" t="str">
        <f>+BB7</f>
        <v>Jul</v>
      </c>
      <c r="BH7" s="475" t="str">
        <f>+BC7</f>
        <v>Oct</v>
      </c>
      <c r="BI7" s="475" t="str">
        <f>+BD7</f>
        <v>Jan</v>
      </c>
      <c r="BJ7" s="476"/>
      <c r="BK7" s="475" t="s">
        <v>1985</v>
      </c>
      <c r="BL7" s="475" t="str">
        <f>+BG7</f>
        <v>Jul</v>
      </c>
      <c r="BM7" s="475" t="str">
        <f>+BH7</f>
        <v>Oct</v>
      </c>
      <c r="BN7" s="475" t="str">
        <f>+BI7</f>
        <v>Jan</v>
      </c>
      <c r="BO7" s="476"/>
      <c r="BP7" s="475" t="s">
        <v>1985</v>
      </c>
      <c r="BQ7" s="475" t="str">
        <f>+BL7</f>
        <v>Jul</v>
      </c>
      <c r="BR7" s="475" t="str">
        <f>+BM7</f>
        <v>Oct</v>
      </c>
      <c r="BS7" s="475" t="str">
        <f>+BN7</f>
        <v>Jan</v>
      </c>
      <c r="BT7" s="476"/>
      <c r="BU7" s="475" t="s">
        <v>1985</v>
      </c>
      <c r="BV7" s="475" t="str">
        <f>+BQ7</f>
        <v>Jul</v>
      </c>
      <c r="BW7" s="475" t="str">
        <f>+BR7</f>
        <v>Oct</v>
      </c>
      <c r="BX7" s="475" t="str">
        <f>+BS7</f>
        <v>Jan</v>
      </c>
      <c r="BY7" s="476"/>
      <c r="BZ7" s="475" t="s">
        <v>1985</v>
      </c>
      <c r="CA7" s="475" t="str">
        <f>+BV7</f>
        <v>Jul</v>
      </c>
      <c r="CB7" s="475" t="str">
        <f>+BW7</f>
        <v>Oct</v>
      </c>
      <c r="CC7" s="475" t="str">
        <f>+BX7</f>
        <v>Jan</v>
      </c>
      <c r="CD7" s="476"/>
      <c r="CE7" s="475" t="s">
        <v>1985</v>
      </c>
      <c r="CF7" s="475" t="str">
        <f>+CA7</f>
        <v>Jul</v>
      </c>
      <c r="CG7" s="475" t="str">
        <f>+CB7</f>
        <v>Oct</v>
      </c>
      <c r="CH7" s="475" t="str">
        <f>+CC7</f>
        <v>Jan</v>
      </c>
      <c r="CI7" s="476"/>
      <c r="CJ7" s="475" t="s">
        <v>1985</v>
      </c>
      <c r="CK7" s="475" t="str">
        <f>+CF7</f>
        <v>Jul</v>
      </c>
      <c r="CL7" s="475" t="str">
        <f>+CG7</f>
        <v>Oct</v>
      </c>
      <c r="CM7" s="475" t="str">
        <f>+CH7</f>
        <v>Jan</v>
      </c>
      <c r="CN7" s="476"/>
      <c r="CO7" s="475" t="s">
        <v>1985</v>
      </c>
      <c r="CP7" s="475" t="str">
        <f>+CK7</f>
        <v>Jul</v>
      </c>
      <c r="CQ7" s="475" t="str">
        <f>+CL7</f>
        <v>Oct</v>
      </c>
      <c r="CR7" s="475" t="str">
        <f>+CM7</f>
        <v>Jan</v>
      </c>
      <c r="CS7" s="2105"/>
      <c r="CT7" s="2336" t="s">
        <v>1985</v>
      </c>
      <c r="CU7" s="2336" t="str">
        <f>+CP7</f>
        <v>Jul</v>
      </c>
      <c r="CV7" s="2336" t="str">
        <f>+CQ7</f>
        <v>Oct</v>
      </c>
      <c r="CW7" s="2420" t="str">
        <f>+CR7</f>
        <v>Jan</v>
      </c>
      <c r="CX7" s="476"/>
      <c r="CY7" s="476"/>
      <c r="CZ7" s="478" t="s">
        <v>1988</v>
      </c>
      <c r="DA7" s="478" t="s">
        <v>1988</v>
      </c>
      <c r="DB7" s="478" t="s">
        <v>1988</v>
      </c>
      <c r="DC7" s="479" t="str">
        <f t="shared" ref="DC7:DH7" si="0">DB7</f>
        <v>Jan</v>
      </c>
      <c r="DD7" s="479" t="str">
        <f t="shared" si="0"/>
        <v>Jan</v>
      </c>
      <c r="DE7" s="479" t="str">
        <f t="shared" si="0"/>
        <v>Jan</v>
      </c>
      <c r="DF7" s="479" t="str">
        <f t="shared" si="0"/>
        <v>Jan</v>
      </c>
      <c r="DG7" s="479" t="str">
        <f t="shared" si="0"/>
        <v>Jan</v>
      </c>
      <c r="DH7" s="479" t="str">
        <f t="shared" si="0"/>
        <v>Jan</v>
      </c>
      <c r="DI7" s="480" t="str">
        <f t="shared" ref="DI7:DN7" si="1">DH7</f>
        <v>Jan</v>
      </c>
      <c r="DJ7" s="480" t="str">
        <f t="shared" si="1"/>
        <v>Jan</v>
      </c>
      <c r="DK7" s="479" t="str">
        <f t="shared" si="1"/>
        <v>Jan</v>
      </c>
      <c r="DL7" s="480" t="str">
        <f t="shared" si="1"/>
        <v>Jan</v>
      </c>
      <c r="DM7" s="479" t="str">
        <f t="shared" si="1"/>
        <v>Jan</v>
      </c>
      <c r="DN7" s="480" t="str">
        <f t="shared" si="1"/>
        <v>Jan</v>
      </c>
      <c r="DO7" s="480" t="str">
        <f t="shared" ref="DO7:DT7" si="2">DN7</f>
        <v>Jan</v>
      </c>
      <c r="DP7" s="479" t="str">
        <f t="shared" si="2"/>
        <v>Jan</v>
      </c>
      <c r="DQ7" s="479" t="str">
        <f t="shared" si="2"/>
        <v>Jan</v>
      </c>
      <c r="DR7" s="479" t="str">
        <f t="shared" si="2"/>
        <v>Jan</v>
      </c>
      <c r="DS7" s="479" t="str">
        <f t="shared" si="2"/>
        <v>Jan</v>
      </c>
      <c r="DT7" s="479" t="str">
        <f t="shared" si="2"/>
        <v>Jan</v>
      </c>
      <c r="DU7" s="479" t="str">
        <f t="shared" ref="DU7:DZ7" si="3">DT7</f>
        <v>Jan</v>
      </c>
      <c r="DV7" s="479" t="str">
        <f t="shared" si="3"/>
        <v>Jan</v>
      </c>
      <c r="DW7" s="479" t="str">
        <f t="shared" si="3"/>
        <v>Jan</v>
      </c>
      <c r="DX7" s="481" t="str">
        <f t="shared" si="3"/>
        <v>Jan</v>
      </c>
      <c r="DY7" s="2401" t="str">
        <f t="shared" si="3"/>
        <v>Jan</v>
      </c>
      <c r="DZ7" s="2330" t="str">
        <f t="shared" si="3"/>
        <v>Jan</v>
      </c>
    </row>
    <row r="8" spans="1:130">
      <c r="A8" s="459"/>
      <c r="B8" s="482"/>
      <c r="C8" s="482"/>
      <c r="D8" s="482"/>
      <c r="E8" s="482"/>
      <c r="F8" s="482"/>
      <c r="G8" s="482"/>
      <c r="H8" s="482"/>
      <c r="I8" s="482"/>
      <c r="J8" s="482"/>
      <c r="K8" s="482"/>
      <c r="L8" s="483"/>
      <c r="M8" s="482"/>
      <c r="N8" s="482"/>
      <c r="O8" s="482"/>
      <c r="P8" s="482"/>
      <c r="Q8" s="483"/>
      <c r="R8" s="482"/>
      <c r="S8" s="482"/>
      <c r="T8" s="482"/>
      <c r="U8" s="482"/>
      <c r="V8" s="483"/>
      <c r="W8" s="482"/>
      <c r="X8" s="482"/>
      <c r="Y8" s="482"/>
      <c r="Z8" s="482"/>
      <c r="AA8" s="483"/>
      <c r="AB8" s="482"/>
      <c r="AC8" s="482"/>
      <c r="AD8" s="482"/>
      <c r="AE8" s="482"/>
      <c r="AF8" s="483"/>
      <c r="AG8" s="482"/>
      <c r="AH8" s="482"/>
      <c r="AI8" s="482"/>
      <c r="AJ8" s="482"/>
      <c r="AK8" s="483"/>
      <c r="AL8" s="482"/>
      <c r="AM8" s="482"/>
      <c r="AN8" s="482"/>
      <c r="AO8" s="482"/>
      <c r="AP8" s="483"/>
      <c r="AQ8" s="482"/>
      <c r="AR8" s="482"/>
      <c r="AS8" s="482"/>
      <c r="AT8" s="482"/>
      <c r="AU8" s="483"/>
      <c r="AV8" s="482"/>
      <c r="AW8" s="482"/>
      <c r="AX8" s="482"/>
      <c r="AY8" s="482"/>
      <c r="AZ8" s="483"/>
      <c r="BA8" s="482"/>
      <c r="BB8" s="482"/>
      <c r="BC8" s="482"/>
      <c r="BD8" s="482"/>
      <c r="BE8" s="483"/>
      <c r="BF8" s="482"/>
      <c r="BG8" s="482"/>
      <c r="BH8" s="482"/>
      <c r="BI8" s="482"/>
      <c r="BJ8" s="483"/>
      <c r="BK8" s="482"/>
      <c r="BL8" s="482"/>
      <c r="BM8" s="482"/>
      <c r="BN8" s="482"/>
      <c r="BO8" s="483"/>
      <c r="BP8" s="482"/>
      <c r="BQ8" s="482"/>
      <c r="BR8" s="482"/>
      <c r="BS8" s="482"/>
      <c r="BT8" s="483"/>
      <c r="BU8" s="482"/>
      <c r="BV8" s="482"/>
      <c r="BW8" s="482"/>
      <c r="BX8" s="482"/>
      <c r="BY8" s="483"/>
      <c r="BZ8" s="482"/>
      <c r="CA8" s="482"/>
      <c r="CB8" s="482"/>
      <c r="CC8" s="482"/>
      <c r="CD8" s="483"/>
      <c r="CE8" s="482"/>
      <c r="CF8" s="482"/>
      <c r="CG8" s="482"/>
      <c r="CH8" s="482"/>
      <c r="CI8" s="483"/>
      <c r="CJ8" s="482"/>
      <c r="CK8" s="482"/>
      <c r="CL8" s="482"/>
      <c r="CM8" s="482"/>
      <c r="CN8" s="483"/>
      <c r="CO8" s="482"/>
      <c r="CP8" s="482"/>
      <c r="CQ8" s="482"/>
      <c r="CR8" s="482"/>
      <c r="CS8" s="482"/>
      <c r="CT8" s="2337"/>
      <c r="CU8" s="2337"/>
      <c r="CV8" s="2337"/>
      <c r="CW8" s="2421"/>
      <c r="CX8" s="483"/>
      <c r="CY8" s="483"/>
      <c r="CZ8" s="484"/>
      <c r="DA8" s="484"/>
      <c r="DB8" s="484"/>
      <c r="DC8" s="484"/>
      <c r="DD8" s="484"/>
      <c r="DE8" s="484"/>
      <c r="DF8" s="484"/>
      <c r="DG8" s="484"/>
      <c r="DH8" s="484"/>
      <c r="DI8" s="485"/>
      <c r="DJ8" s="485"/>
      <c r="DK8" s="484"/>
      <c r="DL8" s="485"/>
      <c r="DM8" s="484"/>
      <c r="DN8" s="485"/>
      <c r="DO8" s="485"/>
      <c r="DP8" s="484"/>
      <c r="DQ8" s="484"/>
      <c r="DR8" s="484"/>
      <c r="DS8" s="484"/>
      <c r="DT8" s="484"/>
      <c r="DU8" s="426"/>
      <c r="DV8" s="426"/>
      <c r="DW8" s="426"/>
      <c r="DX8" s="550"/>
      <c r="DY8" s="681"/>
      <c r="DZ8" s="2363"/>
    </row>
    <row r="9" spans="1:130">
      <c r="A9" s="487" t="s">
        <v>411</v>
      </c>
      <c r="B9" s="488"/>
      <c r="C9" s="488">
        <f>'qtrP&amp;L'!$AP10</f>
        <v>272.27699999999999</v>
      </c>
      <c r="D9" s="488">
        <f>'qtrP&amp;L'!$AP11</f>
        <v>307.06700000000001</v>
      </c>
      <c r="E9" s="488">
        <f>'qtrP&amp;L'!$AP12</f>
        <v>322.70600000000002</v>
      </c>
      <c r="F9" s="488">
        <f>'qtrP&amp;L'!$AP13</f>
        <v>569.64</v>
      </c>
      <c r="G9" s="488"/>
      <c r="H9" s="488">
        <f>'qtrP&amp;L'!$AT10</f>
        <v>345.14299999999997</v>
      </c>
      <c r="I9" s="488">
        <f>'qtrP&amp;L'!$AT11</f>
        <v>374.44799999999998</v>
      </c>
      <c r="J9" s="488">
        <f>'qtrP&amp;L'!$AT12</f>
        <v>372.07400000000001</v>
      </c>
      <c r="K9" s="488">
        <f>'qtrP&amp;L'!$AT13</f>
        <v>576.39100000000008</v>
      </c>
      <c r="L9" s="488"/>
      <c r="M9" s="488">
        <f>'qtrP&amp;L'!$AX10</f>
        <v>336.40100000000001</v>
      </c>
      <c r="N9" s="488">
        <f>'qtrP&amp;L'!$AX11</f>
        <v>371.30099999999999</v>
      </c>
      <c r="O9" s="488">
        <f>'qtrP&amp;L'!$AX12</f>
        <v>333.07400000000001</v>
      </c>
      <c r="P9" s="488">
        <f>'qtrP&amp;L'!$AX13</f>
        <v>565.75900000000001</v>
      </c>
      <c r="Q9" s="488"/>
      <c r="R9" s="488">
        <f>'qtrP&amp;L'!$BB10</f>
        <v>347.12900000000002</v>
      </c>
      <c r="S9" s="488">
        <f>'qtrP&amp;L'!$BB11</f>
        <v>374.42700000000002</v>
      </c>
      <c r="T9" s="488">
        <f>'qtrP&amp;L'!$BB12</f>
        <v>366.03300000000002</v>
      </c>
      <c r="U9" s="488">
        <f>'qtrP&amp;L'!$BB13</f>
        <v>619.01300000000003</v>
      </c>
      <c r="V9" s="488"/>
      <c r="W9" s="488">
        <f>'qtrP&amp;L'!$BF10</f>
        <v>395.839</v>
      </c>
      <c r="X9" s="488">
        <f>'qtrP&amp;L'!$BF11</f>
        <v>442.495</v>
      </c>
      <c r="Y9" s="488">
        <f>'qtrP&amp;L'!$BF12</f>
        <v>430.12299999999999</v>
      </c>
      <c r="Z9" s="488">
        <f>'qtrP&amp;L'!$BF13</f>
        <v>731.58799999999997</v>
      </c>
      <c r="AA9" s="488"/>
      <c r="AB9" s="488">
        <f>'qtrP&amp;L'!$BJ10</f>
        <v>456.96</v>
      </c>
      <c r="AC9" s="488">
        <f>'qtrP&amp;L'!$BJ11</f>
        <v>476.59699999999998</v>
      </c>
      <c r="AD9" s="488">
        <f>'qtrP&amp;L'!$BJ12</f>
        <v>461.15199999999999</v>
      </c>
      <c r="AE9" s="488">
        <f>'qtrP&amp;L'!$BJ13</f>
        <v>810.12199999999996</v>
      </c>
      <c r="AF9" s="488"/>
      <c r="AG9" s="488">
        <f>'qtrP&amp;L'!$BN10</f>
        <v>509.90100000000001</v>
      </c>
      <c r="AH9" s="488">
        <f>'qtrP&amp;L'!$BN11</f>
        <v>526.70100000000002</v>
      </c>
      <c r="AI9" s="488">
        <f>'qtrP&amp;L'!$BN12</f>
        <v>500.10500000000002</v>
      </c>
      <c r="AJ9" s="488">
        <f>'qtrP&amp;L'!$BN13</f>
        <v>858.44600000000003</v>
      </c>
      <c r="AK9" s="488"/>
      <c r="AL9" s="488">
        <f>'qtrP&amp;L'!$BR10</f>
        <v>515.35599999999988</v>
      </c>
      <c r="AM9" s="488">
        <f>'qtrP&amp;L'!$BR11</f>
        <v>554.65700000000004</v>
      </c>
      <c r="AN9" s="488">
        <f>'qtrP&amp;L'!$BR12</f>
        <v>531.83399999999995</v>
      </c>
      <c r="AO9" s="488">
        <f>'qtrP&amp;L'!$BR13</f>
        <v>958.88699999999994</v>
      </c>
      <c r="AP9" s="488"/>
      <c r="AQ9" s="488">
        <f>'qtrP&amp;L'!$BV10</f>
        <v>595.72900000000004</v>
      </c>
      <c r="AR9" s="488">
        <f>'qtrP&amp;L'!$BV11</f>
        <v>662.56200000000001</v>
      </c>
      <c r="AS9" s="488">
        <f>'qtrP&amp;L'!$BV12</f>
        <v>627.32299999999998</v>
      </c>
      <c r="AT9" s="488">
        <f>'qtrP&amp;L'!$BV13</f>
        <v>1053.1569999999999</v>
      </c>
      <c r="AU9" s="488"/>
      <c r="AV9" s="488">
        <f>'qtrP&amp;L'!$BZ10</f>
        <v>665.48</v>
      </c>
      <c r="AW9" s="488">
        <f>'qtrP&amp;L'!$BZ11</f>
        <v>729.63400000000001</v>
      </c>
      <c r="AX9" s="488">
        <f>'qtrP&amp;L'!$BZ12</f>
        <v>616.15200000000004</v>
      </c>
      <c r="AY9" s="488">
        <f>'qtrP&amp;L'!$BZ13</f>
        <v>837.59299999999996</v>
      </c>
      <c r="AZ9" s="488"/>
      <c r="BA9" s="488">
        <f>'qtrP&amp;L'!$CD10</f>
        <v>517.61500000000001</v>
      </c>
      <c r="BB9" s="488">
        <f>'qtrP&amp;L'!$CD11</f>
        <v>612.49300000000005</v>
      </c>
      <c r="BC9" s="488">
        <f>'qtrP&amp;L'!$CD12</f>
        <v>598.21199999999999</v>
      </c>
      <c r="BD9" s="488">
        <f>'qtrP&amp;L'!$CD13</f>
        <v>981.38400000000001</v>
      </c>
      <c r="BE9" s="488"/>
      <c r="BF9" s="488">
        <f>'qtrP&amp;L'!$CH10</f>
        <v>633.58600000000001</v>
      </c>
      <c r="BG9" s="488">
        <f>'qtrP&amp;L'!$CH11</f>
        <v>668.76</v>
      </c>
      <c r="BH9" s="488">
        <f>'qtrP&amp;L'!$CH12</f>
        <v>681.72900000000004</v>
      </c>
      <c r="BI9" s="488">
        <f>'qtrP&amp;L'!$CH13</f>
        <v>1101.2149999999999</v>
      </c>
      <c r="BJ9" s="488"/>
      <c r="BK9" s="488">
        <f>'qtrP&amp;L'!$CL10</f>
        <v>761.01800000000003</v>
      </c>
      <c r="BL9" s="488">
        <f>'qtrP&amp;L'!$CL11</f>
        <v>872.71199999999999</v>
      </c>
      <c r="BM9" s="488">
        <f>'qtrP&amp;L'!$CL12</f>
        <v>821.76700000000005</v>
      </c>
      <c r="BN9" s="488">
        <f>'qtrP&amp;L'!$CL13</f>
        <v>1187.44</v>
      </c>
      <c r="BO9" s="488"/>
      <c r="BP9" s="488">
        <f>'qtrP&amp;L'!$CP10</f>
        <v>819.17</v>
      </c>
      <c r="BQ9" s="488">
        <f>'qtrP&amp;L'!$CP11</f>
        <v>886.56899999999996</v>
      </c>
      <c r="BR9" s="488">
        <f>'qtrP&amp;L'!$CP12</f>
        <v>852.74099999999999</v>
      </c>
      <c r="BS9" s="488">
        <f>'qtrP&amp;L'!$CP13</f>
        <v>1235.769</v>
      </c>
      <c r="BT9" s="488"/>
      <c r="BU9" s="488">
        <f>'qtrP&amp;L'!CT10</f>
        <v>895.48400000000004</v>
      </c>
      <c r="BV9" s="488">
        <f>'qtrP&amp;L'!CT11</f>
        <v>925.88400000000001</v>
      </c>
      <c r="BW9" s="488">
        <f>'qtrP&amp;L'!CT12</f>
        <v>911.47799999999995</v>
      </c>
      <c r="BX9" s="488">
        <f>'qtrP&amp;L'!CT13</f>
        <v>1298.2840000000001</v>
      </c>
      <c r="BY9" s="488"/>
      <c r="BZ9" s="488">
        <f>+'qtrP&amp;L'!CX10</f>
        <v>1012.1319999999999</v>
      </c>
      <c r="CA9" s="488">
        <f>+'qtrP&amp;L'!CX11</f>
        <v>992.93</v>
      </c>
      <c r="CB9" s="488">
        <f>+'qtrP&amp;L'!CX12</f>
        <v>959.58900000000006</v>
      </c>
      <c r="CC9" s="488">
        <f>+'qtrP&amp;L'!CX13</f>
        <v>1285.2619999999999</v>
      </c>
      <c r="CD9" s="488"/>
      <c r="CE9" s="488">
        <f>'qtrP&amp;L'!DB10</f>
        <v>962.4</v>
      </c>
      <c r="CF9" s="488">
        <f>'qtrP&amp;L'!DB11</f>
        <v>990.5</v>
      </c>
      <c r="CG9" s="488">
        <f>'qtrP&amp;L'!DB12</f>
        <v>938.2</v>
      </c>
      <c r="CH9" s="488">
        <f>'qtrP&amp;L'!DB13</f>
        <v>1213.5999999999999</v>
      </c>
      <c r="CI9" s="488"/>
      <c r="CJ9" s="488">
        <f>'qtrP&amp;L'!DF10</f>
        <v>891.3</v>
      </c>
      <c r="CK9" s="488">
        <f>'qtrP&amp;L'!DF11</f>
        <v>931.6</v>
      </c>
      <c r="CL9" s="488">
        <f>'qtrP&amp;L'!DF12</f>
        <v>949.3</v>
      </c>
      <c r="CM9" s="488">
        <f>'qtrP&amp;L'!DF13</f>
        <v>1229.5999999999999</v>
      </c>
      <c r="CN9" s="488"/>
      <c r="CO9" s="488">
        <f>'qtrP&amp;L'!DJ10</f>
        <v>899.6</v>
      </c>
      <c r="CP9" s="488">
        <f>'qtrP&amp;L'!DJ11</f>
        <v>959.7</v>
      </c>
      <c r="CQ9" s="488">
        <f>'qtrP&amp;L'!DJ12</f>
        <v>976.2</v>
      </c>
      <c r="CR9" s="488">
        <f>'qtrP&amp;L'!DJ13</f>
        <v>1334.3</v>
      </c>
      <c r="CS9" s="488"/>
      <c r="CT9" s="2338">
        <f t="array" ref="CT9:CW9">TRANSPOSE('qtrP&amp;L'!DN10:DN13)</f>
        <v>962.18680975643326</v>
      </c>
      <c r="CU9" s="2338">
        <v>1013.8900271373188</v>
      </c>
      <c r="CV9" s="2338">
        <v>1023.9219532163743</v>
      </c>
      <c r="CW9" s="2364">
        <v>1384.6206441316913</v>
      </c>
      <c r="CX9" s="488"/>
      <c r="CY9" s="488"/>
      <c r="CZ9" s="489">
        <f>'yrP&amp;L'!H7</f>
        <v>922.10800000000006</v>
      </c>
      <c r="DA9" s="489">
        <f>'yrP&amp;L'!I7</f>
        <v>1017.616</v>
      </c>
      <c r="DB9" s="489">
        <f>'yrP&amp;L'!J7</f>
        <v>1177.9290000000001</v>
      </c>
      <c r="DC9" s="489">
        <f>'yrP&amp;L'!K7</f>
        <v>1471.69</v>
      </c>
      <c r="DD9" s="489">
        <f>'yrP&amp;L'!L7</f>
        <v>1668.056</v>
      </c>
      <c r="DE9" s="489">
        <f>'yrP&amp;L'!M7</f>
        <v>1606.5350000000001</v>
      </c>
      <c r="DF9" s="489">
        <f>'yrP&amp;L'!N7</f>
        <v>1706.6019999999999</v>
      </c>
      <c r="DG9" s="489">
        <f>'yrP&amp;L'!O7</f>
        <v>2000.0450000000001</v>
      </c>
      <c r="DH9" s="489">
        <f>'yrP&amp;L'!P7</f>
        <v>2204.8310000000001</v>
      </c>
      <c r="DI9" s="490">
        <f>'yrP&amp;L'!Q7</f>
        <v>2395.1530000000002</v>
      </c>
      <c r="DJ9" s="490">
        <f>'yrP&amp;L'!R7</f>
        <v>2560.7339999999995</v>
      </c>
      <c r="DK9" s="489">
        <f>'yrP&amp;L'!S7</f>
        <v>2938.7709999999997</v>
      </c>
      <c r="DL9" s="490">
        <f>'yrP&amp;L'!T7</f>
        <v>2848.8589999999999</v>
      </c>
      <c r="DM9" s="489">
        <f>'yrP&amp;L'!U7</f>
        <v>2709.7300000000005</v>
      </c>
      <c r="DN9" s="490">
        <f>'yrP&amp;L'!V7</f>
        <v>3085.2899999999995</v>
      </c>
      <c r="DO9" s="490">
        <f>'yrP&amp;L'!W7</f>
        <v>3642.9369999999999</v>
      </c>
      <c r="DP9" s="489">
        <f>'yrP&amp;L'!X7</f>
        <v>3794.2489999999998</v>
      </c>
      <c r="DQ9" s="489">
        <f>'yrP&amp;L'!Y7</f>
        <v>4031.13</v>
      </c>
      <c r="DR9" s="489">
        <f>'yrP&amp;L'!Z7</f>
        <v>4249.9129999999996</v>
      </c>
      <c r="DS9" s="489">
        <f>'yrP&amp;L'!AA7</f>
        <v>4104.7000000000007</v>
      </c>
      <c r="DT9" s="489">
        <f>'yrP&amp;L'!AB7</f>
        <v>4001.7999999999997</v>
      </c>
      <c r="DU9" s="489">
        <f>'yrP&amp;L'!AC7</f>
        <v>4169.8</v>
      </c>
      <c r="DV9" s="489">
        <f>'yrP&amp;L'!AD7</f>
        <v>4384.6194342418175</v>
      </c>
      <c r="DW9" s="489">
        <f>'yrP&amp;L'!AE7</f>
        <v>4623.2488669288232</v>
      </c>
      <c r="DX9" s="491">
        <f>'yrP&amp;L'!AF7</f>
        <v>4869.5236592022247</v>
      </c>
      <c r="DY9" s="2331">
        <f>'yrP&amp;L'!AG7</f>
        <v>5072.1522777848559</v>
      </c>
      <c r="DZ9" s="2364">
        <f>'yrP&amp;L'!AH7</f>
        <v>5279.6498396607494</v>
      </c>
    </row>
    <row r="10" spans="1:130" ht="9.75" customHeight="1">
      <c r="A10" s="459"/>
      <c r="B10" s="492"/>
      <c r="C10" s="488"/>
      <c r="D10" s="488"/>
      <c r="E10" s="488"/>
      <c r="F10" s="488"/>
      <c r="G10" s="492"/>
      <c r="H10" s="488"/>
      <c r="I10" s="488"/>
      <c r="J10" s="488"/>
      <c r="K10" s="488"/>
      <c r="L10" s="492"/>
      <c r="M10" s="488"/>
      <c r="N10" s="488"/>
      <c r="O10" s="488"/>
      <c r="P10" s="488"/>
      <c r="Q10" s="492"/>
      <c r="R10" s="488"/>
      <c r="S10" s="488"/>
      <c r="T10" s="488"/>
      <c r="U10" s="488"/>
      <c r="V10" s="492"/>
      <c r="W10" s="488"/>
      <c r="X10" s="488"/>
      <c r="Y10" s="488"/>
      <c r="Z10" s="488"/>
      <c r="AA10" s="492"/>
      <c r="AB10" s="488"/>
      <c r="AC10" s="488"/>
      <c r="AD10" s="488"/>
      <c r="AE10" s="488"/>
      <c r="AF10" s="492"/>
      <c r="AG10" s="488"/>
      <c r="AH10" s="488"/>
      <c r="AI10" s="488"/>
      <c r="AJ10" s="488"/>
      <c r="AK10" s="492"/>
      <c r="AL10" s="488"/>
      <c r="AM10" s="488"/>
      <c r="AN10" s="488"/>
      <c r="AO10" s="488"/>
      <c r="AP10" s="492"/>
      <c r="AQ10" s="488"/>
      <c r="AR10" s="488"/>
      <c r="AS10" s="488"/>
      <c r="AT10" s="488"/>
      <c r="AU10" s="492"/>
      <c r="AV10" s="488"/>
      <c r="AW10" s="488"/>
      <c r="AX10" s="488"/>
      <c r="AY10" s="488"/>
      <c r="AZ10" s="492"/>
      <c r="BA10" s="488"/>
      <c r="BB10" s="488"/>
      <c r="BC10" s="488"/>
      <c r="BD10" s="488"/>
      <c r="BE10" s="492"/>
      <c r="BF10" s="488"/>
      <c r="BG10" s="488"/>
      <c r="BH10" s="488"/>
      <c r="BI10" s="488"/>
      <c r="BJ10" s="492"/>
      <c r="BK10" s="330"/>
      <c r="BL10" s="330"/>
      <c r="BM10" s="330"/>
      <c r="BN10" s="488"/>
      <c r="BO10" s="492"/>
      <c r="BP10" s="330"/>
      <c r="BQ10" s="330"/>
      <c r="BR10" s="330"/>
      <c r="BS10" s="488"/>
      <c r="BT10" s="492"/>
      <c r="BU10" s="330"/>
      <c r="BV10" s="330"/>
      <c r="BW10" s="330"/>
      <c r="BX10" s="488"/>
      <c r="BY10" s="492"/>
      <c r="BZ10" s="330"/>
      <c r="CA10" s="330"/>
      <c r="CB10" s="330"/>
      <c r="CC10" s="488"/>
      <c r="CD10" s="492"/>
      <c r="CE10" s="330"/>
      <c r="CF10" s="330"/>
      <c r="CG10" s="330"/>
      <c r="CH10" s="488"/>
      <c r="CI10" s="492"/>
      <c r="CJ10" s="330"/>
      <c r="CK10" s="330"/>
      <c r="CL10" s="330"/>
      <c r="CM10" s="488"/>
      <c r="CN10" s="492"/>
      <c r="CO10" s="330"/>
      <c r="CP10" s="330"/>
      <c r="CQ10" s="330"/>
      <c r="CR10" s="488"/>
      <c r="CS10" s="488"/>
      <c r="CT10" s="2338"/>
      <c r="CU10" s="2338"/>
      <c r="CV10" s="2338"/>
      <c r="CW10" s="2364"/>
      <c r="CX10" s="492"/>
      <c r="CY10" s="492"/>
      <c r="CZ10" s="489"/>
      <c r="DA10" s="489"/>
      <c r="DB10" s="489"/>
      <c r="DC10" s="489"/>
      <c r="DD10" s="489"/>
      <c r="DE10" s="489"/>
      <c r="DF10" s="489"/>
      <c r="DG10" s="489"/>
      <c r="DH10" s="489"/>
      <c r="DI10" s="490"/>
      <c r="DJ10" s="490"/>
      <c r="DK10" s="489"/>
      <c r="DL10" s="490"/>
      <c r="DM10" s="489"/>
      <c r="DN10" s="490"/>
      <c r="DO10" s="490"/>
      <c r="DP10" s="489"/>
      <c r="DQ10" s="489"/>
      <c r="DR10" s="489"/>
      <c r="DS10" s="489"/>
      <c r="DT10" s="489"/>
      <c r="DU10" s="489"/>
      <c r="DV10" s="489"/>
      <c r="DW10" s="489"/>
      <c r="DX10" s="491"/>
      <c r="DY10" s="2331"/>
      <c r="DZ10" s="2364"/>
    </row>
    <row r="11" spans="1:130">
      <c r="A11" s="487" t="s">
        <v>469</v>
      </c>
      <c r="B11" s="488"/>
      <c r="C11" s="488">
        <f>'qtrP&amp;L'!$AP20</f>
        <v>123.98099999999999</v>
      </c>
      <c r="D11" s="488">
        <f>'qtrP&amp;L'!$AP21</f>
        <v>132.03</v>
      </c>
      <c r="E11" s="488">
        <f>'qtrP&amp;L'!$AP22</f>
        <v>141.21600000000001</v>
      </c>
      <c r="F11" s="488">
        <f>'qtrP&amp;L'!$AP23</f>
        <v>252.78300000000002</v>
      </c>
      <c r="G11" s="488"/>
      <c r="H11" s="488">
        <f>'qtrP&amp;L'!$AT20</f>
        <v>156.434</v>
      </c>
      <c r="I11" s="488">
        <f>'qtrP&amp;L'!$AT21</f>
        <v>161.994</v>
      </c>
      <c r="J11" s="488">
        <f>'qtrP&amp;L'!$AT22</f>
        <v>165.709</v>
      </c>
      <c r="K11" s="488">
        <f>'qtrP&amp;L'!$AT23</f>
        <v>235.50500000000005</v>
      </c>
      <c r="L11" s="488"/>
      <c r="M11" s="488">
        <f>'qtrP&amp;L'!$AX20</f>
        <v>146.261</v>
      </c>
      <c r="N11" s="488">
        <f>'qtrP&amp;L'!$AX21</f>
        <v>155.43</v>
      </c>
      <c r="O11" s="488">
        <f>'qtrP&amp;L'!$AX22</f>
        <v>140.23500000000001</v>
      </c>
      <c r="P11" s="488">
        <f>'qtrP&amp;L'!$AX23</f>
        <v>221.13200000000001</v>
      </c>
      <c r="Q11" s="488"/>
      <c r="R11" s="488">
        <f>'qtrP&amp;L'!$BB20</f>
        <v>140.714</v>
      </c>
      <c r="S11" s="488">
        <f>'qtrP&amp;L'!$BB21</f>
        <v>154.62</v>
      </c>
      <c r="T11" s="488">
        <f>'qtrP&amp;L'!$BB22</f>
        <v>150.22</v>
      </c>
      <c r="U11" s="488">
        <f>'qtrP&amp;L'!$BB23</f>
        <v>249.6</v>
      </c>
      <c r="V11" s="488"/>
      <c r="W11" s="488">
        <f>'qtrP&amp;L'!$BF20</f>
        <v>166.19499999999999</v>
      </c>
      <c r="X11" s="488">
        <f>'qtrP&amp;L'!$BF21</f>
        <v>187.523</v>
      </c>
      <c r="Y11" s="488">
        <f>'qtrP&amp;L'!$BF22</f>
        <v>192.40199999999999</v>
      </c>
      <c r="Z11" s="488">
        <f>'qtrP&amp;L'!$BF23</f>
        <v>296.54300000000001</v>
      </c>
      <c r="AA11" s="488"/>
      <c r="AB11" s="488">
        <f>'qtrP&amp;L'!$BJ20</f>
        <v>198.084</v>
      </c>
      <c r="AC11" s="488">
        <f>'qtrP&amp;L'!$BJ21</f>
        <v>212.10900000000001</v>
      </c>
      <c r="AD11" s="488">
        <f>'qtrP&amp;L'!$BJ22</f>
        <v>215.624</v>
      </c>
      <c r="AE11" s="488">
        <f>'qtrP&amp;L'!$BJ23</f>
        <v>348.44099999999997</v>
      </c>
      <c r="AF11" s="488"/>
      <c r="AG11" s="488">
        <f>'qtrP&amp;L'!$BN20</f>
        <v>235.08</v>
      </c>
      <c r="AH11" s="488">
        <f>'qtrP&amp;L'!$BN21</f>
        <v>234.61699999999999</v>
      </c>
      <c r="AI11" s="488">
        <f>'qtrP&amp;L'!$BN22</f>
        <v>229.57499999999999</v>
      </c>
      <c r="AJ11" s="488">
        <f>'qtrP&amp;L'!$BN23</f>
        <v>353.541</v>
      </c>
      <c r="AK11" s="488"/>
      <c r="AL11" s="488">
        <f>'qtrP&amp;L'!$BR20</f>
        <v>224.22899999999998</v>
      </c>
      <c r="AM11" s="488">
        <f>'qtrP&amp;L'!$BR21</f>
        <v>244.214</v>
      </c>
      <c r="AN11" s="488">
        <f>'qtrP&amp;L'!$BR22</f>
        <v>244.483</v>
      </c>
      <c r="AO11" s="488">
        <f>'qtrP&amp;L'!$BR23</f>
        <v>406.25799999999998</v>
      </c>
      <c r="AP11" s="488"/>
      <c r="AQ11" s="488">
        <f>'qtrP&amp;L'!$BV20</f>
        <v>261.77100000000002</v>
      </c>
      <c r="AR11" s="488">
        <f>'qtrP&amp;L'!$BV21</f>
        <v>290.65600000000001</v>
      </c>
      <c r="AS11" s="488">
        <f>'qtrP&amp;L'!$BV22</f>
        <v>285.77600000000001</v>
      </c>
      <c r="AT11" s="488">
        <f>'qtrP&amp;L'!$BV23</f>
        <v>424.09100000000001</v>
      </c>
      <c r="AU11" s="488"/>
      <c r="AV11" s="488">
        <f>'qtrP&amp;L'!$BZ20</f>
        <v>285.46199999999999</v>
      </c>
      <c r="AW11" s="488">
        <f>'qtrP&amp;L'!$BZ21</f>
        <v>307.75799999999998</v>
      </c>
      <c r="AX11" s="488">
        <f>'qtrP&amp;L'!$BZ22</f>
        <v>269.02699999999999</v>
      </c>
      <c r="AY11" s="488">
        <f>'qtrP&amp;L'!$BZ23</f>
        <v>340.17</v>
      </c>
      <c r="AZ11" s="488"/>
      <c r="BA11" s="488">
        <f>'qtrP&amp;L'!$CD20</f>
        <v>228.39600000000002</v>
      </c>
      <c r="BB11" s="488">
        <f>'qtrP&amp;L'!$CD21</f>
        <v>275.041</v>
      </c>
      <c r="BC11" s="488">
        <f>'qtrP&amp;L'!$CD22</f>
        <v>270.40899999999999</v>
      </c>
      <c r="BD11" s="488">
        <f>'qtrP&amp;L'!$CD23</f>
        <v>405.63900000000001</v>
      </c>
      <c r="BE11" s="488"/>
      <c r="BF11" s="488">
        <f>'qtrP&amp;L'!$CH20</f>
        <v>267.536</v>
      </c>
      <c r="BG11" s="488">
        <f>'qtrP&amp;L'!$CH21</f>
        <v>281.71899999999999</v>
      </c>
      <c r="BH11" s="488">
        <f>'qtrP&amp;L'!$CH22</f>
        <v>282.83199999999999</v>
      </c>
      <c r="BI11" s="488">
        <f>'qtrP&amp;L'!$CH23</f>
        <v>429.91500000000002</v>
      </c>
      <c r="BJ11" s="488"/>
      <c r="BK11" s="488">
        <f>'qtrP&amp;L'!$CL20</f>
        <v>317.11199999999997</v>
      </c>
      <c r="BL11" s="488">
        <f>'qtrP&amp;L'!$CL21</f>
        <v>358.01499999999999</v>
      </c>
      <c r="BM11" s="488">
        <f>'qtrP&amp;L'!$CL22</f>
        <v>345.91800000000001</v>
      </c>
      <c r="BN11" s="488">
        <f>'qtrP&amp;L'!$CL23</f>
        <v>470.52499999999998</v>
      </c>
      <c r="BO11" s="488"/>
      <c r="BP11" s="488">
        <f>'qtrP&amp;L'!$CP20</f>
        <v>350.15199999999999</v>
      </c>
      <c r="BQ11" s="488">
        <f>'qtrP&amp;L'!$CP21</f>
        <v>387.40699999999998</v>
      </c>
      <c r="BR11" s="488">
        <f>'qtrP&amp;L'!$CP22</f>
        <v>388.452</v>
      </c>
      <c r="BS11" s="488">
        <f>'qtrP&amp;L'!$CP23</f>
        <v>504.95400000000001</v>
      </c>
      <c r="BT11" s="488"/>
      <c r="BU11" s="488">
        <f>'qtrP&amp;L'!CT20</f>
        <v>392.26</v>
      </c>
      <c r="BV11" s="488">
        <f>'qtrP&amp;L'!CT21</f>
        <v>393.755</v>
      </c>
      <c r="BW11" s="488">
        <f>'qtrP&amp;L'!CT22</f>
        <v>391.99700000000001</v>
      </c>
      <c r="BX11" s="488">
        <f>'qtrP&amp;L'!CT23</f>
        <v>512.67499999999995</v>
      </c>
      <c r="BY11" s="488"/>
      <c r="BZ11" s="488">
        <f>+'qtrP&amp;L'!CX20</f>
        <v>422.60599999999999</v>
      </c>
      <c r="CA11" s="488">
        <f>+'qtrP&amp;L'!CX21</f>
        <v>397.767</v>
      </c>
      <c r="CB11" s="488">
        <f>+'qtrP&amp;L'!CX22</f>
        <v>388.71800000000002</v>
      </c>
      <c r="CC11" s="488">
        <f>+'qtrP&amp;L'!CX23</f>
        <v>503.64699999999999</v>
      </c>
      <c r="CD11" s="488"/>
      <c r="CE11" s="488">
        <f>'qtrP&amp;L'!DB20</f>
        <v>393.4</v>
      </c>
      <c r="CF11" s="488">
        <f>'qtrP&amp;L'!DB21</f>
        <v>397.5</v>
      </c>
      <c r="CG11" s="488">
        <f>'qtrP&amp;L'!DB22</f>
        <v>373.7</v>
      </c>
      <c r="CH11" s="488">
        <f>'qtrP&amp;L'!DB23</f>
        <v>448.8</v>
      </c>
      <c r="CI11" s="488"/>
      <c r="CJ11" s="488">
        <f>'qtrP&amp;L'!DF20</f>
        <v>345.7</v>
      </c>
      <c r="CK11" s="488">
        <f>'qtrP&amp;L'!DF21</f>
        <v>354.5</v>
      </c>
      <c r="CL11" s="488">
        <f>'qtrP&amp;L'!DF22</f>
        <v>369.8</v>
      </c>
      <c r="CM11" s="488">
        <f>'qtrP&amp;L'!DF23</f>
        <v>441.4</v>
      </c>
      <c r="CN11" s="488"/>
      <c r="CO11" s="488">
        <f>'qtrP&amp;L'!DJ20</f>
        <v>342</v>
      </c>
      <c r="CP11" s="488">
        <f>'qtrP&amp;L'!DJ21</f>
        <v>361.5</v>
      </c>
      <c r="CQ11" s="488">
        <f>'qtrP&amp;L'!DJ22</f>
        <v>377.8</v>
      </c>
      <c r="CR11" s="488">
        <f>'qtrP&amp;L'!DJ23</f>
        <v>483.7</v>
      </c>
      <c r="CS11" s="488"/>
      <c r="CT11" s="2338">
        <f t="array" ref="CT11:CW11">TRANSPOSE('qtrP&amp;L'!DN20:DN23)</f>
        <v>363.70661408793177</v>
      </c>
      <c r="CU11" s="2338">
        <v>380.20876017649459</v>
      </c>
      <c r="CV11" s="2338">
        <v>394.20995198830411</v>
      </c>
      <c r="CW11" s="2364">
        <v>498.46343188740883</v>
      </c>
      <c r="CX11" s="488"/>
      <c r="CY11" s="488"/>
      <c r="CZ11" s="489">
        <f>'yrP&amp;L'!H11</f>
        <v>422.41399999999999</v>
      </c>
      <c r="DA11" s="489">
        <f>'yrP&amp;L'!I11</f>
        <v>453.40800000000002</v>
      </c>
      <c r="DB11" s="489">
        <f>'yrP&amp;L'!J11</f>
        <v>552.33000000000004</v>
      </c>
      <c r="DC11" s="489">
        <f>'yrP&amp;L'!K11</f>
        <v>650.01</v>
      </c>
      <c r="DD11" s="489">
        <f>'yrP&amp;L'!L11</f>
        <v>719.64200000000005</v>
      </c>
      <c r="DE11" s="489">
        <f>'yrP&amp;L'!M11</f>
        <v>663.05799999999999</v>
      </c>
      <c r="DF11" s="489">
        <f>'yrP&amp;L'!N11</f>
        <v>695.154</v>
      </c>
      <c r="DG11" s="489">
        <f>'yrP&amp;L'!O11</f>
        <v>842.6629999999999</v>
      </c>
      <c r="DH11" s="489">
        <f>'qtrP&amp;L'!BJ24</f>
        <v>974.25800000000004</v>
      </c>
      <c r="DI11" s="490">
        <f>'yrP&amp;L'!Q11</f>
        <v>1052.8129999999999</v>
      </c>
      <c r="DJ11" s="490">
        <f>'yrP&amp;L'!R11</f>
        <v>1087.914</v>
      </c>
      <c r="DK11" s="489">
        <f>'yrP&amp;L'!S11</f>
        <v>1262.2939999999999</v>
      </c>
      <c r="DL11" s="490">
        <f>'yrP&amp;L'!T11</f>
        <v>1202.4170000000001</v>
      </c>
      <c r="DM11" s="489">
        <f>'yrP&amp;L'!U11</f>
        <v>1179.4850000000001</v>
      </c>
      <c r="DN11" s="490">
        <f>'yrP&amp;L'!V11</f>
        <v>1262.002</v>
      </c>
      <c r="DO11" s="490">
        <f>'yrP&amp;L'!W11</f>
        <v>1491.57</v>
      </c>
      <c r="DP11" s="489">
        <f>'yrP&amp;L'!X11</f>
        <v>1630.9649999999999</v>
      </c>
      <c r="DQ11" s="489">
        <f>'yrP&amp;L'!Y11</f>
        <v>1690.6869999999999</v>
      </c>
      <c r="DR11" s="489">
        <f>'yrP&amp;L'!Z11</f>
        <v>1712.7380000000001</v>
      </c>
      <c r="DS11" s="489">
        <f>'yrP&amp;L'!AA11</f>
        <v>1613.3999999999999</v>
      </c>
      <c r="DT11" s="489">
        <f>'yrP&amp;L'!AB11</f>
        <v>1511.4</v>
      </c>
      <c r="DU11" s="489">
        <f>'yrP&amp;L'!AC11</f>
        <v>1565</v>
      </c>
      <c r="DV11" s="489">
        <f>'yrP&amp;L'!AD11</f>
        <v>1636.5887581401394</v>
      </c>
      <c r="DW11" s="489">
        <f>'yrP&amp;L'!AE11</f>
        <v>1719.8485784975221</v>
      </c>
      <c r="DX11" s="491">
        <f>'yrP&amp;L'!AF11</f>
        <v>1807.5671822958657</v>
      </c>
      <c r="DY11" s="2331">
        <f>'yrP&amp;L'!AG11</f>
        <v>1881.7684950581815</v>
      </c>
      <c r="DZ11" s="2364">
        <f>'yrP&amp;L'!AH11</f>
        <v>1953.4704406744772</v>
      </c>
    </row>
    <row r="12" spans="1:130" ht="11.25" customHeight="1">
      <c r="A12" s="459"/>
      <c r="B12" s="488"/>
      <c r="C12" s="488"/>
      <c r="D12" s="488"/>
      <c r="E12" s="488"/>
      <c r="F12" s="488"/>
      <c r="G12" s="488"/>
      <c r="H12" s="488"/>
      <c r="I12" s="488"/>
      <c r="J12" s="488"/>
      <c r="K12" s="488"/>
      <c r="L12" s="488"/>
      <c r="M12" s="488"/>
      <c r="N12" s="488"/>
      <c r="O12" s="488"/>
      <c r="P12" s="488"/>
      <c r="Q12" s="488"/>
      <c r="R12" s="488"/>
      <c r="S12" s="488"/>
      <c r="T12" s="488"/>
      <c r="U12" s="488"/>
      <c r="V12" s="488"/>
      <c r="W12" s="488"/>
      <c r="X12" s="488"/>
      <c r="Y12" s="488"/>
      <c r="Z12" s="488"/>
      <c r="AA12" s="488"/>
      <c r="AB12" s="488"/>
      <c r="AC12" s="488"/>
      <c r="AD12" s="488"/>
      <c r="AE12" s="488"/>
      <c r="AF12" s="488"/>
      <c r="AG12" s="488"/>
      <c r="AH12" s="488"/>
      <c r="AI12" s="488"/>
      <c r="AJ12" s="488"/>
      <c r="AK12" s="488"/>
      <c r="AL12" s="488"/>
      <c r="AM12" s="488"/>
      <c r="AN12" s="488"/>
      <c r="AO12" s="488"/>
      <c r="AP12" s="488"/>
      <c r="AQ12" s="488"/>
      <c r="AR12" s="488"/>
      <c r="AS12" s="488"/>
      <c r="AT12" s="488"/>
      <c r="AU12" s="488"/>
      <c r="AV12" s="488"/>
      <c r="AW12" s="488"/>
      <c r="AX12" s="488"/>
      <c r="AY12" s="488"/>
      <c r="AZ12" s="488"/>
      <c r="BA12" s="488"/>
      <c r="BB12" s="488"/>
      <c r="BC12" s="488"/>
      <c r="BD12" s="488"/>
      <c r="BE12" s="488"/>
      <c r="BF12" s="488"/>
      <c r="BG12" s="488"/>
      <c r="BH12" s="488"/>
      <c r="BI12" s="488"/>
      <c r="BJ12" s="488"/>
      <c r="BK12" s="330"/>
      <c r="BL12" s="330"/>
      <c r="BM12" s="330"/>
      <c r="BN12" s="488"/>
      <c r="BO12" s="488"/>
      <c r="BP12" s="330"/>
      <c r="BQ12" s="330"/>
      <c r="BR12" s="330"/>
      <c r="BS12" s="488"/>
      <c r="BT12" s="488"/>
      <c r="BU12" s="330"/>
      <c r="BV12" s="330"/>
      <c r="BW12" s="330"/>
      <c r="BX12" s="488"/>
      <c r="BY12" s="488"/>
      <c r="BZ12" s="330"/>
      <c r="CA12" s="330"/>
      <c r="CB12" s="330"/>
      <c r="CC12" s="488"/>
      <c r="CD12" s="488"/>
      <c r="CE12" s="330"/>
      <c r="CF12" s="330"/>
      <c r="CG12" s="330"/>
      <c r="CH12" s="488"/>
      <c r="CI12" s="488"/>
      <c r="CJ12" s="330"/>
      <c r="CK12" s="330"/>
      <c r="CL12" s="330"/>
      <c r="CM12" s="488"/>
      <c r="CN12" s="488"/>
      <c r="CO12" s="330"/>
      <c r="CP12" s="330"/>
      <c r="CQ12" s="330"/>
      <c r="CR12" s="488"/>
      <c r="CS12" s="488"/>
      <c r="CT12" s="2338"/>
      <c r="CU12" s="2338"/>
      <c r="CV12" s="2338"/>
      <c r="CW12" s="2364"/>
      <c r="CX12" s="488"/>
      <c r="CY12" s="488"/>
      <c r="CZ12" s="489"/>
      <c r="DA12" s="489"/>
      <c r="DB12" s="489"/>
      <c r="DC12" s="489"/>
      <c r="DD12" s="489"/>
      <c r="DE12" s="489"/>
      <c r="DF12" s="489"/>
      <c r="DG12" s="489"/>
      <c r="DH12" s="489"/>
      <c r="DI12" s="490"/>
      <c r="DJ12" s="490"/>
      <c r="DK12" s="489"/>
      <c r="DL12" s="490"/>
      <c r="DM12" s="489"/>
      <c r="DN12" s="490"/>
      <c r="DO12" s="490"/>
      <c r="DP12" s="489"/>
      <c r="DQ12" s="489"/>
      <c r="DR12" s="489"/>
      <c r="DS12" s="489"/>
      <c r="DT12" s="489"/>
      <c r="DU12" s="489"/>
      <c r="DV12" s="489"/>
      <c r="DW12" s="489"/>
      <c r="DX12" s="491"/>
      <c r="DY12" s="2331"/>
      <c r="DZ12" s="2364"/>
    </row>
    <row r="13" spans="1:130">
      <c r="A13" s="487" t="s">
        <v>470</v>
      </c>
      <c r="B13" s="488"/>
      <c r="C13" s="488">
        <f>C9-C11</f>
        <v>148.29599999999999</v>
      </c>
      <c r="D13" s="488">
        <f>D9-D11</f>
        <v>175.03700000000001</v>
      </c>
      <c r="E13" s="488">
        <f>E9-E11</f>
        <v>181.49</v>
      </c>
      <c r="F13" s="488">
        <f>F9-F11</f>
        <v>316.85699999999997</v>
      </c>
      <c r="G13" s="488"/>
      <c r="H13" s="488">
        <f>H9-H11</f>
        <v>188.70899999999997</v>
      </c>
      <c r="I13" s="488">
        <f>I9-I11</f>
        <v>212.45399999999998</v>
      </c>
      <c r="J13" s="488">
        <f>J9-J11</f>
        <v>206.36500000000001</v>
      </c>
      <c r="K13" s="488">
        <f>K9-K11</f>
        <v>340.88600000000002</v>
      </c>
      <c r="L13" s="488"/>
      <c r="M13" s="488">
        <f>M9-M11</f>
        <v>190.14000000000001</v>
      </c>
      <c r="N13" s="488">
        <f>N9-N11</f>
        <v>215.87099999999998</v>
      </c>
      <c r="O13" s="488">
        <f>O9-O11</f>
        <v>192.839</v>
      </c>
      <c r="P13" s="488">
        <f>P9-P11</f>
        <v>344.62700000000001</v>
      </c>
      <c r="Q13" s="488"/>
      <c r="R13" s="488">
        <f>R9-R11</f>
        <v>206.41500000000002</v>
      </c>
      <c r="S13" s="488">
        <f>S9-S11</f>
        <v>219.80700000000002</v>
      </c>
      <c r="T13" s="488">
        <f>T9-T11</f>
        <v>215.81300000000002</v>
      </c>
      <c r="U13" s="488">
        <f>U9-U11</f>
        <v>369.41300000000001</v>
      </c>
      <c r="V13" s="488"/>
      <c r="W13" s="488">
        <f>W9-W11</f>
        <v>229.64400000000001</v>
      </c>
      <c r="X13" s="488">
        <f>X9-X11</f>
        <v>254.97200000000001</v>
      </c>
      <c r="Y13" s="488">
        <f>Y9-Y11</f>
        <v>237.721</v>
      </c>
      <c r="Z13" s="488">
        <f>Z9-Z11</f>
        <v>435.04499999999996</v>
      </c>
      <c r="AA13" s="488"/>
      <c r="AB13" s="488">
        <f>AB9-AB11</f>
        <v>258.87599999999998</v>
      </c>
      <c r="AC13" s="488">
        <f>AC9-AC11</f>
        <v>264.48799999999994</v>
      </c>
      <c r="AD13" s="488">
        <f>AD9-AD11</f>
        <v>245.52799999999999</v>
      </c>
      <c r="AE13" s="488">
        <f>AE9-AE11</f>
        <v>461.68099999999998</v>
      </c>
      <c r="AF13" s="488"/>
      <c r="AG13" s="488">
        <f>AG9-AG11</f>
        <v>274.82100000000003</v>
      </c>
      <c r="AH13" s="488">
        <f>AH9-AH11</f>
        <v>292.08400000000006</v>
      </c>
      <c r="AI13" s="488">
        <f>AI9-AI11</f>
        <v>270.53000000000003</v>
      </c>
      <c r="AJ13" s="488">
        <f>AJ9-AJ11</f>
        <v>504.90500000000003</v>
      </c>
      <c r="AK13" s="488"/>
      <c r="AL13" s="488">
        <f>AL9-AL11</f>
        <v>291.1269999999999</v>
      </c>
      <c r="AM13" s="488">
        <f>AM9-AM11</f>
        <v>310.44300000000004</v>
      </c>
      <c r="AN13" s="488">
        <f>AN9-AN11</f>
        <v>287.35099999999994</v>
      </c>
      <c r="AO13" s="488">
        <f>AO9-AO11</f>
        <v>552.62899999999991</v>
      </c>
      <c r="AP13" s="488"/>
      <c r="AQ13" s="488">
        <f>AQ9-AQ11</f>
        <v>333.95800000000003</v>
      </c>
      <c r="AR13" s="488">
        <f>AR9-AR11</f>
        <v>371.90600000000001</v>
      </c>
      <c r="AS13" s="488">
        <f>AS9-AS11</f>
        <v>341.54699999999997</v>
      </c>
      <c r="AT13" s="488">
        <f>AT9-AT11</f>
        <v>629.06599999999992</v>
      </c>
      <c r="AU13" s="488"/>
      <c r="AV13" s="488">
        <f>AV9-AV11</f>
        <v>380.01800000000003</v>
      </c>
      <c r="AW13" s="488">
        <f>AW9-AW11</f>
        <v>421.87600000000003</v>
      </c>
      <c r="AX13" s="488">
        <f>AX9-AX11</f>
        <v>347.12500000000006</v>
      </c>
      <c r="AY13" s="488">
        <f>AY9-AY11</f>
        <v>497.42299999999994</v>
      </c>
      <c r="AZ13" s="488"/>
      <c r="BA13" s="488">
        <f>BA9-BA11</f>
        <v>289.21899999999999</v>
      </c>
      <c r="BB13" s="488">
        <f>BB9-BB11</f>
        <v>337.45200000000006</v>
      </c>
      <c r="BC13" s="488">
        <f>BC9-BC11</f>
        <v>327.803</v>
      </c>
      <c r="BD13" s="488">
        <f>BD9-BD11</f>
        <v>575.745</v>
      </c>
      <c r="BE13" s="488"/>
      <c r="BF13" s="488">
        <f>BF9-BF11</f>
        <v>366.05</v>
      </c>
      <c r="BG13" s="488">
        <f>BG9-BG11</f>
        <v>387.041</v>
      </c>
      <c r="BH13" s="488">
        <f>BH9-BH11</f>
        <v>398.89700000000005</v>
      </c>
      <c r="BI13" s="488">
        <f>BI9-BI11</f>
        <v>671.3</v>
      </c>
      <c r="BJ13" s="488"/>
      <c r="BK13" s="488">
        <f>BK9-BK11</f>
        <v>443.90600000000006</v>
      </c>
      <c r="BL13" s="488">
        <f>BL9-BL11</f>
        <v>514.697</v>
      </c>
      <c r="BM13" s="488">
        <f>BM9-BM11</f>
        <v>475.84900000000005</v>
      </c>
      <c r="BN13" s="488">
        <f>BN9-BN11</f>
        <v>716.91500000000008</v>
      </c>
      <c r="BO13" s="488"/>
      <c r="BP13" s="488">
        <f>BP9-BP11</f>
        <v>469.01799999999997</v>
      </c>
      <c r="BQ13" s="488">
        <f>BQ9-BQ11</f>
        <v>499.16199999999998</v>
      </c>
      <c r="BR13" s="488">
        <f>BR9-BR11</f>
        <v>464.28899999999999</v>
      </c>
      <c r="BS13" s="488">
        <f>BS9-BS11</f>
        <v>730.81500000000005</v>
      </c>
      <c r="BT13" s="488"/>
      <c r="BU13" s="488">
        <f>BU9-BU11</f>
        <v>503.22400000000005</v>
      </c>
      <c r="BV13" s="488">
        <f>BV9-BV11</f>
        <v>532.12900000000002</v>
      </c>
      <c r="BW13" s="488">
        <f>BW9-BW11</f>
        <v>519.48099999999999</v>
      </c>
      <c r="BX13" s="488">
        <f>BX9-BX11</f>
        <v>785.60900000000015</v>
      </c>
      <c r="BY13" s="488"/>
      <c r="BZ13" s="488">
        <f>BZ9-BZ11</f>
        <v>589.52599999999995</v>
      </c>
      <c r="CA13" s="488">
        <f>CA9-CA11</f>
        <v>595.16300000000001</v>
      </c>
      <c r="CB13" s="488">
        <f>CB9-CB11</f>
        <v>570.87100000000009</v>
      </c>
      <c r="CC13" s="488">
        <f>CC9-CC11</f>
        <v>781.61500000000001</v>
      </c>
      <c r="CD13" s="488"/>
      <c r="CE13" s="488">
        <f>CE9-CE11</f>
        <v>569</v>
      </c>
      <c r="CF13" s="488">
        <f>CF9-CF11</f>
        <v>593</v>
      </c>
      <c r="CG13" s="488">
        <f>CG9-CG11</f>
        <v>564.5</v>
      </c>
      <c r="CH13" s="488">
        <f>CH9-CH11</f>
        <v>764.8</v>
      </c>
      <c r="CI13" s="488"/>
      <c r="CJ13" s="488">
        <f>CJ9-CJ11</f>
        <v>545.59999999999991</v>
      </c>
      <c r="CK13" s="488">
        <f>CK9-CK11</f>
        <v>577.1</v>
      </c>
      <c r="CL13" s="488">
        <f>CL9-CL11</f>
        <v>579.5</v>
      </c>
      <c r="CM13" s="488">
        <f>CM9-CM11</f>
        <v>788.19999999999993</v>
      </c>
      <c r="CN13" s="488"/>
      <c r="CO13" s="488">
        <f>CO9-CO11</f>
        <v>557.6</v>
      </c>
      <c r="CP13" s="488">
        <f>CP9-CP11</f>
        <v>598.20000000000005</v>
      </c>
      <c r="CQ13" s="488">
        <f>CQ9-CQ11</f>
        <v>598.40000000000009</v>
      </c>
      <c r="CR13" s="488">
        <f>CR9-CR11</f>
        <v>850.59999999999991</v>
      </c>
      <c r="CS13" s="488"/>
      <c r="CT13" s="2338">
        <f>CT9-CT11</f>
        <v>598.48019566850144</v>
      </c>
      <c r="CU13" s="2338">
        <f>CU9-CU11</f>
        <v>633.68126696082425</v>
      </c>
      <c r="CV13" s="2338">
        <f>CV9-CV11</f>
        <v>629.71200122807022</v>
      </c>
      <c r="CW13" s="2364">
        <f>CW9-CW11</f>
        <v>886.15721224428239</v>
      </c>
      <c r="CX13" s="488"/>
      <c r="CY13" s="488"/>
      <c r="CZ13" s="489">
        <f>CZ9-CZ11</f>
        <v>499.69400000000007</v>
      </c>
      <c r="DA13" s="489">
        <f>DA9-DA11</f>
        <v>564.20799999999997</v>
      </c>
      <c r="DB13" s="489">
        <f t="shared" ref="DB13:DG13" si="4">DB9-DB11</f>
        <v>625.59900000000005</v>
      </c>
      <c r="DC13" s="489">
        <f t="shared" si="4"/>
        <v>821.68000000000006</v>
      </c>
      <c r="DD13" s="489">
        <f t="shared" si="4"/>
        <v>948.41399999999999</v>
      </c>
      <c r="DE13" s="489">
        <f t="shared" si="4"/>
        <v>943.47700000000009</v>
      </c>
      <c r="DF13" s="489">
        <f t="shared" si="4"/>
        <v>1011.4479999999999</v>
      </c>
      <c r="DG13" s="489">
        <f t="shared" si="4"/>
        <v>1157.3820000000001</v>
      </c>
      <c r="DH13" s="489">
        <f t="shared" ref="DH13:DN13" si="5">DH9-DH11</f>
        <v>1230.5730000000001</v>
      </c>
      <c r="DI13" s="490">
        <f t="shared" si="5"/>
        <v>1342.3400000000004</v>
      </c>
      <c r="DJ13" s="490">
        <f t="shared" si="5"/>
        <v>1472.8199999999995</v>
      </c>
      <c r="DK13" s="489">
        <f t="shared" si="5"/>
        <v>1676.4769999999999</v>
      </c>
      <c r="DL13" s="490">
        <f t="shared" si="5"/>
        <v>1646.4419999999998</v>
      </c>
      <c r="DM13" s="489">
        <f t="shared" si="5"/>
        <v>1530.2450000000003</v>
      </c>
      <c r="DN13" s="490">
        <f t="shared" si="5"/>
        <v>1823.2879999999996</v>
      </c>
      <c r="DO13" s="490">
        <f t="shared" ref="DO13:DU13" si="6">DO9-DO11</f>
        <v>2151.3670000000002</v>
      </c>
      <c r="DP13" s="489">
        <f t="shared" si="6"/>
        <v>2163.2839999999997</v>
      </c>
      <c r="DQ13" s="489">
        <f t="shared" si="6"/>
        <v>2340.4430000000002</v>
      </c>
      <c r="DR13" s="489">
        <f t="shared" si="6"/>
        <v>2537.1749999999993</v>
      </c>
      <c r="DS13" s="489">
        <f t="shared" si="6"/>
        <v>2491.3000000000011</v>
      </c>
      <c r="DT13" s="489">
        <f t="shared" si="6"/>
        <v>2490.3999999999996</v>
      </c>
      <c r="DU13" s="489">
        <f t="shared" si="6"/>
        <v>2604.8000000000002</v>
      </c>
      <c r="DV13" s="489">
        <f>DV9-DV11</f>
        <v>2748.0306761016782</v>
      </c>
      <c r="DW13" s="489">
        <f>DW9-DW11</f>
        <v>2903.4002884313013</v>
      </c>
      <c r="DX13" s="491">
        <f>DX9-DX11</f>
        <v>3061.9564769063591</v>
      </c>
      <c r="DY13" s="2331">
        <f>DY9-DY11</f>
        <v>3190.3837827266743</v>
      </c>
      <c r="DZ13" s="2364">
        <f>DZ9-DZ11</f>
        <v>3326.1793989862722</v>
      </c>
    </row>
    <row r="14" spans="1:130">
      <c r="A14" s="493" t="s">
        <v>471</v>
      </c>
      <c r="B14" s="494"/>
      <c r="C14" s="493">
        <f>'qtrP&amp;L'!$AP30</f>
        <v>118.857</v>
      </c>
      <c r="D14" s="493">
        <f>'qtrP&amp;L'!$AP31</f>
        <v>133.084</v>
      </c>
      <c r="E14" s="493">
        <f>'qtrP&amp;L'!$AP32</f>
        <v>142.00800000000001</v>
      </c>
      <c r="F14" s="493">
        <f>'qtrP&amp;L'!$AP33</f>
        <v>170.84800000000001</v>
      </c>
      <c r="G14" s="493"/>
      <c r="H14" s="493">
        <f>'qtrP&amp;L'!$AT30</f>
        <v>135.31399999999999</v>
      </c>
      <c r="I14" s="493">
        <f>'qtrP&amp;L'!$AT31</f>
        <v>145.37700000000001</v>
      </c>
      <c r="J14" s="493">
        <f>'qtrP&amp;L'!$AT32</f>
        <v>143.31299999999999</v>
      </c>
      <c r="K14" s="493">
        <f>'qtrP&amp;L'!$AT33</f>
        <v>197.01400000000001</v>
      </c>
      <c r="L14" s="493"/>
      <c r="M14" s="493">
        <f>'qtrP&amp;L'!$AX30</f>
        <v>140.91900000000001</v>
      </c>
      <c r="N14" s="493">
        <f>'qtrP&amp;L'!$AX31</f>
        <v>150.20099999999999</v>
      </c>
      <c r="O14" s="493">
        <f>'qtrP&amp;L'!$AX32</f>
        <v>146.798</v>
      </c>
      <c r="P14" s="493">
        <f>'qtrP&amp;L'!$AX33</f>
        <v>195.66200000000001</v>
      </c>
      <c r="Q14" s="493"/>
      <c r="R14" s="493">
        <f>'qtrP&amp;L'!$BB30</f>
        <v>147.84899999999999</v>
      </c>
      <c r="S14" s="493">
        <f>'qtrP&amp;L'!$BB31</f>
        <v>160.72900000000001</v>
      </c>
      <c r="T14" s="493">
        <f>'qtrP&amp;L'!$BB32</f>
        <v>165.9</v>
      </c>
      <c r="U14" s="493">
        <f>'qtrP&amp;L'!$BB33</f>
        <v>217.773</v>
      </c>
      <c r="V14" s="493"/>
      <c r="W14" s="493">
        <f>'qtrP&amp;L'!$BF30</f>
        <v>170.67500000000001</v>
      </c>
      <c r="X14" s="493">
        <f>'qtrP&amp;L'!$BF31</f>
        <v>186.51900000000001</v>
      </c>
      <c r="Y14" s="493">
        <f>'qtrP&amp;L'!$BF32</f>
        <v>188.506</v>
      </c>
      <c r="Z14" s="493">
        <f>'qtrP&amp;L'!$BF33</f>
        <v>256.16300000000001</v>
      </c>
      <c r="AA14" s="493"/>
      <c r="AB14" s="493">
        <f>'qtrP&amp;L'!$BJ30</f>
        <v>196.18100000000001</v>
      </c>
      <c r="AC14" s="493">
        <f>'qtrP&amp;L'!$BJ31</f>
        <v>206.31800000000001</v>
      </c>
      <c r="AD14" s="493">
        <f>'qtrP&amp;L'!$BJ32</f>
        <v>212.16399999999999</v>
      </c>
      <c r="AE14" s="493">
        <f>'qtrP&amp;L'!$BJ33</f>
        <v>321.38099999999997</v>
      </c>
      <c r="AF14" s="493"/>
      <c r="AG14" s="493">
        <f>'qtrP&amp;L'!$BN30</f>
        <v>208.51</v>
      </c>
      <c r="AH14" s="493">
        <f>'qtrP&amp;L'!$BN31</f>
        <v>218.01599999999999</v>
      </c>
      <c r="AI14" s="493">
        <f>'qtrP&amp;L'!$BN32</f>
        <v>230.73500000000001</v>
      </c>
      <c r="AJ14" s="493">
        <f>'qtrP&amp;L'!$BN33</f>
        <v>302.37400000000002</v>
      </c>
      <c r="AK14" s="493"/>
      <c r="AL14" s="493">
        <f>'qtrP&amp;L'!$BR30</f>
        <v>216.19399999999999</v>
      </c>
      <c r="AM14" s="493">
        <f>'qtrP&amp;L'!$BR31</f>
        <v>233.565</v>
      </c>
      <c r="AN14" s="493">
        <f>'qtrP&amp;L'!$BR32</f>
        <v>239.696</v>
      </c>
      <c r="AO14" s="493">
        <f>'qtrP&amp;L'!$BR33</f>
        <v>321.29899999999998</v>
      </c>
      <c r="AP14" s="493"/>
      <c r="AQ14" s="493">
        <f>'qtrP&amp;L'!$BV30</f>
        <v>246.041</v>
      </c>
      <c r="AR14" s="493">
        <f>'qtrP&amp;L'!$BV31</f>
        <v>259.11900000000003</v>
      </c>
      <c r="AS14" s="493">
        <f>'qtrP&amp;L'!$BV32</f>
        <v>278.40300000000002</v>
      </c>
      <c r="AT14" s="493">
        <f>'qtrP&amp;L'!$BV33</f>
        <v>347.91400000000004</v>
      </c>
      <c r="AU14" s="493"/>
      <c r="AV14" s="493">
        <f>'qtrP&amp;L'!$BZ30</f>
        <v>273.33199999999999</v>
      </c>
      <c r="AW14" s="493">
        <f>'qtrP&amp;L'!$BZ31</f>
        <v>287.54700000000003</v>
      </c>
      <c r="AX14" s="493">
        <f>'qtrP&amp;L'!$BZ32</f>
        <v>265.62200000000001</v>
      </c>
      <c r="AY14" s="493">
        <f>'qtrP&amp;L'!$BZ33</f>
        <v>327.44299999999998</v>
      </c>
      <c r="AZ14" s="493"/>
      <c r="BA14" s="493">
        <f>'qtrP&amp;L'!$CD30</f>
        <v>229.70499999999998</v>
      </c>
      <c r="BB14" s="493">
        <f>'qtrP&amp;L'!$CD31</f>
        <v>252.34</v>
      </c>
      <c r="BC14" s="493">
        <f>'qtrP&amp;L'!$CD32</f>
        <v>256.98599999999999</v>
      </c>
      <c r="BD14" s="493">
        <f>'qtrP&amp;L'!$CD33</f>
        <v>351.13799999999998</v>
      </c>
      <c r="BE14" s="493"/>
      <c r="BF14" s="493">
        <f>'qtrP&amp;L'!$CH30</f>
        <v>259.77299999999997</v>
      </c>
      <c r="BG14" s="493">
        <f>'qtrP&amp;L'!$CH31</f>
        <v>269.49</v>
      </c>
      <c r="BH14" s="493">
        <f>'qtrP&amp;L'!$CH32</f>
        <v>294.89799999999997</v>
      </c>
      <c r="BI14" s="493">
        <f>'qtrP&amp;L'!$CH33</f>
        <v>386.71100000000001</v>
      </c>
      <c r="BJ14" s="493"/>
      <c r="BK14" s="493">
        <f>'qtrP&amp;L'!$CL30</f>
        <v>299.71899999999999</v>
      </c>
      <c r="BL14" s="493">
        <f>'qtrP&amp;L'!$CL31</f>
        <v>339.65999999999997</v>
      </c>
      <c r="BM14" s="493">
        <f>'qtrP&amp;L'!$CL32</f>
        <v>329.67200000000003</v>
      </c>
      <c r="BN14" s="493">
        <f>'qtrP&amp;L'!$CL33</f>
        <v>431.17200000000003</v>
      </c>
      <c r="BO14" s="493"/>
      <c r="BP14" s="493">
        <f>'qtrP&amp;L'!$CP30</f>
        <v>334.03300000000002</v>
      </c>
      <c r="BQ14" s="493">
        <f>'qtrP&amp;L'!$CP31</f>
        <v>344.58199999999999</v>
      </c>
      <c r="BR14" s="493">
        <f>'qtrP&amp;L'!$CP32</f>
        <v>346.99400000000003</v>
      </c>
      <c r="BS14" s="493">
        <f>'qtrP&amp;L'!$CP33</f>
        <v>440.45800000000003</v>
      </c>
      <c r="BT14" s="493"/>
      <c r="BU14" s="493">
        <f>'qtrP&amp;L'!CT30</f>
        <v>352.666</v>
      </c>
      <c r="BV14" s="493">
        <f>'qtrP&amp;L'!CT31</f>
        <v>355.24299999999999</v>
      </c>
      <c r="BW14" s="493">
        <f>'qtrP&amp;L'!CT32</f>
        <v>365.863</v>
      </c>
      <c r="BX14" s="493">
        <f>'qtrP&amp;L'!CT33</f>
        <v>472.73099999999999</v>
      </c>
      <c r="BY14" s="493"/>
      <c r="BZ14" s="493">
        <f>+'qtrP&amp;L'!CX30</f>
        <v>379.733</v>
      </c>
      <c r="CA14" s="493">
        <f>+'qtrP&amp;L'!CX31</f>
        <v>386.642</v>
      </c>
      <c r="CB14" s="493">
        <f>+'qtrP&amp;L'!CX32</f>
        <v>402.38</v>
      </c>
      <c r="CC14" s="493">
        <f>+'qtrP&amp;L'!CX33</f>
        <v>476.99099999999999</v>
      </c>
      <c r="CD14" s="493"/>
      <c r="CE14" s="493">
        <f>'qtrP&amp;L'!DB30</f>
        <v>399</v>
      </c>
      <c r="CF14" s="493">
        <f>'qtrP&amp;L'!DB31</f>
        <v>410.59999999999997</v>
      </c>
      <c r="CG14" s="493">
        <f>'qtrP&amp;L'!DB32</f>
        <v>408.1</v>
      </c>
      <c r="CH14" s="493">
        <f>'qtrP&amp;L'!DB33</f>
        <v>466.79999999999995</v>
      </c>
      <c r="CI14" s="493"/>
      <c r="CJ14" s="493">
        <f>'qtrP&amp;L'!DF30</f>
        <v>411</v>
      </c>
      <c r="CK14" s="493">
        <f>'qtrP&amp;L'!DF31</f>
        <v>402.2</v>
      </c>
      <c r="CL14" s="493">
        <f>'qtrP&amp;L'!DF32</f>
        <v>424.3</v>
      </c>
      <c r="CM14" s="493">
        <f>'qtrP&amp;L'!DF33</f>
        <v>493.70000000000005</v>
      </c>
      <c r="CN14" s="493"/>
      <c r="CO14" s="493">
        <f>'qtrP&amp;L'!DJ30</f>
        <v>412</v>
      </c>
      <c r="CP14" s="493">
        <f>'qtrP&amp;L'!DJ31</f>
        <v>416.9</v>
      </c>
      <c r="CQ14" s="493">
        <f>'qtrP&amp;L'!DJ32</f>
        <v>438.1</v>
      </c>
      <c r="CR14" s="493">
        <f>'qtrP&amp;L'!DJ33</f>
        <v>543.4</v>
      </c>
      <c r="CS14" s="493"/>
      <c r="CT14" s="2339">
        <f t="array" ref="CT14:CW14">TRANSPOSE('qtrP&amp;L'!DN30:DN33)</f>
        <v>432.98406439039502</v>
      </c>
      <c r="CU14" s="2339">
        <v>456.25051221179348</v>
      </c>
      <c r="CV14" s="2339">
        <v>478.17155215204679</v>
      </c>
      <c r="CW14" s="2365">
        <v>588.46377375596876</v>
      </c>
      <c r="CX14" s="493"/>
      <c r="CY14" s="493"/>
      <c r="CZ14" s="495">
        <f>'yrP&amp;L'!H14</f>
        <v>390.28100000000001</v>
      </c>
      <c r="DA14" s="495">
        <f>'yrP&amp;L'!I14</f>
        <v>430.78599999999994</v>
      </c>
      <c r="DB14" s="495">
        <f>'yrP&amp;L'!J14</f>
        <v>464.47699999999998</v>
      </c>
      <c r="DC14" s="495">
        <f>'yrP&amp;L'!K14</f>
        <v>564.79700000000003</v>
      </c>
      <c r="DD14" s="495">
        <f>'yrP&amp;L'!L14</f>
        <v>621.01800000000003</v>
      </c>
      <c r="DE14" s="495">
        <f>'yrP&amp;L'!M14</f>
        <v>633.58000000000004</v>
      </c>
      <c r="DF14" s="495">
        <f>'yrP&amp;L'!N14</f>
        <v>692.25099999999998</v>
      </c>
      <c r="DG14" s="495">
        <f>'yrP&amp;L'!O14</f>
        <v>801.86300000000006</v>
      </c>
      <c r="DH14" s="495">
        <f>'qtrP&amp;L'!BJ34</f>
        <v>936.04399999999998</v>
      </c>
      <c r="DI14" s="496">
        <f>'yrP&amp;L'!Q14</f>
        <v>959.63499999999999</v>
      </c>
      <c r="DJ14" s="496">
        <f>'yrP&amp;L'!R14</f>
        <v>1010.754</v>
      </c>
      <c r="DK14" s="495">
        <f>'yrP&amp;L'!S14</f>
        <v>1131.4770000000001</v>
      </c>
      <c r="DL14" s="496">
        <f>'yrP&amp;L'!T14</f>
        <v>1153.944</v>
      </c>
      <c r="DM14" s="495">
        <f>'yrP&amp;L'!U14</f>
        <v>1090.1689999999999</v>
      </c>
      <c r="DN14" s="496">
        <f>'yrP&amp;L'!V14</f>
        <v>1210.8719999999998</v>
      </c>
      <c r="DO14" s="496">
        <f>'yrP&amp;L'!W14</f>
        <v>1400.223</v>
      </c>
      <c r="DP14" s="495">
        <f>'yrP&amp;L'!X14</f>
        <v>1466.067</v>
      </c>
      <c r="DQ14" s="495">
        <f>'yrP&amp;L'!Y14</f>
        <v>1546.5029999999999</v>
      </c>
      <c r="DR14" s="495">
        <f>'yrP&amp;L'!Z14</f>
        <v>1645.7460000000001</v>
      </c>
      <c r="DS14" s="495">
        <f>'yrP&amp;L'!AA14</f>
        <v>1684.4999999999998</v>
      </c>
      <c r="DT14" s="495">
        <f>'yrP&amp;L'!AB14</f>
        <v>1731.2</v>
      </c>
      <c r="DU14" s="495">
        <f>'yrP&amp;L'!AC14</f>
        <v>1810.4</v>
      </c>
      <c r="DV14" s="495">
        <f>'yrP&amp;L'!AD14</f>
        <v>1955.8699025102042</v>
      </c>
      <c r="DW14" s="495">
        <f>'yrP&amp;L'!AE14</f>
        <v>2057.3457457833265</v>
      </c>
      <c r="DX14" s="497">
        <f>'yrP&amp;L'!AF14</f>
        <v>2156.2250762947451</v>
      </c>
      <c r="DY14" s="2402">
        <f>'yrP&amp;L'!AG14</f>
        <v>2233.7758631364504</v>
      </c>
      <c r="DZ14" s="2365">
        <f>'yrP&amp;L'!AH14</f>
        <v>2310.3747698355437</v>
      </c>
    </row>
    <row r="15" spans="1:130">
      <c r="A15" s="1750" t="s">
        <v>2386</v>
      </c>
      <c r="B15" s="1750"/>
      <c r="C15" s="1750"/>
      <c r="D15" s="1750"/>
      <c r="E15" s="1750"/>
      <c r="F15" s="1750"/>
      <c r="G15" s="1750"/>
      <c r="H15" s="1750"/>
      <c r="I15" s="1750"/>
      <c r="J15" s="1750"/>
      <c r="K15" s="1750"/>
      <c r="L15" s="1750"/>
      <c r="M15" s="1751">
        <f>'qtrP&amp;L'!$AX40</f>
        <v>15.356999999999999</v>
      </c>
      <c r="N15" s="1751">
        <f>'qtrP&amp;L'!$AX42</f>
        <v>16.126999999999999</v>
      </c>
      <c r="O15" s="1751">
        <f>'qtrP&amp;L'!$AX41</f>
        <v>15.156000000000002</v>
      </c>
      <c r="P15" s="1751">
        <f>'qtrP&amp;L'!$AX43</f>
        <v>18.519000000000005</v>
      </c>
      <c r="Q15" s="1751"/>
      <c r="R15" s="1751">
        <f>'qtrP&amp;L'!$BB40</f>
        <v>18.013999999999999</v>
      </c>
      <c r="S15" s="1751">
        <f>'qtrP&amp;L'!$BB41</f>
        <v>19.126000000000001</v>
      </c>
      <c r="T15" s="1751">
        <f>'qtrP&amp;L'!$BB42</f>
        <v>19.144999999999996</v>
      </c>
      <c r="U15" s="1751">
        <f>'qtrP&amp;L'!$BB43</f>
        <v>21.722999999999999</v>
      </c>
      <c r="V15" s="1750"/>
      <c r="W15" s="1751">
        <f>'qtrP&amp;L'!$BF40</f>
        <v>21.367000000000001</v>
      </c>
      <c r="X15" s="1751">
        <f>'qtrP&amp;L'!$BF41</f>
        <v>21.339000000000002</v>
      </c>
      <c r="Y15" s="1751">
        <f>'qtrP&amp;L'!$BF42</f>
        <v>22.474999999999994</v>
      </c>
      <c r="Z15" s="1751">
        <f>'qtrP&amp;L'!$BF43</f>
        <v>24.126000000000005</v>
      </c>
      <c r="AA15" s="1750"/>
      <c r="AB15" s="1751">
        <f>'qtrP&amp;L'!$BJ40</f>
        <v>24.943999999999999</v>
      </c>
      <c r="AC15" s="1751">
        <f>'qtrP&amp;L'!$BJ41</f>
        <v>27.797000000000001</v>
      </c>
      <c r="AD15" s="1751">
        <f>'qtrP&amp;L'!$BJ42</f>
        <v>26.968000000000004</v>
      </c>
      <c r="AE15" s="1751">
        <f>'qtrP&amp;L'!$BJ43</f>
        <v>27.12299999999999</v>
      </c>
      <c r="AF15" s="1750"/>
      <c r="AG15" s="1754">
        <f>'qtrP&amp;L'!$BN40</f>
        <v>27.986999999999998</v>
      </c>
      <c r="AH15" s="1754">
        <f>'qtrP&amp;L'!$BN41</f>
        <v>27.111999999999998</v>
      </c>
      <c r="AI15" s="1754">
        <f>'qtrP&amp;L'!$BN42</f>
        <v>26.621000000000002</v>
      </c>
      <c r="AJ15" s="1754">
        <f>'qtrP&amp;L'!$BN43</f>
        <v>27.728999999999999</v>
      </c>
      <c r="AK15" s="1754"/>
      <c r="AL15" s="1754">
        <f>'qtrP&amp;L'!$BR40</f>
        <v>28.347000000000001</v>
      </c>
      <c r="AM15" s="1754">
        <f>'qtrP&amp;L'!$BR41</f>
        <v>29.911999999999999</v>
      </c>
      <c r="AN15" s="1754">
        <f>'qtrP&amp;L'!$BR42</f>
        <v>29.700999999999993</v>
      </c>
      <c r="AO15" s="1754">
        <f>'qtrP&amp;L'!$BR43</f>
        <v>27.337000000000003</v>
      </c>
      <c r="AP15" s="1754"/>
      <c r="AQ15" s="1750">
        <f>'qtrP&amp;L'!$BV40</f>
        <v>30.707000000000001</v>
      </c>
      <c r="AR15" s="1750">
        <f>'qtrP&amp;L'!$BV41</f>
        <v>31.022999999999996</v>
      </c>
      <c r="AS15" s="1750">
        <f>'qtrP&amp;L'!$BV42</f>
        <v>32.511000000000003</v>
      </c>
      <c r="AT15" s="1750">
        <f>'qtrP&amp;L'!$BV43</f>
        <v>33.835000000000001</v>
      </c>
      <c r="AU15" s="1750"/>
      <c r="AV15" s="1750">
        <f>'qtrP&amp;L'!$BZ$40</f>
        <v>33.418999999999997</v>
      </c>
      <c r="AW15" s="1750">
        <f>'qtrP&amp;L'!$BZ$41</f>
        <v>33.751000000000005</v>
      </c>
      <c r="AX15" s="1750">
        <f>'qtrP&amp;L'!$BZ$42</f>
        <v>32.501000000000005</v>
      </c>
      <c r="AY15" s="1750">
        <f>'qtrP&amp;L'!$BZ$43</f>
        <v>36.160999999999987</v>
      </c>
      <c r="AZ15" s="1750"/>
      <c r="BA15" s="1750">
        <f>'qtrP&amp;L'!$CD$40</f>
        <v>32.929000000000002</v>
      </c>
      <c r="BB15" s="1750">
        <f>'qtrP&amp;L'!$CD$41</f>
        <v>36.605000000000004</v>
      </c>
      <c r="BC15" s="1750">
        <f>'qtrP&amp;L'!$CD$42</f>
        <v>34.056999999999988</v>
      </c>
      <c r="BD15" s="1750">
        <f>'qtrP&amp;L'!$CD$43</f>
        <v>35.828000000000017</v>
      </c>
      <c r="BE15" s="1750"/>
      <c r="BF15" s="1750">
        <f>'qtrP&amp;L'!$CH$40</f>
        <v>34.091000000000001</v>
      </c>
      <c r="BG15" s="1750">
        <f>'qtrP&amp;L'!$CH$41</f>
        <v>38.201000000000001</v>
      </c>
      <c r="BH15" s="1750">
        <f>'qtrP&amp;L'!$CH$42</f>
        <v>36.872999999999998</v>
      </c>
      <c r="BI15" s="1750">
        <f>'qtrP&amp;L'!$CH$43</f>
        <v>38.705000000000013</v>
      </c>
      <c r="BJ15" s="1750"/>
      <c r="BK15" s="1750">
        <f>'qtrP&amp;L'!$CL$40</f>
        <v>36.631</v>
      </c>
      <c r="BL15" s="1750">
        <f>'qtrP&amp;L'!$CL$40</f>
        <v>36.631</v>
      </c>
      <c r="BM15" s="1750">
        <f>'qtrP&amp;L'!$CL$40</f>
        <v>36.631</v>
      </c>
      <c r="BN15" s="1750">
        <f>'qtrP&amp;L'!$CL$40</f>
        <v>36.631</v>
      </c>
      <c r="BO15" s="1750"/>
      <c r="BP15" s="1750">
        <f>'qtrP&amp;L'!$CP$40</f>
        <v>39.194000000000003</v>
      </c>
      <c r="BQ15" s="1750">
        <f>'qtrP&amp;L'!$CP$40</f>
        <v>39.194000000000003</v>
      </c>
      <c r="BR15" s="1750">
        <f>'qtrP&amp;L'!$CP$40</f>
        <v>39.194000000000003</v>
      </c>
      <c r="BS15" s="1750">
        <f>'qtrP&amp;L'!$CP$40</f>
        <v>39.194000000000003</v>
      </c>
      <c r="BT15" s="1750"/>
      <c r="BU15" s="1750">
        <f>'qtrP&amp;L'!CT40</f>
        <v>43</v>
      </c>
      <c r="BV15" s="1750">
        <f>'qtrP&amp;L'!CT41</f>
        <v>43.322999999999993</v>
      </c>
      <c r="BW15" s="1750">
        <f>'qtrP&amp;L'!CT42</f>
        <v>45.597999999999999</v>
      </c>
      <c r="BX15" s="1750">
        <f>'qtrP&amp;L'!CT43</f>
        <v>48.707999999999998</v>
      </c>
      <c r="BY15" s="1750"/>
      <c r="BZ15" s="1750">
        <f>+'qtrP&amp;L'!CX40</f>
        <v>49.856999999999999</v>
      </c>
      <c r="CA15" s="1750">
        <f>'qtrP&amp;L'!CX41</f>
        <v>47.356999999999999</v>
      </c>
      <c r="CB15" s="1750">
        <f>'qtrP&amp;L'!CX42</f>
        <v>47.485000000000014</v>
      </c>
      <c r="CC15" s="1750">
        <f>'qtrP&amp;L'!CX43</f>
        <v>47</v>
      </c>
      <c r="CD15" s="1750"/>
      <c r="CE15" s="1750">
        <f>'qtrP&amp;L'!DB40</f>
        <v>48.9</v>
      </c>
      <c r="CF15" s="1750">
        <f>'qtrP&amp;L'!DB41</f>
        <v>50.500000000000007</v>
      </c>
      <c r="CG15" s="1750">
        <f>'qtrP&amp;L'!DB42</f>
        <v>50.1</v>
      </c>
      <c r="CH15" s="1750">
        <f>'qtrP&amp;L'!DB43</f>
        <v>53</v>
      </c>
      <c r="CI15" s="1750"/>
      <c r="CJ15" s="1750">
        <f>'qtrP&amp;L'!DF40</f>
        <v>52.1</v>
      </c>
      <c r="CK15" s="1750">
        <f>'qtrP&amp;L'!DF41</f>
        <v>52.9</v>
      </c>
      <c r="CL15" s="1750">
        <f>'qtrP&amp;L'!DF42</f>
        <v>51.999999999999993</v>
      </c>
      <c r="CM15" s="1750">
        <f>'qtrP&amp;L'!DF43</f>
        <v>51.5</v>
      </c>
      <c r="CN15" s="1750"/>
      <c r="CO15" s="1750">
        <f>'qtrP&amp;L'!DJ40</f>
        <v>50.9</v>
      </c>
      <c r="CP15" s="1750">
        <f>'qtrP&amp;L'!DJ41</f>
        <v>50.9</v>
      </c>
      <c r="CQ15" s="1750">
        <f>'qtrP&amp;L'!DJ42</f>
        <v>51.1</v>
      </c>
      <c r="CR15" s="1750">
        <f>'qtrP&amp;L'!DJ43</f>
        <v>54</v>
      </c>
      <c r="CS15" s="1750"/>
      <c r="CT15" s="1750">
        <f t="array" ref="CT15:CW15">TRANSPOSE('qtrP&amp;L'!DN40:DN43)</f>
        <v>52</v>
      </c>
      <c r="CU15" s="1750">
        <v>52</v>
      </c>
      <c r="CV15" s="1750">
        <v>52</v>
      </c>
      <c r="CW15" s="1759">
        <v>54.461732843607251</v>
      </c>
      <c r="CX15" s="1750"/>
      <c r="CY15" s="1750"/>
      <c r="CZ15" s="1755"/>
      <c r="DA15" s="1755"/>
      <c r="DB15" s="1755"/>
      <c r="DC15" s="1755"/>
      <c r="DD15" s="1755">
        <f>'yrP&amp;L'!L28</f>
        <v>47.508000000000003</v>
      </c>
      <c r="DE15" s="1756">
        <f>'yrP&amp;L'!M28</f>
        <v>65.159000000000006</v>
      </c>
      <c r="DF15" s="1756">
        <f>'yrP&amp;L'!N28</f>
        <v>78.007999999999996</v>
      </c>
      <c r="DG15" s="1756">
        <f>'yrP&amp;L'!O28</f>
        <v>89.307000000000002</v>
      </c>
      <c r="DH15" s="1756">
        <f>'yrP&amp;L'!P28</f>
        <v>106.83199999999999</v>
      </c>
      <c r="DI15" s="1757">
        <f>'yrP&amp;L'!Q28</f>
        <v>109.449</v>
      </c>
      <c r="DJ15" s="1758">
        <f>'yrP&amp;L'!R28</f>
        <v>115.297</v>
      </c>
      <c r="DK15" s="1755">
        <f>'yrP&amp;L'!S28</f>
        <v>128.07599999999999</v>
      </c>
      <c r="DL15" s="1758">
        <f>'yrP&amp;L'!T28</f>
        <v>135.83199999999999</v>
      </c>
      <c r="DM15" s="1755">
        <f>'yrP&amp;L'!U28</f>
        <v>139.41900000000001</v>
      </c>
      <c r="DN15" s="1758">
        <f>'yrP&amp;L'!V28</f>
        <v>147.87</v>
      </c>
      <c r="DO15" s="1758">
        <f>'yrP&amp;L'!W28</f>
        <v>145.934</v>
      </c>
      <c r="DP15" s="1755">
        <f>'yrP&amp;L'!X28</f>
        <v>163.649</v>
      </c>
      <c r="DQ15" s="1755">
        <f>'yrP&amp;L'!Y28</f>
        <v>180.62899999999999</v>
      </c>
      <c r="DR15" s="1755">
        <f>'yrP&amp;L'!Z28</f>
        <v>194.15799999999999</v>
      </c>
      <c r="DS15" s="1755">
        <f>'yrP&amp;L'!AA28</f>
        <v>202.5</v>
      </c>
      <c r="DT15" s="1755">
        <f>'yrP&amp;L'!AB28</f>
        <v>208.5</v>
      </c>
      <c r="DU15" s="1755">
        <f>'yrP&amp;L'!AC28</f>
        <v>206.9</v>
      </c>
      <c r="DV15" s="1755">
        <f>'yrP&amp;L'!AD28</f>
        <v>210.46173284360725</v>
      </c>
      <c r="DW15" s="1755">
        <f>'yrP&amp;L'!AE28</f>
        <v>217.29269674565469</v>
      </c>
      <c r="DX15" s="1759">
        <f>'yrP&amp;L'!AF28</f>
        <v>228.86761198250457</v>
      </c>
      <c r="DY15" s="1755">
        <f>'yrP&amp;L'!AG28</f>
        <v>202.88609111139425</v>
      </c>
      <c r="DZ15" s="1759">
        <f>'yrP&amp;L'!AH28</f>
        <v>248.14354246405523</v>
      </c>
    </row>
    <row r="16" spans="1:130">
      <c r="A16" s="487" t="s">
        <v>472</v>
      </c>
      <c r="B16" s="488"/>
      <c r="C16" s="488">
        <f>C13-C14</f>
        <v>29.438999999999993</v>
      </c>
      <c r="D16" s="488">
        <f>D13-D14</f>
        <v>41.953000000000003</v>
      </c>
      <c r="E16" s="488">
        <f>E13-E14</f>
        <v>39.481999999999999</v>
      </c>
      <c r="F16" s="488">
        <f>F13-F14</f>
        <v>146.00899999999996</v>
      </c>
      <c r="G16" s="488"/>
      <c r="H16" s="488">
        <f>H13-H14</f>
        <v>53.394999999999982</v>
      </c>
      <c r="I16" s="488">
        <f>I13-I14</f>
        <v>67.07699999999997</v>
      </c>
      <c r="J16" s="488">
        <f>J13-J14</f>
        <v>63.052000000000021</v>
      </c>
      <c r="K16" s="488">
        <f>K13-K14</f>
        <v>143.87200000000001</v>
      </c>
      <c r="L16" s="488"/>
      <c r="M16" s="489">
        <f>M13-M14</f>
        <v>49.221000000000004</v>
      </c>
      <c r="N16" s="489">
        <f>N13-N14</f>
        <v>65.669999999999987</v>
      </c>
      <c r="O16" s="489">
        <f>O13-O14</f>
        <v>46.040999999999997</v>
      </c>
      <c r="P16" s="489">
        <f>P13-P14</f>
        <v>148.965</v>
      </c>
      <c r="Q16" s="488"/>
      <c r="R16" s="489">
        <f>R13-R14</f>
        <v>58.566000000000031</v>
      </c>
      <c r="S16" s="489">
        <f>S13-S14</f>
        <v>59.078000000000003</v>
      </c>
      <c r="T16" s="489">
        <f>T13-T14</f>
        <v>49.913000000000011</v>
      </c>
      <c r="U16" s="489">
        <f>U13-U14</f>
        <v>151.64000000000001</v>
      </c>
      <c r="V16" s="488"/>
      <c r="W16" s="489">
        <f>W13-W14</f>
        <v>58.968999999999994</v>
      </c>
      <c r="X16" s="489">
        <f>X13-X14</f>
        <v>68.453000000000003</v>
      </c>
      <c r="Y16" s="489">
        <f>Y13-Y14</f>
        <v>49.215000000000003</v>
      </c>
      <c r="Z16" s="489">
        <f>Z13-Z14</f>
        <v>178.88199999999995</v>
      </c>
      <c r="AA16" s="488"/>
      <c r="AB16" s="489">
        <f>AB13-AB14</f>
        <v>62.694999999999965</v>
      </c>
      <c r="AC16" s="489">
        <f>AC13-AC14</f>
        <v>58.169999999999931</v>
      </c>
      <c r="AD16" s="489">
        <f>AD13-AD14</f>
        <v>33.364000000000004</v>
      </c>
      <c r="AE16" s="489">
        <f>AE13-AE14</f>
        <v>140.30000000000001</v>
      </c>
      <c r="AF16" s="488"/>
      <c r="AG16" s="489">
        <f>AG13-AG14</f>
        <v>66.311000000000035</v>
      </c>
      <c r="AH16" s="489">
        <f>AH13-AH14</f>
        <v>74.068000000000069</v>
      </c>
      <c r="AI16" s="489">
        <f>AI13-AI14</f>
        <v>39.795000000000016</v>
      </c>
      <c r="AJ16" s="489">
        <f>AJ13-AJ14</f>
        <v>202.53100000000001</v>
      </c>
      <c r="AK16" s="488"/>
      <c r="AL16" s="489">
        <f>AL13-AL14</f>
        <v>74.932999999999907</v>
      </c>
      <c r="AM16" s="489">
        <f>AM13-AM14</f>
        <v>76.878000000000043</v>
      </c>
      <c r="AN16" s="489">
        <f>AN13-AN14</f>
        <v>47.654999999999944</v>
      </c>
      <c r="AO16" s="489">
        <f>AO13-AO14</f>
        <v>231.32999999999993</v>
      </c>
      <c r="AP16" s="488"/>
      <c r="AQ16" s="489">
        <f>AQ13-AQ14</f>
        <v>87.91700000000003</v>
      </c>
      <c r="AR16" s="489">
        <f>AR13-AR14</f>
        <v>112.78699999999998</v>
      </c>
      <c r="AS16" s="489">
        <f>AS13-AS14</f>
        <v>63.143999999999949</v>
      </c>
      <c r="AT16" s="489">
        <f>AT13-AT14</f>
        <v>281.15199999999987</v>
      </c>
      <c r="AU16" s="488"/>
      <c r="AV16" s="489">
        <f>AV13-AV14</f>
        <v>106.68600000000004</v>
      </c>
      <c r="AW16" s="489">
        <f>AW13-AW14</f>
        <v>134.32900000000001</v>
      </c>
      <c r="AX16" s="489">
        <f>AX13-AX14</f>
        <v>81.503000000000043</v>
      </c>
      <c r="AY16" s="489">
        <f>AY13-AY14</f>
        <v>169.97999999999996</v>
      </c>
      <c r="AZ16" s="488"/>
      <c r="BA16" s="489">
        <f>BA13-BA14</f>
        <v>59.51400000000001</v>
      </c>
      <c r="BB16" s="489">
        <f>BB13-BB14</f>
        <v>85.112000000000052</v>
      </c>
      <c r="BC16" s="489">
        <f>BC13-BC14</f>
        <v>70.817000000000007</v>
      </c>
      <c r="BD16" s="489">
        <f>BD13-BD14</f>
        <v>224.60700000000003</v>
      </c>
      <c r="BE16" s="488"/>
      <c r="BF16" s="489">
        <f>BF13-BF14</f>
        <v>106.27700000000004</v>
      </c>
      <c r="BG16" s="489">
        <f>BG13-BG14</f>
        <v>117.55099999999999</v>
      </c>
      <c r="BH16" s="489">
        <f>BH13-BH14</f>
        <v>103.99900000000008</v>
      </c>
      <c r="BI16" s="489">
        <f>BI13-BI14</f>
        <v>284.58899999999994</v>
      </c>
      <c r="BJ16" s="488"/>
      <c r="BK16" s="489">
        <f>BK13-BK14</f>
        <v>144.18700000000007</v>
      </c>
      <c r="BL16" s="489">
        <f>BL13-BL14</f>
        <v>175.03700000000003</v>
      </c>
      <c r="BM16" s="489">
        <f>BM13-BM14</f>
        <v>146.17700000000002</v>
      </c>
      <c r="BN16" s="489">
        <f>BN13-BN14</f>
        <v>285.74300000000005</v>
      </c>
      <c r="BO16" s="488"/>
      <c r="BP16" s="489">
        <f>BP13-BP14</f>
        <v>134.98499999999996</v>
      </c>
      <c r="BQ16" s="489">
        <f>BQ13-BQ14</f>
        <v>154.57999999999998</v>
      </c>
      <c r="BR16" s="489">
        <f>BR13-BR14</f>
        <v>117.29499999999996</v>
      </c>
      <c r="BS16" s="489">
        <f>BS13-BS14</f>
        <v>290.35700000000003</v>
      </c>
      <c r="BT16" s="488"/>
      <c r="BU16" s="489">
        <f>BU13-BU14</f>
        <v>150.55800000000005</v>
      </c>
      <c r="BV16" s="489">
        <f>BV13-BV14</f>
        <v>176.88600000000002</v>
      </c>
      <c r="BW16" s="489">
        <f>BW13-BW14</f>
        <v>153.61799999999999</v>
      </c>
      <c r="BX16" s="489">
        <f>BX13-BX14</f>
        <v>312.87800000000016</v>
      </c>
      <c r="BY16" s="488"/>
      <c r="BZ16" s="489">
        <f>BZ13-BZ14</f>
        <v>209.79299999999995</v>
      </c>
      <c r="CA16" s="489">
        <f>CA13-CA14</f>
        <v>208.52100000000002</v>
      </c>
      <c r="CB16" s="489">
        <f>CB13-CB14</f>
        <v>168.4910000000001</v>
      </c>
      <c r="CC16" s="489">
        <f>CC13-CC14</f>
        <v>304.62400000000002</v>
      </c>
      <c r="CD16" s="488"/>
      <c r="CE16" s="489">
        <f>CE13-CE14</f>
        <v>170</v>
      </c>
      <c r="CF16" s="489">
        <f>CF13-CF14</f>
        <v>182.40000000000003</v>
      </c>
      <c r="CG16" s="489">
        <f>CG13-CG14</f>
        <v>156.39999999999998</v>
      </c>
      <c r="CH16" s="489">
        <f>CH13-CH14</f>
        <v>298</v>
      </c>
      <c r="CI16" s="488"/>
      <c r="CJ16" s="489">
        <f>CJ13-CJ14</f>
        <v>134.59999999999991</v>
      </c>
      <c r="CK16" s="489">
        <f>CK13-CK14</f>
        <v>174.90000000000003</v>
      </c>
      <c r="CL16" s="489">
        <f>CL13-CL14</f>
        <v>155.19999999999999</v>
      </c>
      <c r="CM16" s="489">
        <f>CM13-CM14</f>
        <v>294.49999999999989</v>
      </c>
      <c r="CN16" s="488"/>
      <c r="CO16" s="489">
        <f>CO13-CO14</f>
        <v>145.60000000000002</v>
      </c>
      <c r="CP16" s="489">
        <f>CP13-CP14</f>
        <v>181.30000000000007</v>
      </c>
      <c r="CQ16" s="489">
        <f>CQ13-CQ14</f>
        <v>160.30000000000007</v>
      </c>
      <c r="CR16" s="489">
        <f>CR13-CR14</f>
        <v>307.19999999999993</v>
      </c>
      <c r="CS16" s="489"/>
      <c r="CT16" s="2331">
        <f>CT13-CT14</f>
        <v>165.49613127810642</v>
      </c>
      <c r="CU16" s="2331">
        <f>CU13-CU14</f>
        <v>177.43075474903077</v>
      </c>
      <c r="CV16" s="2331">
        <f>CV13-CV14</f>
        <v>151.54044907602344</v>
      </c>
      <c r="CW16" s="2364">
        <f>CW13-CW14</f>
        <v>297.69343848831363</v>
      </c>
      <c r="CX16" s="488"/>
      <c r="CY16" s="488"/>
      <c r="CZ16" s="489">
        <f>CZ13-CZ14</f>
        <v>109.41300000000007</v>
      </c>
      <c r="DA16" s="489">
        <f>DA13-DA14</f>
        <v>133.42200000000003</v>
      </c>
      <c r="DB16" s="489">
        <f>DB13-DB14</f>
        <v>161.12200000000007</v>
      </c>
      <c r="DC16" s="489">
        <f>DC13-DC14</f>
        <v>256.88300000000004</v>
      </c>
      <c r="DD16" s="489">
        <f>DD13-DD14</f>
        <v>327.39599999999996</v>
      </c>
      <c r="DE16" s="489">
        <f t="shared" ref="DE16:DK16" si="7">DE13-DE14</f>
        <v>309.89700000000005</v>
      </c>
      <c r="DF16" s="489">
        <f t="shared" si="7"/>
        <v>319.19699999999989</v>
      </c>
      <c r="DG16" s="489">
        <f t="shared" si="7"/>
        <v>355.51900000000001</v>
      </c>
      <c r="DH16" s="489">
        <f>DH13-DH14</f>
        <v>294.52900000000011</v>
      </c>
      <c r="DI16" s="490">
        <f t="shared" si="7"/>
        <v>382.70500000000038</v>
      </c>
      <c r="DJ16" s="490">
        <f t="shared" si="7"/>
        <v>462.06599999999946</v>
      </c>
      <c r="DK16" s="489">
        <f t="shared" si="7"/>
        <v>544.99999999999977</v>
      </c>
      <c r="DL16" s="490">
        <f t="shared" ref="DL16:DQ16" si="8">DL13-DL14</f>
        <v>492.49799999999982</v>
      </c>
      <c r="DM16" s="489">
        <f t="shared" si="8"/>
        <v>440.07600000000048</v>
      </c>
      <c r="DN16" s="490">
        <f t="shared" si="8"/>
        <v>612.41599999999971</v>
      </c>
      <c r="DO16" s="490">
        <f t="shared" si="8"/>
        <v>751.14400000000023</v>
      </c>
      <c r="DP16" s="489">
        <f t="shared" si="8"/>
        <v>697.21699999999964</v>
      </c>
      <c r="DQ16" s="489">
        <f t="shared" si="8"/>
        <v>793.94000000000028</v>
      </c>
      <c r="DR16" s="489">
        <f t="shared" ref="DR16:DW16" si="9">DR13-DR14</f>
        <v>891.42899999999918</v>
      </c>
      <c r="DS16" s="489">
        <f t="shared" si="9"/>
        <v>806.80000000000132</v>
      </c>
      <c r="DT16" s="489">
        <f t="shared" si="9"/>
        <v>759.19999999999959</v>
      </c>
      <c r="DU16" s="489">
        <f t="shared" si="9"/>
        <v>794.40000000000009</v>
      </c>
      <c r="DV16" s="489">
        <f t="shared" si="9"/>
        <v>792.16077359147403</v>
      </c>
      <c r="DW16" s="489">
        <f t="shared" si="9"/>
        <v>846.05454264797481</v>
      </c>
      <c r="DX16" s="491">
        <f>DX13-DX14</f>
        <v>905.73140061161394</v>
      </c>
      <c r="DY16" s="2331">
        <f>DY13-DY14</f>
        <v>956.6079195902239</v>
      </c>
      <c r="DZ16" s="2364">
        <f>DZ13-DZ14</f>
        <v>1015.8046291507285</v>
      </c>
    </row>
    <row r="17" spans="1:130">
      <c r="A17" s="459" t="s">
        <v>1893</v>
      </c>
      <c r="B17" s="488"/>
      <c r="C17" s="488"/>
      <c r="D17" s="488"/>
      <c r="E17" s="488"/>
      <c r="F17" s="488"/>
      <c r="G17" s="488"/>
      <c r="H17" s="488"/>
      <c r="I17" s="488"/>
      <c r="J17" s="488"/>
      <c r="K17" s="488"/>
      <c r="L17" s="488"/>
      <c r="M17" s="488"/>
      <c r="N17" s="488"/>
      <c r="O17" s="488"/>
      <c r="P17" s="488"/>
      <c r="Q17" s="488"/>
      <c r="R17" s="488"/>
      <c r="S17" s="488"/>
      <c r="T17" s="488"/>
      <c r="U17" s="488"/>
      <c r="V17" s="488"/>
      <c r="W17" s="488"/>
      <c r="X17" s="488"/>
      <c r="Y17" s="488"/>
      <c r="Z17" s="488"/>
      <c r="AA17" s="488"/>
      <c r="AB17" s="488"/>
      <c r="AC17" s="488"/>
      <c r="AD17" s="488"/>
      <c r="AE17" s="488"/>
      <c r="AF17" s="488"/>
      <c r="AG17" s="488"/>
      <c r="AH17" s="488"/>
      <c r="AI17" s="488"/>
      <c r="AJ17" s="488"/>
      <c r="AK17" s="488"/>
      <c r="AL17" s="488"/>
      <c r="AM17" s="488"/>
      <c r="AN17" s="488"/>
      <c r="AO17" s="488"/>
      <c r="AP17" s="488"/>
      <c r="AQ17" s="488"/>
      <c r="AR17" s="488"/>
      <c r="AS17" s="488"/>
      <c r="AT17" s="488"/>
      <c r="AU17" s="488"/>
      <c r="AV17" s="488"/>
      <c r="AW17" s="488"/>
      <c r="AX17" s="488"/>
      <c r="AY17" s="488"/>
      <c r="AZ17" s="488"/>
      <c r="BA17" s="488"/>
      <c r="BB17" s="488"/>
      <c r="BC17" s="488"/>
      <c r="BD17" s="488"/>
      <c r="BE17" s="488"/>
      <c r="BF17" s="488"/>
      <c r="BG17" s="488"/>
      <c r="BH17" s="488"/>
      <c r="BI17" s="488"/>
      <c r="BJ17" s="488"/>
      <c r="BK17" s="488"/>
      <c r="BL17" s="488"/>
      <c r="BM17" s="488"/>
      <c r="BN17" s="488"/>
      <c r="BO17" s="488"/>
      <c r="BP17" s="488"/>
      <c r="BQ17" s="488"/>
      <c r="BR17" s="488"/>
      <c r="BS17" s="488"/>
      <c r="BT17" s="488"/>
      <c r="BU17" s="488"/>
      <c r="BV17" s="488"/>
      <c r="BW17" s="488"/>
      <c r="BX17" s="488"/>
      <c r="BY17" s="488"/>
      <c r="BZ17" s="488"/>
      <c r="CA17" s="488"/>
      <c r="CB17" s="488">
        <f>'qtrP&amp;L'!CX90-'qtrP&amp;L'!CX70</f>
        <v>-32.822999999999993</v>
      </c>
      <c r="CC17" s="488"/>
      <c r="CD17" s="488"/>
      <c r="CE17" s="488"/>
      <c r="CF17" s="488"/>
      <c r="CG17" s="488"/>
      <c r="CH17" s="488"/>
      <c r="CI17" s="488"/>
      <c r="CJ17" s="488"/>
      <c r="CK17" s="488"/>
      <c r="CL17" s="488"/>
      <c r="CM17" s="488"/>
      <c r="CN17" s="488"/>
      <c r="CO17" s="488"/>
      <c r="CP17" s="488"/>
      <c r="CQ17" s="488"/>
      <c r="CR17" s="488"/>
      <c r="CS17" s="488"/>
      <c r="CT17" s="2338"/>
      <c r="CU17" s="2338"/>
      <c r="CV17" s="2338"/>
      <c r="CW17" s="2364"/>
      <c r="CX17" s="488"/>
      <c r="CY17" s="488"/>
      <c r="CZ17" s="489"/>
      <c r="DA17" s="489"/>
      <c r="DB17" s="489"/>
      <c r="DC17" s="489"/>
      <c r="DD17" s="489"/>
      <c r="DE17" s="489"/>
      <c r="DF17" s="489"/>
      <c r="DG17" s="489"/>
      <c r="DH17" s="1594">
        <f>'qtrP&amp;L'!BJ91</f>
        <v>193.59700000000001</v>
      </c>
      <c r="DI17" s="1236"/>
      <c r="DJ17" s="490"/>
      <c r="DK17" s="489"/>
      <c r="DL17" s="490"/>
      <c r="DM17" s="489"/>
      <c r="DN17" s="490"/>
      <c r="DO17" s="490"/>
      <c r="DP17" s="489"/>
      <c r="DQ17" s="489"/>
      <c r="DR17" s="489">
        <f>'qtrP&amp;L'!CX92-'qtrP&amp;L'!CX72</f>
        <v>-32.822999999999993</v>
      </c>
      <c r="DS17" s="489"/>
      <c r="DT17" s="489"/>
      <c r="DU17" s="489"/>
      <c r="DV17" s="489"/>
      <c r="DW17" s="489"/>
      <c r="DX17" s="491"/>
      <c r="DY17" s="2331"/>
      <c r="DZ17" s="2364"/>
    </row>
    <row r="18" spans="1:130">
      <c r="A18" s="493" t="s">
        <v>956</v>
      </c>
      <c r="B18" s="493"/>
      <c r="C18" s="493">
        <f>'qtrP&amp;L'!$AP58</f>
        <v>1.5820000000000001</v>
      </c>
      <c r="D18" s="493">
        <f>'qtrP&amp;L'!$AP59</f>
        <v>2.331</v>
      </c>
      <c r="E18" s="493">
        <f>'qtrP&amp;L'!$AP60</f>
        <v>2.2570000000000001</v>
      </c>
      <c r="F18" s="493">
        <f>'qtrP&amp;L'!$AP61</f>
        <v>2.6549999999999998</v>
      </c>
      <c r="G18" s="493"/>
      <c r="H18" s="493">
        <f>'qtrP&amp;L'!$AT58</f>
        <v>2.6850000000000001</v>
      </c>
      <c r="I18" s="493">
        <f>'qtrP&amp;L'!$AT59</f>
        <v>1.804</v>
      </c>
      <c r="J18" s="493">
        <f>'qtrP&amp;L'!$AT60</f>
        <v>2.516</v>
      </c>
      <c r="K18" s="493">
        <f>'qtrP&amp;L'!$AT61</f>
        <v>2.7500000000000009</v>
      </c>
      <c r="L18" s="493"/>
      <c r="M18" s="493">
        <f>'qtrP&amp;L'!$AX58</f>
        <v>-2.0470000000000002</v>
      </c>
      <c r="N18" s="493">
        <f>'qtrP&amp;L'!$AX59</f>
        <v>5.5810000000000004</v>
      </c>
      <c r="O18" s="493">
        <f>'qtrP&amp;L'!$AX60</f>
        <v>5.9930000000000003</v>
      </c>
      <c r="P18" s="493">
        <f>'qtrP&amp;L'!$AX61</f>
        <v>11.058</v>
      </c>
      <c r="Q18" s="493"/>
      <c r="R18" s="493">
        <f>'qtrP&amp;L'!$BB58</f>
        <v>4.0519999999999996</v>
      </c>
      <c r="S18" s="493">
        <f>'qtrP&amp;L'!$BB59</f>
        <v>4.5540000000000003</v>
      </c>
      <c r="T18" s="493">
        <f>'qtrP&amp;L'!$BB60</f>
        <v>5.4459999999999997</v>
      </c>
      <c r="U18" s="493">
        <f>'qtrP&amp;L'!$BB61</f>
        <v>5.508</v>
      </c>
      <c r="V18" s="493"/>
      <c r="W18" s="493">
        <f>'qtrP&amp;L'!$BF58</f>
        <v>2.3130000000000002</v>
      </c>
      <c r="X18" s="493">
        <f>'qtrP&amp;L'!$BF59</f>
        <v>3.45</v>
      </c>
      <c r="Y18" s="493">
        <f>'qtrP&amp;L'!$BF60</f>
        <v>4.9329999999999998</v>
      </c>
      <c r="Z18" s="493">
        <f>'qtrP&amp;L'!$BF61</f>
        <v>2.1379999999999999</v>
      </c>
      <c r="AA18" s="493"/>
      <c r="AB18" s="493">
        <f>'qtrP&amp;L'!$BJ58</f>
        <v>3.3239999999999998</v>
      </c>
      <c r="AC18" s="493">
        <f>'qtrP&amp;L'!$BJ59</f>
        <v>4.798</v>
      </c>
      <c r="AD18" s="493">
        <f>'qtrP&amp;L'!$BJ60</f>
        <v>5.2759999999999998</v>
      </c>
      <c r="AE18" s="493">
        <f>'qtrP&amp;L'!$BJ61</f>
        <v>2.58</v>
      </c>
      <c r="AF18" s="493"/>
      <c r="AG18" s="493">
        <f>'qtrP&amp;L'!$BN58</f>
        <v>4.2060000000000004</v>
      </c>
      <c r="AH18" s="493">
        <f>'qtrP&amp;L'!$BN59</f>
        <v>3.8580000000000001</v>
      </c>
      <c r="AI18" s="493">
        <f>'qtrP&amp;L'!$BN60</f>
        <v>4.2889999999999997</v>
      </c>
      <c r="AJ18" s="493">
        <f>'qtrP&amp;L'!$BN61</f>
        <v>2.3780000000000001</v>
      </c>
      <c r="AK18" s="493"/>
      <c r="AL18" s="493">
        <f>'qtrP&amp;L'!$BR58</f>
        <v>3.9290000000000003</v>
      </c>
      <c r="AM18" s="493">
        <f>'qtrP&amp;L'!$BR59</f>
        <v>5.2140000000000004</v>
      </c>
      <c r="AN18" s="493">
        <f>'qtrP&amp;L'!$BR60</f>
        <v>-1.294</v>
      </c>
      <c r="AO18" s="493">
        <f>'qtrP&amp;L'!$BR61</f>
        <v>2.6389999999999998</v>
      </c>
      <c r="AP18" s="493"/>
      <c r="AQ18" s="493">
        <f>'qtrP&amp;L'!$BV58</f>
        <v>3.085</v>
      </c>
      <c r="AR18" s="493">
        <f>'qtrP&amp;L'!$BV59</f>
        <v>2.7480000000000002</v>
      </c>
      <c r="AS18" s="493">
        <f>'qtrP&amp;L'!$BV60</f>
        <v>2.306</v>
      </c>
      <c r="AT18" s="493">
        <f>'qtrP&amp;L'!$BV61</f>
        <v>-8.0000000000000002E-3</v>
      </c>
      <c r="AU18" s="493"/>
      <c r="AV18" s="493">
        <f>'qtrP&amp;L'!$BZ58</f>
        <v>1.5049999999999999</v>
      </c>
      <c r="AW18" s="493">
        <f>'qtrP&amp;L'!$BZ59</f>
        <v>3.34</v>
      </c>
      <c r="AX18" s="493">
        <f>'qtrP&amp;L'!$BZ60</f>
        <v>14.449</v>
      </c>
      <c r="AY18" s="493">
        <f>'qtrP&amp;L'!$BZ61</f>
        <v>9.6059999999999999</v>
      </c>
      <c r="AZ18" s="493"/>
      <c r="BA18" s="493">
        <f>'qtrP&amp;L'!$CD58</f>
        <v>12.44</v>
      </c>
      <c r="BB18" s="493">
        <f>'qtrP&amp;L'!$CD59</f>
        <v>12.132</v>
      </c>
      <c r="BC18" s="493">
        <f>'qtrP&amp;L'!$CD60</f>
        <v>11.326000000000001</v>
      </c>
      <c r="BD18" s="493">
        <f>'qtrP&amp;L'!$CD61</f>
        <v>14.62</v>
      </c>
      <c r="BE18" s="493"/>
      <c r="BF18" s="493">
        <f>'qtrP&amp;L'!$CH58</f>
        <v>12.138</v>
      </c>
      <c r="BG18" s="493">
        <f>'qtrP&amp;L'!$CH59</f>
        <v>11.121</v>
      </c>
      <c r="BH18" s="493">
        <f>'qtrP&amp;L'!$CH60</f>
        <v>12.997</v>
      </c>
      <c r="BI18" s="493">
        <f>'qtrP&amp;L'!$CH61</f>
        <v>11.090999999999999</v>
      </c>
      <c r="BJ18" s="493"/>
      <c r="BK18" s="493">
        <f>'qtrP&amp;L'!$CL58</f>
        <v>10.147</v>
      </c>
      <c r="BL18" s="493">
        <f>'qtrP&amp;L'!$CL59</f>
        <v>9.6189999999999998</v>
      </c>
      <c r="BM18" s="493">
        <f>'qtrP&amp;L'!$CL60</f>
        <v>10.393000000000001</v>
      </c>
      <c r="BN18" s="493">
        <f>'qtrP&amp;L'!$CL61</f>
        <v>13.316000000000001</v>
      </c>
      <c r="BO18" s="493"/>
      <c r="BP18" s="493">
        <f>'qtrP&amp;L'!$CP58</f>
        <v>10.554</v>
      </c>
      <c r="BQ18" s="493">
        <f>'qtrP&amp;L'!$CP59</f>
        <v>14.25</v>
      </c>
      <c r="BR18" s="493">
        <f>'qtrP&amp;L'!$CP60</f>
        <v>14.782999999999999</v>
      </c>
      <c r="BS18" s="493">
        <f>'qtrP&amp;L'!$CP61</f>
        <v>14.054</v>
      </c>
      <c r="BT18" s="493"/>
      <c r="BU18" s="493">
        <f>'qtrP&amp;L'!CT58</f>
        <v>12.712</v>
      </c>
      <c r="BV18" s="493">
        <f>'qtrP&amp;L'!CT59</f>
        <v>14.694000000000001</v>
      </c>
      <c r="BW18" s="493">
        <f>'qtrP&amp;L'!CT60</f>
        <v>13.922000000000001</v>
      </c>
      <c r="BX18" s="493">
        <f>'qtrP&amp;L'!CT61</f>
        <v>15.624000000000001</v>
      </c>
      <c r="BY18" s="493"/>
      <c r="BZ18" s="493">
        <f>'qtrP&amp;L'!CX58</f>
        <v>16.276</v>
      </c>
      <c r="CA18" s="493">
        <f>'qtrP&amp;L'!CX59</f>
        <v>16.151</v>
      </c>
      <c r="CB18" s="493">
        <f>'qtrP&amp;L'!CX60</f>
        <v>15.375</v>
      </c>
      <c r="CC18" s="493">
        <f>'qtrP&amp;L'!CX61</f>
        <v>12.311</v>
      </c>
      <c r="CD18" s="493"/>
      <c r="CE18" s="493">
        <f>'qtrP&amp;L'!DB58</f>
        <v>9.3000000000000007</v>
      </c>
      <c r="CF18" s="493">
        <f>'qtrP&amp;L'!DB59</f>
        <v>13.6</v>
      </c>
      <c r="CG18" s="493">
        <f>'qtrP&amp;L'!DB60</f>
        <v>15.2</v>
      </c>
      <c r="CH18" s="493">
        <f>'qtrP&amp;L'!DB61</f>
        <v>12.1</v>
      </c>
      <c r="CI18" s="493"/>
      <c r="CJ18" s="493">
        <f>'qtrP&amp;L'!DF58</f>
        <v>11.5</v>
      </c>
      <c r="CK18" s="493">
        <f>'qtrP&amp;L'!DF59</f>
        <v>13.4</v>
      </c>
      <c r="CL18" s="493">
        <f>'qtrP&amp;L'!DF60</f>
        <v>9.6999999999999993</v>
      </c>
      <c r="CM18" s="493">
        <f>'qtrP&amp;L'!DF61</f>
        <v>10</v>
      </c>
      <c r="CN18" s="493"/>
      <c r="CO18" s="493">
        <f>'qtrP&amp;L'!DJ58</f>
        <v>9.5</v>
      </c>
      <c r="CP18" s="493">
        <f>'qtrP&amp;L'!DJ59</f>
        <v>8.8000000000000007</v>
      </c>
      <c r="CQ18" s="493">
        <f>'qtrP&amp;L'!DJ60</f>
        <v>9.9</v>
      </c>
      <c r="CR18" s="493">
        <f>'qtrP&amp;L'!DJ61</f>
        <v>5.8</v>
      </c>
      <c r="CS18" s="493"/>
      <c r="CT18" s="2339">
        <f t="array" ref="CT18:CW18">TRANSPOSE('qtrP&amp;L'!DN58:DN61)</f>
        <v>8.9</v>
      </c>
      <c r="CU18" s="2339">
        <v>9</v>
      </c>
      <c r="CV18" s="2339">
        <v>9</v>
      </c>
      <c r="CW18" s="2365">
        <v>6</v>
      </c>
      <c r="CX18" s="493"/>
      <c r="CY18" s="493"/>
      <c r="CZ18" s="495">
        <f>'yrP&amp;L'!H34</f>
        <v>6.5269999999999992</v>
      </c>
      <c r="DA18" s="495">
        <f>'yrP&amp;L'!I34</f>
        <v>5.6639999999999997</v>
      </c>
      <c r="DB18" s="495">
        <f>'yrP&amp;L'!J34</f>
        <v>5.4740000000000002</v>
      </c>
      <c r="DC18" s="495">
        <f>'yrP&amp;L'!K34</f>
        <v>8.8249999999999993</v>
      </c>
      <c r="DD18" s="495">
        <f>'yrP&amp;L'!L34</f>
        <v>9.7550000000000008</v>
      </c>
      <c r="DE18" s="495">
        <f>'yrP&amp;L'!M34</f>
        <v>20.585000000000001</v>
      </c>
      <c r="DF18" s="495">
        <f>'yrP&amp;L'!N34</f>
        <v>19.559999999999999</v>
      </c>
      <c r="DG18" s="495">
        <f>'yrP&amp;L'!O34</f>
        <v>12.834</v>
      </c>
      <c r="DH18" s="495">
        <f>'yrP&amp;L'!P34</f>
        <v>15.978</v>
      </c>
      <c r="DI18" s="496">
        <f>'yrP&amp;L'!Q34</f>
        <v>14.731</v>
      </c>
      <c r="DJ18" s="496">
        <f>'yrP&amp;L'!R34</f>
        <v>10.488</v>
      </c>
      <c r="DK18" s="495">
        <f>'yrP&amp;L'!S34</f>
        <v>8.1310000000000002</v>
      </c>
      <c r="DL18" s="496">
        <f>'yrP&amp;L'!T34</f>
        <v>28.9</v>
      </c>
      <c r="DM18" s="495">
        <f>'yrP&amp;L'!U34</f>
        <v>50.517999999999994</v>
      </c>
      <c r="DN18" s="496">
        <f>'yrP&amp;L'!V34</f>
        <v>47.347000000000001</v>
      </c>
      <c r="DO18" s="496">
        <f>'yrP&amp;L'!W34</f>
        <v>43.475000000000001</v>
      </c>
      <c r="DP18" s="495">
        <f>'yrP&amp;L'!X34</f>
        <v>53.641000000000005</v>
      </c>
      <c r="DQ18" s="495">
        <f>'yrP&amp;L'!Y34</f>
        <v>56.952000000000005</v>
      </c>
      <c r="DR18" s="495">
        <f>'yrP&amp;L'!Z34</f>
        <v>60.113</v>
      </c>
      <c r="DS18" s="495">
        <f>'yrP&amp;L'!AA34</f>
        <v>50.199999999999996</v>
      </c>
      <c r="DT18" s="495">
        <f>'yrP&amp;L'!AB34</f>
        <v>44.599999999999994</v>
      </c>
      <c r="DU18" s="495">
        <f>'yrP&amp;L'!AC34</f>
        <v>34</v>
      </c>
      <c r="DV18" s="495">
        <f>'yrP&amp;L'!AD34</f>
        <v>32.9</v>
      </c>
      <c r="DW18" s="495">
        <f>'yrP&amp;L'!AE34</f>
        <v>32.9</v>
      </c>
      <c r="DX18" s="497">
        <f>'yrP&amp;L'!AF34</f>
        <v>32.9</v>
      </c>
      <c r="DY18" s="2402">
        <f>'yrP&amp;L'!AG34</f>
        <v>32.9</v>
      </c>
      <c r="DZ18" s="2365">
        <f>'yrP&amp;L'!AH34</f>
        <v>32.9</v>
      </c>
    </row>
    <row r="19" spans="1:130">
      <c r="A19" s="493" t="s">
        <v>473</v>
      </c>
      <c r="B19" s="488"/>
      <c r="C19" s="488">
        <f>C16-C18</f>
        <v>27.856999999999992</v>
      </c>
      <c r="D19" s="488">
        <f>D16-D18</f>
        <v>39.622</v>
      </c>
      <c r="E19" s="488">
        <f>E16-E18</f>
        <v>37.225000000000001</v>
      </c>
      <c r="F19" s="488">
        <f>F16-F18</f>
        <v>143.35399999999996</v>
      </c>
      <c r="G19" s="488"/>
      <c r="H19" s="488">
        <f>H16-H18</f>
        <v>50.70999999999998</v>
      </c>
      <c r="I19" s="488">
        <f>I16-I18</f>
        <v>65.272999999999968</v>
      </c>
      <c r="J19" s="488">
        <f>J16-J18</f>
        <v>60.536000000000023</v>
      </c>
      <c r="K19" s="488">
        <f>K16-K18</f>
        <v>141.12200000000001</v>
      </c>
      <c r="L19" s="488"/>
      <c r="M19" s="488">
        <f>M16-M18</f>
        <v>51.268000000000001</v>
      </c>
      <c r="N19" s="488">
        <f>N16-N18</f>
        <v>60.088999999999984</v>
      </c>
      <c r="O19" s="488">
        <f>O16-O18</f>
        <v>40.047999999999995</v>
      </c>
      <c r="P19" s="488">
        <f>P16-P18</f>
        <v>137.90700000000001</v>
      </c>
      <c r="Q19" s="488"/>
      <c r="R19" s="488">
        <f>R16-R18</f>
        <v>54.514000000000031</v>
      </c>
      <c r="S19" s="488">
        <f>S16-S18</f>
        <v>54.524000000000001</v>
      </c>
      <c r="T19" s="488">
        <f>T16-T18</f>
        <v>44.467000000000013</v>
      </c>
      <c r="U19" s="488">
        <f>U16-U18</f>
        <v>146.13200000000001</v>
      </c>
      <c r="V19" s="488"/>
      <c r="W19" s="488">
        <f>W16-W18</f>
        <v>56.655999999999992</v>
      </c>
      <c r="X19" s="488">
        <f>X16-X18</f>
        <v>65.003</v>
      </c>
      <c r="Y19" s="488">
        <f>Y16-Y18</f>
        <v>44.282000000000004</v>
      </c>
      <c r="Z19" s="488">
        <f>Z16-Z18</f>
        <v>176.74399999999994</v>
      </c>
      <c r="AA19" s="488"/>
      <c r="AB19" s="488">
        <f>AB16-AB18</f>
        <v>59.370999999999967</v>
      </c>
      <c r="AC19" s="488">
        <f>AC16-AC18</f>
        <v>53.371999999999929</v>
      </c>
      <c r="AD19" s="488">
        <f>AD16-AD18</f>
        <v>28.088000000000005</v>
      </c>
      <c r="AE19" s="488">
        <f>AE16-AE18</f>
        <v>137.72</v>
      </c>
      <c r="AF19" s="488"/>
      <c r="AG19" s="488">
        <f>AG16-AG18</f>
        <v>62.105000000000032</v>
      </c>
      <c r="AH19" s="488">
        <f>AH16-AH18</f>
        <v>70.210000000000065</v>
      </c>
      <c r="AI19" s="488">
        <f>AI16-AI18</f>
        <v>35.506000000000014</v>
      </c>
      <c r="AJ19" s="488">
        <f>AJ16-AJ18</f>
        <v>200.15300000000002</v>
      </c>
      <c r="AK19" s="488"/>
      <c r="AL19" s="488">
        <f>AL16-AL18</f>
        <v>71.003999999999905</v>
      </c>
      <c r="AM19" s="488">
        <f>AM16-AM18</f>
        <v>71.664000000000044</v>
      </c>
      <c r="AN19" s="488">
        <f>AN16-AN18</f>
        <v>48.948999999999941</v>
      </c>
      <c r="AO19" s="488">
        <f>AO16-AO18</f>
        <v>228.69099999999992</v>
      </c>
      <c r="AP19" s="488"/>
      <c r="AQ19" s="488">
        <f>AQ16-AQ18</f>
        <v>84.832000000000036</v>
      </c>
      <c r="AR19" s="488">
        <f>AR16-AR18</f>
        <v>110.03899999999997</v>
      </c>
      <c r="AS19" s="488">
        <f>AS16-AS18</f>
        <v>60.837999999999951</v>
      </c>
      <c r="AT19" s="488">
        <f>AT16-AT18</f>
        <v>281.15999999999985</v>
      </c>
      <c r="AU19" s="488"/>
      <c r="AV19" s="488">
        <f>AV16-AV18</f>
        <v>105.18100000000004</v>
      </c>
      <c r="AW19" s="488">
        <f>AW16-AW18</f>
        <v>130.989</v>
      </c>
      <c r="AX19" s="488">
        <f>AX16-AX18</f>
        <v>67.054000000000045</v>
      </c>
      <c r="AY19" s="488">
        <f>AY16-AY18</f>
        <v>160.37399999999997</v>
      </c>
      <c r="AZ19" s="488"/>
      <c r="BA19" s="488">
        <f>BA16-BA18</f>
        <v>47.074000000000012</v>
      </c>
      <c r="BB19" s="488">
        <f>BB16-BB18</f>
        <v>72.980000000000047</v>
      </c>
      <c r="BC19" s="488">
        <f>BC16-BC18</f>
        <v>59.491000000000007</v>
      </c>
      <c r="BD19" s="488">
        <f>BD16-BD18</f>
        <v>209.98700000000002</v>
      </c>
      <c r="BE19" s="488"/>
      <c r="BF19" s="488">
        <f>BF16-BF18</f>
        <v>94.139000000000038</v>
      </c>
      <c r="BG19" s="488">
        <f>BG16-BG18</f>
        <v>106.42999999999999</v>
      </c>
      <c r="BH19" s="488">
        <f>BH16-BH18</f>
        <v>91.002000000000081</v>
      </c>
      <c r="BI19" s="488">
        <f>BI16-BI18</f>
        <v>273.49799999999993</v>
      </c>
      <c r="BJ19" s="488"/>
      <c r="BK19" s="488">
        <f>BK16-BK18</f>
        <v>134.04000000000008</v>
      </c>
      <c r="BL19" s="488">
        <f>BL16-BL18</f>
        <v>165.41800000000003</v>
      </c>
      <c r="BM19" s="488">
        <f>BM16-BM18</f>
        <v>135.78400000000002</v>
      </c>
      <c r="BN19" s="488">
        <f>BN16-BN18</f>
        <v>272.42700000000008</v>
      </c>
      <c r="BO19" s="488"/>
      <c r="BP19" s="488">
        <f>BP16-BP18</f>
        <v>124.43099999999995</v>
      </c>
      <c r="BQ19" s="488">
        <f>BQ16-BQ18</f>
        <v>140.32999999999998</v>
      </c>
      <c r="BR19" s="488">
        <f>BR16-BR18</f>
        <v>102.51199999999996</v>
      </c>
      <c r="BS19" s="488">
        <f>BS16-BS18</f>
        <v>276.30300000000005</v>
      </c>
      <c r="BT19" s="488"/>
      <c r="BU19" s="488">
        <f>BU16-BU18</f>
        <v>137.84600000000006</v>
      </c>
      <c r="BV19" s="488">
        <f>BV16-BV18</f>
        <v>162.19200000000004</v>
      </c>
      <c r="BW19" s="488">
        <f>BW16-BW18</f>
        <v>139.696</v>
      </c>
      <c r="BX19" s="488">
        <f>BX16-BX18</f>
        <v>297.25400000000013</v>
      </c>
      <c r="BY19" s="488"/>
      <c r="BZ19" s="488">
        <f>BZ16-BZ18</f>
        <v>193.51699999999994</v>
      </c>
      <c r="CA19" s="488">
        <f>CA16-CA18</f>
        <v>192.37</v>
      </c>
      <c r="CB19" s="488">
        <f>CB16-CB18</f>
        <v>153.1160000000001</v>
      </c>
      <c r="CC19" s="488">
        <f>CC16-CC18</f>
        <v>292.31300000000005</v>
      </c>
      <c r="CD19" s="488"/>
      <c r="CE19" s="488">
        <f>CE16-CE18</f>
        <v>160.69999999999999</v>
      </c>
      <c r="CF19" s="488">
        <f>CF16-CF18</f>
        <v>168.80000000000004</v>
      </c>
      <c r="CG19" s="488">
        <f>CG16-CG18</f>
        <v>141.19999999999999</v>
      </c>
      <c r="CH19" s="488">
        <f>CH16-CH18</f>
        <v>285.89999999999998</v>
      </c>
      <c r="CI19" s="488"/>
      <c r="CJ19" s="488">
        <f>CJ16-CJ18</f>
        <v>123.09999999999991</v>
      </c>
      <c r="CK19" s="488">
        <f>CK16-CK18</f>
        <v>161.50000000000003</v>
      </c>
      <c r="CL19" s="488">
        <f>CL16-CL18</f>
        <v>145.5</v>
      </c>
      <c r="CM19" s="488">
        <f>CM16-CM18</f>
        <v>284.49999999999989</v>
      </c>
      <c r="CN19" s="488"/>
      <c r="CO19" s="488">
        <f>CO16-CO18</f>
        <v>136.10000000000002</v>
      </c>
      <c r="CP19" s="488">
        <f>CP16-CP18</f>
        <v>172.50000000000006</v>
      </c>
      <c r="CQ19" s="488">
        <f>CQ16-CQ18</f>
        <v>150.40000000000006</v>
      </c>
      <c r="CR19" s="488">
        <f>CR16-CR18</f>
        <v>301.39999999999992</v>
      </c>
      <c r="CS19" s="488"/>
      <c r="CT19" s="2338">
        <f>CT16-CT18</f>
        <v>156.59613127810641</v>
      </c>
      <c r="CU19" s="2338">
        <f>CU16-CU18</f>
        <v>168.43075474903077</v>
      </c>
      <c r="CV19" s="2338">
        <f>CV16-CV18</f>
        <v>142.54044907602344</v>
      </c>
      <c r="CW19" s="2364">
        <f>CW16-CW18</f>
        <v>291.69343848831363</v>
      </c>
      <c r="CX19" s="488"/>
      <c r="CY19" s="488"/>
      <c r="CZ19" s="489">
        <f>CZ16-CZ18</f>
        <v>102.88600000000007</v>
      </c>
      <c r="DA19" s="489">
        <f>DA16-DA18</f>
        <v>127.75800000000002</v>
      </c>
      <c r="DB19" s="489">
        <f>DB16-DB18</f>
        <v>155.64800000000008</v>
      </c>
      <c r="DC19" s="489">
        <f>DC16-DC18</f>
        <v>248.05800000000005</v>
      </c>
      <c r="DD19" s="489">
        <f t="shared" ref="DD19:DI19" si="10">DD16-DD18</f>
        <v>317.64099999999996</v>
      </c>
      <c r="DE19" s="489">
        <f t="shared" si="10"/>
        <v>289.31200000000007</v>
      </c>
      <c r="DF19" s="489">
        <f t="shared" si="10"/>
        <v>299.63699999999989</v>
      </c>
      <c r="DG19" s="489">
        <f t="shared" si="10"/>
        <v>342.685</v>
      </c>
      <c r="DH19" s="489">
        <f>DH16-DH18+DH17</f>
        <v>472.14800000000014</v>
      </c>
      <c r="DI19" s="490">
        <f t="shared" si="10"/>
        <v>367.97400000000039</v>
      </c>
      <c r="DJ19" s="490">
        <f t="shared" ref="DJ19:DR19" si="11">DJ16-DJ18</f>
        <v>451.57799999999946</v>
      </c>
      <c r="DK19" s="489">
        <f t="shared" si="11"/>
        <v>536.8689999999998</v>
      </c>
      <c r="DL19" s="490">
        <f t="shared" si="11"/>
        <v>463.59799999999984</v>
      </c>
      <c r="DM19" s="489">
        <f t="shared" si="11"/>
        <v>389.5580000000005</v>
      </c>
      <c r="DN19" s="490">
        <f t="shared" si="11"/>
        <v>565.06899999999973</v>
      </c>
      <c r="DO19" s="490">
        <f t="shared" si="11"/>
        <v>707.66900000000021</v>
      </c>
      <c r="DP19" s="489">
        <f t="shared" si="11"/>
        <v>643.57599999999968</v>
      </c>
      <c r="DQ19" s="489">
        <f t="shared" si="11"/>
        <v>736.98800000000028</v>
      </c>
      <c r="DR19" s="489">
        <f t="shared" si="11"/>
        <v>831.31599999999912</v>
      </c>
      <c r="DS19" s="489">
        <f t="shared" ref="DS19:DX19" si="12">DS16-DS18</f>
        <v>756.60000000000127</v>
      </c>
      <c r="DT19" s="489">
        <f t="shared" si="12"/>
        <v>714.59999999999957</v>
      </c>
      <c r="DU19" s="489">
        <f t="shared" si="12"/>
        <v>760.40000000000009</v>
      </c>
      <c r="DV19" s="489">
        <f t="shared" si="12"/>
        <v>759.26077359147405</v>
      </c>
      <c r="DW19" s="489">
        <f t="shared" si="12"/>
        <v>813.15454264797484</v>
      </c>
      <c r="DX19" s="491">
        <f t="shared" si="12"/>
        <v>872.83140061161396</v>
      </c>
      <c r="DY19" s="2331">
        <f>DY16-DY18</f>
        <v>923.70791959022392</v>
      </c>
      <c r="DZ19" s="2364">
        <f>DZ16-DZ18</f>
        <v>982.90462915072851</v>
      </c>
    </row>
    <row r="20" spans="1:130">
      <c r="A20" s="493"/>
      <c r="B20" s="498"/>
      <c r="C20" s="498"/>
      <c r="D20" s="498"/>
      <c r="E20" s="498"/>
      <c r="F20" s="498"/>
      <c r="G20" s="498"/>
      <c r="H20" s="498"/>
      <c r="I20" s="498"/>
      <c r="J20" s="498"/>
      <c r="K20" s="498"/>
      <c r="L20" s="498"/>
      <c r="M20" s="498"/>
      <c r="N20" s="498"/>
      <c r="O20" s="498"/>
      <c r="P20" s="498"/>
      <c r="Q20" s="498"/>
      <c r="R20" s="498"/>
      <c r="S20" s="498"/>
      <c r="T20" s="498"/>
      <c r="U20" s="498"/>
      <c r="V20" s="498"/>
      <c r="W20" s="498"/>
      <c r="X20" s="498"/>
      <c r="Y20" s="498"/>
      <c r="Z20" s="498"/>
      <c r="AA20" s="498"/>
      <c r="AB20" s="498"/>
      <c r="AC20" s="498"/>
      <c r="AD20" s="498"/>
      <c r="AE20" s="498"/>
      <c r="AF20" s="498"/>
      <c r="AG20" s="498"/>
      <c r="AH20" s="498"/>
      <c r="AI20" s="498"/>
      <c r="AJ20" s="498"/>
      <c r="AK20" s="498"/>
      <c r="AL20" s="498"/>
      <c r="AM20" s="498"/>
      <c r="AN20" s="498"/>
      <c r="AO20" s="498"/>
      <c r="AP20" s="498"/>
      <c r="AQ20" s="498"/>
      <c r="AR20" s="498"/>
      <c r="AS20" s="498"/>
      <c r="AT20" s="498"/>
      <c r="AU20" s="498"/>
      <c r="AV20" s="498"/>
      <c r="AW20" s="498"/>
      <c r="AX20" s="498"/>
      <c r="AY20" s="498"/>
      <c r="AZ20" s="498"/>
      <c r="BA20" s="498"/>
      <c r="BB20" s="498"/>
      <c r="BC20" s="498"/>
      <c r="BD20" s="498"/>
      <c r="BE20" s="498"/>
      <c r="BF20" s="498"/>
      <c r="BG20" s="498"/>
      <c r="BH20" s="498"/>
      <c r="BI20" s="498"/>
      <c r="BJ20" s="498"/>
      <c r="BK20" s="498"/>
      <c r="BL20" s="498"/>
      <c r="BM20" s="498"/>
      <c r="BN20" s="498"/>
      <c r="BO20" s="498"/>
      <c r="BP20" s="498"/>
      <c r="BQ20" s="498"/>
      <c r="BR20" s="498"/>
      <c r="BS20" s="498"/>
      <c r="BT20" s="498"/>
      <c r="BU20" s="498"/>
      <c r="BV20" s="498"/>
      <c r="BW20" s="498"/>
      <c r="BX20" s="498"/>
      <c r="BY20" s="498"/>
      <c r="BZ20" s="498"/>
      <c r="CA20" s="498"/>
      <c r="CB20" s="498"/>
      <c r="CC20" s="498"/>
      <c r="CD20" s="498"/>
      <c r="CE20" s="498"/>
      <c r="CF20" s="498"/>
      <c r="CG20" s="498"/>
      <c r="CH20" s="498"/>
      <c r="CI20" s="498"/>
      <c r="CJ20" s="498"/>
      <c r="CK20" s="498"/>
      <c r="CL20" s="498"/>
      <c r="CM20" s="498"/>
      <c r="CN20" s="498"/>
      <c r="CO20" s="498"/>
      <c r="CP20" s="498"/>
      <c r="CQ20" s="498"/>
      <c r="CR20" s="498"/>
      <c r="CS20" s="498"/>
      <c r="CT20" s="2340"/>
      <c r="CU20" s="2340"/>
      <c r="CV20" s="2340"/>
      <c r="CW20" s="2366"/>
      <c r="CX20" s="498"/>
      <c r="CY20" s="498"/>
      <c r="CZ20" s="499"/>
      <c r="DA20" s="499"/>
      <c r="DB20" s="499"/>
      <c r="DC20" s="499"/>
      <c r="DD20" s="499"/>
      <c r="DE20" s="499"/>
      <c r="DF20" s="499"/>
      <c r="DG20" s="499"/>
      <c r="DH20" s="499"/>
      <c r="DI20" s="500"/>
      <c r="DJ20" s="500"/>
      <c r="DK20" s="499"/>
      <c r="DL20" s="500"/>
      <c r="DM20" s="499"/>
      <c r="DN20" s="500"/>
      <c r="DO20" s="500"/>
      <c r="DP20" s="499"/>
      <c r="DQ20" s="499"/>
      <c r="DR20" s="499"/>
      <c r="DS20" s="499"/>
      <c r="DT20" s="499"/>
      <c r="DU20" s="499"/>
      <c r="DV20" s="499"/>
      <c r="DW20" s="499"/>
      <c r="DX20" s="501"/>
      <c r="DY20" s="2403"/>
      <c r="DZ20" s="2366"/>
    </row>
    <row r="21" spans="1:130">
      <c r="A21" s="493" t="s">
        <v>474</v>
      </c>
      <c r="B21" s="493"/>
      <c r="C21" s="493">
        <f>'qtrP&amp;L'!$AP98</f>
        <v>11.7</v>
      </c>
      <c r="D21" s="493">
        <f>'qtrP&amp;L'!$AP99</f>
        <v>16.640999999999998</v>
      </c>
      <c r="E21" s="493">
        <f>'qtrP&amp;L'!$AP100</f>
        <v>15.263</v>
      </c>
      <c r="F21" s="493">
        <f>'qtrP&amp;L'!$AP101</f>
        <v>58.774999999999999</v>
      </c>
      <c r="G21" s="493"/>
      <c r="H21" s="493">
        <f>'qtrP&amp;L'!$AT$98</f>
        <v>20.285</v>
      </c>
      <c r="I21" s="493">
        <f>'qtrP&amp;L'!$AT99</f>
        <v>26.108000000000001</v>
      </c>
      <c r="J21" s="493">
        <f>'qtrP&amp;L'!$AT100</f>
        <v>24.216000000000001</v>
      </c>
      <c r="K21" s="493">
        <f>'qtrP&amp;L'!$AT101</f>
        <v>56.447999999999993</v>
      </c>
      <c r="L21" s="493"/>
      <c r="M21" s="493">
        <f>'qtrP&amp;L'!$AX$98</f>
        <v>20.506</v>
      </c>
      <c r="N21" s="493">
        <f>'qtrP&amp;L'!$AX99</f>
        <v>24.036999999999999</v>
      </c>
      <c r="O21" s="493">
        <f>'qtrP&amp;L'!$AX100</f>
        <v>16.02</v>
      </c>
      <c r="P21" s="493">
        <f>'qtrP&amp;L'!$AX101</f>
        <v>55.161999999999999</v>
      </c>
      <c r="Q21" s="493"/>
      <c r="R21" s="493">
        <f>'qtrP&amp;L'!$BB$98</f>
        <v>21.805</v>
      </c>
      <c r="S21" s="493">
        <f>'qtrP&amp;L'!$BB99</f>
        <v>21.81</v>
      </c>
      <c r="T21" s="493">
        <f>'qtrP&amp;L'!$BB100</f>
        <v>17.298000000000002</v>
      </c>
      <c r="U21" s="493">
        <f>'qtrP&amp;L'!$BB101</f>
        <v>56.844999999999999</v>
      </c>
      <c r="V21" s="493"/>
      <c r="W21" s="493">
        <f>'qtrP&amp;L'!$BF$98</f>
        <v>20.792999999999999</v>
      </c>
      <c r="X21" s="493">
        <f>'qtrP&amp;L'!$BF99</f>
        <v>23.856000000000002</v>
      </c>
      <c r="Y21" s="493">
        <f>'qtrP&amp;L'!$BF100</f>
        <v>16.251000000000001</v>
      </c>
      <c r="Z21" s="493">
        <f>'qtrP&amp;L'!$BF101</f>
        <v>66.268000000000001</v>
      </c>
      <c r="AA21" s="493"/>
      <c r="AB21" s="493">
        <f>'qtrP&amp;L'!$BJ$98</f>
        <v>22.56</v>
      </c>
      <c r="AC21" s="493">
        <f>'qtrP&amp;L'!$BJ99</f>
        <v>20.282</v>
      </c>
      <c r="AD21" s="493">
        <f>'qtrP&amp;L'!$BJ100</f>
        <v>10.73</v>
      </c>
      <c r="AE21" s="493">
        <f>'qtrP&amp;L'!$BJ101</f>
        <v>114.277</v>
      </c>
      <c r="AF21" s="493"/>
      <c r="AG21" s="493">
        <f>'qtrP&amp;L'!$BN$98</f>
        <v>22.047000000000001</v>
      </c>
      <c r="AH21" s="493">
        <f>'qtrP&amp;L'!$BN99</f>
        <v>19.658999999999999</v>
      </c>
      <c r="AI21" s="493">
        <f>'qtrP&amp;L'!$BN100</f>
        <v>11.717000000000001</v>
      </c>
      <c r="AJ21" s="493">
        <f>'qtrP&amp;L'!$BN101</f>
        <v>59.896000000000001</v>
      </c>
      <c r="AK21" s="493"/>
      <c r="AL21" s="493">
        <f>'qtrP&amp;L'!$BR$98</f>
        <v>27.520999999999997</v>
      </c>
      <c r="AM21" s="493">
        <f>'qtrP&amp;L'!$BR99</f>
        <v>26.95</v>
      </c>
      <c r="AN21" s="493">
        <f>'qtrP&amp;L'!$BR100</f>
        <v>16.324000000000002</v>
      </c>
      <c r="AO21" s="493">
        <f>'qtrP&amp;L'!$BR101</f>
        <v>80.819999999999993</v>
      </c>
      <c r="AP21" s="493"/>
      <c r="AQ21" s="493">
        <f>'qtrP&amp;L'!$BV$98</f>
        <v>31.004999999999999</v>
      </c>
      <c r="AR21" s="493">
        <f>'qtrP&amp;L'!$BV99</f>
        <v>43.33</v>
      </c>
      <c r="AS21" s="493">
        <f>'qtrP&amp;L'!$BV100</f>
        <v>18.207999999999998</v>
      </c>
      <c r="AT21" s="493">
        <f>'qtrP&amp;L'!$BV101</f>
        <v>103.23600000000002</v>
      </c>
      <c r="AU21" s="493"/>
      <c r="AV21" s="493">
        <f>'qtrP&amp;L'!$BZ$98</f>
        <v>38.634999999999998</v>
      </c>
      <c r="AW21" s="493">
        <f>'qtrP&amp;L'!$BZ99</f>
        <v>48.348999999999997</v>
      </c>
      <c r="AX21" s="493">
        <f>'qtrP&amp;L'!$BZ100</f>
        <v>21.498000000000001</v>
      </c>
      <c r="AY21" s="493">
        <f>'qtrP&amp;L'!$BZ101</f>
        <v>53.636920000000003</v>
      </c>
      <c r="AZ21" s="493"/>
      <c r="BA21" s="493">
        <f>'qtrP&amp;L'!$CD$98</f>
        <v>19.631</v>
      </c>
      <c r="BB21" s="493">
        <f>'qtrP&amp;L'!$CD99</f>
        <v>24.600999999999999</v>
      </c>
      <c r="BC21" s="493">
        <f>'qtrP&amp;L'!$CD100</f>
        <v>18.3</v>
      </c>
      <c r="BD21" s="493">
        <f>'qtrP&amp;L'!$CD101</f>
        <v>71.78</v>
      </c>
      <c r="BE21" s="493"/>
      <c r="BF21" s="493">
        <f>'qtrP&amp;L'!$CH$98</f>
        <v>31.95</v>
      </c>
      <c r="BG21" s="493">
        <f>'qtrP&amp;L'!$CH99</f>
        <v>36.363</v>
      </c>
      <c r="BH21" s="493">
        <f>'qtrP&amp;L'!$CH100</f>
        <v>32.028999999999996</v>
      </c>
      <c r="BI21" s="493">
        <f>'qtrP&amp;L'!$CH101</f>
        <v>88.387</v>
      </c>
      <c r="BJ21" s="493"/>
      <c r="BK21" s="493">
        <f>'qtrP&amp;L'!$CL$98</f>
        <v>47.974000000000004</v>
      </c>
      <c r="BL21" s="493">
        <f>'qtrP&amp;L'!$CL$99</f>
        <v>54.384</v>
      </c>
      <c r="BM21" s="493">
        <f>'qtrP&amp;L'!$CL$100</f>
        <v>46.094999999999999</v>
      </c>
      <c r="BN21" s="493">
        <f>'qtrP&amp;L'!$CL$101</f>
        <v>94.031999999999996</v>
      </c>
      <c r="BO21" s="493"/>
      <c r="BP21" s="493">
        <f>'qtrP&amp;L'!$CP$98</f>
        <v>42.896999999999998</v>
      </c>
      <c r="BQ21" s="493">
        <f>'qtrP&amp;L'!$CP$99</f>
        <v>48.529000000000003</v>
      </c>
      <c r="BR21" s="493">
        <f>'qtrP&amp;L'!$CP$100</f>
        <v>39.332999999999998</v>
      </c>
      <c r="BS21" s="493">
        <f>'qtrP&amp;L'!$CP$101</f>
        <v>96.66</v>
      </c>
      <c r="BT21" s="493"/>
      <c r="BU21" s="493">
        <f>'qtrP&amp;L'!CT98</f>
        <v>48.018999999999998</v>
      </c>
      <c r="BV21" s="493">
        <f>'qtrP&amp;L'!CT99</f>
        <v>55.411000000000001</v>
      </c>
      <c r="BW21" s="493">
        <f>'qtrP&amp;L'!CT100</f>
        <v>45.085999999999999</v>
      </c>
      <c r="BX21" s="493">
        <f>'qtrP&amp;L'!CT101</f>
        <v>107.45</v>
      </c>
      <c r="BY21" s="493"/>
      <c r="BZ21" s="493">
        <f>'qtrP&amp;L'!CX98</f>
        <v>67.908000000000001</v>
      </c>
      <c r="CA21" s="493">
        <f>'qtrP&amp;L'!CX99</f>
        <v>68.25</v>
      </c>
      <c r="CB21" s="493">
        <f>'qtrP&amp;L'!CX100</f>
        <v>21.068999999999999</v>
      </c>
      <c r="CC21" s="493">
        <f>'qtrP&amp;L'!CX101</f>
        <v>96.131</v>
      </c>
      <c r="CD21" s="493"/>
      <c r="CE21" s="493">
        <f>'qtrP&amp;L'!DB98</f>
        <v>55.8</v>
      </c>
      <c r="CF21" s="493">
        <f>'qtrP&amp;L'!DB99</f>
        <v>57.599999999999994</v>
      </c>
      <c r="CG21" s="493">
        <f>'qtrP&amp;L'!DB100</f>
        <v>50.2</v>
      </c>
      <c r="CH21" s="493">
        <f>'qtrP&amp;L'!DB101</f>
        <v>98.556999999999988</v>
      </c>
      <c r="CI21" s="493"/>
      <c r="CJ21" s="493">
        <f>'qtrP&amp;L'!DF98</f>
        <v>35.6</v>
      </c>
      <c r="CK21" s="493">
        <f>'qtrP&amp;L'!DF99</f>
        <v>55.8</v>
      </c>
      <c r="CL21" s="493">
        <f>'qtrP&amp;L'!DF100</f>
        <v>50.4</v>
      </c>
      <c r="CM21" s="493">
        <f>'qtrP&amp;L'!DF101</f>
        <v>102.7</v>
      </c>
      <c r="CN21" s="493"/>
      <c r="CO21" s="493">
        <f>'qtrP&amp;L'!DJ98</f>
        <v>43.2</v>
      </c>
      <c r="CP21" s="493">
        <f>'qtrP&amp;L'!DJ99</f>
        <v>57.5</v>
      </c>
      <c r="CQ21" s="493">
        <f>'qtrP&amp;L'!DJ100</f>
        <v>50.2</v>
      </c>
      <c r="CR21" s="493">
        <f>'qtrP&amp;L'!DJ101</f>
        <v>93.3</v>
      </c>
      <c r="CS21" s="493"/>
      <c r="CT21" s="2339">
        <f t="array" ref="CT21:CW21">TRANSPOSE('qtrP&amp;L'!DN98:DN101)</f>
        <v>43.846916757869799</v>
      </c>
      <c r="CU21" s="2339">
        <v>47.160611329728617</v>
      </c>
      <c r="CV21" s="2339">
        <v>39.911325741286568</v>
      </c>
      <c r="CW21" s="2365">
        <v>81.674162776727826</v>
      </c>
      <c r="CX21" s="493"/>
      <c r="CY21" s="493"/>
      <c r="CZ21" s="495">
        <f>'yrP&amp;L'!H43</f>
        <v>44.447000000000003</v>
      </c>
      <c r="DA21" s="495">
        <f>'yrP&amp;L'!I43</f>
        <v>54.936</v>
      </c>
      <c r="DB21" s="495">
        <f>'yrP&amp;L'!J43</f>
        <v>65.585999999999999</v>
      </c>
      <c r="DC21" s="495">
        <f>'yrP&amp;L'!K43</f>
        <v>102.37899999999999</v>
      </c>
      <c r="DD21" s="495">
        <f>'yrP&amp;L'!L43</f>
        <v>127.057</v>
      </c>
      <c r="DE21" s="495">
        <f>'yrP&amp;L'!M43</f>
        <v>115.72499999999999</v>
      </c>
      <c r="DF21" s="495">
        <f>'yrP&amp;L'!N43</f>
        <v>109.74299999999999</v>
      </c>
      <c r="DG21" s="495">
        <f>'yrP&amp;L'!O43</f>
        <v>127.16800000000001</v>
      </c>
      <c r="DH21" s="495">
        <f>'yrP&amp;L'!P43</f>
        <v>167.84899999999999</v>
      </c>
      <c r="DI21" s="496">
        <f>'yrP&amp;L'!Q43</f>
        <v>113.319</v>
      </c>
      <c r="DJ21" s="496">
        <f>'yrP&amp;L'!R43</f>
        <v>163.91499999999999</v>
      </c>
      <c r="DK21" s="495">
        <f>'yrP&amp;L'!S43</f>
        <v>195.779</v>
      </c>
      <c r="DL21" s="496">
        <f>'yrP&amp;L'!T43</f>
        <v>162.11892</v>
      </c>
      <c r="DM21" s="495">
        <f>'yrP&amp;L'!U43</f>
        <v>134.31200000000001</v>
      </c>
      <c r="DN21" s="496">
        <f>'yrP&amp;L'!V43</f>
        <v>188.72899999999998</v>
      </c>
      <c r="DO21" s="496">
        <f>'yrP&amp;L'!W43</f>
        <v>242.48500000000001</v>
      </c>
      <c r="DP21" s="495">
        <f>'yrP&amp;L'!X43</f>
        <v>227.41900000000001</v>
      </c>
      <c r="DQ21" s="495">
        <f>'yrP&amp;L'!Y43</f>
        <v>255.96600000000001</v>
      </c>
      <c r="DR21" s="495">
        <f>'yrP&amp;L'!Z43</f>
        <v>253.358</v>
      </c>
      <c r="DS21" s="495">
        <f>'yrP&amp;L'!AA43</f>
        <v>262.15699999999998</v>
      </c>
      <c r="DT21" s="495">
        <f>'yrP&amp;L'!AB43</f>
        <v>244.5</v>
      </c>
      <c r="DU21" s="495">
        <f>'yrP&amp;L'!AC43</f>
        <v>244.2</v>
      </c>
      <c r="DV21" s="495">
        <f>'yrP&amp;L'!AD43</f>
        <v>212.5930166056128</v>
      </c>
      <c r="DW21" s="495">
        <f>'yrP&amp;L'!AE43</f>
        <v>203.28863566199371</v>
      </c>
      <c r="DX21" s="497">
        <f>'yrP&amp;L'!AF43</f>
        <v>218.20785015290349</v>
      </c>
      <c r="DY21" s="2402">
        <f>'yrP&amp;L'!AG43</f>
        <v>230.92697989755598</v>
      </c>
      <c r="DZ21" s="2365">
        <f>'yrP&amp;L'!AH43</f>
        <v>245.72615728768213</v>
      </c>
    </row>
    <row r="22" spans="1:130">
      <c r="A22" s="493"/>
      <c r="B22" s="493"/>
      <c r="C22" s="493"/>
      <c r="D22" s="493"/>
      <c r="E22" s="493"/>
      <c r="F22" s="493"/>
      <c r="G22" s="493"/>
      <c r="H22" s="493"/>
      <c r="I22" s="493"/>
      <c r="J22" s="493"/>
      <c r="K22" s="493"/>
      <c r="L22" s="493"/>
      <c r="M22" s="493"/>
      <c r="N22" s="493"/>
      <c r="O22" s="493"/>
      <c r="P22" s="493"/>
      <c r="Q22" s="493"/>
      <c r="R22" s="493"/>
      <c r="S22" s="493"/>
      <c r="T22" s="493"/>
      <c r="U22" s="493"/>
      <c r="V22" s="493"/>
      <c r="W22" s="493"/>
      <c r="X22" s="493"/>
      <c r="Y22" s="493"/>
      <c r="Z22" s="493"/>
      <c r="AA22" s="493"/>
      <c r="AB22" s="493"/>
      <c r="AC22" s="493"/>
      <c r="AD22" s="493"/>
      <c r="AE22" s="493"/>
      <c r="AF22" s="493"/>
      <c r="AG22" s="493"/>
      <c r="AH22" s="493"/>
      <c r="AI22" s="493"/>
      <c r="AJ22" s="493"/>
      <c r="AK22" s="493"/>
      <c r="AL22" s="493"/>
      <c r="AM22" s="493"/>
      <c r="AN22" s="493"/>
      <c r="AO22" s="493"/>
      <c r="AP22" s="493"/>
      <c r="AQ22" s="493"/>
      <c r="AR22" s="493"/>
      <c r="AS22" s="493"/>
      <c r="AT22" s="493"/>
      <c r="AU22" s="493"/>
      <c r="AV22" s="493"/>
      <c r="AW22" s="493"/>
      <c r="AX22" s="493"/>
      <c r="AY22" s="493"/>
      <c r="AZ22" s="493"/>
      <c r="BA22" s="493"/>
      <c r="BB22" s="493"/>
      <c r="BC22" s="493"/>
      <c r="BD22" s="493"/>
      <c r="BE22" s="493"/>
      <c r="BF22" s="493"/>
      <c r="BG22" s="493"/>
      <c r="BH22" s="493"/>
      <c r="BI22" s="493"/>
      <c r="BJ22" s="493"/>
      <c r="BK22" s="493"/>
      <c r="BL22" s="493"/>
      <c r="BM22" s="493"/>
      <c r="BN22" s="493"/>
      <c r="BO22" s="493"/>
      <c r="BP22" s="493"/>
      <c r="BQ22" s="493"/>
      <c r="BR22" s="493"/>
      <c r="BS22" s="493"/>
      <c r="BT22" s="493"/>
      <c r="BU22" s="493"/>
      <c r="BV22" s="493"/>
      <c r="BW22" s="493"/>
      <c r="BX22" s="493"/>
      <c r="BY22" s="493"/>
      <c r="BZ22" s="493"/>
      <c r="CA22" s="493"/>
      <c r="CB22" s="493"/>
      <c r="CC22" s="493"/>
      <c r="CD22" s="493"/>
      <c r="CE22" s="493"/>
      <c r="CF22" s="493"/>
      <c r="CG22" s="493"/>
      <c r="CH22" s="493"/>
      <c r="CI22" s="493"/>
      <c r="CJ22" s="493"/>
      <c r="CK22" s="493"/>
      <c r="CL22" s="493"/>
      <c r="CM22" s="493"/>
      <c r="CN22" s="493"/>
      <c r="CO22" s="493"/>
      <c r="CP22" s="493"/>
      <c r="CQ22" s="493"/>
      <c r="CR22" s="493"/>
      <c r="CS22" s="493"/>
      <c r="CT22" s="2339"/>
      <c r="CU22" s="2339"/>
      <c r="CV22" s="2339"/>
      <c r="CW22" s="2365"/>
      <c r="CX22" s="493"/>
      <c r="CY22" s="493"/>
      <c r="CZ22" s="495"/>
      <c r="DA22" s="495"/>
      <c r="DB22" s="495"/>
      <c r="DC22" s="495"/>
      <c r="DD22" s="495"/>
      <c r="DE22" s="495"/>
      <c r="DF22" s="495"/>
      <c r="DG22" s="495"/>
      <c r="DH22" s="495"/>
      <c r="DI22" s="496"/>
      <c r="DJ22" s="496"/>
      <c r="DK22" s="495"/>
      <c r="DL22" s="496"/>
      <c r="DM22" s="495"/>
      <c r="DN22" s="496"/>
      <c r="DO22" s="496"/>
      <c r="DP22" s="495"/>
      <c r="DQ22" s="495"/>
      <c r="DR22" s="495"/>
      <c r="DS22" s="495"/>
      <c r="DT22" s="495"/>
      <c r="DU22" s="495"/>
      <c r="DV22" s="495"/>
      <c r="DW22" s="495"/>
      <c r="DX22" s="497"/>
      <c r="DY22" s="2402"/>
      <c r="DZ22" s="2365"/>
    </row>
    <row r="23" spans="1:130">
      <c r="A23" s="487" t="s">
        <v>475</v>
      </c>
      <c r="B23" s="488"/>
      <c r="C23" s="488">
        <f>C19-C21</f>
        <v>16.156999999999993</v>
      </c>
      <c r="D23" s="488">
        <f>D19-D21</f>
        <v>22.981000000000002</v>
      </c>
      <c r="E23" s="488">
        <f>E19-E21</f>
        <v>21.962000000000003</v>
      </c>
      <c r="F23" s="488">
        <f>F19-F21</f>
        <v>84.578999999999951</v>
      </c>
      <c r="G23" s="488"/>
      <c r="H23" s="488">
        <f>H19-H21</f>
        <v>30.424999999999979</v>
      </c>
      <c r="I23" s="488">
        <f>I19-I21</f>
        <v>39.164999999999964</v>
      </c>
      <c r="J23" s="488">
        <f>J19-J21</f>
        <v>36.320000000000022</v>
      </c>
      <c r="K23" s="488">
        <f>K19-K21</f>
        <v>84.674000000000021</v>
      </c>
      <c r="L23" s="488"/>
      <c r="M23" s="488">
        <f>M19-M21</f>
        <v>30.762</v>
      </c>
      <c r="N23" s="488">
        <f>N19-N21</f>
        <v>36.051999999999985</v>
      </c>
      <c r="O23" s="488">
        <f>O19-O21</f>
        <v>24.027999999999995</v>
      </c>
      <c r="P23" s="488">
        <f>P19-P21</f>
        <v>82.745000000000005</v>
      </c>
      <c r="Q23" s="488"/>
      <c r="R23" s="488">
        <f>R19-R21</f>
        <v>32.709000000000032</v>
      </c>
      <c r="S23" s="488">
        <f>S19-S21</f>
        <v>32.713999999999999</v>
      </c>
      <c r="T23" s="488">
        <f>T19-T21</f>
        <v>27.169000000000011</v>
      </c>
      <c r="U23" s="488">
        <f>U19-U21</f>
        <v>89.287000000000006</v>
      </c>
      <c r="V23" s="488"/>
      <c r="W23" s="488">
        <f>W19-W21</f>
        <v>35.862999999999992</v>
      </c>
      <c r="X23" s="488">
        <f>X19-X21</f>
        <v>41.146999999999998</v>
      </c>
      <c r="Y23" s="488">
        <f>Y19-Y21</f>
        <v>28.031000000000002</v>
      </c>
      <c r="Z23" s="488">
        <f>Z19-Z21</f>
        <v>110.47599999999994</v>
      </c>
      <c r="AA23" s="488"/>
      <c r="AB23" s="488">
        <f>AB19-AB21</f>
        <v>36.810999999999964</v>
      </c>
      <c r="AC23" s="488">
        <f>AC19-AC21</f>
        <v>33.089999999999932</v>
      </c>
      <c r="AD23" s="488">
        <f>AD19-AD21</f>
        <v>17.358000000000004</v>
      </c>
      <c r="AE23" s="488">
        <f>AE19-AE21</f>
        <v>23.442999999999998</v>
      </c>
      <c r="AF23" s="488"/>
      <c r="AG23" s="488">
        <f>AG19-AG21</f>
        <v>40.058000000000035</v>
      </c>
      <c r="AH23" s="488">
        <f>AH19-AH21</f>
        <v>50.551000000000066</v>
      </c>
      <c r="AI23" s="488">
        <f>AI19-AI21</f>
        <v>23.789000000000016</v>
      </c>
      <c r="AJ23" s="488">
        <f>AJ19-AJ21</f>
        <v>140.25700000000001</v>
      </c>
      <c r="AK23" s="488"/>
      <c r="AL23" s="488">
        <f>AL19-AL21</f>
        <v>43.482999999999905</v>
      </c>
      <c r="AM23" s="488">
        <f>AM19-AM21</f>
        <v>44.714000000000041</v>
      </c>
      <c r="AN23" s="488">
        <f>AN19-AN21</f>
        <v>32.624999999999943</v>
      </c>
      <c r="AO23" s="488">
        <f>AO19-AO21</f>
        <v>147.87099999999992</v>
      </c>
      <c r="AP23" s="488"/>
      <c r="AQ23" s="488">
        <f>AQ19-AQ21</f>
        <v>53.827000000000041</v>
      </c>
      <c r="AR23" s="488">
        <f>AR19-AR21</f>
        <v>66.708999999999975</v>
      </c>
      <c r="AS23" s="488">
        <f>AS19-AS21</f>
        <v>42.629999999999953</v>
      </c>
      <c r="AT23" s="488">
        <f>AT19-AT21</f>
        <v>177.92399999999984</v>
      </c>
      <c r="AU23" s="488"/>
      <c r="AV23" s="488">
        <f>AV19-AV21</f>
        <v>66.546000000000049</v>
      </c>
      <c r="AW23" s="488">
        <f>AW19-AW21</f>
        <v>82.640000000000015</v>
      </c>
      <c r="AX23" s="488">
        <f>AX19-AX21</f>
        <v>45.55600000000004</v>
      </c>
      <c r="AY23" s="488">
        <f>AY19-AY21</f>
        <v>106.73707999999996</v>
      </c>
      <c r="AZ23" s="488"/>
      <c r="BA23" s="488">
        <f>BA19-BA21</f>
        <v>27.443000000000012</v>
      </c>
      <c r="BB23" s="488">
        <f>BB19-BB21</f>
        <v>48.379000000000048</v>
      </c>
      <c r="BC23" s="488">
        <f>BC19-BC21</f>
        <v>41.191000000000003</v>
      </c>
      <c r="BD23" s="488">
        <f>BD19-BD21</f>
        <v>138.20700000000002</v>
      </c>
      <c r="BE23" s="488"/>
      <c r="BF23" s="488">
        <f>BF19-BF21</f>
        <v>62.189000000000036</v>
      </c>
      <c r="BG23" s="488">
        <f>BG19-BG21</f>
        <v>70.066999999999993</v>
      </c>
      <c r="BH23" s="488">
        <f>BH19-BH21</f>
        <v>58.973000000000084</v>
      </c>
      <c r="BI23" s="488">
        <f>BI19-BI21</f>
        <v>185.11099999999993</v>
      </c>
      <c r="BJ23" s="488"/>
      <c r="BK23" s="488">
        <f>BK19-BK21</f>
        <v>86.066000000000074</v>
      </c>
      <c r="BL23" s="488">
        <f>BL19-BL21</f>
        <v>111.03400000000003</v>
      </c>
      <c r="BM23" s="488">
        <f>BM19-BM21</f>
        <v>89.689000000000021</v>
      </c>
      <c r="BN23" s="488">
        <f>BN19-BN21</f>
        <v>178.3950000000001</v>
      </c>
      <c r="BO23" s="488"/>
      <c r="BP23" s="488">
        <f>BP19-BP21</f>
        <v>81.533999999999963</v>
      </c>
      <c r="BQ23" s="488">
        <f>BQ19-BQ21</f>
        <v>91.800999999999988</v>
      </c>
      <c r="BR23" s="488">
        <f>BR19-BR21</f>
        <v>63.178999999999959</v>
      </c>
      <c r="BS23" s="488">
        <f>BS19-BS21</f>
        <v>179.64300000000006</v>
      </c>
      <c r="BT23" s="488"/>
      <c r="BU23" s="488">
        <f>BU19-BU21</f>
        <v>89.827000000000055</v>
      </c>
      <c r="BV23" s="488">
        <f>BV19-BV21</f>
        <v>106.78100000000003</v>
      </c>
      <c r="BW23" s="488">
        <f>BW19-BW21</f>
        <v>94.61</v>
      </c>
      <c r="BX23" s="488">
        <f>BX19-BX21</f>
        <v>189.80400000000014</v>
      </c>
      <c r="BY23" s="488"/>
      <c r="BZ23" s="488">
        <f>BZ19-BZ21</f>
        <v>125.60899999999994</v>
      </c>
      <c r="CA23" s="488">
        <f>CA19-CA21</f>
        <v>124.12</v>
      </c>
      <c r="CB23" s="488">
        <f>CB19-CB21+CB17</f>
        <v>99.224000000000117</v>
      </c>
      <c r="CC23" s="488">
        <f>CC19-CC21+CC17</f>
        <v>196.18200000000004</v>
      </c>
      <c r="CD23" s="488"/>
      <c r="CE23" s="488">
        <f>CE19-CE21</f>
        <v>104.89999999999999</v>
      </c>
      <c r="CF23" s="488">
        <f>CF19-CF21</f>
        <v>111.20000000000005</v>
      </c>
      <c r="CG23" s="488">
        <f>CG19-CG21+CG17</f>
        <v>90.999999999999986</v>
      </c>
      <c r="CH23" s="488">
        <f>CH19-CH21+CH17</f>
        <v>187.34299999999999</v>
      </c>
      <c r="CI23" s="488"/>
      <c r="CJ23" s="488">
        <f>CJ19-CJ21</f>
        <v>87.499999999999915</v>
      </c>
      <c r="CK23" s="488">
        <f>CK19-CK21</f>
        <v>105.70000000000003</v>
      </c>
      <c r="CL23" s="488">
        <f>CL19-CL21+CL17</f>
        <v>95.1</v>
      </c>
      <c r="CM23" s="488">
        <f>CM19-CM21+CM17</f>
        <v>181.7999999999999</v>
      </c>
      <c r="CN23" s="488"/>
      <c r="CO23" s="488">
        <f>CO19-CO21</f>
        <v>92.90000000000002</v>
      </c>
      <c r="CP23" s="488">
        <f>CP19-CP21</f>
        <v>115.00000000000006</v>
      </c>
      <c r="CQ23" s="488">
        <f>CQ19-CQ21+CQ17</f>
        <v>100.20000000000006</v>
      </c>
      <c r="CR23" s="488">
        <f>CR19-CR21+CR17</f>
        <v>208.09999999999991</v>
      </c>
      <c r="CS23" s="488"/>
      <c r="CT23" s="2338">
        <f>CT19-CT21+CT17</f>
        <v>112.74921452023662</v>
      </c>
      <c r="CU23" s="2338">
        <f>CU19-CU21+CU17</f>
        <v>121.27014341930214</v>
      </c>
      <c r="CV23" s="2338">
        <f>CV19-CV21+CV17</f>
        <v>102.62912333473687</v>
      </c>
      <c r="CW23" s="2364">
        <f>CW19-CW21+CW17</f>
        <v>210.01927571158581</v>
      </c>
      <c r="CX23" s="488"/>
      <c r="CY23" s="488"/>
      <c r="CZ23" s="489">
        <f t="shared" ref="CZ23:DQ23" si="13">CZ19-CZ21</f>
        <v>58.439000000000064</v>
      </c>
      <c r="DA23" s="489">
        <f t="shared" si="13"/>
        <v>72.822000000000031</v>
      </c>
      <c r="DB23" s="489">
        <f t="shared" si="13"/>
        <v>90.062000000000083</v>
      </c>
      <c r="DC23" s="489">
        <f t="shared" si="13"/>
        <v>145.67900000000006</v>
      </c>
      <c r="DD23" s="489">
        <f t="shared" si="13"/>
        <v>190.58399999999995</v>
      </c>
      <c r="DE23" s="489">
        <f t="shared" si="13"/>
        <v>173.58700000000007</v>
      </c>
      <c r="DF23" s="489">
        <f t="shared" si="13"/>
        <v>189.89399999999989</v>
      </c>
      <c r="DG23" s="489">
        <f t="shared" si="13"/>
        <v>215.517</v>
      </c>
      <c r="DH23" s="489">
        <f t="shared" si="13"/>
        <v>304.29900000000015</v>
      </c>
      <c r="DI23" s="490">
        <f t="shared" si="13"/>
        <v>254.65500000000037</v>
      </c>
      <c r="DJ23" s="490">
        <f t="shared" si="13"/>
        <v>287.66299999999944</v>
      </c>
      <c r="DK23" s="489">
        <f t="shared" si="13"/>
        <v>341.0899999999998</v>
      </c>
      <c r="DL23" s="490">
        <f t="shared" si="13"/>
        <v>301.47907999999984</v>
      </c>
      <c r="DM23" s="489">
        <f t="shared" si="13"/>
        <v>255.24600000000049</v>
      </c>
      <c r="DN23" s="490">
        <f t="shared" si="13"/>
        <v>376.33999999999975</v>
      </c>
      <c r="DO23" s="490">
        <f t="shared" si="13"/>
        <v>465.1840000000002</v>
      </c>
      <c r="DP23" s="489">
        <f t="shared" si="13"/>
        <v>416.1569999999997</v>
      </c>
      <c r="DQ23" s="489">
        <f t="shared" si="13"/>
        <v>481.02200000000028</v>
      </c>
      <c r="DR23" s="489">
        <f>DR19-DR21+DR17</f>
        <v>545.1349999999992</v>
      </c>
      <c r="DS23" s="489">
        <f>DS19-DS21+DS17</f>
        <v>494.44300000000129</v>
      </c>
      <c r="DT23" s="489">
        <f>DT19-DT21+DT17</f>
        <v>470.09999999999957</v>
      </c>
      <c r="DU23" s="489">
        <f t="shared" ref="DU23:DZ23" si="14">DU19-DU21</f>
        <v>516.20000000000005</v>
      </c>
      <c r="DV23" s="489">
        <f t="shared" si="14"/>
        <v>546.66775698586127</v>
      </c>
      <c r="DW23" s="489">
        <f t="shared" si="14"/>
        <v>609.86590698598116</v>
      </c>
      <c r="DX23" s="491">
        <f t="shared" si="14"/>
        <v>654.6235504587105</v>
      </c>
      <c r="DY23" s="2331">
        <f t="shared" si="14"/>
        <v>692.78093969266797</v>
      </c>
      <c r="DZ23" s="2364">
        <f t="shared" si="14"/>
        <v>737.17847186304641</v>
      </c>
    </row>
    <row r="24" spans="1:130">
      <c r="A24" s="459"/>
      <c r="B24" s="502"/>
      <c r="C24" s="502"/>
      <c r="D24" s="502"/>
      <c r="E24" s="502"/>
      <c r="F24" s="502"/>
      <c r="G24" s="502"/>
      <c r="H24" s="502"/>
      <c r="I24" s="502"/>
      <c r="J24" s="502"/>
      <c r="K24" s="502"/>
      <c r="L24" s="502"/>
      <c r="M24" s="502"/>
      <c r="N24" s="502"/>
      <c r="O24" s="502"/>
      <c r="P24" s="502"/>
      <c r="Q24" s="502"/>
      <c r="R24" s="502"/>
      <c r="S24" s="502"/>
      <c r="T24" s="502"/>
      <c r="U24" s="502"/>
      <c r="V24" s="502"/>
      <c r="W24" s="502"/>
      <c r="X24" s="502"/>
      <c r="Y24" s="502"/>
      <c r="Z24" s="502"/>
      <c r="AA24" s="502"/>
      <c r="AB24" s="502"/>
      <c r="AC24" s="502"/>
      <c r="AD24" s="502"/>
      <c r="AE24" s="502"/>
      <c r="AF24" s="502"/>
      <c r="AG24" s="502"/>
      <c r="AH24" s="502"/>
      <c r="AI24" s="502"/>
      <c r="AJ24" s="502"/>
      <c r="AK24" s="502"/>
      <c r="AL24" s="502"/>
      <c r="AM24" s="502"/>
      <c r="AN24" s="502"/>
      <c r="AO24" s="502"/>
      <c r="AP24" s="502"/>
      <c r="AQ24" s="502"/>
      <c r="AR24" s="502"/>
      <c r="AS24" s="502"/>
      <c r="AT24" s="502"/>
      <c r="AU24" s="502"/>
      <c r="AV24" s="502"/>
      <c r="AW24" s="502"/>
      <c r="AX24" s="502"/>
      <c r="AY24" s="502"/>
      <c r="AZ24" s="502"/>
      <c r="BA24" s="502"/>
      <c r="BB24" s="502"/>
      <c r="BC24" s="502"/>
      <c r="BD24" s="502"/>
      <c r="BE24" s="502"/>
      <c r="BF24" s="502"/>
      <c r="BG24" s="502"/>
      <c r="BH24" s="502"/>
      <c r="BI24" s="502"/>
      <c r="BJ24" s="502"/>
      <c r="BK24" s="502"/>
      <c r="BL24" s="502"/>
      <c r="BM24" s="502"/>
      <c r="BN24" s="502"/>
      <c r="BO24" s="502"/>
      <c r="BP24" s="502"/>
      <c r="BQ24" s="502"/>
      <c r="BR24" s="502"/>
      <c r="BS24" s="502"/>
      <c r="BT24" s="502"/>
      <c r="BU24" s="502"/>
      <c r="BV24" s="502"/>
      <c r="BW24" s="502"/>
      <c r="BX24" s="502"/>
      <c r="BY24" s="502"/>
      <c r="BZ24" s="502"/>
      <c r="CA24" s="502"/>
      <c r="CB24" s="502"/>
      <c r="CC24" s="502"/>
      <c r="CD24" s="502"/>
      <c r="CE24" s="502"/>
      <c r="CF24" s="502"/>
      <c r="CG24" s="502"/>
      <c r="CH24" s="502"/>
      <c r="CI24" s="502"/>
      <c r="CJ24" s="502"/>
      <c r="CK24" s="502"/>
      <c r="CL24" s="502"/>
      <c r="CM24" s="502"/>
      <c r="CN24" s="502"/>
      <c r="CO24" s="502"/>
      <c r="CP24" s="502"/>
      <c r="CQ24" s="502"/>
      <c r="CR24" s="502"/>
      <c r="CS24" s="502"/>
      <c r="CT24" s="2341"/>
      <c r="CU24" s="2341"/>
      <c r="CV24" s="2341"/>
      <c r="CW24" s="2367"/>
      <c r="CX24" s="502"/>
      <c r="CY24" s="502"/>
      <c r="CZ24" s="503"/>
      <c r="DA24" s="503"/>
      <c r="DB24" s="503"/>
      <c r="DC24" s="503"/>
      <c r="DD24" s="503"/>
      <c r="DE24" s="503"/>
      <c r="DF24" s="503"/>
      <c r="DG24" s="503"/>
      <c r="DH24" s="503"/>
      <c r="DI24" s="504"/>
      <c r="DJ24" s="504"/>
      <c r="DK24" s="503"/>
      <c r="DL24" s="504"/>
      <c r="DM24" s="503"/>
      <c r="DN24" s="504"/>
      <c r="DO24" s="504"/>
      <c r="DP24" s="503"/>
      <c r="DQ24" s="503"/>
      <c r="DR24" s="503"/>
      <c r="DS24" s="503"/>
      <c r="DT24" s="503"/>
      <c r="DU24" s="503"/>
      <c r="DV24" s="503"/>
      <c r="DW24" s="503"/>
      <c r="DX24" s="505"/>
      <c r="DY24" s="2404"/>
      <c r="DZ24" s="2367"/>
    </row>
    <row r="25" spans="1:130">
      <c r="A25" s="506" t="s">
        <v>476</v>
      </c>
      <c r="B25" s="507"/>
      <c r="C25" s="508">
        <f>C23/C26</f>
        <v>0.11111798850100406</v>
      </c>
      <c r="D25" s="508">
        <f>D23/D26</f>
        <v>0.15518056343354131</v>
      </c>
      <c r="E25" s="508">
        <f>E23/E26</f>
        <v>0.14524748022539088</v>
      </c>
      <c r="F25" s="508">
        <f>F23/F26</f>
        <v>0.5560237716449502</v>
      </c>
      <c r="G25" s="508"/>
      <c r="H25" s="508">
        <f>H23/H26</f>
        <v>0.20038067388498101</v>
      </c>
      <c r="I25" s="508">
        <f>I23/I26</f>
        <v>0.25843638235255278</v>
      </c>
      <c r="J25" s="508">
        <f>J23/J26</f>
        <v>0.23873376452647646</v>
      </c>
      <c r="K25" s="508">
        <f>K23/K26</f>
        <v>0.55814903925381509</v>
      </c>
      <c r="L25" s="508"/>
      <c r="M25" s="508">
        <f>M23/M26</f>
        <v>0.20331253635065827</v>
      </c>
      <c r="N25" s="508">
        <f>N23/N26</f>
        <v>0.23757182771890969</v>
      </c>
      <c r="O25" s="509">
        <f>O23/O26</f>
        <v>0.16006501725355393</v>
      </c>
      <c r="P25" s="508">
        <f>P23/P26</f>
        <v>0.55278312222756676</v>
      </c>
      <c r="Q25" s="508"/>
      <c r="R25" s="508">
        <f>R23/R26</f>
        <v>0.2177971913890574</v>
      </c>
      <c r="S25" s="508">
        <f>S23/S26</f>
        <v>0.21849098692954508</v>
      </c>
      <c r="T25" s="508">
        <f>T23/T26</f>
        <v>0.18349249658935887</v>
      </c>
      <c r="U25" s="508">
        <f>U23/U26</f>
        <v>0.60409055235311637</v>
      </c>
      <c r="V25" s="508"/>
      <c r="W25" s="508">
        <f>W23/W26</f>
        <v>0.24324122682076529</v>
      </c>
      <c r="X25" s="508">
        <f>X23/X26</f>
        <v>0.27771440913048462</v>
      </c>
      <c r="Y25" s="508">
        <f>Y23/Y26</f>
        <v>0.18802782417376024</v>
      </c>
      <c r="Z25" s="508">
        <f>Z23/Z26</f>
        <v>0.73751460329116425</v>
      </c>
      <c r="AA25" s="508"/>
      <c r="AB25" s="508">
        <f>AB23/AB26</f>
        <v>0.24657543422489245</v>
      </c>
      <c r="AC25" s="508">
        <f>AC23/AC26</f>
        <v>0.22269031980187312</v>
      </c>
      <c r="AD25" s="508">
        <f>AD23/AD26</f>
        <v>0.11749416184384204</v>
      </c>
      <c r="AE25" s="508">
        <f>AE23/AE26</f>
        <v>0.1598153904886562</v>
      </c>
      <c r="AF25" s="508"/>
      <c r="AG25" s="508">
        <f>AG23/AG26</f>
        <v>0.27383532146153083</v>
      </c>
      <c r="AH25" s="508">
        <f>AH23/AH26</f>
        <v>0.34879597046850247</v>
      </c>
      <c r="AI25" s="508">
        <f>AI23/AI26</f>
        <v>0.16406998958570426</v>
      </c>
      <c r="AJ25" s="508">
        <f>AJ23/AJ26</f>
        <v>0.96934198613616429</v>
      </c>
      <c r="AK25" s="508"/>
      <c r="AL25" s="508">
        <f>AL23/AL26</f>
        <v>0.30119764212042854</v>
      </c>
      <c r="AM25" s="508">
        <f>AM23/AM26</f>
        <v>0.31672297895549589</v>
      </c>
      <c r="AN25" s="508">
        <f>AN23/AN26</f>
        <v>0.23492856731378492</v>
      </c>
      <c r="AO25" s="508">
        <f>AO23/AO26</f>
        <v>1.0690345715070626</v>
      </c>
      <c r="AP25" s="508"/>
      <c r="AQ25" s="508">
        <f>AQ23/AQ26</f>
        <v>0.38523804070882628</v>
      </c>
      <c r="AR25" s="508">
        <f>AR23/AR26</f>
        <v>0.47538927489755911</v>
      </c>
      <c r="AS25" s="508">
        <f>AS23/AS26</f>
        <v>0.30561987855499045</v>
      </c>
      <c r="AT25" s="508">
        <f>AT23/AT26</f>
        <v>1.3419820037259667</v>
      </c>
      <c r="AU25" s="508"/>
      <c r="AV25" s="508">
        <f>AV23/AV26</f>
        <v>0.51676981976035385</v>
      </c>
      <c r="AW25" s="508">
        <f>AW23/AW26</f>
        <v>0.64473345451992181</v>
      </c>
      <c r="AX25" s="508">
        <f>AX23/AX26</f>
        <v>0.36474271211138631</v>
      </c>
      <c r="AY25" s="508">
        <f>AY23/AY26</f>
        <v>0.8622222581244493</v>
      </c>
      <c r="AZ25" s="508"/>
      <c r="BA25" s="508">
        <f>BA23/BA26</f>
        <v>0.22102219644985674</v>
      </c>
      <c r="BB25" s="508">
        <f>BB23/BB26</f>
        <v>0.388514571605246</v>
      </c>
      <c r="BC25" s="508">
        <f>BC23/BC26</f>
        <v>0.32800082814416082</v>
      </c>
      <c r="BD25" s="508">
        <f>BD23/BD26</f>
        <v>1.085978077240404</v>
      </c>
      <c r="BE25" s="508"/>
      <c r="BF25" s="508">
        <f>BF23/BF26</f>
        <v>0.48379919559991624</v>
      </c>
      <c r="BG25" s="508">
        <f>BG23/BG26</f>
        <v>0.5457569030649998</v>
      </c>
      <c r="BH25" s="508">
        <f>BH23/BH26</f>
        <v>0.4610687619717766</v>
      </c>
      <c r="BI25" s="508">
        <f>BI23/BI26</f>
        <v>1.437275317757952</v>
      </c>
      <c r="BJ25" s="508"/>
      <c r="BK25" s="508">
        <f>BK23/BK26</f>
        <v>0.6652135939589281</v>
      </c>
      <c r="BL25" s="508">
        <f>BL23/BL26</f>
        <v>0.85546327257038091</v>
      </c>
      <c r="BM25" s="508">
        <f>BM23/BM26</f>
        <v>0.69627829705306965</v>
      </c>
      <c r="BN25" s="508">
        <f>BN23/BN26</f>
        <v>1.3899753786698257</v>
      </c>
      <c r="BO25" s="508"/>
      <c r="BP25" s="508">
        <f>BP23/BP26</f>
        <v>0.63613950222360904</v>
      </c>
      <c r="BQ25" s="508">
        <f>BQ23/BQ26</f>
        <v>0.71908853779090254</v>
      </c>
      <c r="BR25" s="508">
        <f>BR23/BR26</f>
        <v>0.49396412878610152</v>
      </c>
      <c r="BS25" s="508">
        <f>BS23/BS26</f>
        <v>1.4035486592912061</v>
      </c>
      <c r="BT25" s="508"/>
      <c r="BU25" s="508">
        <f>BU23/BU26</f>
        <v>0.69936391027787115</v>
      </c>
      <c r="BV25" s="508">
        <f>BV23/BV26</f>
        <v>0.82923173695940888</v>
      </c>
      <c r="BW25" s="508">
        <f>BW23/BW26</f>
        <v>0.73355870175384197</v>
      </c>
      <c r="BX25" s="508">
        <f>BX23/BX26</f>
        <v>1.4681280601471203</v>
      </c>
      <c r="BY25" s="508"/>
      <c r="BZ25" s="508">
        <f>BZ23/BZ26</f>
        <v>0.96774914287915526</v>
      </c>
      <c r="CA25" s="508">
        <f>CA23/CA26</f>
        <v>0.95544539212365687</v>
      </c>
      <c r="CB25" s="508">
        <f>CB23/CB26</f>
        <v>0.7633907276616051</v>
      </c>
      <c r="CC25" s="508">
        <f>CC23/CC26</f>
        <v>1.509196790547038</v>
      </c>
      <c r="CD25" s="508"/>
      <c r="CE25" s="508">
        <f>CE23/CE26</f>
        <v>0.80816640986132493</v>
      </c>
      <c r="CF25" s="508">
        <f>CF23/CF26</f>
        <v>0.85802469135802506</v>
      </c>
      <c r="CG25" s="508">
        <f>CG23/CG26</f>
        <v>0.70487993803253279</v>
      </c>
      <c r="CH25" s="508">
        <f>CH23/CH26</f>
        <v>1.4647615324472243</v>
      </c>
      <c r="CI25" s="508"/>
      <c r="CJ25" s="508">
        <f>CJ23/CJ26</f>
        <v>0.69169960474308234</v>
      </c>
      <c r="CK25" s="508">
        <f>CK23/CK26</f>
        <v>0.84156050955414041</v>
      </c>
      <c r="CL25" s="508">
        <f>CL23/CL26</f>
        <v>0.7614091273018414</v>
      </c>
      <c r="CM25" s="508">
        <f>CM23/CM26</f>
        <v>1.4543999999999992</v>
      </c>
      <c r="CN25" s="508"/>
      <c r="CO25" s="508">
        <f>CO23/CO26</f>
        <v>0.7414205905826019</v>
      </c>
      <c r="CP25" s="508">
        <f>CP23/CP26</f>
        <v>0.919264588329337</v>
      </c>
      <c r="CQ25" s="508">
        <f>CQ23/CQ26</f>
        <v>0.80160000000000042</v>
      </c>
      <c r="CR25" s="508">
        <f>CR23/CR26</f>
        <v>1.6661329063250592</v>
      </c>
      <c r="CS25" s="508"/>
      <c r="CT25" s="2342">
        <f>CT23/CT26</f>
        <v>0.90452639005404423</v>
      </c>
      <c r="CU25" s="2342">
        <f>CU23/CU26</f>
        <v>0.97484038118410077</v>
      </c>
      <c r="CV25" s="2342">
        <f>CV23/CV26</f>
        <v>0.82665423547915318</v>
      </c>
      <c r="CW25" s="2368">
        <f>CW23/CW26</f>
        <v>1.6950708289877787</v>
      </c>
      <c r="CX25" s="508"/>
      <c r="CY25" s="508"/>
      <c r="CZ25" s="508">
        <f>CZ23/CZ26</f>
        <v>1.6374054356962753</v>
      </c>
      <c r="DA25" s="508">
        <f>DA23/DA26</f>
        <v>2.0170064258807896</v>
      </c>
      <c r="DB25" s="508">
        <f t="shared" ref="DB25:DG25" si="15">DB23/DB26</f>
        <v>0.62570864828812855</v>
      </c>
      <c r="DC25" s="508">
        <f t="shared" si="15"/>
        <v>0.97336068312108337</v>
      </c>
      <c r="DD25" s="508">
        <f t="shared" si="15"/>
        <v>1.2553617537018493</v>
      </c>
      <c r="DE25" s="508">
        <f t="shared" si="15"/>
        <v>1.1532717234598091</v>
      </c>
      <c r="DF25" s="508">
        <f t="shared" si="15"/>
        <v>1.2779643450814644</v>
      </c>
      <c r="DG25" s="508">
        <f t="shared" si="15"/>
        <v>1.4515666253569695</v>
      </c>
      <c r="DH25" s="508">
        <f t="shared" ref="DH25:DM25" si="16">DH23/DH26</f>
        <v>2.0547831430249923</v>
      </c>
      <c r="DI25" s="510">
        <f t="shared" si="16"/>
        <v>1.7492684334171398</v>
      </c>
      <c r="DJ25" s="510">
        <f t="shared" si="16"/>
        <v>2.0424663272768542</v>
      </c>
      <c r="DK25" s="508">
        <f t="shared" si="16"/>
        <v>2.4691617199942075</v>
      </c>
      <c r="DL25" s="510">
        <f t="shared" si="16"/>
        <v>2.3849306225773264</v>
      </c>
      <c r="DM25" s="508">
        <f t="shared" si="16"/>
        <v>2.0357305216815718</v>
      </c>
      <c r="DN25" s="510">
        <f t="shared" ref="DN25:DU25" si="17">DN23/DN26</f>
        <v>2.9308599286637675</v>
      </c>
      <c r="DO25" s="510">
        <f t="shared" si="17"/>
        <v>3.603765801394843</v>
      </c>
      <c r="DP25" s="508">
        <f t="shared" si="17"/>
        <v>3.25296105149816</v>
      </c>
      <c r="DQ25" s="508">
        <f t="shared" si="17"/>
        <v>3.7326939156379946</v>
      </c>
      <c r="DR25" s="508">
        <f t="shared" si="17"/>
        <v>4.1965742879137737</v>
      </c>
      <c r="DS25" s="508">
        <f t="shared" si="17"/>
        <v>3.8299225406661606</v>
      </c>
      <c r="DT25" s="508">
        <f t="shared" si="17"/>
        <v>3.7458167330677257</v>
      </c>
      <c r="DU25" s="508">
        <f t="shared" si="17"/>
        <v>4.1262989608313356</v>
      </c>
      <c r="DV25" s="508">
        <f>DV23/DV26</f>
        <v>4.3988554173072725</v>
      </c>
      <c r="DW25" s="508">
        <f>DW23/DW26</f>
        <v>4.9471985965198222</v>
      </c>
      <c r="DX25" s="1752">
        <f>DX23/DX26</f>
        <v>5.3457501197422577</v>
      </c>
      <c r="DY25" s="2342">
        <f>DY23/DY26</f>
        <v>5.6954020564782768</v>
      </c>
      <c r="DZ25" s="2368">
        <f>DZ23/DZ26</f>
        <v>6.101437663319734</v>
      </c>
    </row>
    <row r="26" spans="1:130">
      <c r="A26" s="511" t="s">
        <v>477</v>
      </c>
      <c r="B26" s="512"/>
      <c r="C26" s="512">
        <f>'qtrP&amp;L'!$AP168</f>
        <v>145.404</v>
      </c>
      <c r="D26" s="512">
        <f>'qtrP&amp;L'!$AP169</f>
        <v>148.09200000000001</v>
      </c>
      <c r="E26" s="512">
        <f>'qtrP&amp;L'!$AP170</f>
        <v>151.20400000000001</v>
      </c>
      <c r="F26" s="512">
        <f>'qtrP&amp;L'!$AP171</f>
        <v>152.114</v>
      </c>
      <c r="G26" s="512"/>
      <c r="H26" s="512">
        <f>'qtrP&amp;L'!$AT168</f>
        <v>151.83600000000001</v>
      </c>
      <c r="I26" s="512">
        <f>'qtrP&amp;L'!$AT169</f>
        <v>151.54599999999999</v>
      </c>
      <c r="J26" s="512">
        <f>'qtrP&amp;L'!$AT170</f>
        <v>152.136</v>
      </c>
      <c r="K26" s="512">
        <f>'qtrP&amp;L'!$AT171</f>
        <v>151.70500000000001</v>
      </c>
      <c r="L26" s="512"/>
      <c r="M26" s="512">
        <f>'qtrP&amp;L'!$AX168</f>
        <v>151.304</v>
      </c>
      <c r="N26" s="512">
        <f>'qtrP&amp;L'!$AX169</f>
        <v>151.75200000000001</v>
      </c>
      <c r="O26" s="512">
        <f>'qtrP&amp;L'!$AX170</f>
        <v>150.114</v>
      </c>
      <c r="P26" s="512">
        <f>'qtrP&amp;L'!$AX171</f>
        <v>149.68799999999999</v>
      </c>
      <c r="Q26" s="512"/>
      <c r="R26" s="512">
        <f>'qtrP&amp;L'!$BB168</f>
        <v>150.18100000000001</v>
      </c>
      <c r="S26" s="512">
        <f>'qtrP&amp;L'!$BB169</f>
        <v>149.727</v>
      </c>
      <c r="T26" s="512">
        <f>'qtrP&amp;L'!$BB170</f>
        <v>148.066</v>
      </c>
      <c r="U26" s="512">
        <f>'qtrP&amp;L'!$BB171</f>
        <v>147.804</v>
      </c>
      <c r="V26" s="512"/>
      <c r="W26" s="512">
        <f>'qtrP&amp;L'!$BF168</f>
        <v>147.43799999999999</v>
      </c>
      <c r="X26" s="512">
        <f>'qtrP&amp;L'!$BF169</f>
        <v>148.16300000000001</v>
      </c>
      <c r="Y26" s="512">
        <f>'qtrP&amp;L'!$BF170</f>
        <v>149.07900000000001</v>
      </c>
      <c r="Z26" s="512">
        <f>'qtrP&amp;L'!$BF171</f>
        <v>149.79499999999999</v>
      </c>
      <c r="AA26" s="512"/>
      <c r="AB26" s="512">
        <f>'qtrP&amp;L'!$BJ168</f>
        <v>149.28899999999999</v>
      </c>
      <c r="AC26" s="512">
        <f>'qtrP&amp;L'!$BJ169</f>
        <v>148.59200000000001</v>
      </c>
      <c r="AD26" s="512">
        <f>'qtrP&amp;L'!$BJ170</f>
        <v>147.73500000000001</v>
      </c>
      <c r="AE26" s="512">
        <f>'qtrP&amp;L'!$BJ171</f>
        <v>146.68799999999999</v>
      </c>
      <c r="AF26" s="512"/>
      <c r="AG26" s="512">
        <f>'qtrP&amp;L'!$BN168</f>
        <v>146.285</v>
      </c>
      <c r="AH26" s="512">
        <f>'qtrP&amp;L'!$BN169</f>
        <v>144.93</v>
      </c>
      <c r="AI26" s="512">
        <f>'qtrP&amp;L'!$BN170</f>
        <v>144.99299999999999</v>
      </c>
      <c r="AJ26" s="512">
        <f>'qtrP&amp;L'!$BN171</f>
        <v>144.69299999999998</v>
      </c>
      <c r="AK26" s="512"/>
      <c r="AL26" s="512">
        <f>'qtrP&amp;L'!$BR168</f>
        <v>144.36699999999999</v>
      </c>
      <c r="AM26" s="512">
        <f>'qtrP&amp;L'!$BR169</f>
        <v>141.17699999999999</v>
      </c>
      <c r="AN26" s="512">
        <f>'qtrP&amp;L'!$BR170</f>
        <v>138.87200000000001</v>
      </c>
      <c r="AO26" s="512">
        <f>'qtrP&amp;L'!$BR171</f>
        <v>138.322</v>
      </c>
      <c r="AP26" s="512"/>
      <c r="AQ26" s="512">
        <f>'qtrP&amp;L'!$BV168</f>
        <v>139.72399999999999</v>
      </c>
      <c r="AR26" s="512">
        <f>'qtrP&amp;L'!$BV169</f>
        <v>140.32499999999999</v>
      </c>
      <c r="AS26" s="512">
        <f>'qtrP&amp;L'!$BV170</f>
        <v>139.48699999999999</v>
      </c>
      <c r="AT26" s="512">
        <f>'qtrP&amp;L'!$BV171</f>
        <v>132.583</v>
      </c>
      <c r="AU26" s="512"/>
      <c r="AV26" s="512">
        <f>'qtrP&amp;L'!$BZ168</f>
        <v>128.773</v>
      </c>
      <c r="AW26" s="512">
        <f>'qtrP&amp;L'!$BZ169</f>
        <v>128.17699999999999</v>
      </c>
      <c r="AX26" s="512">
        <f>'qtrP&amp;L'!$BZ170</f>
        <v>124.899</v>
      </c>
      <c r="AY26" s="512">
        <f>'qtrP&amp;L'!$BZ171</f>
        <v>123.79300000000001</v>
      </c>
      <c r="AZ26" s="512"/>
      <c r="BA26" s="512">
        <f>'qtrP&amp;L'!$CD168</f>
        <v>124.164</v>
      </c>
      <c r="BB26" s="512">
        <f>'qtrP&amp;L'!$CD169</f>
        <v>124.523</v>
      </c>
      <c r="BC26" s="512">
        <f>'qtrP&amp;L'!$CD170</f>
        <v>125.58199999999999</v>
      </c>
      <c r="BD26" s="512">
        <f>'qtrP&amp;L'!$CD171</f>
        <v>127.265</v>
      </c>
      <c r="BE26" s="512"/>
      <c r="BF26" s="512">
        <f>'qtrP&amp;L'!$CH168</f>
        <v>128.54300000000001</v>
      </c>
      <c r="BG26" s="512">
        <f>'qtrP&amp;L'!$CH169</f>
        <v>128.38499999999999</v>
      </c>
      <c r="BH26" s="512">
        <f>'qtrP&amp;L'!$CH170</f>
        <v>127.905</v>
      </c>
      <c r="BI26" s="512">
        <f>'qtrP&amp;L'!$CH171</f>
        <v>128.79300000000001</v>
      </c>
      <c r="BJ26" s="512"/>
      <c r="BK26" s="512">
        <f>'qtrP&amp;L'!$CL168</f>
        <v>129.381</v>
      </c>
      <c r="BL26" s="512">
        <f>'qtrP&amp;L'!$CL169</f>
        <v>129.79400000000001</v>
      </c>
      <c r="BM26" s="512">
        <f>'qtrP&amp;L'!$CL170</f>
        <v>128.81200000000001</v>
      </c>
      <c r="BN26" s="512">
        <f>'qtrP&amp;L'!$CL171</f>
        <v>128.34399999999999</v>
      </c>
      <c r="BO26" s="512"/>
      <c r="BP26" s="512">
        <f>'qtrP&amp;L'!$CP168</f>
        <v>128.16999999999999</v>
      </c>
      <c r="BQ26" s="512">
        <f>'qtrP&amp;L'!$CP169</f>
        <v>127.663</v>
      </c>
      <c r="BR26" s="512">
        <f>'qtrP&amp;L'!$CP170</f>
        <v>127.902</v>
      </c>
      <c r="BS26" s="512">
        <f>'qtrP&amp;L'!$CP171</f>
        <v>127.992</v>
      </c>
      <c r="BT26" s="512"/>
      <c r="BU26" s="512">
        <f>'qtrP&amp;L'!CT168</f>
        <v>128.441</v>
      </c>
      <c r="BV26" s="512">
        <f>'qtrP&amp;L'!CT169</f>
        <v>128.77099999999999</v>
      </c>
      <c r="BW26" s="512">
        <f>'qtrP&amp;L'!CT170</f>
        <v>128.97399999999999</v>
      </c>
      <c r="BX26" s="512">
        <f>'qtrP&amp;L'!CT171</f>
        <v>129.28299999999999</v>
      </c>
      <c r="BY26" s="512"/>
      <c r="BZ26" s="512">
        <f>'qtrP&amp;L'!CX168</f>
        <v>129.79499999999999</v>
      </c>
      <c r="CA26" s="512">
        <f>'qtrP&amp;L'!CX169</f>
        <v>129.90799999999999</v>
      </c>
      <c r="CB26" s="512">
        <f>'qtrP&amp;L'!CX170</f>
        <v>129.97800000000001</v>
      </c>
      <c r="CC26" s="512">
        <f>'qtrP&amp;L'!CX171</f>
        <v>129.99100000000001</v>
      </c>
      <c r="CD26" s="512"/>
      <c r="CE26" s="512">
        <f>'qtrP&amp;L'!DB168</f>
        <v>129.80000000000001</v>
      </c>
      <c r="CF26" s="512">
        <f>'qtrP&amp;L'!DB169</f>
        <v>129.6</v>
      </c>
      <c r="CG26" s="512">
        <f>'qtrP&amp;L'!DB170</f>
        <v>129.1</v>
      </c>
      <c r="CH26" s="512">
        <f>'qtrP&amp;L'!DB171</f>
        <v>127.9</v>
      </c>
      <c r="CI26" s="512"/>
      <c r="CJ26" s="512">
        <f>'qtrP&amp;L'!DF168</f>
        <v>126.5</v>
      </c>
      <c r="CK26" s="512">
        <f>'qtrP&amp;L'!DF169</f>
        <v>125.6</v>
      </c>
      <c r="CL26" s="512">
        <f>'qtrP&amp;L'!DF170</f>
        <v>124.9</v>
      </c>
      <c r="CM26" s="512">
        <f>'qtrP&amp;L'!DF171</f>
        <v>125</v>
      </c>
      <c r="CN26" s="512"/>
      <c r="CO26" s="512">
        <f>'qtrP&amp;L'!DJ168</f>
        <v>125.3</v>
      </c>
      <c r="CP26" s="512">
        <f>'qtrP&amp;L'!DJ169</f>
        <v>125.1</v>
      </c>
      <c r="CQ26" s="512">
        <f>'qtrP&amp;L'!DJ170</f>
        <v>125</v>
      </c>
      <c r="CR26" s="512">
        <f>'qtrP&amp;L'!DJ171</f>
        <v>124.9</v>
      </c>
      <c r="CS26" s="512"/>
      <c r="CT26" s="2343">
        <f t="array" ref="CT26:CW26">TRANSPOSE('qtrP&amp;L'!DN168:DN171)</f>
        <v>124.65</v>
      </c>
      <c r="CU26" s="2343">
        <v>124.4</v>
      </c>
      <c r="CV26" s="2343">
        <v>124.15</v>
      </c>
      <c r="CW26" s="2369">
        <v>123.9</v>
      </c>
      <c r="CX26" s="512"/>
      <c r="CY26" s="512"/>
      <c r="CZ26" s="513">
        <f>'yrP&amp;L'!H52</f>
        <v>35.69</v>
      </c>
      <c r="DA26" s="513">
        <f>'yrP&amp;L'!I52</f>
        <v>36.103999999999999</v>
      </c>
      <c r="DB26" s="513">
        <f>'yrP&amp;L'!J52</f>
        <v>143.93600000000001</v>
      </c>
      <c r="DC26" s="513">
        <f>'yrP&amp;L'!K52</f>
        <v>149.666</v>
      </c>
      <c r="DD26" s="513">
        <f>'yrP&amp;L'!L52</f>
        <v>151.816</v>
      </c>
      <c r="DE26" s="513">
        <f>'yrP&amp;L'!M52</f>
        <v>150.517</v>
      </c>
      <c r="DF26" s="513">
        <f>'yrP&amp;L'!N52</f>
        <v>148.59100000000001</v>
      </c>
      <c r="DG26" s="513">
        <f>'yrP&amp;L'!O52</f>
        <v>148.47200000000001</v>
      </c>
      <c r="DH26" s="513">
        <f>'yrP&amp;L'!P52</f>
        <v>148.09299999999999</v>
      </c>
      <c r="DI26" s="514">
        <f>'yrP&amp;L'!Q52</f>
        <v>145.578</v>
      </c>
      <c r="DJ26" s="514">
        <f>'yrP&amp;L'!R52</f>
        <v>140.84100000000001</v>
      </c>
      <c r="DK26" s="513">
        <f>'yrP&amp;L'!S52</f>
        <v>138.13999999999999</v>
      </c>
      <c r="DL26" s="514">
        <f>'yrP&amp;L'!T52</f>
        <v>126.41</v>
      </c>
      <c r="DM26" s="513">
        <f>'yrP&amp;L'!U52</f>
        <v>125.383</v>
      </c>
      <c r="DN26" s="514">
        <f>'yrP&amp;L'!V52</f>
        <v>128.40600000000001</v>
      </c>
      <c r="DO26" s="514">
        <f>'yrP&amp;L'!W52</f>
        <v>129.08275</v>
      </c>
      <c r="DP26" s="513">
        <f>'yrP&amp;L'!X52</f>
        <v>127.93174999999999</v>
      </c>
      <c r="DQ26" s="513">
        <f>'yrP&amp;L'!Y52</f>
        <v>128.86724999999998</v>
      </c>
      <c r="DR26" s="513">
        <f>'yrP&amp;L'!Z52</f>
        <v>129.9</v>
      </c>
      <c r="DS26" s="513">
        <f>'yrP&amp;L'!AA52</f>
        <v>129.1</v>
      </c>
      <c r="DT26" s="513">
        <f>'yrP&amp;L'!AB52</f>
        <v>125.5</v>
      </c>
      <c r="DU26" s="513">
        <f>'yrP&amp;L'!AC52</f>
        <v>125.1</v>
      </c>
      <c r="DV26" s="513">
        <f>'yrP&amp;L'!AD52</f>
        <v>124.27500000000001</v>
      </c>
      <c r="DW26" s="513">
        <f>'yrP&amp;L'!AE52</f>
        <v>123.27500000000001</v>
      </c>
      <c r="DX26" s="515">
        <f>'yrP&amp;L'!AF52</f>
        <v>122.45681818181819</v>
      </c>
      <c r="DY26" s="561">
        <f>'yrP&amp;L'!AG52</f>
        <v>121.63863636363638</v>
      </c>
      <c r="DZ26" s="2369">
        <f>'yrP&amp;L'!AH52</f>
        <v>120.82045454545457</v>
      </c>
    </row>
    <row r="27" spans="1:130">
      <c r="A27" s="511" t="s">
        <v>1175</v>
      </c>
      <c r="B27" s="512"/>
      <c r="C27" s="512">
        <f>'qtrP&amp;L'!$AP$178</f>
        <v>70.08</v>
      </c>
      <c r="D27" s="512">
        <f>'qtrP&amp;L'!$AP$179</f>
        <v>71.09</v>
      </c>
      <c r="E27" s="512">
        <f>'qtrP&amp;L'!$AP$180</f>
        <v>72.33</v>
      </c>
      <c r="F27" s="512">
        <f>'qtrP&amp;L'!$AP$181</f>
        <v>144.87</v>
      </c>
      <c r="G27" s="512"/>
      <c r="H27" s="512">
        <f>'qtrP&amp;L'!$AT$178</f>
        <v>145.09800000000001</v>
      </c>
      <c r="I27" s="512">
        <f>'qtrP&amp;L'!$AT$179</f>
        <v>145.16499999999999</v>
      </c>
      <c r="J27" s="512">
        <f>'qtrP&amp;L'!$AT$180</f>
        <v>145.809</v>
      </c>
      <c r="K27" s="512">
        <f>'qtrP&amp;L'!$AT$181</f>
        <v>145.898</v>
      </c>
      <c r="L27" s="512"/>
      <c r="M27" s="512">
        <f>'qtrP&amp;L'!$AX$178</f>
        <v>145.91499999999999</v>
      </c>
      <c r="N27" s="512">
        <f>'qtrP&amp;L'!$AX$179</f>
        <v>146.042</v>
      </c>
      <c r="O27" s="512">
        <f>'qtrP&amp;L'!$AX$180</f>
        <v>145.273</v>
      </c>
      <c r="P27" s="512">
        <f>'qtrP&amp;L'!$AX$181</f>
        <v>144.90899999999999</v>
      </c>
      <c r="Q27" s="512"/>
      <c r="R27" s="512">
        <f>'qtrP&amp;L'!$BB$178</f>
        <v>145.434</v>
      </c>
      <c r="S27" s="512">
        <f>'qtrP&amp;L'!$BB$179</f>
        <v>145.78</v>
      </c>
      <c r="T27" s="512">
        <f>'qtrP&amp;L'!$BB$180</f>
        <v>145.137</v>
      </c>
      <c r="U27" s="512">
        <f>'qtrP&amp;L'!$BB$181</f>
        <v>144.96199999999999</v>
      </c>
      <c r="V27" s="330"/>
      <c r="W27" s="512">
        <f>'qtrP&amp;L'!$BF$178</f>
        <v>144.89400000000001</v>
      </c>
      <c r="X27" s="512">
        <f>'qtrP&amp;L'!$BF$179</f>
        <v>145.29400000000001</v>
      </c>
      <c r="Y27" s="512">
        <f>'qtrP&amp;L'!$BF$180</f>
        <v>146.047</v>
      </c>
      <c r="Z27" s="512">
        <f>'qtrP&amp;L'!$BF$181</f>
        <v>146.68199999999999</v>
      </c>
      <c r="AA27" s="512"/>
      <c r="AB27" s="512">
        <f>'qtrP&amp;L'!$BJ$178</f>
        <v>146.815</v>
      </c>
      <c r="AC27" s="512">
        <f>'qtrP&amp;L'!$BJ$179</f>
        <v>146.37</v>
      </c>
      <c r="AD27" s="512">
        <f>'qtrP&amp;L'!$BJ$180</f>
        <v>145.94300000000001</v>
      </c>
      <c r="AE27" s="512">
        <f>'qtrP&amp;L'!$BJ$181</f>
        <v>144.85400000000001</v>
      </c>
      <c r="AF27" s="512"/>
      <c r="AG27" s="512">
        <f>'qtrP&amp;L'!$BN$178</f>
        <v>144.24799999999999</v>
      </c>
      <c r="AH27" s="512">
        <f>'qtrP&amp;L'!$BN$179</f>
        <v>142.989</v>
      </c>
      <c r="AI27" s="512">
        <f>'qtrP&amp;L'!$BN$180</f>
        <v>142.28</v>
      </c>
      <c r="AJ27" s="512">
        <f>'qtrP&amp;L'!$BN$181</f>
        <v>142.386</v>
      </c>
      <c r="AK27" s="512"/>
      <c r="AL27" s="512">
        <f>'qtrP&amp;L'!$BR$178</f>
        <v>141.941</v>
      </c>
      <c r="AM27" s="512" t="str">
        <f>'qtrP&amp;L'!$BR$179</f>
        <v>ND</v>
      </c>
      <c r="AN27" s="512">
        <f>'qtrP&amp;L'!$BR$180</f>
        <v>136.75299999999999</v>
      </c>
      <c r="AO27" s="512">
        <f>'qtrP&amp;L'!$BR$181</f>
        <v>135.584</v>
      </c>
      <c r="AP27" s="512"/>
      <c r="AQ27" s="512">
        <f>'qtrP&amp;L'!$BV$178</f>
        <v>136.488</v>
      </c>
      <c r="AR27" s="512">
        <f>'qtrP&amp;L'!$BV$179</f>
        <v>136.74299999999999</v>
      </c>
      <c r="AS27" s="512">
        <f>'qtrP&amp;L'!$BV$180</f>
        <v>136.124</v>
      </c>
      <c r="AT27" s="512">
        <f>'qtrP&amp;L'!$BV$181</f>
        <v>129.637</v>
      </c>
      <c r="AU27" s="512"/>
      <c r="AV27" s="512">
        <f>'qtrP&amp;L'!$BZ$178</f>
        <v>126.458</v>
      </c>
      <c r="AW27" s="512">
        <f>'qtrP&amp;L'!$BZ$179</f>
        <v>125.714</v>
      </c>
      <c r="AX27" s="512">
        <f>'qtrP&amp;L'!$BZ$180</f>
        <v>123.399</v>
      </c>
      <c r="AY27" s="512">
        <f>'qtrP&amp;L'!$BZ$181</f>
        <v>123.363</v>
      </c>
      <c r="AZ27" s="512"/>
      <c r="BA27" s="512">
        <f>'qtrP&amp;L'!$CD$178</f>
        <v>124.001</v>
      </c>
      <c r="BB27" s="512">
        <f>'qtrP&amp;L'!$CD$179</f>
        <v>124.081</v>
      </c>
      <c r="BC27" s="512">
        <f>'qtrP&amp;L'!$CD$180</f>
        <v>124.202</v>
      </c>
      <c r="BD27" s="512">
        <f>'qtrP&amp;L'!$CD$181</f>
        <v>125.09699999999999</v>
      </c>
      <c r="BE27" s="512"/>
      <c r="BF27" s="512">
        <f>'qtrP&amp;L'!$CH$178</f>
        <v>126.699</v>
      </c>
      <c r="BG27" s="512">
        <f>'qtrP&amp;L'!$CH$179</f>
        <v>126.89700000000001</v>
      </c>
      <c r="BH27" s="512">
        <f>'qtrP&amp;L'!$CH$180</f>
        <v>126.176</v>
      </c>
      <c r="BI27" s="512">
        <f>'qtrP&amp;L'!$CH$181</f>
        <v>126.628</v>
      </c>
      <c r="BJ27" s="512"/>
      <c r="BK27" s="512">
        <f>'qtrP&amp;L'!$CL$178</f>
        <v>127.601</v>
      </c>
      <c r="BL27" s="512">
        <f>'qtrP&amp;L'!$CL$179</f>
        <v>128.03</v>
      </c>
      <c r="BM27" s="512">
        <f>'qtrP&amp;L'!$CL$180</f>
        <v>127.21</v>
      </c>
      <c r="BN27" s="512">
        <f>'qtrP&amp;L'!$CL$181</f>
        <v>126.747</v>
      </c>
      <c r="BO27" s="512"/>
      <c r="BP27" s="512">
        <f>'qtrP&amp;L'!$CP$178</f>
        <v>126.723</v>
      </c>
      <c r="BQ27" s="512">
        <f>'qtrP&amp;L'!$CP$179</f>
        <v>125.92796192428001</v>
      </c>
      <c r="BR27" s="512">
        <f>'qtrP&amp;L'!$CP$180</f>
        <v>126.73699999999999</v>
      </c>
      <c r="BS27" s="512">
        <f>'qtrP&amp;L'!$CP$181</f>
        <v>126.857</v>
      </c>
      <c r="BT27" s="512"/>
      <c r="BU27" s="512">
        <f>'qtrP&amp;L'!CT178</f>
        <v>127.318</v>
      </c>
      <c r="BV27" s="512">
        <f>'qtrP&amp;L'!CT179</f>
        <v>127.82599999999999</v>
      </c>
      <c r="BW27" s="512">
        <f>'qtrP&amp;L'!CT180</f>
        <v>128.00399999999999</v>
      </c>
      <c r="BX27" s="512">
        <f>'qtrP&amp;L'!CT181</f>
        <v>128.19200000000001</v>
      </c>
      <c r="BY27" s="512"/>
      <c r="BZ27" s="512">
        <f>'qtrP&amp;L'!CX178</f>
        <v>128.93299999999999</v>
      </c>
      <c r="CA27" s="512">
        <f>'qtrP&amp;L'!CX179</f>
        <v>129.25200000000001</v>
      </c>
      <c r="CB27" s="512">
        <f>'qtrP&amp;L'!CX180</f>
        <v>129.352</v>
      </c>
      <c r="CC27" s="512">
        <f>'qtrP&amp;L'!CX181</f>
        <v>129.34700000000001</v>
      </c>
      <c r="CD27" s="512"/>
      <c r="CE27" s="512">
        <f>'qtrP&amp;L'!DB178</f>
        <v>129.19999999999999</v>
      </c>
      <c r="CF27" s="512">
        <f>'qtrP&amp;L'!DB179</f>
        <v>129</v>
      </c>
      <c r="CG27" s="512">
        <f>'qtrP&amp;L'!DB180</f>
        <v>128.6</v>
      </c>
      <c r="CH27" s="512">
        <f>'qtrP&amp;L'!DB181</f>
        <v>127.4</v>
      </c>
      <c r="CI27" s="512"/>
      <c r="CJ27" s="512">
        <f>'qtrP&amp;L'!DF178</f>
        <v>126.1</v>
      </c>
      <c r="CK27" s="512">
        <f>'qtrP&amp;L'!DF179</f>
        <v>125.3</v>
      </c>
      <c r="CL27" s="512">
        <f>'qtrP&amp;L'!DF180</f>
        <v>124.6</v>
      </c>
      <c r="CM27" s="512">
        <f>'qtrP&amp;L'!DF181</f>
        <v>124.5</v>
      </c>
      <c r="CN27" s="512"/>
      <c r="CO27" s="512">
        <f>'qtrP&amp;L'!DJ178</f>
        <v>124.6</v>
      </c>
      <c r="CP27" s="512">
        <f>'qtrP&amp;L'!DJ179</f>
        <v>124.5</v>
      </c>
      <c r="CQ27" s="512">
        <f>'qtrP&amp;L'!DJ180</f>
        <v>124.4</v>
      </c>
      <c r="CR27" s="512">
        <f>'qtrP&amp;L'!DJ181</f>
        <v>124.2</v>
      </c>
      <c r="CS27" s="512"/>
      <c r="CT27" s="2343">
        <f t="array" ref="CT27:CW27">TRANSPOSE('qtrP&amp;L'!DN178:DN181)</f>
        <v>123.9536312849162</v>
      </c>
      <c r="CU27" s="2343">
        <v>123.8033573141487</v>
      </c>
      <c r="CV27" s="2343">
        <v>123.55408000000001</v>
      </c>
      <c r="CW27" s="2369">
        <v>123.20560448358687</v>
      </c>
      <c r="CX27" s="512"/>
      <c r="CY27" s="512"/>
      <c r="CZ27" s="513">
        <f>'yrP&amp;L'!H64</f>
        <v>0</v>
      </c>
      <c r="DA27" s="513">
        <f>'yrP&amp;L'!I64</f>
        <v>0</v>
      </c>
      <c r="DB27" s="513" t="str">
        <f>'yrP&amp;L'!J64</f>
        <v>ND</v>
      </c>
      <c r="DC27" s="513" t="str">
        <f>'yrP&amp;L'!K64</f>
        <v>ND</v>
      </c>
      <c r="DD27" s="513">
        <f>'yrP&amp;L'!L64</f>
        <v>145.49</v>
      </c>
      <c r="DE27" s="513">
        <f>'yrP&amp;L'!M64</f>
        <v>145.535</v>
      </c>
      <c r="DF27" s="513">
        <f>'yrP&amp;L'!N64</f>
        <v>145.328</v>
      </c>
      <c r="DG27" s="513">
        <f>'yrP&amp;L'!O64</f>
        <v>145.72999999999999</v>
      </c>
      <c r="DH27" s="513">
        <f>'yrP&amp;L'!P64</f>
        <v>145.995</v>
      </c>
      <c r="DI27" s="514">
        <f>'yrP&amp;L'!Q64</f>
        <v>142.976</v>
      </c>
      <c r="DJ27" s="514">
        <f>'yrP&amp;L'!R64</f>
        <v>138.36199999999999</v>
      </c>
      <c r="DK27" s="513">
        <f>'yrP&amp;L'!S64</f>
        <v>134.74799999999999</v>
      </c>
      <c r="DL27" s="514">
        <f>'yrP&amp;L'!T64</f>
        <v>124.73399999999999</v>
      </c>
      <c r="DM27" s="513">
        <f>'yrP&amp;L'!U64</f>
        <v>124.345</v>
      </c>
      <c r="DN27" s="514">
        <f>'yrP&amp;L'!V64</f>
        <v>127.34297368861809</v>
      </c>
      <c r="DO27" s="514">
        <f>'yrP&amp;L'!W64</f>
        <v>128.01412112287949</v>
      </c>
      <c r="DP27" s="513">
        <f>'yrP&amp;L'!X64</f>
        <v>126.87264983091804</v>
      </c>
      <c r="DQ27" s="513">
        <f>'yrP&amp;L'!Y64</f>
        <v>127.80040516856349</v>
      </c>
      <c r="DR27" s="513">
        <f>'yrP&amp;L'!Z64</f>
        <v>128.82460540902673</v>
      </c>
      <c r="DS27" s="513">
        <f>'yrP&amp;L'!AA64</f>
        <v>128.03122831643842</v>
      </c>
      <c r="DT27" s="513">
        <f>'yrP&amp;L'!AB64</f>
        <v>124.46103139979103</v>
      </c>
      <c r="DU27" s="513">
        <f>'yrP&amp;L'!AC64</f>
        <v>124.06434285349687</v>
      </c>
      <c r="DV27" s="513">
        <f>'yrP&amp;L'!AD64</f>
        <v>123.24617272676518</v>
      </c>
      <c r="DW27" s="513">
        <f>'yrP&amp;L'!AE64</f>
        <v>122.25445136102979</v>
      </c>
      <c r="DX27" s="515">
        <f>'yrP&amp;L'!AF64</f>
        <v>121.44304297088267</v>
      </c>
      <c r="DY27" s="561">
        <f>'yrP&amp;L'!AG64</f>
        <v>120.63163458073554</v>
      </c>
      <c r="DZ27" s="2369">
        <f>'yrP&amp;L'!AH64</f>
        <v>119.8202261905884</v>
      </c>
    </row>
    <row r="28" spans="1:130" ht="12.75" hidden="1" customHeight="1" outlineLevel="1">
      <c r="A28" s="511" t="s">
        <v>1176</v>
      </c>
      <c r="B28" s="512"/>
      <c r="C28" s="512" t="str">
        <f>'qtrP&amp;L'!$AP205</f>
        <v>ND</v>
      </c>
      <c r="D28" s="512" t="str">
        <f>'qtrP&amp;L'!$AP206</f>
        <v>ND</v>
      </c>
      <c r="E28" s="512">
        <f>'qtrP&amp;L'!$AP207</f>
        <v>144.71600000000001</v>
      </c>
      <c r="F28" s="512">
        <f>'qtrP&amp;L'!$AP208</f>
        <v>144.952</v>
      </c>
      <c r="G28" s="512"/>
      <c r="H28" s="512">
        <f>'qtrP&amp;L'!$AT205</f>
        <v>145.26910000000001</v>
      </c>
      <c r="I28" s="512">
        <f>'qtrP&amp;L'!$AT206</f>
        <v>145.202</v>
      </c>
      <c r="J28" s="512">
        <f>'qtrP&amp;L'!$AT207</f>
        <v>145.86705000000001</v>
      </c>
      <c r="K28" s="512">
        <f>'qtrP&amp;L'!$AT208</f>
        <v>145.89699999999999</v>
      </c>
      <c r="L28" s="512"/>
      <c r="M28" s="512">
        <f>'qtrP&amp;L'!$AX205</f>
        <v>145.88337999999999</v>
      </c>
      <c r="N28" s="512">
        <f>'qtrP&amp;L'!$AX206</f>
        <v>146.07274000000001</v>
      </c>
      <c r="O28" s="512">
        <f>'qtrP&amp;L'!$AX207</f>
        <v>144.89704</v>
      </c>
      <c r="P28" s="512">
        <f>'qtrP&amp;L'!$AX208</f>
        <v>145.001</v>
      </c>
      <c r="Q28" s="512"/>
      <c r="R28" s="512">
        <f>'qtrP&amp;L'!$BB205</f>
        <v>145.71899999999999</v>
      </c>
      <c r="S28" s="512">
        <f>'qtrP&amp;L'!$BB206</f>
        <v>145.43899999999999</v>
      </c>
      <c r="T28" s="512">
        <f>'qtrP&amp;L'!$BB207</f>
        <v>145.15378999999999</v>
      </c>
      <c r="U28" s="512">
        <f>'qtrP&amp;L'!$BB208</f>
        <v>144.86500000000001</v>
      </c>
      <c r="V28" s="512"/>
      <c r="W28" s="512">
        <f>'qtrP&amp;L'!$BF205</f>
        <v>144.90799999999999</v>
      </c>
      <c r="X28" s="512">
        <f>'qtrP&amp;L'!$BF206</f>
        <v>145.38200000000001</v>
      </c>
      <c r="Y28" s="512">
        <f>'qtrP&amp;L'!$BF207</f>
        <v>146.285</v>
      </c>
      <c r="Z28" s="512">
        <f>'qtrP&amp;L'!$BF208</f>
        <v>146.73500000000001</v>
      </c>
      <c r="AA28" s="512"/>
      <c r="AB28" s="512">
        <f>'qtrP&amp;L'!$BJ205</f>
        <v>146.845</v>
      </c>
      <c r="AC28" s="512">
        <f>'qtrP&amp;L'!$BJ206</f>
        <v>146.37100000000001</v>
      </c>
      <c r="AD28" s="512">
        <f>'qtrP&amp;L'!$BJ207</f>
        <v>145.756</v>
      </c>
      <c r="AE28" s="512">
        <f>'qtrP&amp;L'!$BJ208</f>
        <v>144.548</v>
      </c>
      <c r="AF28" s="512"/>
      <c r="AG28" s="512">
        <f>'qtrP&amp;L'!$BN205</f>
        <v>143.83000000000001</v>
      </c>
      <c r="AH28" s="512">
        <f>'qtrP&amp;L'!$BN206</f>
        <v>142.38499999999999</v>
      </c>
      <c r="AI28" s="512">
        <f>'qtrP&amp;L'!$BN207</f>
        <v>142.12</v>
      </c>
      <c r="AJ28" s="512">
        <f>'qtrP&amp;L'!$BN208</f>
        <v>142.50899999999999</v>
      </c>
      <c r="AK28" s="512"/>
      <c r="AL28" s="512">
        <f>'qtrP&amp;L'!$BR205</f>
        <v>140.59899999999999</v>
      </c>
      <c r="AM28" s="512">
        <f>'qtrP&amp;L'!$BR206</f>
        <v>138.13900000000001</v>
      </c>
      <c r="AN28" s="512">
        <f>'qtrP&amp;L'!$BR207</f>
        <v>135.358</v>
      </c>
      <c r="AO28" s="512">
        <f>'qtrP&amp;L'!$BR208</f>
        <v>135.875</v>
      </c>
      <c r="AP28" s="512"/>
      <c r="AQ28" s="512">
        <f>'qtrP&amp;L'!$BV205</f>
        <v>136.63499999999999</v>
      </c>
      <c r="AR28" s="512">
        <f>'qtrP&amp;L'!$BV206</f>
        <v>136.72200000000001</v>
      </c>
      <c r="AS28" s="512">
        <f>'qtrP&amp;L'!$BV207</f>
        <v>135.642</v>
      </c>
      <c r="AT28" s="512">
        <f>'qtrP&amp;L'!$BV208</f>
        <v>126.753</v>
      </c>
      <c r="AU28" s="512"/>
      <c r="AV28" s="512">
        <f>'qtrP&amp;L'!$BZ205</f>
        <v>126.28100000000001</v>
      </c>
      <c r="AW28" s="512">
        <f>'qtrP&amp;L'!$BZ206</f>
        <v>136.72200000000001</v>
      </c>
      <c r="AX28" s="512">
        <f>'qtrP&amp;L'!$BZ207</f>
        <v>123.095</v>
      </c>
      <c r="AY28" s="512">
        <f>'qtrP&amp;L'!$BZ208</f>
        <v>123.84399999999999</v>
      </c>
      <c r="AZ28" s="512"/>
      <c r="BA28" s="512">
        <f>'qtrP&amp;L'!$CD205</f>
        <v>124.001</v>
      </c>
      <c r="BB28" s="512">
        <f>'qtrP&amp;L'!$CD206</f>
        <v>124.081</v>
      </c>
      <c r="BC28" s="512">
        <f>'qtrP&amp;L'!$CD207</f>
        <v>124.202</v>
      </c>
      <c r="BD28" s="512">
        <f>'qtrP&amp;L'!$CD208</f>
        <v>125.09699999999999</v>
      </c>
      <c r="BE28" s="512"/>
      <c r="BF28" s="512">
        <f>'qtrP&amp;L'!$CH205</f>
        <v>126.699</v>
      </c>
      <c r="BG28" s="512">
        <f>'qtrP&amp;L'!$CH206</f>
        <v>126.89700000000001</v>
      </c>
      <c r="BH28" s="512">
        <f>'qtrP&amp;L'!$CH207</f>
        <v>126.176</v>
      </c>
      <c r="BI28" s="512">
        <f>'qtrP&amp;L'!$CH208</f>
        <v>126.628</v>
      </c>
      <c r="BJ28" s="512"/>
      <c r="BK28" s="512">
        <f>'qtrP&amp;L'!$CL205</f>
        <v>127.15436800000001</v>
      </c>
      <c r="BL28" s="512">
        <f>'qtrP&amp;L'!$CL206</f>
        <v>126.266981</v>
      </c>
      <c r="BM28" s="512">
        <f>'qtrP&amp;L'!$CL207</f>
        <v>126.400403</v>
      </c>
      <c r="BN28" s="512">
        <f>'qtrP&amp;L'!$CL208</f>
        <v>126.74699999999999</v>
      </c>
      <c r="BO28" s="512"/>
      <c r="BP28" s="512">
        <f>'qtrP&amp;L'!$CP205</f>
        <v>126.27944119610349</v>
      </c>
      <c r="BQ28" s="512">
        <f>'qtrP&amp;L'!$CP206</f>
        <v>124.19388874218377</v>
      </c>
      <c r="BR28" s="512">
        <f>'qtrP&amp;L'!$CP207</f>
        <v>125.93041329306658</v>
      </c>
      <c r="BS28" s="512">
        <f>'qtrP&amp;L'!$CP208</f>
        <v>126.857</v>
      </c>
      <c r="BT28" s="512"/>
      <c r="BU28" s="512">
        <f>'qtrP&amp;L'!CT205</f>
        <v>126.87235856320878</v>
      </c>
      <c r="BV28" s="512">
        <f>'qtrP&amp;L'!CT206</f>
        <v>126.06579015313598</v>
      </c>
      <c r="BW28" s="512">
        <f>'qtrP&amp;L'!CT207</f>
        <v>127.18934978077193</v>
      </c>
      <c r="BX28" s="512">
        <f>'qtrP&amp;L'!CT208</f>
        <v>128.19200000000001</v>
      </c>
      <c r="BY28" s="512"/>
      <c r="BZ28" s="512">
        <f>'qtrP&amp;L'!CX205</f>
        <v>128.48170570249451</v>
      </c>
      <c r="CA28" s="512">
        <f>'qtrP&amp;L'!CX206</f>
        <v>127.47215362190111</v>
      </c>
      <c r="CB28" s="512">
        <f>'qtrP&amp;L'!CX207</f>
        <v>128.52877076374497</v>
      </c>
      <c r="CC28" s="512">
        <f>'qtrP&amp;L'!CX208</f>
        <v>129.34700000000001</v>
      </c>
      <c r="CD28" s="512"/>
      <c r="CE28" s="512">
        <f>'qtrP&amp;L'!DB205</f>
        <v>128.74777114285939</v>
      </c>
      <c r="CF28" s="512">
        <f>'qtrP&amp;L'!DB206</f>
        <v>127.22362375224556</v>
      </c>
      <c r="CG28" s="512">
        <f>'qtrP&amp;L'!DB207</f>
        <v>127.78155668422291</v>
      </c>
      <c r="CH28" s="512">
        <f>'qtrP&amp;L'!DB208</f>
        <v>127.4</v>
      </c>
      <c r="CI28" s="512"/>
      <c r="CJ28" s="512">
        <f>'qtrP&amp;L'!DF205</f>
        <v>125.65862183525209</v>
      </c>
      <c r="CK28" s="512">
        <f>'qtrP&amp;L'!DF206</f>
        <v>123.57457407873154</v>
      </c>
      <c r="CL28" s="512">
        <f>'qtrP&amp;L'!DF207</f>
        <v>123.80701370804179</v>
      </c>
      <c r="CM28" s="512">
        <f>'qtrP&amp;L'!DF208</f>
        <v>124.5</v>
      </c>
      <c r="CN28" s="512"/>
      <c r="CO28" s="512">
        <f>'qtrP&amp;L'!DJ205</f>
        <v>124.16387217028083</v>
      </c>
      <c r="CP28" s="512">
        <f>'qtrP&amp;L'!DJ206</f>
        <v>122.78559036553933</v>
      </c>
      <c r="CQ28" s="512">
        <f>'qtrP&amp;L'!DJ207</f>
        <v>123.60828655923275</v>
      </c>
      <c r="CR28" s="512">
        <f>'qtrP&amp;L'!DJ208</f>
        <v>124.2</v>
      </c>
      <c r="CS28" s="512"/>
      <c r="CT28" s="2343">
        <f>'qtrP&amp;L'!DN205</f>
        <v>123.51976589006789</v>
      </c>
      <c r="CU28" s="2343">
        <f>'qtrP&amp;L'!DN206</f>
        <v>122.09854069922538</v>
      </c>
      <c r="CV28" s="2343">
        <f>'qtrP&amp;L'!DN207</f>
        <v>122.76775021062998</v>
      </c>
      <c r="CW28" s="2369">
        <f>'qtrP&amp;L'!DN208</f>
        <v>123.20560448358687</v>
      </c>
      <c r="CX28" s="512"/>
      <c r="CY28" s="512"/>
      <c r="CZ28" s="513">
        <f>'yrP&amp;L'!H63</f>
        <v>0</v>
      </c>
      <c r="DA28" s="513">
        <f>'yrP&amp;L'!I63</f>
        <v>0</v>
      </c>
      <c r="DB28" s="513" t="str">
        <f>'yrP&amp;L'!J63</f>
        <v>ND</v>
      </c>
      <c r="DC28" s="513" t="str">
        <f>'yrP&amp;L'!K63</f>
        <v>ND</v>
      </c>
      <c r="DD28" s="513">
        <f>'yrP&amp;L'!L63</f>
        <v>145.89699999999999</v>
      </c>
      <c r="DE28" s="513">
        <f>'yrP&amp;L'!M63</f>
        <v>145.001</v>
      </c>
      <c r="DF28" s="513">
        <f>'yrP&amp;L'!N63</f>
        <v>144.86500000000001</v>
      </c>
      <c r="DG28" s="513">
        <f>'yrP&amp;L'!O63</f>
        <v>146.73500000000001</v>
      </c>
      <c r="DH28" s="513">
        <f>'yrP&amp;L'!P63</f>
        <v>144.548</v>
      </c>
      <c r="DI28" s="514">
        <f>'yrP&amp;L'!Q63</f>
        <v>142.50899999999999</v>
      </c>
      <c r="DJ28" s="514">
        <f>'yrP&amp;L'!R63</f>
        <v>135.875</v>
      </c>
      <c r="DK28" s="513">
        <f>'yrP&amp;L'!S63</f>
        <v>126.753</v>
      </c>
      <c r="DL28" s="514">
        <f>'yrP&amp;L'!T63</f>
        <v>123.84399999999999</v>
      </c>
      <c r="DM28" s="513">
        <f>'yrP&amp;L'!U63</f>
        <v>124.345</v>
      </c>
      <c r="DN28" s="514">
        <f>'yrP&amp;L'!V63</f>
        <v>127.34297368861809</v>
      </c>
      <c r="DO28" s="514">
        <f>'yrP&amp;L'!W63</f>
        <v>128.01412112287949</v>
      </c>
      <c r="DP28" s="513">
        <f>'yrP&amp;L'!X63</f>
        <v>126.87264983091804</v>
      </c>
      <c r="DQ28" s="513">
        <f>'yrP&amp;L'!Y63</f>
        <v>127.80040516856349</v>
      </c>
      <c r="DR28" s="513">
        <f>'yrP&amp;L'!Z63</f>
        <v>128.82460540902673</v>
      </c>
      <c r="DS28" s="513">
        <f>'yrP&amp;L'!AA63</f>
        <v>128.03122831643842</v>
      </c>
      <c r="DT28" s="513">
        <f>'yrP&amp;L'!AB63</f>
        <v>124.46103139979103</v>
      </c>
      <c r="DU28" s="513">
        <f>'yrP&amp;L'!AC63</f>
        <v>124.06434285349687</v>
      </c>
      <c r="DV28" s="513">
        <f>'yrP&amp;L'!AD63</f>
        <v>123.24617272676518</v>
      </c>
      <c r="DW28" s="513">
        <f>'yrP&amp;L'!AE63</f>
        <v>122.25445136102979</v>
      </c>
      <c r="DX28" s="515">
        <f>'yrP&amp;L'!AF63</f>
        <v>121.44304297088267</v>
      </c>
      <c r="DY28" s="561">
        <f>'yrP&amp;L'!AG63</f>
        <v>120.63163458073554</v>
      </c>
      <c r="DZ28" s="2369">
        <f>'yrP&amp;L'!AH63</f>
        <v>119.8202261905884</v>
      </c>
    </row>
    <row r="29" spans="1:130" collapsed="1">
      <c r="A29" s="459"/>
      <c r="B29" s="459"/>
      <c r="C29" s="459"/>
      <c r="D29" s="459"/>
      <c r="E29" s="459"/>
      <c r="F29" s="516"/>
      <c r="G29" s="459"/>
      <c r="H29" s="459"/>
      <c r="I29" s="459"/>
      <c r="J29" s="459"/>
      <c r="K29" s="516"/>
      <c r="L29" s="459"/>
      <c r="M29" s="459"/>
      <c r="N29" s="459"/>
      <c r="O29" s="459"/>
      <c r="P29" s="516"/>
      <c r="Q29" s="459"/>
      <c r="R29" s="459"/>
      <c r="S29" s="459"/>
      <c r="T29" s="459"/>
      <c r="U29" s="516"/>
      <c r="V29" s="459"/>
      <c r="W29" s="459"/>
      <c r="X29" s="459"/>
      <c r="Y29" s="459"/>
      <c r="Z29" s="516"/>
      <c r="AA29" s="459"/>
      <c r="AB29" s="459"/>
      <c r="AC29" s="459"/>
      <c r="AD29" s="459"/>
      <c r="AE29" s="516"/>
      <c r="AF29" s="459"/>
      <c r="AG29" s="459"/>
      <c r="AH29" s="459"/>
      <c r="AI29" s="459"/>
      <c r="AJ29" s="516"/>
      <c r="AK29" s="459"/>
      <c r="AL29" s="459"/>
      <c r="AM29" s="459"/>
      <c r="AN29" s="459"/>
      <c r="AO29" s="516"/>
      <c r="AP29" s="459"/>
      <c r="AQ29" s="459"/>
      <c r="AR29" s="459"/>
      <c r="AS29" s="459"/>
      <c r="AT29" s="516"/>
      <c r="AU29" s="459"/>
      <c r="AV29" s="459"/>
      <c r="AW29" s="459"/>
      <c r="AX29" s="459"/>
      <c r="AY29" s="516"/>
      <c r="AZ29" s="459"/>
      <c r="BA29" s="459"/>
      <c r="BB29" s="459"/>
      <c r="BC29" s="459"/>
      <c r="BD29" s="516"/>
      <c r="BE29" s="459"/>
      <c r="BF29" s="516"/>
      <c r="BG29" s="516"/>
      <c r="BH29" s="516"/>
      <c r="BI29" s="516"/>
      <c r="BJ29" s="459"/>
      <c r="BK29" s="330"/>
      <c r="BL29" s="330"/>
      <c r="BM29" s="330"/>
      <c r="BN29" s="516"/>
      <c r="BO29" s="459"/>
      <c r="BP29" s="330"/>
      <c r="BQ29" s="330"/>
      <c r="BR29" s="330"/>
      <c r="BS29" s="516"/>
      <c r="BT29" s="459"/>
      <c r="BU29" s="330"/>
      <c r="BV29" s="330"/>
      <c r="BW29" s="330"/>
      <c r="BX29" s="516"/>
      <c r="BY29" s="459"/>
      <c r="BZ29" s="330"/>
      <c r="CA29" s="330"/>
      <c r="CB29" s="330"/>
      <c r="CC29" s="516"/>
      <c r="CD29" s="459"/>
      <c r="CE29" s="330"/>
      <c r="CF29" s="330"/>
      <c r="CG29" s="330"/>
      <c r="CH29" s="516"/>
      <c r="CI29" s="459"/>
      <c r="CJ29" s="330"/>
      <c r="CK29" s="330"/>
      <c r="CL29" s="330"/>
      <c r="CM29" s="516"/>
      <c r="CN29" s="459"/>
      <c r="CO29" s="330"/>
      <c r="CP29" s="330"/>
      <c r="CQ29" s="330"/>
      <c r="CR29" s="516"/>
      <c r="CS29" s="516"/>
      <c r="CT29" s="2344"/>
      <c r="CU29" s="2344"/>
      <c r="CV29" s="2344"/>
      <c r="CW29" s="2422"/>
      <c r="CX29" s="459"/>
      <c r="CY29" s="459"/>
      <c r="CZ29" s="484"/>
      <c r="DA29" s="484"/>
      <c r="DB29" s="484"/>
      <c r="DC29" s="484"/>
      <c r="DD29" s="484"/>
      <c r="DE29" s="484"/>
      <c r="DF29" s="484"/>
      <c r="DG29" s="484"/>
      <c r="DH29" s="484"/>
      <c r="DI29" s="485"/>
      <c r="DJ29" s="485"/>
      <c r="DK29" s="484"/>
      <c r="DL29" s="485"/>
      <c r="DM29" s="484"/>
      <c r="DN29" s="485"/>
      <c r="DO29" s="485"/>
      <c r="DP29" s="484"/>
      <c r="DQ29" s="484"/>
      <c r="DR29" s="484"/>
      <c r="DS29" s="484"/>
      <c r="DT29" s="484"/>
      <c r="DU29" s="484"/>
      <c r="DV29" s="484"/>
      <c r="DW29" s="484"/>
      <c r="DX29" s="486"/>
      <c r="DY29" s="897"/>
      <c r="DZ29" s="2370"/>
    </row>
    <row r="30" spans="1:130">
      <c r="A30" s="487" t="s">
        <v>478</v>
      </c>
      <c r="B30" s="489"/>
      <c r="C30" s="488">
        <f>C16+C15</f>
        <v>29.438999999999993</v>
      </c>
      <c r="D30" s="488">
        <f>D16+D15</f>
        <v>41.953000000000003</v>
      </c>
      <c r="E30" s="488">
        <f>E16+E15</f>
        <v>39.481999999999999</v>
      </c>
      <c r="F30" s="488">
        <f>F16+F15</f>
        <v>146.00899999999996</v>
      </c>
      <c r="G30" s="517"/>
      <c r="H30" s="488">
        <f>H16+H15</f>
        <v>53.394999999999982</v>
      </c>
      <c r="I30" s="488">
        <f>I16+I15</f>
        <v>67.07699999999997</v>
      </c>
      <c r="J30" s="488">
        <f>J16+J15</f>
        <v>63.052000000000021</v>
      </c>
      <c r="K30" s="488">
        <f>K16+K15</f>
        <v>143.87200000000001</v>
      </c>
      <c r="L30" s="488"/>
      <c r="M30" s="488">
        <f>M16+M15</f>
        <v>64.578000000000003</v>
      </c>
      <c r="N30" s="488">
        <f>N16+N15</f>
        <v>81.796999999999983</v>
      </c>
      <c r="O30" s="488">
        <f>O16+O15</f>
        <v>61.197000000000003</v>
      </c>
      <c r="P30" s="488">
        <f>P16+P15</f>
        <v>167.48400000000001</v>
      </c>
      <c r="Q30" s="488"/>
      <c r="R30" s="488">
        <f>R16+R15</f>
        <v>76.580000000000027</v>
      </c>
      <c r="S30" s="488">
        <f>S16+S15</f>
        <v>78.204000000000008</v>
      </c>
      <c r="T30" s="488">
        <f>T16+T15</f>
        <v>69.058000000000007</v>
      </c>
      <c r="U30" s="488">
        <f>U16+U15</f>
        <v>173.363</v>
      </c>
      <c r="V30" s="488"/>
      <c r="W30" s="488">
        <f>W16+W15</f>
        <v>80.335999999999999</v>
      </c>
      <c r="X30" s="488">
        <f>X16+X15</f>
        <v>89.792000000000002</v>
      </c>
      <c r="Y30" s="488">
        <f>Y16+Y15</f>
        <v>71.69</v>
      </c>
      <c r="Z30" s="488">
        <f>Z16+Z15</f>
        <v>203.00799999999995</v>
      </c>
      <c r="AA30" s="488"/>
      <c r="AB30" s="488">
        <f>AB16+AB15</f>
        <v>87.638999999999967</v>
      </c>
      <c r="AC30" s="488">
        <f>AC16+AC15</f>
        <v>85.966999999999928</v>
      </c>
      <c r="AD30" s="488">
        <f>AD16+AD15</f>
        <v>60.332000000000008</v>
      </c>
      <c r="AE30" s="488">
        <f>AE16+AE15</f>
        <v>167.423</v>
      </c>
      <c r="AF30" s="488"/>
      <c r="AG30" s="488">
        <f>AG16+AG15</f>
        <v>94.29800000000003</v>
      </c>
      <c r="AH30" s="488">
        <f>AH16+AH15</f>
        <v>101.18000000000006</v>
      </c>
      <c r="AI30" s="488">
        <f>AI16+AI15</f>
        <v>66.416000000000025</v>
      </c>
      <c r="AJ30" s="488">
        <f>AJ16+AJ15</f>
        <v>230.26</v>
      </c>
      <c r="AK30" s="488"/>
      <c r="AL30" s="488">
        <f>AL16+AL15</f>
        <v>103.27999999999992</v>
      </c>
      <c r="AM30" s="488">
        <f>AM16+AM15</f>
        <v>106.79000000000005</v>
      </c>
      <c r="AN30" s="488">
        <f>AN16+AN15</f>
        <v>77.355999999999938</v>
      </c>
      <c r="AO30" s="488">
        <f>AO16+AO15</f>
        <v>258.66699999999992</v>
      </c>
      <c r="AP30" s="488"/>
      <c r="AQ30" s="488">
        <f>AQ16+AQ15</f>
        <v>118.62400000000002</v>
      </c>
      <c r="AR30" s="488">
        <f>AR16+AR15</f>
        <v>143.80999999999997</v>
      </c>
      <c r="AS30" s="488">
        <f>AS16+AS15</f>
        <v>95.654999999999944</v>
      </c>
      <c r="AT30" s="488">
        <f>AT16+AT15</f>
        <v>314.98699999999985</v>
      </c>
      <c r="AU30" s="488"/>
      <c r="AV30" s="488">
        <f>AV16+AV15</f>
        <v>140.10500000000002</v>
      </c>
      <c r="AW30" s="488">
        <f>AW16+AW15</f>
        <v>168.08</v>
      </c>
      <c r="AX30" s="488">
        <f>AX16+AX15</f>
        <v>114.00400000000005</v>
      </c>
      <c r="AY30" s="488">
        <f>AY16+AY15</f>
        <v>206.14099999999996</v>
      </c>
      <c r="AZ30" s="488"/>
      <c r="BA30" s="488">
        <f>BA16+BA15</f>
        <v>92.443000000000012</v>
      </c>
      <c r="BB30" s="488">
        <f>BB16+BB15</f>
        <v>121.71700000000006</v>
      </c>
      <c r="BC30" s="488">
        <f>BC16+BC15</f>
        <v>104.874</v>
      </c>
      <c r="BD30" s="488">
        <f>BD16+BD15</f>
        <v>260.43500000000006</v>
      </c>
      <c r="BE30" s="488"/>
      <c r="BF30" s="488">
        <f>BF16+BF15</f>
        <v>140.36800000000005</v>
      </c>
      <c r="BG30" s="488">
        <f>BG16+BG15</f>
        <v>155.75199999999998</v>
      </c>
      <c r="BH30" s="488">
        <f>BH16+BH15</f>
        <v>140.87200000000007</v>
      </c>
      <c r="BI30" s="488">
        <f>BI16+BI15</f>
        <v>323.29399999999998</v>
      </c>
      <c r="BJ30" s="488"/>
      <c r="BK30" s="488">
        <f>BK16+BK15</f>
        <v>180.81800000000007</v>
      </c>
      <c r="BL30" s="488">
        <f>BL16+BL15</f>
        <v>211.66800000000003</v>
      </c>
      <c r="BM30" s="488">
        <f>BM16+BM15</f>
        <v>182.80800000000002</v>
      </c>
      <c r="BN30" s="488">
        <f>BN16+BN15</f>
        <v>322.37400000000002</v>
      </c>
      <c r="BO30" s="488"/>
      <c r="BP30" s="488">
        <f>BP16+BP15</f>
        <v>174.17899999999997</v>
      </c>
      <c r="BQ30" s="488">
        <f>BQ16+BQ15</f>
        <v>193.774</v>
      </c>
      <c r="BR30" s="488">
        <f>BR16+BR15</f>
        <v>156.48899999999998</v>
      </c>
      <c r="BS30" s="488">
        <f>BS16+BS15</f>
        <v>329.55100000000004</v>
      </c>
      <c r="BT30" s="488"/>
      <c r="BU30" s="488">
        <f>BU16+BU15</f>
        <v>193.55800000000005</v>
      </c>
      <c r="BV30" s="488">
        <f>BV16+BV15</f>
        <v>220.209</v>
      </c>
      <c r="BW30" s="488">
        <f>BW16+BW15</f>
        <v>199.21600000000001</v>
      </c>
      <c r="BX30" s="488">
        <f>BX16+BX15</f>
        <v>361.58600000000013</v>
      </c>
      <c r="BY30" s="488"/>
      <c r="BZ30" s="488">
        <f>BZ16+BZ15</f>
        <v>259.64999999999998</v>
      </c>
      <c r="CA30" s="488">
        <f>CA16+CA15</f>
        <v>255.87800000000001</v>
      </c>
      <c r="CB30" s="488">
        <f>CB16+CB15</f>
        <v>215.97600000000011</v>
      </c>
      <c r="CC30" s="488">
        <f>CC16+CC15</f>
        <v>351.62400000000002</v>
      </c>
      <c r="CD30" s="488"/>
      <c r="CE30" s="488">
        <f>CE16+CE15</f>
        <v>218.9</v>
      </c>
      <c r="CF30" s="488">
        <f>CF16+CF15</f>
        <v>232.90000000000003</v>
      </c>
      <c r="CG30" s="488">
        <f>CG16+CG15</f>
        <v>206.49999999999997</v>
      </c>
      <c r="CH30" s="488">
        <f>CH16+CH15</f>
        <v>351</v>
      </c>
      <c r="CI30" s="488"/>
      <c r="CJ30" s="488">
        <f>CJ16+CJ15</f>
        <v>186.6999999999999</v>
      </c>
      <c r="CK30" s="488">
        <f>CK16+CK15</f>
        <v>227.80000000000004</v>
      </c>
      <c r="CL30" s="488">
        <f>CL16+CL15</f>
        <v>207.2</v>
      </c>
      <c r="CM30" s="488">
        <f>CM16+CM15</f>
        <v>345.99999999999989</v>
      </c>
      <c r="CN30" s="488"/>
      <c r="CO30" s="488">
        <f>CO16+CO15</f>
        <v>196.50000000000003</v>
      </c>
      <c r="CP30" s="488">
        <f>CP16+CP15</f>
        <v>232.20000000000007</v>
      </c>
      <c r="CQ30" s="488">
        <f>CQ16+CQ15</f>
        <v>211.40000000000006</v>
      </c>
      <c r="CR30" s="488">
        <f>CR16+CR15</f>
        <v>361.19999999999993</v>
      </c>
      <c r="CS30" s="488"/>
      <c r="CT30" s="2338">
        <f>CT16+CT15</f>
        <v>217.49613127810642</v>
      </c>
      <c r="CU30" s="2338">
        <f>CU16+CU15</f>
        <v>229.43075474903077</v>
      </c>
      <c r="CV30" s="2338">
        <f>CV16+CV15</f>
        <v>203.54044907602344</v>
      </c>
      <c r="CW30" s="2364">
        <f>CW16+CW15</f>
        <v>352.15517133192088</v>
      </c>
      <c r="CX30" s="488"/>
      <c r="CY30" s="488"/>
      <c r="CZ30" s="489">
        <f t="shared" ref="CZ30:DV30" si="18">CZ16+CZ15</f>
        <v>109.41300000000007</v>
      </c>
      <c r="DA30" s="489">
        <f t="shared" si="18"/>
        <v>133.42200000000003</v>
      </c>
      <c r="DB30" s="489">
        <f t="shared" si="18"/>
        <v>161.12200000000007</v>
      </c>
      <c r="DC30" s="489">
        <f t="shared" si="18"/>
        <v>256.88300000000004</v>
      </c>
      <c r="DD30" s="489">
        <f t="shared" si="18"/>
        <v>374.90399999999994</v>
      </c>
      <c r="DE30" s="489">
        <f t="shared" si="18"/>
        <v>375.05600000000004</v>
      </c>
      <c r="DF30" s="489">
        <f t="shared" si="18"/>
        <v>397.20499999999987</v>
      </c>
      <c r="DG30" s="489">
        <f t="shared" si="18"/>
        <v>444.82600000000002</v>
      </c>
      <c r="DH30" s="489">
        <f t="shared" si="18"/>
        <v>401.3610000000001</v>
      </c>
      <c r="DI30" s="490">
        <f t="shared" si="18"/>
        <v>492.15400000000039</v>
      </c>
      <c r="DJ30" s="490">
        <f t="shared" si="18"/>
        <v>577.36299999999949</v>
      </c>
      <c r="DK30" s="489">
        <f t="shared" si="18"/>
        <v>673.07599999999979</v>
      </c>
      <c r="DL30" s="490">
        <f t="shared" si="18"/>
        <v>628.32999999999981</v>
      </c>
      <c r="DM30" s="489">
        <f t="shared" si="18"/>
        <v>579.49500000000046</v>
      </c>
      <c r="DN30" s="490">
        <f t="shared" si="18"/>
        <v>760.28599999999972</v>
      </c>
      <c r="DO30" s="490">
        <f t="shared" si="18"/>
        <v>897.0780000000002</v>
      </c>
      <c r="DP30" s="489">
        <f t="shared" si="18"/>
        <v>860.86599999999964</v>
      </c>
      <c r="DQ30" s="489">
        <f t="shared" si="18"/>
        <v>974.5690000000003</v>
      </c>
      <c r="DR30" s="489">
        <f t="shared" si="18"/>
        <v>1085.5869999999991</v>
      </c>
      <c r="DS30" s="489">
        <f t="shared" si="18"/>
        <v>1009.3000000000013</v>
      </c>
      <c r="DT30" s="489">
        <f t="shared" si="18"/>
        <v>967.69999999999959</v>
      </c>
      <c r="DU30" s="489">
        <f t="shared" si="18"/>
        <v>1001.3000000000001</v>
      </c>
      <c r="DV30" s="489">
        <f t="shared" si="18"/>
        <v>1002.6225064350813</v>
      </c>
      <c r="DW30" s="489">
        <f>DW16+DW15</f>
        <v>1063.3472393936295</v>
      </c>
      <c r="DX30" s="491">
        <f>DX16+DX15</f>
        <v>1134.5990125941184</v>
      </c>
      <c r="DY30" s="2331">
        <f>DY16+DY15</f>
        <v>1159.4940107016182</v>
      </c>
      <c r="DZ30" s="2364">
        <f>DZ16+DZ15</f>
        <v>1263.9481716147836</v>
      </c>
    </row>
    <row r="31" spans="1:130">
      <c r="A31" s="459"/>
      <c r="B31" s="459"/>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E31" s="459"/>
      <c r="AF31" s="459"/>
      <c r="AG31" s="459"/>
      <c r="AH31" s="459"/>
      <c r="AI31" s="459"/>
      <c r="AJ31" s="459"/>
      <c r="AK31" s="459"/>
      <c r="AL31" s="459"/>
      <c r="AM31" s="459"/>
      <c r="AN31" s="459"/>
      <c r="AO31" s="459"/>
      <c r="AP31" s="459"/>
      <c r="AQ31" s="459"/>
      <c r="AR31" s="459"/>
      <c r="AS31" s="459"/>
      <c r="AT31" s="459"/>
      <c r="AU31" s="459"/>
      <c r="AV31" s="459"/>
      <c r="AW31" s="459"/>
      <c r="AX31" s="459"/>
      <c r="AY31" s="459"/>
      <c r="AZ31" s="459"/>
      <c r="BA31" s="459"/>
      <c r="BB31" s="459"/>
      <c r="BC31" s="459"/>
      <c r="BD31" s="459"/>
      <c r="BE31" s="459"/>
      <c r="BF31" s="459"/>
      <c r="BG31" s="459"/>
      <c r="BH31" s="459"/>
      <c r="BI31" s="459"/>
      <c r="BJ31" s="459"/>
      <c r="BK31" s="459"/>
      <c r="BL31" s="459"/>
      <c r="BM31" s="459"/>
      <c r="BN31" s="459"/>
      <c r="BO31" s="459"/>
      <c r="BP31" s="459"/>
      <c r="BQ31" s="459"/>
      <c r="BR31" s="459"/>
      <c r="BS31" s="459"/>
      <c r="BT31" s="459"/>
      <c r="BU31" s="459"/>
      <c r="BV31" s="459"/>
      <c r="BW31" s="459"/>
      <c r="BX31" s="459"/>
      <c r="BY31" s="459"/>
      <c r="BZ31" s="459"/>
      <c r="CA31" s="459"/>
      <c r="CB31" s="459"/>
      <c r="CC31" s="459"/>
      <c r="CD31" s="459"/>
      <c r="CE31" s="459"/>
      <c r="CF31" s="459"/>
      <c r="CG31" s="459"/>
      <c r="CH31" s="459"/>
      <c r="CI31" s="459"/>
      <c r="CJ31" s="459"/>
      <c r="CK31" s="459"/>
      <c r="CL31" s="459"/>
      <c r="CM31" s="459"/>
      <c r="CN31" s="459"/>
      <c r="CO31" s="459"/>
      <c r="CP31" s="459"/>
      <c r="CQ31" s="459"/>
      <c r="CR31" s="459"/>
      <c r="CS31" s="459"/>
      <c r="CT31" s="2334"/>
      <c r="CU31" s="2334"/>
      <c r="CV31" s="2334"/>
      <c r="CW31" s="2370"/>
      <c r="CX31" s="459"/>
      <c r="CY31" s="459"/>
      <c r="CZ31" s="484"/>
      <c r="DA31" s="484"/>
      <c r="DB31" s="484"/>
      <c r="DC31" s="484"/>
      <c r="DD31" s="484"/>
      <c r="DE31" s="484"/>
      <c r="DF31" s="484"/>
      <c r="DG31" s="484"/>
      <c r="DH31" s="484"/>
      <c r="DI31" s="485"/>
      <c r="DJ31" s="485"/>
      <c r="DK31" s="484"/>
      <c r="DL31" s="485"/>
      <c r="DM31" s="484"/>
      <c r="DN31" s="485"/>
      <c r="DO31" s="485"/>
      <c r="DP31" s="484"/>
      <c r="DQ31" s="484"/>
      <c r="DR31" s="484"/>
      <c r="DS31" s="484"/>
      <c r="DT31" s="484"/>
      <c r="DU31" s="484"/>
      <c r="DV31" s="484"/>
      <c r="DW31" s="484"/>
      <c r="DX31" s="486"/>
      <c r="DY31" s="897"/>
      <c r="DZ31" s="2370"/>
    </row>
    <row r="32" spans="1:130">
      <c r="A32" s="472" t="s">
        <v>479</v>
      </c>
      <c r="B32" s="459"/>
      <c r="C32" s="459"/>
      <c r="D32" s="459"/>
      <c r="E32" s="459"/>
      <c r="F32" s="459"/>
      <c r="G32" s="459"/>
      <c r="H32" s="459"/>
      <c r="I32" s="459"/>
      <c r="J32" s="459"/>
      <c r="K32" s="459"/>
      <c r="L32" s="459"/>
      <c r="M32" s="459"/>
      <c r="N32" s="459"/>
      <c r="O32" s="459"/>
      <c r="P32" s="459"/>
      <c r="Q32" s="459"/>
      <c r="R32" s="459"/>
      <c r="S32" s="459"/>
      <c r="T32" s="459"/>
      <c r="U32" s="459"/>
      <c r="V32" s="459"/>
      <c r="W32" s="459"/>
      <c r="X32" s="459"/>
      <c r="Y32" s="459"/>
      <c r="Z32" s="459"/>
      <c r="AA32" s="459"/>
      <c r="AB32" s="459"/>
      <c r="AC32" s="459"/>
      <c r="AD32" s="459"/>
      <c r="AE32" s="459"/>
      <c r="AF32" s="459"/>
      <c r="AG32" s="459"/>
      <c r="AH32" s="459"/>
      <c r="AI32" s="459"/>
      <c r="AJ32" s="459"/>
      <c r="AK32" s="459"/>
      <c r="AL32" s="459"/>
      <c r="AM32" s="459"/>
      <c r="AN32" s="459"/>
      <c r="AO32" s="459"/>
      <c r="AP32" s="459"/>
      <c r="AQ32" s="459"/>
      <c r="AR32" s="459"/>
      <c r="AS32" s="459"/>
      <c r="AT32" s="459"/>
      <c r="AU32" s="459"/>
      <c r="AV32" s="459"/>
      <c r="AW32" s="459"/>
      <c r="AX32" s="459"/>
      <c r="AY32" s="459"/>
      <c r="AZ32" s="459"/>
      <c r="BA32" s="459"/>
      <c r="BB32" s="459"/>
      <c r="BC32" s="459"/>
      <c r="BD32" s="459"/>
      <c r="BE32" s="459"/>
      <c r="BF32" s="459"/>
      <c r="BG32" s="459"/>
      <c r="BH32" s="459"/>
      <c r="BI32" s="459"/>
      <c r="BJ32" s="459"/>
      <c r="BK32" s="459"/>
      <c r="BL32" s="459"/>
      <c r="BM32" s="459"/>
      <c r="BN32" s="459"/>
      <c r="BO32" s="459"/>
      <c r="BP32" s="459"/>
      <c r="BQ32" s="459"/>
      <c r="BR32" s="459"/>
      <c r="BS32" s="459"/>
      <c r="BT32" s="459"/>
      <c r="BU32" s="1724"/>
      <c r="BV32" s="1724"/>
      <c r="BW32" s="1808"/>
      <c r="BX32" s="459"/>
      <c r="BY32" s="459"/>
      <c r="BZ32" s="1724"/>
      <c r="CA32" s="459"/>
      <c r="CB32" s="459"/>
      <c r="CC32" s="459"/>
      <c r="CD32" s="459"/>
      <c r="CE32" s="1724"/>
      <c r="CF32" s="459"/>
      <c r="CG32" s="459"/>
      <c r="CH32" s="459"/>
      <c r="CI32" s="459"/>
      <c r="CJ32" s="1724"/>
      <c r="CK32" s="459"/>
      <c r="CL32" s="459"/>
      <c r="CM32" s="459"/>
      <c r="CN32" s="459"/>
      <c r="CO32" s="1724"/>
      <c r="CP32" s="459"/>
      <c r="CQ32" s="459"/>
      <c r="CR32" s="459"/>
      <c r="CS32" s="459"/>
      <c r="CT32" s="2334"/>
      <c r="CU32" s="2334"/>
      <c r="CV32" s="2334"/>
      <c r="CW32" s="2370"/>
      <c r="CX32" s="459"/>
      <c r="CY32" s="459"/>
      <c r="CZ32" s="484"/>
      <c r="DA32" s="484"/>
      <c r="DB32" s="484"/>
      <c r="DC32" s="484"/>
      <c r="DD32" s="484"/>
      <c r="DE32" s="484"/>
      <c r="DF32" s="484"/>
      <c r="DG32" s="484"/>
      <c r="DH32" s="484"/>
      <c r="DI32" s="485"/>
      <c r="DJ32" s="485"/>
      <c r="DK32" s="484"/>
      <c r="DL32" s="485"/>
      <c r="DM32" s="484"/>
      <c r="DN32" s="485"/>
      <c r="DO32" s="485"/>
      <c r="DP32" s="1519"/>
      <c r="DQ32" s="2441"/>
      <c r="DR32" s="484"/>
      <c r="DS32" s="484"/>
      <c r="DT32" s="484"/>
      <c r="DU32" s="484"/>
      <c r="DV32" s="484"/>
      <c r="DW32" s="484"/>
      <c r="DX32" s="486"/>
      <c r="DY32" s="897"/>
      <c r="DZ32" s="2370"/>
    </row>
    <row r="33" spans="1:130">
      <c r="A33" s="511" t="s">
        <v>480</v>
      </c>
      <c r="B33" s="518"/>
      <c r="C33" s="518">
        <f>C13/C9</f>
        <v>0.54465121916283787</v>
      </c>
      <c r="D33" s="518">
        <f>D13/D9</f>
        <v>0.57002869080689234</v>
      </c>
      <c r="E33" s="518">
        <f>E13/E9</f>
        <v>0.56240045118466964</v>
      </c>
      <c r="F33" s="518">
        <f>F13/F9</f>
        <v>0.55624078365283336</v>
      </c>
      <c r="G33" s="518"/>
      <c r="H33" s="519">
        <f>H13/H9</f>
        <v>0.54675598230298739</v>
      </c>
      <c r="I33" s="519">
        <f>I13/I9</f>
        <v>0.56737918215613381</v>
      </c>
      <c r="J33" s="519">
        <f>J13/J9</f>
        <v>0.55463429317823876</v>
      </c>
      <c r="K33" s="519">
        <f>K13/K9</f>
        <v>0.59141450855408917</v>
      </c>
      <c r="L33" s="519"/>
      <c r="M33" s="519">
        <f>M13/M9</f>
        <v>0.56521829602171225</v>
      </c>
      <c r="N33" s="519">
        <f>N13/N9</f>
        <v>0.58139083923824608</v>
      </c>
      <c r="O33" s="519">
        <f>O13/O9</f>
        <v>0.57896743666572592</v>
      </c>
      <c r="P33" s="519">
        <f>P13/P9</f>
        <v>0.60914099466380567</v>
      </c>
      <c r="Q33" s="519"/>
      <c r="R33" s="519">
        <f>R13/R9</f>
        <v>0.59463484756387397</v>
      </c>
      <c r="S33" s="519">
        <f>S13/S9</f>
        <v>0.58704901088863781</v>
      </c>
      <c r="T33" s="519">
        <f>T13/T9</f>
        <v>0.58959984482273453</v>
      </c>
      <c r="U33" s="519">
        <f>U13/U9</f>
        <v>0.59677745055435016</v>
      </c>
      <c r="V33" s="518"/>
      <c r="W33" s="519">
        <f>W13/W9</f>
        <v>0.58014495792481291</v>
      </c>
      <c r="X33" s="519">
        <f>X13/X9</f>
        <v>0.57621442050192662</v>
      </c>
      <c r="Y33" s="519">
        <f>Y13/Y9</f>
        <v>0.55268144228511384</v>
      </c>
      <c r="Z33" s="519">
        <f>Z13/Z9</f>
        <v>0.59465846897434071</v>
      </c>
      <c r="AA33" s="518"/>
      <c r="AB33" s="519">
        <f>AB13/AB9</f>
        <v>0.56651785714285707</v>
      </c>
      <c r="AC33" s="519">
        <f>AC13/AC9</f>
        <v>0.55495103829860437</v>
      </c>
      <c r="AD33" s="519">
        <f>AD13/AD9</f>
        <v>0.53242314898341547</v>
      </c>
      <c r="AE33" s="519">
        <f>AE13/AE9</f>
        <v>0.56989070781931617</v>
      </c>
      <c r="AF33" s="518"/>
      <c r="AG33" s="519">
        <f>AG13/AG9</f>
        <v>0.53896932934040143</v>
      </c>
      <c r="AH33" s="519">
        <f>AH13/AH9</f>
        <v>0.55455372213077259</v>
      </c>
      <c r="AI33" s="519">
        <f>AI13/AI9</f>
        <v>0.54094640125573634</v>
      </c>
      <c r="AJ33" s="519">
        <f>AJ13/AJ9</f>
        <v>0.58816163159942503</v>
      </c>
      <c r="AK33" s="518"/>
      <c r="AL33" s="519">
        <f>AL13/AL9</f>
        <v>0.56490464843719679</v>
      </c>
      <c r="AM33" s="519">
        <f>AM13/AM9</f>
        <v>0.55970266308727734</v>
      </c>
      <c r="AN33" s="519">
        <f>AN13/AN9</f>
        <v>0.54030204913563251</v>
      </c>
      <c r="AO33" s="519">
        <f>AO13/AO9</f>
        <v>0.57632338325579546</v>
      </c>
      <c r="AP33" s="518"/>
      <c r="AQ33" s="519">
        <f>AQ13/AQ9</f>
        <v>0.5605871125964994</v>
      </c>
      <c r="AR33" s="519">
        <f>AR13/AR9</f>
        <v>0.56131501655694105</v>
      </c>
      <c r="AS33" s="519">
        <f>AS13/AS9</f>
        <v>0.54445158235868918</v>
      </c>
      <c r="AT33" s="519">
        <f>AT13/AT9</f>
        <v>0.59731455044214676</v>
      </c>
      <c r="AU33" s="518"/>
      <c r="AV33" s="519">
        <f>AV13/AV9</f>
        <v>0.57104345735409034</v>
      </c>
      <c r="AW33" s="519">
        <f>AW13/AW9</f>
        <v>0.57820222193592952</v>
      </c>
      <c r="AX33" s="519">
        <f>AX13/AX9</f>
        <v>0.5633755956322466</v>
      </c>
      <c r="AY33" s="519">
        <f>AY13/AY9</f>
        <v>0.59387196406846754</v>
      </c>
      <c r="AZ33" s="518"/>
      <c r="BA33" s="519">
        <f>BA13/BA9</f>
        <v>0.55875312732436266</v>
      </c>
      <c r="BB33" s="519">
        <f>BB13/BB9</f>
        <v>0.55094833736875359</v>
      </c>
      <c r="BC33" s="519">
        <f>BC13/BC9</f>
        <v>0.54797128777089055</v>
      </c>
      <c r="BD33" s="519">
        <f>BD13/BD9</f>
        <v>0.58666638135531046</v>
      </c>
      <c r="BE33" s="518"/>
      <c r="BF33" s="519">
        <f>BF13/BF9</f>
        <v>0.57774319508322469</v>
      </c>
      <c r="BG33" s="519">
        <f>BG13/BG9</f>
        <v>0.578744243076739</v>
      </c>
      <c r="BH33" s="519">
        <f>BH13/BH9</f>
        <v>0.58512546774451435</v>
      </c>
      <c r="BI33" s="519">
        <f>BI13/BI9</f>
        <v>0.6095993970296445</v>
      </c>
      <c r="BJ33" s="518"/>
      <c r="BK33" s="519">
        <f>BK13/BK9</f>
        <v>0.58330551971175459</v>
      </c>
      <c r="BL33" s="519">
        <f>BL13/BL9</f>
        <v>0.58976730009441836</v>
      </c>
      <c r="BM33" s="519">
        <f>BM13/BM9</f>
        <v>0.57905586376673679</v>
      </c>
      <c r="BN33" s="519">
        <f>BN13/BN9</f>
        <v>0.60374839991915386</v>
      </c>
      <c r="BO33" s="518"/>
      <c r="BP33" s="519">
        <f>BP13/BP9</f>
        <v>0.57255270578756545</v>
      </c>
      <c r="BQ33" s="519">
        <f>BQ13/BQ9</f>
        <v>0.56302667925451944</v>
      </c>
      <c r="BR33" s="519">
        <f>BR13/BR9</f>
        <v>0.54446660826675386</v>
      </c>
      <c r="BS33" s="519">
        <f>BS13/BS9</f>
        <v>0.59138479764421992</v>
      </c>
      <c r="BT33" s="518"/>
      <c r="BU33" s="519">
        <f>BU13/BU9</f>
        <v>0.56195755591389684</v>
      </c>
      <c r="BV33" s="519">
        <f>BV13/BV9</f>
        <v>0.57472534356355653</v>
      </c>
      <c r="BW33" s="519">
        <f>BW13/BW9</f>
        <v>0.56993257105492401</v>
      </c>
      <c r="BX33" s="519">
        <f>BX13/BX9</f>
        <v>0.60511336502645041</v>
      </c>
      <c r="BY33" s="518"/>
      <c r="BZ33" s="519">
        <f>BZ13/BZ9</f>
        <v>0.58245960013120812</v>
      </c>
      <c r="CA33" s="519">
        <f>CA13/CA9</f>
        <v>0.59940076339721837</v>
      </c>
      <c r="CB33" s="519">
        <f>CB13/CB9</f>
        <v>0.59491198836168413</v>
      </c>
      <c r="CC33" s="519">
        <f>CC13/CC9</f>
        <v>0.60813670675706588</v>
      </c>
      <c r="CD33" s="518"/>
      <c r="CE33" s="519">
        <f>CE13/CE9</f>
        <v>0.59123025768911053</v>
      </c>
      <c r="CF33" s="519">
        <f>CF13/CF9</f>
        <v>0.59868753154972232</v>
      </c>
      <c r="CG33" s="519">
        <f>CG13/CG9</f>
        <v>0.60168407589000206</v>
      </c>
      <c r="CH33" s="519">
        <f>CH13/CH9</f>
        <v>0.63019116677653264</v>
      </c>
      <c r="CI33" s="518"/>
      <c r="CJ33" s="519">
        <f>CJ13/CJ9</f>
        <v>0.61213957141254338</v>
      </c>
      <c r="CK33" s="519">
        <f>CK13/CK9</f>
        <v>0.61947187634177758</v>
      </c>
      <c r="CL33" s="519">
        <f>CL13/CL9</f>
        <v>0.61044980511956182</v>
      </c>
      <c r="CM33" s="519">
        <f>CM13/CM9</f>
        <v>0.64102147039687707</v>
      </c>
      <c r="CN33" s="518"/>
      <c r="CO33" s="519">
        <f>CO13/CO9</f>
        <v>0.61983103601600709</v>
      </c>
      <c r="CP33" s="519">
        <f>CP13/CP9</f>
        <v>0.62331978743357297</v>
      </c>
      <c r="CQ33" s="519">
        <f>CQ13/CQ9</f>
        <v>0.61298914156935058</v>
      </c>
      <c r="CR33" s="519">
        <f>CR13/CR9</f>
        <v>0.63748782132953608</v>
      </c>
      <c r="CS33" s="519"/>
      <c r="CT33" s="2345">
        <f>CT13/CT9</f>
        <v>0.622</v>
      </c>
      <c r="CU33" s="2345">
        <f>CU13/CU9</f>
        <v>0.625</v>
      </c>
      <c r="CV33" s="2345">
        <f>CV13/CV9</f>
        <v>0.61499999999999999</v>
      </c>
      <c r="CW33" s="2423">
        <f>CW13/CW9</f>
        <v>0.64</v>
      </c>
      <c r="CX33" s="518"/>
      <c r="CY33" s="518"/>
      <c r="CZ33" s="520">
        <f t="shared" ref="CZ33:DV33" si="19">CZ13/CZ9</f>
        <v>0.54190398521648231</v>
      </c>
      <c r="DA33" s="520">
        <f t="shared" si="19"/>
        <v>0.55444096790930963</v>
      </c>
      <c r="DB33" s="520">
        <f t="shared" si="19"/>
        <v>0.53110077092931751</v>
      </c>
      <c r="DC33" s="520">
        <f t="shared" si="19"/>
        <v>0.55832410358159668</v>
      </c>
      <c r="DD33" s="520">
        <f t="shared" si="19"/>
        <v>0.56857443634985871</v>
      </c>
      <c r="DE33" s="520">
        <f t="shared" si="19"/>
        <v>0.58727447581285186</v>
      </c>
      <c r="DF33" s="520">
        <f t="shared" si="19"/>
        <v>0.59266776905218677</v>
      </c>
      <c r="DG33" s="520">
        <f t="shared" si="19"/>
        <v>0.57867797974545576</v>
      </c>
      <c r="DH33" s="520">
        <f t="shared" si="19"/>
        <v>0.55812577018374654</v>
      </c>
      <c r="DI33" s="521">
        <f t="shared" si="19"/>
        <v>0.56044018899836467</v>
      </c>
      <c r="DJ33" s="521">
        <f t="shared" si="19"/>
        <v>0.57515540466131965</v>
      </c>
      <c r="DK33" s="520">
        <f t="shared" si="19"/>
        <v>0.57046874356661337</v>
      </c>
      <c r="DL33" s="521">
        <f t="shared" si="19"/>
        <v>0.57793032227990215</v>
      </c>
      <c r="DM33" s="520">
        <f t="shared" si="19"/>
        <v>0.56472231550744911</v>
      </c>
      <c r="DN33" s="521">
        <f t="shared" si="19"/>
        <v>0.59096162759416448</v>
      </c>
      <c r="DO33" s="521">
        <f t="shared" si="19"/>
        <v>0.59055838736711619</v>
      </c>
      <c r="DP33" s="520">
        <f t="shared" si="19"/>
        <v>0.57014813735208203</v>
      </c>
      <c r="DQ33" s="520">
        <f t="shared" si="19"/>
        <v>0.58059229049919014</v>
      </c>
      <c r="DR33" s="520">
        <f t="shared" si="19"/>
        <v>0.59699457377127474</v>
      </c>
      <c r="DS33" s="520">
        <f t="shared" si="19"/>
        <v>0.60693838770190289</v>
      </c>
      <c r="DT33" s="520">
        <f t="shared" si="19"/>
        <v>0.62231995601979107</v>
      </c>
      <c r="DU33" s="520">
        <f t="shared" si="19"/>
        <v>0.62468223895630492</v>
      </c>
      <c r="DV33" s="520">
        <f t="shared" si="19"/>
        <v>0.6267432595497</v>
      </c>
      <c r="DW33" s="520">
        <f>DW13/DW9</f>
        <v>0.62800000000000011</v>
      </c>
      <c r="DX33" s="522">
        <f>DX13/DX9</f>
        <v>0.62880000000000003</v>
      </c>
      <c r="DY33" s="566">
        <f>DY13/DY9</f>
        <v>0.629</v>
      </c>
      <c r="DZ33" s="2371">
        <f>DZ13/DZ9</f>
        <v>0.63</v>
      </c>
    </row>
    <row r="34" spans="1:130">
      <c r="A34" s="511" t="s">
        <v>481</v>
      </c>
      <c r="B34" s="512"/>
      <c r="C34" s="523">
        <f>(C14/C9)</f>
        <v>0.43652971055212159</v>
      </c>
      <c r="D34" s="518">
        <f>(D14/D9)</f>
        <v>0.43340378484174463</v>
      </c>
      <c r="E34" s="518">
        <f>(E14/E9)</f>
        <v>0.44005379509522602</v>
      </c>
      <c r="F34" s="518">
        <f>(F14/F9)</f>
        <v>0.29992275823327019</v>
      </c>
      <c r="G34" s="518"/>
      <c r="H34" s="519">
        <f>(H14/H9)</f>
        <v>0.39205199004470614</v>
      </c>
      <c r="I34" s="519">
        <f>(I14/I9)</f>
        <v>0.38824349442379186</v>
      </c>
      <c r="J34" s="519">
        <f>(J14/J9)</f>
        <v>0.38517337948902636</v>
      </c>
      <c r="K34" s="519">
        <f>(K14/K9)</f>
        <v>0.34180616977017336</v>
      </c>
      <c r="L34" s="519"/>
      <c r="M34" s="519">
        <f>(M14/M9)</f>
        <v>0.41890184630842359</v>
      </c>
      <c r="N34" s="519">
        <f>(N14/N9)</f>
        <v>0.40452624689941585</v>
      </c>
      <c r="O34" s="519">
        <f>(O14/O9)</f>
        <v>0.44073689330298971</v>
      </c>
      <c r="P34" s="519">
        <f>(P14/P9)</f>
        <v>0.34583983639676963</v>
      </c>
      <c r="Q34" s="519"/>
      <c r="R34" s="519">
        <f>(R14/R9)</f>
        <v>0.4259194708595363</v>
      </c>
      <c r="S34" s="519">
        <f>(S14/S9)</f>
        <v>0.4292665860100901</v>
      </c>
      <c r="T34" s="519">
        <f>(T14/T9)</f>
        <v>0.45323782281925401</v>
      </c>
      <c r="U34" s="519">
        <f>(U14/U9)</f>
        <v>0.35180682796645624</v>
      </c>
      <c r="V34" s="518"/>
      <c r="W34" s="519">
        <f>(W14/W9)</f>
        <v>0.43117277478975041</v>
      </c>
      <c r="X34" s="519">
        <f>(X14/X9)</f>
        <v>0.42151662730652323</v>
      </c>
      <c r="Y34" s="519">
        <f>(Y14/Y9)</f>
        <v>0.4382606835719085</v>
      </c>
      <c r="Z34" s="519">
        <f>(Z14/Z9)</f>
        <v>0.35014653056091682</v>
      </c>
      <c r="AA34" s="518"/>
      <c r="AB34" s="519">
        <f>(AB14/AB9)</f>
        <v>0.42931766456582637</v>
      </c>
      <c r="AC34" s="519">
        <f>(AC14/AC9)</f>
        <v>0.43289823477697092</v>
      </c>
      <c r="AD34" s="519">
        <f>(AD14/AD9)</f>
        <v>0.46007390188050795</v>
      </c>
      <c r="AE34" s="519">
        <f>(AE14/AE9)</f>
        <v>0.39670691574849221</v>
      </c>
      <c r="AF34" s="518"/>
      <c r="AG34" s="519">
        <f>(AG14/AG9)</f>
        <v>0.40892251633160159</v>
      </c>
      <c r="AH34" s="519">
        <f>(AH14/AH9)</f>
        <v>0.41392744650190522</v>
      </c>
      <c r="AI34" s="519">
        <f>(AI14/AI9)</f>
        <v>0.46137311164655426</v>
      </c>
      <c r="AJ34" s="519">
        <f>(AJ14/AJ9)</f>
        <v>0.35223415334220209</v>
      </c>
      <c r="AK34" s="518"/>
      <c r="AL34" s="519">
        <f>(AL14/AL9)</f>
        <v>0.41950418739667344</v>
      </c>
      <c r="AM34" s="519">
        <f>(AM14/AM9)</f>
        <v>0.42109808404112808</v>
      </c>
      <c r="AN34" s="519">
        <f>(AN14/AN9)</f>
        <v>0.4506970220031063</v>
      </c>
      <c r="AO34" s="519">
        <f>(AO14/AO9)</f>
        <v>0.33507493583706943</v>
      </c>
      <c r="AP34" s="518"/>
      <c r="AQ34" s="519">
        <f>(AQ14/AQ9)</f>
        <v>0.41300826382465849</v>
      </c>
      <c r="AR34" s="519">
        <f>(AR14/AR9)</f>
        <v>0.39108641908228969</v>
      </c>
      <c r="AS34" s="519">
        <f>(AS14/AS9)</f>
        <v>0.44379530162292796</v>
      </c>
      <c r="AT34" s="519">
        <f>(AT14/AT9)</f>
        <v>0.33035340409834435</v>
      </c>
      <c r="AU34" s="518"/>
      <c r="AV34" s="519">
        <f>(AV14/AV9)</f>
        <v>0.41072909779407341</v>
      </c>
      <c r="AW34" s="519">
        <f>(AW14/AW9)</f>
        <v>0.39409758865403755</v>
      </c>
      <c r="AX34" s="519">
        <f>(AX14/AX9)</f>
        <v>0.43109817058128513</v>
      </c>
      <c r="AY34" s="519">
        <f>(AY14/AY9)</f>
        <v>0.39093330531654397</v>
      </c>
      <c r="AZ34" s="518"/>
      <c r="BA34" s="519">
        <f>(BA14/BA9)</f>
        <v>0.44377577929542222</v>
      </c>
      <c r="BB34" s="519">
        <f>(BB14/BB9)</f>
        <v>0.4119883819080381</v>
      </c>
      <c r="BC34" s="519">
        <f>(BC14/BC9)</f>
        <v>0.42959017873262323</v>
      </c>
      <c r="BD34" s="519">
        <f>(BD14/BD9)</f>
        <v>0.35779878212809663</v>
      </c>
      <c r="BE34" s="518"/>
      <c r="BF34" s="519">
        <f>(BF14/BF9)</f>
        <v>0.4100043245905054</v>
      </c>
      <c r="BG34" s="519">
        <f>(BG14/BG9)</f>
        <v>0.40296967521980981</v>
      </c>
      <c r="BH34" s="519">
        <f>(BH14/BH9)</f>
        <v>0.43257364729973341</v>
      </c>
      <c r="BI34" s="519">
        <f>(BI14/BI9)</f>
        <v>0.35116757399781157</v>
      </c>
      <c r="BJ34" s="518"/>
      <c r="BK34" s="519">
        <f>(BK14/BK9)</f>
        <v>0.39383956752665505</v>
      </c>
      <c r="BL34" s="519">
        <f>(BL14/BL9)</f>
        <v>0.38920056100981765</v>
      </c>
      <c r="BM34" s="519">
        <f>(BM14/BM9)</f>
        <v>0.40117454217558018</v>
      </c>
      <c r="BN34" s="519">
        <f>(BN14/BN9)</f>
        <v>0.36311055716499363</v>
      </c>
      <c r="BO34" s="518"/>
      <c r="BP34" s="519">
        <f>(BP14/BP9)</f>
        <v>0.40777005993871851</v>
      </c>
      <c r="BQ34" s="519">
        <f>(BQ14/BQ9)</f>
        <v>0.3886691278400215</v>
      </c>
      <c r="BR34" s="519">
        <f>(BR14/BR9)</f>
        <v>0.40691605071176362</v>
      </c>
      <c r="BS34" s="519">
        <f>(BS14/BS9)</f>
        <v>0.35642421844211986</v>
      </c>
      <c r="BT34" s="518"/>
      <c r="BU34" s="519">
        <f>(BU14/BU9)</f>
        <v>0.39382724872806213</v>
      </c>
      <c r="BV34" s="519">
        <f>(BV14/BV9)</f>
        <v>0.3836798130219336</v>
      </c>
      <c r="BW34" s="519">
        <f>(BW14/BW9)</f>
        <v>0.40139531617877777</v>
      </c>
      <c r="BX34" s="519">
        <f>(BX14/BX9)</f>
        <v>0.36411986899630588</v>
      </c>
      <c r="BY34" s="518"/>
      <c r="BZ34" s="519">
        <f>(BZ14/BZ9)</f>
        <v>0.37518130046278553</v>
      </c>
      <c r="CA34" s="519">
        <f>(CA14/CA9)</f>
        <v>0.38939502281127575</v>
      </c>
      <c r="CB34" s="519">
        <f>(CB14/CB9)</f>
        <v>0.41932535700179968</v>
      </c>
      <c r="CC34" s="519">
        <f>(CC14/CC9)</f>
        <v>0.37112355301876193</v>
      </c>
      <c r="CD34" s="518"/>
      <c r="CE34" s="519">
        <f>(CE14/CE9)</f>
        <v>0.41458852867830426</v>
      </c>
      <c r="CF34" s="519">
        <f>(CF14/CF9)</f>
        <v>0.41453811206461377</v>
      </c>
      <c r="CG34" s="519">
        <f>(CG14/CG9)</f>
        <v>0.43498188019612022</v>
      </c>
      <c r="CH34" s="519">
        <f>(CH14/CH9)</f>
        <v>0.38464073829927486</v>
      </c>
      <c r="CI34" s="518"/>
      <c r="CJ34" s="519">
        <f>(CJ14/CJ9)</f>
        <v>0.46112420060585663</v>
      </c>
      <c r="CK34" s="519">
        <f>(CK14/CK9)</f>
        <v>0.43173035637612706</v>
      </c>
      <c r="CL34" s="519">
        <f>(CL14/CL9)</f>
        <v>0.4469609185715791</v>
      </c>
      <c r="CM34" s="519">
        <f>(CM14/CM9)</f>
        <v>0.40151268705270016</v>
      </c>
      <c r="CN34" s="518"/>
      <c r="CO34" s="519">
        <f>(CO14/CO9)</f>
        <v>0.45798132503334815</v>
      </c>
      <c r="CP34" s="519">
        <f>(CP14/CP9)</f>
        <v>0.43440658539126809</v>
      </c>
      <c r="CQ34" s="519">
        <f>(CQ14/CQ9)</f>
        <v>0.44878098750256096</v>
      </c>
      <c r="CR34" s="519">
        <f>(CR14/CR9)</f>
        <v>0.40725474031327286</v>
      </c>
      <c r="CS34" s="519"/>
      <c r="CT34" s="2345">
        <f>(CT14/CT9)</f>
        <v>0.45000000000000007</v>
      </c>
      <c r="CU34" s="2345">
        <f>(CU14/CU9)</f>
        <v>0.45</v>
      </c>
      <c r="CV34" s="2345">
        <f>(CV14/CV9)</f>
        <v>0.46700000000000003</v>
      </c>
      <c r="CW34" s="2423">
        <f>(CW14/CW9)</f>
        <v>0.42499999999999999</v>
      </c>
      <c r="CX34" s="518"/>
      <c r="CY34" s="518"/>
      <c r="CZ34" s="520">
        <f t="shared" ref="CZ34:DV34" si="20">(CZ14/CZ9)</f>
        <v>0.42324868670481114</v>
      </c>
      <c r="DA34" s="520">
        <f t="shared" si="20"/>
        <v>0.42332864263140513</v>
      </c>
      <c r="DB34" s="520">
        <f t="shared" si="20"/>
        <v>0.39431663538294748</v>
      </c>
      <c r="DC34" s="520">
        <f t="shared" si="20"/>
        <v>0.38377443619240464</v>
      </c>
      <c r="DD34" s="520">
        <f t="shared" si="20"/>
        <v>0.37230045034459275</v>
      </c>
      <c r="DE34" s="520">
        <f t="shared" si="20"/>
        <v>0.39437671759407672</v>
      </c>
      <c r="DF34" s="520">
        <f t="shared" si="20"/>
        <v>0.40563118993180602</v>
      </c>
      <c r="DG34" s="520">
        <f t="shared" si="20"/>
        <v>0.40092247924421703</v>
      </c>
      <c r="DH34" s="520">
        <f t="shared" si="20"/>
        <v>0.42454228918225473</v>
      </c>
      <c r="DI34" s="521">
        <f t="shared" si="20"/>
        <v>0.40065707702180192</v>
      </c>
      <c r="DJ34" s="521">
        <f t="shared" si="20"/>
        <v>0.39471260974392508</v>
      </c>
      <c r="DK34" s="520">
        <f t="shared" si="20"/>
        <v>0.38501707006092006</v>
      </c>
      <c r="DL34" s="521">
        <f t="shared" si="20"/>
        <v>0.40505479562168573</v>
      </c>
      <c r="DM34" s="520">
        <f t="shared" si="20"/>
        <v>0.40231646695427209</v>
      </c>
      <c r="DN34" s="521">
        <f t="shared" si="20"/>
        <v>0.39246618632284164</v>
      </c>
      <c r="DO34" s="521">
        <f t="shared" si="20"/>
        <v>0.38436651525952825</v>
      </c>
      <c r="DP34" s="520">
        <f t="shared" si="20"/>
        <v>0.38639187886720139</v>
      </c>
      <c r="DQ34" s="520">
        <f t="shared" si="20"/>
        <v>0.38364007114630388</v>
      </c>
      <c r="DR34" s="520">
        <f t="shared" si="20"/>
        <v>0.38724228001843808</v>
      </c>
      <c r="DS34" s="520">
        <f t="shared" si="20"/>
        <v>0.41038321923648485</v>
      </c>
      <c r="DT34" s="520">
        <f t="shared" si="20"/>
        <v>0.43260532760257886</v>
      </c>
      <c r="DU34" s="520">
        <f t="shared" si="20"/>
        <v>0.43416950453259151</v>
      </c>
      <c r="DV34" s="520">
        <f t="shared" si="20"/>
        <v>0.44607517980597799</v>
      </c>
      <c r="DW34" s="520">
        <f>(DW14/DW9)</f>
        <v>0.44500000000000006</v>
      </c>
      <c r="DX34" s="522">
        <f>(DX14/DX9)</f>
        <v>0.44280000000000003</v>
      </c>
      <c r="DY34" s="566">
        <f>(DY14/DY9)</f>
        <v>0.44039999999999996</v>
      </c>
      <c r="DZ34" s="2371">
        <f>(DZ14/DZ9)</f>
        <v>0.43759999999999993</v>
      </c>
    </row>
    <row r="35" spans="1:130">
      <c r="A35" s="511" t="s">
        <v>448</v>
      </c>
      <c r="B35" s="512"/>
      <c r="C35" s="523">
        <f>(C16/C9)</f>
        <v>0.10812150861071627</v>
      </c>
      <c r="D35" s="523">
        <f>(D16/D9)</f>
        <v>0.13662490596514767</v>
      </c>
      <c r="E35" s="523">
        <f>(E16/E9)</f>
        <v>0.12234665608944363</v>
      </c>
      <c r="F35" s="523">
        <f>(F16/F9)</f>
        <v>0.25631802541956317</v>
      </c>
      <c r="G35" s="518"/>
      <c r="H35" s="519">
        <f>(H16/H9)</f>
        <v>0.1547039922582813</v>
      </c>
      <c r="I35" s="519">
        <f>(I16/I9)</f>
        <v>0.17913568773234192</v>
      </c>
      <c r="J35" s="519">
        <f>(J16/J9)</f>
        <v>0.1694609136892124</v>
      </c>
      <c r="K35" s="519">
        <f>(K16/K9)</f>
        <v>0.24960833878391578</v>
      </c>
      <c r="L35" s="519"/>
      <c r="M35" s="519">
        <f>(M16/M9)</f>
        <v>0.14631644971328861</v>
      </c>
      <c r="N35" s="519">
        <f>(N16/N9)</f>
        <v>0.1768645923388302</v>
      </c>
      <c r="O35" s="519">
        <f>(O16/O9)</f>
        <v>0.13823054336273619</v>
      </c>
      <c r="P35" s="519">
        <f>(P16/P9)</f>
        <v>0.26330115826703598</v>
      </c>
      <c r="Q35" s="519"/>
      <c r="R35" s="519">
        <f>(R16/R9)</f>
        <v>0.16871537670433767</v>
      </c>
      <c r="S35" s="519">
        <f>(S16/S9)</f>
        <v>0.15778242487854777</v>
      </c>
      <c r="T35" s="519">
        <f>(T16/T9)</f>
        <v>0.13636202200348058</v>
      </c>
      <c r="U35" s="519">
        <f>(U16/U9)</f>
        <v>0.24497062258789395</v>
      </c>
      <c r="V35" s="518"/>
      <c r="W35" s="519">
        <f>(W16/W9)</f>
        <v>0.14897218313506247</v>
      </c>
      <c r="X35" s="519">
        <f>(X16/X9)</f>
        <v>0.15469779319540333</v>
      </c>
      <c r="Y35" s="519">
        <f>(Y16/Y9)</f>
        <v>0.1144207587132053</v>
      </c>
      <c r="Z35" s="519">
        <f>(Z16/Z9)</f>
        <v>0.24451193841342389</v>
      </c>
      <c r="AA35" s="518"/>
      <c r="AB35" s="519">
        <f>(AB16/AB9)</f>
        <v>0.13720019257703076</v>
      </c>
      <c r="AC35" s="519">
        <f>(AC16/AC9)</f>
        <v>0.12205280352163345</v>
      </c>
      <c r="AD35" s="519">
        <f>(AD16/AD9)</f>
        <v>7.2349247102907507E-2</v>
      </c>
      <c r="AE35" s="519">
        <f>(AE16/AE9)</f>
        <v>0.17318379207082393</v>
      </c>
      <c r="AF35" s="518"/>
      <c r="AG35" s="519">
        <f>(AG16/AG9)</f>
        <v>0.13004681300879981</v>
      </c>
      <c r="AH35" s="519">
        <f>(AH16/AH9)</f>
        <v>0.14062627562886737</v>
      </c>
      <c r="AI35" s="519">
        <f>(AI16/AI9)</f>
        <v>7.9573289609182099E-2</v>
      </c>
      <c r="AJ35" s="519">
        <f>(AJ16/AJ9)</f>
        <v>0.23592747825722293</v>
      </c>
      <c r="AK35" s="518"/>
      <c r="AL35" s="519">
        <f>(AL16/AL9)</f>
        <v>0.14540046104052329</v>
      </c>
      <c r="AM35" s="519">
        <f>(AM16/AM9)</f>
        <v>0.13860457904614931</v>
      </c>
      <c r="AN35" s="519">
        <f>(AN16/AN9)</f>
        <v>8.9605027132526216E-2</v>
      </c>
      <c r="AO35" s="519">
        <f>(AO16/AO9)</f>
        <v>0.24124844741872603</v>
      </c>
      <c r="AP35" s="518"/>
      <c r="AQ35" s="519">
        <f>(AQ16/AQ9)</f>
        <v>0.14757884877184094</v>
      </c>
      <c r="AR35" s="519">
        <f>(AR16/AR9)</f>
        <v>0.17022859747465138</v>
      </c>
      <c r="AS35" s="519">
        <f>(AS16/AS9)</f>
        <v>0.10065628073576124</v>
      </c>
      <c r="AT35" s="519">
        <f>(AT16/AT9)</f>
        <v>0.26696114634380241</v>
      </c>
      <c r="AU35" s="518"/>
      <c r="AV35" s="519">
        <f>(AV16/AV9)</f>
        <v>0.16031435956001688</v>
      </c>
      <c r="AW35" s="519">
        <f>(AW16/AW9)</f>
        <v>0.18410463328189203</v>
      </c>
      <c r="AX35" s="519">
        <f>(AX16/AX9)</f>
        <v>0.13227742505096152</v>
      </c>
      <c r="AY35" s="519">
        <f>(AY16/AY9)</f>
        <v>0.20293865875192363</v>
      </c>
      <c r="AZ35" s="518"/>
      <c r="BA35" s="519">
        <f>(BA16/BA9)</f>
        <v>0.11497734802894044</v>
      </c>
      <c r="BB35" s="519">
        <f>(BB16/BB9)</f>
        <v>0.13895995546071555</v>
      </c>
      <c r="BC35" s="519">
        <f>(BC16/BC9)</f>
        <v>0.11838110903826739</v>
      </c>
      <c r="BD35" s="519">
        <f>(BD16/BD9)</f>
        <v>0.22886759922721384</v>
      </c>
      <c r="BE35" s="518"/>
      <c r="BF35" s="519">
        <f>(BF16/BF9)</f>
        <v>0.16773887049271929</v>
      </c>
      <c r="BG35" s="519">
        <f>(BG16/BG9)</f>
        <v>0.17577456785692921</v>
      </c>
      <c r="BH35" s="519">
        <f>(BH16/BH9)</f>
        <v>0.15255182044478094</v>
      </c>
      <c r="BI35" s="519">
        <f>(BI16/BI9)</f>
        <v>0.25843182303183299</v>
      </c>
      <c r="BJ35" s="518"/>
      <c r="BK35" s="519">
        <f>(BK16/BK9)</f>
        <v>0.18946595218509951</v>
      </c>
      <c r="BL35" s="519">
        <f>(BL16/BL9)</f>
        <v>0.20056673908460068</v>
      </c>
      <c r="BM35" s="519">
        <f>(BM16/BM9)</f>
        <v>0.17788132159115663</v>
      </c>
      <c r="BN35" s="519">
        <f>(BN16/BN9)</f>
        <v>0.24063784275416025</v>
      </c>
      <c r="BO35" s="518"/>
      <c r="BP35" s="519">
        <f>(BP16/BP9)</f>
        <v>0.16478264584884697</v>
      </c>
      <c r="BQ35" s="519">
        <f>(BQ16/BQ9)</f>
        <v>0.17435755141449791</v>
      </c>
      <c r="BR35" s="519">
        <f>(BR16/BR9)</f>
        <v>0.13755055755499027</v>
      </c>
      <c r="BS35" s="519">
        <f>(BS16/BS9)</f>
        <v>0.23496057920210009</v>
      </c>
      <c r="BT35" s="518"/>
      <c r="BU35" s="519">
        <f>(BU16/BU9)</f>
        <v>0.16813030718583474</v>
      </c>
      <c r="BV35" s="519">
        <f>(BV16/BV9)</f>
        <v>0.19104553054162296</v>
      </c>
      <c r="BW35" s="519">
        <f>(BW16/BW9)</f>
        <v>0.16853725487614621</v>
      </c>
      <c r="BX35" s="519">
        <f>(BX16/BX9)</f>
        <v>0.2409934960301445</v>
      </c>
      <c r="BY35" s="518"/>
      <c r="BZ35" s="519">
        <f>(BZ16/BZ9)</f>
        <v>0.20727829966842265</v>
      </c>
      <c r="CA35" s="519">
        <f>(CA16/CA9)</f>
        <v>0.21000574058594265</v>
      </c>
      <c r="CB35" s="519">
        <f>(CB16/CB9)</f>
        <v>0.17558663135988437</v>
      </c>
      <c r="CC35" s="519">
        <f>(CC16/CC9)</f>
        <v>0.23701315373830398</v>
      </c>
      <c r="CD35" s="518"/>
      <c r="CE35" s="519">
        <f>(CE16/CE9)</f>
        <v>0.17664172901080633</v>
      </c>
      <c r="CF35" s="519">
        <f>(CF16/CF9)</f>
        <v>0.18414941948510857</v>
      </c>
      <c r="CG35" s="519">
        <f>(CG16/CG9)</f>
        <v>0.16670219569388187</v>
      </c>
      <c r="CH35" s="519">
        <f>(CH16/CH9)</f>
        <v>0.24555042847725778</v>
      </c>
      <c r="CI35" s="518"/>
      <c r="CJ35" s="519">
        <f>(CJ16/CJ9)</f>
        <v>0.15101537080668676</v>
      </c>
      <c r="CK35" s="519">
        <f>(CK16/CK9)</f>
        <v>0.18774151996565053</v>
      </c>
      <c r="CL35" s="519">
        <f>(CL16/CL9)</f>
        <v>0.16348888654798271</v>
      </c>
      <c r="CM35" s="519">
        <f>(CM16/CM9)</f>
        <v>0.23950878334417688</v>
      </c>
      <c r="CN35" s="518"/>
      <c r="CO35" s="519">
        <f>(CO16/CO9)</f>
        <v>0.16184971098265899</v>
      </c>
      <c r="CP35" s="519">
        <f>(CP16/CP9)</f>
        <v>0.18891320204230494</v>
      </c>
      <c r="CQ35" s="519">
        <f>(CQ16/CQ9)</f>
        <v>0.16420815406678965</v>
      </c>
      <c r="CR35" s="519">
        <f>(CR16/CR9)</f>
        <v>0.23023308101626316</v>
      </c>
      <c r="CS35" s="519"/>
      <c r="CT35" s="2345">
        <f>(CT16/CT9)</f>
        <v>0.1719999999999999</v>
      </c>
      <c r="CU35" s="2345">
        <f>(CU16/CU9)</f>
        <v>0.17499999999999996</v>
      </c>
      <c r="CV35" s="2345">
        <f>(CV16/CV9)</f>
        <v>0.14800000000000005</v>
      </c>
      <c r="CW35" s="2423">
        <f>(CW16/CW9)</f>
        <v>0.215</v>
      </c>
      <c r="CX35" s="518"/>
      <c r="CY35" s="518"/>
      <c r="CZ35" s="520">
        <f t="shared" ref="CZ35:DV35" si="21">(CZ16/CZ9)</f>
        <v>0.11865529851167116</v>
      </c>
      <c r="DA35" s="520">
        <f t="shared" si="21"/>
        <v>0.13111232527790445</v>
      </c>
      <c r="DB35" s="520">
        <f t="shared" si="21"/>
        <v>0.13678413554637001</v>
      </c>
      <c r="DC35" s="520">
        <f t="shared" si="21"/>
        <v>0.17454966738919203</v>
      </c>
      <c r="DD35" s="520">
        <f t="shared" si="21"/>
        <v>0.19627398600526599</v>
      </c>
      <c r="DE35" s="520">
        <f t="shared" si="21"/>
        <v>0.19289775821877522</v>
      </c>
      <c r="DF35" s="520">
        <f t="shared" si="21"/>
        <v>0.18703657912038069</v>
      </c>
      <c r="DG35" s="520">
        <f t="shared" si="21"/>
        <v>0.17775550050123873</v>
      </c>
      <c r="DH35" s="520">
        <f t="shared" si="21"/>
        <v>0.13358348100149176</v>
      </c>
      <c r="DI35" s="521">
        <f t="shared" si="21"/>
        <v>0.15978311197656281</v>
      </c>
      <c r="DJ35" s="521">
        <f t="shared" si="21"/>
        <v>0.18044279491739459</v>
      </c>
      <c r="DK35" s="520">
        <f t="shared" si="21"/>
        <v>0.1854516735056933</v>
      </c>
      <c r="DL35" s="521">
        <f t="shared" si="21"/>
        <v>0.17287552665821646</v>
      </c>
      <c r="DM35" s="520">
        <f t="shared" si="21"/>
        <v>0.16240584855317702</v>
      </c>
      <c r="DN35" s="521">
        <f t="shared" si="21"/>
        <v>0.1984954412713229</v>
      </c>
      <c r="DO35" s="521">
        <f t="shared" si="21"/>
        <v>0.20619187210758799</v>
      </c>
      <c r="DP35" s="520">
        <f t="shared" si="21"/>
        <v>0.18375625848488059</v>
      </c>
      <c r="DQ35" s="520">
        <f t="shared" si="21"/>
        <v>0.19695221935288623</v>
      </c>
      <c r="DR35" s="520">
        <f t="shared" si="21"/>
        <v>0.20975229375283666</v>
      </c>
      <c r="DS35" s="520">
        <f t="shared" si="21"/>
        <v>0.19655516846541798</v>
      </c>
      <c r="DT35" s="520">
        <f t="shared" si="21"/>
        <v>0.18971462841721218</v>
      </c>
      <c r="DU35" s="520">
        <f t="shared" si="21"/>
        <v>0.19051273442371339</v>
      </c>
      <c r="DV35" s="520">
        <f t="shared" si="21"/>
        <v>0.18066807974372201</v>
      </c>
      <c r="DW35" s="520">
        <f>(DW16/DW9)</f>
        <v>0.18300000000000002</v>
      </c>
      <c r="DX35" s="522">
        <f>(DX16/DX9)</f>
        <v>0.18600000000000003</v>
      </c>
      <c r="DY35" s="566">
        <f>(DY16/DY9)</f>
        <v>0.18860000000000002</v>
      </c>
      <c r="DZ35" s="2371">
        <f>(DZ16/DZ9)</f>
        <v>0.19240000000000004</v>
      </c>
    </row>
    <row r="36" spans="1:130">
      <c r="A36" s="511" t="s">
        <v>2388</v>
      </c>
      <c r="B36" s="512"/>
      <c r="C36" s="523">
        <f>C18/C9</f>
        <v>5.81025940494423E-3</v>
      </c>
      <c r="D36" s="523">
        <f>D18/D9</f>
        <v>7.5911771698033322E-3</v>
      </c>
      <c r="E36" s="523">
        <f>E18/E9</f>
        <v>6.9939821385409627E-3</v>
      </c>
      <c r="F36" s="523">
        <f>F18/F9</f>
        <v>4.6608384242679581E-3</v>
      </c>
      <c r="G36" s="523"/>
      <c r="H36" s="523">
        <f>H18/H9</f>
        <v>7.7793841972747533E-3</v>
      </c>
      <c r="I36" s="523">
        <f>I18/I9</f>
        <v>4.8177584070418326E-3</v>
      </c>
      <c r="J36" s="523">
        <f>J18/J9</f>
        <v>6.7620957121432828E-3</v>
      </c>
      <c r="K36" s="523">
        <f>K18/K9</f>
        <v>4.7710668625984796E-3</v>
      </c>
      <c r="L36" s="519"/>
      <c r="M36" s="523">
        <f>M18/M9</f>
        <v>-6.0849997473253646E-3</v>
      </c>
      <c r="N36" s="523">
        <f>N18/N9</f>
        <v>1.5030931777722118E-2</v>
      </c>
      <c r="O36" s="523">
        <f>O18/O9</f>
        <v>1.7992998552874135E-2</v>
      </c>
      <c r="P36" s="523">
        <f>P18/P9</f>
        <v>1.9545424818694885E-2</v>
      </c>
      <c r="Q36" s="519"/>
      <c r="R36" s="523">
        <f>R18/R9</f>
        <v>1.1672893938564624E-2</v>
      </c>
      <c r="S36" s="523">
        <f>S18/S9</f>
        <v>1.2162584429007523E-2</v>
      </c>
      <c r="T36" s="523">
        <f>T18/T9</f>
        <v>1.4878439922083526E-2</v>
      </c>
      <c r="U36" s="523">
        <f>U18/U9</f>
        <v>8.8980360670939049E-3</v>
      </c>
      <c r="V36" s="518"/>
      <c r="W36" s="523">
        <f>W18/W9</f>
        <v>5.8432847698180329E-3</v>
      </c>
      <c r="X36" s="523">
        <f>X18/X9</f>
        <v>7.796698267777037E-3</v>
      </c>
      <c r="Y36" s="523">
        <f>Y18/Y9</f>
        <v>1.146881240947357E-2</v>
      </c>
      <c r="Z36" s="523">
        <f>Z18/Z9</f>
        <v>2.9224098809712573E-3</v>
      </c>
      <c r="AA36" s="518"/>
      <c r="AB36" s="523">
        <f>AB18/AB9</f>
        <v>7.2741596638655464E-3</v>
      </c>
      <c r="AC36" s="523">
        <f>AC18/AC9</f>
        <v>1.006720562655661E-2</v>
      </c>
      <c r="AD36" s="523">
        <f>AD18/AD9</f>
        <v>1.1440913191312192E-2</v>
      </c>
      <c r="AE36" s="523">
        <f>AE18/AE9</f>
        <v>3.1847055134905607E-3</v>
      </c>
      <c r="AF36" s="518"/>
      <c r="AG36" s="523">
        <f>AG18/AG9</f>
        <v>8.2486600340066028E-3</v>
      </c>
      <c r="AH36" s="523">
        <f>AH18/AH9</f>
        <v>7.3248389503722221E-3</v>
      </c>
      <c r="AI36" s="523">
        <f>AI18/AI9</f>
        <v>8.5761989982103756E-3</v>
      </c>
      <c r="AJ36" s="523">
        <f>AJ18/AJ9</f>
        <v>2.7701218247857175E-3</v>
      </c>
      <c r="AK36" s="518"/>
      <c r="AL36" s="523">
        <f>AL18/AL9</f>
        <v>7.6238561305194876E-3</v>
      </c>
      <c r="AM36" s="523">
        <f>AM18/AM9</f>
        <v>9.4004042137753596E-3</v>
      </c>
      <c r="AN36" s="523">
        <f>AN18/AN9</f>
        <v>-2.4330900243309007E-3</v>
      </c>
      <c r="AO36" s="523">
        <f>AO18/AO9</f>
        <v>2.752149106203338E-3</v>
      </c>
      <c r="AP36" s="518"/>
      <c r="AQ36" s="523">
        <f>AQ18/AQ9</f>
        <v>5.1785291634283371E-3</v>
      </c>
      <c r="AR36" s="523">
        <f>AR18/AR9</f>
        <v>4.1475363815009015E-3</v>
      </c>
      <c r="AS36" s="523">
        <f>AS18/AS9</f>
        <v>3.6759372763313317E-3</v>
      </c>
      <c r="AT36" s="523">
        <f>AT18/AT9</f>
        <v>-7.5962083526007996E-6</v>
      </c>
      <c r="AU36" s="518"/>
      <c r="AV36" s="523">
        <f>AV18/AV9</f>
        <v>2.261525515417443E-3</v>
      </c>
      <c r="AW36" s="523">
        <f>AW18/AW9</f>
        <v>4.5776375552674352E-3</v>
      </c>
      <c r="AX36" s="523">
        <f>AX18/AX9</f>
        <v>2.3450382373180641E-2</v>
      </c>
      <c r="AY36" s="523">
        <f>AY18/AY9</f>
        <v>1.1468577220678778E-2</v>
      </c>
      <c r="AZ36" s="518"/>
      <c r="BA36" s="523">
        <f>BA18/BA9</f>
        <v>2.4033306608193347E-2</v>
      </c>
      <c r="BB36" s="523">
        <f>BB18/BB9</f>
        <v>1.980757331104192E-2</v>
      </c>
      <c r="BC36" s="523">
        <f>BC18/BC9</f>
        <v>1.8933087266721497E-2</v>
      </c>
      <c r="BD36" s="523">
        <f>BD18/BD9</f>
        <v>1.4897328670530596E-2</v>
      </c>
      <c r="BE36" s="518"/>
      <c r="BF36" s="523">
        <f>BF18/BF9</f>
        <v>1.9157620275700536E-2</v>
      </c>
      <c r="BG36" s="523">
        <f>BG18/BG9</f>
        <v>1.6629284048089003E-2</v>
      </c>
      <c r="BH36" s="523">
        <f>BH18/BH9</f>
        <v>1.9064760337318788E-2</v>
      </c>
      <c r="BI36" s="523">
        <f>BI18/BI9</f>
        <v>1.0071602729712182E-2</v>
      </c>
      <c r="BJ36" s="518"/>
      <c r="BK36" s="523">
        <f>BK18/BK9</f>
        <v>1.3333455976074153E-2</v>
      </c>
      <c r="BL36" s="523">
        <f>BL18/BL9</f>
        <v>1.1021963717698393E-2</v>
      </c>
      <c r="BM36" s="523">
        <f>BM18/BM9</f>
        <v>1.2647137205558266E-2</v>
      </c>
      <c r="BN36" s="523">
        <f>BN18/BN9</f>
        <v>1.1214040288351412E-2</v>
      </c>
      <c r="BO36" s="518"/>
      <c r="BP36" s="523">
        <f>BP18/BP9</f>
        <v>1.2883772599094206E-2</v>
      </c>
      <c r="BQ36" s="523">
        <f>BQ18/BQ9</f>
        <v>1.6073199040345421E-2</v>
      </c>
      <c r="BR36" s="523">
        <f>BR18/BR9</f>
        <v>1.7335861650841229E-2</v>
      </c>
      <c r="BS36" s="523">
        <f>BS18/BS9</f>
        <v>1.1372675637598936E-2</v>
      </c>
      <c r="BT36" s="518"/>
      <c r="BU36" s="523">
        <f>BU18/BU9</f>
        <v>1.4195675187943055E-2</v>
      </c>
      <c r="BV36" s="523">
        <f>BV18/BV9</f>
        <v>1.5870238604404008E-2</v>
      </c>
      <c r="BW36" s="523">
        <f>BW18/BW9</f>
        <v>1.5274093285850016E-2</v>
      </c>
      <c r="BX36" s="523">
        <f>BX18/BX9</f>
        <v>1.2034346876338305E-2</v>
      </c>
      <c r="BY36" s="518"/>
      <c r="BZ36" s="523">
        <f>BZ18/BZ9</f>
        <v>1.6080906443033123E-2</v>
      </c>
      <c r="CA36" s="523">
        <f>CA18/CA9</f>
        <v>1.6266000624414613E-2</v>
      </c>
      <c r="CB36" s="523">
        <f>CB18/CB9</f>
        <v>1.6022484626230606E-2</v>
      </c>
      <c r="CC36" s="523">
        <f>CC18/CC9</f>
        <v>9.5785917579450739E-3</v>
      </c>
      <c r="CD36" s="518"/>
      <c r="CE36" s="523">
        <f>CE18/CE9</f>
        <v>9.6633416458852886E-3</v>
      </c>
      <c r="CF36" s="523">
        <f>CF18/CF9</f>
        <v>1.3730439172135284E-2</v>
      </c>
      <c r="CG36" s="523">
        <f>CG18/CG9</f>
        <v>1.6201236410147087E-2</v>
      </c>
      <c r="CH36" s="523">
        <f>CH18/CH9</f>
        <v>9.9703361898483851E-3</v>
      </c>
      <c r="CI36" s="518"/>
      <c r="CJ36" s="523">
        <f>CJ18/CJ9</f>
        <v>1.2902501963424212E-2</v>
      </c>
      <c r="CK36" s="523">
        <f>CK18/CK9</f>
        <v>1.4383855732073852E-2</v>
      </c>
      <c r="CL36" s="523">
        <f>CL18/CL9</f>
        <v>1.021805540924892E-2</v>
      </c>
      <c r="CM36" s="523">
        <f>CM18/CM9</f>
        <v>8.1327260897852971E-3</v>
      </c>
      <c r="CN36" s="518"/>
      <c r="CO36" s="523">
        <f>CO18/CO9</f>
        <v>1.0560248999555358E-2</v>
      </c>
      <c r="CP36" s="523">
        <f>CP18/CP9</f>
        <v>9.1695321454621243E-3</v>
      </c>
      <c r="CQ36" s="523">
        <f>CQ18/CQ9</f>
        <v>1.0141364474492931E-2</v>
      </c>
      <c r="CR36" s="523">
        <f>CR18/CR9</f>
        <v>4.3468485348122608E-3</v>
      </c>
      <c r="CS36" s="523"/>
      <c r="CT36" s="2346">
        <f>CT18/CT9</f>
        <v>9.2497630499143255E-3</v>
      </c>
      <c r="CU36" s="2346">
        <f>CU18/CU9</f>
        <v>8.8767023632840818E-3</v>
      </c>
      <c r="CV36" s="2346">
        <f>CV18/CV9</f>
        <v>8.7897324319777797E-3</v>
      </c>
      <c r="CW36" s="2371">
        <f>CW18/CW9</f>
        <v>4.3333168730577878E-3</v>
      </c>
      <c r="CX36" s="518"/>
      <c r="CY36" s="518"/>
      <c r="CZ36" s="520"/>
      <c r="DA36" s="520"/>
      <c r="DB36" s="520"/>
      <c r="DC36" s="520"/>
      <c r="DD36" s="520"/>
      <c r="DE36" s="520"/>
      <c r="DF36" s="520"/>
      <c r="DG36" s="520"/>
      <c r="DH36" s="520"/>
      <c r="DI36" s="521"/>
      <c r="DJ36" s="521">
        <f t="shared" ref="DJ36:DX36" si="22">DJ18/DJ9</f>
        <v>4.0957006858189883E-3</v>
      </c>
      <c r="DK36" s="520">
        <f t="shared" si="22"/>
        <v>2.7668028573849413E-3</v>
      </c>
      <c r="DL36" s="521">
        <f t="shared" si="22"/>
        <v>1.0144412201516467E-2</v>
      </c>
      <c r="DM36" s="520">
        <f t="shared" si="22"/>
        <v>1.8643185852465001E-2</v>
      </c>
      <c r="DN36" s="521">
        <f t="shared" si="22"/>
        <v>1.5346045266409319E-2</v>
      </c>
      <c r="DO36" s="521">
        <f t="shared" si="22"/>
        <v>1.1934052112347812E-2</v>
      </c>
      <c r="DP36" s="520">
        <f t="shared" si="22"/>
        <v>1.4137448543835687E-2</v>
      </c>
      <c r="DQ36" s="520">
        <f t="shared" si="22"/>
        <v>1.4128048462837965E-2</v>
      </c>
      <c r="DR36" s="520">
        <f t="shared" si="22"/>
        <v>1.414452484086145E-2</v>
      </c>
      <c r="DS36" s="520">
        <f t="shared" si="22"/>
        <v>1.2229882817258262E-2</v>
      </c>
      <c r="DT36" s="520">
        <f t="shared" si="22"/>
        <v>1.1144984756859412E-2</v>
      </c>
      <c r="DU36" s="520">
        <f t="shared" si="22"/>
        <v>8.1538682910451341E-3</v>
      </c>
      <c r="DV36" s="520">
        <f t="shared" si="22"/>
        <v>7.5035018417029444E-3</v>
      </c>
      <c r="DW36" s="520">
        <f t="shared" si="22"/>
        <v>7.1162078760979896E-3</v>
      </c>
      <c r="DX36" s="522">
        <f t="shared" si="22"/>
        <v>6.75630766016034E-3</v>
      </c>
      <c r="DY36" s="566">
        <f>DY18/DY9</f>
        <v>6.4863983173565733E-3</v>
      </c>
      <c r="DZ36" s="2371">
        <f>DZ18/DZ9</f>
        <v>6.2314738664778629E-3</v>
      </c>
    </row>
    <row r="37" spans="1:130">
      <c r="A37" s="511" t="s">
        <v>482</v>
      </c>
      <c r="B37" s="512"/>
      <c r="C37" s="523">
        <f>(C19/C9)</f>
        <v>0.10231124920577205</v>
      </c>
      <c r="D37" s="523">
        <f>(D19/D9)</f>
        <v>0.12903372879534433</v>
      </c>
      <c r="E37" s="523">
        <f>(E19/E9)</f>
        <v>0.11535267395090268</v>
      </c>
      <c r="F37" s="523">
        <f>(F19/F9)</f>
        <v>0.25165718699529521</v>
      </c>
      <c r="G37" s="518"/>
      <c r="H37" s="519">
        <f>(H19/H9)</f>
        <v>0.14692460806100655</v>
      </c>
      <c r="I37" s="519">
        <f>(I19/I9)</f>
        <v>0.1743179293253001</v>
      </c>
      <c r="J37" s="519">
        <f>(J19/J9)</f>
        <v>0.16269881797706914</v>
      </c>
      <c r="K37" s="519">
        <f>(K19/K9)</f>
        <v>0.2448372719213173</v>
      </c>
      <c r="L37" s="519"/>
      <c r="M37" s="519">
        <f>(M19/M9)</f>
        <v>0.15240144946061396</v>
      </c>
      <c r="N37" s="519">
        <f>(N19/N9)</f>
        <v>0.16183366056110807</v>
      </c>
      <c r="O37" s="519">
        <f>(O19/O9)</f>
        <v>0.12023754480986205</v>
      </c>
      <c r="P37" s="519">
        <f>(P19/P9)</f>
        <v>0.24375573344834109</v>
      </c>
      <c r="Q37" s="519"/>
      <c r="R37" s="519">
        <f>(R19/R9)</f>
        <v>0.15704248276577304</v>
      </c>
      <c r="S37" s="519">
        <f>(S19/S9)</f>
        <v>0.14561984044954024</v>
      </c>
      <c r="T37" s="519">
        <f>(T19/T9)</f>
        <v>0.12148358208139706</v>
      </c>
      <c r="U37" s="519">
        <f>(U19/U9)</f>
        <v>0.23607258652080004</v>
      </c>
      <c r="V37" s="518"/>
      <c r="W37" s="519">
        <f>(W19/W9)</f>
        <v>0.14312889836524442</v>
      </c>
      <c r="X37" s="519">
        <f>(X19/X9)</f>
        <v>0.14690109492762629</v>
      </c>
      <c r="Y37" s="519">
        <f>(Y19/Y9)</f>
        <v>0.10295194630373174</v>
      </c>
      <c r="Z37" s="519">
        <f>(Z19/Z9)</f>
        <v>0.24158952853245264</v>
      </c>
      <c r="AA37" s="518"/>
      <c r="AB37" s="519">
        <f>(AB19/AB9)</f>
        <v>0.12992603291316521</v>
      </c>
      <c r="AC37" s="519">
        <f>(AC19/AC9)</f>
        <v>0.11198559789507682</v>
      </c>
      <c r="AD37" s="519">
        <f>(AD19/AD9)</f>
        <v>6.0908333911595322E-2</v>
      </c>
      <c r="AE37" s="519">
        <f>(AE19/AE9)</f>
        <v>0.16999908655733334</v>
      </c>
      <c r="AF37" s="518"/>
      <c r="AG37" s="519">
        <f>(AG19/AG9)</f>
        <v>0.12179815297479321</v>
      </c>
      <c r="AH37" s="519">
        <f>(AH19/AH9)</f>
        <v>0.13330143667849512</v>
      </c>
      <c r="AI37" s="519">
        <f>(AI19/AI9)</f>
        <v>7.0997090610971716E-2</v>
      </c>
      <c r="AJ37" s="519">
        <f>(AJ19/AJ9)</f>
        <v>0.23315735643243723</v>
      </c>
      <c r="AK37" s="518"/>
      <c r="AL37" s="519">
        <f>(AL19/AL9)</f>
        <v>0.13777660491000382</v>
      </c>
      <c r="AM37" s="519">
        <f>(AM19/AM9)</f>
        <v>0.12920417483237395</v>
      </c>
      <c r="AN37" s="519">
        <f>(AN19/AN9)</f>
        <v>9.2038117156857113E-2</v>
      </c>
      <c r="AO37" s="519">
        <f>(AO19/AO9)</f>
        <v>0.23849629831252267</v>
      </c>
      <c r="AP37" s="518"/>
      <c r="AQ37" s="519">
        <f>(AQ19/AQ9)</f>
        <v>0.1424003196084126</v>
      </c>
      <c r="AR37" s="519">
        <f>(AR19/AR9)</f>
        <v>0.16608106109315049</v>
      </c>
      <c r="AS37" s="519">
        <f>(AS19/AS9)</f>
        <v>9.6980343459429921E-2</v>
      </c>
      <c r="AT37" s="519">
        <f>(AT19/AT9)</f>
        <v>0.26696874255215497</v>
      </c>
      <c r="AU37" s="518"/>
      <c r="AV37" s="519">
        <f>(AV19/AV9)</f>
        <v>0.15805283404459944</v>
      </c>
      <c r="AW37" s="519">
        <f>(AW19/AW9)</f>
        <v>0.17952699572662459</v>
      </c>
      <c r="AX37" s="519">
        <f>(AX19/AX9)</f>
        <v>0.10882704267778087</v>
      </c>
      <c r="AY37" s="519">
        <f>(AY19/AY9)</f>
        <v>0.19147008153124487</v>
      </c>
      <c r="AZ37" s="518"/>
      <c r="BA37" s="519">
        <f>(BA19/BA9)</f>
        <v>9.0944041420747107E-2</v>
      </c>
      <c r="BB37" s="519">
        <f>(BB19/BB9)</f>
        <v>0.11915238214967361</v>
      </c>
      <c r="BC37" s="519">
        <f>(BC19/BC9)</f>
        <v>9.944802177154588E-2</v>
      </c>
      <c r="BD37" s="519">
        <f>(BD19/BD9)</f>
        <v>0.21397027055668325</v>
      </c>
      <c r="BE37" s="518"/>
      <c r="BF37" s="519">
        <f>(BF19/BF9)</f>
        <v>0.14858125021701873</v>
      </c>
      <c r="BG37" s="519">
        <f>(BG19/BG9)</f>
        <v>0.15914528380884024</v>
      </c>
      <c r="BH37" s="519">
        <f>(BH19/BH9)</f>
        <v>0.13348706010746217</v>
      </c>
      <c r="BI37" s="519">
        <f>(BI19/BI9)</f>
        <v>0.24836022030212079</v>
      </c>
      <c r="BJ37" s="518"/>
      <c r="BK37" s="519">
        <f>(BK19/BK9)</f>
        <v>0.17613249620902538</v>
      </c>
      <c r="BL37" s="519">
        <f>(BL19/BL9)</f>
        <v>0.18954477536690229</v>
      </c>
      <c r="BM37" s="519">
        <f>(BM19/BM9)</f>
        <v>0.16523418438559836</v>
      </c>
      <c r="BN37" s="519">
        <f>(BN19/BN9)</f>
        <v>0.22942380246580885</v>
      </c>
      <c r="BO37" s="518"/>
      <c r="BP37" s="519">
        <f>(BP19/BP9)</f>
        <v>0.15189887324975276</v>
      </c>
      <c r="BQ37" s="519">
        <f>(BQ19/BQ9)</f>
        <v>0.15828435237415248</v>
      </c>
      <c r="BR37" s="519">
        <f>(BR19/BR9)</f>
        <v>0.12021469590414904</v>
      </c>
      <c r="BS37" s="519">
        <f>(BS19/BS9)</f>
        <v>0.22358790356450117</v>
      </c>
      <c r="BT37" s="518"/>
      <c r="BU37" s="519">
        <f>(BU19/BU9)</f>
        <v>0.1539346319978917</v>
      </c>
      <c r="BV37" s="519">
        <f>(BV19/BV9)</f>
        <v>0.17517529193721895</v>
      </c>
      <c r="BW37" s="519">
        <f>(BW19/BW9)</f>
        <v>0.15326316159029621</v>
      </c>
      <c r="BX37" s="519">
        <f>(BX19/BX9)</f>
        <v>0.22895914915380619</v>
      </c>
      <c r="BY37" s="518"/>
      <c r="BZ37" s="519">
        <f>(BZ19/BZ9)</f>
        <v>0.19119739322538953</v>
      </c>
      <c r="CA37" s="519">
        <f>(CA19/CA9)</f>
        <v>0.19373973996152802</v>
      </c>
      <c r="CB37" s="519">
        <f>(CB19/CB9)</f>
        <v>0.15956414673365377</v>
      </c>
      <c r="CC37" s="519">
        <f>(CC19/CC9)</f>
        <v>0.22743456198035891</v>
      </c>
      <c r="CD37" s="518"/>
      <c r="CE37" s="519">
        <f>(CE19/CE9)</f>
        <v>0.16697838736492102</v>
      </c>
      <c r="CF37" s="519">
        <f>(CF19/CF9)</f>
        <v>0.17041898031297328</v>
      </c>
      <c r="CG37" s="519">
        <f>(CG19/CG9)</f>
        <v>0.1505009592837348</v>
      </c>
      <c r="CH37" s="519">
        <f>(CH19/CH9)</f>
        <v>0.23558009228740937</v>
      </c>
      <c r="CI37" s="518"/>
      <c r="CJ37" s="519">
        <f>(CJ19/CJ9)</f>
        <v>0.13811286884326254</v>
      </c>
      <c r="CK37" s="519">
        <f>(CK19/CK9)</f>
        <v>0.17335766423357668</v>
      </c>
      <c r="CL37" s="519">
        <f>(CL19/CL9)</f>
        <v>0.1532708311387338</v>
      </c>
      <c r="CM37" s="519">
        <f>(CM19/CM9)</f>
        <v>0.23137605725439159</v>
      </c>
      <c r="CN37" s="518"/>
      <c r="CO37" s="519">
        <f>(CO19/CO9)</f>
        <v>0.15128946198310361</v>
      </c>
      <c r="CP37" s="519">
        <f>(CP19/CP9)</f>
        <v>0.17974366989684282</v>
      </c>
      <c r="CQ37" s="519">
        <f>(CQ19/CQ9)</f>
        <v>0.15406678959229672</v>
      </c>
      <c r="CR37" s="519">
        <f>(CR19/CR9)</f>
        <v>0.2258862324814509</v>
      </c>
      <c r="CS37" s="519"/>
      <c r="CT37" s="2345">
        <f>(CT19/CT9)</f>
        <v>0.16275023695008556</v>
      </c>
      <c r="CU37" s="2345">
        <f>(CU19/CU9)</f>
        <v>0.16612329763671588</v>
      </c>
      <c r="CV37" s="2345">
        <f>(CV19/CV9)</f>
        <v>0.13921026756802227</v>
      </c>
      <c r="CW37" s="2423">
        <f>(CW19/CW9)</f>
        <v>0.21066668312694223</v>
      </c>
      <c r="CX37" s="518"/>
      <c r="CY37" s="518"/>
      <c r="CZ37" s="520">
        <f t="shared" ref="CZ37:DV37" si="23">(CZ19/CZ9)</f>
        <v>0.11157695194055367</v>
      </c>
      <c r="DA37" s="520">
        <f t="shared" si="23"/>
        <v>0.12554637505699598</v>
      </c>
      <c r="DB37" s="520">
        <f t="shared" si="23"/>
        <v>0.13213699637244697</v>
      </c>
      <c r="DC37" s="520">
        <f t="shared" si="23"/>
        <v>0.16855315997254861</v>
      </c>
      <c r="DD37" s="520">
        <f t="shared" si="23"/>
        <v>0.19042586100226849</v>
      </c>
      <c r="DE37" s="520">
        <f t="shared" si="23"/>
        <v>0.1800844675030423</v>
      </c>
      <c r="DF37" s="520">
        <f t="shared" si="23"/>
        <v>0.17557520734184062</v>
      </c>
      <c r="DG37" s="520">
        <f t="shared" si="23"/>
        <v>0.17133864488049019</v>
      </c>
      <c r="DH37" s="520">
        <f t="shared" si="23"/>
        <v>0.2141424898325541</v>
      </c>
      <c r="DI37" s="521">
        <f t="shared" si="23"/>
        <v>0.15363277419020846</v>
      </c>
      <c r="DJ37" s="521">
        <f t="shared" si="23"/>
        <v>0.17634709423157563</v>
      </c>
      <c r="DK37" s="520">
        <f t="shared" si="23"/>
        <v>0.18268487064830838</v>
      </c>
      <c r="DL37" s="521">
        <f t="shared" si="23"/>
        <v>0.16273111445669999</v>
      </c>
      <c r="DM37" s="520">
        <f t="shared" si="23"/>
        <v>0.14376266270071203</v>
      </c>
      <c r="DN37" s="521">
        <f t="shared" si="23"/>
        <v>0.18314939600491359</v>
      </c>
      <c r="DO37" s="521">
        <f t="shared" si="23"/>
        <v>0.19425781999524017</v>
      </c>
      <c r="DP37" s="520">
        <f t="shared" si="23"/>
        <v>0.16961880994104492</v>
      </c>
      <c r="DQ37" s="520">
        <f t="shared" si="23"/>
        <v>0.18282417089004827</v>
      </c>
      <c r="DR37" s="520">
        <f t="shared" si="23"/>
        <v>0.19560776891197518</v>
      </c>
      <c r="DS37" s="520">
        <f t="shared" si="23"/>
        <v>0.1843252856481597</v>
      </c>
      <c r="DT37" s="520">
        <f t="shared" si="23"/>
        <v>0.17856964366035274</v>
      </c>
      <c r="DU37" s="520">
        <f t="shared" si="23"/>
        <v>0.18235886613266825</v>
      </c>
      <c r="DV37" s="520">
        <f t="shared" si="23"/>
        <v>0.17316457790201908</v>
      </c>
      <c r="DW37" s="520">
        <f>(DW19/DW9)</f>
        <v>0.17588379212390204</v>
      </c>
      <c r="DX37" s="522">
        <f>(DX19/DX9)</f>
        <v>0.17924369233983969</v>
      </c>
      <c r="DY37" s="566">
        <f>(DY19/DY9)</f>
        <v>0.18211360168264346</v>
      </c>
      <c r="DZ37" s="2371">
        <f>(DZ19/DZ9)</f>
        <v>0.18616852613352219</v>
      </c>
    </row>
    <row r="38" spans="1:130">
      <c r="A38" s="511" t="s">
        <v>483</v>
      </c>
      <c r="B38" s="512"/>
      <c r="C38" s="523">
        <f>(C21/C19)</f>
        <v>0.42000215385719936</v>
      </c>
      <c r="D38" s="523">
        <f>(D21/D19)</f>
        <v>0.4199939427590732</v>
      </c>
      <c r="E38" s="523">
        <f>(E21/E19)</f>
        <v>0.41002014775016787</v>
      </c>
      <c r="F38" s="523">
        <f>(F21/F19)</f>
        <v>0.40999902339662664</v>
      </c>
      <c r="G38" s="518"/>
      <c r="H38" s="519">
        <f>(H21/H19)</f>
        <v>0.40001971997633617</v>
      </c>
      <c r="I38" s="519">
        <f>(I21/I19)</f>
        <v>0.39998161567570073</v>
      </c>
      <c r="J38" s="519">
        <f>(J21/J19)</f>
        <v>0.40002643055371995</v>
      </c>
      <c r="K38" s="519">
        <f>(K21/K19)</f>
        <v>0.39999433114610045</v>
      </c>
      <c r="L38" s="519"/>
      <c r="M38" s="519">
        <f>(M21/M19)</f>
        <v>0.39997659358664273</v>
      </c>
      <c r="N38" s="519">
        <f>(N21/N19)</f>
        <v>0.40002329877348608</v>
      </c>
      <c r="O38" s="519" t="s">
        <v>1896</v>
      </c>
      <c r="P38" s="519">
        <f>(P21/P19)</f>
        <v>0.39999419898917382</v>
      </c>
      <c r="Q38" s="519"/>
      <c r="R38" s="519">
        <f>(R21/R19)</f>
        <v>0.39998899365300633</v>
      </c>
      <c r="S38" s="519">
        <f>(S21/S19)</f>
        <v>0.40000733621891277</v>
      </c>
      <c r="T38" s="519">
        <f>(T21/T19)</f>
        <v>0.38900757865383312</v>
      </c>
      <c r="U38" s="519">
        <f>(U21/U19)</f>
        <v>0.38899761859141047</v>
      </c>
      <c r="V38" s="518"/>
      <c r="W38" s="519">
        <f>(W21/W19)</f>
        <v>0.3670043772945496</v>
      </c>
      <c r="X38" s="519">
        <f>(X21/X19)</f>
        <v>0.36699844622555883</v>
      </c>
      <c r="Y38" s="519">
        <f>(Y21/Y19)</f>
        <v>0.36698884422564471</v>
      </c>
      <c r="Z38" s="519">
        <f>(Z21/Z19)</f>
        <v>0.3749377630923823</v>
      </c>
      <c r="AA38" s="518"/>
      <c r="AB38" s="519">
        <f>(AB21/AB19)</f>
        <v>0.37998349362483386</v>
      </c>
      <c r="AC38" s="519">
        <f>(AC21/AC19)</f>
        <v>0.38001199130630342</v>
      </c>
      <c r="AD38" s="519">
        <f>(AD21/AD19)</f>
        <v>0.38201367131871256</v>
      </c>
      <c r="AE38" s="519">
        <f>(AE21/AE19)</f>
        <v>0.82977781004937556</v>
      </c>
      <c r="AF38" s="518"/>
      <c r="AG38" s="519">
        <f>(AG21/AG19)</f>
        <v>0.35499557201513549</v>
      </c>
      <c r="AH38" s="519">
        <f>(AH21/AH19)</f>
        <v>0.28000284859706565</v>
      </c>
      <c r="AI38" s="519">
        <f>(AI21/AI19)</f>
        <v>0.33000056328507849</v>
      </c>
      <c r="AJ38" s="519">
        <f>(AJ21/AJ19)</f>
        <v>0.29925107292920911</v>
      </c>
      <c r="AK38" s="518"/>
      <c r="AL38" s="519">
        <f>(AL21/AL19)</f>
        <v>0.38759788180947602</v>
      </c>
      <c r="AM38" s="519">
        <f>(AM21/AM19)</f>
        <v>0.37606050457691426</v>
      </c>
      <c r="AN38" s="519">
        <f>(AN21/AN19)</f>
        <v>0.33348995893685307</v>
      </c>
      <c r="AO38" s="519">
        <f>(AO21/AO19)</f>
        <v>0.35340262625114249</v>
      </c>
      <c r="AP38" s="518"/>
      <c r="AQ38" s="519">
        <f>(AQ21/AQ19)</f>
        <v>0.3654870803470387</v>
      </c>
      <c r="AR38" s="519">
        <f>(AR21/AR19)</f>
        <v>0.39376948172920517</v>
      </c>
      <c r="AS38" s="519">
        <f>(AS21/AS19)</f>
        <v>0.29928663006673484</v>
      </c>
      <c r="AT38" s="519">
        <f>(AT21/AT19)</f>
        <v>0.36717883055911249</v>
      </c>
      <c r="AU38" s="518"/>
      <c r="AV38" s="519">
        <f>(AV21/AV19)</f>
        <v>0.36731919262984741</v>
      </c>
      <c r="AW38" s="519">
        <f>(AW21/AW19)</f>
        <v>0.36910732962309811</v>
      </c>
      <c r="AX38" s="519">
        <f>(AX21/AX19)</f>
        <v>0.32060727175112574</v>
      </c>
      <c r="AY38" s="519">
        <f>(AY21/AY19)</f>
        <v>0.33444897551972275</v>
      </c>
      <c r="AZ38" s="518"/>
      <c r="BA38" s="519">
        <f>(BA21/BA19)</f>
        <v>0.41702425967625428</v>
      </c>
      <c r="BB38" s="519">
        <f>(BB21/BB19)</f>
        <v>0.33709235406960786</v>
      </c>
      <c r="BC38" s="519">
        <f>(BC21/BC19)</f>
        <v>0.30760955438637777</v>
      </c>
      <c r="BD38" s="519">
        <f>(BD21/BD19)</f>
        <v>0.34183068475667538</v>
      </c>
      <c r="BE38" s="518"/>
      <c r="BF38" s="519">
        <f>(BF21/BF19)</f>
        <v>0.33939175049660592</v>
      </c>
      <c r="BG38" s="519">
        <f>(BG21/BG19)</f>
        <v>0.34166118575589594</v>
      </c>
      <c r="BH38" s="519">
        <f>(BH21/BH19)</f>
        <v>0.35195929759785466</v>
      </c>
      <c r="BI38" s="519">
        <f>(BI21/BI19)</f>
        <v>0.32317238151650113</v>
      </c>
      <c r="BJ38" s="518"/>
      <c r="BK38" s="519">
        <f>(BK21/BK19)</f>
        <v>0.35790808713816752</v>
      </c>
      <c r="BL38" s="519">
        <f>(BL21/BL19)</f>
        <v>0.32876712328767116</v>
      </c>
      <c r="BM38" s="519">
        <f>(BM21/BM19)</f>
        <v>0.33947298650798319</v>
      </c>
      <c r="BN38" s="519">
        <f>(BN21/BN19)</f>
        <v>0.34516402559217685</v>
      </c>
      <c r="BO38" s="518"/>
      <c r="BP38" s="519">
        <f>(BP21/BP19)</f>
        <v>0.34474528051691311</v>
      </c>
      <c r="BQ38" s="519">
        <f>(BQ21/BQ19)</f>
        <v>0.3458205658091642</v>
      </c>
      <c r="BR38" s="519">
        <f>(BR21/BR19)</f>
        <v>0.38369166536600607</v>
      </c>
      <c r="BS38" s="519">
        <f>(BS21/BS19)</f>
        <v>0.34983333514294079</v>
      </c>
      <c r="BT38" s="518"/>
      <c r="BU38" s="519">
        <f>(BU21/BU19)</f>
        <v>0.34835250932199685</v>
      </c>
      <c r="BV38" s="519">
        <f>(BV21/BV19)</f>
        <v>0.34163830521850641</v>
      </c>
      <c r="BW38" s="519">
        <f>(BW21/BW19)</f>
        <v>0.32274367197342801</v>
      </c>
      <c r="BX38" s="519">
        <f>(BX21/BX19)</f>
        <v>0.36147537123133738</v>
      </c>
      <c r="BY38" s="518"/>
      <c r="BZ38" s="519">
        <f>(BZ21/BZ19)</f>
        <v>0.35091490670070341</v>
      </c>
      <c r="CA38" s="519">
        <f>(CA21/CA19)</f>
        <v>0.35478504964391538</v>
      </c>
      <c r="CB38" s="519">
        <f>(CB21/CB19)</f>
        <v>0.13760155698947193</v>
      </c>
      <c r="CC38" s="519">
        <f>(CC21/CC19)</f>
        <v>0.32886323906223802</v>
      </c>
      <c r="CD38" s="518"/>
      <c r="CE38" s="519">
        <f>(CE21/CE19)</f>
        <v>0.34723086496577477</v>
      </c>
      <c r="CF38" s="519">
        <f>(CF21/CF19)</f>
        <v>0.34123222748815152</v>
      </c>
      <c r="CG38" s="519">
        <f>(CG21/CG19)</f>
        <v>0.35552407932011337</v>
      </c>
      <c r="CH38" s="519">
        <f>(CH21/CH19)</f>
        <v>0.34472542847149351</v>
      </c>
      <c r="CI38" s="518"/>
      <c r="CJ38" s="519">
        <f>(CJ21/CJ19)</f>
        <v>0.2891957757920392</v>
      </c>
      <c r="CK38" s="519">
        <f>(CK21/CK19)</f>
        <v>0.34551083591331261</v>
      </c>
      <c r="CL38" s="519">
        <f>(CL21/CL19)</f>
        <v>0.34639175257731958</v>
      </c>
      <c r="CM38" s="519">
        <f>(CM21/CM19)</f>
        <v>0.36098418277680155</v>
      </c>
      <c r="CN38" s="518"/>
      <c r="CO38" s="519">
        <f>(CO21/CO19)</f>
        <v>0.31741366642174867</v>
      </c>
      <c r="CP38" s="519">
        <f>(CP21/CP19)</f>
        <v>0.3333333333333332</v>
      </c>
      <c r="CQ38" s="519">
        <f>(CQ21/CQ19)</f>
        <v>0.33377659574468072</v>
      </c>
      <c r="CR38" s="519">
        <f>(CR21/CR19)</f>
        <v>0.30955540809555415</v>
      </c>
      <c r="CS38" s="519"/>
      <c r="CT38" s="2345">
        <f>(CT21/CT19)</f>
        <v>0.28000000000000003</v>
      </c>
      <c r="CU38" s="2345">
        <f>(CU21/CU19)</f>
        <v>0.28000000000000003</v>
      </c>
      <c r="CV38" s="2345">
        <f>(CV21/CV19)</f>
        <v>0.28000000000000003</v>
      </c>
      <c r="CW38" s="2423">
        <f>(CW21/CW19)</f>
        <v>0.28000000000000003</v>
      </c>
      <c r="CX38" s="518"/>
      <c r="CY38" s="518"/>
      <c r="CZ38" s="520">
        <f t="shared" ref="CZ38:DV38" si="24">(CZ21/CZ19)</f>
        <v>0.43200241043484999</v>
      </c>
      <c r="DA38" s="520">
        <f t="shared" si="24"/>
        <v>0.43000046963790911</v>
      </c>
      <c r="DB38" s="520">
        <f t="shared" si="24"/>
        <v>0.4213738692434208</v>
      </c>
      <c r="DC38" s="520">
        <f t="shared" si="24"/>
        <v>0.41272202468777452</v>
      </c>
      <c r="DD38" s="520">
        <f t="shared" si="24"/>
        <v>0.40000188892491845</v>
      </c>
      <c r="DE38" s="520">
        <f t="shared" si="24"/>
        <v>0.4000006912952106</v>
      </c>
      <c r="DF38" s="520">
        <f t="shared" si="24"/>
        <v>0.36625316633126093</v>
      </c>
      <c r="DG38" s="520">
        <f t="shared" si="24"/>
        <v>0.37109298627018983</v>
      </c>
      <c r="DH38" s="520">
        <f t="shared" si="24"/>
        <v>0.35550081754026269</v>
      </c>
      <c r="DI38" s="521">
        <f t="shared" si="24"/>
        <v>0.30795382282443834</v>
      </c>
      <c r="DJ38" s="521">
        <f t="shared" si="24"/>
        <v>0.36298269623409507</v>
      </c>
      <c r="DK38" s="520">
        <f t="shared" si="24"/>
        <v>0.36466810339207528</v>
      </c>
      <c r="DL38" s="521">
        <f t="shared" si="24"/>
        <v>0.34969719455217679</v>
      </c>
      <c r="DM38" s="520">
        <f t="shared" si="24"/>
        <v>0.34478049481720269</v>
      </c>
      <c r="DN38" s="521">
        <f t="shared" si="24"/>
        <v>0.33399283981248323</v>
      </c>
      <c r="DO38" s="521">
        <f t="shared" si="24"/>
        <v>0.34265313303253347</v>
      </c>
      <c r="DP38" s="520">
        <f t="shared" si="24"/>
        <v>0.35336774522356351</v>
      </c>
      <c r="DQ38" s="520">
        <f t="shared" si="24"/>
        <v>0.34731366046665607</v>
      </c>
      <c r="DR38" s="520">
        <f t="shared" si="24"/>
        <v>0.30476738087562405</v>
      </c>
      <c r="DS38" s="520">
        <f t="shared" si="24"/>
        <v>0.34649352365847153</v>
      </c>
      <c r="DT38" s="520">
        <f t="shared" si="24"/>
        <v>0.34214945424013454</v>
      </c>
      <c r="DU38" s="520">
        <f t="shared" si="24"/>
        <v>0.32114676486059962</v>
      </c>
      <c r="DV38" s="520">
        <f t="shared" si="24"/>
        <v>0.28000000000000008</v>
      </c>
      <c r="DW38" s="520">
        <f>(DW21/DW19)</f>
        <v>0.25</v>
      </c>
      <c r="DX38" s="522">
        <f>(DX21/DX19)</f>
        <v>0.25</v>
      </c>
      <c r="DY38" s="566">
        <f>(DY21/DY19)</f>
        <v>0.25</v>
      </c>
      <c r="DZ38" s="2371">
        <f>(DZ21/DZ19)</f>
        <v>0.25</v>
      </c>
    </row>
    <row r="39" spans="1:130">
      <c r="A39" s="511" t="s">
        <v>449</v>
      </c>
      <c r="B39" s="512"/>
      <c r="C39" s="523">
        <f>(C23/C9)</f>
        <v>5.9340304175527103E-2</v>
      </c>
      <c r="D39" s="523">
        <f>(D23/D9)</f>
        <v>7.4840344289682711E-2</v>
      </c>
      <c r="E39" s="523">
        <f>(E23/E9)</f>
        <v>6.805575353417663E-2</v>
      </c>
      <c r="F39" s="523">
        <f>(F23/F9)</f>
        <v>0.14847798609648191</v>
      </c>
      <c r="G39" s="518"/>
      <c r="H39" s="519">
        <f>(H23/H9)</f>
        <v>8.8151867486809768E-2</v>
      </c>
      <c r="I39" s="519">
        <f>(I23/I9)</f>
        <v>0.10459396231252395</v>
      </c>
      <c r="J39" s="519">
        <f>(J23/J9)</f>
        <v>9.7614990566392765E-2</v>
      </c>
      <c r="K39" s="519">
        <f>(K23/K9)</f>
        <v>0.14690375109951406</v>
      </c>
      <c r="L39" s="519"/>
      <c r="M39" s="519">
        <f>(M23/M9)</f>
        <v>9.1444436847690699E-2</v>
      </c>
      <c r="N39" s="519">
        <f>(N23/N9)</f>
        <v>9.7096425810865E-2</v>
      </c>
      <c r="O39" s="519">
        <f>(O23/O9)</f>
        <v>7.2140125017263412E-2</v>
      </c>
      <c r="P39" s="519">
        <f>(P23/P9)</f>
        <v>0.14625485409865333</v>
      </c>
      <c r="Q39" s="519"/>
      <c r="R39" s="519">
        <f>(R23/R9)</f>
        <v>9.4227218123521889E-2</v>
      </c>
      <c r="S39" s="519">
        <f>(S23/S9)</f>
        <v>8.7370835970696545E-2</v>
      </c>
      <c r="T39" s="519">
        <f>(T23/T9)</f>
        <v>7.42255479697186E-2</v>
      </c>
      <c r="U39" s="519">
        <f>(U23/U9)</f>
        <v>0.14424091254949412</v>
      </c>
      <c r="V39" s="518"/>
      <c r="W39" s="519">
        <f>(W23/W9)</f>
        <v>9.0599966147853025E-2</v>
      </c>
      <c r="X39" s="519">
        <f>(X23/X9)</f>
        <v>9.2988621340354127E-2</v>
      </c>
      <c r="Y39" s="519">
        <f>(Y23/Y9)</f>
        <v>6.5169730518944591E-2</v>
      </c>
      <c r="Z39" s="519">
        <f>(Z23/Z9)</f>
        <v>0.15100849111795156</v>
      </c>
      <c r="AA39" s="518"/>
      <c r="AB39" s="519">
        <f>(AB23/AB9)</f>
        <v>8.0556285014005524E-2</v>
      </c>
      <c r="AC39" s="519">
        <f>(AC23/AC9)</f>
        <v>6.9429727841341701E-2</v>
      </c>
      <c r="AD39" s="519">
        <f>(AD23/AD9)</f>
        <v>3.7640517660120748E-2</v>
      </c>
      <c r="AE39" s="519">
        <f>(AE23/AE9)</f>
        <v>2.8937616803395044E-2</v>
      </c>
      <c r="AF39" s="518"/>
      <c r="AG39" s="519">
        <f>(AG23/AG9)</f>
        <v>7.8560347989119525E-2</v>
      </c>
      <c r="AH39" s="519">
        <f>(AH23/AH9)</f>
        <v>9.5976654686435126E-2</v>
      </c>
      <c r="AI39" s="519">
        <f>(AI23/AI9)</f>
        <v>4.7568010717749305E-2</v>
      </c>
      <c r="AJ39" s="519">
        <f>(AJ23/AJ9)</f>
        <v>0.16338476735869234</v>
      </c>
      <c r="AK39" s="518"/>
      <c r="AL39" s="519">
        <f>(AL23/AL9)</f>
        <v>8.4374684683985277E-2</v>
      </c>
      <c r="AM39" s="519">
        <f>(AM23/AM9)</f>
        <v>8.0615587651467549E-2</v>
      </c>
      <c r="AN39" s="519">
        <f>(AN23/AN9)</f>
        <v>6.1344329245591571E-2</v>
      </c>
      <c r="AO39" s="519">
        <f>(AO23/AO9)</f>
        <v>0.15421108013770124</v>
      </c>
      <c r="AP39" s="518"/>
      <c r="AQ39" s="519">
        <f>(AQ23/AQ9)</f>
        <v>9.0354842554248721E-2</v>
      </c>
      <c r="AR39" s="519">
        <f>(AR23/AR9)</f>
        <v>0.10068340774146416</v>
      </c>
      <c r="AS39" s="519">
        <f>(AS23/AS9)</f>
        <v>6.7955423282742636E-2</v>
      </c>
      <c r="AT39" s="519">
        <f>(AT23/AT9)</f>
        <v>0.16894347186601794</v>
      </c>
      <c r="AU39" s="518"/>
      <c r="AV39" s="519">
        <f>(AV23/AV9)</f>
        <v>9.9996994650477927E-2</v>
      </c>
      <c r="AW39" s="519">
        <f>(AW23/AW9)</f>
        <v>0.11326226573871286</v>
      </c>
      <c r="AX39" s="519">
        <f>(AX23/AX9)</f>
        <v>7.3936301432114215E-2</v>
      </c>
      <c r="AY39" s="519">
        <f>(AY23/AY9)</f>
        <v>0.12743310892044224</v>
      </c>
      <c r="AZ39" s="518"/>
      <c r="BA39" s="519">
        <f>(BA23/BA9)</f>
        <v>5.3018169875293439E-2</v>
      </c>
      <c r="BB39" s="519">
        <f>(BB23/BB9)</f>
        <v>7.8987025157838606E-2</v>
      </c>
      <c r="BC39" s="519">
        <f>(BC23/BC9)</f>
        <v>6.885686010979386E-2</v>
      </c>
      <c r="BD39" s="519">
        <f>(BD23/BD9)</f>
        <v>0.14082866645472111</v>
      </c>
      <c r="BE39" s="518"/>
      <c r="BF39" s="519">
        <f>(BF23/BF9)</f>
        <v>9.8153999614890533E-2</v>
      </c>
      <c r="BG39" s="519">
        <f>(BG23/BG9)</f>
        <v>0.1047715174352533</v>
      </c>
      <c r="BH39" s="519">
        <f>(BH23/BH9)</f>
        <v>8.6505048193637177E-2</v>
      </c>
      <c r="BI39" s="519">
        <f>(BI23/BI9)</f>
        <v>0.16809705643312156</v>
      </c>
      <c r="BJ39" s="518"/>
      <c r="BK39" s="519">
        <f>(BK23/BK9)</f>
        <v>0.11309325140798256</v>
      </c>
      <c r="BL39" s="519">
        <f>(BL23/BL9)</f>
        <v>0.12722868483531799</v>
      </c>
      <c r="BM39" s="519">
        <f>(BM23/BM9)</f>
        <v>0.10914164233900853</v>
      </c>
      <c r="BN39" s="519">
        <f>(BN23/BN9)</f>
        <v>0.15023495924004587</v>
      </c>
      <c r="BO39" s="518"/>
      <c r="BP39" s="519">
        <f>(BP23/BP9)</f>
        <v>9.9532453581063718E-2</v>
      </c>
      <c r="BQ39" s="519">
        <f>(BQ23/BQ9)</f>
        <v>0.10354636807738596</v>
      </c>
      <c r="BR39" s="519">
        <f>(BR23/BR9)</f>
        <v>7.4089319031218112E-2</v>
      </c>
      <c r="BS39" s="519">
        <f>(BS23/BS9)</f>
        <v>0.1453694015629135</v>
      </c>
      <c r="BT39" s="518"/>
      <c r="BU39" s="519">
        <f>(BU23/BU9)</f>
        <v>0.10031111666986797</v>
      </c>
      <c r="BV39" s="519">
        <f>(BV23/BV9)</f>
        <v>0.11532870208363039</v>
      </c>
      <c r="BW39" s="519">
        <f>(BW23/BW9)</f>
        <v>0.10379844604038715</v>
      </c>
      <c r="BX39" s="519">
        <f>(BX23/BX9)</f>
        <v>0.14619605571662297</v>
      </c>
      <c r="BY39" s="518"/>
      <c r="BZ39" s="519">
        <f>(BZ23/BZ9)</f>
        <v>0.12410337782028426</v>
      </c>
      <c r="CA39" s="519">
        <f>(CA23/CA9)</f>
        <v>0.12500377670127805</v>
      </c>
      <c r="CB39" s="519">
        <f>(CB23/CB9)</f>
        <v>0.10340260257255983</v>
      </c>
      <c r="CC39" s="519">
        <f>(CC23/CC9)</f>
        <v>0.15263969525279675</v>
      </c>
      <c r="CD39" s="518"/>
      <c r="CE39" s="519">
        <f>(CE23/CE9)</f>
        <v>0.1089983374896093</v>
      </c>
      <c r="CF39" s="519">
        <f>(CF23/CF9)</f>
        <v>0.11226653205451796</v>
      </c>
      <c r="CG39" s="519">
        <f>(CG23/CG9)</f>
        <v>9.6994244297591112E-2</v>
      </c>
      <c r="CH39" s="519">
        <f>(CH23/CH9)</f>
        <v>0.15436964403427819</v>
      </c>
      <c r="CI39" s="518"/>
      <c r="CJ39" s="519">
        <f>(CJ23/CJ9)</f>
        <v>9.8171210591271083E-2</v>
      </c>
      <c r="CK39" s="519">
        <f>(CK23/CK9)</f>
        <v>0.11346071275225422</v>
      </c>
      <c r="CL39" s="519">
        <f>(CL23/CL9)</f>
        <v>0.10017907932160539</v>
      </c>
      <c r="CM39" s="519">
        <f>(CM23/CM9)</f>
        <v>0.14785296031229661</v>
      </c>
      <c r="CN39" s="518"/>
      <c r="CO39" s="519">
        <f>(CO23/CO9)</f>
        <v>0.10326811916407294</v>
      </c>
      <c r="CP39" s="519">
        <f>(CP23/CP9)</f>
        <v>0.1198291132645619</v>
      </c>
      <c r="CQ39" s="519">
        <f>(CQ23/CQ9)</f>
        <v>0.10264290104486791</v>
      </c>
      <c r="CR39" s="519">
        <f>(CR23/CR9)</f>
        <v>0.15596192760248814</v>
      </c>
      <c r="CS39" s="519"/>
      <c r="CT39" s="2345">
        <f>(CT23/CT9)</f>
        <v>0.11718017060406161</v>
      </c>
      <c r="CU39" s="2345">
        <f>(CU23/CU9)</f>
        <v>0.11960877429843543</v>
      </c>
      <c r="CV39" s="2345">
        <f>(CV23/CV9)</f>
        <v>0.10023139264897603</v>
      </c>
      <c r="CW39" s="2423">
        <f>(CW23/CW9)</f>
        <v>0.1516800118513984</v>
      </c>
      <c r="CX39" s="518"/>
      <c r="CY39" s="518"/>
      <c r="CZ39" s="520">
        <f t="shared" ref="CZ39:DV39" si="25">(CZ23/CZ9)</f>
        <v>6.337543975326107E-2</v>
      </c>
      <c r="DA39" s="520">
        <f t="shared" si="25"/>
        <v>7.1561374821150645E-2</v>
      </c>
      <c r="DB39" s="520">
        <f t="shared" si="25"/>
        <v>7.6457918940785116E-2</v>
      </c>
      <c r="DC39" s="520">
        <f t="shared" si="25"/>
        <v>9.8987558521155983E-2</v>
      </c>
      <c r="DD39" s="520">
        <f t="shared" si="25"/>
        <v>0.11425515690120712</v>
      </c>
      <c r="DE39" s="520">
        <f t="shared" si="25"/>
        <v>0.10805055601029549</v>
      </c>
      <c r="DF39" s="520">
        <f t="shared" si="25"/>
        <v>0.11127023172362385</v>
      </c>
      <c r="DG39" s="520">
        <f t="shared" si="25"/>
        <v>0.1077560754883015</v>
      </c>
      <c r="DH39" s="520">
        <f t="shared" si="25"/>
        <v>0.13801465962697373</v>
      </c>
      <c r="DI39" s="521">
        <f t="shared" si="25"/>
        <v>0.10632097406721004</v>
      </c>
      <c r="DJ39" s="521">
        <f t="shared" si="25"/>
        <v>0.11233615049435025</v>
      </c>
      <c r="DK39" s="520">
        <f t="shared" si="25"/>
        <v>0.11606552535056315</v>
      </c>
      <c r="DL39" s="521">
        <f t="shared" si="25"/>
        <v>0.10582450026484282</v>
      </c>
      <c r="DM39" s="520">
        <f t="shared" si="25"/>
        <v>9.4196100718521941E-2</v>
      </c>
      <c r="DN39" s="521">
        <f t="shared" si="25"/>
        <v>0.12197880912329143</v>
      </c>
      <c r="DO39" s="521">
        <f t="shared" si="25"/>
        <v>0.12769476935780119</v>
      </c>
      <c r="DP39" s="520">
        <f t="shared" si="25"/>
        <v>0.10968099352467371</v>
      </c>
      <c r="DQ39" s="520">
        <f t="shared" si="25"/>
        <v>0.11932683887644414</v>
      </c>
      <c r="DR39" s="520">
        <f t="shared" si="25"/>
        <v>0.12826968457942534</v>
      </c>
      <c r="DS39" s="520">
        <f t="shared" si="25"/>
        <v>0.12045776792457456</v>
      </c>
      <c r="DT39" s="520">
        <f t="shared" si="25"/>
        <v>0.11747213753810776</v>
      </c>
      <c r="DU39" s="520">
        <f t="shared" si="25"/>
        <v>0.12379490623051466</v>
      </c>
      <c r="DV39" s="520">
        <f t="shared" si="25"/>
        <v>0.12467849608945374</v>
      </c>
      <c r="DW39" s="520">
        <f>(DW23/DW9)</f>
        <v>0.13191284409292656</v>
      </c>
      <c r="DX39" s="522">
        <f>(DX23/DX9)</f>
        <v>0.13443276925487976</v>
      </c>
      <c r="DY39" s="566">
        <f>(DY23/DY9)</f>
        <v>0.13658520126198259</v>
      </c>
      <c r="DZ39" s="2371">
        <f>(DZ23/DZ9)</f>
        <v>0.13962639460014165</v>
      </c>
    </row>
    <row r="40" spans="1:130">
      <c r="A40" s="511" t="s">
        <v>447</v>
      </c>
      <c r="B40" s="512"/>
      <c r="C40" s="523">
        <f>(C30/C9)</f>
        <v>0.10812150861071627</v>
      </c>
      <c r="D40" s="523">
        <f>(D30/D9)</f>
        <v>0.13662490596514767</v>
      </c>
      <c r="E40" s="523">
        <f>(E30/E9)</f>
        <v>0.12234665608944363</v>
      </c>
      <c r="F40" s="523">
        <f>(F30/F9)</f>
        <v>0.25631802541956317</v>
      </c>
      <c r="G40" s="518"/>
      <c r="H40" s="519">
        <f>(H30/H9)</f>
        <v>0.1547039922582813</v>
      </c>
      <c r="I40" s="519">
        <f>(I30/I9)</f>
        <v>0.17913568773234192</v>
      </c>
      <c r="J40" s="519">
        <f>(J30/J9)</f>
        <v>0.1694609136892124</v>
      </c>
      <c r="K40" s="519">
        <f>(K30/K9)</f>
        <v>0.24960833878391578</v>
      </c>
      <c r="L40" s="519"/>
      <c r="M40" s="519">
        <f>(M30/M9)</f>
        <v>0.19196732471068756</v>
      </c>
      <c r="N40" s="519">
        <f>(N30/N9)</f>
        <v>0.22029835632007452</v>
      </c>
      <c r="O40" s="519">
        <f>(O30/O9)</f>
        <v>0.18373394500921716</v>
      </c>
      <c r="P40" s="519">
        <f>(P30/P9)</f>
        <v>0.29603417709660829</v>
      </c>
      <c r="Q40" s="519"/>
      <c r="R40" s="519">
        <f>(R30/R9)</f>
        <v>0.22060962927326735</v>
      </c>
      <c r="S40" s="519">
        <f>(S30/S9)</f>
        <v>0.20886314288232419</v>
      </c>
      <c r="T40" s="519">
        <f>(T30/T9)</f>
        <v>0.18866604923599786</v>
      </c>
      <c r="U40" s="519">
        <f>(U30/U9)</f>
        <v>0.28006358509433565</v>
      </c>
      <c r="V40" s="518"/>
      <c r="W40" s="519">
        <f>(W30/W9)</f>
        <v>0.20295119985650731</v>
      </c>
      <c r="X40" s="519">
        <f>(X30/X9)</f>
        <v>0.20292206691601036</v>
      </c>
      <c r="Y40" s="519">
        <f>(Y30/Y9)</f>
        <v>0.16667325392968987</v>
      </c>
      <c r="Z40" s="519">
        <f>(Z30/Z9)</f>
        <v>0.27748951595706867</v>
      </c>
      <c r="AA40" s="518"/>
      <c r="AB40" s="519">
        <f>(AB30/AB9)</f>
        <v>0.19178702731092431</v>
      </c>
      <c r="AC40" s="519">
        <f>(AC30/AC9)</f>
        <v>0.18037671240062345</v>
      </c>
      <c r="AD40" s="519">
        <f>(AD30/AD9)</f>
        <v>0.13082888071611964</v>
      </c>
      <c r="AE40" s="519">
        <f>(AE30/AE9)</f>
        <v>0.2066639345678799</v>
      </c>
      <c r="AF40" s="518"/>
      <c r="AG40" s="519">
        <f>(AG30/AG9)</f>
        <v>0.18493393815662262</v>
      </c>
      <c r="AH40" s="519">
        <f>(AH30/AH9)</f>
        <v>0.19210140098461947</v>
      </c>
      <c r="AI40" s="519">
        <f>(AI30/AI9)</f>
        <v>0.13280411113666135</v>
      </c>
      <c r="AJ40" s="519">
        <f>(AJ30/AJ9)</f>
        <v>0.26822886937559265</v>
      </c>
      <c r="AK40" s="518"/>
      <c r="AL40" s="519">
        <f>(AL30/AL9)</f>
        <v>0.20040515682363247</v>
      </c>
      <c r="AM40" s="519">
        <f>(AM30/AM9)</f>
        <v>0.19253340352686443</v>
      </c>
      <c r="AN40" s="519">
        <f>(AN30/AN9)</f>
        <v>0.14545140024894976</v>
      </c>
      <c r="AO40" s="519">
        <f>(AO30/AO9)</f>
        <v>0.26975754181671036</v>
      </c>
      <c r="AP40" s="518"/>
      <c r="AQ40" s="519">
        <f>(AQ30/AQ9)</f>
        <v>0.19912409837358935</v>
      </c>
      <c r="AR40" s="519">
        <f>(AR30/AR9)</f>
        <v>0.21705138537978327</v>
      </c>
      <c r="AS40" s="519">
        <f>(AS30/AS9)</f>
        <v>0.15248125766152357</v>
      </c>
      <c r="AT40" s="519">
        <f>(AT30/AT9)</f>
        <v>0.29908836004508338</v>
      </c>
      <c r="AU40" s="518"/>
      <c r="AV40" s="519">
        <f>(AV30/AV9)</f>
        <v>0.21053224740037269</v>
      </c>
      <c r="AW40" s="519">
        <f>(AW30/AW9)</f>
        <v>0.23036207194291933</v>
      </c>
      <c r="AX40" s="519">
        <f>(AX30/AX9)</f>
        <v>0.18502577286124208</v>
      </c>
      <c r="AY40" s="519">
        <f>(AY30/AY9)</f>
        <v>0.24611117810201372</v>
      </c>
      <c r="AZ40" s="518"/>
      <c r="BA40" s="519">
        <f>(BA30/BA9)</f>
        <v>0.17859412884093392</v>
      </c>
      <c r="BB40" s="519">
        <f>(BB30/BB9)</f>
        <v>0.19872390378339025</v>
      </c>
      <c r="BC40" s="519">
        <f>(BC30/BC9)</f>
        <v>0.17531243104451263</v>
      </c>
      <c r="BD40" s="519">
        <f>(BD30/BD9)</f>
        <v>0.26537522519217766</v>
      </c>
      <c r="BE40" s="518"/>
      <c r="BF40" s="519">
        <f>(BF30/BF9)</f>
        <v>0.22154529929638606</v>
      </c>
      <c r="BG40" s="519">
        <f>(BG30/BG9)</f>
        <v>0.23289670434834617</v>
      </c>
      <c r="BH40" s="519">
        <f>(BH30/BH9)</f>
        <v>0.20663929508646406</v>
      </c>
      <c r="BI40" s="519">
        <f>(BI30/BI9)</f>
        <v>0.29357936461090706</v>
      </c>
      <c r="BJ40" s="518"/>
      <c r="BK40" s="519">
        <f>(BK30/BK9)</f>
        <v>0.23760016188841795</v>
      </c>
      <c r="BL40" s="519">
        <f>(BL30/BL9)</f>
        <v>0.24254049445865308</v>
      </c>
      <c r="BM40" s="519">
        <f>(BM30/BM9)</f>
        <v>0.22245721719173442</v>
      </c>
      <c r="BN40" s="519">
        <f>(BN30/BN9)</f>
        <v>0.271486559320892</v>
      </c>
      <c r="BO40" s="518"/>
      <c r="BP40" s="519">
        <f>(BP30/BP9)</f>
        <v>0.21262863630259896</v>
      </c>
      <c r="BQ40" s="519">
        <f>(BQ30/BQ9)</f>
        <v>0.21856618041009782</v>
      </c>
      <c r="BR40" s="519">
        <f>(BR30/BR9)</f>
        <v>0.18351293065538068</v>
      </c>
      <c r="BS40" s="519">
        <f>(BS30/BS9)</f>
        <v>0.26667686274700209</v>
      </c>
      <c r="BT40" s="518"/>
      <c r="BU40" s="519">
        <f>(BU30/BU9)</f>
        <v>0.21614903225518273</v>
      </c>
      <c r="BV40" s="519">
        <f>(BV30/BV9)</f>
        <v>0.23783648923623263</v>
      </c>
      <c r="BW40" s="519">
        <f>(BW30/BW9)</f>
        <v>0.21856369544849139</v>
      </c>
      <c r="BX40" s="519">
        <f>(BX30/BX9)</f>
        <v>0.27851071106167841</v>
      </c>
      <c r="BY40" s="518"/>
      <c r="BZ40" s="519">
        <f>(BZ30/BZ9)</f>
        <v>0.25653768480791045</v>
      </c>
      <c r="CA40" s="519">
        <f>(CA30/CA9)</f>
        <v>0.25769993856565926</v>
      </c>
      <c r="CB40" s="519">
        <f>(CB30/CB9)</f>
        <v>0.22507135867543301</v>
      </c>
      <c r="CC40" s="519">
        <f>(CC30/CC9)</f>
        <v>0.27358157325121263</v>
      </c>
      <c r="CD40" s="518"/>
      <c r="CE40" s="519">
        <f>(CE30/CE9)</f>
        <v>0.22745220282626769</v>
      </c>
      <c r="CF40" s="519">
        <f>(CF30/CF9)</f>
        <v>0.23513377082281681</v>
      </c>
      <c r="CG40" s="519">
        <f>(CG30/CG9)</f>
        <v>0.22010232359837983</v>
      </c>
      <c r="CH40" s="519">
        <f>(CH30/CH9)</f>
        <v>0.28922214897824655</v>
      </c>
      <c r="CI40" s="518"/>
      <c r="CJ40" s="519">
        <f>(CJ30/CJ9)</f>
        <v>0.20946931448446079</v>
      </c>
      <c r="CK40" s="519">
        <f>(CK30/CK9)</f>
        <v>0.24452554744525551</v>
      </c>
      <c r="CL40" s="519">
        <f>(CL30/CL9)</f>
        <v>0.21826609080375012</v>
      </c>
      <c r="CM40" s="519">
        <f>(CM30/CM9)</f>
        <v>0.28139232270657116</v>
      </c>
      <c r="CN40" s="518"/>
      <c r="CO40" s="519">
        <f>(CO30/CO9)</f>
        <v>0.21843041351711875</v>
      </c>
      <c r="CP40" s="519">
        <f>(CP30/CP9)</f>
        <v>0.24195060956548928</v>
      </c>
      <c r="CQ40" s="519">
        <f>(CQ30/CQ9)</f>
        <v>0.21655398483917235</v>
      </c>
      <c r="CR40" s="519">
        <f>(CR30/CR9)</f>
        <v>0.2707037397886532</v>
      </c>
      <c r="CS40" s="519"/>
      <c r="CT40" s="2345">
        <f>(CT30/CT9)</f>
        <v>0.22604355939275775</v>
      </c>
      <c r="CU40" s="2345">
        <f>(CU30/CU9)</f>
        <v>0.22628761365453023</v>
      </c>
      <c r="CV40" s="2345">
        <f>(CV30/CV9)</f>
        <v>0.19878512071809387</v>
      </c>
      <c r="CW40" s="2423">
        <f>(CW30/CW9)</f>
        <v>0.25433332431119482</v>
      </c>
      <c r="CX40" s="518"/>
      <c r="CY40" s="518"/>
      <c r="CZ40" s="520">
        <f t="shared" ref="CZ40:DV40" si="26">(CZ30/CZ9)</f>
        <v>0.11865529851167116</v>
      </c>
      <c r="DA40" s="520">
        <f t="shared" si="26"/>
        <v>0.13111232527790445</v>
      </c>
      <c r="DB40" s="520">
        <f t="shared" si="26"/>
        <v>0.13678413554637001</v>
      </c>
      <c r="DC40" s="520">
        <f t="shared" si="26"/>
        <v>0.17454966738919203</v>
      </c>
      <c r="DD40" s="520">
        <f t="shared" si="26"/>
        <v>0.22475504419515888</v>
      </c>
      <c r="DE40" s="520">
        <f t="shared" si="26"/>
        <v>0.23345647620500021</v>
      </c>
      <c r="DF40" s="520">
        <f t="shared" si="26"/>
        <v>0.23274612358358884</v>
      </c>
      <c r="DG40" s="520">
        <f t="shared" si="26"/>
        <v>0.22240799582009405</v>
      </c>
      <c r="DH40" s="520">
        <f t="shared" si="26"/>
        <v>0.18203708130010876</v>
      </c>
      <c r="DI40" s="521">
        <f t="shared" si="26"/>
        <v>0.20547914893119576</v>
      </c>
      <c r="DJ40" s="521">
        <f t="shared" si="26"/>
        <v>0.2254677760360895</v>
      </c>
      <c r="DK40" s="520">
        <f t="shared" si="26"/>
        <v>0.22903315705783128</v>
      </c>
      <c r="DL40" s="521">
        <f t="shared" si="26"/>
        <v>0.22055496604079031</v>
      </c>
      <c r="DM40" s="520">
        <f t="shared" si="26"/>
        <v>0.21385710015389001</v>
      </c>
      <c r="DN40" s="521">
        <f t="shared" si="26"/>
        <v>0.24642286462536742</v>
      </c>
      <c r="DO40" s="521">
        <f t="shared" si="26"/>
        <v>0.24625130766741238</v>
      </c>
      <c r="DP40" s="520">
        <f t="shared" si="26"/>
        <v>0.22688705986349333</v>
      </c>
      <c r="DQ40" s="520">
        <f t="shared" si="26"/>
        <v>0.24176074698657704</v>
      </c>
      <c r="DR40" s="520">
        <f t="shared" si="26"/>
        <v>0.255437464249268</v>
      </c>
      <c r="DS40" s="520">
        <f t="shared" si="26"/>
        <v>0.24588885911272471</v>
      </c>
      <c r="DT40" s="520">
        <f t="shared" si="26"/>
        <v>0.24181618271777691</v>
      </c>
      <c r="DU40" s="520">
        <f t="shared" si="26"/>
        <v>0.2401314211712792</v>
      </c>
      <c r="DV40" s="520">
        <f t="shared" si="26"/>
        <v>0.22866807974372202</v>
      </c>
      <c r="DW40" s="520">
        <f>(DW30/DW9)</f>
        <v>0.23000000000000004</v>
      </c>
      <c r="DX40" s="522">
        <f>(DX30/DX9)</f>
        <v>0.23300000000000001</v>
      </c>
      <c r="DY40" s="566">
        <f>(DY30/DY9)</f>
        <v>0.22860000000000003</v>
      </c>
      <c r="DZ40" s="2371">
        <f>(DZ30/DZ9)</f>
        <v>0.23940000000000003</v>
      </c>
    </row>
    <row r="41" spans="1:130">
      <c r="A41" s="511"/>
      <c r="B41" s="459"/>
      <c r="C41" s="524"/>
      <c r="D41" s="524"/>
      <c r="E41" s="524"/>
      <c r="F41" s="524"/>
      <c r="G41" s="524"/>
      <c r="H41" s="524"/>
      <c r="I41" s="524"/>
      <c r="J41" s="524"/>
      <c r="K41" s="524"/>
      <c r="L41" s="524"/>
      <c r="M41" s="524"/>
      <c r="N41" s="524"/>
      <c r="O41" s="524"/>
      <c r="P41" s="524"/>
      <c r="Q41" s="524"/>
      <c r="R41" s="524"/>
      <c r="S41" s="524"/>
      <c r="T41" s="524"/>
      <c r="U41" s="524"/>
      <c r="V41" s="524"/>
      <c r="W41" s="524"/>
      <c r="X41" s="524"/>
      <c r="Y41" s="524"/>
      <c r="Z41" s="524"/>
      <c r="AA41" s="524"/>
      <c r="AB41" s="524"/>
      <c r="AC41" s="524"/>
      <c r="AD41" s="524"/>
      <c r="AE41" s="524"/>
      <c r="AF41" s="524"/>
      <c r="AG41" s="524"/>
      <c r="AH41" s="524"/>
      <c r="AI41" s="524"/>
      <c r="AJ41" s="524"/>
      <c r="AK41" s="524"/>
      <c r="AL41" s="524"/>
      <c r="AM41" s="524"/>
      <c r="AN41" s="524"/>
      <c r="AO41" s="524"/>
      <c r="AP41" s="524"/>
      <c r="AQ41" s="524"/>
      <c r="AR41" s="524"/>
      <c r="AS41" s="524"/>
      <c r="AT41" s="524"/>
      <c r="AU41" s="524"/>
      <c r="AV41" s="524"/>
      <c r="AW41" s="524"/>
      <c r="AX41" s="524"/>
      <c r="AY41" s="524"/>
      <c r="AZ41" s="524"/>
      <c r="BA41" s="524"/>
      <c r="BB41" s="524"/>
      <c r="BC41" s="524"/>
      <c r="BD41" s="524"/>
      <c r="BE41" s="524"/>
      <c r="BF41" s="524"/>
      <c r="BG41" s="524"/>
      <c r="BH41" s="524"/>
      <c r="BI41" s="524"/>
      <c r="BJ41" s="524"/>
      <c r="BK41" s="524"/>
      <c r="BL41" s="524"/>
      <c r="BM41" s="524"/>
      <c r="BN41" s="524"/>
      <c r="BO41" s="524"/>
      <c r="BP41" s="524"/>
      <c r="BQ41" s="524"/>
      <c r="BR41" s="524"/>
      <c r="BS41" s="524"/>
      <c r="BT41" s="524"/>
      <c r="BU41" s="524"/>
      <c r="BV41" s="524"/>
      <c r="BW41" s="524"/>
      <c r="BX41" s="524"/>
      <c r="BY41" s="524"/>
      <c r="BZ41" s="524"/>
      <c r="CA41" s="524"/>
      <c r="CB41" s="524"/>
      <c r="CC41" s="524"/>
      <c r="CD41" s="524"/>
      <c r="CE41" s="524"/>
      <c r="CF41" s="524"/>
      <c r="CG41" s="524"/>
      <c r="CH41" s="524"/>
      <c r="CI41" s="524"/>
      <c r="CJ41" s="524"/>
      <c r="CK41" s="524"/>
      <c r="CL41" s="524"/>
      <c r="CM41" s="524"/>
      <c r="CN41" s="524"/>
      <c r="CO41" s="524"/>
      <c r="CP41" s="524"/>
      <c r="CQ41" s="524"/>
      <c r="CR41" s="524"/>
      <c r="CS41" s="524"/>
      <c r="CT41" s="2347"/>
      <c r="CU41" s="2347"/>
      <c r="CV41" s="2347"/>
      <c r="CW41" s="2372"/>
      <c r="CX41" s="524"/>
      <c r="CY41" s="524"/>
      <c r="CZ41" s="525"/>
      <c r="DA41" s="525"/>
      <c r="DB41" s="525"/>
      <c r="DC41" s="525"/>
      <c r="DD41" s="525"/>
      <c r="DE41" s="525"/>
      <c r="DF41" s="525"/>
      <c r="DG41" s="525"/>
      <c r="DH41" s="525"/>
      <c r="DI41" s="526"/>
      <c r="DJ41" s="526"/>
      <c r="DK41" s="525"/>
      <c r="DL41" s="526"/>
      <c r="DM41" s="525"/>
      <c r="DN41" s="526"/>
      <c r="DO41" s="526"/>
      <c r="DP41" s="525"/>
      <c r="DQ41" s="525"/>
      <c r="DR41" s="525"/>
      <c r="DS41" s="525"/>
      <c r="DT41" s="525"/>
      <c r="DU41" s="525"/>
      <c r="DV41" s="525"/>
      <c r="DW41" s="525"/>
      <c r="DX41" s="527"/>
      <c r="DY41" s="2405"/>
      <c r="DZ41" s="2372"/>
    </row>
    <row r="42" spans="1:130">
      <c r="A42" s="472" t="s">
        <v>484</v>
      </c>
      <c r="B42" s="467"/>
      <c r="C42" s="524"/>
      <c r="D42" s="524"/>
      <c r="E42" s="524"/>
      <c r="F42" s="524"/>
      <c r="G42" s="524"/>
      <c r="H42" s="524"/>
      <c r="I42" s="524"/>
      <c r="J42" s="524"/>
      <c r="K42" s="524"/>
      <c r="L42" s="524"/>
      <c r="M42" s="524"/>
      <c r="N42" s="524"/>
      <c r="O42" s="524"/>
      <c r="P42" s="524"/>
      <c r="Q42" s="524"/>
      <c r="R42" s="524"/>
      <c r="S42" s="524"/>
      <c r="T42" s="524"/>
      <c r="U42" s="524"/>
      <c r="V42" s="524"/>
      <c r="W42" s="524"/>
      <c r="X42" s="524"/>
      <c r="Y42" s="524"/>
      <c r="Z42" s="524"/>
      <c r="AA42" s="524"/>
      <c r="AB42" s="524"/>
      <c r="AC42" s="524"/>
      <c r="AD42" s="524"/>
      <c r="AE42" s="524"/>
      <c r="AF42" s="524"/>
      <c r="AG42" s="524"/>
      <c r="AH42" s="524"/>
      <c r="AI42" s="524"/>
      <c r="AJ42" s="524"/>
      <c r="AK42" s="524"/>
      <c r="AL42" s="524"/>
      <c r="AM42" s="524"/>
      <c r="AN42" s="524"/>
      <c r="AO42" s="524"/>
      <c r="AP42" s="524"/>
      <c r="AQ42" s="524"/>
      <c r="AR42" s="524"/>
      <c r="AS42" s="524"/>
      <c r="AT42" s="524"/>
      <c r="AU42" s="524"/>
      <c r="AV42" s="524"/>
      <c r="AW42" s="524"/>
      <c r="AX42" s="524"/>
      <c r="AY42" s="524"/>
      <c r="AZ42" s="524"/>
      <c r="BA42" s="524"/>
      <c r="BB42" s="524"/>
      <c r="BC42" s="524"/>
      <c r="BD42" s="524"/>
      <c r="BE42" s="524"/>
      <c r="BF42" s="524"/>
      <c r="BG42" s="524"/>
      <c r="BH42" s="524"/>
      <c r="BI42" s="524"/>
      <c r="BJ42" s="524"/>
      <c r="BK42" s="524"/>
      <c r="BL42" s="524"/>
      <c r="BM42" s="524"/>
      <c r="BN42" s="524"/>
      <c r="BO42" s="524"/>
      <c r="BP42" s="524"/>
      <c r="BQ42" s="524"/>
      <c r="BR42" s="524"/>
      <c r="BS42" s="524"/>
      <c r="BT42" s="524"/>
      <c r="BU42" s="524"/>
      <c r="BV42" s="524"/>
      <c r="BW42" s="524"/>
      <c r="BX42" s="524"/>
      <c r="BY42" s="524"/>
      <c r="BZ42" s="524"/>
      <c r="CA42" s="524"/>
      <c r="CB42" s="524"/>
      <c r="CC42" s="524"/>
      <c r="CD42" s="524"/>
      <c r="CE42" s="524"/>
      <c r="CF42" s="524"/>
      <c r="CG42" s="524"/>
      <c r="CH42" s="524"/>
      <c r="CI42" s="524"/>
      <c r="CJ42" s="524"/>
      <c r="CK42" s="524"/>
      <c r="CL42" s="524"/>
      <c r="CM42" s="524"/>
      <c r="CN42" s="524"/>
      <c r="CO42" s="524"/>
      <c r="CP42" s="524"/>
      <c r="CQ42" s="524"/>
      <c r="CR42" s="524"/>
      <c r="CS42" s="524"/>
      <c r="CT42" s="2347"/>
      <c r="CU42" s="2347"/>
      <c r="CV42" s="2347"/>
      <c r="CW42" s="2372"/>
      <c r="CX42" s="524"/>
      <c r="CY42" s="524"/>
      <c r="CZ42" s="525"/>
      <c r="DA42" s="525"/>
      <c r="DB42" s="525"/>
      <c r="DC42" s="525"/>
      <c r="DD42" s="525"/>
      <c r="DE42" s="525"/>
      <c r="DF42" s="525"/>
      <c r="DG42" s="525"/>
      <c r="DH42" s="525"/>
      <c r="DI42" s="526"/>
      <c r="DJ42" s="526"/>
      <c r="DK42" s="525"/>
      <c r="DL42" s="526"/>
      <c r="DM42" s="525"/>
      <c r="DN42" s="526"/>
      <c r="DO42" s="526"/>
      <c r="DP42" s="525"/>
      <c r="DQ42" s="525"/>
      <c r="DR42" s="525"/>
      <c r="DS42" s="525"/>
      <c r="DT42" s="525"/>
      <c r="DU42" s="525"/>
      <c r="DV42" s="525"/>
      <c r="DW42" s="525"/>
      <c r="DX42" s="527"/>
      <c r="DY42" s="2405"/>
      <c r="DZ42" s="2372"/>
    </row>
    <row r="43" spans="1:130">
      <c r="A43" s="511" t="s">
        <v>1015</v>
      </c>
      <c r="B43" s="528"/>
      <c r="C43" s="529">
        <f>'qtrP&amp;L'!$AQ10/100</f>
        <v>0.20391848212982899</v>
      </c>
      <c r="D43" s="529">
        <f>'qtrP&amp;L'!$AQ11/100</f>
        <v>0.23956289711854417</v>
      </c>
      <c r="E43" s="529">
        <f>'qtrP&amp;L'!$AQ12/100</f>
        <v>0.27773994298384541</v>
      </c>
      <c r="F43" s="529">
        <f>'qtrP&amp;L'!$AQ13/100</f>
        <v>0.26169466298107569</v>
      </c>
      <c r="G43" s="529"/>
      <c r="H43" s="519">
        <f>((H9/C9)-1)</f>
        <v>0.26761716927981416</v>
      </c>
      <c r="I43" s="519">
        <f>((I9/D9)-1)</f>
        <v>0.21943419514307938</v>
      </c>
      <c r="J43" s="519">
        <f>((J9/E9)-1)</f>
        <v>0.15298135144682767</v>
      </c>
      <c r="K43" s="519">
        <f>((K9/F9)-1)</f>
        <v>1.1851344708939227E-2</v>
      </c>
      <c r="L43" s="519"/>
      <c r="M43" s="519">
        <f>((M9/H9)-1)</f>
        <v>-2.5328631900400578E-2</v>
      </c>
      <c r="N43" s="519">
        <f>((N9/I9)-1)</f>
        <v>-8.404371234457142E-3</v>
      </c>
      <c r="O43" s="519">
        <f>((O9/J9)-1)</f>
        <v>-0.10481785881303185</v>
      </c>
      <c r="P43" s="519">
        <f>((P9/K9)-1)</f>
        <v>-1.8445811957508162E-2</v>
      </c>
      <c r="Q43" s="519"/>
      <c r="R43" s="519">
        <f>((R9/M9)-1)</f>
        <v>3.189051162154688E-2</v>
      </c>
      <c r="S43" s="519">
        <f>((S9/N9)-1)</f>
        <v>8.4190454644614832E-3</v>
      </c>
      <c r="T43" s="519">
        <f>((T9/O9)-1)</f>
        <v>9.8953986201264499E-2</v>
      </c>
      <c r="U43" s="519">
        <f>((U9/P9)-1)</f>
        <v>9.4128418637617894E-2</v>
      </c>
      <c r="V43" s="518"/>
      <c r="W43" s="519">
        <f>((W9/R9)-1)</f>
        <v>0.14032247377775975</v>
      </c>
      <c r="X43" s="519">
        <f>((X9/S9)-1)</f>
        <v>0.18179244552342633</v>
      </c>
      <c r="Y43" s="519">
        <f>((Y9/T9)-1)</f>
        <v>0.1750935024984086</v>
      </c>
      <c r="Z43" s="519">
        <f>((Z9/U9)-1)</f>
        <v>0.18186209336475967</v>
      </c>
      <c r="AA43" s="518"/>
      <c r="AB43" s="519">
        <f>((AB9/W9)-1)</f>
        <v>0.15440873688545076</v>
      </c>
      <c r="AC43" s="519">
        <f>((AC9/X9)-1)</f>
        <v>7.7067537486299242E-2</v>
      </c>
      <c r="AD43" s="519">
        <f>((AD9/Y9)-1)</f>
        <v>7.2139829769624075E-2</v>
      </c>
      <c r="AE43" s="519">
        <f>((AE9/Z9)-1)</f>
        <v>0.10734730476716403</v>
      </c>
      <c r="AF43" s="518"/>
      <c r="AG43" s="519">
        <f>((AG9/AB9)-1)</f>
        <v>0.11585477941176481</v>
      </c>
      <c r="AH43" s="519">
        <f>((AH9/AC9)-1)</f>
        <v>0.10512865167006935</v>
      </c>
      <c r="AI43" s="519">
        <f>((AI9/AD9)-1)</f>
        <v>8.4468895288321466E-2</v>
      </c>
      <c r="AJ43" s="519">
        <f>((AJ9/AE9)-1)</f>
        <v>5.9650274896867472E-2</v>
      </c>
      <c r="AK43" s="518"/>
      <c r="AL43" s="519">
        <f>((AL9/AG9)-1)</f>
        <v>1.0698155132074394E-2</v>
      </c>
      <c r="AM43" s="519">
        <f>((AM9/AH9)-1)</f>
        <v>5.307755253929658E-2</v>
      </c>
      <c r="AN43" s="519">
        <f>((AN9/AI9)-1)</f>
        <v>6.3444676617910201E-2</v>
      </c>
      <c r="AO43" s="519">
        <f>((AO9/AJ9)-1)</f>
        <v>0.11700328267590487</v>
      </c>
      <c r="AP43" s="518"/>
      <c r="AQ43" s="519">
        <f>((AQ9/AL9)-1)</f>
        <v>0.15595627100489784</v>
      </c>
      <c r="AR43" s="519">
        <f>((AR9/AM9)-1)</f>
        <v>0.19454365490744729</v>
      </c>
      <c r="AS43" s="519">
        <f>((AS9/AN9)-1)</f>
        <v>0.17954662545079869</v>
      </c>
      <c r="AT43" s="519">
        <f>((AT9/AO9)-1)</f>
        <v>9.8311897022276939E-2</v>
      </c>
      <c r="AU43" s="518"/>
      <c r="AV43" s="519">
        <f>((AV9/AQ9)-1)</f>
        <v>0.11708511756184437</v>
      </c>
      <c r="AW43" s="519">
        <f>((AW9/AR9)-1)</f>
        <v>0.10123128099709922</v>
      </c>
      <c r="AX43" s="519">
        <f>((AX9/AS9)-1)</f>
        <v>-1.7807413405853012E-2</v>
      </c>
      <c r="AY43" s="519">
        <f>((AY9/AT9)-1)</f>
        <v>-0.20468363216500485</v>
      </c>
      <c r="AZ43" s="518"/>
      <c r="BA43" s="519">
        <f>((BA9/AV9)-1)</f>
        <v>-0.22219300354631244</v>
      </c>
      <c r="BB43" s="519">
        <f>((BB9/AW9)-1)</f>
        <v>-0.16054761702442588</v>
      </c>
      <c r="BC43" s="519">
        <f>((BC9/AX9)-1)</f>
        <v>-2.9116192108440853E-2</v>
      </c>
      <c r="BD43" s="519">
        <f>((BD9/AY9)-1)</f>
        <v>0.17167168302504932</v>
      </c>
      <c r="BE43" s="518"/>
      <c r="BF43" s="519">
        <f>((BF9/BA9)-1)</f>
        <v>0.22404876211083535</v>
      </c>
      <c r="BG43" s="519">
        <f>((BG9/BB9)-1)</f>
        <v>9.1865539687800313E-2</v>
      </c>
      <c r="BH43" s="519">
        <f>((BH9/BC9)-1)</f>
        <v>0.13961104090188781</v>
      </c>
      <c r="BI43" s="519">
        <f>((BI9/BD9)-1)</f>
        <v>0.12210408973449738</v>
      </c>
      <c r="BJ43" s="518"/>
      <c r="BK43" s="519">
        <f>((BK9/BF9)-1)</f>
        <v>0.20112818149390921</v>
      </c>
      <c r="BL43" s="519">
        <f>((BL9/BG9)-1)</f>
        <v>0.30497039296608652</v>
      </c>
      <c r="BM43" s="519">
        <f>((BM9/BH9)-1)</f>
        <v>0.20541593507097389</v>
      </c>
      <c r="BN43" s="519">
        <f>((BN9/BI9)-1)</f>
        <v>7.8299877862179734E-2</v>
      </c>
      <c r="BO43" s="518"/>
      <c r="BP43" s="519">
        <f>((BP9/BK9)-1)</f>
        <v>7.6413435687460618E-2</v>
      </c>
      <c r="BQ43" s="519">
        <f>((BQ9/BL9)-1)</f>
        <v>1.5878090366581388E-2</v>
      </c>
      <c r="BR43" s="519">
        <f>((BR9/BM9)-1)</f>
        <v>3.769194917780827E-2</v>
      </c>
      <c r="BS43" s="519">
        <f>((BS9/BN9)-1)</f>
        <v>4.070016169238011E-2</v>
      </c>
      <c r="BT43" s="518"/>
      <c r="BU43" s="519">
        <f>((BU9/BP9)-1)</f>
        <v>9.3160149907833611E-2</v>
      </c>
      <c r="BV43" s="519">
        <f>((BV9/BQ9)-1)</f>
        <v>4.4345110194468962E-2</v>
      </c>
      <c r="BW43" s="519">
        <f>((BW9/BR9)-1)</f>
        <v>6.8880234443987165E-2</v>
      </c>
      <c r="BX43" s="519">
        <f>((BX9/BS9)-1)</f>
        <v>5.0587933505372051E-2</v>
      </c>
      <c r="BY43" s="518"/>
      <c r="BZ43" s="519">
        <f>((BZ9/BU9)-1)</f>
        <v>0.13026251725323945</v>
      </c>
      <c r="CA43" s="519">
        <f>((CA9/BV9)-1)</f>
        <v>7.2412958858776966E-2</v>
      </c>
      <c r="CB43" s="519">
        <f>((CB9/BW9)-1)</f>
        <v>5.2783501082856787E-2</v>
      </c>
      <c r="CC43" s="519">
        <f>((CC9/BX9)-1)</f>
        <v>-1.0030162891940586E-2</v>
      </c>
      <c r="CD43" s="518"/>
      <c r="CE43" s="519">
        <f>((CE9/BZ9)-1)</f>
        <v>-4.9135883461840946E-2</v>
      </c>
      <c r="CF43" s="519">
        <f>((CF9/CA9)-1)</f>
        <v>-2.4473024281670419E-3</v>
      </c>
      <c r="CG43" s="519">
        <f>((CG9/CB9)-1)</f>
        <v>-2.2289751133037217E-2</v>
      </c>
      <c r="CH43" s="519">
        <f>((CH9/CC9)-1)</f>
        <v>-5.5756725087958703E-2</v>
      </c>
      <c r="CI43" s="518"/>
      <c r="CJ43" s="519">
        <f>((CJ9/CE9)-1)</f>
        <v>-7.3877805486284309E-2</v>
      </c>
      <c r="CK43" s="519">
        <f>((CK9/CF9)-1)</f>
        <v>-5.9464916708732996E-2</v>
      </c>
      <c r="CL43" s="519">
        <f>((CL9/CG9)-1)</f>
        <v>1.1831166062673093E-2</v>
      </c>
      <c r="CM43" s="519">
        <f>((CM9/CH9)-1)</f>
        <v>1.3183915622940079E-2</v>
      </c>
      <c r="CN43" s="518"/>
      <c r="CO43" s="519">
        <f>((CO9/CJ9)-1)</f>
        <v>9.312240547515005E-3</v>
      </c>
      <c r="CP43" s="519">
        <f>((CP9/CK9)-1)</f>
        <v>3.0163160154572877E-2</v>
      </c>
      <c r="CQ43" s="519">
        <f>((CQ9/CL9)-1)</f>
        <v>2.8336669124618297E-2</v>
      </c>
      <c r="CR43" s="519">
        <f>((CR9/CM9)-1)</f>
        <v>8.5149642160052164E-2</v>
      </c>
      <c r="CS43" s="519"/>
      <c r="CT43" s="2345">
        <f>((CT9/CO9)-1)</f>
        <v>6.957182053849853E-2</v>
      </c>
      <c r="CU43" s="2345">
        <f>((CU9/CP9)-1)</f>
        <v>5.6465590431717061E-2</v>
      </c>
      <c r="CV43" s="2345">
        <f>((CV9/CQ9)-1)</f>
        <v>4.8885426363833417E-2</v>
      </c>
      <c r="CW43" s="2423">
        <f>((CW9/CR9)-1)</f>
        <v>3.7713141071491707E-2</v>
      </c>
      <c r="CX43" s="518"/>
      <c r="CY43" s="518"/>
      <c r="CZ43" s="530">
        <f>'yrP&amp;L'!H8</f>
        <v>0.14791134481608201</v>
      </c>
      <c r="DA43" s="530">
        <f>'yrP&amp;L'!I8</f>
        <v>0.10357571998073969</v>
      </c>
      <c r="DB43" s="530">
        <f>'yrP&amp;L'!J8</f>
        <v>0.1575378138708512</v>
      </c>
      <c r="DC43" s="520">
        <f t="shared" ref="DC43:DZ43" si="27">((DC9/DB9)-1)</f>
        <v>0.24938769654198167</v>
      </c>
      <c r="DD43" s="520">
        <f t="shared" si="27"/>
        <v>0.13342891505683929</v>
      </c>
      <c r="DE43" s="520">
        <f t="shared" si="27"/>
        <v>-3.6881855285434084E-2</v>
      </c>
      <c r="DF43" s="520">
        <f t="shared" si="27"/>
        <v>6.228746961628584E-2</v>
      </c>
      <c r="DG43" s="520">
        <f t="shared" si="27"/>
        <v>0.17194577294530311</v>
      </c>
      <c r="DH43" s="520">
        <f t="shared" si="27"/>
        <v>0.10239069620933527</v>
      </c>
      <c r="DI43" s="521">
        <f t="shared" si="27"/>
        <v>8.6320448143191175E-2</v>
      </c>
      <c r="DJ43" s="521">
        <f t="shared" si="27"/>
        <v>6.9131700563596299E-2</v>
      </c>
      <c r="DK43" s="520">
        <f t="shared" si="27"/>
        <v>0.14762837530176909</v>
      </c>
      <c r="DL43" s="521">
        <f t="shared" si="27"/>
        <v>-3.0595102510539207E-2</v>
      </c>
      <c r="DM43" s="520">
        <f t="shared" si="27"/>
        <v>-4.8836744816082356E-2</v>
      </c>
      <c r="DN43" s="521">
        <f t="shared" si="27"/>
        <v>0.1385968343709516</v>
      </c>
      <c r="DO43" s="521">
        <f t="shared" si="27"/>
        <v>0.18074378745596054</v>
      </c>
      <c r="DP43" s="520">
        <f t="shared" si="27"/>
        <v>4.1535716922911359E-2</v>
      </c>
      <c r="DQ43" s="520">
        <f t="shared" si="27"/>
        <v>6.2431590546640603E-2</v>
      </c>
      <c r="DR43" s="520">
        <f t="shared" si="27"/>
        <v>5.4273367517296389E-2</v>
      </c>
      <c r="DS43" s="520">
        <f t="shared" si="27"/>
        <v>-3.4168464154442413E-2</v>
      </c>
      <c r="DT43" s="520">
        <f t="shared" si="27"/>
        <v>-2.5068823543742735E-2</v>
      </c>
      <c r="DU43" s="520">
        <f t="shared" si="27"/>
        <v>4.1981108501174536E-2</v>
      </c>
      <c r="DV43" s="520">
        <f t="shared" si="27"/>
        <v>5.1517922740135669E-2</v>
      </c>
      <c r="DW43" s="520">
        <f t="shared" si="27"/>
        <v>5.4424206311594947E-2</v>
      </c>
      <c r="DX43" s="522">
        <f t="shared" si="27"/>
        <v>5.3268772536789522E-2</v>
      </c>
      <c r="DY43" s="566">
        <f t="shared" si="27"/>
        <v>4.1611589297797513E-2</v>
      </c>
      <c r="DZ43" s="2371">
        <f t="shared" si="27"/>
        <v>4.0909174352808053E-2</v>
      </c>
    </row>
    <row r="44" spans="1:130">
      <c r="A44" s="511" t="s">
        <v>485</v>
      </c>
      <c r="B44" s="531"/>
      <c r="C44" s="523">
        <f>'qtrP&amp;L'!$AR10/100</f>
        <v>0</v>
      </c>
      <c r="D44" s="523">
        <f>'qtrP&amp;L'!$AR11/100</f>
        <v>0</v>
      </c>
      <c r="E44" s="523">
        <f>'qtrP&amp;L'!$AR12/100</f>
        <v>0</v>
      </c>
      <c r="F44" s="523">
        <f>'qtrP&amp;L'!$AR13/100</f>
        <v>0</v>
      </c>
      <c r="G44" s="532"/>
      <c r="H44" s="533">
        <f>'qtrP&amp;L'!$AV10/100</f>
        <v>0.24254720507152105</v>
      </c>
      <c r="I44" s="533">
        <f>'qtrP&amp;L'!$AV11/100</f>
        <v>0.18</v>
      </c>
      <c r="J44" s="533">
        <f>'qtrP&amp;L'!$AV12/100</f>
        <v>0.17</v>
      </c>
      <c r="K44" s="533">
        <f>'qtrP&amp;L'!$AV13/100</f>
        <v>0</v>
      </c>
      <c r="L44" s="533"/>
      <c r="M44" s="533">
        <f>'qtrP&amp;L'!$AZ10/100</f>
        <v>-0.02</v>
      </c>
      <c r="N44" s="533">
        <f>'qtrP&amp;L'!$AZ11/100</f>
        <v>0</v>
      </c>
      <c r="O44" s="533">
        <f>'qtrP&amp;L'!$AZ12/100</f>
        <v>-0.11</v>
      </c>
      <c r="P44" s="533">
        <f>'qtrP&amp;L'!$AZ13/100</f>
        <v>-0.02</v>
      </c>
      <c r="Q44" s="533"/>
      <c r="R44" s="533">
        <f>'qtrP&amp;L'!$BD10/100</f>
        <v>0.01</v>
      </c>
      <c r="S44" s="533">
        <f>'qtrP&amp;L'!$BD11/100</f>
        <v>-0.05</v>
      </c>
      <c r="T44" s="533">
        <f>'qtrP&amp;L'!$BD12/100</f>
        <v>0.03</v>
      </c>
      <c r="U44" s="533">
        <f>'qtrP&amp;L'!$BD13/100</f>
        <v>-0.01</v>
      </c>
      <c r="V44" s="534"/>
      <c r="W44" s="533">
        <f>'qtrP&amp;L'!$BH10/100</f>
        <v>4.0000000000000001E-3</v>
      </c>
      <c r="X44" s="533">
        <f>'qtrP&amp;L'!$BH11/100</f>
        <v>0.08</v>
      </c>
      <c r="Y44" s="533">
        <f>'qtrP&amp;L'!$BH12/100</f>
        <v>0.1</v>
      </c>
      <c r="Z44" s="533">
        <f>'qtrP&amp;L'!$BH13/100</f>
        <v>0.1</v>
      </c>
      <c r="AA44" s="534"/>
      <c r="AB44" s="533">
        <f>'qtrP&amp;L'!$BL10/100</f>
        <v>0.09</v>
      </c>
      <c r="AC44" s="533">
        <f>'qtrP&amp;L'!$BL11/100</f>
        <v>0.05</v>
      </c>
      <c r="AD44" s="533">
        <f>'qtrP&amp;L'!$BL12/100</f>
        <v>0.01</v>
      </c>
      <c r="AE44" s="533">
        <f>'qtrP&amp;L'!$BL13/100</f>
        <v>0.03</v>
      </c>
      <c r="AF44" s="534"/>
      <c r="AG44" s="533">
        <f>'qtrP&amp;L'!$BP10/100</f>
        <v>0.04</v>
      </c>
      <c r="AH44" s="533">
        <f>'qtrP&amp;L'!$BP11/100</f>
        <v>0.04</v>
      </c>
      <c r="AI44" s="533">
        <f>'qtrP&amp;L'!$BP12/100</f>
        <v>0.05</v>
      </c>
      <c r="AJ44" s="533">
        <f>'qtrP&amp;L'!$BP13/100</f>
        <v>0.06</v>
      </c>
      <c r="AK44" s="534"/>
      <c r="AL44" s="533">
        <f>'qtrP&amp;L'!$BT10/100</f>
        <v>0.05</v>
      </c>
      <c r="AM44" s="533">
        <f>'qtrP&amp;L'!$BT11/100</f>
        <v>0.06</v>
      </c>
      <c r="AN44" s="533">
        <f>'qtrP&amp;L'!$BT12/100</f>
        <v>0.04</v>
      </c>
      <c r="AO44" s="533">
        <f>'qtrP&amp;L'!$BT13/100</f>
        <v>0.08</v>
      </c>
      <c r="AP44" s="534"/>
      <c r="AQ44" s="533">
        <f>'qtrP&amp;L'!$BX10/100</f>
        <v>0.09</v>
      </c>
      <c r="AR44" s="533">
        <f>'qtrP&amp;L'!$BX11/100</f>
        <v>0.13</v>
      </c>
      <c r="AS44" s="533">
        <f>'qtrP&amp;L'!$BX12/100</f>
        <v>0.09</v>
      </c>
      <c r="AT44" s="533">
        <f>'qtrP&amp;L'!$BX13/100</f>
        <v>0.01</v>
      </c>
      <c r="AU44" s="534"/>
      <c r="AV44" s="533">
        <f>'qtrP&amp;L'!$CB10/100</f>
        <v>0.03</v>
      </c>
      <c r="AW44" s="533">
        <f>'qtrP&amp;L'!$CB11/100</f>
        <v>-0.01</v>
      </c>
      <c r="AX44" s="533">
        <f>'qtrP&amp;L'!$CB12/100</f>
        <v>-7.0000000000000007E-2</v>
      </c>
      <c r="AY44" s="533">
        <f>'qtrP&amp;L'!$CB13/100</f>
        <v>-0.23</v>
      </c>
      <c r="AZ44" s="534"/>
      <c r="BA44" s="533">
        <f>'qtrP&amp;L'!$CF10/100</f>
        <v>-0.21</v>
      </c>
      <c r="BB44" s="533">
        <f>'qtrP&amp;L'!$CF11/100</f>
        <v>-0.16</v>
      </c>
      <c r="BC44" s="533">
        <f>'qtrP&amp;L'!$CF12/100</f>
        <v>-0.06</v>
      </c>
      <c r="BD44" s="533">
        <f>'qtrP&amp;L'!$CF13/100</f>
        <v>0.08</v>
      </c>
      <c r="BE44" s="534"/>
      <c r="BF44" s="533">
        <f>'qtrP&amp;L'!$CJ10/100</f>
        <v>0.1</v>
      </c>
      <c r="BG44" s="533">
        <f>'qtrP&amp;L'!$CJ11/100</f>
        <v>0.05</v>
      </c>
      <c r="BH44" s="533">
        <f>'qtrP&amp;L'!$CJ12/100</f>
        <v>7.0000000000000007E-2</v>
      </c>
      <c r="BI44" s="533">
        <f>'qtrP&amp;L'!$CJ13/100</f>
        <v>0.09</v>
      </c>
      <c r="BJ44" s="534"/>
      <c r="BK44" s="533">
        <f>'qtrP&amp;L'!$CN10/100</f>
        <v>0.15</v>
      </c>
      <c r="BL44" s="533">
        <f>'qtrP&amp;L'!$CN11/100</f>
        <v>0.22</v>
      </c>
      <c r="BM44" s="533">
        <f>'qtrP&amp;L'!$CN12/100</f>
        <v>0.16</v>
      </c>
      <c r="BN44" s="533">
        <f>'qtrP&amp;L'!$CN13/100</f>
        <v>0.05</v>
      </c>
      <c r="BO44" s="534"/>
      <c r="BP44" s="533">
        <f>'qtrP&amp;L'!$CR10/100</f>
        <v>0.04</v>
      </c>
      <c r="BQ44" s="533">
        <f>'qtrP&amp;L'!$CR11/100</f>
        <v>-0.01</v>
      </c>
      <c r="BR44" s="533">
        <f>'qtrP&amp;L'!$CR12/100</f>
        <v>0.01</v>
      </c>
      <c r="BS44" s="533">
        <f>'qtrP&amp;L'!$CR13/100</f>
        <v>0</v>
      </c>
      <c r="BT44" s="534"/>
      <c r="BU44" s="533">
        <f>'qtrP&amp;L'!CV10/100</f>
        <v>0.08</v>
      </c>
      <c r="BV44" s="533">
        <f>'qtrP&amp;L'!CV11/100</f>
        <v>0.05</v>
      </c>
      <c r="BW44" s="533">
        <f>'qtrP&amp;L'!CV12/100</f>
        <v>7.0000000000000007E-2</v>
      </c>
      <c r="BX44" s="533">
        <f>'qtrP&amp;L'!CV13/100</f>
        <v>0.06</v>
      </c>
      <c r="BY44" s="534"/>
      <c r="BZ44" s="533">
        <f>+'qtrP&amp;L'!CZ10/100</f>
        <v>0.11</v>
      </c>
      <c r="CA44" s="533">
        <f>+'qtrP&amp;L'!CZ11/100</f>
        <v>0.03</v>
      </c>
      <c r="CB44" s="533">
        <f>+'qtrP&amp;L'!CZ12/100</f>
        <v>0.04</v>
      </c>
      <c r="CC44" s="533">
        <f>+'qtrP&amp;L'!CZ13/100</f>
        <v>0</v>
      </c>
      <c r="CD44" s="534"/>
      <c r="CE44" s="533">
        <f>'qtrP&amp;L'!DD10/100</f>
        <v>-0.01</v>
      </c>
      <c r="CF44" s="533">
        <f>'qtrP&amp;L'!DD11/100</f>
        <v>7.0000000000000007E-2</v>
      </c>
      <c r="CG44" s="533">
        <f>'qtrP&amp;L'!DD12/100</f>
        <v>0.01</v>
      </c>
      <c r="CH44" s="533">
        <f>'qtrP&amp;L'!DD13/100</f>
        <v>-0.05</v>
      </c>
      <c r="CI44" s="534"/>
      <c r="CJ44" s="533">
        <f>'qtrP&amp;L'!DH10/100</f>
        <v>-0.09</v>
      </c>
      <c r="CK44" s="533">
        <f>'qtrP&amp;L'!DH11/100</f>
        <v>-0.09</v>
      </c>
      <c r="CL44" s="533">
        <f>'qtrP&amp;L'!DH12/100</f>
        <v>-0.03</v>
      </c>
      <c r="CM44" s="533">
        <f>'qtrP&amp;L'!DH13/100</f>
        <v>0</v>
      </c>
      <c r="CN44" s="534"/>
      <c r="CO44" s="533">
        <f>'qtrP&amp;L'!DL10/100</f>
        <v>-0.02</v>
      </c>
      <c r="CP44" s="533">
        <f>'qtrP&amp;L'!DL11/100</f>
        <v>-0.01</v>
      </c>
      <c r="CQ44" s="533">
        <f>'qtrP&amp;L'!DL12/100</f>
        <v>0</v>
      </c>
      <c r="CR44" s="533">
        <f>'qtrP&amp;L'!DL13/100</f>
        <v>0.01</v>
      </c>
      <c r="CS44" s="533"/>
      <c r="CT44" s="2348">
        <f t="array" ref="CT44:CW44">TRANSPOSE('qtrP&amp;L'!DP10:DP13)/100</f>
        <v>3.3298297183958096E-2</v>
      </c>
      <c r="CU44" s="2348">
        <v>2.6718397590064086E-2</v>
      </c>
      <c r="CV44" s="2348">
        <v>2.3834959540814989E-2</v>
      </c>
      <c r="CW44" s="2424">
        <v>1.7783030551345745E-2</v>
      </c>
      <c r="CX44" s="534"/>
      <c r="CY44" s="534"/>
      <c r="CZ44" s="535">
        <f>yrSales!H39</f>
        <v>0</v>
      </c>
      <c r="DA44" s="535">
        <f>yrSales!I39</f>
        <v>0</v>
      </c>
      <c r="DB44" s="535">
        <f>yrSales!J39</f>
        <v>0</v>
      </c>
      <c r="DC44" s="535">
        <f>yrSales!K39</f>
        <v>0.18</v>
      </c>
      <c r="DD44" s="535">
        <f>yrSales!L39</f>
        <v>0.13</v>
      </c>
      <c r="DE44" s="535">
        <f>yrSales!M39</f>
        <v>-0.04</v>
      </c>
      <c r="DF44" s="536">
        <f>yrSales!N39</f>
        <v>-0.01</v>
      </c>
      <c r="DG44" s="536">
        <f>yrSales!O39</f>
        <v>0.08</v>
      </c>
      <c r="DH44" s="536">
        <f>yrSales!P39</f>
        <v>0.04</v>
      </c>
      <c r="DI44" s="901">
        <f>yrSales!Q39</f>
        <v>0.05</v>
      </c>
      <c r="DJ44" s="1668">
        <f>yrSales!R39</f>
        <v>0.06</v>
      </c>
      <c r="DK44" s="535">
        <f>yrSales!S39</f>
        <v>7.0000000000000007E-2</v>
      </c>
      <c r="DL44" s="1668">
        <f>yrSales!T39</f>
        <v>-0.09</v>
      </c>
      <c r="DM44" s="535">
        <f>yrSales!U39</f>
        <v>-0.08</v>
      </c>
      <c r="DN44" s="1668">
        <f>yrSales!V39</f>
        <v>0.08</v>
      </c>
      <c r="DO44" s="1668">
        <f>yrSales!W39</f>
        <v>0.13678577190955957</v>
      </c>
      <c r="DP44" s="535">
        <f>yrSales!X39</f>
        <v>0.01</v>
      </c>
      <c r="DQ44" s="535">
        <f>yrSales!Y39</f>
        <v>0.06</v>
      </c>
      <c r="DR44" s="535">
        <f>yrSales!Z39</f>
        <v>0.04</v>
      </c>
      <c r="DS44" s="535">
        <f>yrSales!AA39</f>
        <v>0</v>
      </c>
      <c r="DT44" s="535">
        <f>yrSales!AB39</f>
        <v>-0.05</v>
      </c>
      <c r="DU44" s="535">
        <f>yrSales!AC39</f>
        <v>0</v>
      </c>
      <c r="DV44" s="535">
        <f>yrSales!AD39</f>
        <v>2.4713862390184554E-2</v>
      </c>
      <c r="DW44" s="535">
        <f>yrSales!AE39</f>
        <v>1.9856031509175563E-2</v>
      </c>
      <c r="DX44" s="537">
        <f>yrSales!AF39</f>
        <v>1.9970011794872428E-2</v>
      </c>
      <c r="DY44" s="2406">
        <f>yrSales!AG39</f>
        <v>2.0061948467113358E-2</v>
      </c>
      <c r="DZ44" s="2373">
        <f>yrSales!AH39</f>
        <v>2.0111688538767519E-2</v>
      </c>
    </row>
    <row r="45" spans="1:130">
      <c r="A45" s="511" t="s">
        <v>486</v>
      </c>
      <c r="B45" s="512"/>
      <c r="C45" s="523">
        <f>'qtrP&amp;L'!$AR30/100</f>
        <v>0.18216267828370225</v>
      </c>
      <c r="D45" s="523">
        <f>'qtrP&amp;L'!$AR31/100</f>
        <v>0.20213899878958674</v>
      </c>
      <c r="E45" s="523">
        <f>'qtrP&amp;L'!$AR32/100</f>
        <v>0.22276277155428503</v>
      </c>
      <c r="F45" s="523">
        <f>'qtrP&amp;L'!$AR33/100</f>
        <v>0.24622880985031981</v>
      </c>
      <c r="G45" s="518"/>
      <c r="H45" s="519">
        <f>((H14/C14)-1)</f>
        <v>0.13846050295733514</v>
      </c>
      <c r="I45" s="519">
        <f>((I14/D14)-1)</f>
        <v>9.2370232334465507E-2</v>
      </c>
      <c r="J45" s="519">
        <f>((J14/E14)-1)</f>
        <v>9.1896231198240752E-3</v>
      </c>
      <c r="K45" s="519">
        <f>((K14/F14)-1)</f>
        <v>0.15315368046450639</v>
      </c>
      <c r="L45" s="519"/>
      <c r="M45" s="519">
        <f>((M14/H14)-1)</f>
        <v>4.1422173611008528E-2</v>
      </c>
      <c r="N45" s="519">
        <f>((N14/I14)-1)</f>
        <v>3.3182690521884384E-2</v>
      </c>
      <c r="O45" s="519">
        <f>((O14/J14)-1)</f>
        <v>2.4317403166495888E-2</v>
      </c>
      <c r="P45" s="519">
        <f>((P14/K14)-1)</f>
        <v>-6.8624564751743611E-3</v>
      </c>
      <c r="Q45" s="519"/>
      <c r="R45" s="519">
        <f>((R14/M14)-1)</f>
        <v>4.9177186894598934E-2</v>
      </c>
      <c r="S45" s="519">
        <f>((S14/N14)-1)</f>
        <v>7.0092742391861806E-2</v>
      </c>
      <c r="T45" s="519">
        <f>((T14/O14)-1)</f>
        <v>0.13012438861564868</v>
      </c>
      <c r="U45" s="519">
        <f>((U14/P14)-1)</f>
        <v>0.11300610236019248</v>
      </c>
      <c r="V45" s="518"/>
      <c r="W45" s="519">
        <f>((W14/R14)-1)</f>
        <v>0.15438724644738899</v>
      </c>
      <c r="X45" s="519">
        <f>((X14/S14)-1)</f>
        <v>0.16045642043439567</v>
      </c>
      <c r="Y45" s="519">
        <f>((Y14/T14)-1)</f>
        <v>0.1362628089210367</v>
      </c>
      <c r="Z45" s="519">
        <f>((Z14/U14)-1)</f>
        <v>0.1762844797105243</v>
      </c>
      <c r="AA45" s="518"/>
      <c r="AB45" s="519">
        <f>((AB14/W14)-1)</f>
        <v>0.14944192178116311</v>
      </c>
      <c r="AC45" s="519">
        <f>((AC14/X14)-1)</f>
        <v>0.10615004369528047</v>
      </c>
      <c r="AD45" s="519">
        <f>((AD14/Y14)-1)</f>
        <v>0.12550263652085336</v>
      </c>
      <c r="AE45" s="519">
        <f>((AE14/Z14)-1)</f>
        <v>0.25459570663991271</v>
      </c>
      <c r="AF45" s="518"/>
      <c r="AG45" s="519">
        <f>((AG14/AB14)-1)</f>
        <v>6.2845025767021223E-2</v>
      </c>
      <c r="AH45" s="519">
        <f>((AH14/AC14)-1)</f>
        <v>5.669888230789355E-2</v>
      </c>
      <c r="AI45" s="519">
        <f>((AI14/AD14)-1)</f>
        <v>8.753134367753268E-2</v>
      </c>
      <c r="AJ45" s="519">
        <f>((AJ14/AE14)-1)</f>
        <v>-5.9141641851882865E-2</v>
      </c>
      <c r="AK45" s="518"/>
      <c r="AL45" s="519">
        <f>((AL14/AG14)-1)</f>
        <v>3.6851949546784279E-2</v>
      </c>
      <c r="AM45" s="519">
        <f>((AM14/AH14)-1)</f>
        <v>7.1320453544694073E-2</v>
      </c>
      <c r="AN45" s="519">
        <f>((AN14/AI14)-1)</f>
        <v>3.8836760786183255E-2</v>
      </c>
      <c r="AO45" s="519">
        <f>((AO14/AJ14)-1)</f>
        <v>6.2588053205632654E-2</v>
      </c>
      <c r="AP45" s="518"/>
      <c r="AQ45" s="519">
        <f>((AQ14/AL14)-1)</f>
        <v>0.13805656031157199</v>
      </c>
      <c r="AR45" s="519">
        <f>((AR14/AM14)-1)</f>
        <v>0.10940851583071098</v>
      </c>
      <c r="AS45" s="519">
        <f>((AS14/AN14)-1)</f>
        <v>0.16148371270275685</v>
      </c>
      <c r="AT45" s="519">
        <f>((AT14/AO14)-1)</f>
        <v>8.2835614178693673E-2</v>
      </c>
      <c r="AU45" s="518"/>
      <c r="AV45" s="519">
        <f>((AV14/AQ14)-1)</f>
        <v>0.11092053763397147</v>
      </c>
      <c r="AW45" s="519">
        <f>((AW14/AR14)-1)</f>
        <v>0.10971021036666539</v>
      </c>
      <c r="AX45" s="519">
        <f>((AX14/AS14)-1)</f>
        <v>-4.5908269666634305E-2</v>
      </c>
      <c r="AY45" s="519">
        <f>((AY14/AT14)-1)</f>
        <v>-5.8839253378708656E-2</v>
      </c>
      <c r="AZ45" s="518"/>
      <c r="BA45" s="519">
        <f>((BA14/AV14)-1)</f>
        <v>-0.15961175420367912</v>
      </c>
      <c r="BB45" s="519">
        <f>((BB14/AW14)-1)</f>
        <v>-0.12243911430131427</v>
      </c>
      <c r="BC45" s="519">
        <f>((BC14/AX14)-1)</f>
        <v>-3.2512367198500258E-2</v>
      </c>
      <c r="BD45" s="519">
        <f>((BD14/AY14)-1)</f>
        <v>7.2363739643235503E-2</v>
      </c>
      <c r="BE45" s="518"/>
      <c r="BF45" s="519">
        <f>((BF14/BA14)-1)</f>
        <v>0.13089832611392871</v>
      </c>
      <c r="BG45" s="519">
        <f>((BG14/BB14)-1)</f>
        <v>6.7963858286439027E-2</v>
      </c>
      <c r="BH45" s="519">
        <f>((BH14/BC14)-1)</f>
        <v>0.14752554613870017</v>
      </c>
      <c r="BI45" s="519">
        <f>((BI14/BD14)-1)</f>
        <v>0.1013077479509481</v>
      </c>
      <c r="BJ45" s="518"/>
      <c r="BK45" s="519">
        <f>((BK14/BF14)-1)</f>
        <v>0.15377271694902861</v>
      </c>
      <c r="BL45" s="519">
        <f>((BL14/BG14)-1)</f>
        <v>0.2603807191361458</v>
      </c>
      <c r="BM45" s="519">
        <f>((BM14/BH14)-1)</f>
        <v>0.11791873800432717</v>
      </c>
      <c r="BN45" s="519">
        <f>((BN14/BI14)-1)</f>
        <v>0.11497216267445198</v>
      </c>
      <c r="BO45" s="518"/>
      <c r="BP45" s="519">
        <f>((BP14/BK14)-1)</f>
        <v>0.11448723637807423</v>
      </c>
      <c r="BQ45" s="519">
        <f>((BQ14/BL14)-1)</f>
        <v>1.4490961549785242E-2</v>
      </c>
      <c r="BR45" s="519">
        <f>((BR14/BM14)-1)</f>
        <v>5.2543133781455476E-2</v>
      </c>
      <c r="BS45" s="519">
        <f>((BS14/BN14)-1)</f>
        <v>2.1536648947519721E-2</v>
      </c>
      <c r="BT45" s="518"/>
      <c r="BU45" s="519">
        <f>((BU14/BP14)-1)</f>
        <v>5.5781913763011337E-2</v>
      </c>
      <c r="BV45" s="519">
        <f>((BV14/BQ14)-1)</f>
        <v>3.093893470929987E-2</v>
      </c>
      <c r="BW45" s="519">
        <f>((BW14/BR14)-1)</f>
        <v>5.437846187542128E-2</v>
      </c>
      <c r="BX45" s="519">
        <f>((BX14/BS14)-1)</f>
        <v>7.3271458345631091E-2</v>
      </c>
      <c r="BY45" s="518"/>
      <c r="BZ45" s="519">
        <f>((BZ14/BU14)-1)</f>
        <v>7.674967249465503E-2</v>
      </c>
      <c r="CA45" s="519">
        <f>((CA14/BV14)-1)</f>
        <v>8.8387385536097929E-2</v>
      </c>
      <c r="CB45" s="519">
        <f>((CB14/BW14)-1)</f>
        <v>9.9810584836400595E-2</v>
      </c>
      <c r="CC45" s="519">
        <f>((CC14/BX14)-1)</f>
        <v>9.0114674095838065E-3</v>
      </c>
      <c r="CD45" s="518"/>
      <c r="CE45" s="519">
        <f>((CE14/BZ14)-1)</f>
        <v>5.0738281898070392E-2</v>
      </c>
      <c r="CF45" s="519">
        <f>((CF14/CA14)-1)</f>
        <v>6.1964297722440831E-2</v>
      </c>
      <c r="CG45" s="519">
        <f>((CG14/CB14)-1)</f>
        <v>1.4215418261344981E-2</v>
      </c>
      <c r="CH45" s="519">
        <f>((CH14/CC14)-1)</f>
        <v>-2.1365182990874088E-2</v>
      </c>
      <c r="CI45" s="518"/>
      <c r="CJ45" s="519">
        <f>((CJ14/CE14)-1)</f>
        <v>3.007518796992481E-2</v>
      </c>
      <c r="CK45" s="519">
        <f>((CK14/CF14)-1)</f>
        <v>-2.0457866536775393E-2</v>
      </c>
      <c r="CL45" s="519">
        <f>((CL14/CG14)-1)</f>
        <v>3.9696152903700099E-2</v>
      </c>
      <c r="CM45" s="519">
        <f>((CM14/CH14)-1)</f>
        <v>5.762639245929746E-2</v>
      </c>
      <c r="CN45" s="518"/>
      <c r="CO45" s="519">
        <f>((CO14/CJ14)-1)</f>
        <v>2.4330900243310083E-3</v>
      </c>
      <c r="CP45" s="519">
        <f>((CP14/CK14)-1)</f>
        <v>3.6548980606663228E-2</v>
      </c>
      <c r="CQ45" s="519">
        <f>((CQ14/CL14)-1)</f>
        <v>3.2524157435776635E-2</v>
      </c>
      <c r="CR45" s="519">
        <f>((CR14/CM14)-1)</f>
        <v>0.10066842211869531</v>
      </c>
      <c r="CS45" s="519"/>
      <c r="CT45" s="2345">
        <f>((CT14/CO14)-1)</f>
        <v>5.0932195122318058E-2</v>
      </c>
      <c r="CU45" s="2345">
        <f>((CU14/CP14)-1)</f>
        <v>9.4388371820085082E-2</v>
      </c>
      <c r="CV45" s="2345">
        <f>((CV14/CQ14)-1)</f>
        <v>9.146667918750695E-2</v>
      </c>
      <c r="CW45" s="2423">
        <f>((CW14/CR14)-1)</f>
        <v>8.2929285528098529E-2</v>
      </c>
      <c r="CX45" s="518"/>
      <c r="CY45" s="518"/>
      <c r="CZ45" s="538">
        <f>CZ14/'yrP&amp;L'!G14-1</f>
        <v>0.12357315384460388</v>
      </c>
      <c r="DA45" s="520">
        <f t="shared" ref="DA45:DZ45" si="28">((DA14/CZ14)-1)</f>
        <v>0.10378419651481874</v>
      </c>
      <c r="DB45" s="520">
        <f t="shared" si="28"/>
        <v>7.8208205466287373E-2</v>
      </c>
      <c r="DC45" s="520">
        <f t="shared" si="28"/>
        <v>0.215984860391365</v>
      </c>
      <c r="DD45" s="520">
        <f t="shared" si="28"/>
        <v>9.9541959323438345E-2</v>
      </c>
      <c r="DE45" s="520">
        <f t="shared" si="28"/>
        <v>2.0228077124978761E-2</v>
      </c>
      <c r="DF45" s="520">
        <f t="shared" si="28"/>
        <v>9.260235487231272E-2</v>
      </c>
      <c r="DG45" s="520">
        <f t="shared" si="28"/>
        <v>0.15834141084664388</v>
      </c>
      <c r="DH45" s="520">
        <f t="shared" si="28"/>
        <v>0.16733656497431593</v>
      </c>
      <c r="DI45" s="521">
        <f t="shared" si="28"/>
        <v>2.5202875078522036E-2</v>
      </c>
      <c r="DJ45" s="521">
        <f t="shared" si="28"/>
        <v>5.3269211731543864E-2</v>
      </c>
      <c r="DK45" s="520">
        <f t="shared" si="28"/>
        <v>0.11943855774995704</v>
      </c>
      <c r="DL45" s="521">
        <f t="shared" si="28"/>
        <v>1.9856347057872092E-2</v>
      </c>
      <c r="DM45" s="520">
        <f t="shared" si="28"/>
        <v>-5.5266980026760448E-2</v>
      </c>
      <c r="DN45" s="521">
        <f t="shared" si="28"/>
        <v>0.11071953064157936</v>
      </c>
      <c r="DO45" s="521">
        <f t="shared" si="28"/>
        <v>0.15637573583334996</v>
      </c>
      <c r="DP45" s="520">
        <f t="shared" si="28"/>
        <v>4.7023938329823212E-2</v>
      </c>
      <c r="DQ45" s="520">
        <f t="shared" si="28"/>
        <v>5.4865159641407812E-2</v>
      </c>
      <c r="DR45" s="520">
        <f t="shared" si="28"/>
        <v>6.4172523428664752E-2</v>
      </c>
      <c r="DS45" s="520">
        <f t="shared" si="28"/>
        <v>2.3547983710730414E-2</v>
      </c>
      <c r="DT45" s="520">
        <f t="shared" si="28"/>
        <v>2.7723360047491985E-2</v>
      </c>
      <c r="DU45" s="520">
        <f t="shared" si="28"/>
        <v>4.5748613678373351E-2</v>
      </c>
      <c r="DV45" s="520">
        <f t="shared" si="28"/>
        <v>8.0352354457691177E-2</v>
      </c>
      <c r="DW45" s="520">
        <f t="shared" si="28"/>
        <v>5.1882716300755138E-2</v>
      </c>
      <c r="DX45" s="522">
        <f t="shared" si="28"/>
        <v>4.8061601077056926E-2</v>
      </c>
      <c r="DY45" s="566">
        <f t="shared" si="28"/>
        <v>3.59659980278908E-2</v>
      </c>
      <c r="DZ45" s="2371">
        <f t="shared" si="28"/>
        <v>3.4291223198884779E-2</v>
      </c>
    </row>
    <row r="46" spans="1:130">
      <c r="A46" s="511" t="s">
        <v>487</v>
      </c>
      <c r="B46" s="512"/>
      <c r="C46" s="523">
        <f>'qtrP&amp;L'!$AR48/100</f>
        <v>0.43843447669305191</v>
      </c>
      <c r="D46" s="539">
        <f>'qtrP&amp;L'!$AR49/100</f>
        <v>0.67946357085668518</v>
      </c>
      <c r="E46" s="523">
        <f>'qtrP&amp;L'!$AR50/100</f>
        <v>0.75827209975506693</v>
      </c>
      <c r="F46" s="523">
        <f>'qtrP&amp;L'!$AR51/100</f>
        <v>0.56626725737762795</v>
      </c>
      <c r="G46" s="518"/>
      <c r="H46" s="519">
        <f>((H16/C16)-1)</f>
        <v>0.81375046706749532</v>
      </c>
      <c r="I46" s="519">
        <f>((I16/D16)-1)</f>
        <v>0.59886062975234111</v>
      </c>
      <c r="J46" s="519">
        <f>((J16/E16)-1)</f>
        <v>0.59698090268983384</v>
      </c>
      <c r="K46" s="519">
        <f>((K16/F16)-1)</f>
        <v>-1.463608407700856E-2</v>
      </c>
      <c r="L46" s="519"/>
      <c r="M46" s="519">
        <f>((M16/H16)-1)</f>
        <v>-7.8172113493772399E-2</v>
      </c>
      <c r="N46" s="519">
        <f>((N16/I16)-1)</f>
        <v>-2.0975893376268817E-2</v>
      </c>
      <c r="O46" s="519">
        <f>((O16/J16)-1)</f>
        <v>-0.26979318657615969</v>
      </c>
      <c r="P46" s="519">
        <f>((P16/K16)-1)</f>
        <v>3.5399521797153E-2</v>
      </c>
      <c r="Q46" s="519"/>
      <c r="R46" s="519">
        <f>((R16/M16)-1)</f>
        <v>0.18985798744438398</v>
      </c>
      <c r="S46" s="519">
        <f>((S16/N16)-1)</f>
        <v>-0.10038069133546501</v>
      </c>
      <c r="T46" s="519" t="s">
        <v>1896</v>
      </c>
      <c r="U46" s="519">
        <f>((U16/P16)-1)</f>
        <v>1.7957238277447773E-2</v>
      </c>
      <c r="V46" s="518"/>
      <c r="W46" s="519">
        <f>((W16/R16)-1)</f>
        <v>6.8811255677350136E-3</v>
      </c>
      <c r="X46" s="519">
        <f>((X16/S16)-1)</f>
        <v>0.1586885134906395</v>
      </c>
      <c r="Y46" s="519" t="s">
        <v>1896</v>
      </c>
      <c r="Z46" s="519">
        <f>((Z16/U16)-1)</f>
        <v>0.17964916908467377</v>
      </c>
      <c r="AA46" s="518"/>
      <c r="AB46" s="519">
        <f>((AB16/W16)-1)</f>
        <v>6.3185741660872097E-2</v>
      </c>
      <c r="AC46" s="519">
        <f>((AC16/X16)-1)</f>
        <v>-0.1502198588812772</v>
      </c>
      <c r="AD46" s="519" t="s">
        <v>1896</v>
      </c>
      <c r="AE46" s="519">
        <f>((AE16/Z16)-1)</f>
        <v>-0.21568408224416069</v>
      </c>
      <c r="AF46" s="518"/>
      <c r="AG46" s="519">
        <f>((AG16/AB16)-1)</f>
        <v>5.7676050721749306E-2</v>
      </c>
      <c r="AH46" s="519">
        <f>((AH16/AC16)-1)</f>
        <v>0.27330238954787966</v>
      </c>
      <c r="AI46" s="519">
        <f>((AI16/AD16)-1)</f>
        <v>0.19275266754585818</v>
      </c>
      <c r="AJ46" s="519">
        <f>((AJ16/AE16)-1)</f>
        <v>0.44355666429080531</v>
      </c>
      <c r="AK46" s="518"/>
      <c r="AL46" s="519">
        <f>((AL16/AG16)-1)</f>
        <v>0.13002367631312861</v>
      </c>
      <c r="AM46" s="519">
        <f>((AM16/AH16)-1)</f>
        <v>3.7938110925095359E-2</v>
      </c>
      <c r="AN46" s="519">
        <f>((AN16/AI16)-1)</f>
        <v>0.19751225028269692</v>
      </c>
      <c r="AO46" s="519">
        <f>((AO16/AJ16)-1)</f>
        <v>0.14219551574820599</v>
      </c>
      <c r="AP46" s="518"/>
      <c r="AQ46" s="519">
        <f>((AQ16/AL16)-1)</f>
        <v>0.17327479214765384</v>
      </c>
      <c r="AR46" s="519">
        <f>((AR16/AM16)-1)</f>
        <v>0.46709071515908218</v>
      </c>
      <c r="AS46" s="519">
        <f>((AS16/AN16)-1)</f>
        <v>0.32502360717658219</v>
      </c>
      <c r="AT46" s="519">
        <f>((AT16/AO16)-1)</f>
        <v>0.21537197942333441</v>
      </c>
      <c r="AU46" s="518"/>
      <c r="AV46" s="519">
        <f>((AV16/AQ16)-1)</f>
        <v>0.2134854465006768</v>
      </c>
      <c r="AW46" s="519">
        <f>((AW16/AR16)-1)</f>
        <v>0.19099718939239474</v>
      </c>
      <c r="AX46" s="519">
        <f>((AX16/AS16)-1)</f>
        <v>0.29074813125554466</v>
      </c>
      <c r="AY46" s="519">
        <f>((AY16/AT16)-1)</f>
        <v>-0.39541600273161837</v>
      </c>
      <c r="AZ46" s="518"/>
      <c r="BA46" s="519">
        <f>((BA16/AV16)-1)</f>
        <v>-0.44215735897868524</v>
      </c>
      <c r="BB46" s="519">
        <f>((BB16/AW16)-1)</f>
        <v>-0.36639147168519048</v>
      </c>
      <c r="BC46" s="519">
        <f>((BC16/AX16)-1)</f>
        <v>-0.13111173821822542</v>
      </c>
      <c r="BD46" s="519">
        <f>((BD16/AY16)-1)</f>
        <v>0.32137310271796737</v>
      </c>
      <c r="BE46" s="518"/>
      <c r="BF46" s="519">
        <f>((BF16/BA16)-1)</f>
        <v>0.7857478912524789</v>
      </c>
      <c r="BG46" s="519">
        <f>((BG16/BB16)-1)</f>
        <v>0.38113309521571481</v>
      </c>
      <c r="BH46" s="519">
        <f>((BH16/BC16)-1)</f>
        <v>0.46855980908539019</v>
      </c>
      <c r="BI46" s="519">
        <f>((BI16/BD16)-1)</f>
        <v>0.26705311944863652</v>
      </c>
      <c r="BJ46" s="518"/>
      <c r="BK46" s="519">
        <f>((BK16/BF16)-1)</f>
        <v>0.3567093538583137</v>
      </c>
      <c r="BL46" s="519">
        <f>((BL16/BG16)-1)</f>
        <v>0.48903029323442637</v>
      </c>
      <c r="BM46" s="519">
        <f>((BM16/BH16)-1)</f>
        <v>0.40556159193838304</v>
      </c>
      <c r="BN46" s="519">
        <f>((BN16/BI16)-1)</f>
        <v>4.0549705013197546E-3</v>
      </c>
      <c r="BO46" s="518"/>
      <c r="BP46" s="519">
        <f>((BP16/BK16)-1)</f>
        <v>-6.3819900545819763E-2</v>
      </c>
      <c r="BQ46" s="519">
        <f>((BQ16/BL16)-1)</f>
        <v>-0.11687243268566105</v>
      </c>
      <c r="BR46" s="519">
        <f>((BR16/BM16)-1)</f>
        <v>-0.19758238300143016</v>
      </c>
      <c r="BS46" s="519">
        <f>((BS16/BN16)-1)</f>
        <v>1.6147377188592493E-2</v>
      </c>
      <c r="BT46" s="518"/>
      <c r="BU46" s="519">
        <f>((BU16/BP16)-1)</f>
        <v>0.11536837426380786</v>
      </c>
      <c r="BV46" s="519">
        <f>((BV16/BQ16)-1)</f>
        <v>0.14430068572907251</v>
      </c>
      <c r="BW46" s="519">
        <f>((BW16/BR16)-1)</f>
        <v>0.30967219404066704</v>
      </c>
      <c r="BX46" s="519">
        <f>((BX16/BS16)-1)</f>
        <v>7.7563137792442172E-2</v>
      </c>
      <c r="BY46" s="518"/>
      <c r="BZ46" s="519">
        <f>((BZ16/BU16)-1)</f>
        <v>0.39343641653050576</v>
      </c>
      <c r="CA46" s="519">
        <f>((CA16/BV16)-1)</f>
        <v>0.17884400122112543</v>
      </c>
      <c r="CB46" s="519">
        <f>((CB16/BW16)-1)</f>
        <v>9.6818081214441687E-2</v>
      </c>
      <c r="CC46" s="519">
        <f>((CC16/BX16)-1)</f>
        <v>-2.6380889675848507E-2</v>
      </c>
      <c r="CD46" s="518"/>
      <c r="CE46" s="519">
        <f>((CE16/BZ16)-1)</f>
        <v>-0.18967744395666186</v>
      </c>
      <c r="CF46" s="519">
        <f>((CF16/CA16)-1)</f>
        <v>-0.12526795862287243</v>
      </c>
      <c r="CG46" s="519">
        <f>((CG16/CB16)-1)</f>
        <v>-7.1760509463414168E-2</v>
      </c>
      <c r="CH46" s="519">
        <f>((CH16/CC16)-1)</f>
        <v>-2.1744839539891925E-2</v>
      </c>
      <c r="CI46" s="518"/>
      <c r="CJ46" s="519">
        <f>((CJ16/CE16)-1)</f>
        <v>-0.20823529411764763</v>
      </c>
      <c r="CK46" s="519">
        <f>((CK16/CF16)-1)</f>
        <v>-4.1118421052631526E-2</v>
      </c>
      <c r="CL46" s="519">
        <f>((CL16/CG16)-1)</f>
        <v>-7.6726342710996542E-3</v>
      </c>
      <c r="CM46" s="519">
        <f>((CM16/CH16)-1)</f>
        <v>-1.174496644295342E-2</v>
      </c>
      <c r="CN46" s="518"/>
      <c r="CO46" s="519">
        <f>((CO16/CJ16)-1)</f>
        <v>8.1723625557207358E-2</v>
      </c>
      <c r="CP46" s="519">
        <f>((CP16/CK16)-1)</f>
        <v>3.6592338479131126E-2</v>
      </c>
      <c r="CQ46" s="519">
        <f>((CQ16/CL16)-1)</f>
        <v>3.2860824742268591E-2</v>
      </c>
      <c r="CR46" s="519">
        <f>((CR16/CM16)-1)</f>
        <v>4.3123938879456869E-2</v>
      </c>
      <c r="CS46" s="519"/>
      <c r="CT46" s="2345">
        <f>((CT16/CO16)-1)</f>
        <v>0.13664925328369781</v>
      </c>
      <c r="CU46" s="2345">
        <f>((CU16/CP16)-1)</f>
        <v>-2.1341672647376186E-2</v>
      </c>
      <c r="CV46" s="2345">
        <f>((CV16/CQ16)-1)</f>
        <v>-5.4644734397857997E-2</v>
      </c>
      <c r="CW46" s="2423">
        <f>((CW16/CR16)-1)</f>
        <v>-3.0945838254187175E-2</v>
      </c>
      <c r="CX46" s="518"/>
      <c r="CY46" s="518"/>
      <c r="CZ46" s="538">
        <f>CZ16/'yrP&amp;L'!G31-1</f>
        <v>0.78712248664717843</v>
      </c>
      <c r="DA46" s="520">
        <f t="shared" ref="DA46:DZ46" si="29">((DA16/CZ16)-1)</f>
        <v>0.21943461928655594</v>
      </c>
      <c r="DB46" s="520">
        <f t="shared" si="29"/>
        <v>0.2076119380611896</v>
      </c>
      <c r="DC46" s="520">
        <f t="shared" si="29"/>
        <v>0.59433845160809784</v>
      </c>
      <c r="DD46" s="520">
        <f t="shared" si="29"/>
        <v>0.27449461427965227</v>
      </c>
      <c r="DE46" s="520">
        <f t="shared" si="29"/>
        <v>-5.3449034197118772E-2</v>
      </c>
      <c r="DF46" s="520">
        <f t="shared" si="29"/>
        <v>3.0009971054898443E-2</v>
      </c>
      <c r="DG46" s="520">
        <f t="shared" si="29"/>
        <v>0.11379179628881264</v>
      </c>
      <c r="DH46" s="520">
        <f t="shared" si="29"/>
        <v>-0.17155201269130449</v>
      </c>
      <c r="DI46" s="521">
        <f t="shared" si="29"/>
        <v>0.29937968756896693</v>
      </c>
      <c r="DJ46" s="521">
        <f t="shared" si="29"/>
        <v>0.20736859983537981</v>
      </c>
      <c r="DK46" s="520">
        <f t="shared" si="29"/>
        <v>0.17948518177057049</v>
      </c>
      <c r="DL46" s="521">
        <f t="shared" si="29"/>
        <v>-9.6333944954128392E-2</v>
      </c>
      <c r="DM46" s="520">
        <f t="shared" si="29"/>
        <v>-0.10644104138493837</v>
      </c>
      <c r="DN46" s="521">
        <f t="shared" si="29"/>
        <v>0.39161417573328028</v>
      </c>
      <c r="DO46" s="521">
        <f t="shared" si="29"/>
        <v>0.22652576026753146</v>
      </c>
      <c r="DP46" s="520">
        <f t="shared" si="29"/>
        <v>-7.1793158169406346E-2</v>
      </c>
      <c r="DQ46" s="520">
        <f t="shared" si="29"/>
        <v>0.1387272542121043</v>
      </c>
      <c r="DR46" s="520">
        <f t="shared" si="29"/>
        <v>0.12279139481572776</v>
      </c>
      <c r="DS46" s="520">
        <f t="shared" si="29"/>
        <v>-9.4936332562658321E-2</v>
      </c>
      <c r="DT46" s="520">
        <f t="shared" si="29"/>
        <v>-5.8998512642540524E-2</v>
      </c>
      <c r="DU46" s="520">
        <f t="shared" si="29"/>
        <v>4.6364594309800555E-2</v>
      </c>
      <c r="DV46" s="520">
        <f t="shared" si="29"/>
        <v>-2.8187643611858881E-3</v>
      </c>
      <c r="DW46" s="520">
        <f t="shared" si="29"/>
        <v>6.8033877532409193E-2</v>
      </c>
      <c r="DX46" s="522">
        <f t="shared" si="29"/>
        <v>7.0535473725917175E-2</v>
      </c>
      <c r="DY46" s="566">
        <f t="shared" si="29"/>
        <v>5.6171751298734307E-2</v>
      </c>
      <c r="DZ46" s="2371">
        <f t="shared" si="29"/>
        <v>6.1881893666385634E-2</v>
      </c>
    </row>
    <row r="47" spans="1:130">
      <c r="A47" s="511" t="s">
        <v>488</v>
      </c>
      <c r="B47" s="512"/>
      <c r="C47" s="523">
        <f>'qtrP&amp;L'!$AQ138/100</f>
        <v>-0.27367606904820252</v>
      </c>
      <c r="D47" s="539">
        <f>'qtrP&amp;L'!$AQ139/100</f>
        <v>-0.16775028841291337</v>
      </c>
      <c r="E47" s="523">
        <f>'qtrP&amp;L'!$AQ140/100</f>
        <v>-0.1486690752339519</v>
      </c>
      <c r="F47" s="523">
        <f>'qtrP&amp;L'!$AQ141/100</f>
        <v>-0.62650059058280905</v>
      </c>
      <c r="G47" s="518"/>
      <c r="H47" s="519">
        <f>((H25/C25)-1)</f>
        <v>0.80331444609592073</v>
      </c>
      <c r="I47" s="519">
        <f>((I25/D25)-1)</f>
        <v>0.66539144229381875</v>
      </c>
      <c r="J47" s="519">
        <f>((J25/E25)-1)</f>
        <v>0.64363446550684555</v>
      </c>
      <c r="K47" s="519">
        <f>((K25/F25)-1)</f>
        <v>3.8222603371389496E-3</v>
      </c>
      <c r="L47" s="519"/>
      <c r="M47" s="519">
        <f>((M25/H25)-1)</f>
        <v>1.4631463248597321E-2</v>
      </c>
      <c r="N47" s="519">
        <f>((N25/I25)-1)</f>
        <v>-8.0733813264651566E-2</v>
      </c>
      <c r="O47" s="519">
        <f>((O25/J25)-1)</f>
        <v>-0.32952501473329665</v>
      </c>
      <c r="P47" s="519">
        <f>((P25/K25)-1)</f>
        <v>-9.6137709623616008E-3</v>
      </c>
      <c r="Q47" s="519"/>
      <c r="R47" s="519">
        <f>((R25/M25)-1)</f>
        <v>7.1243295167087384E-2</v>
      </c>
      <c r="S47" s="519">
        <f>((S25/N25)-1)</f>
        <v>-8.0316092074438572E-2</v>
      </c>
      <c r="T47" s="519">
        <f>((T25/O25)-1)</f>
        <v>0.14636227039350014</v>
      </c>
      <c r="U47" s="519">
        <f>((U25/P25)-1)</f>
        <v>9.2816564150501879E-2</v>
      </c>
      <c r="V47" s="518"/>
      <c r="W47" s="519">
        <f>((W25/R25)-1)</f>
        <v>0.11682444236049161</v>
      </c>
      <c r="X47" s="519">
        <f>((X25/S25)-1)</f>
        <v>0.27105659154735218</v>
      </c>
      <c r="Y47" s="519">
        <f>((Y25/T25)-1)</f>
        <v>2.4716692337295232E-2</v>
      </c>
      <c r="Z47" s="519">
        <f>((Z25/U25)-1)</f>
        <v>0.22086763386436137</v>
      </c>
      <c r="AA47" s="518"/>
      <c r="AB47" s="519">
        <f>((AB25/W25)-1)</f>
        <v>1.3707410736684134E-2</v>
      </c>
      <c r="AC47" s="519">
        <f>((AC25/X25)-1)</f>
        <v>-0.19813192084951681</v>
      </c>
      <c r="AD47" s="519">
        <f>((AD25/Y25)-1)</f>
        <v>-0.37512353631628825</v>
      </c>
      <c r="AE47" s="519">
        <f>((AE25/Z25)-1)</f>
        <v>-0.78330545622353931</v>
      </c>
      <c r="AF47" s="518"/>
      <c r="AG47" s="519">
        <f>((AG25/AB25)-1)</f>
        <v>0.11055394598545298</v>
      </c>
      <c r="AH47" s="519">
        <f>((AH25/AC25)-1)</f>
        <v>0.56628258820960498</v>
      </c>
      <c r="AI47" s="519">
        <f>((AI25/AD25)-1)</f>
        <v>0.39640971952091331</v>
      </c>
      <c r="AJ47" s="519">
        <f>((AJ25/AE25)-1)</f>
        <v>5.0653857126793351</v>
      </c>
      <c r="AK47" s="518"/>
      <c r="AL47" s="519">
        <f>((AL25/AG25)-1)</f>
        <v>9.9922539257747411E-2</v>
      </c>
      <c r="AM47" s="519">
        <f>((AM25/AH25)-1)</f>
        <v>-9.1953446222231783E-2</v>
      </c>
      <c r="AN47" s="519">
        <f>((AN25/AI25)-1)</f>
        <v>0.43188018666306238</v>
      </c>
      <c r="AO47" s="519">
        <f>((AO25/AJ25)-1)</f>
        <v>0.10284562806185349</v>
      </c>
      <c r="AP47" s="518"/>
      <c r="AQ47" s="519">
        <f>((AQ25/AL25)-1)</f>
        <v>0.27902077186512519</v>
      </c>
      <c r="AR47" s="519">
        <f>((AR25/AM25)-1)</f>
        <v>0.50096237559182</v>
      </c>
      <c r="AS47" s="519">
        <f>((AS25/AN25)-1)</f>
        <v>0.30090555631229776</v>
      </c>
      <c r="AT47" s="519">
        <f>((AT25/AO25)-1)</f>
        <v>0.25532142691523885</v>
      </c>
      <c r="AU47" s="518"/>
      <c r="AV47" s="519">
        <f>((AV25/AQ25)-1)</f>
        <v>0.34142988270190844</v>
      </c>
      <c r="AW47" s="519">
        <f>((AW25/AR25)-1)</f>
        <v>0.3562221290306864</v>
      </c>
      <c r="AX47" s="519">
        <f>((AX25/AS25)-1)</f>
        <v>0.19345218588508084</v>
      </c>
      <c r="AY47" s="519">
        <f>((AY25/AT25)-1)</f>
        <v>-0.35750087875208536</v>
      </c>
      <c r="AZ47" s="518"/>
      <c r="BA47" s="519">
        <f>((BA25/AV25)-1)</f>
        <v>-0.57230049434320041</v>
      </c>
      <c r="BB47" s="519">
        <f>((BB25/AW25)-1)</f>
        <v>-0.3974028043968344</v>
      </c>
      <c r="BC47" s="519">
        <f>((BC25/AX25)-1)</f>
        <v>-0.10073370281900285</v>
      </c>
      <c r="BD47" s="519">
        <f>((BD25/AY25)-1)</f>
        <v>0.25951060414826221</v>
      </c>
      <c r="BE47" s="518"/>
      <c r="BF47" s="519">
        <f>((BF25/BA25)-1)</f>
        <v>1.1889167846980278</v>
      </c>
      <c r="BG47" s="519">
        <f>((BG25/BB25)-1)</f>
        <v>0.40472698568310439</v>
      </c>
      <c r="BH47" s="519">
        <f>((BH25/BC25)-1)</f>
        <v>0.40569389589812443</v>
      </c>
      <c r="BI47" s="519">
        <f>((BI25/BD25)-1)</f>
        <v>0.32348465211216326</v>
      </c>
      <c r="BJ47" s="518"/>
      <c r="BK47" s="519">
        <f>((BK25/BF25)-1)</f>
        <v>0.3749787101941251</v>
      </c>
      <c r="BL47" s="519">
        <f>((BL25/BG25)-1)</f>
        <v>0.56748044370314643</v>
      </c>
      <c r="BM47" s="519">
        <f>((BM25/BH25)-1)</f>
        <v>0.51013981965599076</v>
      </c>
      <c r="BN47" s="519">
        <f>((BN25/BI25)-1)</f>
        <v>-3.2909449222234599E-2</v>
      </c>
      <c r="BO47" s="518"/>
      <c r="BP47" s="519">
        <f>((BP25/BK25)-1)</f>
        <v>-4.3706400469492146E-2</v>
      </c>
      <c r="BQ47" s="519">
        <f>((BQ25/BL25)-1)</f>
        <v>-0.15941623580135467</v>
      </c>
      <c r="BR47" s="519">
        <f>((BR25/BM25)-1)</f>
        <v>-0.29056509318650781</v>
      </c>
      <c r="BS47" s="519">
        <f>((BS25/BN25)-1)</f>
        <v>9.7651230587765259E-3</v>
      </c>
      <c r="BT47" s="518"/>
      <c r="BU47" s="519">
        <f>((BU25/BP25)-1)</f>
        <v>9.9387646629808035E-2</v>
      </c>
      <c r="BV47" s="519">
        <f>((BV25/BQ25)-1)</f>
        <v>0.15317056715557587</v>
      </c>
      <c r="BW47" s="519">
        <f>((BW25/BR25)-1)</f>
        <v>0.48504447793918803</v>
      </c>
      <c r="BX47" s="519">
        <f>((BX25/BS25)-1)</f>
        <v>4.6011515474302822E-2</v>
      </c>
      <c r="BY47" s="518"/>
      <c r="BZ47" s="519">
        <f>((BZ25/BU25)-1)</f>
        <v>0.38375619424606766</v>
      </c>
      <c r="CA47" s="519">
        <f>((CA25/BV25)-1)</f>
        <v>0.15220552897196482</v>
      </c>
      <c r="CB47" s="519">
        <f>((CB25/BW25)-1)</f>
        <v>4.0667537357867545E-2</v>
      </c>
      <c r="CC47" s="519">
        <f>((CC25/BX25)-1)</f>
        <v>2.7973534131485955E-2</v>
      </c>
      <c r="CD47" s="518"/>
      <c r="CE47" s="519">
        <f>((CE25/BZ25)-1)</f>
        <v>-0.16490092932870493</v>
      </c>
      <c r="CF47" s="519">
        <f>((CF25/CA25)-1)</f>
        <v>-0.10196365126540197</v>
      </c>
      <c r="CG47" s="519">
        <f>((CG25/CB25)-1)</f>
        <v>-7.664592653397917E-2</v>
      </c>
      <c r="CH47" s="519">
        <f>((CH25/CC25)-1)</f>
        <v>-2.944298475728091E-2</v>
      </c>
      <c r="CI47" s="518"/>
      <c r="CJ47" s="519">
        <f>((CJ25/CE25)-1)</f>
        <v>-0.14411240518920776</v>
      </c>
      <c r="CK47" s="519">
        <f>((CK25/CF25)-1)</f>
        <v>-1.9188470879347608E-2</v>
      </c>
      <c r="CL47" s="519">
        <f>((CL25/CG25)-1)</f>
        <v>8.0196904776568712E-2</v>
      </c>
      <c r="CM47" s="519">
        <f>((CM25/CH25)-1)</f>
        <v>-7.0738698536912947E-3</v>
      </c>
      <c r="CN47" s="518"/>
      <c r="CO47" s="519">
        <f>((CO25/CJ25)-1)</f>
        <v>7.1882339527991279E-2</v>
      </c>
      <c r="CP47" s="519">
        <f>((CP25/CK25)-1)</f>
        <v>9.2333323502031162E-2</v>
      </c>
      <c r="CQ47" s="519">
        <f>((CQ25/CL25)-1)</f>
        <v>5.2784858044164773E-2</v>
      </c>
      <c r="CR47" s="519">
        <f>((CR25/CM25)-1)</f>
        <v>0.14558093119159787</v>
      </c>
      <c r="CS47" s="519"/>
      <c r="CT47" s="2345">
        <f>((CT25/CO25)-1)</f>
        <v>0.21999092221498073</v>
      </c>
      <c r="CU47" s="2345">
        <f>((CU25/CP25)-1)</f>
        <v>6.0456797270703966E-2</v>
      </c>
      <c r="CV47" s="2345">
        <f>((CV25/CQ25)-1)</f>
        <v>3.1255283781378207E-2</v>
      </c>
      <c r="CW47" s="2423">
        <f>((CW25/CR25)-1)</f>
        <v>1.736831590857113E-2</v>
      </c>
      <c r="CX47" s="518"/>
      <c r="CY47" s="518"/>
      <c r="CZ47" s="538">
        <f>CZ25/'yrP&amp;L'!G49-1</f>
        <v>1.7694398130508566</v>
      </c>
      <c r="DA47" s="520">
        <f t="shared" ref="DA47:DR47" si="30">((DA25/CZ25)-1)</f>
        <v>0.23183078662682965</v>
      </c>
      <c r="DB47" s="520">
        <f t="shared" si="30"/>
        <v>-0.68978351270502614</v>
      </c>
      <c r="DC47" s="520">
        <f t="shared" si="30"/>
        <v>0.55561328069236904</v>
      </c>
      <c r="DD47" s="520">
        <f t="shared" si="30"/>
        <v>0.2897189864671017</v>
      </c>
      <c r="DE47" s="520">
        <f t="shared" si="30"/>
        <v>-8.1323196234865391E-2</v>
      </c>
      <c r="DF47" s="520">
        <f t="shared" si="30"/>
        <v>0.10812076554480843</v>
      </c>
      <c r="DG47" s="520">
        <f t="shared" si="30"/>
        <v>0.13584281982799662</v>
      </c>
      <c r="DH47" s="520">
        <f t="shared" si="30"/>
        <v>0.41556240487389262</v>
      </c>
      <c r="DI47" s="521">
        <f t="shared" si="30"/>
        <v>-0.14868464861848274</v>
      </c>
      <c r="DJ47" s="521">
        <f t="shared" si="30"/>
        <v>0.16761172171097938</v>
      </c>
      <c r="DK47" s="520">
        <f t="shared" si="30"/>
        <v>0.20891183713478934</v>
      </c>
      <c r="DL47" s="521">
        <f t="shared" si="30"/>
        <v>-3.4113236380919898E-2</v>
      </c>
      <c r="DM47" s="520">
        <f t="shared" si="30"/>
        <v>-0.14641939584740793</v>
      </c>
      <c r="DN47" s="521">
        <f t="shared" si="30"/>
        <v>0.43970918422090222</v>
      </c>
      <c r="DO47" s="521">
        <f t="shared" si="30"/>
        <v>0.22959332383989617</v>
      </c>
      <c r="DP47" s="520">
        <f t="shared" si="30"/>
        <v>-9.7343936656733798E-2</v>
      </c>
      <c r="DQ47" s="520">
        <f t="shared" si="30"/>
        <v>0.14747574795551044</v>
      </c>
      <c r="DR47" s="520">
        <f t="shared" si="30"/>
        <v>0.12427495603975669</v>
      </c>
      <c r="DS47" s="520">
        <f t="shared" ref="DS47:DZ47" si="31">((DS25/DR25)-1)</f>
        <v>-8.7369297453777528E-2</v>
      </c>
      <c r="DT47" s="520">
        <f t="shared" si="31"/>
        <v>-2.1960185018208178E-2</v>
      </c>
      <c r="DU47" s="520">
        <f t="shared" si="31"/>
        <v>0.10157523842657534</v>
      </c>
      <c r="DV47" s="520">
        <f t="shared" si="31"/>
        <v>6.6053492261022306E-2</v>
      </c>
      <c r="DW47" s="520">
        <f t="shared" si="31"/>
        <v>0.12465587685721524</v>
      </c>
      <c r="DX47" s="522">
        <f t="shared" si="31"/>
        <v>8.0561051966420383E-2</v>
      </c>
      <c r="DY47" s="566">
        <f t="shared" si="31"/>
        <v>6.5407459926854372E-2</v>
      </c>
      <c r="DZ47" s="2371">
        <f t="shared" si="31"/>
        <v>7.1291825022187671E-2</v>
      </c>
    </row>
    <row r="48" spans="1:130">
      <c r="A48" s="487" t="s">
        <v>446</v>
      </c>
      <c r="B48" s="512"/>
      <c r="C48" s="540">
        <f>C30/('qtrP&amp;L'!$AL40+'qtrP&amp;L'!$AL48)-1</f>
        <v>8.1362033499853048E-2</v>
      </c>
      <c r="D48" s="540">
        <f>D30/('qtrP&amp;L'!$AL41+'qtrP&amp;L'!$AL49)-1</f>
        <v>0.30365743761847042</v>
      </c>
      <c r="E48" s="540">
        <f>E30/('qtrP&amp;L'!$AL42+'qtrP&amp;L'!$AL50)-1</f>
        <v>0.31274105599148894</v>
      </c>
      <c r="F48" s="540">
        <f>F30/('qtrP&amp;L'!$AL43+'qtrP&amp;L'!$AL51)-1</f>
        <v>0.44145202531270544</v>
      </c>
      <c r="G48" s="518"/>
      <c r="H48" s="519">
        <f>((H30/C30)-1)</f>
        <v>0.81375046706749532</v>
      </c>
      <c r="I48" s="519">
        <f>((I30/D30)-1)</f>
        <v>0.59886062975234111</v>
      </c>
      <c r="J48" s="519">
        <f>((J30/E30)-1)</f>
        <v>0.59698090268983384</v>
      </c>
      <c r="K48" s="519">
        <f>((K30/F30)-1)</f>
        <v>-1.463608407700856E-2</v>
      </c>
      <c r="L48" s="519"/>
      <c r="M48" s="519">
        <f>((M30/H30)-1)</f>
        <v>0.20943908605674744</v>
      </c>
      <c r="N48" s="519">
        <f>((N30/I30)-1)</f>
        <v>0.21944928962237453</v>
      </c>
      <c r="O48" s="519">
        <f>((O30/J30)-1)</f>
        <v>-2.9420161136839762E-2</v>
      </c>
      <c r="P48" s="519">
        <f>((P30/K30)-1)</f>
        <v>0.16411810498220625</v>
      </c>
      <c r="Q48" s="519"/>
      <c r="R48" s="519">
        <f>((R30/M30)-1)</f>
        <v>0.18585276719625909</v>
      </c>
      <c r="S48" s="519">
        <f>((S30/N30)-1)</f>
        <v>-4.3925816350232627E-2</v>
      </c>
      <c r="T48" s="519">
        <f>((T30/O30)-1)</f>
        <v>0.12845400918345673</v>
      </c>
      <c r="U48" s="519">
        <f>((U30/P30)-1)</f>
        <v>3.5101860476224545E-2</v>
      </c>
      <c r="V48" s="518"/>
      <c r="W48" s="519">
        <f>((W30/R30)-1)</f>
        <v>4.9046748498302151E-2</v>
      </c>
      <c r="X48" s="519">
        <f>((X30/S30)-1)</f>
        <v>0.1481765638586261</v>
      </c>
      <c r="Y48" s="519">
        <f>((Y30/T30)-1)</f>
        <v>3.8112890613686945E-2</v>
      </c>
      <c r="Z48" s="519">
        <f>((Z30/U30)-1)</f>
        <v>0.17099957891822326</v>
      </c>
      <c r="AA48" s="518"/>
      <c r="AB48" s="519">
        <f>((AB30/W30)-1)</f>
        <v>9.0905696076478471E-2</v>
      </c>
      <c r="AC48" s="519">
        <f>((AC30/X30)-1)</f>
        <v>-4.2598449750535394E-2</v>
      </c>
      <c r="AD48" s="519">
        <f>((AD30/Y30)-1)</f>
        <v>-0.15843213837355263</v>
      </c>
      <c r="AE48" s="519">
        <f>((AE30/Z30)-1)</f>
        <v>-0.17528865857503129</v>
      </c>
      <c r="AF48" s="518"/>
      <c r="AG48" s="519">
        <f>((AG30/AB30)-1)</f>
        <v>7.5982154063830798E-2</v>
      </c>
      <c r="AH48" s="519">
        <f>((AH30/AC30)-1)</f>
        <v>0.17696325334140028</v>
      </c>
      <c r="AI48" s="519">
        <f>((AI30/AD30)-1)</f>
        <v>0.1008420075581784</v>
      </c>
      <c r="AJ48" s="519">
        <f>((AJ30/AE30)-1)</f>
        <v>0.37531880327075728</v>
      </c>
      <c r="AK48" s="518"/>
      <c r="AL48" s="519">
        <f>((AL30/AG30)-1)</f>
        <v>9.5251224840398274E-2</v>
      </c>
      <c r="AM48" s="519">
        <f>((AM30/AH30)-1)</f>
        <v>5.5445740264874255E-2</v>
      </c>
      <c r="AN48" s="519">
        <f>((AN30/AI30)-1)</f>
        <v>0.16471934473620675</v>
      </c>
      <c r="AO48" s="519">
        <f>((AO30/AJ30)-1)</f>
        <v>0.1233692347780766</v>
      </c>
      <c r="AP48" s="518"/>
      <c r="AQ48" s="519">
        <f>((AQ30/AL30)-1)</f>
        <v>0.14856700232378128</v>
      </c>
      <c r="AR48" s="519">
        <f>((AR30/AM30)-1)</f>
        <v>0.34666167244123902</v>
      </c>
      <c r="AS48" s="519">
        <f>((AS30/AN30)-1)</f>
        <v>0.23655566471896194</v>
      </c>
      <c r="AT48" s="519">
        <f>((AT30/AO30)-1)</f>
        <v>0.21773167818082695</v>
      </c>
      <c r="AU48" s="518"/>
      <c r="AV48" s="519">
        <f>((AV30/AQ30)-1)</f>
        <v>0.18108477205287277</v>
      </c>
      <c r="AW48" s="519">
        <f>((AW30/AR30)-1)</f>
        <v>0.16876434183992806</v>
      </c>
      <c r="AX48" s="519">
        <f>((AX30/AS30)-1)</f>
        <v>0.191824786994931</v>
      </c>
      <c r="AY48" s="519">
        <f>((AY30/AT30)-1)</f>
        <v>-0.34555711823027602</v>
      </c>
      <c r="AZ48" s="518"/>
      <c r="BA48" s="519">
        <f>((BA30/AV30)-1)</f>
        <v>-0.34018771635559042</v>
      </c>
      <c r="BB48" s="519">
        <f>((BB30/AW30)-1)</f>
        <v>-0.27583888624464514</v>
      </c>
      <c r="BC48" s="519">
        <f>((BC30/AX30)-1)</f>
        <v>-8.008490930142842E-2</v>
      </c>
      <c r="BD48" s="519">
        <f>((BD30/AY30)-1)</f>
        <v>0.26338283019874797</v>
      </c>
      <c r="BE48" s="518"/>
      <c r="BF48" s="519">
        <f>((BF30/BA30)-1)</f>
        <v>0.51842757158465247</v>
      </c>
      <c r="BG48" s="519">
        <f>((BG30/BB30)-1)</f>
        <v>0.27962404594263668</v>
      </c>
      <c r="BH48" s="519">
        <f>((BH30/BC30)-1)</f>
        <v>0.34324999523237487</v>
      </c>
      <c r="BI48" s="519">
        <f>((BI30/BD30)-1)</f>
        <v>0.24136156814560228</v>
      </c>
      <c r="BJ48" s="518"/>
      <c r="BK48" s="519">
        <f>((BK30/BF30)-1)</f>
        <v>0.28817109312663858</v>
      </c>
      <c r="BL48" s="519">
        <f>((BL30/BG30)-1)</f>
        <v>0.3590066259181266</v>
      </c>
      <c r="BM48" s="519">
        <f>((BM30/BH30)-1)</f>
        <v>0.29768868192401565</v>
      </c>
      <c r="BN48" s="519">
        <f>((BN30/BI30)-1)</f>
        <v>-2.8457070035322607E-3</v>
      </c>
      <c r="BO48" s="518"/>
      <c r="BP48" s="1753">
        <f>((BP30/BK30)-1)</f>
        <v>-3.6716477341858123E-2</v>
      </c>
      <c r="BQ48" s="1753">
        <f>((BQ30/BL30)-1)</f>
        <v>-8.4538050154014943E-2</v>
      </c>
      <c r="BR48" s="1753">
        <f>((BR30/BM30)-1)</f>
        <v>-0.14397072338190908</v>
      </c>
      <c r="BS48" s="1753">
        <f>((BS30/BN30)-1)</f>
        <v>2.2262961653235047E-2</v>
      </c>
      <c r="BT48" s="518"/>
      <c r="BU48" s="1753">
        <f>((BU30/BP30)-1)</f>
        <v>0.1112591070106046</v>
      </c>
      <c r="BV48" s="1753">
        <f>((BV30/BQ30)-1)</f>
        <v>0.13642181097567274</v>
      </c>
      <c r="BW48" s="1753">
        <f>((BW30/BR30)-1)</f>
        <v>0.27303516541098771</v>
      </c>
      <c r="BX48" s="1753">
        <f>((BX30/BS30)-1)</f>
        <v>9.7208019396087586E-2</v>
      </c>
      <c r="BY48" s="518"/>
      <c r="BZ48" s="1753">
        <f>((BZ30/BU30)-1)</f>
        <v>0.34145837423407932</v>
      </c>
      <c r="CA48" s="1753">
        <f>((CA30/BV30)-1)</f>
        <v>0.16197793913963565</v>
      </c>
      <c r="CB48" s="1753">
        <f>((CB30/BW30)-1)</f>
        <v>8.4129788771986735E-2</v>
      </c>
      <c r="CC48" s="1753">
        <f>((CC30/BX30)-1)</f>
        <v>-2.7550845442025129E-2</v>
      </c>
      <c r="CD48" s="518"/>
      <c r="CE48" s="1753">
        <f>((CE30/BZ30)-1)</f>
        <v>-0.15694203735798185</v>
      </c>
      <c r="CF48" s="1753">
        <f>((CF30/CA30)-1)</f>
        <v>-8.9800608102298618E-2</v>
      </c>
      <c r="CG48" s="1753">
        <f>((CG30/CB30)-1)</f>
        <v>-4.387524539763743E-2</v>
      </c>
      <c r="CH48" s="1753">
        <f>((CH30/CC30)-1)</f>
        <v>-1.7746228926354135E-3</v>
      </c>
      <c r="CI48" s="518"/>
      <c r="CJ48" s="1753">
        <f>((CJ30/CE30)-1)</f>
        <v>-0.14709913202375557</v>
      </c>
      <c r="CK48" s="1753">
        <f>((CK30/CF30)-1)</f>
        <v>-2.1897810218978075E-2</v>
      </c>
      <c r="CL48" s="1753">
        <f>((CL30/CG30)-1)</f>
        <v>3.3898305084747449E-3</v>
      </c>
      <c r="CM48" s="1753">
        <f>((CM30/CH30)-1)</f>
        <v>-1.4245014245014564E-2</v>
      </c>
      <c r="CN48" s="572"/>
      <c r="CO48" s="1753">
        <f>((CO30/CJ30)-1)</f>
        <v>5.2490626673808993E-2</v>
      </c>
      <c r="CP48" s="1753">
        <f>((CP30/CK30)-1)</f>
        <v>1.9315188762072166E-2</v>
      </c>
      <c r="CQ48" s="1753">
        <f>((CQ30/CL30)-1)</f>
        <v>2.0270270270270618E-2</v>
      </c>
      <c r="CR48" s="1753">
        <f>((CR30/CM30)-1)</f>
        <v>4.3930635838150378E-2</v>
      </c>
      <c r="CS48" s="2254"/>
      <c r="CT48" s="2349">
        <f>((CT30/CO30)-1)</f>
        <v>0.10685054085550316</v>
      </c>
      <c r="CU48" s="2349">
        <f>((CU30/CP30)-1)</f>
        <v>-1.1926120805208051E-2</v>
      </c>
      <c r="CV48" s="2349">
        <f>((CV30/CQ30)-1)</f>
        <v>-3.7178575799321822E-2</v>
      </c>
      <c r="CW48" s="2419">
        <f>((CW30/CR30)-1)</f>
        <v>-2.5041053898336219E-2</v>
      </c>
      <c r="CX48" s="518"/>
      <c r="CY48" s="518"/>
      <c r="CZ48" s="538">
        <f>CZ30/('yrP&amp;L'!G31+flow!P11)-1</f>
        <v>0.33347552132210678</v>
      </c>
      <c r="DA48" s="520">
        <f t="shared" ref="DA48:DI48" si="32">((DA30/CZ30)-1)</f>
        <v>0.21943461928655594</v>
      </c>
      <c r="DB48" s="520">
        <f t="shared" si="32"/>
        <v>0.2076119380611896</v>
      </c>
      <c r="DC48" s="520">
        <f t="shared" si="32"/>
        <v>0.59433845160809784</v>
      </c>
      <c r="DD48" s="520">
        <f t="shared" si="32"/>
        <v>0.45943483998551815</v>
      </c>
      <c r="DE48" s="542">
        <f t="shared" si="32"/>
        <v>4.0543712523777309E-4</v>
      </c>
      <c r="DF48" s="542">
        <f t="shared" si="32"/>
        <v>5.9055181092956266E-2</v>
      </c>
      <c r="DG48" s="542">
        <f t="shared" si="32"/>
        <v>0.11989023300310975</v>
      </c>
      <c r="DH48" s="542">
        <f t="shared" si="32"/>
        <v>-9.7712363935561153E-2</v>
      </c>
      <c r="DI48" s="541">
        <f t="shared" si="32"/>
        <v>0.22621281091087631</v>
      </c>
      <c r="DJ48" s="541">
        <f t="shared" ref="DJ48:DQ48" si="33">((DJ30/DI30)-1)</f>
        <v>0.17313483178029454</v>
      </c>
      <c r="DK48" s="542">
        <f t="shared" si="33"/>
        <v>0.16577612351328441</v>
      </c>
      <c r="DL48" s="541">
        <f t="shared" si="33"/>
        <v>-6.6479862600954398E-2</v>
      </c>
      <c r="DM48" s="542">
        <f t="shared" si="33"/>
        <v>-7.772189772889937E-2</v>
      </c>
      <c r="DN48" s="541">
        <f t="shared" si="33"/>
        <v>0.31198025867349877</v>
      </c>
      <c r="DO48" s="541">
        <f t="shared" si="33"/>
        <v>0.17992176628268908</v>
      </c>
      <c r="DP48" s="542">
        <f t="shared" si="33"/>
        <v>-4.0366612490776221E-2</v>
      </c>
      <c r="DQ48" s="542">
        <f t="shared" si="33"/>
        <v>0.13207978942135101</v>
      </c>
      <c r="DR48" s="542">
        <f t="shared" ref="DR48:DZ48" si="34">((DR30/DQ30)-1)</f>
        <v>0.1139149716438741</v>
      </c>
      <c r="DS48" s="542">
        <f t="shared" si="34"/>
        <v>-7.0272580640702076E-2</v>
      </c>
      <c r="DT48" s="542">
        <f t="shared" si="34"/>
        <v>-4.1216684831072659E-2</v>
      </c>
      <c r="DU48" s="542">
        <f t="shared" si="34"/>
        <v>3.4721504598533182E-2</v>
      </c>
      <c r="DV48" s="542">
        <f t="shared" si="34"/>
        <v>1.3207894088496097E-3</v>
      </c>
      <c r="DW48" s="542">
        <f t="shared" si="34"/>
        <v>6.0565898499985504E-2</v>
      </c>
      <c r="DX48" s="543">
        <f t="shared" si="34"/>
        <v>6.7007060874225921E-2</v>
      </c>
      <c r="DY48" s="568">
        <f t="shared" si="34"/>
        <v>2.1941670873289798E-2</v>
      </c>
      <c r="DZ48" s="2374">
        <f t="shared" si="34"/>
        <v>9.0085985739555063E-2</v>
      </c>
    </row>
    <row r="49" spans="1:130">
      <c r="A49" s="544"/>
      <c r="B49" s="545"/>
      <c r="C49" s="488"/>
      <c r="D49" s="544"/>
      <c r="E49" s="544"/>
      <c r="F49" s="544"/>
      <c r="G49" s="544"/>
      <c r="H49" s="519"/>
      <c r="I49" s="519"/>
      <c r="J49" s="519"/>
      <c r="K49" s="519"/>
      <c r="L49" s="519"/>
      <c r="M49" s="519"/>
      <c r="N49" s="519"/>
      <c r="O49" s="519"/>
      <c r="P49" s="519"/>
      <c r="Q49" s="519"/>
      <c r="R49" s="519"/>
      <c r="S49" s="519"/>
      <c r="T49" s="519"/>
      <c r="U49" s="519"/>
      <c r="V49" s="544"/>
      <c r="W49" s="519"/>
      <c r="X49" s="519"/>
      <c r="Y49" s="519"/>
      <c r="Z49" s="519"/>
      <c r="AA49" s="544"/>
      <c r="AB49" s="519"/>
      <c r="AC49" s="519"/>
      <c r="AD49" s="519"/>
      <c r="AE49" s="519"/>
      <c r="AF49" s="544"/>
      <c r="AG49" s="519"/>
      <c r="AH49" s="519"/>
      <c r="AI49" s="519"/>
      <c r="AJ49" s="519"/>
      <c r="AK49" s="544"/>
      <c r="AL49" s="519"/>
      <c r="AM49" s="519"/>
      <c r="AN49" s="519"/>
      <c r="AO49" s="519"/>
      <c r="AP49" s="544"/>
      <c r="AQ49" s="519"/>
      <c r="AR49" s="519"/>
      <c r="AS49" s="519"/>
      <c r="AT49" s="519"/>
      <c r="AU49" s="544"/>
      <c r="AV49" s="544"/>
      <c r="AW49" s="544"/>
      <c r="AX49" s="544"/>
      <c r="AY49" s="544"/>
      <c r="AZ49" s="544"/>
      <c r="BA49" s="544"/>
      <c r="BB49" s="544"/>
      <c r="BC49" s="544"/>
      <c r="BD49" s="544"/>
      <c r="BE49" s="544"/>
      <c r="BF49" s="544"/>
      <c r="BG49" s="544"/>
      <c r="BH49" s="544"/>
      <c r="BI49" s="544"/>
      <c r="BJ49" s="544"/>
      <c r="BK49" s="544"/>
      <c r="BL49" s="544"/>
      <c r="BM49" s="544"/>
      <c r="BN49" s="544"/>
      <c r="BO49" s="544"/>
      <c r="BP49" s="544"/>
      <c r="BQ49" s="544"/>
      <c r="BR49" s="544"/>
      <c r="BS49" s="544"/>
      <c r="BT49" s="544"/>
      <c r="BU49" s="544"/>
      <c r="BV49" s="544"/>
      <c r="BW49" s="544"/>
      <c r="BX49" s="544"/>
      <c r="BY49" s="544"/>
      <c r="BZ49" s="544"/>
      <c r="CA49" s="544"/>
      <c r="CB49" s="544"/>
      <c r="CC49" s="544"/>
      <c r="CD49" s="544"/>
      <c r="CE49" s="544"/>
      <c r="CF49" s="544"/>
      <c r="CG49" s="544"/>
      <c r="CH49" s="544"/>
      <c r="CI49" s="544"/>
      <c r="CJ49" s="544"/>
      <c r="CK49" s="544"/>
      <c r="CL49" s="544"/>
      <c r="CM49" s="544"/>
      <c r="CN49" s="544"/>
      <c r="CO49" s="544"/>
      <c r="CP49" s="544"/>
      <c r="CQ49" s="544"/>
      <c r="CR49" s="544"/>
      <c r="CS49" s="544"/>
      <c r="CT49" s="2350"/>
      <c r="CU49" s="2350"/>
      <c r="CV49" s="2350"/>
      <c r="CW49" s="2350"/>
      <c r="CX49" s="544"/>
      <c r="CY49" s="544"/>
      <c r="CZ49" s="546"/>
      <c r="DA49" s="546"/>
      <c r="DB49" s="546"/>
      <c r="DC49" s="545"/>
      <c r="DD49" s="545"/>
      <c r="DE49" s="545"/>
      <c r="DF49" s="545"/>
      <c r="DG49" s="545"/>
      <c r="DH49" s="545"/>
      <c r="DI49" s="545"/>
      <c r="DJ49" s="545"/>
      <c r="DK49" s="545"/>
      <c r="DL49" s="545"/>
      <c r="DM49" s="545"/>
      <c r="DN49" s="545"/>
      <c r="DO49" s="545"/>
      <c r="DP49" s="545"/>
      <c r="DQ49" s="545"/>
      <c r="DR49" s="545"/>
      <c r="DS49" s="545"/>
      <c r="DT49" s="545"/>
      <c r="DU49" s="330"/>
      <c r="DV49" s="330"/>
      <c r="DW49" s="426"/>
      <c r="DX49" s="426"/>
      <c r="DY49" s="681"/>
      <c r="DZ49" s="405"/>
    </row>
    <row r="50" spans="1:130">
      <c r="A50" s="551" t="s">
        <v>1454</v>
      </c>
      <c r="B50" s="553"/>
      <c r="C50" s="552"/>
      <c r="D50" s="552"/>
      <c r="E50" s="552"/>
      <c r="F50" s="552"/>
      <c r="G50" s="552"/>
      <c r="H50" s="552"/>
      <c r="I50" s="552"/>
      <c r="J50" s="549">
        <f>DD6</f>
        <v>2000</v>
      </c>
      <c r="K50" s="549"/>
      <c r="L50" s="552"/>
      <c r="M50" s="552"/>
      <c r="N50" s="552"/>
      <c r="O50" s="552"/>
      <c r="P50" s="552"/>
      <c r="Q50" s="553"/>
      <c r="R50" s="549" t="str">
        <f>DE6</f>
        <v>2001A</v>
      </c>
      <c r="S50" s="552"/>
      <c r="T50" s="552"/>
      <c r="U50" s="552"/>
      <c r="V50" s="553"/>
      <c r="W50" s="552"/>
      <c r="X50" s="552"/>
      <c r="Y50" s="552"/>
      <c r="Z50" s="552"/>
      <c r="AA50" s="553"/>
      <c r="AB50" s="1222"/>
      <c r="AC50" s="552"/>
      <c r="AD50" s="1222"/>
      <c r="AE50" s="1222"/>
      <c r="AF50" s="1223"/>
      <c r="AG50" s="554" t="str">
        <f>DF6</f>
        <v>2002A</v>
      </c>
      <c r="AH50" s="554" t="str">
        <f>DG6</f>
        <v>2003A</v>
      </c>
      <c r="AI50" s="554" t="str">
        <f>DH6</f>
        <v>2004A</v>
      </c>
      <c r="AJ50" s="554" t="str">
        <f>DI6</f>
        <v>2005A</v>
      </c>
      <c r="AK50" s="552"/>
      <c r="AL50" s="554" t="str">
        <f>DJ6</f>
        <v>2006A</v>
      </c>
      <c r="AM50" s="552"/>
      <c r="AN50" s="552"/>
      <c r="AO50" s="1224"/>
      <c r="AP50" s="1225"/>
      <c r="AQ50" s="554" t="str">
        <f>DK6</f>
        <v>2007A</v>
      </c>
      <c r="AR50" s="552"/>
      <c r="AS50" s="552"/>
      <c r="AT50" s="552"/>
      <c r="AU50" s="553"/>
      <c r="AV50" s="1749"/>
      <c r="AW50" s="1749"/>
      <c r="AX50" s="1749"/>
      <c r="AY50" s="1749"/>
      <c r="AZ50" s="553"/>
      <c r="BA50" s="554" t="str">
        <f>DL6</f>
        <v>2008A</v>
      </c>
      <c r="BB50" s="1749"/>
      <c r="BC50" s="1749"/>
      <c r="BD50" s="554" t="str">
        <f>DM6</f>
        <v>2009A</v>
      </c>
      <c r="BE50" s="553"/>
      <c r="BF50" s="554" t="str">
        <f>DN6</f>
        <v>2010A</v>
      </c>
      <c r="BG50" s="1749"/>
      <c r="BH50" s="1749"/>
      <c r="BI50" s="1749"/>
      <c r="BJ50" s="1749"/>
      <c r="BK50" s="1749"/>
      <c r="BL50" s="1749"/>
      <c r="BM50" s="1749"/>
      <c r="BN50" s="1749"/>
      <c r="BO50" s="554"/>
      <c r="BP50" s="1749"/>
      <c r="BQ50" s="1749"/>
      <c r="BR50" s="1749"/>
      <c r="BS50" s="1749"/>
      <c r="BT50" s="553"/>
      <c r="BU50" s="1749"/>
      <c r="BV50" s="1749"/>
      <c r="BW50" s="1749"/>
      <c r="BX50" s="1749"/>
      <c r="BY50" s="553"/>
      <c r="CC50" s="554" t="str">
        <f>DP6</f>
        <v>2012A</v>
      </c>
      <c r="CD50" s="548"/>
      <c r="CE50" s="554" t="str">
        <f>DQ6</f>
        <v>2013A</v>
      </c>
      <c r="CI50" s="548"/>
      <c r="CJ50" s="2354" t="str">
        <f>DR6</f>
        <v>2014A</v>
      </c>
      <c r="CK50" s="554" t="s">
        <v>2459</v>
      </c>
      <c r="CL50" s="554" t="s">
        <v>2460</v>
      </c>
      <c r="CM50" s="555" t="s">
        <v>3110</v>
      </c>
      <c r="CN50" s="548"/>
      <c r="CO50" s="216"/>
      <c r="CQ50" s="548"/>
      <c r="CR50" s="216"/>
      <c r="CS50" s="1779"/>
      <c r="CT50" s="553" t="s">
        <v>489</v>
      </c>
      <c r="CU50" s="2351"/>
      <c r="CV50" s="2351"/>
      <c r="CW50" s="2351"/>
      <c r="CX50" s="553"/>
      <c r="CY50" s="553"/>
      <c r="CZ50" s="554">
        <f t="shared" ref="CZ50:DO50" si="35">CZ6</f>
        <v>1996</v>
      </c>
      <c r="DA50" s="554">
        <f t="shared" si="35"/>
        <v>1997</v>
      </c>
      <c r="DB50" s="554">
        <f t="shared" si="35"/>
        <v>1998</v>
      </c>
      <c r="DC50" s="554">
        <f t="shared" si="35"/>
        <v>1999</v>
      </c>
      <c r="DD50" s="554">
        <f t="shared" si="35"/>
        <v>2000</v>
      </c>
      <c r="DE50" s="549" t="str">
        <f t="shared" si="35"/>
        <v>2001A</v>
      </c>
      <c r="DF50" s="549" t="str">
        <f t="shared" si="35"/>
        <v>2002A</v>
      </c>
      <c r="DG50" s="549" t="str">
        <f t="shared" si="35"/>
        <v>2003A</v>
      </c>
      <c r="DH50" s="549" t="str">
        <f t="shared" si="35"/>
        <v>2004A</v>
      </c>
      <c r="DI50" s="549" t="str">
        <f t="shared" si="35"/>
        <v>2005A</v>
      </c>
      <c r="DJ50" s="549" t="str">
        <f t="shared" si="35"/>
        <v>2006A</v>
      </c>
      <c r="DK50" s="549" t="str">
        <f t="shared" si="35"/>
        <v>2007A</v>
      </c>
      <c r="DL50" s="549" t="str">
        <f t="shared" si="35"/>
        <v>2008A</v>
      </c>
      <c r="DM50" s="549" t="str">
        <f t="shared" si="35"/>
        <v>2009A</v>
      </c>
      <c r="DN50" s="549" t="str">
        <f t="shared" si="35"/>
        <v>2010A</v>
      </c>
      <c r="DO50" s="549" t="str">
        <f t="shared" si="35"/>
        <v>2011A</v>
      </c>
      <c r="DP50" s="549" t="s">
        <v>705</v>
      </c>
      <c r="DQ50" s="549" t="s">
        <v>1177</v>
      </c>
      <c r="DR50" s="549" t="s">
        <v>2454</v>
      </c>
      <c r="DS50" s="549" t="s">
        <v>2459</v>
      </c>
      <c r="DT50" s="549" t="s">
        <v>2460</v>
      </c>
      <c r="DU50" s="2449" t="s">
        <v>3110</v>
      </c>
      <c r="DV50" s="2333" t="s">
        <v>1307</v>
      </c>
      <c r="DW50" s="2333" t="s">
        <v>2440</v>
      </c>
      <c r="DX50" s="2375" t="s">
        <v>2457</v>
      </c>
      <c r="DY50" s="2407" t="s">
        <v>3103</v>
      </c>
      <c r="DZ50" s="2376" t="s">
        <v>3103</v>
      </c>
    </row>
    <row r="51" spans="1:130">
      <c r="A51" s="560" t="s">
        <v>491</v>
      </c>
      <c r="B51" s="556"/>
      <c r="C51" s="426"/>
      <c r="D51" s="426"/>
      <c r="E51" s="426"/>
      <c r="F51" s="426"/>
      <c r="G51" s="426"/>
      <c r="H51" s="426"/>
      <c r="I51" s="426"/>
      <c r="J51" s="557">
        <f>yrSales!L19</f>
        <v>119</v>
      </c>
      <c r="K51" s="557"/>
      <c r="L51" s="426"/>
      <c r="M51" s="426"/>
      <c r="N51" s="426"/>
      <c r="O51" s="426"/>
      <c r="P51" s="426"/>
      <c r="Q51" s="556"/>
      <c r="R51" s="557">
        <f>yrSales!M19</f>
        <v>126</v>
      </c>
      <c r="S51" s="426"/>
      <c r="T51" s="426"/>
      <c r="U51" s="426"/>
      <c r="V51" s="558"/>
      <c r="W51" s="426"/>
      <c r="X51" s="426"/>
      <c r="Y51" s="426"/>
      <c r="Z51" s="426"/>
      <c r="AA51" s="558"/>
      <c r="AB51" s="426"/>
      <c r="AC51" s="426"/>
      <c r="AD51" s="426"/>
      <c r="AE51" s="426"/>
      <c r="AF51" s="426"/>
      <c r="AG51" s="899">
        <f>turn!$R99</f>
        <v>0.99570277551536346</v>
      </c>
      <c r="AH51" s="899">
        <f>turn!$R106</f>
        <v>1.0278454108489898</v>
      </c>
      <c r="AI51" s="899">
        <f>turn!$R113</f>
        <v>0.95180189982690877</v>
      </c>
      <c r="AJ51" s="899">
        <f>turn!$R120</f>
        <v>0.9786766531726131</v>
      </c>
      <c r="AK51" s="900"/>
      <c r="AL51" s="899">
        <f>turn!$R127</f>
        <v>0.95950837352775276</v>
      </c>
      <c r="AM51" s="426"/>
      <c r="AN51" s="426"/>
      <c r="AO51" s="681"/>
      <c r="AP51" s="896"/>
      <c r="AQ51" s="561">
        <f>turn!R134</f>
        <v>0.92990340041977704</v>
      </c>
      <c r="AR51" s="426"/>
      <c r="AS51" s="426"/>
      <c r="AT51" s="426"/>
      <c r="AU51" s="558"/>
      <c r="AV51" s="216"/>
      <c r="AW51" s="216"/>
      <c r="AX51" s="216"/>
      <c r="AY51" s="216"/>
      <c r="AZ51" s="558"/>
      <c r="BA51" s="561">
        <f>turn!R141</f>
        <v>0.78803319306958086</v>
      </c>
      <c r="BB51" s="216"/>
      <c r="BC51" s="216"/>
      <c r="BD51" s="561">
        <f>turn!$R$148</f>
        <v>0.76731134053581884</v>
      </c>
      <c r="BE51" s="558"/>
      <c r="BF51" s="561">
        <f>turn!$R$155</f>
        <v>0.81314856569631588</v>
      </c>
      <c r="BG51" s="216"/>
      <c r="BH51" s="216"/>
      <c r="BI51" s="216"/>
      <c r="BJ51" s="216"/>
      <c r="BK51" s="216"/>
      <c r="BL51" s="216"/>
      <c r="BM51" s="216"/>
      <c r="BN51" s="216"/>
      <c r="BO51" s="1748"/>
      <c r="BP51" s="216"/>
      <c r="BQ51" s="216"/>
      <c r="BR51" s="216"/>
      <c r="BS51" s="216"/>
      <c r="BT51" s="558"/>
      <c r="BU51" s="216"/>
      <c r="BV51" s="216"/>
      <c r="BW51" s="216"/>
      <c r="BX51" s="216"/>
      <c r="BY51" s="558"/>
      <c r="CC51" s="1773">
        <f>turn!$R$169</f>
        <v>0.73602102601321551</v>
      </c>
      <c r="CD51" s="558"/>
      <c r="CE51" s="1773">
        <f>turn!$R$176</f>
        <v>0.72654698338548696</v>
      </c>
      <c r="CI51" s="558"/>
      <c r="CJ51" s="2355">
        <f>turn!$R$183</f>
        <v>0.69520620959168045</v>
      </c>
      <c r="CK51" s="1005">
        <f>turn!R190</f>
        <v>0.68939467097150209</v>
      </c>
      <c r="CL51" s="1005">
        <f>turn!R197</f>
        <v>0.66149486284507575</v>
      </c>
      <c r="CM51" s="1774">
        <f>turn!R204</f>
        <v>0.69809584878307174</v>
      </c>
      <c r="CN51" s="558"/>
      <c r="CO51" s="216"/>
      <c r="CQ51" s="558"/>
      <c r="CR51" s="216"/>
      <c r="CS51" s="1779"/>
      <c r="CT51" s="2133" t="s">
        <v>490</v>
      </c>
      <c r="CU51" s="629"/>
      <c r="CV51" s="629"/>
      <c r="CW51" s="629"/>
      <c r="CX51" s="558"/>
      <c r="CY51" s="558"/>
      <c r="CZ51" s="426">
        <f>yrSales!H19</f>
        <v>81</v>
      </c>
      <c r="DA51" s="426">
        <f>yrSales!I19</f>
        <v>96</v>
      </c>
      <c r="DB51" s="426">
        <f>yrSales!J19</f>
        <v>104</v>
      </c>
      <c r="DC51" s="426">
        <f>yrSales!K19</f>
        <v>110</v>
      </c>
      <c r="DD51" s="557">
        <f>yrSales!L19</f>
        <v>119</v>
      </c>
      <c r="DE51" s="557">
        <f>yrSales!M19</f>
        <v>126</v>
      </c>
      <c r="DF51" s="557">
        <f>yrSales!N19</f>
        <v>131</v>
      </c>
      <c r="DG51" s="557">
        <f>yrSales!O19</f>
        <v>141</v>
      </c>
      <c r="DH51" s="557">
        <f>yrSales!P19</f>
        <v>151</v>
      </c>
      <c r="DI51" s="557">
        <f>yrSales!Q19</f>
        <v>154</v>
      </c>
      <c r="DJ51" s="557">
        <f>yrSales!R19</f>
        <v>167</v>
      </c>
      <c r="DK51" s="557">
        <f>yrSales!S19</f>
        <v>184</v>
      </c>
      <c r="DL51" s="557">
        <f>yrSales!T19</f>
        <v>206</v>
      </c>
      <c r="DM51" s="557">
        <f>Stores!AS251</f>
        <v>220</v>
      </c>
      <c r="DN51" s="557">
        <f>Stores!AS258</f>
        <v>233</v>
      </c>
      <c r="DO51" s="557">
        <f>yrSales!W19</f>
        <v>248</v>
      </c>
      <c r="DP51" s="557">
        <f>yrSales!X19</f>
        <v>276</v>
      </c>
      <c r="DQ51" s="557">
        <f>yrSales!Y19</f>
        <v>289</v>
      </c>
      <c r="DR51" s="557">
        <f>yrSales!Z19</f>
        <v>295</v>
      </c>
      <c r="DS51" s="557">
        <f>yrSales!AA19</f>
        <v>307</v>
      </c>
      <c r="DT51" s="557">
        <f>yrSales!AB19</f>
        <v>313</v>
      </c>
      <c r="DU51" s="557">
        <f>yrSales!AC19</f>
        <v>315</v>
      </c>
      <c r="DV51" s="557">
        <f>yrSales!AD19</f>
        <v>322</v>
      </c>
      <c r="DW51" s="557">
        <f>yrSales!AE19</f>
        <v>329</v>
      </c>
      <c r="DX51" s="559">
        <f>yrSales!AF19</f>
        <v>336</v>
      </c>
      <c r="DY51" s="2408">
        <f>yrSales!AG19</f>
        <v>343</v>
      </c>
      <c r="DZ51" s="2377">
        <f>yrSales!AH19</f>
        <v>350</v>
      </c>
    </row>
    <row r="52" spans="1:130">
      <c r="A52" s="560" t="s">
        <v>492</v>
      </c>
      <c r="B52" s="563"/>
      <c r="C52" s="426"/>
      <c r="D52" s="426"/>
      <c r="E52" s="426"/>
      <c r="F52" s="426"/>
      <c r="G52" s="426"/>
      <c r="H52" s="426"/>
      <c r="I52" s="426"/>
      <c r="J52" s="566">
        <f>bal!Y26/bal!Y12</f>
        <v>0.29081794705370584</v>
      </c>
      <c r="K52" s="564"/>
      <c r="L52" s="426"/>
      <c r="M52" s="426"/>
      <c r="N52" s="426"/>
      <c r="O52" s="426"/>
      <c r="P52" s="426"/>
      <c r="Q52" s="563"/>
      <c r="R52" s="566">
        <f>bal!AA26/bal!AA12</f>
        <v>0.22021309467949962</v>
      </c>
      <c r="S52" s="426"/>
      <c r="T52" s="426"/>
      <c r="U52" s="426"/>
      <c r="V52" s="513"/>
      <c r="W52" s="426"/>
      <c r="X52" s="426"/>
      <c r="Y52" s="426"/>
      <c r="Z52" s="426"/>
      <c r="AA52" s="513"/>
      <c r="AB52" s="426"/>
      <c r="AC52" s="426"/>
      <c r="AD52" s="426"/>
      <c r="AE52" s="426"/>
      <c r="AF52" s="426"/>
      <c r="AG52" s="566">
        <f>bal!AC26/bal!AC12</f>
        <v>0.22311252199189169</v>
      </c>
      <c r="AH52" s="566">
        <f>bal!AE26/bal!AE12</f>
        <v>0.24085137348479371</v>
      </c>
      <c r="AI52" s="566">
        <f>bal!AG26/bal!AG12</f>
        <v>0.17594124351498472</v>
      </c>
      <c r="AJ52" s="566">
        <f>bal!AI26/bal!AI12</f>
        <v>0.19114589818179073</v>
      </c>
      <c r="AK52" s="426"/>
      <c r="AL52" s="566">
        <f>bal!AK26/bal!AK12</f>
        <v>0.1883421094399978</v>
      </c>
      <c r="AM52" s="426"/>
      <c r="AN52" s="426"/>
      <c r="AO52" s="681"/>
      <c r="AP52" s="561"/>
      <c r="AQ52" s="566">
        <f>bal!AM26/bal!AM12</f>
        <v>0.14836960442204408</v>
      </c>
      <c r="AR52" s="426"/>
      <c r="AS52" s="426"/>
      <c r="AT52" s="426"/>
      <c r="AU52" s="558"/>
      <c r="AV52" s="216"/>
      <c r="AW52" s="216"/>
      <c r="AX52" s="216"/>
      <c r="AY52" s="216"/>
      <c r="AZ52" s="558"/>
      <c r="BA52" s="566">
        <f>bal!AO26/bal!AO12</f>
        <v>0.13962089286026544</v>
      </c>
      <c r="BB52" s="216"/>
      <c r="BC52" s="216"/>
      <c r="BD52" s="566">
        <f>bal!AQ26/bal!AQ12</f>
        <v>0.16242055390778476</v>
      </c>
      <c r="BE52" s="558"/>
      <c r="BF52" s="566">
        <f>bal!AS26/bal!AS12</f>
        <v>0.15911565973585218</v>
      </c>
      <c r="BG52" s="216"/>
      <c r="BH52" s="216"/>
      <c r="BI52" s="216"/>
      <c r="BJ52" s="216"/>
      <c r="BK52" s="216"/>
      <c r="BL52" s="216"/>
      <c r="BM52" s="216"/>
      <c r="BN52" s="216"/>
      <c r="BO52" s="1747"/>
      <c r="BP52" s="216"/>
      <c r="BQ52" s="216"/>
      <c r="BR52" s="216"/>
      <c r="BS52" s="216"/>
      <c r="BT52" s="558"/>
      <c r="BU52" s="216"/>
      <c r="BV52" s="216"/>
      <c r="BW52" s="216"/>
      <c r="BX52" s="216"/>
      <c r="BY52" s="558"/>
      <c r="CC52" s="1770">
        <f>bal!AW26/bal!AW12</f>
        <v>0.13222016045944787</v>
      </c>
      <c r="CD52" s="558"/>
      <c r="CE52" s="1770">
        <f>bal!AY26/bal!AY12</f>
        <v>0.14703556292927816</v>
      </c>
      <c r="CI52" s="558"/>
      <c r="CJ52" s="2356">
        <f>bal!BA26/bal!BA12</f>
        <v>0.13463502154004553</v>
      </c>
      <c r="CK52" s="1770">
        <f>bal!BC26/bal!BC12</f>
        <v>0.14791011235955057</v>
      </c>
      <c r="CL52" s="1770">
        <f>bal!BE26/bal!BE12</f>
        <v>0.1449758991472006</v>
      </c>
      <c r="CM52" s="1772">
        <f>bal!BG26/bal!BG12</f>
        <v>0.19409806966940313</v>
      </c>
      <c r="CN52" s="558"/>
      <c r="CO52" s="216"/>
      <c r="CQ52" s="558"/>
      <c r="CR52" s="216"/>
      <c r="CS52" s="1779"/>
      <c r="CT52" s="2134" t="s">
        <v>1581</v>
      </c>
      <c r="CU52" s="629"/>
      <c r="CV52" s="629"/>
      <c r="CW52" s="629"/>
      <c r="CX52" s="558"/>
      <c r="CY52" s="558"/>
      <c r="CZ52" s="787"/>
      <c r="DA52" s="787"/>
      <c r="DB52" s="787">
        <f>Stores!D90+Stores!K90</f>
        <v>36</v>
      </c>
      <c r="DC52" s="787">
        <f>Stores!D97+Stores!K97</f>
        <v>41</v>
      </c>
      <c r="DD52" s="557">
        <f>Stores!D188</f>
        <v>46</v>
      </c>
      <c r="DE52" s="557">
        <f>Stores!D195</f>
        <v>49</v>
      </c>
      <c r="DF52" s="557">
        <f>Stores!D202</f>
        <v>52</v>
      </c>
      <c r="DG52" s="557">
        <f>Stores!D209</f>
        <v>58</v>
      </c>
      <c r="DH52" s="557">
        <f>Stores!$D$216</f>
        <v>62</v>
      </c>
      <c r="DI52" s="557">
        <f>Stores!$D$223</f>
        <v>66</v>
      </c>
      <c r="DJ52" s="557">
        <f>Stores!$D$230</f>
        <v>73</v>
      </c>
      <c r="DK52" s="557">
        <f>Stores!$D$237</f>
        <v>80</v>
      </c>
      <c r="DL52" s="557">
        <f>Stores!$D$244</f>
        <v>86</v>
      </c>
      <c r="DM52" s="557">
        <f>Stores!$D$251</f>
        <v>91</v>
      </c>
      <c r="DN52" s="557">
        <f>yrSales!V62</f>
        <v>96</v>
      </c>
      <c r="DO52" s="557">
        <f>yrSales!W62</f>
        <v>102</v>
      </c>
      <c r="DP52" s="557">
        <f>yrSales!X62</f>
        <v>115</v>
      </c>
      <c r="DQ52" s="557">
        <f>yrSales!Y62</f>
        <v>121</v>
      </c>
      <c r="DR52" s="557">
        <f>yrSales!Z62</f>
        <v>122</v>
      </c>
      <c r="DS52" s="557">
        <f>yrSales!AA62</f>
        <v>124</v>
      </c>
      <c r="DT52" s="557">
        <f>yrSales!AB62</f>
        <v>125</v>
      </c>
      <c r="DU52" s="557">
        <f>yrSales!AC62</f>
        <v>124</v>
      </c>
      <c r="DV52" s="557">
        <f>yrSales!AD62</f>
        <v>125</v>
      </c>
      <c r="DW52" s="557">
        <f>yrSales!AE62</f>
        <v>126</v>
      </c>
      <c r="DX52" s="559">
        <f>yrSales!AF62</f>
        <v>127</v>
      </c>
      <c r="DY52" s="2408">
        <f>yrSales!AG62</f>
        <v>128</v>
      </c>
      <c r="DZ52" s="2377">
        <f>yrSales!AH62</f>
        <v>129</v>
      </c>
    </row>
    <row r="53" spans="1:130">
      <c r="A53" s="560" t="s">
        <v>493</v>
      </c>
      <c r="B53" s="563"/>
      <c r="C53" s="426"/>
      <c r="D53" s="426"/>
      <c r="E53" s="426"/>
      <c r="F53" s="426"/>
      <c r="G53" s="426"/>
      <c r="H53" s="426"/>
      <c r="I53" s="426"/>
      <c r="J53" s="566">
        <f>(bal!Y27+bal!Y28+bal!Y33)/(bal!Y27+bal!Y28+bal!Y33+bal!Y48)</f>
        <v>0.25193244231771833</v>
      </c>
      <c r="K53" s="564"/>
      <c r="L53" s="426"/>
      <c r="M53" s="426"/>
      <c r="N53" s="426"/>
      <c r="O53" s="426"/>
      <c r="P53" s="426"/>
      <c r="Q53" s="563"/>
      <c r="R53" s="566">
        <f>(bal!AA27+bal!AA28+bal!AA33)/(bal!AA27+bal!AA28+bal!AA33+bal!AA48)</f>
        <v>0.20717525338096143</v>
      </c>
      <c r="S53" s="426"/>
      <c r="T53" s="426"/>
      <c r="U53" s="426"/>
      <c r="V53" s="513"/>
      <c r="W53" s="426"/>
      <c r="X53" s="426"/>
      <c r="Y53" s="426"/>
      <c r="Z53" s="426"/>
      <c r="AA53" s="513"/>
      <c r="AB53" s="426"/>
      <c r="AC53" s="426"/>
      <c r="AD53" s="426"/>
      <c r="AE53" s="426"/>
      <c r="AF53" s="426"/>
      <c r="AG53" s="566">
        <f>(bal!AC27+bal!AC28+bal!AC33)/(bal!AC27+bal!AC28+bal!AC33+bal!AC48)</f>
        <v>0.22447018311519235</v>
      </c>
      <c r="AH53" s="566">
        <f>(bal!AE27+bal!AE28+bal!AE33)/(bal!AE27+bal!AE28+bal!AE33+bal!AE48)</f>
        <v>0.24902522123373261</v>
      </c>
      <c r="AI53" s="566">
        <f>(bal!AG27+bal!AG28+bal!AG33)/(bal!AG27+bal!AG28+bal!AG33+bal!AG48)</f>
        <v>0.20570493943427792</v>
      </c>
      <c r="AJ53" s="566">
        <f>(bal!AI27+bal!AI28+bal!AI33)/(bal!AI27+bal!AI28+bal!AI33+bal!AI48)</f>
        <v>0.20484593646543087</v>
      </c>
      <c r="AK53" s="426"/>
      <c r="AL53" s="566">
        <f>(bal!AK27+bal!AK28+bal!AK33)/(bal!AK27+bal!AK28+bal!AK33+bal!AK48)</f>
        <v>0.22315210275476391</v>
      </c>
      <c r="AM53" s="426"/>
      <c r="AN53" s="426"/>
      <c r="AO53" s="681"/>
      <c r="AP53" s="897"/>
      <c r="AQ53" s="566">
        <f>(bal!AM27+bal!AM28+bal!AM33)/(bal!AM27+bal!AM28+bal!AM33+bal!AM48)</f>
        <v>0.20889089879829542</v>
      </c>
      <c r="AR53" s="426"/>
      <c r="AS53" s="426"/>
      <c r="AT53" s="426"/>
      <c r="AU53" s="558"/>
      <c r="AV53" s="216"/>
      <c r="AW53" s="216"/>
      <c r="AX53" s="216"/>
      <c r="AY53" s="216"/>
      <c r="AZ53" s="558"/>
      <c r="BA53" s="566">
        <f>(bal!AO27+bal!AO28+bal!AO33)/(bal!AO27+bal!AO28+bal!AO33+bal!AO48)</f>
        <v>0.30855463776159847</v>
      </c>
      <c r="BB53" s="216"/>
      <c r="BC53" s="216"/>
      <c r="BD53" s="566">
        <f>(bal!AQ27+bal!AQ28+bal!AQ33)/(bal!AQ27+bal!AQ28+bal!AQ33+bal!AQ48)</f>
        <v>0.28591833732227961</v>
      </c>
      <c r="BE53" s="558"/>
      <c r="BF53" s="566">
        <f>(bal!AS27+bal!AS28+bal!AS33)/(bal!AS27+bal!AS28+bal!AS33+bal!AS48)</f>
        <v>0.24016344961030667</v>
      </c>
      <c r="BG53" s="216"/>
      <c r="BH53" s="216"/>
      <c r="BI53" s="216"/>
      <c r="BJ53" s="216"/>
      <c r="BK53" s="216"/>
      <c r="BL53" s="216"/>
      <c r="BM53" s="216"/>
      <c r="BN53" s="216"/>
      <c r="BO53" s="216"/>
      <c r="BP53" s="216"/>
      <c r="BQ53" s="216"/>
      <c r="BR53" s="216"/>
      <c r="BS53" s="216"/>
      <c r="BT53" s="558"/>
      <c r="BU53" s="216"/>
      <c r="BV53" s="216"/>
      <c r="BW53" s="216"/>
      <c r="BX53" s="216"/>
      <c r="BY53" s="558"/>
      <c r="CC53" s="1770">
        <f>(bal!AW27+bal!AW28+bal!AW33)/(bal!AW27+bal!AW28+bal!AW33+bal!AW48)</f>
        <v>0.26865924118983142</v>
      </c>
      <c r="CD53" s="558"/>
      <c r="CE53" s="1770">
        <f>(bal!AY27+bal!AY28+bal!AY33)/(bal!AY27+bal!AY28+bal!AY33+bal!AY48)</f>
        <v>0.26850100080615663</v>
      </c>
      <c r="CI53" s="558"/>
      <c r="CJ53" s="2357">
        <f>(bal!BA27+bal!BA28+bal!BA33)/(bal!BA27+bal!BA28+bal!BA33+bal!BA48)</f>
        <v>0.28144349984208084</v>
      </c>
      <c r="CK53" s="2006">
        <f>(bal!BC27+bal!BC28+bal!BC33)/(bal!BC27+bal!BC28+bal!BC33+bal!BC48)</f>
        <v>0.27368969107948632</v>
      </c>
      <c r="CL53" s="2006">
        <f>(bal!BE27+bal!BE28+bal!BE33)/(bal!BE27+bal!BE28+bal!BE33+bal!BE48)</f>
        <v>0.26770644420263567</v>
      </c>
      <c r="CM53" s="1771">
        <f>(bal!BG27+bal!BG28+bal!BG33)/(bal!BG27+bal!BG28+bal!BG33+bal!BG48)</f>
        <v>0.23602323776371806</v>
      </c>
      <c r="CN53" s="558"/>
      <c r="CO53" s="216"/>
      <c r="CQ53" s="558"/>
      <c r="CR53" s="216"/>
      <c r="CS53" s="1779"/>
      <c r="CT53" s="2134" t="s">
        <v>2239</v>
      </c>
      <c r="CU53" s="629"/>
      <c r="CV53" s="629"/>
      <c r="CW53" s="629"/>
      <c r="CX53" s="558"/>
      <c r="CY53" s="558"/>
      <c r="CZ53" s="787"/>
      <c r="DA53" s="787"/>
      <c r="DB53" s="787">
        <f>Stores!AA90+Stores!AD90</f>
        <v>61</v>
      </c>
      <c r="DC53" s="787">
        <f>Stores!AA97+Stores!AD97</f>
        <v>61</v>
      </c>
      <c r="DD53" s="557">
        <f>Stores!K188</f>
        <v>65</v>
      </c>
      <c r="DE53" s="557">
        <f>Stores!K195</f>
        <v>67</v>
      </c>
      <c r="DF53" s="557">
        <f>Stores!K202</f>
        <v>68</v>
      </c>
      <c r="DG53" s="557">
        <f>Stores!K209</f>
        <v>72</v>
      </c>
      <c r="DH53" s="557">
        <f>Stores!$K$216</f>
        <v>77</v>
      </c>
      <c r="DI53" s="557">
        <f>Stores!$K$223</f>
        <v>75</v>
      </c>
      <c r="DJ53" s="557">
        <f>Stores!$K$230</f>
        <v>80</v>
      </c>
      <c r="DK53" s="557">
        <f>Stores!$K$237</f>
        <v>87</v>
      </c>
      <c r="DL53" s="557">
        <f>Stores!$K$244</f>
        <v>39</v>
      </c>
      <c r="DM53" s="557">
        <f>Stores!K251</f>
        <v>45</v>
      </c>
      <c r="DN53" s="557">
        <f>Stores!K258</f>
        <v>52</v>
      </c>
      <c r="DO53" s="557">
        <f>Stores!K265</f>
        <v>59</v>
      </c>
      <c r="DP53" s="557">
        <f>Stores!K272</f>
        <v>67</v>
      </c>
      <c r="DQ53" s="557">
        <f>yrSales!Y101</f>
        <v>72</v>
      </c>
      <c r="DR53" s="557">
        <f>yrSales!Z101</f>
        <v>73</v>
      </c>
      <c r="DS53" s="557">
        <f>yrSales!AA101</f>
        <v>81</v>
      </c>
      <c r="DT53" s="557">
        <f>yrSales!AB101</f>
        <v>85</v>
      </c>
      <c r="DU53" s="557">
        <f>yrSales!AC101</f>
        <v>87</v>
      </c>
      <c r="DV53" s="557">
        <f>yrSales!AD101</f>
        <v>89</v>
      </c>
      <c r="DW53" s="557">
        <f>yrSales!AE101</f>
        <v>92</v>
      </c>
      <c r="DX53" s="559">
        <f>yrSales!AF101</f>
        <v>95</v>
      </c>
      <c r="DY53" s="2408">
        <f>yrSales!AG101</f>
        <v>98</v>
      </c>
      <c r="DZ53" s="2377">
        <f>yrSales!AH101</f>
        <v>101</v>
      </c>
    </row>
    <row r="54" spans="1:130">
      <c r="A54" s="560" t="s">
        <v>1371</v>
      </c>
      <c r="B54" s="1593"/>
      <c r="C54" s="426"/>
      <c r="D54" s="426"/>
      <c r="E54" s="426"/>
      <c r="F54" s="426"/>
      <c r="G54" s="426"/>
      <c r="H54" s="426"/>
      <c r="I54" s="426"/>
      <c r="J54" s="557">
        <f>yrSales!L32</f>
        <v>0</v>
      </c>
      <c r="K54" s="557"/>
      <c r="L54" s="426"/>
      <c r="M54" s="426"/>
      <c r="N54" s="426"/>
      <c r="O54" s="426"/>
      <c r="P54" s="426"/>
      <c r="Q54" s="1593"/>
      <c r="R54" s="557">
        <f>yrSales!M32</f>
        <v>0</v>
      </c>
      <c r="S54" s="426"/>
      <c r="T54" s="426"/>
      <c r="U54" s="426"/>
      <c r="V54" s="484"/>
      <c r="W54" s="426"/>
      <c r="X54" s="426"/>
      <c r="Y54" s="426"/>
      <c r="Z54" s="426"/>
      <c r="AA54" s="484"/>
      <c r="AB54" s="426"/>
      <c r="AC54" s="426"/>
      <c r="AD54" s="426"/>
      <c r="AE54" s="426"/>
      <c r="AF54" s="426"/>
      <c r="AG54" s="566">
        <f>flow!AB10/AVERAGE(bal!AA48,bal!AC48)</f>
        <v>0.16917105346384007</v>
      </c>
      <c r="AH54" s="566">
        <f>flow!AD10/AVERAGE(bal!AC48,bal!AE48)</f>
        <v>0.16105900459934777</v>
      </c>
      <c r="AI54" s="566">
        <f>flow!AF10/AVERAGE(bal!AE48,bal!AG48)</f>
        <v>0.19202551934775472</v>
      </c>
      <c r="AJ54" s="566">
        <f>flow!AH10/AVERAGE(bal!AG48,bal!AI48)</f>
        <v>0.14419577398315386</v>
      </c>
      <c r="AK54" s="426"/>
      <c r="AL54" s="566">
        <f>flow!AJ10/AVERAGE(bal!AI48,bal!AK48)</f>
        <v>0.15823882889305488</v>
      </c>
      <c r="AM54" s="426"/>
      <c r="AN54" s="426"/>
      <c r="AO54" s="681"/>
      <c r="AP54" s="1760"/>
      <c r="AQ54" s="566">
        <f>flow!AL10/AVERAGE(bal!AK48,bal!AM48)</f>
        <v>0.21016640111786106</v>
      </c>
      <c r="AR54" s="426"/>
      <c r="AS54" s="426"/>
      <c r="AT54" s="426"/>
      <c r="AU54" s="558"/>
      <c r="AV54" s="216"/>
      <c r="AW54" s="216"/>
      <c r="AX54" s="216"/>
      <c r="AY54" s="216"/>
      <c r="AZ54" s="558"/>
      <c r="BA54" s="566">
        <f>flow!AN10/AVERAGE(bal!AM48,bal!AO48)</f>
        <v>0.14050899292658531</v>
      </c>
      <c r="BB54" s="216"/>
      <c r="BC54" s="216"/>
      <c r="BD54" s="566">
        <f>flow!AP10/AVERAGE(bal!AO48,bal!AQ48)</f>
        <v>0.15305636289790622</v>
      </c>
      <c r="BE54" s="558"/>
      <c r="BF54" s="566">
        <f>flow!AR10/AVERAGE(bal!AQ48,bal!AS48)</f>
        <v>0.18144740062954448</v>
      </c>
      <c r="BG54" s="216"/>
      <c r="BH54" s="216"/>
      <c r="BI54" s="216"/>
      <c r="BJ54" s="216"/>
      <c r="BK54" s="216"/>
      <c r="BL54" s="216"/>
      <c r="BM54" s="216"/>
      <c r="BN54" s="216"/>
      <c r="BO54" s="216"/>
      <c r="BP54" s="216"/>
      <c r="BQ54" s="216"/>
      <c r="BR54" s="216"/>
      <c r="BS54" s="216"/>
      <c r="BT54" s="558"/>
      <c r="BU54" s="216"/>
      <c r="BV54" s="216"/>
      <c r="BW54" s="216"/>
      <c r="BX54" s="216"/>
      <c r="BY54" s="558"/>
      <c r="CC54" s="566">
        <f>flow!AV10/AVERAGE(bal!AU48,bal!AW48)</f>
        <v>0.16779769780511872</v>
      </c>
      <c r="CD54" s="558"/>
      <c r="CE54" s="566">
        <f>flow!AX10/AVERAGE(bal!AW48,bal!AY48)</f>
        <v>6.7861289367865438E-2</v>
      </c>
      <c r="CI54" s="558"/>
      <c r="CJ54" s="2358">
        <f>flow!AZ10/AVERAGE(bal!AY48,bal!BA48)</f>
        <v>0.17339670478252905</v>
      </c>
      <c r="CK54" s="2007">
        <f>flow!BB10/AVERAGE(bal!BC48,bal!BA48)</f>
        <v>0.16052916081548496</v>
      </c>
      <c r="CL54" s="2007">
        <f>flow!BD10/AVERAGE(bal!BE48,bal!BC48)</f>
        <v>0.14975075110357661</v>
      </c>
      <c r="CM54" s="1769">
        <f>flow!BD10/AVERAGE(bal!BE48,bal!BC48)</f>
        <v>0.14975075110357661</v>
      </c>
      <c r="CN54" s="558"/>
      <c r="CO54" s="216"/>
      <c r="CQ54" s="558"/>
      <c r="CR54" s="216"/>
      <c r="CS54" s="1779"/>
      <c r="CT54" s="2134" t="s">
        <v>2007</v>
      </c>
      <c r="CU54" s="629"/>
      <c r="CV54" s="629"/>
      <c r="CW54" s="629"/>
      <c r="CX54" s="558"/>
      <c r="CY54" s="558"/>
      <c r="CZ54" s="787"/>
      <c r="DA54" s="787"/>
      <c r="DB54" s="787"/>
      <c r="DC54" s="787"/>
      <c r="DD54" s="557"/>
      <c r="DE54" s="557"/>
      <c r="DF54" s="557"/>
      <c r="DG54" s="557"/>
      <c r="DH54" s="557"/>
      <c r="DI54" s="557"/>
      <c r="DJ54" s="557">
        <f>Stores!U230</f>
        <v>52</v>
      </c>
      <c r="DK54" s="557">
        <f>Stores!U237</f>
        <v>53</v>
      </c>
      <c r="DL54" s="557">
        <f>Stores!U244</f>
        <v>57</v>
      </c>
      <c r="DM54" s="557">
        <f>Stores!U251</f>
        <v>57</v>
      </c>
      <c r="DN54" s="557">
        <f>Stores!U258</f>
        <v>56</v>
      </c>
      <c r="DO54" s="557">
        <f>Stores!U265</f>
        <v>55</v>
      </c>
      <c r="DP54" s="557">
        <f>Stores!U272</f>
        <v>55</v>
      </c>
      <c r="DQ54" s="557">
        <f>Stores!U279</f>
        <v>54</v>
      </c>
      <c r="DR54" s="557">
        <f>yrSales!Z139</f>
        <v>56</v>
      </c>
      <c r="DS54" s="557">
        <f>yrSales!AA139</f>
        <v>56</v>
      </c>
      <c r="DT54" s="557">
        <f>yrSales!AB139</f>
        <v>55</v>
      </c>
      <c r="DU54" s="557">
        <f>yrSales!AC139</f>
        <v>54</v>
      </c>
      <c r="DV54" s="557">
        <f>yrSales!AD139</f>
        <v>55</v>
      </c>
      <c r="DW54" s="557">
        <f>yrSales!AE139</f>
        <v>55</v>
      </c>
      <c r="DX54" s="559">
        <f>yrSales!AF139</f>
        <v>55</v>
      </c>
      <c r="DY54" s="2408">
        <f>yrSales!AG139</f>
        <v>55</v>
      </c>
      <c r="DZ54" s="2377">
        <f>yrSales!AH139</f>
        <v>55</v>
      </c>
    </row>
    <row r="55" spans="1:130">
      <c r="A55" s="567" t="s">
        <v>2389</v>
      </c>
      <c r="B55" s="461"/>
      <c r="C55" s="340"/>
      <c r="D55" s="340"/>
      <c r="E55" s="340"/>
      <c r="F55" s="340"/>
      <c r="G55" s="340"/>
      <c r="H55" s="340"/>
      <c r="I55" s="340"/>
      <c r="J55" s="578"/>
      <c r="K55" s="578"/>
      <c r="L55" s="340"/>
      <c r="M55" s="340"/>
      <c r="N55" s="340"/>
      <c r="O55" s="340"/>
      <c r="P55" s="340"/>
      <c r="Q55" s="461"/>
      <c r="R55" s="578"/>
      <c r="S55" s="340"/>
      <c r="T55" s="340"/>
      <c r="U55" s="340"/>
      <c r="V55" s="462"/>
      <c r="W55" s="340"/>
      <c r="X55" s="340"/>
      <c r="Y55" s="340"/>
      <c r="Z55" s="340"/>
      <c r="AA55" s="462"/>
      <c r="AB55" s="340"/>
      <c r="AC55" s="340"/>
      <c r="AD55" s="340"/>
      <c r="AE55" s="340"/>
      <c r="AF55" s="340"/>
      <c r="AG55" s="568"/>
      <c r="AH55" s="568"/>
      <c r="AI55" s="568"/>
      <c r="AJ55" s="568"/>
      <c r="AK55" s="340"/>
      <c r="AL55" s="568"/>
      <c r="AM55" s="340"/>
      <c r="AN55" s="340"/>
      <c r="AO55" s="409"/>
      <c r="AP55" s="1226"/>
      <c r="AQ55" s="568"/>
      <c r="AR55" s="340"/>
      <c r="AS55" s="340"/>
      <c r="AT55" s="340"/>
      <c r="AU55" s="1761"/>
      <c r="AV55" s="186"/>
      <c r="AW55" s="186"/>
      <c r="AX55" s="186"/>
      <c r="AY55" s="186"/>
      <c r="AZ55" s="1761"/>
      <c r="BA55" s="568"/>
      <c r="BB55" s="186"/>
      <c r="BC55" s="186"/>
      <c r="BD55" s="186"/>
      <c r="BE55" s="1761"/>
      <c r="BF55" s="568"/>
      <c r="BG55" s="186"/>
      <c r="BH55" s="186"/>
      <c r="BI55" s="186"/>
      <c r="BJ55" s="186"/>
      <c r="BK55" s="186"/>
      <c r="BL55" s="186"/>
      <c r="BM55" s="186"/>
      <c r="BN55" s="186"/>
      <c r="BO55" s="186"/>
      <c r="BP55" s="186"/>
      <c r="BQ55" s="186"/>
      <c r="BR55" s="186"/>
      <c r="BS55" s="186"/>
      <c r="BT55" s="2008"/>
      <c r="BU55" s="186"/>
      <c r="BV55" s="186"/>
      <c r="BW55" s="186"/>
      <c r="BX55" s="186"/>
      <c r="BY55" s="1761"/>
      <c r="CC55" s="1762">
        <f>flow!AV27</f>
        <v>219.53</v>
      </c>
      <c r="CD55" s="558"/>
      <c r="CE55" s="1762">
        <f>flow!AX27</f>
        <v>221.452</v>
      </c>
      <c r="CI55" s="558"/>
      <c r="CJ55" s="2359">
        <f>flow!AZ27</f>
        <v>247.39400000000001</v>
      </c>
      <c r="CK55" s="1762">
        <f>flow!BB27</f>
        <v>252.7</v>
      </c>
      <c r="CL55" s="1762">
        <f>flow!BD27</f>
        <v>222.8</v>
      </c>
      <c r="CM55" s="1763">
        <f>flow!BF27</f>
        <v>239.3</v>
      </c>
      <c r="CN55" s="558"/>
      <c r="CO55" s="216"/>
      <c r="CQ55" s="558"/>
      <c r="CR55" s="216"/>
      <c r="CS55" s="1779"/>
      <c r="CT55" s="2134" t="s">
        <v>2008</v>
      </c>
      <c r="CU55" s="629"/>
      <c r="CV55" s="629"/>
      <c r="CW55" s="629"/>
      <c r="CX55" s="558"/>
      <c r="CY55" s="558"/>
      <c r="CZ55" s="787"/>
      <c r="DA55" s="787"/>
      <c r="DB55" s="787">
        <f>Stores!M90</f>
        <v>7</v>
      </c>
      <c r="DC55" s="787">
        <f>Stores!M97</f>
        <v>8</v>
      </c>
      <c r="DD55" s="557">
        <f>Stores!AA188</f>
        <v>8</v>
      </c>
      <c r="DE55" s="557">
        <f>Stores!AA195</f>
        <v>10</v>
      </c>
      <c r="DF55" s="557">
        <f>Stores!AA202</f>
        <v>11</v>
      </c>
      <c r="DG55" s="557">
        <f>Stores!AA209</f>
        <v>11</v>
      </c>
      <c r="DH55" s="557">
        <f>Stores!$AA$216</f>
        <v>12</v>
      </c>
      <c r="DI55" s="557">
        <f>Stores!$AA$223</f>
        <v>13</v>
      </c>
      <c r="DJ55" s="557">
        <f>Stores!$AA$230</f>
        <v>14</v>
      </c>
      <c r="DK55" s="557">
        <f>Stores!$AA$237</f>
        <v>17</v>
      </c>
      <c r="DL55" s="557">
        <f>Stores!$AA$244</f>
        <v>24</v>
      </c>
      <c r="DM55" s="557">
        <f>Stores!$AA$251</f>
        <v>27</v>
      </c>
      <c r="DN55" s="557">
        <f>yrSales!V177</f>
        <v>29</v>
      </c>
      <c r="DO55" s="557">
        <f>yrSales!W177</f>
        <v>32</v>
      </c>
      <c r="DP55" s="557">
        <f>yrSales!X177</f>
        <v>34</v>
      </c>
      <c r="DQ55" s="557">
        <f>yrSales!Y177</f>
        <v>37</v>
      </c>
      <c r="DR55" s="557">
        <f>yrSales!Z177</f>
        <v>38</v>
      </c>
      <c r="DS55" s="557">
        <f>yrSales!AA177</f>
        <v>40</v>
      </c>
      <c r="DT55" s="557">
        <f>yrSales!AB177</f>
        <v>42</v>
      </c>
      <c r="DU55" s="557">
        <f>yrSales!AC177</f>
        <v>45</v>
      </c>
      <c r="DV55" s="557">
        <f>yrSales!AD177</f>
        <v>48</v>
      </c>
      <c r="DW55" s="557">
        <f>yrSales!AE177</f>
        <v>51</v>
      </c>
      <c r="DX55" s="559">
        <f>yrSales!AF177</f>
        <v>54</v>
      </c>
      <c r="DY55" s="2408">
        <f>yrSales!AG177</f>
        <v>57</v>
      </c>
      <c r="DZ55" s="2377">
        <f>yrSales!AH177</f>
        <v>60</v>
      </c>
    </row>
    <row r="56" spans="1:130">
      <c r="A56" s="330"/>
      <c r="B56" s="330"/>
      <c r="C56" s="330"/>
      <c r="D56" s="330"/>
      <c r="E56" s="330"/>
      <c r="F56" s="330"/>
      <c r="G56" s="330"/>
      <c r="H56" s="330"/>
      <c r="I56" s="330"/>
      <c r="J56" s="330"/>
      <c r="K56" s="330"/>
      <c r="L56" s="330"/>
      <c r="M56" s="330"/>
      <c r="N56" s="330"/>
      <c r="O56" s="330"/>
      <c r="P56" s="330"/>
      <c r="Q56" s="330"/>
      <c r="R56" s="330"/>
      <c r="S56" s="330"/>
      <c r="T56" s="330"/>
      <c r="U56" s="330"/>
      <c r="V56" s="330"/>
      <c r="W56" s="330"/>
      <c r="X56" s="330"/>
      <c r="Y56" s="330"/>
      <c r="Z56" s="330"/>
      <c r="AA56" s="330"/>
      <c r="AB56" s="330"/>
      <c r="AC56" s="330"/>
      <c r="AD56" s="330"/>
      <c r="AE56" s="330"/>
      <c r="AF56" s="330"/>
      <c r="AG56" s="330"/>
      <c r="AH56" s="330"/>
      <c r="AI56" s="330"/>
      <c r="AJ56" s="330"/>
      <c r="AK56" s="330"/>
      <c r="AL56" s="330"/>
      <c r="AM56" s="330"/>
      <c r="AN56" s="330"/>
      <c r="AO56" s="330"/>
      <c r="AP56" s="330"/>
      <c r="AQ56" s="330"/>
      <c r="AR56" s="330"/>
      <c r="AS56" s="330"/>
      <c r="AT56" s="330"/>
      <c r="AU56" s="513"/>
      <c r="AV56" s="566"/>
      <c r="AW56" s="513"/>
      <c r="AX56" s="513"/>
      <c r="AY56" s="513"/>
      <c r="AZ56" s="513"/>
      <c r="BA56" s="577"/>
      <c r="BB56" s="513"/>
      <c r="BC56" s="513"/>
      <c r="BD56" s="513"/>
      <c r="BE56" s="513"/>
      <c r="BF56" s="577"/>
      <c r="BG56" s="513"/>
      <c r="BH56" s="513"/>
      <c r="BI56" s="513"/>
      <c r="BJ56" s="513"/>
      <c r="BK56" s="577"/>
      <c r="BL56" s="513"/>
      <c r="BM56" s="513"/>
      <c r="BN56" s="513"/>
      <c r="BO56" s="513"/>
      <c r="BT56" s="484"/>
      <c r="BU56" s="216"/>
      <c r="BY56" s="216"/>
      <c r="CD56" s="216"/>
      <c r="CG56" s="513"/>
      <c r="CH56" s="513"/>
      <c r="CI56" s="216"/>
      <c r="CJ56" s="629"/>
      <c r="CK56" s="2135"/>
      <c r="CL56" s="216"/>
      <c r="CM56" s="216"/>
      <c r="CN56" s="216"/>
      <c r="CO56" s="216"/>
      <c r="CQ56" s="216"/>
      <c r="CR56" s="216"/>
      <c r="CS56" s="1779"/>
      <c r="CT56" s="2135" t="s">
        <v>1375</v>
      </c>
      <c r="CU56" s="629"/>
      <c r="CV56" s="629"/>
      <c r="CW56" s="629"/>
      <c r="CX56" s="216"/>
      <c r="CY56" s="216"/>
      <c r="CZ56" s="216"/>
      <c r="DA56" s="216"/>
      <c r="DB56" s="216"/>
      <c r="DC56" s="216"/>
      <c r="DD56" s="216"/>
      <c r="DE56" s="216"/>
      <c r="DF56" s="216"/>
      <c r="DG56" s="216"/>
      <c r="DH56" s="216"/>
      <c r="DI56" s="216"/>
      <c r="DJ56" s="216"/>
      <c r="DK56" s="216"/>
      <c r="DL56" s="216"/>
      <c r="DM56" s="216"/>
      <c r="DN56" s="216"/>
      <c r="DO56" s="216"/>
      <c r="DP56" s="557">
        <f>yrSales!X214</f>
        <v>5</v>
      </c>
      <c r="DQ56" s="557">
        <f>yrSales!Y214</f>
        <v>5</v>
      </c>
      <c r="DR56" s="557">
        <f>yrSales!Z214</f>
        <v>6</v>
      </c>
      <c r="DS56" s="557">
        <f>yrSales!AA214</f>
        <v>6</v>
      </c>
      <c r="DT56" s="557">
        <f>yrSales!AB214</f>
        <v>6</v>
      </c>
      <c r="DU56" s="557">
        <f>yrSales!AC214</f>
        <v>5</v>
      </c>
      <c r="DV56" s="557">
        <f>yrSales!AD214</f>
        <v>5</v>
      </c>
      <c r="DW56" s="557">
        <f>yrSales!AE214</f>
        <v>5</v>
      </c>
      <c r="DX56" s="559">
        <f>yrSales!AF214</f>
        <v>5</v>
      </c>
      <c r="DY56" s="2408">
        <f>yrSales!AG214</f>
        <v>5</v>
      </c>
      <c r="DZ56" s="2377">
        <f>yrSales!AH214</f>
        <v>5</v>
      </c>
    </row>
    <row r="57" spans="1:130">
      <c r="A57" s="551" t="s">
        <v>2464</v>
      </c>
      <c r="B57" s="552"/>
      <c r="C57" s="552"/>
      <c r="D57" s="552"/>
      <c r="E57" s="552"/>
      <c r="F57" s="552"/>
      <c r="G57" s="552"/>
      <c r="H57" s="552"/>
      <c r="I57" s="552"/>
      <c r="J57" s="552"/>
      <c r="K57" s="552"/>
      <c r="L57" s="552"/>
      <c r="M57" s="552"/>
      <c r="N57" s="552"/>
      <c r="O57" s="552"/>
      <c r="P57" s="552"/>
      <c r="Q57" s="552"/>
      <c r="R57" s="552"/>
      <c r="S57" s="552"/>
      <c r="T57" s="552"/>
      <c r="U57" s="552"/>
      <c r="V57" s="552"/>
      <c r="W57" s="552"/>
      <c r="X57" s="552"/>
      <c r="Y57" s="552"/>
      <c r="Z57" s="552"/>
      <c r="AA57" s="552"/>
      <c r="AB57" s="552"/>
      <c r="AC57" s="552"/>
      <c r="AD57" s="552"/>
      <c r="AE57" s="552"/>
      <c r="AF57" s="552"/>
      <c r="AG57" s="552"/>
      <c r="AH57" s="552"/>
      <c r="AI57" s="552"/>
      <c r="AJ57" s="552"/>
      <c r="AK57" s="552"/>
      <c r="AL57" s="552"/>
      <c r="AM57" s="552"/>
      <c r="AN57" s="552"/>
      <c r="AO57" s="552"/>
      <c r="AP57" s="552"/>
      <c r="AQ57" s="552"/>
      <c r="AR57" s="552"/>
      <c r="AS57" s="552"/>
      <c r="AT57" s="552"/>
      <c r="AU57" s="1223"/>
      <c r="AV57" s="1764"/>
      <c r="AW57" s="1223"/>
      <c r="AX57" s="1223"/>
      <c r="AY57" s="1223"/>
      <c r="AZ57" s="1223"/>
      <c r="BA57" s="1765"/>
      <c r="BB57" s="1223"/>
      <c r="BC57" s="1223"/>
      <c r="BD57" s="1223"/>
      <c r="BE57" s="1223"/>
      <c r="BF57" s="1765"/>
      <c r="BG57" s="1223"/>
      <c r="BH57" s="1223"/>
      <c r="BI57" s="1223"/>
      <c r="BJ57" s="1223"/>
      <c r="BK57" s="1765"/>
      <c r="BL57" s="1223"/>
      <c r="BM57" s="1223"/>
      <c r="BN57" s="1223"/>
      <c r="BO57" s="1223"/>
      <c r="BP57" s="1749"/>
      <c r="BQ57" s="1749"/>
      <c r="BR57" s="1749"/>
      <c r="BS57" s="1749"/>
      <c r="BT57" s="2009"/>
      <c r="BU57" s="1749"/>
      <c r="BV57" s="1749"/>
      <c r="BW57" s="1749"/>
      <c r="BX57" s="1749"/>
      <c r="BY57" s="2010"/>
      <c r="CD57" s="513"/>
      <c r="CE57" s="554" t="s">
        <v>2465</v>
      </c>
      <c r="CF57" s="554" t="s">
        <v>2466</v>
      </c>
      <c r="CG57" s="554" t="s">
        <v>2463</v>
      </c>
      <c r="CH57" s="555" t="s">
        <v>2467</v>
      </c>
      <c r="CI57" s="513"/>
      <c r="CJ57" s="2354" t="s">
        <v>3093</v>
      </c>
      <c r="CK57" s="554" t="s">
        <v>3097</v>
      </c>
      <c r="CL57" s="554" t="s">
        <v>3098</v>
      </c>
      <c r="CM57" s="555" t="s">
        <v>3099</v>
      </c>
      <c r="CN57" s="513"/>
      <c r="CO57" s="2434"/>
      <c r="CP57" s="2434"/>
      <c r="CQ57" s="2434"/>
      <c r="CR57" s="2434"/>
      <c r="CS57" s="1779"/>
      <c r="CT57" s="577" t="s">
        <v>1941</v>
      </c>
      <c r="CU57" s="629"/>
      <c r="CV57" s="629"/>
      <c r="CW57" s="629"/>
      <c r="CX57" s="513"/>
      <c r="CY57" s="513"/>
      <c r="CZ57" s="426">
        <f>yrSales!H30</f>
        <v>0.39444999999999997</v>
      </c>
      <c r="DA57" s="426">
        <f>yrSales!I30</f>
        <v>0.43045</v>
      </c>
      <c r="DB57" s="426">
        <f>yrSales!J30</f>
        <v>0.47145000000000004</v>
      </c>
      <c r="DC57" s="426">
        <f>yrSales!K30</f>
        <v>0.51644999999999996</v>
      </c>
      <c r="DD57" s="564">
        <f>yrSales!L30</f>
        <v>0.56045</v>
      </c>
      <c r="DE57" s="564">
        <f>yrSales!M30</f>
        <v>0.60899999999999999</v>
      </c>
      <c r="DF57" s="564">
        <f>yrSales!N30</f>
        <v>0.64200000000000002</v>
      </c>
      <c r="DG57" s="564">
        <f>yrSales!O30</f>
        <v>0.67199999999999993</v>
      </c>
      <c r="DH57" s="564">
        <f>yrSales!P30</f>
        <v>0.72500000000000009</v>
      </c>
      <c r="DI57" s="564">
        <f>yrSales!Q30</f>
        <v>0.74500000000000011</v>
      </c>
      <c r="DJ57" s="564">
        <f>yrSales!R30</f>
        <v>0.79200000000000004</v>
      </c>
      <c r="DK57" s="564">
        <f>yrSales!S30</f>
        <v>0.8600000000000001</v>
      </c>
      <c r="DL57" s="564">
        <f>yrSales!T30</f>
        <v>0.93500000000000005</v>
      </c>
      <c r="DM57" s="564">
        <f>yrSales!U30</f>
        <v>0.98220000000000007</v>
      </c>
      <c r="DN57" s="564">
        <f>yrSales!V30</f>
        <v>1.0390999999999999</v>
      </c>
      <c r="DO57" s="564">
        <f>yrSales!W30</f>
        <v>1.0667</v>
      </c>
      <c r="DP57" s="564">
        <f>yrSales!X30</f>
        <v>1.1447499999999999</v>
      </c>
      <c r="DQ57" s="564">
        <f>yrSales!Y30</f>
        <v>1.1848999999999998</v>
      </c>
      <c r="DR57" s="564">
        <f>yrSales!Z30</f>
        <v>1.2093999999999998</v>
      </c>
      <c r="DS57" s="564">
        <f>yrSales!AA30</f>
        <v>1.2493000000000001</v>
      </c>
      <c r="DT57" s="564">
        <f>yrSales!AB30</f>
        <v>1.2813000000000001</v>
      </c>
      <c r="DU57" s="564">
        <f>yrSales!AC30</f>
        <v>1.3211999999999999</v>
      </c>
      <c r="DV57" s="564">
        <f>yrSales!AD30</f>
        <v>1.3264999999999998</v>
      </c>
      <c r="DW57" s="564">
        <f>yrSales!AE30</f>
        <v>1.3617999999999997</v>
      </c>
      <c r="DX57" s="565">
        <f>yrSales!AF30</f>
        <v>1.3971</v>
      </c>
      <c r="DY57" s="899">
        <f>yrSales!AG30</f>
        <v>1.4323999999999999</v>
      </c>
      <c r="DZ57" s="2378">
        <f>yrSales!AH30</f>
        <v>1.4676999999999998</v>
      </c>
    </row>
    <row r="58" spans="1:130">
      <c r="A58" s="562" t="s">
        <v>480</v>
      </c>
      <c r="B58" s="426"/>
      <c r="C58" s="426"/>
      <c r="D58" s="426"/>
      <c r="E58" s="426"/>
      <c r="F58" s="426"/>
      <c r="G58" s="426"/>
      <c r="H58" s="426"/>
      <c r="I58" s="426"/>
      <c r="J58" s="426"/>
      <c r="K58" s="426"/>
      <c r="L58" s="426"/>
      <c r="M58" s="426"/>
      <c r="N58" s="426"/>
      <c r="O58" s="426"/>
      <c r="P58" s="426"/>
      <c r="Q58" s="426"/>
      <c r="R58" s="426"/>
      <c r="S58" s="426"/>
      <c r="T58" s="426"/>
      <c r="U58" s="426"/>
      <c r="V58" s="426"/>
      <c r="W58" s="426"/>
      <c r="X58" s="426"/>
      <c r="Y58" s="426"/>
      <c r="Z58" s="426"/>
      <c r="AA58" s="426"/>
      <c r="AB58" s="426"/>
      <c r="AC58" s="426"/>
      <c r="AD58" s="426"/>
      <c r="AE58" s="426"/>
      <c r="AF58" s="426"/>
      <c r="AG58" s="426"/>
      <c r="AH58" s="426"/>
      <c r="AI58" s="426"/>
      <c r="AJ58" s="426"/>
      <c r="AK58" s="426"/>
      <c r="AL58" s="426"/>
      <c r="AM58" s="426"/>
      <c r="AN58" s="426"/>
      <c r="AO58" s="426"/>
      <c r="AP58" s="426"/>
      <c r="AQ58" s="426"/>
      <c r="AR58" s="426"/>
      <c r="AS58" s="426"/>
      <c r="AT58" s="426"/>
      <c r="AU58" s="572"/>
      <c r="AV58" s="566"/>
      <c r="AW58" s="572"/>
      <c r="AX58" s="572"/>
      <c r="AY58" s="572"/>
      <c r="AZ58" s="572"/>
      <c r="BA58" s="484"/>
      <c r="BB58" s="572"/>
      <c r="BC58" s="572"/>
      <c r="BD58" s="572"/>
      <c r="BE58" s="572"/>
      <c r="BF58" s="484"/>
      <c r="BG58" s="572"/>
      <c r="BH58" s="572"/>
      <c r="BI58" s="572"/>
      <c r="BJ58" s="572"/>
      <c r="BK58" s="484"/>
      <c r="BL58" s="572"/>
      <c r="BM58" s="572"/>
      <c r="BN58" s="572"/>
      <c r="BO58" s="572"/>
      <c r="BP58" s="216"/>
      <c r="BQ58" s="216"/>
      <c r="BR58" s="216"/>
      <c r="BS58" s="216"/>
      <c r="BT58" s="484"/>
      <c r="BU58" s="216"/>
      <c r="BV58" s="216"/>
      <c r="BW58" s="216"/>
      <c r="BX58" s="216"/>
      <c r="BY58" s="484"/>
      <c r="CD58" s="484"/>
      <c r="CE58" s="1767">
        <f t="shared" ref="CE58:CH60" si="36">(CE33-BZ33)*10000</f>
        <v>87.706575579024062</v>
      </c>
      <c r="CF58" s="1767">
        <f t="shared" si="36"/>
        <v>-7.1323184749605417</v>
      </c>
      <c r="CG58" s="1767">
        <f t="shared" si="36"/>
        <v>67.720875283179268</v>
      </c>
      <c r="CH58" s="1768">
        <f t="shared" si="36"/>
        <v>220.54460019466759</v>
      </c>
      <c r="CI58" s="484"/>
      <c r="CJ58" s="2360">
        <f t="shared" ref="CJ58:CM60" si="37">(CJ33-CE33)*10000</f>
        <v>209.09313723432854</v>
      </c>
      <c r="CK58" s="1767">
        <f t="shared" si="37"/>
        <v>207.84344792055265</v>
      </c>
      <c r="CL58" s="1767">
        <f t="shared" si="37"/>
        <v>87.6572922955976</v>
      </c>
      <c r="CM58" s="1768">
        <f t="shared" si="37"/>
        <v>108.30303620344428</v>
      </c>
      <c r="CN58" s="484"/>
      <c r="CO58" s="2432"/>
      <c r="CP58" s="2432"/>
      <c r="CQ58" s="2432"/>
      <c r="CR58" s="2432"/>
      <c r="CS58" s="1779"/>
      <c r="CT58" s="577" t="s">
        <v>1938</v>
      </c>
      <c r="CU58" s="629"/>
      <c r="CV58" s="629"/>
      <c r="CW58" s="629"/>
      <c r="CX58" s="484"/>
      <c r="CY58" s="484"/>
      <c r="CZ58" s="520"/>
      <c r="DA58" s="520">
        <f>+DA57/CZ57-1</f>
        <v>9.1266320192673334E-2</v>
      </c>
      <c r="DB58" s="520">
        <f>+DB57/DA57-1</f>
        <v>9.5249157858055655E-2</v>
      </c>
      <c r="DC58" s="520">
        <f>+DC57/DB57-1</f>
        <v>9.5450206808781246E-2</v>
      </c>
      <c r="DD58" s="520">
        <f>+DD57/DC57-1</f>
        <v>8.5197018104366418E-2</v>
      </c>
      <c r="DE58" s="520">
        <f t="shared" ref="DE58:DR58" si="38">+DE57/DD57-1</f>
        <v>8.6626817735748096E-2</v>
      </c>
      <c r="DF58" s="520">
        <f>+DF57/DE57-1</f>
        <v>5.4187192118226646E-2</v>
      </c>
      <c r="DG58" s="520">
        <f t="shared" si="38"/>
        <v>4.6728971962616717E-2</v>
      </c>
      <c r="DH58" s="520">
        <f t="shared" si="38"/>
        <v>7.8869047619047894E-2</v>
      </c>
      <c r="DI58" s="520">
        <f t="shared" si="38"/>
        <v>2.7586206896551779E-2</v>
      </c>
      <c r="DJ58" s="520">
        <f t="shared" si="38"/>
        <v>6.3087248322147627E-2</v>
      </c>
      <c r="DK58" s="520">
        <f t="shared" si="38"/>
        <v>8.5858585858585856E-2</v>
      </c>
      <c r="DL58" s="520">
        <f t="shared" si="38"/>
        <v>8.7209302325581328E-2</v>
      </c>
      <c r="DM58" s="520">
        <f t="shared" si="38"/>
        <v>5.0481283422459944E-2</v>
      </c>
      <c r="DN58" s="520">
        <f t="shared" si="38"/>
        <v>5.7931174913459449E-2</v>
      </c>
      <c r="DO58" s="520">
        <f t="shared" si="38"/>
        <v>2.6561447406409533E-2</v>
      </c>
      <c r="DP58" s="520">
        <f t="shared" si="38"/>
        <v>7.3169588450360923E-2</v>
      </c>
      <c r="DQ58" s="520">
        <f t="shared" si="38"/>
        <v>3.5073160078619603E-2</v>
      </c>
      <c r="DR58" s="520">
        <f t="shared" si="38"/>
        <v>2.0676850367119526E-2</v>
      </c>
      <c r="DS58" s="520">
        <f t="shared" ref="DS58:DZ58" si="39">+DS57/DR57-1</f>
        <v>3.299156606581799E-2</v>
      </c>
      <c r="DT58" s="520">
        <f t="shared" si="39"/>
        <v>2.5614344032658387E-2</v>
      </c>
      <c r="DU58" s="520">
        <f t="shared" si="39"/>
        <v>3.1140248185436592E-2</v>
      </c>
      <c r="DV58" s="520">
        <f t="shared" si="39"/>
        <v>4.0115046927033937E-3</v>
      </c>
      <c r="DW58" s="520">
        <f t="shared" si="39"/>
        <v>2.6611383339615546E-2</v>
      </c>
      <c r="DX58" s="522">
        <f t="shared" si="39"/>
        <v>2.5921574386841284E-2</v>
      </c>
      <c r="DY58" s="566">
        <f t="shared" si="39"/>
        <v>2.5266623720563874E-2</v>
      </c>
      <c r="DZ58" s="2371">
        <f t="shared" si="39"/>
        <v>2.4643954202736573E-2</v>
      </c>
    </row>
    <row r="59" spans="1:130">
      <c r="A59" s="562" t="s">
        <v>481</v>
      </c>
      <c r="B59" s="577"/>
      <c r="C59" s="426"/>
      <c r="D59" s="426"/>
      <c r="E59" s="426"/>
      <c r="F59" s="426"/>
      <c r="G59" s="426"/>
      <c r="H59" s="426"/>
      <c r="I59" s="426"/>
      <c r="J59" s="570"/>
      <c r="K59" s="570"/>
      <c r="L59" s="426"/>
      <c r="M59" s="426"/>
      <c r="N59" s="426"/>
      <c r="O59" s="426"/>
      <c r="P59" s="426"/>
      <c r="Q59" s="571"/>
      <c r="R59" s="570"/>
      <c r="S59" s="426"/>
      <c r="T59" s="426"/>
      <c r="U59" s="426"/>
      <c r="V59" s="572"/>
      <c r="W59" s="426"/>
      <c r="X59" s="426"/>
      <c r="Y59" s="426"/>
      <c r="Z59" s="426"/>
      <c r="AA59" s="572"/>
      <c r="AB59" s="426"/>
      <c r="AC59" s="426"/>
      <c r="AD59" s="426"/>
      <c r="AE59" s="426"/>
      <c r="AF59" s="426"/>
      <c r="AG59" s="426"/>
      <c r="AH59" s="426"/>
      <c r="AI59" s="426"/>
      <c r="AJ59" s="426"/>
      <c r="AK59" s="484"/>
      <c r="AL59" s="484"/>
      <c r="AM59" s="898"/>
      <c r="AN59" s="897"/>
      <c r="AO59" s="897"/>
      <c r="AP59" s="897"/>
      <c r="AQ59" s="484"/>
      <c r="AR59" s="426"/>
      <c r="AS59" s="484"/>
      <c r="AT59" s="484"/>
      <c r="AU59" s="484"/>
      <c r="AV59" s="484"/>
      <c r="AW59" s="484"/>
      <c r="AX59" s="484"/>
      <c r="AY59" s="484"/>
      <c r="AZ59" s="484"/>
      <c r="BA59" s="577"/>
      <c r="BB59" s="484"/>
      <c r="BC59" s="484"/>
      <c r="BD59" s="484"/>
      <c r="BE59" s="484"/>
      <c r="BF59" s="577"/>
      <c r="BG59" s="484"/>
      <c r="BH59" s="484"/>
      <c r="BI59" s="484"/>
      <c r="BJ59" s="484"/>
      <c r="BK59" s="577"/>
      <c r="BL59" s="484"/>
      <c r="BM59" s="484"/>
      <c r="BN59" s="484"/>
      <c r="BO59" s="484"/>
      <c r="BP59" s="216"/>
      <c r="BQ59" s="216"/>
      <c r="BR59" s="216"/>
      <c r="BS59" s="216"/>
      <c r="BT59" s="484"/>
      <c r="BU59" s="484"/>
      <c r="BV59" s="216"/>
      <c r="BW59" s="216"/>
      <c r="BX59" s="216"/>
      <c r="BY59" s="572"/>
      <c r="CD59" s="572"/>
      <c r="CE59" s="1775">
        <f t="shared" si="36"/>
        <v>394.07228215518728</v>
      </c>
      <c r="CF59" s="1775">
        <f t="shared" si="36"/>
        <v>251.43089253338024</v>
      </c>
      <c r="CG59" s="1775">
        <f t="shared" si="36"/>
        <v>156.56523194320536</v>
      </c>
      <c r="CH59" s="2011">
        <f t="shared" si="36"/>
        <v>135.17185280512933</v>
      </c>
      <c r="CI59" s="572"/>
      <c r="CJ59" s="2361">
        <f t="shared" si="37"/>
        <v>465.35671927552369</v>
      </c>
      <c r="CK59" s="1775">
        <f t="shared" si="37"/>
        <v>171.92244311513284</v>
      </c>
      <c r="CL59" s="1775">
        <f t="shared" si="37"/>
        <v>119.79038375458883</v>
      </c>
      <c r="CM59" s="2011">
        <f t="shared" si="37"/>
        <v>168.71948753425292</v>
      </c>
      <c r="CN59" s="572"/>
      <c r="CO59" s="2433"/>
      <c r="CP59" s="2433"/>
      <c r="CQ59" s="2433"/>
      <c r="CR59" s="2433"/>
      <c r="CS59" s="1779"/>
      <c r="CT59" s="484" t="s">
        <v>2387</v>
      </c>
      <c r="CU59" s="629"/>
      <c r="CV59" s="629"/>
      <c r="CW59" s="629"/>
      <c r="CX59" s="572"/>
      <c r="CY59" s="572"/>
      <c r="CZ59" s="787">
        <f>yrSales!H33</f>
        <v>4869.7530864197524</v>
      </c>
      <c r="DA59" s="787">
        <f>yrSales!I33</f>
        <v>4483.8541666666661</v>
      </c>
      <c r="DB59" s="787">
        <f>yrSales!J33</f>
        <v>4533.1730769230771</v>
      </c>
      <c r="DC59" s="787">
        <f>yrSales!K33</f>
        <v>4694.9999999999991</v>
      </c>
      <c r="DD59" s="557">
        <f>yrSales!L33</f>
        <v>4709.6638655462184</v>
      </c>
      <c r="DE59" s="557">
        <f>yrSales!M33</f>
        <v>4833.3333333333339</v>
      </c>
      <c r="DF59" s="557">
        <f>yrSales!N33</f>
        <v>4900.7633587786268</v>
      </c>
      <c r="DG59" s="557">
        <f>yrSales!O33</f>
        <v>4765.9574468085102</v>
      </c>
      <c r="DH59" s="557">
        <f>yrSales!P33</f>
        <v>4801.3245033112589</v>
      </c>
      <c r="DI59" s="557">
        <f>yrSales!Q33</f>
        <v>4837.6623376623384</v>
      </c>
      <c r="DJ59" s="557">
        <f>yrSales!R33</f>
        <v>4742.5149700598804</v>
      </c>
      <c r="DK59" s="557">
        <f>yrSales!S33</f>
        <v>4673.9130434782619</v>
      </c>
      <c r="DL59" s="557">
        <f>yrSales!T33</f>
        <v>4538.8349514563106</v>
      </c>
      <c r="DM59" s="557">
        <f>yrSales!U33</f>
        <v>4464.545454545455</v>
      </c>
      <c r="DN59" s="557">
        <f>yrSales!V33</f>
        <v>4459.6566523605152</v>
      </c>
      <c r="DO59" s="557">
        <f>yrSales!W33</f>
        <v>4301.2096774193542</v>
      </c>
      <c r="DP59" s="557">
        <f>yrSales!X33</f>
        <v>4147.644927536232</v>
      </c>
      <c r="DQ59" s="557">
        <f>yrSales!Y33</f>
        <v>4099.9999999999991</v>
      </c>
      <c r="DR59" s="557">
        <f>yrSales!Z33</f>
        <v>4099.6610169491523</v>
      </c>
      <c r="DS59" s="557">
        <f>yrSales!AA33</f>
        <v>4069.3811074918572</v>
      </c>
      <c r="DT59" s="557">
        <f>yrSales!AB33</f>
        <v>4093.6102236421725</v>
      </c>
      <c r="DU59" s="557">
        <f>yrSales!AC33</f>
        <v>4194.2857142857138</v>
      </c>
      <c r="DV59" s="557">
        <f>yrSales!AD33</f>
        <v>4119.565217391304</v>
      </c>
      <c r="DW59" s="557">
        <f>yrSales!AE33</f>
        <v>4139.209726443768</v>
      </c>
      <c r="DX59" s="559">
        <f>yrSales!AF33</f>
        <v>4158.0357142857138</v>
      </c>
      <c r="DY59" s="2408">
        <f>yrSales!AG33</f>
        <v>4176.0932944606411</v>
      </c>
      <c r="DZ59" s="2377">
        <f>yrSales!AH33</f>
        <v>4193.4285714285706</v>
      </c>
    </row>
    <row r="60" spans="1:130">
      <c r="A60" s="569" t="s">
        <v>448</v>
      </c>
      <c r="B60" s="462"/>
      <c r="C60" s="462"/>
      <c r="D60" s="462"/>
      <c r="E60" s="462"/>
      <c r="F60" s="462"/>
      <c r="G60" s="462"/>
      <c r="H60" s="462"/>
      <c r="I60" s="462"/>
      <c r="J60" s="462"/>
      <c r="K60" s="462"/>
      <c r="L60" s="462"/>
      <c r="M60" s="462"/>
      <c r="N60" s="462"/>
      <c r="O60" s="462"/>
      <c r="P60" s="462"/>
      <c r="Q60" s="462"/>
      <c r="R60" s="462"/>
      <c r="S60" s="462"/>
      <c r="T60" s="462"/>
      <c r="U60" s="462"/>
      <c r="V60" s="462"/>
      <c r="W60" s="1766"/>
      <c r="X60" s="1766"/>
      <c r="Y60" s="1766"/>
      <c r="Z60" s="1766"/>
      <c r="AA60" s="462"/>
      <c r="AB60" s="340"/>
      <c r="AC60" s="340"/>
      <c r="AD60" s="340"/>
      <c r="AE60" s="340"/>
      <c r="AF60" s="340"/>
      <c r="AG60" s="340"/>
      <c r="AH60" s="340"/>
      <c r="AI60" s="340"/>
      <c r="AJ60" s="340"/>
      <c r="AK60" s="462"/>
      <c r="AL60" s="1766"/>
      <c r="AM60" s="340"/>
      <c r="AN60" s="1766"/>
      <c r="AO60" s="1766"/>
      <c r="AP60" s="462"/>
      <c r="AQ60" s="1766"/>
      <c r="AR60" s="340"/>
      <c r="AS60" s="1766"/>
      <c r="AT60" s="1766"/>
      <c r="AU60" s="462"/>
      <c r="AV60" s="462"/>
      <c r="AW60" s="462"/>
      <c r="AX60" s="462"/>
      <c r="AY60" s="462"/>
      <c r="AZ60" s="462"/>
      <c r="BA60" s="462"/>
      <c r="BB60" s="462"/>
      <c r="BC60" s="462"/>
      <c r="BD60" s="462"/>
      <c r="BE60" s="462"/>
      <c r="BF60" s="462"/>
      <c r="BG60" s="462"/>
      <c r="BH60" s="462"/>
      <c r="BI60" s="462"/>
      <c r="BJ60" s="462"/>
      <c r="BK60" s="462"/>
      <c r="BL60" s="462"/>
      <c r="BM60" s="462"/>
      <c r="BN60" s="462"/>
      <c r="BO60" s="462"/>
      <c r="BP60" s="186"/>
      <c r="BQ60" s="186"/>
      <c r="BR60" s="186"/>
      <c r="BS60" s="186"/>
      <c r="BT60" s="340"/>
      <c r="BU60" s="340"/>
      <c r="BV60" s="186"/>
      <c r="BW60" s="186"/>
      <c r="BX60" s="186"/>
      <c r="BY60" s="462"/>
      <c r="CD60" s="484"/>
      <c r="CE60" s="1776">
        <f t="shared" si="36"/>
        <v>-306.36570657616323</v>
      </c>
      <c r="CF60" s="1776">
        <f t="shared" si="36"/>
        <v>-258.56321100834077</v>
      </c>
      <c r="CG60" s="1776">
        <f t="shared" si="36"/>
        <v>-88.844356660024999</v>
      </c>
      <c r="CH60" s="1777">
        <f t="shared" si="36"/>
        <v>85.372747389537977</v>
      </c>
      <c r="CI60" s="484"/>
      <c r="CJ60" s="2362">
        <f t="shared" si="37"/>
        <v>-256.26358204119572</v>
      </c>
      <c r="CK60" s="1776">
        <f t="shared" si="37"/>
        <v>35.921004805419543</v>
      </c>
      <c r="CL60" s="1776">
        <f t="shared" si="37"/>
        <v>-32.133091458991515</v>
      </c>
      <c r="CM60" s="1777">
        <f t="shared" si="37"/>
        <v>-60.416451330808918</v>
      </c>
      <c r="CN60" s="484"/>
      <c r="CO60" s="2433"/>
      <c r="CP60" s="2433"/>
      <c r="CQ60" s="2433"/>
      <c r="CR60" s="2433"/>
      <c r="CS60" s="1779"/>
      <c r="CT60" s="2353" t="s">
        <v>494</v>
      </c>
      <c r="CU60" s="639"/>
      <c r="CV60" s="639"/>
      <c r="CW60" s="639"/>
      <c r="CX60" s="462"/>
      <c r="CY60" s="462"/>
      <c r="CZ60" s="786">
        <f>yrSales!H36</f>
        <v>1916.067695806184</v>
      </c>
      <c r="DA60" s="786">
        <f>yrSales!I36</f>
        <v>2212.4208995029703</v>
      </c>
      <c r="DB60" s="786">
        <f>yrSales!J36</f>
        <v>2341.8627342277414</v>
      </c>
      <c r="DC60" s="786">
        <f>yrSales!K36</f>
        <v>2700.7429901811925</v>
      </c>
      <c r="DD60" s="570">
        <f>yrSales!L36</f>
        <v>2808.9794781316741</v>
      </c>
      <c r="DE60" s="570">
        <f>yrSales!M36</f>
        <v>2472.6495361067173</v>
      </c>
      <c r="DF60" s="570">
        <f>yrSales!N36</f>
        <v>2403.3621103117507</v>
      </c>
      <c r="DG60" s="570">
        <f>yrSales!O36</f>
        <v>2731.5159817351596</v>
      </c>
      <c r="DH60" s="570">
        <f>yrSales!P36</f>
        <v>2826.3493199713671</v>
      </c>
      <c r="DI60" s="570">
        <f>yrSales!Q36</f>
        <v>2886.2204081632653</v>
      </c>
      <c r="DJ60" s="570">
        <f>yrSales!R36</f>
        <v>3041.077423552375</v>
      </c>
      <c r="DK60" s="570">
        <f>yrSales!S36</f>
        <v>3459.0883777239706</v>
      </c>
      <c r="DL60" s="570">
        <f>yrSales!T36</f>
        <v>3071.0841225626737</v>
      </c>
      <c r="DM60" s="570">
        <f>yrSales!U36</f>
        <v>2771.2048821197582</v>
      </c>
      <c r="DN60" s="570">
        <f>yrSales!V36</f>
        <v>2999.1945777469937</v>
      </c>
      <c r="DO60" s="570">
        <f>yrSales!W36</f>
        <v>3411.1909962959448</v>
      </c>
      <c r="DP60" s="570">
        <f>yrSales!X36</f>
        <v>3365.8830179294127</v>
      </c>
      <c r="DQ60" s="570">
        <f>yrSales!Y36</f>
        <v>3365.2222436846732</v>
      </c>
      <c r="DR60" s="570">
        <f>yrSales!Z36</f>
        <v>3433.8462181013251</v>
      </c>
      <c r="DS60" s="570">
        <f>yrSales!AA36</f>
        <v>3251.2303249684792</v>
      </c>
      <c r="DT60" s="570">
        <f>yrSales!AB36</f>
        <v>3084.6439579546345</v>
      </c>
      <c r="DU60" s="570">
        <f>yrSales!AC36</f>
        <v>3108.6263208453411</v>
      </c>
      <c r="DV60" s="570">
        <f>yrSales!AD36</f>
        <v>3213.1166176242159</v>
      </c>
      <c r="DW60" s="570">
        <f>yrSales!AE36</f>
        <v>3340.0814395185243</v>
      </c>
      <c r="DX60" s="573">
        <f>yrSales!AF36</f>
        <v>3429.2639263490705</v>
      </c>
      <c r="DY60" s="2409">
        <f>yrSales!AG36</f>
        <v>3485.9420296341091</v>
      </c>
      <c r="DZ60" s="2379">
        <f>yrSales!AH36</f>
        <v>3543.2087792746111</v>
      </c>
    </row>
    <row r="61" spans="1:130">
      <c r="B61" s="547"/>
      <c r="C61" s="467"/>
      <c r="D61" s="467"/>
      <c r="E61" s="467"/>
      <c r="F61" s="467"/>
      <c r="G61" s="467"/>
      <c r="H61" s="467"/>
      <c r="I61" s="467"/>
      <c r="J61" s="467"/>
      <c r="K61" s="467"/>
      <c r="L61" s="459"/>
      <c r="M61" s="467"/>
      <c r="N61" s="467"/>
      <c r="O61" s="467"/>
      <c r="P61" s="467"/>
      <c r="Q61" s="459"/>
      <c r="R61" s="467"/>
      <c r="S61" s="467"/>
      <c r="T61" s="467"/>
      <c r="U61" s="467"/>
      <c r="V61" s="459"/>
      <c r="W61" s="330"/>
      <c r="X61" s="330"/>
      <c r="Y61" s="330"/>
      <c r="Z61" s="330"/>
      <c r="AA61" s="459"/>
      <c r="AB61" s="330"/>
      <c r="AC61" s="330"/>
      <c r="AD61" s="330"/>
      <c r="AE61" s="330"/>
      <c r="AF61" s="330"/>
      <c r="AG61" s="330"/>
      <c r="AH61" s="330"/>
      <c r="AI61" s="330"/>
      <c r="AJ61" s="330"/>
      <c r="AK61" s="330"/>
      <c r="AL61" s="330"/>
      <c r="AM61" s="330"/>
      <c r="AN61" s="330"/>
      <c r="AO61" s="330"/>
      <c r="AP61" s="330"/>
      <c r="AQ61" s="330"/>
      <c r="AR61" s="330"/>
      <c r="AS61" s="330"/>
      <c r="AT61" s="330"/>
      <c r="AU61" s="330"/>
      <c r="AV61" s="330"/>
      <c r="AW61" s="330"/>
      <c r="AX61" s="330"/>
      <c r="AY61" s="330"/>
      <c r="AZ61" s="330"/>
      <c r="BA61" s="330"/>
      <c r="BB61" s="330"/>
      <c r="BC61" s="330"/>
      <c r="BD61" s="330"/>
      <c r="BE61" s="330"/>
      <c r="BF61" s="330"/>
      <c r="BG61" s="330"/>
      <c r="BH61" s="330"/>
      <c r="BI61" s="330"/>
      <c r="BJ61" s="330"/>
      <c r="BK61" s="330"/>
      <c r="BL61" s="330"/>
      <c r="BM61" s="330"/>
      <c r="BN61" s="330"/>
      <c r="BO61" s="330"/>
      <c r="BP61" s="330"/>
      <c r="BQ61" s="330"/>
      <c r="BR61" s="426"/>
      <c r="BS61" s="426"/>
      <c r="BT61" s="330"/>
      <c r="BU61" s="330"/>
      <c r="BV61" s="330"/>
      <c r="BW61" s="330"/>
      <c r="BX61" s="330"/>
      <c r="BY61" s="330"/>
      <c r="BZ61" s="330"/>
      <c r="CA61" s="330"/>
      <c r="CB61" s="330"/>
      <c r="CC61" s="330"/>
      <c r="CD61" s="426"/>
      <c r="CE61" s="426"/>
      <c r="CF61" s="330"/>
      <c r="CG61" s="330"/>
      <c r="CH61" s="330"/>
      <c r="CI61" s="426"/>
      <c r="CJ61" s="426"/>
      <c r="CK61" s="426"/>
      <c r="CL61" s="426"/>
      <c r="CM61" s="426"/>
      <c r="CN61" s="426"/>
      <c r="CO61" s="426"/>
      <c r="CP61" s="330"/>
      <c r="CQ61" s="330"/>
      <c r="CR61" s="330"/>
      <c r="CS61" s="330"/>
      <c r="CT61" s="405"/>
      <c r="CU61" s="405"/>
      <c r="CV61" s="405"/>
      <c r="CW61" s="405"/>
      <c r="CX61" s="330"/>
      <c r="CY61" s="330"/>
      <c r="CZ61" s="330"/>
      <c r="DA61" s="330"/>
      <c r="DB61" s="330"/>
      <c r="DC61" s="330"/>
      <c r="DD61" s="330"/>
      <c r="DE61" s="426"/>
      <c r="DF61" s="426"/>
      <c r="DG61" s="426"/>
      <c r="DH61" s="426"/>
      <c r="DI61" s="330"/>
      <c r="DJ61" s="457"/>
      <c r="DK61" s="457"/>
      <c r="DL61" s="457"/>
      <c r="DM61" s="457"/>
      <c r="DN61" s="457"/>
      <c r="DO61" s="457"/>
      <c r="DP61" s="457"/>
      <c r="DQ61" s="457"/>
      <c r="DR61" s="457"/>
      <c r="DS61" s="457"/>
      <c r="DT61" s="457"/>
      <c r="DU61" s="330"/>
      <c r="DV61" s="330"/>
      <c r="DW61" s="330"/>
      <c r="DX61" s="330"/>
      <c r="DY61" s="405"/>
      <c r="DZ61" s="330"/>
    </row>
    <row r="62" spans="1:130">
      <c r="A62" s="574" t="s">
        <v>1617</v>
      </c>
      <c r="B62" s="330"/>
      <c r="C62" s="330"/>
      <c r="D62" s="330"/>
      <c r="E62" s="330"/>
      <c r="F62" s="330"/>
      <c r="G62" s="330"/>
      <c r="H62" s="330"/>
      <c r="I62" s="330"/>
      <c r="J62" s="330"/>
      <c r="K62" s="330"/>
      <c r="L62" s="330"/>
      <c r="M62" s="330"/>
      <c r="N62" s="330"/>
      <c r="O62" s="330"/>
      <c r="P62" s="330"/>
      <c r="Q62" s="330"/>
      <c r="R62" s="330"/>
      <c r="S62" s="330"/>
      <c r="T62" s="330"/>
      <c r="U62" s="330"/>
      <c r="V62" s="330"/>
      <c r="W62" s="330"/>
      <c r="X62" s="330"/>
      <c r="Y62" s="330"/>
      <c r="Z62" s="330"/>
      <c r="AA62" s="330"/>
      <c r="AB62" s="330"/>
      <c r="AC62" s="330"/>
      <c r="AD62" s="330"/>
      <c r="AE62" s="330"/>
      <c r="AF62" s="330"/>
      <c r="AG62" s="330"/>
      <c r="AH62" s="330"/>
      <c r="AI62" s="330"/>
      <c r="AJ62" s="330"/>
      <c r="AK62" s="330"/>
      <c r="AL62" s="330"/>
      <c r="AM62" s="330"/>
      <c r="AN62" s="330"/>
      <c r="AO62" s="330"/>
      <c r="AP62" s="330"/>
      <c r="AQ62" s="330"/>
      <c r="AR62" s="330"/>
      <c r="AS62" s="330"/>
      <c r="AT62" s="330"/>
      <c r="AU62" s="330"/>
      <c r="AV62" s="330"/>
      <c r="AW62" s="330"/>
      <c r="AX62" s="330"/>
      <c r="AY62" s="330"/>
      <c r="AZ62" s="330"/>
      <c r="BA62" s="330"/>
      <c r="BB62" s="330"/>
      <c r="BC62" s="330"/>
      <c r="BD62" s="330"/>
      <c r="BE62" s="330"/>
      <c r="BF62" s="330"/>
      <c r="BG62" s="330"/>
      <c r="BH62" s="330"/>
      <c r="BI62" s="330"/>
      <c r="BJ62" s="330"/>
      <c r="BK62" s="330"/>
      <c r="BL62" s="330"/>
      <c r="BM62" s="330"/>
      <c r="BN62" s="330"/>
      <c r="BO62" s="330"/>
      <c r="BP62" s="330"/>
      <c r="BQ62" s="330"/>
      <c r="BR62" s="330"/>
      <c r="BS62" s="330"/>
      <c r="BT62" s="330"/>
      <c r="BU62" s="330"/>
      <c r="BV62" s="330"/>
      <c r="BW62" s="330"/>
      <c r="BX62" s="330"/>
      <c r="BY62" s="330"/>
      <c r="BZ62" s="330"/>
      <c r="CA62" s="330"/>
      <c r="CB62" s="330"/>
      <c r="CC62" s="330"/>
      <c r="CD62" s="330"/>
      <c r="CE62" s="330"/>
      <c r="CF62" s="330"/>
      <c r="CG62" s="330"/>
      <c r="CH62" s="330"/>
      <c r="CI62" s="330"/>
      <c r="CJ62" s="330"/>
      <c r="CK62" s="330"/>
      <c r="CL62" s="330"/>
      <c r="CM62" s="330"/>
      <c r="CN62" s="330"/>
      <c r="CO62" s="330"/>
      <c r="CP62" s="330"/>
      <c r="CQ62" s="330"/>
      <c r="CR62" s="330"/>
      <c r="CS62" s="330"/>
      <c r="CT62" s="405"/>
      <c r="CU62" s="405"/>
      <c r="CV62" s="405"/>
      <c r="CW62" s="405"/>
      <c r="CX62" s="330"/>
      <c r="CY62" s="330"/>
      <c r="CZ62" s="330"/>
      <c r="DA62" s="330"/>
      <c r="DB62" s="330"/>
      <c r="DC62" s="330"/>
      <c r="DD62" s="330"/>
      <c r="DE62" s="426"/>
      <c r="DF62" s="426"/>
      <c r="DG62" s="426"/>
      <c r="DH62" s="426"/>
      <c r="DI62" s="330"/>
      <c r="DJ62" s="330"/>
      <c r="DK62" s="330"/>
      <c r="DL62" s="330"/>
      <c r="DM62" s="330"/>
      <c r="DN62" s="330"/>
      <c r="DO62" s="330"/>
      <c r="DP62" s="330"/>
      <c r="DQ62" s="787"/>
      <c r="DR62" s="787"/>
      <c r="DS62" s="787"/>
      <c r="DT62" s="787"/>
      <c r="DU62" s="787"/>
      <c r="DV62" s="787"/>
      <c r="DW62" s="787"/>
      <c r="DX62" s="787"/>
      <c r="DY62" s="1457"/>
      <c r="DZ62" s="330"/>
    </row>
    <row r="63" spans="1:130" hidden="1" outlineLevel="1">
      <c r="A63" s="330"/>
      <c r="B63" s="330"/>
      <c r="C63" s="330"/>
      <c r="D63" s="330"/>
      <c r="E63" s="330"/>
      <c r="F63" s="330"/>
      <c r="G63" s="330"/>
      <c r="H63" s="330"/>
      <c r="I63" s="330"/>
      <c r="J63" s="330"/>
      <c r="K63" s="330"/>
      <c r="L63" s="330"/>
      <c r="M63" s="330"/>
      <c r="N63" s="330"/>
      <c r="O63" s="330"/>
      <c r="P63" s="330"/>
      <c r="Q63" s="330"/>
      <c r="R63" s="330"/>
      <c r="S63" s="330"/>
      <c r="T63" s="330"/>
      <c r="U63" s="330"/>
      <c r="V63" s="330"/>
      <c r="W63" s="330"/>
      <c r="X63" s="330"/>
      <c r="Y63" s="330"/>
      <c r="Z63" s="330"/>
      <c r="AA63" s="330"/>
      <c r="AB63" s="330"/>
      <c r="AC63" s="330"/>
      <c r="AD63" s="330"/>
      <c r="AE63" s="330"/>
      <c r="AF63" s="330"/>
      <c r="AG63" s="330"/>
      <c r="AH63" s="330"/>
      <c r="AI63" s="330"/>
      <c r="AJ63" s="330"/>
      <c r="AK63" s="330"/>
      <c r="AL63" s="330"/>
      <c r="AM63" s="330"/>
      <c r="AN63" s="330"/>
      <c r="AO63" s="330"/>
      <c r="AP63" s="330"/>
      <c r="AQ63" s="330"/>
      <c r="AR63" s="330"/>
      <c r="AS63" s="330"/>
      <c r="AT63" s="330"/>
      <c r="AU63" s="330"/>
      <c r="AV63" s="330"/>
      <c r="AW63" s="330"/>
      <c r="AX63" s="330"/>
      <c r="AY63" s="330"/>
      <c r="AZ63" s="330"/>
      <c r="BA63" s="330"/>
      <c r="BB63" s="330"/>
      <c r="BC63" s="330"/>
      <c r="BD63" s="330"/>
      <c r="BE63" s="330"/>
      <c r="BF63" s="330"/>
      <c r="BG63" s="330"/>
      <c r="BH63" s="330"/>
      <c r="BI63" s="330"/>
      <c r="BJ63" s="330"/>
      <c r="BK63" s="330"/>
      <c r="BL63" s="330"/>
      <c r="BM63" s="330"/>
      <c r="BN63" s="330"/>
      <c r="BO63" s="330"/>
      <c r="BP63" s="330"/>
      <c r="BQ63" s="330"/>
      <c r="BR63" s="330"/>
      <c r="BS63" s="330"/>
      <c r="BT63" s="330"/>
      <c r="BU63" s="1463"/>
      <c r="BV63" s="330"/>
      <c r="BW63" s="330"/>
      <c r="BX63" s="330"/>
      <c r="BY63" s="330"/>
      <c r="BZ63" s="330"/>
      <c r="CA63" s="330"/>
      <c r="CB63" s="330"/>
      <c r="CC63" s="330"/>
      <c r="CD63" s="330"/>
      <c r="CE63" s="330"/>
      <c r="CF63" s="330"/>
      <c r="CG63" s="330"/>
      <c r="CH63" s="330"/>
      <c r="CI63" s="330"/>
      <c r="CJ63" s="330"/>
      <c r="CK63" s="330"/>
      <c r="CL63" s="330"/>
      <c r="CM63" s="330"/>
      <c r="CN63" s="330"/>
      <c r="CO63" s="330"/>
      <c r="CP63" s="330"/>
      <c r="CQ63" s="330"/>
      <c r="CR63" s="330"/>
      <c r="CS63" s="330"/>
      <c r="CT63" s="405"/>
      <c r="CU63" s="405"/>
      <c r="CV63" s="405"/>
      <c r="CW63" s="405"/>
      <c r="CX63" s="330"/>
      <c r="CY63" s="330"/>
      <c r="CZ63" s="330"/>
      <c r="DA63" s="330"/>
      <c r="DB63" s="330"/>
      <c r="DC63" s="330"/>
      <c r="DD63" s="330"/>
      <c r="DE63" s="426"/>
      <c r="DF63" s="426"/>
      <c r="DG63" s="426"/>
      <c r="DH63" s="426"/>
      <c r="DI63" s="330"/>
      <c r="DJ63" s="330"/>
      <c r="DK63" s="330"/>
      <c r="DL63" s="330"/>
      <c r="DM63" s="330"/>
      <c r="DN63" s="330"/>
      <c r="DO63" s="330"/>
      <c r="DP63" s="330"/>
      <c r="DQ63" s="426"/>
      <c r="DR63" s="426"/>
      <c r="DS63" s="426"/>
      <c r="DT63" s="426"/>
      <c r="DU63" s="426"/>
      <c r="DV63" s="426"/>
      <c r="DW63" s="426"/>
      <c r="DX63" s="426"/>
      <c r="DY63" s="681"/>
      <c r="DZ63" s="330"/>
    </row>
    <row r="64" spans="1:130" hidden="1" outlineLevel="1">
      <c r="A64" s="560" t="s">
        <v>767</v>
      </c>
      <c r="B64" s="330"/>
      <c r="C64" s="1463">
        <f>$DC$64</f>
        <v>0.51644999999999996</v>
      </c>
      <c r="D64" s="330">
        <f>$DC$64</f>
        <v>0.51644999999999996</v>
      </c>
      <c r="E64" s="330">
        <f>$DC$64</f>
        <v>0.51644999999999996</v>
      </c>
      <c r="F64" s="330">
        <f>$DC$64</f>
        <v>0.51644999999999996</v>
      </c>
      <c r="G64" s="330"/>
      <c r="H64" s="1463">
        <f>$DD$64</f>
        <v>0.56045</v>
      </c>
      <c r="I64" s="1463">
        <f>$DD$64</f>
        <v>0.56045</v>
      </c>
      <c r="J64" s="1463">
        <f>$DD$64</f>
        <v>0.56045</v>
      </c>
      <c r="K64" s="1463">
        <f>$DD$64</f>
        <v>0.56045</v>
      </c>
      <c r="L64" s="330"/>
      <c r="M64" s="1463">
        <f>$DE$64</f>
        <v>0.60899999999999999</v>
      </c>
      <c r="N64" s="330">
        <f>$DE$64</f>
        <v>0.60899999999999999</v>
      </c>
      <c r="O64" s="330">
        <f>$DE$64</f>
        <v>0.60899999999999999</v>
      </c>
      <c r="P64" s="330">
        <f>$DE$64</f>
        <v>0.60899999999999999</v>
      </c>
      <c r="Q64" s="330"/>
      <c r="R64" s="1463">
        <f>$DF$64</f>
        <v>0.64200000000000002</v>
      </c>
      <c r="S64" s="330">
        <f>$DF$64</f>
        <v>0.64200000000000002</v>
      </c>
      <c r="T64" s="330">
        <f>$DF$64</f>
        <v>0.64200000000000002</v>
      </c>
      <c r="U64" s="330">
        <f>$DF$64</f>
        <v>0.64200000000000002</v>
      </c>
      <c r="V64" s="330"/>
      <c r="W64" s="1463">
        <f>$DG$64</f>
        <v>0.67199999999999993</v>
      </c>
      <c r="X64" s="330">
        <f>$DG$64</f>
        <v>0.67199999999999993</v>
      </c>
      <c r="Y64" s="330">
        <f>$DG$64</f>
        <v>0.67199999999999993</v>
      </c>
      <c r="Z64" s="330">
        <f>$DG$64</f>
        <v>0.67199999999999993</v>
      </c>
      <c r="AA64" s="330"/>
      <c r="AB64" s="1463">
        <f>$DH$64</f>
        <v>0.72500000000000009</v>
      </c>
      <c r="AC64" s="330">
        <f>$DH$64</f>
        <v>0.72500000000000009</v>
      </c>
      <c r="AD64" s="330">
        <f>$DH$64</f>
        <v>0.72500000000000009</v>
      </c>
      <c r="AE64" s="330">
        <f>$DH$64</f>
        <v>0.72500000000000009</v>
      </c>
      <c r="AF64" s="330"/>
      <c r="AG64" s="1463">
        <f>$DI$64</f>
        <v>0.74500000000000011</v>
      </c>
      <c r="AH64" s="330">
        <f>$DI$64</f>
        <v>0.74500000000000011</v>
      </c>
      <c r="AI64" s="330">
        <f>$DI$64</f>
        <v>0.74500000000000011</v>
      </c>
      <c r="AJ64" s="330">
        <f>$DI$64</f>
        <v>0.74500000000000011</v>
      </c>
      <c r="AK64" s="330"/>
      <c r="AL64" s="1463">
        <f>$DJ$64</f>
        <v>0.79200000000000004</v>
      </c>
      <c r="AM64" s="330">
        <f>$DJ$64</f>
        <v>0.79200000000000004</v>
      </c>
      <c r="AN64" s="330">
        <f>$DJ$64</f>
        <v>0.79200000000000004</v>
      </c>
      <c r="AO64" s="330">
        <f>$DJ$64</f>
        <v>0.79200000000000004</v>
      </c>
      <c r="AP64" s="330"/>
      <c r="AQ64" s="1463">
        <f>$DK$64</f>
        <v>0.8600000000000001</v>
      </c>
      <c r="AR64" s="330">
        <f>$DK$64</f>
        <v>0.8600000000000001</v>
      </c>
      <c r="AS64" s="330">
        <f>$DK$64</f>
        <v>0.8600000000000001</v>
      </c>
      <c r="AT64" s="330">
        <f>$DK$64</f>
        <v>0.8600000000000001</v>
      </c>
      <c r="AU64" s="330"/>
      <c r="AV64" s="1463">
        <f>$DL$64</f>
        <v>0.93500000000000005</v>
      </c>
      <c r="AW64" s="330">
        <f>$DL$64</f>
        <v>0.93500000000000005</v>
      </c>
      <c r="AX64" s="330">
        <f>$DL$64</f>
        <v>0.93500000000000005</v>
      </c>
      <c r="AY64" s="330">
        <f>$DL$64</f>
        <v>0.93500000000000005</v>
      </c>
      <c r="AZ64" s="330"/>
      <c r="BA64" s="1463">
        <f>$DM$64</f>
        <v>0.98220000000000007</v>
      </c>
      <c r="BB64" s="1463">
        <f>$DM$64</f>
        <v>0.98220000000000007</v>
      </c>
      <c r="BC64" s="1463">
        <f>$DM$64</f>
        <v>0.98220000000000007</v>
      </c>
      <c r="BD64" s="1463">
        <f>$DM$64</f>
        <v>0.98220000000000007</v>
      </c>
      <c r="BE64" s="330"/>
      <c r="BF64" s="1463">
        <f>$DN$64</f>
        <v>1.0390999999999999</v>
      </c>
      <c r="BG64" s="1463">
        <f>$DN$64</f>
        <v>1.0390999999999999</v>
      </c>
      <c r="BH64" s="1463">
        <f>$DN$64</f>
        <v>1.0390999999999999</v>
      </c>
      <c r="BI64" s="1463">
        <f>$DN$64</f>
        <v>1.0390999999999999</v>
      </c>
      <c r="BJ64" s="330"/>
      <c r="BK64" s="1463">
        <f>$DO$64</f>
        <v>1.0667</v>
      </c>
      <c r="BL64" s="1463">
        <f>$DO$64</f>
        <v>1.0667</v>
      </c>
      <c r="BM64" s="1463">
        <f>$DO$64</f>
        <v>1.0667</v>
      </c>
      <c r="BN64" s="1463">
        <f>$DO$64</f>
        <v>1.0667</v>
      </c>
      <c r="BO64" s="330"/>
      <c r="BP64" s="1463">
        <f>$DP$64</f>
        <v>1.1447499999999999</v>
      </c>
      <c r="BQ64" s="1463">
        <f>$DP$64</f>
        <v>1.1447499999999999</v>
      </c>
      <c r="BR64" s="1463">
        <f>$DP$64</f>
        <v>1.1447499999999999</v>
      </c>
      <c r="BS64" s="1463">
        <f>$DP$64</f>
        <v>1.1447499999999999</v>
      </c>
      <c r="BT64" s="1463"/>
      <c r="BU64" s="1463">
        <f>$DQ$64</f>
        <v>1.1848999999999998</v>
      </c>
      <c r="BV64" s="1463">
        <f>$DQ$64</f>
        <v>1.1848999999999998</v>
      </c>
      <c r="BW64" s="1463">
        <f>$DQ$64</f>
        <v>1.1848999999999998</v>
      </c>
      <c r="BX64" s="1463">
        <f>$DQ$64</f>
        <v>1.1848999999999998</v>
      </c>
      <c r="BY64" s="1463"/>
      <c r="BZ64" s="1463">
        <f>$DR$64</f>
        <v>1.2093999999999998</v>
      </c>
      <c r="CA64" s="1463">
        <f>$DR$64</f>
        <v>1.2093999999999998</v>
      </c>
      <c r="CB64" s="1463">
        <f>$DR$64</f>
        <v>1.2093999999999998</v>
      </c>
      <c r="CC64" s="1463">
        <f>$DR$64</f>
        <v>1.2093999999999998</v>
      </c>
      <c r="CD64" s="1463"/>
      <c r="CE64" s="1463">
        <f>$DS$64</f>
        <v>1.2493000000000001</v>
      </c>
      <c r="CF64" s="1463">
        <f>$DS$64</f>
        <v>1.2493000000000001</v>
      </c>
      <c r="CG64" s="1463">
        <f>$DS$64</f>
        <v>1.2493000000000001</v>
      </c>
      <c r="CH64" s="1463">
        <f>$DS$64</f>
        <v>1.2493000000000001</v>
      </c>
      <c r="CI64" s="1463"/>
      <c r="CJ64" s="1463">
        <f>$DS$64</f>
        <v>1.2493000000000001</v>
      </c>
      <c r="CK64" s="1463">
        <f>$DS$64</f>
        <v>1.2493000000000001</v>
      </c>
      <c r="CL64" s="1463">
        <f>$DS$64</f>
        <v>1.2493000000000001</v>
      </c>
      <c r="CM64" s="1463">
        <f>$DS$64</f>
        <v>1.2493000000000001</v>
      </c>
      <c r="CN64" s="1463"/>
      <c r="CO64" s="1463">
        <f>$DS$64</f>
        <v>1.2493000000000001</v>
      </c>
      <c r="CP64" s="1463">
        <f>$DS$64</f>
        <v>1.2493000000000001</v>
      </c>
      <c r="CQ64" s="1463">
        <f>$DS$64</f>
        <v>1.2493000000000001</v>
      </c>
      <c r="CR64" s="1463">
        <f>$DS$64</f>
        <v>1.2493000000000001</v>
      </c>
      <c r="CS64" s="1463"/>
      <c r="CT64" s="2352"/>
      <c r="CU64" s="2352"/>
      <c r="CV64" s="2352"/>
      <c r="CW64" s="2352"/>
      <c r="CX64" s="330"/>
      <c r="CY64" s="330"/>
      <c r="CZ64" s="1463">
        <f t="shared" ref="CZ64:DT64" si="40">CZ57</f>
        <v>0.39444999999999997</v>
      </c>
      <c r="DA64" s="1463">
        <f t="shared" si="40"/>
        <v>0.43045</v>
      </c>
      <c r="DB64" s="1463">
        <f t="shared" si="40"/>
        <v>0.47145000000000004</v>
      </c>
      <c r="DC64" s="1463">
        <f t="shared" si="40"/>
        <v>0.51644999999999996</v>
      </c>
      <c r="DD64" s="1463">
        <f t="shared" si="40"/>
        <v>0.56045</v>
      </c>
      <c r="DE64" s="900">
        <f t="shared" si="40"/>
        <v>0.60899999999999999</v>
      </c>
      <c r="DF64" s="900">
        <f t="shared" si="40"/>
        <v>0.64200000000000002</v>
      </c>
      <c r="DG64" s="900">
        <f t="shared" si="40"/>
        <v>0.67199999999999993</v>
      </c>
      <c r="DH64" s="900">
        <f t="shared" si="40"/>
        <v>0.72500000000000009</v>
      </c>
      <c r="DI64" s="1463">
        <f t="shared" si="40"/>
        <v>0.74500000000000011</v>
      </c>
      <c r="DJ64" s="1463">
        <f t="shared" si="40"/>
        <v>0.79200000000000004</v>
      </c>
      <c r="DK64" s="1463">
        <f t="shared" si="40"/>
        <v>0.8600000000000001</v>
      </c>
      <c r="DL64" s="1463">
        <f t="shared" si="40"/>
        <v>0.93500000000000005</v>
      </c>
      <c r="DM64" s="1463">
        <f t="shared" si="40"/>
        <v>0.98220000000000007</v>
      </c>
      <c r="DN64" s="1463">
        <f t="shared" si="40"/>
        <v>1.0390999999999999</v>
      </c>
      <c r="DO64" s="1463">
        <f t="shared" si="40"/>
        <v>1.0667</v>
      </c>
      <c r="DP64" s="1463">
        <f t="shared" si="40"/>
        <v>1.1447499999999999</v>
      </c>
      <c r="DQ64" s="900">
        <f t="shared" si="40"/>
        <v>1.1848999999999998</v>
      </c>
      <c r="DR64" s="900">
        <f t="shared" si="40"/>
        <v>1.2093999999999998</v>
      </c>
      <c r="DS64" s="900">
        <f t="shared" si="40"/>
        <v>1.2493000000000001</v>
      </c>
      <c r="DT64" s="900">
        <f t="shared" si="40"/>
        <v>1.2813000000000001</v>
      </c>
      <c r="DU64" s="900">
        <f>DU57</f>
        <v>1.3211999999999999</v>
      </c>
      <c r="DV64" s="900">
        <f>DV57</f>
        <v>1.3264999999999998</v>
      </c>
      <c r="DW64" s="900">
        <f>DW57</f>
        <v>1.3617999999999997</v>
      </c>
      <c r="DX64" s="900">
        <f>DX57</f>
        <v>1.3971</v>
      </c>
      <c r="DY64" s="2332"/>
      <c r="DZ64" s="330"/>
    </row>
    <row r="65" spans="1:130" hidden="1" outlineLevel="1">
      <c r="A65" s="560" t="s">
        <v>1028</v>
      </c>
      <c r="B65" s="330"/>
      <c r="C65" s="1006">
        <f>$DC$65</f>
        <v>110</v>
      </c>
      <c r="D65" s="330">
        <f>$DC$65</f>
        <v>110</v>
      </c>
      <c r="E65" s="330">
        <f>$DC$65</f>
        <v>110</v>
      </c>
      <c r="F65" s="330">
        <f>$DC$65</f>
        <v>110</v>
      </c>
      <c r="G65" s="330"/>
      <c r="H65" s="1006">
        <f>$DD$65</f>
        <v>119</v>
      </c>
      <c r="I65" s="1006">
        <f>$DD$65</f>
        <v>119</v>
      </c>
      <c r="J65" s="1006">
        <f>$DD$65</f>
        <v>119</v>
      </c>
      <c r="K65" s="1006">
        <f>$DD$65</f>
        <v>119</v>
      </c>
      <c r="L65" s="330"/>
      <c r="M65" s="1006">
        <f>$DE$65</f>
        <v>126</v>
      </c>
      <c r="N65" s="330">
        <f>$DE$65</f>
        <v>126</v>
      </c>
      <c r="O65" s="330">
        <f>$DE$65</f>
        <v>126</v>
      </c>
      <c r="P65" s="330">
        <f>$DE$65</f>
        <v>126</v>
      </c>
      <c r="Q65" s="330"/>
      <c r="R65" s="1006">
        <f>$DF$65</f>
        <v>131</v>
      </c>
      <c r="S65" s="330">
        <f>$DF$65</f>
        <v>131</v>
      </c>
      <c r="T65" s="330">
        <f>$DF$65</f>
        <v>131</v>
      </c>
      <c r="U65" s="330">
        <f>$DF$65</f>
        <v>131</v>
      </c>
      <c r="V65" s="330"/>
      <c r="W65" s="1006">
        <f>$DG$65</f>
        <v>141</v>
      </c>
      <c r="X65" s="330">
        <f>$DG$65</f>
        <v>141</v>
      </c>
      <c r="Y65" s="330">
        <f>$DG$65</f>
        <v>141</v>
      </c>
      <c r="Z65" s="330">
        <f>$DG$65</f>
        <v>141</v>
      </c>
      <c r="AA65" s="330"/>
      <c r="AB65" s="1006">
        <f>$DH$65</f>
        <v>151</v>
      </c>
      <c r="AC65" s="330">
        <f>$DH$65</f>
        <v>151</v>
      </c>
      <c r="AD65" s="330">
        <f>$DH$65</f>
        <v>151</v>
      </c>
      <c r="AE65" s="330">
        <f>$DH$65</f>
        <v>151</v>
      </c>
      <c r="AF65" s="330"/>
      <c r="AG65" s="1006">
        <f>$DI$65</f>
        <v>154</v>
      </c>
      <c r="AH65" s="330">
        <f>$DI$65</f>
        <v>154</v>
      </c>
      <c r="AI65" s="330">
        <f>$DI$65</f>
        <v>154</v>
      </c>
      <c r="AJ65" s="330">
        <f>$DI$65</f>
        <v>154</v>
      </c>
      <c r="AK65" s="330"/>
      <c r="AL65" s="1006">
        <f>$DJ$65</f>
        <v>167</v>
      </c>
      <c r="AM65" s="330">
        <f>$DJ$65</f>
        <v>167</v>
      </c>
      <c r="AN65" s="330">
        <f>$DJ$65</f>
        <v>167</v>
      </c>
      <c r="AO65" s="330">
        <f>$DJ$65</f>
        <v>167</v>
      </c>
      <c r="AP65" s="330"/>
      <c r="AQ65" s="1006">
        <f>$DK$65</f>
        <v>184</v>
      </c>
      <c r="AR65" s="330">
        <f>$DK$65</f>
        <v>184</v>
      </c>
      <c r="AS65" s="330">
        <f>$DK$65</f>
        <v>184</v>
      </c>
      <c r="AT65" s="330">
        <f>$DK$65</f>
        <v>184</v>
      </c>
      <c r="AU65" s="330"/>
      <c r="AV65" s="1006">
        <f>$DL$65</f>
        <v>206</v>
      </c>
      <c r="AW65" s="330">
        <f>$DL$65</f>
        <v>206</v>
      </c>
      <c r="AX65" s="330">
        <f>$DL$65</f>
        <v>206</v>
      </c>
      <c r="AY65" s="330">
        <f>$DL$65</f>
        <v>206</v>
      </c>
      <c r="AZ65" s="330"/>
      <c r="BA65" s="1006">
        <f>$DM$65</f>
        <v>220</v>
      </c>
      <c r="BB65" s="1006">
        <f>$DM$65</f>
        <v>220</v>
      </c>
      <c r="BC65" s="1006">
        <f>$DM$65</f>
        <v>220</v>
      </c>
      <c r="BD65" s="1006">
        <f>$DM$65</f>
        <v>220</v>
      </c>
      <c r="BE65" s="330"/>
      <c r="BF65" s="1006">
        <f>$DN$65</f>
        <v>233</v>
      </c>
      <c r="BG65" s="1006">
        <f>$DN$65</f>
        <v>233</v>
      </c>
      <c r="BH65" s="1006">
        <f>$DN$65</f>
        <v>233</v>
      </c>
      <c r="BI65" s="1006">
        <f>$DN$65</f>
        <v>233</v>
      </c>
      <c r="BJ65" s="330"/>
      <c r="BK65" s="1006">
        <f>$DO$65</f>
        <v>248</v>
      </c>
      <c r="BL65" s="1006">
        <f>$DO$65</f>
        <v>248</v>
      </c>
      <c r="BM65" s="1006">
        <f>$DO$65</f>
        <v>248</v>
      </c>
      <c r="BN65" s="1006">
        <f>$DO$65</f>
        <v>248</v>
      </c>
      <c r="BO65" s="330"/>
      <c r="BP65" s="1006">
        <f>$DP$65</f>
        <v>276</v>
      </c>
      <c r="BQ65" s="1006">
        <f>$DP$65</f>
        <v>276</v>
      </c>
      <c r="BR65" s="1006">
        <f>$DP$65</f>
        <v>276</v>
      </c>
      <c r="BS65" s="1006">
        <f>$DP$65</f>
        <v>276</v>
      </c>
      <c r="BT65" s="1006"/>
      <c r="BU65" s="1006">
        <f>$DQ$65</f>
        <v>289</v>
      </c>
      <c r="BV65" s="1006">
        <f>$DQ$65</f>
        <v>289</v>
      </c>
      <c r="BW65" s="1006">
        <f>$DQ$65</f>
        <v>289</v>
      </c>
      <c r="BX65" s="1006">
        <f>$DQ$65</f>
        <v>289</v>
      </c>
      <c r="BY65" s="1006"/>
      <c r="BZ65" s="1006">
        <f>$DR$65</f>
        <v>295</v>
      </c>
      <c r="CA65" s="1006">
        <f>$DR$65</f>
        <v>295</v>
      </c>
      <c r="CB65" s="1006">
        <f>$DR$65</f>
        <v>295</v>
      </c>
      <c r="CC65" s="1006">
        <f>$DR$65</f>
        <v>295</v>
      </c>
      <c r="CD65" s="1006"/>
      <c r="CE65" s="1006">
        <f>$DS$65</f>
        <v>307</v>
      </c>
      <c r="CF65" s="1006">
        <f>$DS$65</f>
        <v>307</v>
      </c>
      <c r="CG65" s="1006">
        <f>$DS$65</f>
        <v>307</v>
      </c>
      <c r="CH65" s="1006">
        <f>$DS$65</f>
        <v>307</v>
      </c>
      <c r="CI65" s="1006"/>
      <c r="CJ65" s="1006">
        <f>$DS$65</f>
        <v>307</v>
      </c>
      <c r="CK65" s="1006">
        <f>$DS$65</f>
        <v>307</v>
      </c>
      <c r="CL65" s="1006">
        <f>$DS$65</f>
        <v>307</v>
      </c>
      <c r="CM65" s="1006">
        <f>$DS$65</f>
        <v>307</v>
      </c>
      <c r="CN65" s="1006"/>
      <c r="CO65" s="1006">
        <f>$DS$65</f>
        <v>307</v>
      </c>
      <c r="CP65" s="1006">
        <f>$DS$65</f>
        <v>307</v>
      </c>
      <c r="CQ65" s="1006">
        <f>$DS$65</f>
        <v>307</v>
      </c>
      <c r="CR65" s="1006">
        <f>$DS$65</f>
        <v>307</v>
      </c>
      <c r="CS65" s="1006"/>
      <c r="CT65" s="1654"/>
      <c r="CU65" s="1654"/>
      <c r="CV65" s="1654"/>
      <c r="CW65" s="1654"/>
      <c r="CX65" s="330"/>
      <c r="CY65" s="330"/>
      <c r="CZ65" s="1006">
        <f>CZ51</f>
        <v>81</v>
      </c>
      <c r="DA65" s="1006">
        <f>DA51</f>
        <v>96</v>
      </c>
      <c r="DB65" s="1006">
        <f>DB51</f>
        <v>104</v>
      </c>
      <c r="DC65" s="1006">
        <f t="shared" ref="DC65:DO65" si="41">DC51</f>
        <v>110</v>
      </c>
      <c r="DD65" s="1006">
        <f t="shared" si="41"/>
        <v>119</v>
      </c>
      <c r="DE65" s="787">
        <f t="shared" si="41"/>
        <v>126</v>
      </c>
      <c r="DF65" s="787">
        <f t="shared" si="41"/>
        <v>131</v>
      </c>
      <c r="DG65" s="787">
        <f t="shared" si="41"/>
        <v>141</v>
      </c>
      <c r="DH65" s="787">
        <f t="shared" si="41"/>
        <v>151</v>
      </c>
      <c r="DI65" s="1006">
        <f t="shared" si="41"/>
        <v>154</v>
      </c>
      <c r="DJ65" s="1006">
        <f t="shared" si="41"/>
        <v>167</v>
      </c>
      <c r="DK65" s="1006">
        <f t="shared" si="41"/>
        <v>184</v>
      </c>
      <c r="DL65" s="1006">
        <f t="shared" si="41"/>
        <v>206</v>
      </c>
      <c r="DM65" s="1006">
        <f t="shared" si="41"/>
        <v>220</v>
      </c>
      <c r="DN65" s="1006">
        <f t="shared" si="41"/>
        <v>233</v>
      </c>
      <c r="DO65" s="1006">
        <f t="shared" si="41"/>
        <v>248</v>
      </c>
      <c r="DP65" s="1006">
        <f t="shared" ref="DP65:DW65" si="42">DP51</f>
        <v>276</v>
      </c>
      <c r="DQ65" s="787">
        <f t="shared" si="42"/>
        <v>289</v>
      </c>
      <c r="DR65" s="787">
        <f t="shared" si="42"/>
        <v>295</v>
      </c>
      <c r="DS65" s="787">
        <f t="shared" si="42"/>
        <v>307</v>
      </c>
      <c r="DT65" s="787">
        <f t="shared" si="42"/>
        <v>313</v>
      </c>
      <c r="DU65" s="787">
        <f t="shared" si="42"/>
        <v>315</v>
      </c>
      <c r="DV65" s="787">
        <f t="shared" si="42"/>
        <v>322</v>
      </c>
      <c r="DW65" s="787">
        <f t="shared" si="42"/>
        <v>329</v>
      </c>
      <c r="DX65" s="787">
        <f>DX51</f>
        <v>336</v>
      </c>
      <c r="DY65" s="1457"/>
      <c r="DZ65" s="371"/>
    </row>
    <row r="66" spans="1:130" hidden="1" outlineLevel="1">
      <c r="A66" s="1490" t="s">
        <v>768</v>
      </c>
      <c r="B66" s="371"/>
      <c r="C66" s="371">
        <f>$DC$66</f>
        <v>0.40499999999999997</v>
      </c>
      <c r="D66" s="371">
        <f>$DC$66</f>
        <v>0.40499999999999997</v>
      </c>
      <c r="E66" s="371">
        <f>$DC$66</f>
        <v>0.40499999999999997</v>
      </c>
      <c r="F66" s="371">
        <f>$DC$66</f>
        <v>0.40499999999999997</v>
      </c>
      <c r="G66" s="371"/>
      <c r="H66" s="371">
        <f>$DD$66</f>
        <v>0.39699999999999996</v>
      </c>
      <c r="I66" s="371">
        <f>$DD$66</f>
        <v>0.39699999999999996</v>
      </c>
      <c r="J66" s="371">
        <f>$DD$66</f>
        <v>0.39699999999999996</v>
      </c>
      <c r="K66" s="371">
        <f>$DD$66</f>
        <v>0.39699999999999996</v>
      </c>
      <c r="L66" s="371"/>
      <c r="M66" s="371">
        <f>$DE$66</f>
        <v>0.39599999999999996</v>
      </c>
      <c r="N66" s="371">
        <f>$DE$66</f>
        <v>0.39599999999999996</v>
      </c>
      <c r="O66" s="371">
        <f>$DE$66</f>
        <v>0.39599999999999996</v>
      </c>
      <c r="P66" s="371">
        <f>$DE$66</f>
        <v>0.39599999999999996</v>
      </c>
      <c r="Q66" s="371"/>
      <c r="R66" s="371">
        <f>$DF$66</f>
        <v>0.39699999999999996</v>
      </c>
      <c r="S66" s="371">
        <f>$DF$66</f>
        <v>0.39699999999999996</v>
      </c>
      <c r="T66" s="371">
        <f>$DF$66</f>
        <v>0.39699999999999996</v>
      </c>
      <c r="U66" s="371">
        <f>$DF$66</f>
        <v>0.39699999999999996</v>
      </c>
      <c r="V66" s="371"/>
      <c r="W66" s="371">
        <f>$DG$66</f>
        <v>0.40299999999999997</v>
      </c>
      <c r="X66" s="371">
        <f>$DG$66</f>
        <v>0.40299999999999997</v>
      </c>
      <c r="Y66" s="371">
        <f>$DG$66</f>
        <v>0.40299999999999997</v>
      </c>
      <c r="Z66" s="371">
        <f>$DG$66</f>
        <v>0.40299999999999997</v>
      </c>
      <c r="AA66" s="371"/>
      <c r="AB66" s="371">
        <f>$DH$66</f>
        <v>0.377</v>
      </c>
      <c r="AC66" s="371">
        <f>$DH$66</f>
        <v>0.377</v>
      </c>
      <c r="AD66" s="371">
        <f>$DH$66</f>
        <v>0.377</v>
      </c>
      <c r="AE66" s="371">
        <f>$DH$66</f>
        <v>0.377</v>
      </c>
      <c r="AF66" s="371"/>
      <c r="AG66" s="371">
        <f>$DI$66</f>
        <v>0.39799999999999996</v>
      </c>
      <c r="AH66" s="371">
        <f>$DI$66</f>
        <v>0.39799999999999996</v>
      </c>
      <c r="AI66" s="371">
        <f>$DI$66</f>
        <v>0.39799999999999996</v>
      </c>
      <c r="AJ66" s="371">
        <f>$DI$66</f>
        <v>0.39799999999999996</v>
      </c>
      <c r="AK66" s="371"/>
      <c r="AL66" s="371">
        <f>$DJ$66</f>
        <v>0.39600000000000002</v>
      </c>
      <c r="AM66" s="371">
        <f>$DJ$66</f>
        <v>0.39600000000000002</v>
      </c>
      <c r="AN66" s="371">
        <f>$DJ$66</f>
        <v>0.39600000000000002</v>
      </c>
      <c r="AO66" s="371">
        <f>$DJ$66</f>
        <v>0.39600000000000002</v>
      </c>
      <c r="AP66" s="371"/>
      <c r="AQ66" s="371">
        <f>$DK$66</f>
        <v>0.38400000000000001</v>
      </c>
      <c r="AR66" s="371">
        <f>$DK$66</f>
        <v>0.38400000000000001</v>
      </c>
      <c r="AS66" s="371">
        <f>$DK$66</f>
        <v>0.38400000000000001</v>
      </c>
      <c r="AT66" s="371">
        <f>$DK$66</f>
        <v>0.38400000000000001</v>
      </c>
      <c r="AU66" s="371"/>
      <c r="AV66" s="1435">
        <f>$DL$66</f>
        <v>0.41199999999999998</v>
      </c>
      <c r="AW66" s="1435">
        <f>$DL$66</f>
        <v>0.41199999999999998</v>
      </c>
      <c r="AX66" s="1435">
        <f>$DL$66</f>
        <v>0.41199999999999998</v>
      </c>
      <c r="AY66" s="1435">
        <f>$DL$66</f>
        <v>0.41199999999999998</v>
      </c>
      <c r="AZ66" s="1435"/>
      <c r="BA66" s="1435">
        <f>$DM$66</f>
        <v>0.38700000000000001</v>
      </c>
      <c r="BB66" s="1435">
        <f>$DM$66</f>
        <v>0.38700000000000001</v>
      </c>
      <c r="BC66" s="1435">
        <f>$DM$66</f>
        <v>0.38700000000000001</v>
      </c>
      <c r="BD66" s="1435">
        <f>$DM$66</f>
        <v>0.38700000000000001</v>
      </c>
      <c r="BE66" s="1435"/>
      <c r="BF66" s="1435">
        <f>$DN$66</f>
        <v>0.33399283981248323</v>
      </c>
      <c r="BG66" s="1435">
        <f>$DN$66</f>
        <v>0.33399283981248323</v>
      </c>
      <c r="BH66" s="1435">
        <f>$DN$66</f>
        <v>0.33399283981248323</v>
      </c>
      <c r="BI66" s="1435">
        <f>$DN$66</f>
        <v>0.33399283981248323</v>
      </c>
      <c r="BJ66" s="1435"/>
      <c r="BK66" s="1435">
        <f>$DO$66</f>
        <v>0.34265313303253347</v>
      </c>
      <c r="BL66" s="1435">
        <f>$DO$66</f>
        <v>0.34265313303253347</v>
      </c>
      <c r="BM66" s="1435">
        <f>$DO$66</f>
        <v>0.34265313303253347</v>
      </c>
      <c r="BN66" s="1435">
        <f>$DO$66</f>
        <v>0.34265313303253347</v>
      </c>
      <c r="BO66" s="1435"/>
      <c r="BP66" s="1435">
        <f>$DP$66</f>
        <v>0.35336774522356351</v>
      </c>
      <c r="BQ66" s="1435">
        <f>$DP$66</f>
        <v>0.35336774522356351</v>
      </c>
      <c r="BR66" s="1435">
        <f>$DP$66</f>
        <v>0.35336774522356351</v>
      </c>
      <c r="BS66" s="1435">
        <f>$DP$66</f>
        <v>0.35336774522356351</v>
      </c>
      <c r="BT66" s="1435"/>
      <c r="BU66" s="1435">
        <f>$DQ$66</f>
        <v>0.34731366046665607</v>
      </c>
      <c r="BV66" s="1435">
        <f>$DQ$66</f>
        <v>0.34731366046665607</v>
      </c>
      <c r="BW66" s="1435">
        <f>$DQ$66</f>
        <v>0.34731366046665607</v>
      </c>
      <c r="BX66" s="1435">
        <f>$DQ$66</f>
        <v>0.34731366046665607</v>
      </c>
      <c r="BY66" s="1435"/>
      <c r="BZ66" s="1435">
        <f>$DR$66</f>
        <v>0.3172952048421217</v>
      </c>
      <c r="CA66" s="1435">
        <f>$DR$66</f>
        <v>0.3172952048421217</v>
      </c>
      <c r="CB66" s="1435">
        <f>$DR$66</f>
        <v>0.3172952048421217</v>
      </c>
      <c r="CC66" s="1435">
        <f>$DR$66</f>
        <v>0.3172952048421217</v>
      </c>
      <c r="CD66" s="1435"/>
      <c r="CE66" s="1435">
        <f>$DS$66</f>
        <v>0.34649352365847153</v>
      </c>
      <c r="CF66" s="1435">
        <f>$DS$66</f>
        <v>0.34649352365847153</v>
      </c>
      <c r="CG66" s="1435">
        <f>$DS$66</f>
        <v>0.34649352365847153</v>
      </c>
      <c r="CH66" s="1435">
        <f>$DS$66</f>
        <v>0.34649352365847153</v>
      </c>
      <c r="CI66" s="1435"/>
      <c r="CJ66" s="1435">
        <f>$DS$66</f>
        <v>0.34649352365847153</v>
      </c>
      <c r="CK66" s="1435">
        <f>$DS$66</f>
        <v>0.34649352365847153</v>
      </c>
      <c r="CL66" s="1435">
        <f>$DS$66</f>
        <v>0.34649352365847153</v>
      </c>
      <c r="CM66" s="1435">
        <f>$DS$66</f>
        <v>0.34649352365847153</v>
      </c>
      <c r="CN66" s="1435"/>
      <c r="CO66" s="1435">
        <f>$DS$66</f>
        <v>0.34649352365847153</v>
      </c>
      <c r="CP66" s="1435">
        <f>$DS$66</f>
        <v>0.34649352365847153</v>
      </c>
      <c r="CQ66" s="1435">
        <f>$DS$66</f>
        <v>0.34649352365847153</v>
      </c>
      <c r="CR66" s="1435">
        <f>$DS$66</f>
        <v>0.34649352365847153</v>
      </c>
      <c r="CS66" s="1435"/>
      <c r="CT66" s="1811"/>
      <c r="CU66" s="1811"/>
      <c r="CV66" s="1811"/>
      <c r="CW66" s="1811"/>
      <c r="CX66" s="371"/>
      <c r="CY66" s="371"/>
      <c r="CZ66" s="371">
        <f>CZ67+CZ68+CZ69</f>
        <v>0.41</v>
      </c>
      <c r="DA66" s="371">
        <f>DA67+DA68+DA69</f>
        <v>0.41</v>
      </c>
      <c r="DB66" s="371">
        <f>DB67+DB68+DB69</f>
        <v>0.41</v>
      </c>
      <c r="DC66" s="371">
        <f t="shared" ref="DC66:DM66" si="43">DC67+DC68+DC69</f>
        <v>0.40499999999999997</v>
      </c>
      <c r="DD66" s="371">
        <f t="shared" si="43"/>
        <v>0.39699999999999996</v>
      </c>
      <c r="DE66" s="1435">
        <f t="shared" si="43"/>
        <v>0.39599999999999996</v>
      </c>
      <c r="DF66" s="1435">
        <f t="shared" si="43"/>
        <v>0.39699999999999996</v>
      </c>
      <c r="DG66" s="1435">
        <f t="shared" si="43"/>
        <v>0.40299999999999997</v>
      </c>
      <c r="DH66" s="1435">
        <f t="shared" si="43"/>
        <v>0.377</v>
      </c>
      <c r="DI66" s="371">
        <f t="shared" si="43"/>
        <v>0.39799999999999996</v>
      </c>
      <c r="DJ66" s="371">
        <f t="shared" si="43"/>
        <v>0.39600000000000002</v>
      </c>
      <c r="DK66" s="371">
        <f t="shared" si="43"/>
        <v>0.38400000000000001</v>
      </c>
      <c r="DL66" s="371">
        <f t="shared" si="43"/>
        <v>0.41199999999999998</v>
      </c>
      <c r="DM66" s="371">
        <f t="shared" si="43"/>
        <v>0.38700000000000001</v>
      </c>
      <c r="DN66" s="371">
        <f>'yrP&amp;L'!V44</f>
        <v>0.33399283981248323</v>
      </c>
      <c r="DO66" s="371">
        <f>'yrP&amp;L'!W44</f>
        <v>0.34265313303253347</v>
      </c>
      <c r="DP66" s="371">
        <f>'yrP&amp;L'!X44</f>
        <v>0.35336774522356351</v>
      </c>
      <c r="DQ66" s="1435">
        <f>'yrP&amp;L'!Y44</f>
        <v>0.34731366046665607</v>
      </c>
      <c r="DR66" s="1435">
        <f>'yrP&amp;L'!Z44</f>
        <v>0.3172952048421217</v>
      </c>
      <c r="DS66" s="1435">
        <f>'yrP&amp;L'!AA44</f>
        <v>0.34649352365847153</v>
      </c>
      <c r="DT66" s="1435">
        <f>'yrP&amp;L'!AB44</f>
        <v>0.34214945424013454</v>
      </c>
      <c r="DU66" s="1435">
        <f>'yrP&amp;L'!AC44</f>
        <v>0.32114676486059962</v>
      </c>
      <c r="DV66" s="1435">
        <f>'yrP&amp;L'!AD44</f>
        <v>0.28000000000000008</v>
      </c>
      <c r="DW66" s="1435">
        <f>'yrP&amp;L'!AE44</f>
        <v>0.25</v>
      </c>
      <c r="DX66" s="1435">
        <f>'yrP&amp;L'!AF44</f>
        <v>0.25</v>
      </c>
      <c r="DY66" s="1811"/>
      <c r="DZ66" s="371"/>
    </row>
    <row r="67" spans="1:130" hidden="1" outlineLevel="1">
      <c r="A67" s="1491" t="s">
        <v>769</v>
      </c>
      <c r="B67" s="371"/>
      <c r="C67" s="371">
        <f>$DC$67</f>
        <v>0.35</v>
      </c>
      <c r="D67" s="371">
        <f>$DC$67</f>
        <v>0.35</v>
      </c>
      <c r="E67" s="371">
        <f>$DC$67</f>
        <v>0.35</v>
      </c>
      <c r="F67" s="371">
        <f>$DC$67</f>
        <v>0.35</v>
      </c>
      <c r="G67" s="371"/>
      <c r="H67" s="371">
        <f>$DD$67</f>
        <v>0.35</v>
      </c>
      <c r="I67" s="371">
        <f>$DD$67</f>
        <v>0.35</v>
      </c>
      <c r="J67" s="371">
        <f>$DD$67</f>
        <v>0.35</v>
      </c>
      <c r="K67" s="371">
        <f>$DD$67</f>
        <v>0.35</v>
      </c>
      <c r="L67" s="371"/>
      <c r="M67" s="371">
        <f>$DE$67</f>
        <v>0.35</v>
      </c>
      <c r="N67" s="371">
        <f>$DE$67</f>
        <v>0.35</v>
      </c>
      <c r="O67" s="371">
        <f>$DE$67</f>
        <v>0.35</v>
      </c>
      <c r="P67" s="371">
        <f>$DE$67</f>
        <v>0.35</v>
      </c>
      <c r="Q67" s="371"/>
      <c r="R67" s="371">
        <f>$DF$67</f>
        <v>0.35</v>
      </c>
      <c r="S67" s="371">
        <f>$DF$67</f>
        <v>0.35</v>
      </c>
      <c r="T67" s="371">
        <f>$DF$67</f>
        <v>0.35</v>
      </c>
      <c r="U67" s="371">
        <f>$DF$67</f>
        <v>0.35</v>
      </c>
      <c r="V67" s="371"/>
      <c r="W67" s="371">
        <f>$DG$67</f>
        <v>0.35</v>
      </c>
      <c r="X67" s="371">
        <f>$DG$67</f>
        <v>0.35</v>
      </c>
      <c r="Y67" s="371">
        <f>$DG$67</f>
        <v>0.35</v>
      </c>
      <c r="Z67" s="371">
        <f>$DG$67</f>
        <v>0.35</v>
      </c>
      <c r="AA67" s="371"/>
      <c r="AB67" s="371">
        <f>$DH$67</f>
        <v>0.35</v>
      </c>
      <c r="AC67" s="371">
        <f>$DH$67</f>
        <v>0.35</v>
      </c>
      <c r="AD67" s="371">
        <f>$DH$67</f>
        <v>0.35</v>
      </c>
      <c r="AE67" s="371">
        <f>$DH$67</f>
        <v>0.35</v>
      </c>
      <c r="AF67" s="371"/>
      <c r="AG67" s="371">
        <f>$DI$67</f>
        <v>0.35</v>
      </c>
      <c r="AH67" s="371">
        <f>$DI$67</f>
        <v>0.35</v>
      </c>
      <c r="AI67" s="371">
        <f>$DI$67</f>
        <v>0.35</v>
      </c>
      <c r="AJ67" s="371">
        <f>$DI$67</f>
        <v>0.35</v>
      </c>
      <c r="AK67" s="371"/>
      <c r="AL67" s="371">
        <f>$DJ$67</f>
        <v>0.35</v>
      </c>
      <c r="AM67" s="371">
        <f>$DJ$67</f>
        <v>0.35</v>
      </c>
      <c r="AN67" s="371">
        <f>$DJ$67</f>
        <v>0.35</v>
      </c>
      <c r="AO67" s="371">
        <f>$DJ$67</f>
        <v>0.35</v>
      </c>
      <c r="AP67" s="371"/>
      <c r="AQ67" s="371">
        <f>$DK$67</f>
        <v>0.35</v>
      </c>
      <c r="AR67" s="371">
        <f>$DK$67</f>
        <v>0.35</v>
      </c>
      <c r="AS67" s="371">
        <f>$DK$67</f>
        <v>0.35</v>
      </c>
      <c r="AT67" s="371">
        <f>$DK$67</f>
        <v>0.35</v>
      </c>
      <c r="AU67" s="371"/>
      <c r="AV67" s="1492">
        <f>$DL$67</f>
        <v>0.35</v>
      </c>
      <c r="AW67" s="1492">
        <f>$DL$67</f>
        <v>0.35</v>
      </c>
      <c r="AX67" s="1492">
        <f>$DL$67</f>
        <v>0.35</v>
      </c>
      <c r="AY67" s="1492">
        <f>$DL$67</f>
        <v>0.35</v>
      </c>
      <c r="AZ67" s="1492"/>
      <c r="BA67" s="1435">
        <f>$DM$67</f>
        <v>0.35</v>
      </c>
      <c r="BB67" s="1435">
        <f>$DM$67</f>
        <v>0.35</v>
      </c>
      <c r="BC67" s="1435">
        <f>$DM$67</f>
        <v>0.35</v>
      </c>
      <c r="BD67" s="1435">
        <f>$DM$67</f>
        <v>0.35</v>
      </c>
      <c r="BE67" s="1492"/>
      <c r="BF67" s="1435">
        <f>$DN$67</f>
        <v>0</v>
      </c>
      <c r="BG67" s="1435">
        <f>$DN$67</f>
        <v>0</v>
      </c>
      <c r="BH67" s="1435">
        <f>$DN$67</f>
        <v>0</v>
      </c>
      <c r="BI67" s="1435">
        <f>$DN$67</f>
        <v>0</v>
      </c>
      <c r="BJ67" s="1492"/>
      <c r="BK67" s="1435">
        <f>$DO$67</f>
        <v>0</v>
      </c>
      <c r="BL67" s="1435">
        <f>$DO$67</f>
        <v>0</v>
      </c>
      <c r="BM67" s="1435">
        <f>$DO$67</f>
        <v>0</v>
      </c>
      <c r="BN67" s="1435">
        <f>$DO$67</f>
        <v>0</v>
      </c>
      <c r="BO67" s="1492"/>
      <c r="BP67" s="1435">
        <f>$DP$67</f>
        <v>0</v>
      </c>
      <c r="BQ67" s="1435">
        <f>$DP$67</f>
        <v>0</v>
      </c>
      <c r="BR67" s="1435">
        <f>$DP$67</f>
        <v>0</v>
      </c>
      <c r="BS67" s="1435">
        <f>$DP$67</f>
        <v>0</v>
      </c>
      <c r="BT67" s="1435"/>
      <c r="BU67" s="1435">
        <f t="shared" ref="BU67:CR67" si="44">$DP$67</f>
        <v>0</v>
      </c>
      <c r="BV67" s="1435">
        <f t="shared" si="44"/>
        <v>0</v>
      </c>
      <c r="BW67" s="1435">
        <f t="shared" si="44"/>
        <v>0</v>
      </c>
      <c r="BX67" s="1435">
        <f t="shared" si="44"/>
        <v>0</v>
      </c>
      <c r="BY67" s="1435"/>
      <c r="BZ67" s="1435">
        <f t="shared" si="44"/>
        <v>0</v>
      </c>
      <c r="CA67" s="1435">
        <f t="shared" si="44"/>
        <v>0</v>
      </c>
      <c r="CB67" s="1435">
        <f t="shared" si="44"/>
        <v>0</v>
      </c>
      <c r="CC67" s="1435">
        <f t="shared" si="44"/>
        <v>0</v>
      </c>
      <c r="CD67" s="1435"/>
      <c r="CE67" s="1435">
        <f t="shared" si="44"/>
        <v>0</v>
      </c>
      <c r="CF67" s="1435">
        <f t="shared" si="44"/>
        <v>0</v>
      </c>
      <c r="CG67" s="1435">
        <f t="shared" si="44"/>
        <v>0</v>
      </c>
      <c r="CH67" s="1435">
        <f t="shared" si="44"/>
        <v>0</v>
      </c>
      <c r="CI67" s="1435"/>
      <c r="CJ67" s="1435">
        <f t="shared" si="44"/>
        <v>0</v>
      </c>
      <c r="CK67" s="1435">
        <f t="shared" si="44"/>
        <v>0</v>
      </c>
      <c r="CL67" s="1435">
        <f t="shared" si="44"/>
        <v>0</v>
      </c>
      <c r="CM67" s="1435">
        <f t="shared" si="44"/>
        <v>0</v>
      </c>
      <c r="CN67" s="1435"/>
      <c r="CO67" s="1435">
        <f t="shared" si="44"/>
        <v>0</v>
      </c>
      <c r="CP67" s="1435">
        <f t="shared" si="44"/>
        <v>0</v>
      </c>
      <c r="CQ67" s="1435">
        <f t="shared" si="44"/>
        <v>0</v>
      </c>
      <c r="CR67" s="1435">
        <f t="shared" si="44"/>
        <v>0</v>
      </c>
      <c r="CS67" s="1435"/>
      <c r="CT67" s="1811"/>
      <c r="CU67" s="1811"/>
      <c r="CV67" s="1811"/>
      <c r="CW67" s="1811"/>
      <c r="CX67" s="371"/>
      <c r="CY67" s="371"/>
      <c r="CZ67" s="371">
        <v>0.35</v>
      </c>
      <c r="DA67" s="371">
        <v>0.35</v>
      </c>
      <c r="DB67" s="371">
        <v>0.35</v>
      </c>
      <c r="DC67" s="371">
        <v>0.35</v>
      </c>
      <c r="DD67" s="371">
        <v>0.35</v>
      </c>
      <c r="DE67" s="1435">
        <v>0.35</v>
      </c>
      <c r="DF67" s="1435">
        <v>0.35</v>
      </c>
      <c r="DG67" s="1435">
        <v>0.35</v>
      </c>
      <c r="DH67" s="1435">
        <v>0.35</v>
      </c>
      <c r="DI67" s="371">
        <v>0.35</v>
      </c>
      <c r="DJ67" s="371">
        <v>0.35</v>
      </c>
      <c r="DK67" s="371">
        <v>0.35</v>
      </c>
      <c r="DL67" s="371">
        <v>0.35</v>
      </c>
      <c r="DM67" s="371">
        <v>0.35</v>
      </c>
      <c r="DN67" s="371"/>
      <c r="DO67" s="371"/>
      <c r="DP67" s="371"/>
      <c r="DQ67" s="1435"/>
      <c r="DR67" s="1435"/>
      <c r="DS67" s="1435"/>
      <c r="DT67" s="1435"/>
      <c r="DU67" s="371"/>
      <c r="DV67" s="371"/>
      <c r="DW67" s="371"/>
      <c r="DX67" s="371"/>
      <c r="DY67" s="1658"/>
      <c r="DZ67" s="371"/>
    </row>
    <row r="68" spans="1:130" hidden="1" outlineLevel="1">
      <c r="A68" s="1491" t="s">
        <v>770</v>
      </c>
      <c r="B68" s="371"/>
      <c r="C68" s="371">
        <f>$DC$68</f>
        <v>4.8000000000000001E-2</v>
      </c>
      <c r="D68" s="371">
        <f>$DC$68</f>
        <v>4.8000000000000001E-2</v>
      </c>
      <c r="E68" s="371">
        <f>$DC$68</f>
        <v>4.8000000000000001E-2</v>
      </c>
      <c r="F68" s="371">
        <f>$DC$68</f>
        <v>4.8000000000000001E-2</v>
      </c>
      <c r="G68" s="371"/>
      <c r="H68" s="371">
        <f>$DD$68</f>
        <v>4.1000000000000002E-2</v>
      </c>
      <c r="I68" s="371">
        <f>$DD$68</f>
        <v>4.1000000000000002E-2</v>
      </c>
      <c r="J68" s="371">
        <f>$DD$68</f>
        <v>4.1000000000000002E-2</v>
      </c>
      <c r="K68" s="371">
        <f>$DD$68</f>
        <v>4.1000000000000002E-2</v>
      </c>
      <c r="L68" s="371"/>
      <c r="M68" s="371">
        <f>$DE$68</f>
        <v>4.2999999999999997E-2</v>
      </c>
      <c r="N68" s="371">
        <f>$DE$68</f>
        <v>4.2999999999999997E-2</v>
      </c>
      <c r="O68" s="371">
        <f>$DE$68</f>
        <v>4.2999999999999997E-2</v>
      </c>
      <c r="P68" s="371">
        <f>$DE$68</f>
        <v>4.2999999999999997E-2</v>
      </c>
      <c r="Q68" s="371"/>
      <c r="R68" s="371">
        <f>$DF$68</f>
        <v>0.04</v>
      </c>
      <c r="S68" s="371">
        <f>$DF$68</f>
        <v>0.04</v>
      </c>
      <c r="T68" s="371">
        <f>$DF$68</f>
        <v>0.04</v>
      </c>
      <c r="U68" s="371">
        <f>$DF$68</f>
        <v>0.04</v>
      </c>
      <c r="V68" s="371"/>
      <c r="W68" s="371">
        <f>$DG$68</f>
        <v>4.2000000000000003E-2</v>
      </c>
      <c r="X68" s="371">
        <f>$DG$68</f>
        <v>4.2000000000000003E-2</v>
      </c>
      <c r="Y68" s="371">
        <f>$DG$68</f>
        <v>4.2000000000000003E-2</v>
      </c>
      <c r="Z68" s="371">
        <f>$DG$68</f>
        <v>4.2000000000000003E-2</v>
      </c>
      <c r="AA68" s="371"/>
      <c r="AB68" s="371">
        <f>$DH$68</f>
        <v>2.1999999999999999E-2</v>
      </c>
      <c r="AC68" s="371">
        <f>$DH$68</f>
        <v>2.1999999999999999E-2</v>
      </c>
      <c r="AD68" s="371">
        <f>$DH$68</f>
        <v>2.1999999999999999E-2</v>
      </c>
      <c r="AE68" s="371">
        <f>$DH$68</f>
        <v>2.1999999999999999E-2</v>
      </c>
      <c r="AF68" s="371"/>
      <c r="AG68" s="371">
        <f>$DI$68</f>
        <v>4.1000000000000002E-2</v>
      </c>
      <c r="AH68" s="371">
        <f>$DI$68</f>
        <v>4.1000000000000002E-2</v>
      </c>
      <c r="AI68" s="371">
        <f>$DI$68</f>
        <v>4.1000000000000002E-2</v>
      </c>
      <c r="AJ68" s="371">
        <f>$DI$68</f>
        <v>4.1000000000000002E-2</v>
      </c>
      <c r="AK68" s="371"/>
      <c r="AL68" s="371">
        <f>$DJ$68</f>
        <v>3.1E-2</v>
      </c>
      <c r="AM68" s="371">
        <f>$DJ$68</f>
        <v>3.1E-2</v>
      </c>
      <c r="AN68" s="371">
        <f>$DJ$68</f>
        <v>3.1E-2</v>
      </c>
      <c r="AO68" s="371">
        <f>$DJ$68</f>
        <v>3.1E-2</v>
      </c>
      <c r="AP68" s="371"/>
      <c r="AQ68" s="371">
        <f>$DK$68</f>
        <v>2.7E-2</v>
      </c>
      <c r="AR68" s="371">
        <f>$DK$68</f>
        <v>2.7E-2</v>
      </c>
      <c r="AS68" s="371">
        <f>$DK$68</f>
        <v>2.7E-2</v>
      </c>
      <c r="AT68" s="371">
        <f>$DK$68</f>
        <v>2.7E-2</v>
      </c>
      <c r="AU68" s="371"/>
      <c r="AV68" s="1435">
        <f>$DL$68</f>
        <v>3.6999999999999998E-2</v>
      </c>
      <c r="AW68" s="1435">
        <f>$DL$68</f>
        <v>3.6999999999999998E-2</v>
      </c>
      <c r="AX68" s="1435">
        <f>$DL$68</f>
        <v>3.6999999999999998E-2</v>
      </c>
      <c r="AY68" s="1435">
        <f>$DL$68</f>
        <v>3.6999999999999998E-2</v>
      </c>
      <c r="AZ68" s="1435"/>
      <c r="BA68" s="1435">
        <f>$DM$68</f>
        <v>2.4E-2</v>
      </c>
      <c r="BB68" s="1435">
        <f>$DM$68</f>
        <v>2.4E-2</v>
      </c>
      <c r="BC68" s="1435">
        <f>$DM$68</f>
        <v>2.4E-2</v>
      </c>
      <c r="BD68" s="1435">
        <f>$DM$68</f>
        <v>2.4E-2</v>
      </c>
      <c r="BE68" s="1435"/>
      <c r="BF68" s="1435">
        <f>$DN$68</f>
        <v>0</v>
      </c>
      <c r="BG68" s="1435">
        <f>$DN$68</f>
        <v>0</v>
      </c>
      <c r="BH68" s="1435">
        <f>$DN$68</f>
        <v>0</v>
      </c>
      <c r="BI68" s="1435">
        <f>$DN$68</f>
        <v>0</v>
      </c>
      <c r="BJ68" s="1435"/>
      <c r="BK68" s="1435">
        <f>$DO$68</f>
        <v>0</v>
      </c>
      <c r="BL68" s="1435">
        <f>$DO$68</f>
        <v>0</v>
      </c>
      <c r="BM68" s="1435">
        <f>$DO$68</f>
        <v>0</v>
      </c>
      <c r="BN68" s="1435">
        <f>$DO$68</f>
        <v>0</v>
      </c>
      <c r="BO68" s="1435"/>
      <c r="BP68" s="1435">
        <f>$DP$68</f>
        <v>0</v>
      </c>
      <c r="BQ68" s="1435">
        <f>$DP$68</f>
        <v>0</v>
      </c>
      <c r="BR68" s="1435">
        <f>$DP$68</f>
        <v>0</v>
      </c>
      <c r="BS68" s="1435">
        <f>$DP$68</f>
        <v>0</v>
      </c>
      <c r="BT68" s="1435"/>
      <c r="BU68" s="1435">
        <f t="shared" ref="BU68:CR68" si="45">$DP$68</f>
        <v>0</v>
      </c>
      <c r="BV68" s="1435">
        <f t="shared" si="45"/>
        <v>0</v>
      </c>
      <c r="BW68" s="1435">
        <f t="shared" si="45"/>
        <v>0</v>
      </c>
      <c r="BX68" s="1435">
        <f t="shared" si="45"/>
        <v>0</v>
      </c>
      <c r="BY68" s="1435"/>
      <c r="BZ68" s="1435">
        <f t="shared" si="45"/>
        <v>0</v>
      </c>
      <c r="CA68" s="1435">
        <f t="shared" si="45"/>
        <v>0</v>
      </c>
      <c r="CB68" s="1435">
        <f t="shared" si="45"/>
        <v>0</v>
      </c>
      <c r="CC68" s="1435">
        <f t="shared" si="45"/>
        <v>0</v>
      </c>
      <c r="CD68" s="1435"/>
      <c r="CE68" s="1435">
        <f t="shared" si="45"/>
        <v>0</v>
      </c>
      <c r="CF68" s="1435">
        <f t="shared" si="45"/>
        <v>0</v>
      </c>
      <c r="CG68" s="1435">
        <f t="shared" si="45"/>
        <v>0</v>
      </c>
      <c r="CH68" s="1435">
        <f t="shared" si="45"/>
        <v>0</v>
      </c>
      <c r="CI68" s="1435"/>
      <c r="CJ68" s="1435">
        <f t="shared" si="45"/>
        <v>0</v>
      </c>
      <c r="CK68" s="1435">
        <f t="shared" si="45"/>
        <v>0</v>
      </c>
      <c r="CL68" s="1435">
        <f t="shared" si="45"/>
        <v>0</v>
      </c>
      <c r="CM68" s="1435">
        <f t="shared" si="45"/>
        <v>0</v>
      </c>
      <c r="CN68" s="1435"/>
      <c r="CO68" s="1435">
        <f t="shared" si="45"/>
        <v>0</v>
      </c>
      <c r="CP68" s="1435">
        <f t="shared" si="45"/>
        <v>0</v>
      </c>
      <c r="CQ68" s="1435">
        <f t="shared" si="45"/>
        <v>0</v>
      </c>
      <c r="CR68" s="1435">
        <f t="shared" si="45"/>
        <v>0</v>
      </c>
      <c r="CS68" s="1435"/>
      <c r="CT68" s="1811"/>
      <c r="CU68" s="1811"/>
      <c r="CV68" s="1811"/>
      <c r="CW68" s="1811"/>
      <c r="CX68" s="371"/>
      <c r="CY68" s="371"/>
      <c r="CZ68" s="371">
        <v>5.3999999999999999E-2</v>
      </c>
      <c r="DA68" s="371">
        <v>5.3999999999999999E-2</v>
      </c>
      <c r="DB68" s="371">
        <v>5.3999999999999999E-2</v>
      </c>
      <c r="DC68" s="371">
        <v>4.8000000000000001E-2</v>
      </c>
      <c r="DD68" s="371">
        <v>4.1000000000000002E-2</v>
      </c>
      <c r="DE68" s="1435">
        <v>4.2999999999999997E-2</v>
      </c>
      <c r="DF68" s="1435">
        <v>0.04</v>
      </c>
      <c r="DG68" s="1435">
        <v>4.2000000000000003E-2</v>
      </c>
      <c r="DH68" s="1435">
        <v>2.1999999999999999E-2</v>
      </c>
      <c r="DI68" s="371">
        <v>4.1000000000000002E-2</v>
      </c>
      <c r="DJ68" s="371">
        <v>3.1E-2</v>
      </c>
      <c r="DK68" s="371">
        <v>2.7E-2</v>
      </c>
      <c r="DL68" s="371">
        <v>3.6999999999999998E-2</v>
      </c>
      <c r="DM68" s="371">
        <v>2.4E-2</v>
      </c>
      <c r="DN68" s="371"/>
      <c r="DO68" s="371"/>
      <c r="DP68" s="371"/>
      <c r="DQ68" s="1435"/>
      <c r="DR68" s="1435"/>
      <c r="DS68" s="1435"/>
      <c r="DT68" s="1435"/>
      <c r="DU68" s="371"/>
      <c r="DV68" s="371"/>
      <c r="DW68" s="371"/>
      <c r="DX68" s="371"/>
      <c r="DY68" s="1658"/>
      <c r="DZ68" s="371"/>
    </row>
    <row r="69" spans="1:130" hidden="1" outlineLevel="1">
      <c r="A69" s="1491" t="s">
        <v>771</v>
      </c>
      <c r="B69" s="371"/>
      <c r="C69" s="371">
        <f>$DC$69</f>
        <v>7.0000000000000001E-3</v>
      </c>
      <c r="D69" s="371">
        <f>$DC$69</f>
        <v>7.0000000000000001E-3</v>
      </c>
      <c r="E69" s="371">
        <f>$DC$69</f>
        <v>7.0000000000000001E-3</v>
      </c>
      <c r="F69" s="371">
        <f>$DC$69</f>
        <v>7.0000000000000001E-3</v>
      </c>
      <c r="G69" s="371"/>
      <c r="H69" s="371">
        <f>$DD$69</f>
        <v>6.0000000000000001E-3</v>
      </c>
      <c r="I69" s="371">
        <f>$DD$69</f>
        <v>6.0000000000000001E-3</v>
      </c>
      <c r="J69" s="371">
        <f>$DD$69</f>
        <v>6.0000000000000001E-3</v>
      </c>
      <c r="K69" s="371">
        <f>$DD$69</f>
        <v>6.0000000000000001E-3</v>
      </c>
      <c r="L69" s="371"/>
      <c r="M69" s="371">
        <f>$DE$69</f>
        <v>3.0000000000000001E-3</v>
      </c>
      <c r="N69" s="371">
        <f>$DE$69</f>
        <v>3.0000000000000001E-3</v>
      </c>
      <c r="O69" s="371">
        <f>$DE$69</f>
        <v>3.0000000000000001E-3</v>
      </c>
      <c r="P69" s="371">
        <f>$DE$69</f>
        <v>3.0000000000000001E-3</v>
      </c>
      <c r="Q69" s="371"/>
      <c r="R69" s="371">
        <f>$DF$69</f>
        <v>7.0000000000000001E-3</v>
      </c>
      <c r="S69" s="371">
        <f>$DF$69</f>
        <v>7.0000000000000001E-3</v>
      </c>
      <c r="T69" s="371">
        <f>$DF$69</f>
        <v>7.0000000000000001E-3</v>
      </c>
      <c r="U69" s="371">
        <f>$DF$69</f>
        <v>7.0000000000000001E-3</v>
      </c>
      <c r="V69" s="371"/>
      <c r="W69" s="371">
        <f>$DG$69</f>
        <v>1.0999999999999999E-2</v>
      </c>
      <c r="X69" s="371">
        <f>$DG$69</f>
        <v>1.0999999999999999E-2</v>
      </c>
      <c r="Y69" s="371">
        <f>$DG$69</f>
        <v>1.0999999999999999E-2</v>
      </c>
      <c r="Z69" s="371">
        <f>$DG$69</f>
        <v>1.0999999999999999E-2</v>
      </c>
      <c r="AA69" s="371"/>
      <c r="AB69" s="371">
        <f>$DH$69</f>
        <v>5.0000000000000001E-3</v>
      </c>
      <c r="AC69" s="371">
        <f>$DH$69</f>
        <v>5.0000000000000001E-3</v>
      </c>
      <c r="AD69" s="371">
        <f>$DH$69</f>
        <v>5.0000000000000001E-3</v>
      </c>
      <c r="AE69" s="371">
        <f>$DH$69</f>
        <v>5.0000000000000001E-3</v>
      </c>
      <c r="AF69" s="371"/>
      <c r="AG69" s="371">
        <f>$DI$69</f>
        <v>7.0000000000000001E-3</v>
      </c>
      <c r="AH69" s="371">
        <f>$DI$69</f>
        <v>7.0000000000000001E-3</v>
      </c>
      <c r="AI69" s="371">
        <f>$DI$69</f>
        <v>7.0000000000000001E-3</v>
      </c>
      <c r="AJ69" s="371">
        <f>$DI$69</f>
        <v>7.0000000000000001E-3</v>
      </c>
      <c r="AK69" s="371"/>
      <c r="AL69" s="371">
        <f>$DJ$69</f>
        <v>1.4999999999999999E-2</v>
      </c>
      <c r="AM69" s="371">
        <f>$DJ$69</f>
        <v>1.4999999999999999E-2</v>
      </c>
      <c r="AN69" s="371">
        <f>$DJ$69</f>
        <v>1.4999999999999999E-2</v>
      </c>
      <c r="AO69" s="371">
        <f>$DJ$69</f>
        <v>1.4999999999999999E-2</v>
      </c>
      <c r="AP69" s="371"/>
      <c r="AQ69" s="371">
        <f>$DK$69</f>
        <v>7.0000000000000001E-3</v>
      </c>
      <c r="AR69" s="371">
        <f>$DK$69</f>
        <v>7.0000000000000001E-3</v>
      </c>
      <c r="AS69" s="371">
        <f>$DK$69</f>
        <v>7.0000000000000001E-3</v>
      </c>
      <c r="AT69" s="371">
        <f>$DK$69</f>
        <v>7.0000000000000001E-3</v>
      </c>
      <c r="AU69" s="371"/>
      <c r="AV69" s="1435">
        <f>$DL$69</f>
        <v>2.5000000000000001E-2</v>
      </c>
      <c r="AW69" s="1435">
        <f>$DL$69</f>
        <v>2.5000000000000001E-2</v>
      </c>
      <c r="AX69" s="1435">
        <f>$DL$69</f>
        <v>2.5000000000000001E-2</v>
      </c>
      <c r="AY69" s="1435">
        <f>$DL$69</f>
        <v>2.5000000000000001E-2</v>
      </c>
      <c r="AZ69" s="1435"/>
      <c r="BA69" s="1435">
        <f>$DM$69</f>
        <v>1.2999999999999999E-2</v>
      </c>
      <c r="BB69" s="1435">
        <f>$DM$69</f>
        <v>1.2999999999999999E-2</v>
      </c>
      <c r="BC69" s="1435">
        <f>$DM$69</f>
        <v>1.2999999999999999E-2</v>
      </c>
      <c r="BD69" s="1435">
        <f>$DM$69</f>
        <v>1.2999999999999999E-2</v>
      </c>
      <c r="BE69" s="1435"/>
      <c r="BF69" s="1435">
        <f>$DN$69</f>
        <v>0</v>
      </c>
      <c r="BG69" s="1435">
        <f>$DN$69</f>
        <v>0</v>
      </c>
      <c r="BH69" s="1435">
        <f>$DN$69</f>
        <v>0</v>
      </c>
      <c r="BI69" s="1435">
        <f>$DN$69</f>
        <v>0</v>
      </c>
      <c r="BJ69" s="1435"/>
      <c r="BK69" s="1435">
        <f>$DO$69</f>
        <v>0</v>
      </c>
      <c r="BL69" s="1435">
        <f>$DO$69</f>
        <v>0</v>
      </c>
      <c r="BM69" s="1435">
        <f>$DO$69</f>
        <v>0</v>
      </c>
      <c r="BN69" s="1435">
        <f>$DO$69</f>
        <v>0</v>
      </c>
      <c r="BO69" s="1435"/>
      <c r="BP69" s="1435">
        <f>$DP$69</f>
        <v>0</v>
      </c>
      <c r="BQ69" s="1435">
        <f>$DP$69</f>
        <v>0</v>
      </c>
      <c r="BR69" s="1435">
        <f>$DP$69</f>
        <v>0</v>
      </c>
      <c r="BS69" s="1435">
        <f>$DP$69</f>
        <v>0</v>
      </c>
      <c r="BT69" s="1435"/>
      <c r="BU69" s="1435">
        <f t="shared" ref="BU69:CR69" si="46">$DP$69</f>
        <v>0</v>
      </c>
      <c r="BV69" s="1435">
        <f t="shared" si="46"/>
        <v>0</v>
      </c>
      <c r="BW69" s="1435">
        <f t="shared" si="46"/>
        <v>0</v>
      </c>
      <c r="BX69" s="1435">
        <f t="shared" si="46"/>
        <v>0</v>
      </c>
      <c r="BY69" s="1435"/>
      <c r="BZ69" s="1435">
        <f t="shared" si="46"/>
        <v>0</v>
      </c>
      <c r="CA69" s="1435">
        <f t="shared" si="46"/>
        <v>0</v>
      </c>
      <c r="CB69" s="1435">
        <f t="shared" si="46"/>
        <v>0</v>
      </c>
      <c r="CC69" s="1435">
        <f t="shared" si="46"/>
        <v>0</v>
      </c>
      <c r="CD69" s="1435"/>
      <c r="CE69" s="1435">
        <f t="shared" si="46"/>
        <v>0</v>
      </c>
      <c r="CF69" s="1435">
        <f t="shared" si="46"/>
        <v>0</v>
      </c>
      <c r="CG69" s="1435">
        <f t="shared" si="46"/>
        <v>0</v>
      </c>
      <c r="CH69" s="1435">
        <f t="shared" si="46"/>
        <v>0</v>
      </c>
      <c r="CI69" s="1435"/>
      <c r="CJ69" s="1435">
        <f t="shared" si="46"/>
        <v>0</v>
      </c>
      <c r="CK69" s="1435">
        <f t="shared" si="46"/>
        <v>0</v>
      </c>
      <c r="CL69" s="1435">
        <f t="shared" si="46"/>
        <v>0</v>
      </c>
      <c r="CM69" s="1435">
        <f t="shared" si="46"/>
        <v>0</v>
      </c>
      <c r="CN69" s="1435"/>
      <c r="CO69" s="1435">
        <f t="shared" si="46"/>
        <v>0</v>
      </c>
      <c r="CP69" s="1435">
        <f t="shared" si="46"/>
        <v>0</v>
      </c>
      <c r="CQ69" s="1435">
        <f t="shared" si="46"/>
        <v>0</v>
      </c>
      <c r="CR69" s="1435">
        <f t="shared" si="46"/>
        <v>0</v>
      </c>
      <c r="CS69" s="1435"/>
      <c r="CT69" s="1811"/>
      <c r="CU69" s="1811"/>
      <c r="CV69" s="1811"/>
      <c r="CW69" s="1811"/>
      <c r="CX69" s="371"/>
      <c r="CY69" s="371"/>
      <c r="CZ69" s="371">
        <v>6.0000000000000001E-3</v>
      </c>
      <c r="DA69" s="371">
        <v>6.0000000000000001E-3</v>
      </c>
      <c r="DB69" s="371">
        <v>6.0000000000000001E-3</v>
      </c>
      <c r="DC69" s="371">
        <v>7.0000000000000001E-3</v>
      </c>
      <c r="DD69" s="371">
        <v>6.0000000000000001E-3</v>
      </c>
      <c r="DE69" s="1435">
        <v>3.0000000000000001E-3</v>
      </c>
      <c r="DF69" s="1435">
        <v>7.0000000000000001E-3</v>
      </c>
      <c r="DG69" s="1435">
        <v>1.0999999999999999E-2</v>
      </c>
      <c r="DH69" s="1435">
        <v>5.0000000000000001E-3</v>
      </c>
      <c r="DI69" s="371">
        <v>7.0000000000000001E-3</v>
      </c>
      <c r="DJ69" s="371">
        <v>1.4999999999999999E-2</v>
      </c>
      <c r="DK69" s="371">
        <v>7.0000000000000001E-3</v>
      </c>
      <c r="DL69" s="371">
        <v>2.5000000000000001E-2</v>
      </c>
      <c r="DM69" s="371">
        <v>1.2999999999999999E-2</v>
      </c>
      <c r="DN69" s="371"/>
      <c r="DO69" s="371"/>
      <c r="DP69" s="371"/>
      <c r="DQ69" s="1435"/>
      <c r="DR69" s="1435"/>
      <c r="DS69" s="1435"/>
      <c r="DT69" s="1435"/>
      <c r="DU69" s="371"/>
      <c r="DV69" s="371"/>
      <c r="DW69" s="371"/>
      <c r="DX69" s="371"/>
      <c r="DY69" s="1658"/>
      <c r="DZ69" s="330"/>
    </row>
    <row r="70" spans="1:130" collapsed="1"/>
  </sheetData>
  <mergeCells count="5">
    <mergeCell ref="BZ6:CC6"/>
    <mergeCell ref="CE6:CH6"/>
    <mergeCell ref="CJ6:CM6"/>
    <mergeCell ref="CO6:CR6"/>
    <mergeCell ref="CT6:CW6"/>
  </mergeCells>
  <phoneticPr fontId="0" type="noConversion"/>
  <dataValidations count="1">
    <dataValidation type="custom" allowBlank="1" showInputMessage="1" showErrorMessage="1" sqref="CQ57:CR57 AC60:AC69 BU33:BX35 BP33:BS35 BK33:BN35 BF29:BI35 BA29:BD35 AV29:AY35 AQ29:AT35 AL29:AO35 AG29:AJ35 AB29:AE35 W29:Z35 R29:U35 BZ45:CC48 BP13:BS16 BU37:BX40 AG72:AJ65536 DF67:DG69 AH60:AH69 AN59:AO69 AM66:AM69 AI59:AJ69 W60:Z69 AD59:AE69 AB59:AB69 L59:P69 Q60:U69 AS59:AT69 AQ59:AQ69 AR66:AR69 AG59:AG69 AL59:AL69 BA37:BD43 BK9:BN9 BK7:BN7 BK45:BN48 BA6:BD17 J50:K51 G27 DH18 DH13:DH14 DH11 BA20:BD20 BU30:BX30 AV37:AY43 BA45:BD48 AV6:AY17 AV20:AY20 AQ37:AT43 AV45:AY48 DH21:DH23 AB72:AE65536 AL72:AO65536 AL45:AO49 AQ20:AT20 AL37:AO43 AQ72:AT65536 AL1:AO17 M1:P8 R45:U49 DG1:DG14 DF10 DF12:DF13 DF20 DF72:DG65536 H16:K16 C16:F16 R20:U20 AB1:AE17 Q28:Q49 R1:U17 M16:P16 DD15:DH15 W45:Z49 W20:Z20 R37:U43 R59 V5 DF17:DG18 V59 L72:U65536 W1:Z17 AB45:AE49 AB20:AE20 W37:Z43 AA5 DF6:DF8 DF1:DF4 CZ50:DC50 J59:K59 AQ45:AT49 BB56:BD58 AA59 AG20:AJ20 AB37:AE43 AQ1:AT17 W72:Z65536 AG1:AJ17 BK23:BN23 AG45:AJ49 AL20:AO20 AG37:AJ43 BF6:BI17 CZ16:DH16 BG56:BJ58 AV56:AY58 BF20:BI20 BK11:BN11 BF45:BI48 BK25:BN25 BK30:BN30 BF37:BI43 BK43:BN43 BU7:BX7 BK13:BN16 BP9:BS9 BP7:BS7 BP45:BS48 BP23:BS23 BP11:BS11 BP25:BS25 BP30:BS30 BK37:BN40 BP43:BS43 BZ30:CC30 BU45:BX48 BP37:BS40 BU43:BX43 BU13:BX13 BU16:BX16 BU23:BX23 BU25:BX25 BL56:BO58 BZ16:CC16 BZ37:CC40 BZ25:CC25 BZ13:CC13 CZ58:DC58 CD57:CD59 BT50:BT57 CX50:CY55 CX57:CY59 CO37:CW40 BY50:BY55 BY57:BY59 DP51:DZ55 DD50:DO55 CE45:CH48 J52:P55 AL51:AL55 AD50:AE55 R50:R55 V50:V55 AG50:AI55 AQ52:AQ55 BA52:BA55 AU50:AU58 AJ51:AJ55 AP50:AP55 AA50:AB55 AZ50:AZ58 BE50:BE58 BF52:BF55 CJ45:CM48 CD50:CD55 BF23:BI25 DR23:DT23 DG20:DG22 BA23:BD25 AV23:AY25 DF23:DG49 AQ23:AT25 R23:U25 Q1:Q26 W23:Z25 AB23:AE25 AG23:AJ25 AL23:AO25 BZ23:CC23 BZ33:CC35 BZ43:CC43 CE7:CH7 CE30:CH30 CE16:CH16 CE37:CH40 CE25:CH25 CE13:CH13 CE23:CH23 CE33:CH35 BZ7:CC7 CE43:CH43 CI57:CI59 CL57:CM57 CO45:CW48 CJ7:CM7 CI50:CI55 CJ30:CM30 CJ16:CM16 CJ37:CM40 CJ25:CM25 CJ13:CM13 CJ23:CM23 CJ33:CM35 DD57:DZ60 CJ43:CM43 CO43:CW43 CN57:CN59 CQ50:CQ55 M49:P51 CN50:CN55 CO23:CW23 CO13:CW13 CO25:CW25 CO30:CW30 CO7:CW7 CO16:CW16 CC52:CC55 CE52:CE55 CG56:CH57 CJ55:CM55 L1:L51 CO33:CW35">
      <formula1>-1</formula1>
    </dataValidation>
  </dataValidations>
  <printOptions horizontalCentered="1"/>
  <pageMargins left="0" right="0" top="0" bottom="0" header="0" footer="0"/>
  <pageSetup paperSize="5" scale="77"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IV14"/>
  <sheetViews>
    <sheetView workbookViewId="0"/>
  </sheetViews>
  <sheetFormatPr defaultRowHeight="12.75"/>
  <sheetData>
    <row r="1" spans="1:256">
      <c r="A1" t="s">
        <v>3090</v>
      </c>
    </row>
    <row r="2" spans="1:256">
      <c r="A2" s="1493" t="s">
        <v>2468</v>
      </c>
      <c r="B2" s="1493" t="s">
        <v>814</v>
      </c>
      <c r="C2" s="1493" t="s">
        <v>1471</v>
      </c>
      <c r="D2" s="1493" t="s">
        <v>1472</v>
      </c>
      <c r="E2" s="1493" t="s">
        <v>1451</v>
      </c>
      <c r="F2" s="1493" t="s">
        <v>1452</v>
      </c>
      <c r="G2" s="1493" t="s">
        <v>2469</v>
      </c>
      <c r="H2" s="1493" t="s">
        <v>814</v>
      </c>
      <c r="I2" s="1493" t="s">
        <v>2471</v>
      </c>
      <c r="J2" s="1493" t="s">
        <v>814</v>
      </c>
      <c r="K2" s="1493" t="s">
        <v>2651</v>
      </c>
      <c r="L2" s="1493" t="s">
        <v>814</v>
      </c>
      <c r="M2" s="1493" t="s">
        <v>1565</v>
      </c>
      <c r="N2" s="1493" t="s">
        <v>814</v>
      </c>
      <c r="O2" s="1493" t="s">
        <v>880</v>
      </c>
      <c r="P2" s="1493" t="s">
        <v>2328</v>
      </c>
      <c r="Q2" s="1493" t="s">
        <v>2472</v>
      </c>
      <c r="R2" s="1493" t="s">
        <v>814</v>
      </c>
      <c r="S2" s="1493" t="s">
        <v>2385</v>
      </c>
      <c r="T2" s="1493" t="s">
        <v>697</v>
      </c>
      <c r="U2" s="1493" t="s">
        <v>2473</v>
      </c>
      <c r="V2" s="1493" t="s">
        <v>814</v>
      </c>
      <c r="W2" s="1493" t="s">
        <v>948</v>
      </c>
      <c r="X2" s="1493" t="s">
        <v>568</v>
      </c>
      <c r="Y2" s="1493" t="s">
        <v>1314</v>
      </c>
      <c r="Z2" s="1493" t="s">
        <v>2145</v>
      </c>
      <c r="AA2" s="1493" t="s">
        <v>429</v>
      </c>
      <c r="AB2" s="1493" t="s">
        <v>2120</v>
      </c>
      <c r="AC2" s="1493" t="s">
        <v>2476</v>
      </c>
      <c r="AD2" s="1493" t="s">
        <v>814</v>
      </c>
      <c r="AE2" s="1493" t="s">
        <v>198</v>
      </c>
      <c r="AF2" s="1493" t="s">
        <v>1103</v>
      </c>
      <c r="AG2" s="1493" t="s">
        <v>725</v>
      </c>
      <c r="AH2" s="1493" t="s">
        <v>814</v>
      </c>
      <c r="AI2" s="1493" t="s">
        <v>1547</v>
      </c>
      <c r="AJ2" s="1493" t="s">
        <v>305</v>
      </c>
      <c r="AK2" s="1493" t="s">
        <v>191</v>
      </c>
      <c r="AL2" s="1493" t="s">
        <v>1098</v>
      </c>
      <c r="AM2" s="1493" t="s">
        <v>1204</v>
      </c>
      <c r="AN2" s="1493" t="s">
        <v>1478</v>
      </c>
      <c r="AO2" s="1493" t="s">
        <v>2282</v>
      </c>
      <c r="AP2" s="1493" t="s">
        <v>1104</v>
      </c>
      <c r="AQ2" s="1493" t="s">
        <v>2677</v>
      </c>
      <c r="AR2" s="1493" t="s">
        <v>814</v>
      </c>
      <c r="AS2" s="1493" t="s">
        <v>2477</v>
      </c>
      <c r="AT2" s="1493" t="s">
        <v>814</v>
      </c>
      <c r="AU2" s="1493" t="s">
        <v>2478</v>
      </c>
      <c r="AV2" s="1493" t="s">
        <v>814</v>
      </c>
      <c r="AW2" s="1493" t="s">
        <v>1154</v>
      </c>
      <c r="AX2" s="1493" t="s">
        <v>1155</v>
      </c>
      <c r="AY2" s="1493" t="s">
        <v>1169</v>
      </c>
      <c r="AZ2" s="1493" t="s">
        <v>1807</v>
      </c>
      <c r="BA2" s="1493" t="s">
        <v>2479</v>
      </c>
      <c r="BB2" s="1493" t="s">
        <v>814</v>
      </c>
      <c r="BC2" s="1493" t="s">
        <v>2480</v>
      </c>
      <c r="BD2" s="1493" t="s">
        <v>814</v>
      </c>
      <c r="BE2" s="1493" t="s">
        <v>1607</v>
      </c>
      <c r="BF2" s="1493" t="s">
        <v>1852</v>
      </c>
      <c r="BG2" s="1493" t="s">
        <v>2481</v>
      </c>
      <c r="BH2" s="1493" t="s">
        <v>814</v>
      </c>
      <c r="BI2" s="1493" t="s">
        <v>723</v>
      </c>
      <c r="BJ2" s="1493" t="s">
        <v>1733</v>
      </c>
      <c r="BK2" s="1493" t="s">
        <v>243</v>
      </c>
      <c r="BL2" s="1493" t="s">
        <v>814</v>
      </c>
      <c r="BM2" s="1493" t="s">
        <v>116</v>
      </c>
      <c r="BN2" s="1493" t="s">
        <v>117</v>
      </c>
      <c r="BO2" s="1493" t="s">
        <v>1142</v>
      </c>
      <c r="BP2" s="1493" t="s">
        <v>2132</v>
      </c>
      <c r="BQ2" s="1493" t="s">
        <v>1518</v>
      </c>
      <c r="BR2" s="1493" t="s">
        <v>433</v>
      </c>
      <c r="BS2" s="1493" t="s">
        <v>2482</v>
      </c>
      <c r="BT2" s="1493" t="s">
        <v>814</v>
      </c>
      <c r="BU2" s="1493" t="s">
        <v>2483</v>
      </c>
      <c r="BV2" s="1493" t="s">
        <v>814</v>
      </c>
      <c r="BW2" s="1493" t="s">
        <v>77</v>
      </c>
      <c r="BX2" s="1493" t="s">
        <v>78</v>
      </c>
      <c r="BY2" s="1493" t="s">
        <v>1183</v>
      </c>
      <c r="BZ2" s="1493" t="s">
        <v>1426</v>
      </c>
      <c r="CA2" s="1493" t="s">
        <v>2484</v>
      </c>
      <c r="CB2" s="1493" t="s">
        <v>814</v>
      </c>
      <c r="CC2" s="1493" t="s">
        <v>2485</v>
      </c>
      <c r="CD2" s="1493" t="s">
        <v>814</v>
      </c>
      <c r="CE2" s="1493" t="s">
        <v>208</v>
      </c>
      <c r="CF2" s="1493" t="s">
        <v>8</v>
      </c>
      <c r="CG2" s="1493" t="s">
        <v>714</v>
      </c>
      <c r="CH2" s="1493" t="s">
        <v>1732</v>
      </c>
      <c r="CI2" s="1493" t="s">
        <v>217</v>
      </c>
      <c r="CJ2" s="1493" t="s">
        <v>1860</v>
      </c>
      <c r="CK2" s="1493" t="s">
        <v>1118</v>
      </c>
      <c r="CL2" s="1493" t="s">
        <v>995</v>
      </c>
      <c r="CM2" s="1493" t="s">
        <v>2221</v>
      </c>
      <c r="CN2" s="1493" t="s">
        <v>2427</v>
      </c>
      <c r="CO2" s="1493" t="s">
        <v>2486</v>
      </c>
      <c r="CP2" s="1493" t="s">
        <v>814</v>
      </c>
      <c r="CQ2" s="1493" t="s">
        <v>124</v>
      </c>
      <c r="CR2" s="1493" t="s">
        <v>125</v>
      </c>
      <c r="CS2" s="1493" t="s">
        <v>2487</v>
      </c>
      <c r="CT2" s="1493" t="s">
        <v>814</v>
      </c>
      <c r="CU2" s="1493" t="s">
        <v>2488</v>
      </c>
      <c r="CV2" s="1493" t="s">
        <v>814</v>
      </c>
      <c r="CW2" s="1493" t="s">
        <v>1662</v>
      </c>
      <c r="CX2" s="1493" t="s">
        <v>1628</v>
      </c>
      <c r="CY2" s="1493" t="s">
        <v>2227</v>
      </c>
      <c r="CZ2" s="1493" t="s">
        <v>1392</v>
      </c>
      <c r="DA2" s="1493" t="s">
        <v>2675</v>
      </c>
      <c r="DB2" s="1493" t="s">
        <v>814</v>
      </c>
      <c r="DC2" s="1493" t="s">
        <v>2526</v>
      </c>
      <c r="DD2" s="1493" t="s">
        <v>814</v>
      </c>
      <c r="DE2" s="1493" t="s">
        <v>597</v>
      </c>
      <c r="DF2" s="1493" t="s">
        <v>1329</v>
      </c>
      <c r="DG2" s="1493" t="s">
        <v>343</v>
      </c>
      <c r="DH2" s="1493" t="s">
        <v>344</v>
      </c>
      <c r="DI2" s="1493" t="s">
        <v>532</v>
      </c>
      <c r="DJ2" s="1493" t="s">
        <v>2041</v>
      </c>
      <c r="DK2" s="1493" t="s">
        <v>122</v>
      </c>
      <c r="DL2" s="1493" t="s">
        <v>123</v>
      </c>
      <c r="DM2" s="1493" t="s">
        <v>178</v>
      </c>
      <c r="DN2" s="1493" t="s">
        <v>1351</v>
      </c>
      <c r="DO2" s="1493" t="s">
        <v>1571</v>
      </c>
      <c r="DP2" s="1493" t="s">
        <v>814</v>
      </c>
      <c r="DQ2" s="1493" t="s">
        <v>415</v>
      </c>
      <c r="DR2" s="1493" t="s">
        <v>416</v>
      </c>
      <c r="DS2" s="1493" t="s">
        <v>1265</v>
      </c>
      <c r="DT2" s="1493" t="s">
        <v>1807</v>
      </c>
      <c r="DU2" s="1493" t="s">
        <v>1168</v>
      </c>
      <c r="DV2" s="1493" t="s">
        <v>1422</v>
      </c>
      <c r="DW2" s="1493" t="s">
        <v>2181</v>
      </c>
      <c r="DX2" s="1493" t="s">
        <v>2090</v>
      </c>
      <c r="DY2" s="1493" t="s">
        <v>2490</v>
      </c>
      <c r="DZ2" s="1493" t="s">
        <v>814</v>
      </c>
      <c r="EA2" s="1493" t="s">
        <v>2491</v>
      </c>
      <c r="EB2" s="1493" t="s">
        <v>814</v>
      </c>
      <c r="EC2" s="1493" t="s">
        <v>756</v>
      </c>
      <c r="ED2" s="1493" t="s">
        <v>81</v>
      </c>
      <c r="EE2" s="1493" t="s">
        <v>2492</v>
      </c>
      <c r="EF2" s="1493" t="s">
        <v>814</v>
      </c>
      <c r="EG2" s="1493" t="s">
        <v>2493</v>
      </c>
      <c r="EH2" s="1493" t="s">
        <v>814</v>
      </c>
      <c r="EI2" s="1493" t="s">
        <v>2494</v>
      </c>
      <c r="EJ2" s="1493" t="s">
        <v>814</v>
      </c>
      <c r="EK2" s="1493" t="s">
        <v>1281</v>
      </c>
      <c r="EL2" s="1493" t="s">
        <v>814</v>
      </c>
      <c r="EM2" s="1493" t="s">
        <v>2495</v>
      </c>
      <c r="EN2" s="1493" t="s">
        <v>814</v>
      </c>
      <c r="EO2" s="1493" t="s">
        <v>2496</v>
      </c>
      <c r="EP2" s="1493" t="s">
        <v>814</v>
      </c>
      <c r="EQ2" s="1493" t="s">
        <v>1253</v>
      </c>
      <c r="ER2" s="1493" t="s">
        <v>1484</v>
      </c>
      <c r="ES2" s="1493" t="s">
        <v>1445</v>
      </c>
      <c r="ET2" s="1493" t="s">
        <v>1446</v>
      </c>
      <c r="EU2" s="1493" t="s">
        <v>214</v>
      </c>
      <c r="EV2" s="1493" t="s">
        <v>1758</v>
      </c>
      <c r="EW2" s="1493" t="s">
        <v>1637</v>
      </c>
      <c r="EX2" s="1493" t="s">
        <v>2028</v>
      </c>
      <c r="EY2" s="1493" t="s">
        <v>225</v>
      </c>
      <c r="EZ2" s="1493" t="s">
        <v>983</v>
      </c>
      <c r="FA2" s="1493" t="s">
        <v>896</v>
      </c>
      <c r="FB2" s="1493" t="s">
        <v>2337</v>
      </c>
      <c r="FC2" s="1493" t="s">
        <v>2497</v>
      </c>
      <c r="FD2" s="1493" t="s">
        <v>814</v>
      </c>
      <c r="FE2" s="1493" t="s">
        <v>1125</v>
      </c>
      <c r="FF2" s="1493" t="s">
        <v>814</v>
      </c>
      <c r="FG2" s="1493" t="s">
        <v>1117</v>
      </c>
      <c r="FH2" s="1493" t="s">
        <v>994</v>
      </c>
      <c r="FI2" s="1493" t="s">
        <v>1526</v>
      </c>
      <c r="FJ2" s="1493" t="s">
        <v>814</v>
      </c>
      <c r="FK2" s="1493" t="s">
        <v>2499</v>
      </c>
      <c r="FL2" s="1493" t="s">
        <v>814</v>
      </c>
      <c r="FM2" s="1493" t="s">
        <v>2214</v>
      </c>
      <c r="FN2" s="1493" t="s">
        <v>1586</v>
      </c>
      <c r="FO2" s="1493" t="s">
        <v>399</v>
      </c>
      <c r="FP2" s="1493" t="s">
        <v>814</v>
      </c>
      <c r="FQ2" s="1493" t="s">
        <v>564</v>
      </c>
      <c r="FR2" s="1493" t="s">
        <v>2049</v>
      </c>
      <c r="FS2" s="1493" t="s">
        <v>1564</v>
      </c>
      <c r="FT2" s="1493" t="s">
        <v>2162</v>
      </c>
      <c r="FU2" s="1493" t="s">
        <v>1673</v>
      </c>
      <c r="FV2" s="1493" t="s">
        <v>1408</v>
      </c>
      <c r="FW2" s="1493" t="s">
        <v>2500</v>
      </c>
      <c r="FX2" s="1493" t="s">
        <v>814</v>
      </c>
      <c r="FY2" s="1493" t="s">
        <v>2015</v>
      </c>
      <c r="FZ2" s="1493" t="s">
        <v>1478</v>
      </c>
      <c r="GA2" s="1493" t="s">
        <v>2501</v>
      </c>
      <c r="GB2" s="1493" t="s">
        <v>814</v>
      </c>
      <c r="GC2" s="1493" t="s">
        <v>706</v>
      </c>
      <c r="GD2" s="1493" t="s">
        <v>814</v>
      </c>
      <c r="GE2" s="1493" t="s">
        <v>737</v>
      </c>
      <c r="GF2" s="1493" t="s">
        <v>738</v>
      </c>
      <c r="GG2" s="1493" t="s">
        <v>715</v>
      </c>
      <c r="GH2" s="1493" t="s">
        <v>644</v>
      </c>
      <c r="GI2" s="1493" t="s">
        <v>2503</v>
      </c>
      <c r="GJ2" s="1493" t="s">
        <v>814</v>
      </c>
      <c r="GK2" s="1493" t="s">
        <v>929</v>
      </c>
      <c r="GL2" s="1493" t="s">
        <v>814</v>
      </c>
      <c r="GM2" s="1493" t="s">
        <v>2071</v>
      </c>
      <c r="GN2" s="1493" t="s">
        <v>814</v>
      </c>
      <c r="GO2" s="1493" t="s">
        <v>2222</v>
      </c>
      <c r="GP2" s="1493" t="s">
        <v>2428</v>
      </c>
      <c r="GQ2" s="1493" t="s">
        <v>2859</v>
      </c>
      <c r="GR2" s="1493" t="s">
        <v>814</v>
      </c>
      <c r="GS2" s="1493" t="s">
        <v>1806</v>
      </c>
      <c r="GT2" s="1493" t="s">
        <v>1807</v>
      </c>
      <c r="GU2" s="1493" t="s">
        <v>1606</v>
      </c>
      <c r="GV2" s="1493" t="s">
        <v>1851</v>
      </c>
      <c r="GW2" s="1493" t="s">
        <v>127</v>
      </c>
      <c r="GX2" s="1493" t="s">
        <v>128</v>
      </c>
      <c r="GY2" s="1493" t="s">
        <v>2504</v>
      </c>
      <c r="GZ2" s="1493" t="s">
        <v>814</v>
      </c>
      <c r="HA2" s="1493" t="s">
        <v>1685</v>
      </c>
      <c r="HB2" s="1493" t="s">
        <v>1415</v>
      </c>
      <c r="HC2" s="1493" t="s">
        <v>911</v>
      </c>
      <c r="HD2" s="1493" t="s">
        <v>814</v>
      </c>
      <c r="HE2" s="1493" t="s">
        <v>1627</v>
      </c>
      <c r="HF2" s="1493" t="s">
        <v>1628</v>
      </c>
      <c r="HG2" s="1493" t="s">
        <v>1261</v>
      </c>
      <c r="HH2" s="1493" t="s">
        <v>1653</v>
      </c>
      <c r="HI2" s="1493" t="s">
        <v>2296</v>
      </c>
      <c r="HJ2" s="1493" t="s">
        <v>2110</v>
      </c>
      <c r="HK2" s="1493" t="s">
        <v>599</v>
      </c>
      <c r="HL2" s="1493" t="s">
        <v>959</v>
      </c>
      <c r="HM2" s="1493" t="s">
        <v>900</v>
      </c>
      <c r="HN2" s="1493" t="s">
        <v>814</v>
      </c>
      <c r="HO2" s="1493" t="s">
        <v>915</v>
      </c>
      <c r="HP2" s="1493" t="s">
        <v>1653</v>
      </c>
      <c r="HQ2" s="1493" t="s">
        <v>2505</v>
      </c>
      <c r="HR2" s="1493" t="s">
        <v>814</v>
      </c>
      <c r="HS2" s="1493" t="s">
        <v>674</v>
      </c>
      <c r="HT2" s="1493" t="s">
        <v>992</v>
      </c>
      <c r="HU2" s="1493" t="s">
        <v>695</v>
      </c>
      <c r="HV2" s="1493" t="s">
        <v>2187</v>
      </c>
      <c r="HW2" s="1493" t="s">
        <v>1464</v>
      </c>
      <c r="HX2" s="1493" t="s">
        <v>2081</v>
      </c>
      <c r="HY2" s="1493" t="s">
        <v>2508</v>
      </c>
      <c r="HZ2" s="1493" t="s">
        <v>814</v>
      </c>
      <c r="IA2" s="1493" t="s">
        <v>2509</v>
      </c>
      <c r="IB2" s="1493" t="s">
        <v>814</v>
      </c>
      <c r="IC2" s="1493" t="s">
        <v>2456</v>
      </c>
      <c r="ID2" s="1493" t="s">
        <v>2510</v>
      </c>
      <c r="IE2" s="1493" t="s">
        <v>1508</v>
      </c>
      <c r="IF2" s="1493" t="s">
        <v>863</v>
      </c>
      <c r="IG2" s="1493" t="s">
        <v>72</v>
      </c>
      <c r="IH2" s="1493" t="s">
        <v>893</v>
      </c>
      <c r="II2" s="1493" t="s">
        <v>2233</v>
      </c>
      <c r="IJ2" s="1493" t="s">
        <v>2135</v>
      </c>
      <c r="IK2" s="1493" t="s">
        <v>2511</v>
      </c>
      <c r="IL2" s="1493" t="s">
        <v>814</v>
      </c>
      <c r="IM2" s="1493" t="s">
        <v>2512</v>
      </c>
      <c r="IN2" s="1493" t="s">
        <v>814</v>
      </c>
      <c r="IO2" s="1493" t="s">
        <v>1910</v>
      </c>
      <c r="IP2" s="1493" t="s">
        <v>298</v>
      </c>
      <c r="IQ2" s="1493" t="s">
        <v>2513</v>
      </c>
      <c r="IR2" s="1493" t="s">
        <v>814</v>
      </c>
      <c r="IS2" s="1493" t="s">
        <v>1237</v>
      </c>
      <c r="IT2" s="1493" t="s">
        <v>2331</v>
      </c>
      <c r="IU2" s="1493" t="s">
        <v>2302</v>
      </c>
      <c r="IV2" s="1493" t="s">
        <v>2114</v>
      </c>
    </row>
    <row r="3" spans="1:256">
      <c r="A3" s="1493" t="s">
        <v>1694</v>
      </c>
      <c r="B3" s="1493" t="s">
        <v>1695</v>
      </c>
      <c r="C3" s="1493" t="s">
        <v>2250</v>
      </c>
      <c r="D3" s="1493" t="s">
        <v>814</v>
      </c>
      <c r="E3" s="1493" t="s">
        <v>2514</v>
      </c>
      <c r="F3" s="1493" t="s">
        <v>814</v>
      </c>
      <c r="G3" s="1493" t="s">
        <v>1661</v>
      </c>
      <c r="H3" s="1493" t="s">
        <v>1429</v>
      </c>
      <c r="I3" s="1493" t="s">
        <v>1609</v>
      </c>
      <c r="J3" s="1493" t="s">
        <v>814</v>
      </c>
      <c r="K3" s="1493" t="s">
        <v>2516</v>
      </c>
      <c r="L3" s="1493" t="s">
        <v>814</v>
      </c>
      <c r="M3" s="1493" t="s">
        <v>396</v>
      </c>
      <c r="N3" s="1493" t="s">
        <v>1807</v>
      </c>
      <c r="O3" s="1493" t="s">
        <v>1911</v>
      </c>
      <c r="P3" s="1493" t="s">
        <v>814</v>
      </c>
      <c r="Q3" s="1493" t="s">
        <v>57</v>
      </c>
      <c r="R3" s="1493" t="s">
        <v>1478</v>
      </c>
      <c r="S3" s="1493" t="s">
        <v>215</v>
      </c>
      <c r="T3" s="1493" t="s">
        <v>814</v>
      </c>
      <c r="U3" s="1493" t="s">
        <v>2475</v>
      </c>
      <c r="V3" s="1493" t="s">
        <v>814</v>
      </c>
      <c r="W3" s="1493" t="s">
        <v>2099</v>
      </c>
      <c r="X3" s="1493" t="s">
        <v>1653</v>
      </c>
      <c r="Y3" s="1493" t="s">
        <v>2063</v>
      </c>
      <c r="Z3" s="1493" t="s">
        <v>969</v>
      </c>
      <c r="AA3" s="1493" t="s">
        <v>2517</v>
      </c>
      <c r="AB3" s="1493" t="s">
        <v>814</v>
      </c>
      <c r="AC3" s="1493" t="s">
        <v>1201</v>
      </c>
      <c r="AD3" s="1493" t="s">
        <v>792</v>
      </c>
      <c r="AE3" s="1493" t="s">
        <v>1639</v>
      </c>
      <c r="AF3" s="1493" t="s">
        <v>2030</v>
      </c>
      <c r="AG3" s="1493" t="s">
        <v>1601</v>
      </c>
      <c r="AH3" s="1493" t="s">
        <v>814</v>
      </c>
      <c r="AI3" s="1493" t="s">
        <v>1517</v>
      </c>
      <c r="AJ3" s="1493" t="s">
        <v>2280</v>
      </c>
      <c r="AK3" s="1493" t="s">
        <v>908</v>
      </c>
      <c r="AL3" s="1493" t="s">
        <v>577</v>
      </c>
      <c r="AM3" s="1493" t="s">
        <v>500</v>
      </c>
      <c r="AN3" s="1493" t="s">
        <v>858</v>
      </c>
      <c r="AO3" s="1493" t="s">
        <v>1070</v>
      </c>
      <c r="AP3" s="1493" t="s">
        <v>988</v>
      </c>
      <c r="AQ3" s="1493" t="s">
        <v>2692</v>
      </c>
      <c r="AR3" s="1493" t="s">
        <v>814</v>
      </c>
      <c r="AS3" s="1493" t="s">
        <v>1200</v>
      </c>
      <c r="AT3" s="1493" t="s">
        <v>1359</v>
      </c>
      <c r="AU3" s="1493" t="s">
        <v>1272</v>
      </c>
      <c r="AV3" s="1493" t="s">
        <v>1628</v>
      </c>
      <c r="AW3" s="1493" t="s">
        <v>1243</v>
      </c>
      <c r="AX3" s="1493" t="s">
        <v>632</v>
      </c>
      <c r="AY3" s="1493" t="s">
        <v>1301</v>
      </c>
      <c r="AZ3" s="1493" t="s">
        <v>2204</v>
      </c>
      <c r="BA3" s="1493" t="s">
        <v>2012</v>
      </c>
      <c r="BB3" s="1493" t="s">
        <v>888</v>
      </c>
      <c r="BC3" s="1493" t="s">
        <v>2520</v>
      </c>
      <c r="BD3" s="1493" t="s">
        <v>814</v>
      </c>
      <c r="BE3" s="1493" t="s">
        <v>2179</v>
      </c>
      <c r="BF3" s="1493" t="s">
        <v>1113</v>
      </c>
      <c r="BG3" s="1493" t="s">
        <v>1634</v>
      </c>
      <c r="BH3" s="1493" t="s">
        <v>978</v>
      </c>
      <c r="BI3" s="1493" t="s">
        <v>2521</v>
      </c>
      <c r="BJ3" s="1493" t="s">
        <v>814</v>
      </c>
      <c r="BK3" s="1493" t="s">
        <v>921</v>
      </c>
      <c r="BL3" s="1493" t="s">
        <v>654</v>
      </c>
      <c r="BM3" s="1493" t="s">
        <v>2888</v>
      </c>
      <c r="BN3" s="1493" t="s">
        <v>814</v>
      </c>
      <c r="BO3" s="1493" t="s">
        <v>1574</v>
      </c>
      <c r="BP3" s="1493" t="s">
        <v>2057</v>
      </c>
      <c r="BQ3" s="1493" t="s">
        <v>531</v>
      </c>
      <c r="BR3" s="1493" t="s">
        <v>2040</v>
      </c>
      <c r="BS3" s="1493" t="s">
        <v>34</v>
      </c>
      <c r="BT3" s="1493" t="s">
        <v>35</v>
      </c>
      <c r="BU3" s="1493" t="s">
        <v>2224</v>
      </c>
      <c r="BV3" s="1493" t="s">
        <v>1390</v>
      </c>
      <c r="BW3" s="1493" t="s">
        <v>2523</v>
      </c>
      <c r="BX3" s="1493" t="s">
        <v>814</v>
      </c>
      <c r="BY3" s="1493" t="s">
        <v>2218</v>
      </c>
      <c r="BZ3" s="1493" t="s">
        <v>746</v>
      </c>
      <c r="CA3" s="1493" t="s">
        <v>1523</v>
      </c>
      <c r="CB3" s="1493" t="s">
        <v>570</v>
      </c>
      <c r="CC3" s="1493" t="s">
        <v>1532</v>
      </c>
      <c r="CD3" s="1493" t="s">
        <v>303</v>
      </c>
      <c r="CE3" s="1493" t="s">
        <v>232</v>
      </c>
      <c r="CF3" s="1493" t="s">
        <v>2185</v>
      </c>
      <c r="CG3" s="1493" t="s">
        <v>1603</v>
      </c>
      <c r="CH3" s="1493" t="s">
        <v>1850</v>
      </c>
      <c r="CI3" s="1493" t="s">
        <v>2291</v>
      </c>
      <c r="CJ3" s="1493" t="s">
        <v>814</v>
      </c>
      <c r="CK3" s="1493" t="s">
        <v>2524</v>
      </c>
      <c r="CL3" s="1493" t="s">
        <v>814</v>
      </c>
      <c r="CM3" s="1493" t="s">
        <v>1533</v>
      </c>
      <c r="CN3" s="1493" t="s">
        <v>814</v>
      </c>
      <c r="CO3" s="1493" t="s">
        <v>2864</v>
      </c>
      <c r="CP3" s="1493" t="s">
        <v>814</v>
      </c>
      <c r="CQ3" s="1493" t="s">
        <v>193</v>
      </c>
      <c r="CR3" s="1493" t="s">
        <v>1099</v>
      </c>
      <c r="CS3" s="1493" t="s">
        <v>79</v>
      </c>
      <c r="CT3" s="1493" t="s">
        <v>80</v>
      </c>
      <c r="CU3" s="1493" t="s">
        <v>417</v>
      </c>
      <c r="CV3" s="1493" t="s">
        <v>418</v>
      </c>
      <c r="CW3" s="1493" t="s">
        <v>2525</v>
      </c>
      <c r="CX3" s="1493" t="s">
        <v>814</v>
      </c>
      <c r="CY3" s="1493" t="s">
        <v>1550</v>
      </c>
      <c r="CZ3" s="1493" t="s">
        <v>2229</v>
      </c>
      <c r="DA3" s="1493" t="s">
        <v>1213</v>
      </c>
      <c r="DB3" s="1493" t="s">
        <v>814</v>
      </c>
      <c r="DC3" s="1493" t="s">
        <v>2527</v>
      </c>
      <c r="DD3" s="1493" t="s">
        <v>814</v>
      </c>
      <c r="DE3" s="1493" t="s">
        <v>2528</v>
      </c>
      <c r="DF3" s="1493" t="s">
        <v>814</v>
      </c>
      <c r="DG3" s="1493" t="s">
        <v>206</v>
      </c>
      <c r="DH3" s="1493" t="s">
        <v>2122</v>
      </c>
      <c r="DI3" s="1493" t="s">
        <v>521</v>
      </c>
      <c r="DJ3" s="1493" t="s">
        <v>156</v>
      </c>
      <c r="DK3" s="1493" t="s">
        <v>1068</v>
      </c>
      <c r="DL3" s="1493" t="s">
        <v>986</v>
      </c>
      <c r="DM3" s="1493" t="s">
        <v>1229</v>
      </c>
      <c r="DN3" s="1493" t="s">
        <v>1848</v>
      </c>
      <c r="DO3" s="1493" t="s">
        <v>1648</v>
      </c>
      <c r="DP3" s="1493" t="s">
        <v>2191</v>
      </c>
      <c r="DQ3" s="1493" t="s">
        <v>423</v>
      </c>
      <c r="DR3" s="1493" t="s">
        <v>421</v>
      </c>
      <c r="DS3" s="1493" t="s">
        <v>504</v>
      </c>
      <c r="DT3" s="1493" t="s">
        <v>2340</v>
      </c>
      <c r="DU3" s="1493" t="s">
        <v>901</v>
      </c>
      <c r="DV3" s="1493" t="s">
        <v>1430</v>
      </c>
      <c r="DW3" s="1493" t="s">
        <v>1814</v>
      </c>
      <c r="DX3" s="1493" t="s">
        <v>1815</v>
      </c>
      <c r="DY3" s="1493" t="s">
        <v>2967</v>
      </c>
      <c r="DZ3" s="1493" t="s">
        <v>814</v>
      </c>
      <c r="EA3" s="1493" t="s">
        <v>1212</v>
      </c>
      <c r="EB3" s="1493" t="s">
        <v>814</v>
      </c>
      <c r="EC3" s="1493" t="s">
        <v>2530</v>
      </c>
      <c r="ED3" s="1493" t="s">
        <v>814</v>
      </c>
      <c r="EE3" s="1493" t="s">
        <v>2531</v>
      </c>
      <c r="EF3" s="1493" t="s">
        <v>814</v>
      </c>
      <c r="EG3" s="1493" t="s">
        <v>940</v>
      </c>
      <c r="EH3" s="1493" t="s">
        <v>292</v>
      </c>
      <c r="EI3" s="1493" t="s">
        <v>2532</v>
      </c>
      <c r="EJ3" s="1493" t="s">
        <v>814</v>
      </c>
      <c r="EK3" s="1493" t="s">
        <v>2533</v>
      </c>
      <c r="EL3" s="1493" t="s">
        <v>814</v>
      </c>
      <c r="EM3" s="1493" t="s">
        <v>2360</v>
      </c>
      <c r="EN3" s="1493" t="s">
        <v>1246</v>
      </c>
      <c r="EO3" s="1493" t="s">
        <v>2845</v>
      </c>
      <c r="EP3" s="1493" t="s">
        <v>814</v>
      </c>
      <c r="EQ3" s="1493" t="s">
        <v>1913</v>
      </c>
      <c r="ER3" s="1493" t="s">
        <v>299</v>
      </c>
      <c r="ES3" s="1493" t="s">
        <v>252</v>
      </c>
      <c r="ET3" s="1493" t="s">
        <v>253</v>
      </c>
      <c r="EU3" s="1493" t="s">
        <v>2534</v>
      </c>
      <c r="EV3" s="1493" t="s">
        <v>814</v>
      </c>
      <c r="EW3" s="1493" t="s">
        <v>2640</v>
      </c>
      <c r="EX3" s="1493" t="s">
        <v>814</v>
      </c>
      <c r="EY3" s="1493" t="s">
        <v>1121</v>
      </c>
      <c r="EZ3" s="1493" t="s">
        <v>997</v>
      </c>
      <c r="FA3" s="1493" t="s">
        <v>2353</v>
      </c>
      <c r="FB3" s="1493" t="s">
        <v>2354</v>
      </c>
      <c r="FC3" s="1493" t="s">
        <v>1600</v>
      </c>
      <c r="FD3" s="1493" t="s">
        <v>1849</v>
      </c>
      <c r="FE3" s="1493" t="s">
        <v>502</v>
      </c>
      <c r="FF3" s="1493" t="s">
        <v>859</v>
      </c>
      <c r="FG3" s="1493" t="s">
        <v>663</v>
      </c>
      <c r="FH3" s="1493" t="s">
        <v>664</v>
      </c>
      <c r="FI3" s="1493" t="s">
        <v>1812</v>
      </c>
      <c r="FJ3" s="1493" t="s">
        <v>1813</v>
      </c>
      <c r="FK3" s="1493" t="s">
        <v>2536</v>
      </c>
      <c r="FL3" s="1493" t="s">
        <v>814</v>
      </c>
      <c r="FM3" s="1493" t="s">
        <v>224</v>
      </c>
      <c r="FN3" s="1493" t="s">
        <v>2090</v>
      </c>
      <c r="FO3" s="1493" t="s">
        <v>944</v>
      </c>
      <c r="FP3" s="1493" t="s">
        <v>1721</v>
      </c>
      <c r="FQ3" s="1493" t="s">
        <v>1297</v>
      </c>
      <c r="FR3" s="1493" t="s">
        <v>814</v>
      </c>
      <c r="FS3" s="1493" t="s">
        <v>1563</v>
      </c>
      <c r="FT3" s="1493" t="s">
        <v>1343</v>
      </c>
      <c r="FU3" s="1493" t="s">
        <v>1171</v>
      </c>
      <c r="FV3" s="1493" t="s">
        <v>1424</v>
      </c>
      <c r="FW3" s="1493" t="s">
        <v>2537</v>
      </c>
      <c r="FX3" s="1493" t="s">
        <v>814</v>
      </c>
      <c r="FY3" s="1493" t="s">
        <v>942</v>
      </c>
      <c r="FZ3" s="1493" t="s">
        <v>793</v>
      </c>
      <c r="GA3" s="1493" t="s">
        <v>2835</v>
      </c>
      <c r="GB3" s="1493" t="s">
        <v>814</v>
      </c>
      <c r="GC3" s="1493" t="s">
        <v>211</v>
      </c>
      <c r="GD3" s="1493" t="s">
        <v>1807</v>
      </c>
      <c r="GE3" s="1493" t="s">
        <v>345</v>
      </c>
      <c r="GF3" s="1493" t="s">
        <v>346</v>
      </c>
      <c r="GG3" s="1493" t="s">
        <v>1056</v>
      </c>
      <c r="GH3" s="1493" t="s">
        <v>603</v>
      </c>
      <c r="GI3" s="1493" t="s">
        <v>1882</v>
      </c>
      <c r="GJ3" s="1493" t="s">
        <v>1712</v>
      </c>
      <c r="GK3" s="1493" t="s">
        <v>1912</v>
      </c>
      <c r="GL3" s="1493" t="s">
        <v>693</v>
      </c>
      <c r="GM3" s="1493" t="s">
        <v>2540</v>
      </c>
      <c r="GN3" s="1493" t="s">
        <v>814</v>
      </c>
      <c r="GO3" s="1493" t="s">
        <v>2541</v>
      </c>
      <c r="GP3" s="1493" t="s">
        <v>814</v>
      </c>
      <c r="GQ3" s="1493" t="s">
        <v>2314</v>
      </c>
      <c r="GR3" s="1493" t="s">
        <v>629</v>
      </c>
      <c r="GS3" s="1493" t="s">
        <v>1699</v>
      </c>
      <c r="GT3" s="1493" t="s">
        <v>814</v>
      </c>
      <c r="GU3" s="1493" t="s">
        <v>2359</v>
      </c>
      <c r="GV3" s="1493" t="s">
        <v>1245</v>
      </c>
      <c r="GW3" s="1493" t="s">
        <v>798</v>
      </c>
      <c r="GX3" s="1493" t="s">
        <v>2163</v>
      </c>
      <c r="GY3" s="1493" t="s">
        <v>2543</v>
      </c>
      <c r="GZ3" s="1493" t="s">
        <v>814</v>
      </c>
      <c r="HA3" s="1493" t="s">
        <v>2544</v>
      </c>
      <c r="HB3" s="1493" t="s">
        <v>814</v>
      </c>
      <c r="HC3" s="1493" t="s">
        <v>1072</v>
      </c>
      <c r="HD3" s="1493" t="s">
        <v>990</v>
      </c>
      <c r="HE3" s="1493" t="s">
        <v>2826</v>
      </c>
      <c r="HF3" s="1493" t="s">
        <v>814</v>
      </c>
      <c r="HG3" s="1493" t="s">
        <v>1255</v>
      </c>
      <c r="HH3" s="1493" t="s">
        <v>1486</v>
      </c>
      <c r="HI3" s="1493" t="s">
        <v>2545</v>
      </c>
      <c r="HJ3" s="1493" t="s">
        <v>814</v>
      </c>
      <c r="HK3" s="1493" t="s">
        <v>2546</v>
      </c>
      <c r="HL3" s="1493" t="s">
        <v>814</v>
      </c>
      <c r="HM3" s="1493" t="s">
        <v>1951</v>
      </c>
      <c r="HN3" s="1493" t="s">
        <v>383</v>
      </c>
      <c r="HO3" s="1493" t="s">
        <v>326</v>
      </c>
      <c r="HP3" s="1493" t="s">
        <v>814</v>
      </c>
      <c r="HQ3" s="1493" t="s">
        <v>822</v>
      </c>
      <c r="HR3" s="1493" t="s">
        <v>1774</v>
      </c>
      <c r="HS3" s="1493" t="s">
        <v>2547</v>
      </c>
      <c r="HT3" s="1493" t="s">
        <v>814</v>
      </c>
      <c r="HU3" s="1493" t="s">
        <v>506</v>
      </c>
      <c r="HV3" s="1493" t="s">
        <v>1248</v>
      </c>
      <c r="HW3" s="1493" t="s">
        <v>2548</v>
      </c>
      <c r="HX3" s="1493" t="s">
        <v>814</v>
      </c>
      <c r="HY3" s="1493" t="s">
        <v>2549</v>
      </c>
      <c r="HZ3" s="1493" t="s">
        <v>814</v>
      </c>
      <c r="IA3" s="1493" t="s">
        <v>2392</v>
      </c>
      <c r="IB3" s="1493" t="s">
        <v>2393</v>
      </c>
      <c r="IC3" s="1493" t="s">
        <v>3025</v>
      </c>
      <c r="ID3" s="1493" t="s">
        <v>814</v>
      </c>
      <c r="IE3" s="1493" t="s">
        <v>59</v>
      </c>
      <c r="IF3" s="1493" t="s">
        <v>1628</v>
      </c>
      <c r="IG3" s="1493" t="s">
        <v>2550</v>
      </c>
      <c r="IH3" s="1493" t="s">
        <v>814</v>
      </c>
      <c r="II3" s="1493" t="s">
        <v>757</v>
      </c>
      <c r="IJ3" s="1493" t="s">
        <v>1348</v>
      </c>
      <c r="IK3" s="1493" t="s">
        <v>731</v>
      </c>
      <c r="IL3" s="1493" t="s">
        <v>732</v>
      </c>
      <c r="IM3" s="1493" t="s">
        <v>2376</v>
      </c>
      <c r="IN3" s="1493" t="s">
        <v>300</v>
      </c>
      <c r="IO3" s="1493" t="s">
        <v>804</v>
      </c>
      <c r="IP3" s="1493" t="s">
        <v>805</v>
      </c>
      <c r="IQ3" s="1493" t="s">
        <v>1312</v>
      </c>
      <c r="IR3" s="1493" t="s">
        <v>814</v>
      </c>
      <c r="IS3" s="1493" t="s">
        <v>667</v>
      </c>
      <c r="IT3" s="1493" t="s">
        <v>872</v>
      </c>
      <c r="IU3" s="1493" t="s">
        <v>2551</v>
      </c>
      <c r="IV3" s="1493" t="s">
        <v>814</v>
      </c>
    </row>
    <row r="4" spans="1:256">
      <c r="A4" s="1493" t="s">
        <v>2552</v>
      </c>
      <c r="B4" s="1493" t="s">
        <v>814</v>
      </c>
      <c r="C4" s="1493" t="s">
        <v>1952</v>
      </c>
      <c r="D4" s="1493" t="s">
        <v>814</v>
      </c>
      <c r="E4" s="1493" t="s">
        <v>2553</v>
      </c>
      <c r="F4" s="1493" t="s">
        <v>814</v>
      </c>
      <c r="G4" s="1493" t="s">
        <v>2554</v>
      </c>
      <c r="H4" s="1493" t="s">
        <v>814</v>
      </c>
      <c r="I4" s="1493" t="s">
        <v>1049</v>
      </c>
      <c r="J4" s="1493" t="s">
        <v>1050</v>
      </c>
      <c r="K4" s="1493" t="s">
        <v>2348</v>
      </c>
      <c r="L4" s="1493" t="s">
        <v>2349</v>
      </c>
      <c r="M4" s="1493" t="s">
        <v>1684</v>
      </c>
      <c r="N4" s="1493" t="s">
        <v>814</v>
      </c>
      <c r="O4" s="1493" t="s">
        <v>895</v>
      </c>
      <c r="P4" s="1493" t="s">
        <v>814</v>
      </c>
      <c r="Q4" s="1493" t="s">
        <v>2068</v>
      </c>
      <c r="R4" s="1493" t="s">
        <v>814</v>
      </c>
      <c r="S4" s="1493" t="s">
        <v>2555</v>
      </c>
      <c r="T4" s="1493" t="s">
        <v>814</v>
      </c>
      <c r="U4" s="1493" t="s">
        <v>1222</v>
      </c>
      <c r="V4" s="1493" t="s">
        <v>1757</v>
      </c>
      <c r="W4" s="1493" t="s">
        <v>2556</v>
      </c>
      <c r="X4" s="1493" t="s">
        <v>814</v>
      </c>
      <c r="Y4" s="1493" t="s">
        <v>2171</v>
      </c>
      <c r="Z4" s="1493" t="s">
        <v>1725</v>
      </c>
      <c r="AA4" s="1493" t="s">
        <v>668</v>
      </c>
      <c r="AB4" s="1493" t="s">
        <v>873</v>
      </c>
      <c r="AC4" s="1493" t="s">
        <v>1479</v>
      </c>
      <c r="AD4" s="1493" t="s">
        <v>1480</v>
      </c>
      <c r="AE4" s="1493" t="s">
        <v>1258</v>
      </c>
      <c r="AF4" s="1493" t="s">
        <v>1489</v>
      </c>
      <c r="AG4" s="1493" t="s">
        <v>17</v>
      </c>
      <c r="AH4" s="1493" t="s">
        <v>18</v>
      </c>
      <c r="AI4" s="1493" t="s">
        <v>1749</v>
      </c>
      <c r="AJ4" s="1493" t="s">
        <v>2158</v>
      </c>
      <c r="AK4" s="1493" t="s">
        <v>1282</v>
      </c>
      <c r="AL4" s="1493" t="s">
        <v>2188</v>
      </c>
      <c r="AM4" s="1493" t="s">
        <v>1654</v>
      </c>
      <c r="AN4" s="1493" t="s">
        <v>273</v>
      </c>
      <c r="AO4" s="1493" t="s">
        <v>2926</v>
      </c>
      <c r="AP4" s="1493" t="s">
        <v>814</v>
      </c>
      <c r="AQ4" s="1493" t="s">
        <v>1887</v>
      </c>
      <c r="AR4" s="1493" t="s">
        <v>1715</v>
      </c>
      <c r="AS4" s="1493" t="s">
        <v>1706</v>
      </c>
      <c r="AT4" s="1493" t="s">
        <v>761</v>
      </c>
      <c r="AU4" s="1493" t="s">
        <v>819</v>
      </c>
      <c r="AV4" s="1493" t="s">
        <v>1771</v>
      </c>
      <c r="AW4" s="1493" t="s">
        <v>1790</v>
      </c>
      <c r="AX4" s="1493" t="s">
        <v>1791</v>
      </c>
      <c r="AY4" s="1493" t="s">
        <v>2557</v>
      </c>
      <c r="AZ4" s="1493" t="s">
        <v>814</v>
      </c>
      <c r="BA4" s="1493" t="s">
        <v>2558</v>
      </c>
      <c r="BB4" s="1493" t="s">
        <v>814</v>
      </c>
      <c r="BC4" s="1493" t="s">
        <v>2559</v>
      </c>
      <c r="BD4" s="1493" t="s">
        <v>814</v>
      </c>
      <c r="BE4" s="1493" t="s">
        <v>2560</v>
      </c>
      <c r="BF4" s="1493" t="s">
        <v>814</v>
      </c>
      <c r="BG4" s="1493" t="s">
        <v>2561</v>
      </c>
      <c r="BH4" s="1493" t="s">
        <v>814</v>
      </c>
      <c r="BI4" s="1493" t="s">
        <v>2562</v>
      </c>
      <c r="BJ4" s="1493" t="s">
        <v>814</v>
      </c>
      <c r="BK4" s="1493" t="s">
        <v>1666</v>
      </c>
      <c r="BL4" s="1493" t="s">
        <v>814</v>
      </c>
      <c r="BM4" s="1493" t="s">
        <v>907</v>
      </c>
      <c r="BN4" s="1493" t="s">
        <v>576</v>
      </c>
      <c r="BO4" s="1493" t="s">
        <v>55</v>
      </c>
      <c r="BP4" s="1493" t="s">
        <v>454</v>
      </c>
      <c r="BQ4" s="1493" t="s">
        <v>2564</v>
      </c>
      <c r="BR4" s="1493" t="s">
        <v>814</v>
      </c>
      <c r="BS4" s="1493" t="s">
        <v>86</v>
      </c>
      <c r="BT4" s="1493" t="s">
        <v>1807</v>
      </c>
      <c r="BU4" s="1493" t="s">
        <v>670</v>
      </c>
      <c r="BV4" s="1493" t="s">
        <v>1797</v>
      </c>
      <c r="BW4" s="1493" t="s">
        <v>2566</v>
      </c>
      <c r="BX4" s="1493" t="s">
        <v>814</v>
      </c>
      <c r="BY4" s="1493" t="s">
        <v>1511</v>
      </c>
      <c r="BZ4" s="1493" t="s">
        <v>866</v>
      </c>
      <c r="CA4" s="1493" t="s">
        <v>2567</v>
      </c>
      <c r="CB4" s="1493" t="s">
        <v>814</v>
      </c>
      <c r="CC4" s="1493" t="s">
        <v>1636</v>
      </c>
      <c r="CD4" s="1493" t="s">
        <v>566</v>
      </c>
      <c r="CE4" s="1493" t="s">
        <v>596</v>
      </c>
      <c r="CF4" s="1493" t="s">
        <v>1328</v>
      </c>
      <c r="CG4" s="1493" t="s">
        <v>503</v>
      </c>
      <c r="CH4" s="1493" t="s">
        <v>860</v>
      </c>
      <c r="CI4" s="1493" t="s">
        <v>2568</v>
      </c>
      <c r="CJ4" s="1493" t="s">
        <v>814</v>
      </c>
      <c r="CK4" s="1493" t="s">
        <v>419</v>
      </c>
      <c r="CL4" s="1493" t="s">
        <v>1442</v>
      </c>
      <c r="CM4" s="1493" t="s">
        <v>2569</v>
      </c>
      <c r="CN4" s="1493" t="s">
        <v>814</v>
      </c>
      <c r="CO4" s="1493" t="s">
        <v>2570</v>
      </c>
      <c r="CP4" s="1493" t="s">
        <v>814</v>
      </c>
      <c r="CQ4" s="1493" t="s">
        <v>2571</v>
      </c>
      <c r="CR4" s="1493" t="s">
        <v>814</v>
      </c>
      <c r="CS4" s="1493" t="s">
        <v>898</v>
      </c>
      <c r="CT4" s="1493" t="s">
        <v>2338</v>
      </c>
      <c r="CU4" s="1493" t="s">
        <v>2935</v>
      </c>
      <c r="CV4" s="1493" t="s">
        <v>814</v>
      </c>
      <c r="CW4" s="1493" t="s">
        <v>1570</v>
      </c>
      <c r="CX4" s="1493" t="s">
        <v>2055</v>
      </c>
      <c r="CY4" s="1493" t="s">
        <v>1702</v>
      </c>
      <c r="CZ4" s="1493" t="s">
        <v>931</v>
      </c>
      <c r="DA4" s="1493" t="s">
        <v>2606</v>
      </c>
      <c r="DB4" s="1493" t="s">
        <v>814</v>
      </c>
      <c r="DC4" s="1493" t="s">
        <v>2357</v>
      </c>
      <c r="DD4" s="1493" t="s">
        <v>2341</v>
      </c>
      <c r="DE4" s="1493" t="s">
        <v>702</v>
      </c>
      <c r="DF4" s="1493" t="s">
        <v>1400</v>
      </c>
      <c r="DG4" s="1493" t="s">
        <v>1251</v>
      </c>
      <c r="DH4" s="1493" t="s">
        <v>134</v>
      </c>
      <c r="DI4" s="1493" t="s">
        <v>755</v>
      </c>
      <c r="DJ4" s="1493" t="s">
        <v>814</v>
      </c>
      <c r="DK4" s="1493" t="s">
        <v>336</v>
      </c>
      <c r="DL4" s="1493" t="s">
        <v>337</v>
      </c>
      <c r="DM4" s="1493" t="s">
        <v>565</v>
      </c>
      <c r="DN4" s="1493" t="s">
        <v>2050</v>
      </c>
      <c r="DO4" s="1493" t="s">
        <v>2572</v>
      </c>
      <c r="DP4" s="1493" t="s">
        <v>814</v>
      </c>
      <c r="DQ4" s="1493" t="s">
        <v>233</v>
      </c>
      <c r="DR4" s="1493" t="s">
        <v>648</v>
      </c>
      <c r="DS4" s="1493" t="s">
        <v>120</v>
      </c>
      <c r="DT4" s="1493" t="s">
        <v>121</v>
      </c>
      <c r="DU4" s="1493" t="s">
        <v>595</v>
      </c>
      <c r="DV4" s="1493" t="s">
        <v>344</v>
      </c>
      <c r="DW4" s="1493" t="s">
        <v>1640</v>
      </c>
      <c r="DX4" s="1493" t="s">
        <v>2031</v>
      </c>
      <c r="DY4" s="1493" t="s">
        <v>362</v>
      </c>
      <c r="DZ4" s="1493" t="s">
        <v>1763</v>
      </c>
      <c r="EA4" s="1493" t="s">
        <v>284</v>
      </c>
      <c r="EB4" s="1493" t="s">
        <v>285</v>
      </c>
      <c r="EC4" s="1493" t="s">
        <v>2573</v>
      </c>
      <c r="ED4" s="1493" t="s">
        <v>814</v>
      </c>
      <c r="EE4" s="1493" t="s">
        <v>605</v>
      </c>
      <c r="EF4" s="1493" t="s">
        <v>606</v>
      </c>
      <c r="EG4" s="1493" t="s">
        <v>2574</v>
      </c>
      <c r="EH4" s="1493" t="s">
        <v>814</v>
      </c>
      <c r="EI4" s="1493" t="s">
        <v>1502</v>
      </c>
      <c r="EJ4" s="1493" t="s">
        <v>814</v>
      </c>
      <c r="EK4" s="1493" t="s">
        <v>2288</v>
      </c>
      <c r="EL4" s="1493" t="s">
        <v>2289</v>
      </c>
      <c r="EM4" s="1493" t="s">
        <v>2576</v>
      </c>
      <c r="EN4" s="1493" t="s">
        <v>814</v>
      </c>
      <c r="EO4" s="1493" t="s">
        <v>2577</v>
      </c>
      <c r="EP4" s="1493" t="s">
        <v>814</v>
      </c>
      <c r="EQ4" s="1493" t="s">
        <v>2563</v>
      </c>
      <c r="ER4" s="1493" t="s">
        <v>814</v>
      </c>
      <c r="ES4" s="1493" t="s">
        <v>2578</v>
      </c>
      <c r="ET4" s="1493" t="s">
        <v>814</v>
      </c>
      <c r="EU4" s="1493" t="s">
        <v>2579</v>
      </c>
      <c r="EV4" s="1493" t="s">
        <v>814</v>
      </c>
      <c r="EW4" s="1493" t="s">
        <v>927</v>
      </c>
      <c r="EX4" s="1493" t="s">
        <v>2210</v>
      </c>
      <c r="EY4" s="1493" t="s">
        <v>1150</v>
      </c>
      <c r="EZ4" s="1493" t="s">
        <v>1151</v>
      </c>
      <c r="FA4" s="1493" t="s">
        <v>2580</v>
      </c>
      <c r="FB4" s="1493" t="s">
        <v>814</v>
      </c>
      <c r="FC4" s="1493" t="s">
        <v>724</v>
      </c>
      <c r="FD4" s="1493" t="s">
        <v>1734</v>
      </c>
      <c r="FE4" s="1493" t="s">
        <v>2498</v>
      </c>
      <c r="FF4" s="1493" t="s">
        <v>814</v>
      </c>
      <c r="FG4" s="1493" t="s">
        <v>2581</v>
      </c>
      <c r="FH4" s="1493" t="s">
        <v>814</v>
      </c>
      <c r="FI4" s="1493" t="s">
        <v>1865</v>
      </c>
      <c r="FJ4" s="1493" t="s">
        <v>2194</v>
      </c>
      <c r="FK4" s="1493" t="s">
        <v>2582</v>
      </c>
      <c r="FL4" s="1493" t="s">
        <v>814</v>
      </c>
      <c r="FM4" s="1493" t="s">
        <v>2583</v>
      </c>
      <c r="FN4" s="1493" t="s">
        <v>814</v>
      </c>
      <c r="FO4" s="1493" t="s">
        <v>1693</v>
      </c>
      <c r="FP4" s="1493" t="s">
        <v>1319</v>
      </c>
      <c r="FQ4" s="1493" t="s">
        <v>2584</v>
      </c>
      <c r="FR4" s="1493" t="s">
        <v>814</v>
      </c>
      <c r="FS4" s="1493" t="s">
        <v>88</v>
      </c>
      <c r="FT4" s="1493" t="s">
        <v>1111</v>
      </c>
      <c r="FU4" s="1493" t="s">
        <v>2506</v>
      </c>
      <c r="FV4" s="1493" t="s">
        <v>814</v>
      </c>
      <c r="FW4" s="1493" t="s">
        <v>2585</v>
      </c>
      <c r="FX4" s="1493" t="s">
        <v>814</v>
      </c>
      <c r="FY4" s="1493" t="s">
        <v>2586</v>
      </c>
      <c r="FZ4" s="1493" t="s">
        <v>814</v>
      </c>
      <c r="GA4" s="1493" t="s">
        <v>309</v>
      </c>
      <c r="GB4" s="1493" t="s">
        <v>814</v>
      </c>
      <c r="GC4" s="1493" t="s">
        <v>196</v>
      </c>
      <c r="GD4" s="1493" t="s">
        <v>1101</v>
      </c>
      <c r="GE4" s="1493" t="s">
        <v>2587</v>
      </c>
      <c r="GF4" s="1493" t="s">
        <v>814</v>
      </c>
      <c r="GG4" s="1493" t="s">
        <v>2588</v>
      </c>
      <c r="GH4" s="1493" t="s">
        <v>814</v>
      </c>
      <c r="GI4" s="1493" t="s">
        <v>2589</v>
      </c>
      <c r="GJ4" s="1493" t="s">
        <v>814</v>
      </c>
      <c r="GK4" s="1493" t="s">
        <v>2590</v>
      </c>
      <c r="GL4" s="1493" t="s">
        <v>814</v>
      </c>
      <c r="GM4" s="1493" t="s">
        <v>802</v>
      </c>
      <c r="GN4" s="1493" t="s">
        <v>803</v>
      </c>
      <c r="GO4" s="1493" t="s">
        <v>2592</v>
      </c>
      <c r="GP4" s="1493" t="s">
        <v>814</v>
      </c>
      <c r="GQ4" s="1493" t="s">
        <v>2593</v>
      </c>
      <c r="GR4" s="1493" t="s">
        <v>814</v>
      </c>
      <c r="GS4" s="1493" t="s">
        <v>2594</v>
      </c>
      <c r="GT4" s="1493" t="s">
        <v>814</v>
      </c>
      <c r="GU4" s="1493" t="s">
        <v>2595</v>
      </c>
      <c r="GV4" s="1493" t="s">
        <v>814</v>
      </c>
      <c r="GW4" s="1493" t="s">
        <v>2596</v>
      </c>
      <c r="GX4" s="1493" t="s">
        <v>814</v>
      </c>
      <c r="GY4" s="1493" t="s">
        <v>2598</v>
      </c>
      <c r="GZ4" s="1493" t="s">
        <v>814</v>
      </c>
      <c r="HA4" s="1493" t="s">
        <v>2600</v>
      </c>
      <c r="HB4" s="1493" t="s">
        <v>814</v>
      </c>
      <c r="HC4" s="1493" t="s">
        <v>2601</v>
      </c>
      <c r="HD4" s="1493" t="s">
        <v>814</v>
      </c>
      <c r="HE4" s="1493" t="s">
        <v>2602</v>
      </c>
      <c r="HF4" s="1493" t="s">
        <v>814</v>
      </c>
      <c r="HG4" s="1493" t="s">
        <v>2069</v>
      </c>
      <c r="HH4" s="1493" t="s">
        <v>935</v>
      </c>
      <c r="HI4" s="1493" t="s">
        <v>2603</v>
      </c>
      <c r="HJ4" s="1493" t="s">
        <v>814</v>
      </c>
      <c r="HK4" s="1493" t="s">
        <v>1059</v>
      </c>
      <c r="HL4" s="1493" t="s">
        <v>1856</v>
      </c>
      <c r="HM4" s="1493" t="s">
        <v>2604</v>
      </c>
      <c r="HN4" s="1493" t="s">
        <v>814</v>
      </c>
      <c r="HO4" s="1493" t="s">
        <v>2515</v>
      </c>
      <c r="HP4" s="1493" t="s">
        <v>814</v>
      </c>
      <c r="HQ4" s="1493" t="s">
        <v>1242</v>
      </c>
      <c r="HR4" s="1493" t="s">
        <v>1109</v>
      </c>
      <c r="HS4" s="1493" t="s">
        <v>2215</v>
      </c>
      <c r="HT4" s="1493" t="s">
        <v>814</v>
      </c>
      <c r="HU4" s="1493" t="s">
        <v>1881</v>
      </c>
      <c r="HV4" s="1493" t="s">
        <v>1711</v>
      </c>
      <c r="HW4" s="1493" t="s">
        <v>207</v>
      </c>
      <c r="HX4" s="1493" t="s">
        <v>2123</v>
      </c>
      <c r="HY4" s="1493" t="s">
        <v>218</v>
      </c>
      <c r="HZ4" s="1493" t="s">
        <v>1861</v>
      </c>
      <c r="IA4" s="1493" t="s">
        <v>1507</v>
      </c>
      <c r="IB4" s="1493" t="s">
        <v>814</v>
      </c>
      <c r="IC4" s="1493" t="s">
        <v>1305</v>
      </c>
      <c r="ID4" s="1493" t="s">
        <v>651</v>
      </c>
      <c r="IE4" s="1493" t="s">
        <v>1190</v>
      </c>
      <c r="IF4" s="1493" t="s">
        <v>1490</v>
      </c>
      <c r="IG4" s="1493" t="s">
        <v>797</v>
      </c>
      <c r="IH4" s="1493" t="s">
        <v>2161</v>
      </c>
      <c r="II4" s="1493" t="s">
        <v>2607</v>
      </c>
      <c r="IJ4" s="1493" t="s">
        <v>814</v>
      </c>
      <c r="IK4" s="1493" t="s">
        <v>1506</v>
      </c>
      <c r="IL4" s="1493" t="s">
        <v>814</v>
      </c>
      <c r="IM4" s="1493" t="s">
        <v>2502</v>
      </c>
      <c r="IN4" s="1493" t="s">
        <v>814</v>
      </c>
      <c r="IO4" s="1493" t="s">
        <v>2608</v>
      </c>
      <c r="IP4" s="1493" t="s">
        <v>814</v>
      </c>
      <c r="IQ4" s="1493" t="s">
        <v>2800</v>
      </c>
      <c r="IR4" s="1493" t="s">
        <v>814</v>
      </c>
      <c r="IS4" s="1493" t="s">
        <v>2795</v>
      </c>
      <c r="IT4" s="1493" t="s">
        <v>814</v>
      </c>
      <c r="IU4" s="1493" t="s">
        <v>2610</v>
      </c>
      <c r="IV4" s="1493" t="s">
        <v>814</v>
      </c>
    </row>
    <row r="5" spans="1:256">
      <c r="A5" s="1493" t="s">
        <v>2611</v>
      </c>
      <c r="B5" s="1493" t="s">
        <v>814</v>
      </c>
      <c r="C5" s="1493" t="s">
        <v>84</v>
      </c>
      <c r="D5" s="1493" t="s">
        <v>85</v>
      </c>
      <c r="E5" s="1493" t="s">
        <v>2612</v>
      </c>
      <c r="F5" s="1493" t="s">
        <v>814</v>
      </c>
      <c r="G5" s="1493" t="s">
        <v>2613</v>
      </c>
      <c r="H5" s="1493" t="s">
        <v>814</v>
      </c>
      <c r="I5" s="1493" t="s">
        <v>1692</v>
      </c>
      <c r="J5" s="1493" t="s">
        <v>1420</v>
      </c>
      <c r="K5" s="1493" t="s">
        <v>251</v>
      </c>
      <c r="L5" s="1493" t="s">
        <v>814</v>
      </c>
      <c r="M5" s="1493" t="s">
        <v>783</v>
      </c>
      <c r="N5" s="1493" t="s">
        <v>784</v>
      </c>
      <c r="O5" s="1493" t="s">
        <v>2614</v>
      </c>
      <c r="P5" s="1493" t="s">
        <v>814</v>
      </c>
      <c r="Q5" s="1493" t="s">
        <v>176</v>
      </c>
      <c r="R5" s="1493" t="s">
        <v>177</v>
      </c>
      <c r="S5" s="1493" t="s">
        <v>1214</v>
      </c>
      <c r="T5" s="1493" t="s">
        <v>1478</v>
      </c>
      <c r="U5" s="1493" t="s">
        <v>2254</v>
      </c>
      <c r="V5" s="1493" t="s">
        <v>2146</v>
      </c>
      <c r="W5" s="1493" t="s">
        <v>2070</v>
      </c>
      <c r="X5" s="1493" t="s">
        <v>936</v>
      </c>
      <c r="Y5" s="1493" t="s">
        <v>2615</v>
      </c>
      <c r="Z5" s="1493" t="s">
        <v>814</v>
      </c>
      <c r="AA5" s="1493" t="s">
        <v>1575</v>
      </c>
      <c r="AB5" s="1493" t="s">
        <v>814</v>
      </c>
      <c r="AC5" s="1493" t="s">
        <v>2616</v>
      </c>
      <c r="AD5" s="1493" t="s">
        <v>814</v>
      </c>
      <c r="AE5" s="1493" t="s">
        <v>712</v>
      </c>
      <c r="AF5" s="1493" t="s">
        <v>1730</v>
      </c>
      <c r="AG5" s="1493" t="s">
        <v>1633</v>
      </c>
      <c r="AH5" s="1493" t="s">
        <v>977</v>
      </c>
      <c r="AI5" s="1493" t="s">
        <v>1256</v>
      </c>
      <c r="AJ5" s="1493" t="s">
        <v>1487</v>
      </c>
      <c r="AK5" s="1493" t="s">
        <v>1131</v>
      </c>
      <c r="AL5" s="1493" t="s">
        <v>1132</v>
      </c>
      <c r="AM5" s="1493" t="s">
        <v>2617</v>
      </c>
      <c r="AN5" s="1493" t="s">
        <v>814</v>
      </c>
      <c r="AO5" s="1493" t="s">
        <v>594</v>
      </c>
      <c r="AP5" s="1493" t="s">
        <v>965</v>
      </c>
      <c r="AQ5" s="1493" t="s">
        <v>2538</v>
      </c>
      <c r="AR5" s="1493" t="s">
        <v>814</v>
      </c>
      <c r="AS5" s="1493" t="s">
        <v>2619</v>
      </c>
      <c r="AT5" s="1493" t="s">
        <v>814</v>
      </c>
      <c r="AU5" s="1493" t="s">
        <v>2620</v>
      </c>
      <c r="AV5" s="1493" t="s">
        <v>814</v>
      </c>
      <c r="AW5" s="1493" t="s">
        <v>559</v>
      </c>
      <c r="AX5" s="1493" t="s">
        <v>2045</v>
      </c>
      <c r="AY5" s="1493" t="s">
        <v>2094</v>
      </c>
      <c r="AZ5" s="1493" t="s">
        <v>2095</v>
      </c>
      <c r="BA5" s="1493" t="s">
        <v>1687</v>
      </c>
      <c r="BB5" s="1493" t="s">
        <v>1416</v>
      </c>
      <c r="BC5" s="1493" t="s">
        <v>1750</v>
      </c>
      <c r="BD5" s="1493" t="s">
        <v>2159</v>
      </c>
      <c r="BE5" s="1493" t="s">
        <v>2621</v>
      </c>
      <c r="BF5" s="1493" t="s">
        <v>814</v>
      </c>
      <c r="BG5" s="1493" t="s">
        <v>1558</v>
      </c>
      <c r="BH5" s="1493" t="s">
        <v>1559</v>
      </c>
      <c r="BI5" s="1493" t="s">
        <v>1057</v>
      </c>
      <c r="BJ5" s="1493" t="s">
        <v>1854</v>
      </c>
      <c r="BK5" s="1493" t="s">
        <v>949</v>
      </c>
      <c r="BL5" s="1493" t="s">
        <v>796</v>
      </c>
      <c r="BM5" s="1493" t="s">
        <v>137</v>
      </c>
      <c r="BN5" s="1493" t="s">
        <v>814</v>
      </c>
      <c r="BO5" s="1493" t="s">
        <v>2623</v>
      </c>
      <c r="BP5" s="1493" t="s">
        <v>814</v>
      </c>
      <c r="BQ5" s="1493" t="s">
        <v>56</v>
      </c>
      <c r="BR5" s="1493" t="s">
        <v>814</v>
      </c>
      <c r="BS5" s="1493" t="s">
        <v>1531</v>
      </c>
      <c r="BT5" s="1493" t="s">
        <v>302</v>
      </c>
      <c r="BU5" s="1493" t="s">
        <v>2624</v>
      </c>
      <c r="BV5" s="1493" t="s">
        <v>814</v>
      </c>
      <c r="BW5" s="1493" t="s">
        <v>906</v>
      </c>
      <c r="BX5" s="1493" t="s">
        <v>575</v>
      </c>
      <c r="BY5" s="1493" t="s">
        <v>187</v>
      </c>
      <c r="BZ5" s="1493" t="s">
        <v>1095</v>
      </c>
      <c r="CA5" s="1493" t="s">
        <v>1071</v>
      </c>
      <c r="CB5" s="1493" t="s">
        <v>989</v>
      </c>
      <c r="CC5" s="1493" t="s">
        <v>2625</v>
      </c>
      <c r="CD5" s="1493" t="s">
        <v>814</v>
      </c>
      <c r="CE5" s="1493" t="s">
        <v>2098</v>
      </c>
      <c r="CF5" s="1493" t="s">
        <v>991</v>
      </c>
      <c r="CG5" s="1493" t="s">
        <v>1191</v>
      </c>
      <c r="CH5" s="1493" t="s">
        <v>126</v>
      </c>
      <c r="CI5" s="1493" t="s">
        <v>2167</v>
      </c>
      <c r="CJ5" s="1493" t="s">
        <v>1723</v>
      </c>
      <c r="CK5" s="1493" t="s">
        <v>274</v>
      </c>
      <c r="CL5" s="1493" t="s">
        <v>275</v>
      </c>
      <c r="CM5" s="1493" t="s">
        <v>1703</v>
      </c>
      <c r="CN5" s="1493" t="s">
        <v>760</v>
      </c>
      <c r="CO5" s="1493" t="s">
        <v>2626</v>
      </c>
      <c r="CP5" s="1493" t="s">
        <v>814</v>
      </c>
      <c r="CQ5" s="1493" t="s">
        <v>2627</v>
      </c>
      <c r="CR5" s="1493" t="s">
        <v>814</v>
      </c>
      <c r="CS5" s="1493" t="s">
        <v>1691</v>
      </c>
      <c r="CT5" s="1493" t="s">
        <v>1419</v>
      </c>
      <c r="CU5" s="1493" t="s">
        <v>2628</v>
      </c>
      <c r="CV5" s="1493" t="s">
        <v>814</v>
      </c>
      <c r="CW5" s="1493" t="s">
        <v>1172</v>
      </c>
      <c r="CX5" s="1493" t="s">
        <v>2059</v>
      </c>
      <c r="CY5" s="1493" t="s">
        <v>2629</v>
      </c>
      <c r="CZ5" s="1493" t="s">
        <v>814</v>
      </c>
      <c r="DA5" s="1493" t="s">
        <v>1263</v>
      </c>
      <c r="DB5" s="1493" t="s">
        <v>814</v>
      </c>
      <c r="DC5" s="1493" t="s">
        <v>1681</v>
      </c>
      <c r="DD5" s="1493" t="s">
        <v>1413</v>
      </c>
      <c r="DE5" s="1493" t="s">
        <v>1827</v>
      </c>
      <c r="DF5" s="1493" t="s">
        <v>1828</v>
      </c>
      <c r="DG5" s="1493" t="s">
        <v>2630</v>
      </c>
      <c r="DH5" s="1493" t="s">
        <v>814</v>
      </c>
      <c r="DI5" s="1493" t="s">
        <v>1122</v>
      </c>
      <c r="DJ5" s="1493" t="s">
        <v>998</v>
      </c>
      <c r="DK5" s="1493" t="s">
        <v>2631</v>
      </c>
      <c r="DL5" s="1493" t="s">
        <v>814</v>
      </c>
      <c r="DM5" s="1493" t="s">
        <v>876</v>
      </c>
      <c r="DN5" s="1493" t="s">
        <v>1478</v>
      </c>
      <c r="DO5" s="1493" t="s">
        <v>2632</v>
      </c>
      <c r="DP5" s="1493" t="s">
        <v>814</v>
      </c>
      <c r="DQ5" s="1493" t="s">
        <v>2634</v>
      </c>
      <c r="DR5" s="1493" t="s">
        <v>814</v>
      </c>
      <c r="DS5" s="1493" t="s">
        <v>420</v>
      </c>
      <c r="DT5" s="1493" t="s">
        <v>814</v>
      </c>
      <c r="DU5" s="1493" t="s">
        <v>1957</v>
      </c>
      <c r="DV5" s="1493" t="s">
        <v>1796</v>
      </c>
      <c r="DW5" s="1493" t="s">
        <v>2635</v>
      </c>
      <c r="DX5" s="1493" t="s">
        <v>814</v>
      </c>
      <c r="DY5" s="1493" t="s">
        <v>2638</v>
      </c>
      <c r="DZ5" s="1493" t="s">
        <v>814</v>
      </c>
      <c r="EA5" s="1493" t="s">
        <v>2391</v>
      </c>
      <c r="EB5" s="1493" t="s">
        <v>697</v>
      </c>
      <c r="EC5" s="1493" t="s">
        <v>2639</v>
      </c>
      <c r="ED5" s="1493" t="s">
        <v>814</v>
      </c>
      <c r="EE5" s="1493" t="s">
        <v>1124</v>
      </c>
      <c r="EF5" s="1493" t="s">
        <v>814</v>
      </c>
      <c r="EG5" s="1493" t="s">
        <v>2641</v>
      </c>
      <c r="EH5" s="1493" t="s">
        <v>814</v>
      </c>
      <c r="EI5" s="1493" t="s">
        <v>135</v>
      </c>
      <c r="EJ5" s="1493" t="s">
        <v>814</v>
      </c>
      <c r="EK5" s="1493" t="s">
        <v>1622</v>
      </c>
      <c r="EL5" s="1493" t="s">
        <v>971</v>
      </c>
      <c r="EM5" s="1493" t="s">
        <v>1469</v>
      </c>
      <c r="EN5" s="1493" t="s">
        <v>441</v>
      </c>
      <c r="EO5" s="1493" t="s">
        <v>1311</v>
      </c>
      <c r="EP5" s="1493" t="s">
        <v>814</v>
      </c>
      <c r="EQ5" s="1493" t="s">
        <v>2642</v>
      </c>
      <c r="ER5" s="1493" t="s">
        <v>814</v>
      </c>
      <c r="ES5" s="1493" t="s">
        <v>1196</v>
      </c>
      <c r="ET5" s="1493" t="s">
        <v>814</v>
      </c>
      <c r="EU5" s="1493" t="s">
        <v>776</v>
      </c>
      <c r="EV5" s="1493" t="s">
        <v>2155</v>
      </c>
      <c r="EW5" s="1493" t="s">
        <v>1306</v>
      </c>
      <c r="EX5" s="1493" t="s">
        <v>814</v>
      </c>
      <c r="EY5" s="1493" t="s">
        <v>2643</v>
      </c>
      <c r="EZ5" s="1493" t="s">
        <v>814</v>
      </c>
      <c r="FA5" s="1493" t="s">
        <v>1164</v>
      </c>
      <c r="FB5" s="1493" t="s">
        <v>463</v>
      </c>
      <c r="FC5" s="1493" t="s">
        <v>2644</v>
      </c>
      <c r="FD5" s="1493" t="s">
        <v>814</v>
      </c>
      <c r="FE5" s="1493" t="s">
        <v>2226</v>
      </c>
      <c r="FF5" s="1493" t="s">
        <v>1391</v>
      </c>
      <c r="FG5" s="1493" t="s">
        <v>748</v>
      </c>
      <c r="FH5" s="1493" t="s">
        <v>1421</v>
      </c>
      <c r="FI5" s="1493" t="s">
        <v>924</v>
      </c>
      <c r="FJ5" s="1493" t="s">
        <v>2207</v>
      </c>
      <c r="FK5" s="1493" t="s">
        <v>1156</v>
      </c>
      <c r="FL5" s="1493" t="s">
        <v>1157</v>
      </c>
      <c r="FM5" s="1493" t="s">
        <v>2470</v>
      </c>
      <c r="FN5" s="1493" t="s">
        <v>814</v>
      </c>
      <c r="FO5" s="1493" t="s">
        <v>2647</v>
      </c>
      <c r="FP5" s="1493" t="s">
        <v>814</v>
      </c>
      <c r="FQ5" s="1493" t="s">
        <v>2636</v>
      </c>
      <c r="FR5" s="1493" t="s">
        <v>814</v>
      </c>
      <c r="FS5" s="1493" t="s">
        <v>1644</v>
      </c>
      <c r="FT5" s="1493" t="s">
        <v>637</v>
      </c>
      <c r="FU5" s="1493" t="s">
        <v>2863</v>
      </c>
      <c r="FV5" s="1493" t="s">
        <v>814</v>
      </c>
      <c r="FW5" s="1493" t="s">
        <v>1187</v>
      </c>
      <c r="FX5" s="1493" t="s">
        <v>1429</v>
      </c>
      <c r="FY5" s="1493" t="s">
        <v>694</v>
      </c>
      <c r="FZ5" s="1493" t="s">
        <v>814</v>
      </c>
      <c r="GA5" s="1493" t="s">
        <v>522</v>
      </c>
      <c r="GB5" s="1493" t="s">
        <v>1546</v>
      </c>
      <c r="GC5" s="1493" t="s">
        <v>2649</v>
      </c>
      <c r="GD5" s="1493" t="s">
        <v>814</v>
      </c>
      <c r="GE5" s="1493" t="s">
        <v>118</v>
      </c>
      <c r="GF5" s="1493" t="s">
        <v>119</v>
      </c>
      <c r="GG5" s="1493" t="s">
        <v>2650</v>
      </c>
      <c r="GH5" s="1493" t="s">
        <v>814</v>
      </c>
      <c r="GI5" s="1493" t="s">
        <v>2364</v>
      </c>
      <c r="GJ5" s="1493" t="s">
        <v>2365</v>
      </c>
      <c r="GK5" s="1493" t="s">
        <v>2807</v>
      </c>
      <c r="GL5" s="1493" t="s">
        <v>814</v>
      </c>
      <c r="GM5" s="1493" t="s">
        <v>524</v>
      </c>
      <c r="GN5" s="1493" t="s">
        <v>525</v>
      </c>
      <c r="GO5" s="1493" t="s">
        <v>2652</v>
      </c>
      <c r="GP5" s="1493" t="s">
        <v>814</v>
      </c>
      <c r="GQ5" s="1493" t="s">
        <v>922</v>
      </c>
      <c r="GR5" s="1493" t="s">
        <v>1628</v>
      </c>
      <c r="GS5" s="1493" t="s">
        <v>185</v>
      </c>
      <c r="GT5" s="1493" t="s">
        <v>1093</v>
      </c>
      <c r="GU5" s="1493" t="s">
        <v>212</v>
      </c>
      <c r="GV5" s="1493" t="s">
        <v>2126</v>
      </c>
      <c r="GW5" s="1493" t="s">
        <v>2653</v>
      </c>
      <c r="GX5" s="1493" t="s">
        <v>814</v>
      </c>
      <c r="GY5" s="1493" t="s">
        <v>2654</v>
      </c>
      <c r="GZ5" s="1493" t="s">
        <v>814</v>
      </c>
      <c r="HA5" s="1493" t="s">
        <v>427</v>
      </c>
      <c r="HB5" s="1493" t="s">
        <v>2106</v>
      </c>
      <c r="HC5" s="1493" t="s">
        <v>2305</v>
      </c>
      <c r="HD5" s="1493" t="s">
        <v>2115</v>
      </c>
      <c r="HE5" s="1493" t="s">
        <v>3076</v>
      </c>
      <c r="HF5" s="1493" t="s">
        <v>814</v>
      </c>
      <c r="HG5" s="1493" t="s">
        <v>703</v>
      </c>
      <c r="HH5" s="1493" t="s">
        <v>1401</v>
      </c>
      <c r="HI5" s="1493" t="s">
        <v>2655</v>
      </c>
      <c r="HJ5" s="1493" t="s">
        <v>814</v>
      </c>
      <c r="HK5" s="1493" t="s">
        <v>1623</v>
      </c>
      <c r="HL5" s="1493" t="s">
        <v>972</v>
      </c>
      <c r="HM5" s="1493" t="s">
        <v>248</v>
      </c>
      <c r="HN5" s="1493" t="s">
        <v>2330</v>
      </c>
      <c r="HO5" s="1493" t="s">
        <v>2656</v>
      </c>
      <c r="HP5" s="1493" t="s">
        <v>814</v>
      </c>
      <c r="HQ5" s="1493" t="s">
        <v>1315</v>
      </c>
      <c r="HR5" s="1493" t="s">
        <v>652</v>
      </c>
      <c r="HS5" s="1493" t="s">
        <v>1710</v>
      </c>
      <c r="HT5" s="1493" t="s">
        <v>814</v>
      </c>
      <c r="HU5" s="1493" t="s">
        <v>245</v>
      </c>
      <c r="HV5" s="1493" t="s">
        <v>642</v>
      </c>
      <c r="HW5" s="1493" t="s">
        <v>1284</v>
      </c>
      <c r="HX5" s="1493" t="s">
        <v>2189</v>
      </c>
      <c r="HY5" s="1493" t="s">
        <v>2657</v>
      </c>
      <c r="HZ5" s="1493" t="s">
        <v>814</v>
      </c>
      <c r="IA5" s="1493" t="s">
        <v>114</v>
      </c>
      <c r="IB5" s="1493" t="s">
        <v>115</v>
      </c>
      <c r="IC5" s="1493" t="s">
        <v>234</v>
      </c>
      <c r="ID5" s="1493" t="s">
        <v>633</v>
      </c>
      <c r="IE5" s="1493" t="s">
        <v>2658</v>
      </c>
      <c r="IF5" s="1493" t="s">
        <v>814</v>
      </c>
      <c r="IG5" s="1493" t="s">
        <v>2659</v>
      </c>
      <c r="IH5" s="1493" t="s">
        <v>814</v>
      </c>
      <c r="II5" s="1493" t="s">
        <v>2660</v>
      </c>
      <c r="IJ5" s="1493" t="s">
        <v>814</v>
      </c>
      <c r="IK5" s="1493" t="s">
        <v>366</v>
      </c>
      <c r="IL5" s="1493" t="s">
        <v>1766</v>
      </c>
      <c r="IM5" s="1493" t="s">
        <v>1205</v>
      </c>
      <c r="IN5" s="1493" t="s">
        <v>814</v>
      </c>
      <c r="IO5" s="1493" t="s">
        <v>2661</v>
      </c>
      <c r="IP5" s="1493" t="s">
        <v>814</v>
      </c>
      <c r="IQ5" s="1493" t="s">
        <v>774</v>
      </c>
      <c r="IR5" s="1493" t="s">
        <v>2153</v>
      </c>
      <c r="IS5" s="1493" t="s">
        <v>905</v>
      </c>
      <c r="IT5" s="1493" t="s">
        <v>574</v>
      </c>
      <c r="IU5" s="1493" t="s">
        <v>501</v>
      </c>
      <c r="IV5" s="1493" t="s">
        <v>814</v>
      </c>
    </row>
    <row r="6" spans="1:256">
      <c r="A6" s="1493" t="s">
        <v>923</v>
      </c>
      <c r="B6" s="1493" t="s">
        <v>2206</v>
      </c>
      <c r="C6" s="1493" t="s">
        <v>1139</v>
      </c>
      <c r="D6" s="1493" t="s">
        <v>2142</v>
      </c>
      <c r="E6" s="1493" t="s">
        <v>179</v>
      </c>
      <c r="F6" s="1493" t="s">
        <v>814</v>
      </c>
      <c r="G6" s="1493" t="s">
        <v>1883</v>
      </c>
      <c r="H6" s="1493" t="s">
        <v>814</v>
      </c>
      <c r="I6" s="1493" t="s">
        <v>2518</v>
      </c>
      <c r="J6" s="1493" t="s">
        <v>814</v>
      </c>
      <c r="K6" s="1493" t="s">
        <v>2664</v>
      </c>
      <c r="L6" s="1493" t="s">
        <v>814</v>
      </c>
      <c r="M6" s="1493" t="s">
        <v>2665</v>
      </c>
      <c r="N6" s="1493" t="s">
        <v>814</v>
      </c>
      <c r="O6" s="1493" t="s">
        <v>2666</v>
      </c>
      <c r="P6" s="1493" t="s">
        <v>814</v>
      </c>
      <c r="Q6" s="1493" t="s">
        <v>2100</v>
      </c>
      <c r="R6" s="1493" t="s">
        <v>1964</v>
      </c>
      <c r="S6" s="1493" t="s">
        <v>2310</v>
      </c>
      <c r="T6" s="1493" t="s">
        <v>1232</v>
      </c>
      <c r="U6" s="1493" t="s">
        <v>2667</v>
      </c>
      <c r="V6" s="1493" t="s">
        <v>814</v>
      </c>
      <c r="W6" s="1493" t="s">
        <v>2840</v>
      </c>
      <c r="X6" s="1493" t="s">
        <v>814</v>
      </c>
      <c r="Y6" s="1493" t="s">
        <v>2668</v>
      </c>
      <c r="Z6" s="1493" t="s">
        <v>814</v>
      </c>
      <c r="AA6" s="1493" t="s">
        <v>747</v>
      </c>
      <c r="AB6" s="1493" t="s">
        <v>717</v>
      </c>
      <c r="AC6" s="1493" t="s">
        <v>2565</v>
      </c>
      <c r="AD6" s="1493" t="s">
        <v>814</v>
      </c>
      <c r="AE6" s="1493" t="s">
        <v>1944</v>
      </c>
      <c r="AF6" s="1493" t="s">
        <v>1334</v>
      </c>
      <c r="AG6" s="1493" t="s">
        <v>2065</v>
      </c>
      <c r="AH6" s="1493" t="s">
        <v>814</v>
      </c>
      <c r="AI6" s="1493" t="s">
        <v>2287</v>
      </c>
      <c r="AJ6" s="1493" t="s">
        <v>389</v>
      </c>
      <c r="AK6" s="1493" t="s">
        <v>2237</v>
      </c>
      <c r="AL6" s="1493" t="s">
        <v>814</v>
      </c>
      <c r="AM6" s="1493" t="s">
        <v>2180</v>
      </c>
      <c r="AN6" s="1493" t="s">
        <v>1114</v>
      </c>
      <c r="AO6" s="1493" t="s">
        <v>194</v>
      </c>
      <c r="AP6" s="1493" t="s">
        <v>814</v>
      </c>
      <c r="AQ6" s="1493" t="s">
        <v>688</v>
      </c>
      <c r="AR6" s="1493" t="s">
        <v>1726</v>
      </c>
      <c r="AS6" s="1493" t="s">
        <v>2669</v>
      </c>
      <c r="AT6" s="1493" t="s">
        <v>814</v>
      </c>
      <c r="AU6" s="1493" t="s">
        <v>1230</v>
      </c>
      <c r="AV6" s="1493" t="s">
        <v>1231</v>
      </c>
      <c r="AW6" s="1493" t="s">
        <v>671</v>
      </c>
      <c r="AX6" s="1493" t="s">
        <v>1798</v>
      </c>
      <c r="AY6" s="1493" t="s">
        <v>1646</v>
      </c>
      <c r="AZ6" s="1493" t="s">
        <v>1807</v>
      </c>
      <c r="BA6" s="1493" t="s">
        <v>400</v>
      </c>
      <c r="BB6" s="1493" t="s">
        <v>401</v>
      </c>
      <c r="BC6" s="1493" t="s">
        <v>2670</v>
      </c>
      <c r="BD6" s="1493" t="s">
        <v>814</v>
      </c>
      <c r="BE6" s="1493" t="s">
        <v>1512</v>
      </c>
      <c r="BF6" s="1493" t="s">
        <v>867</v>
      </c>
      <c r="BG6" s="1493" t="s">
        <v>689</v>
      </c>
      <c r="BH6" s="1493" t="s">
        <v>1727</v>
      </c>
      <c r="BI6" s="1493" t="s">
        <v>2671</v>
      </c>
      <c r="BJ6" s="1493" t="s">
        <v>814</v>
      </c>
      <c r="BK6" s="1493" t="s">
        <v>1134</v>
      </c>
      <c r="BL6" s="1493" t="s">
        <v>2137</v>
      </c>
      <c r="BM6" s="1493" t="s">
        <v>2672</v>
      </c>
      <c r="BN6" s="1493" t="s">
        <v>814</v>
      </c>
      <c r="BO6" s="1493" t="s">
        <v>711</v>
      </c>
      <c r="BP6" s="1493" t="s">
        <v>814</v>
      </c>
      <c r="BQ6" s="1493" t="s">
        <v>186</v>
      </c>
      <c r="BR6" s="1493" t="s">
        <v>1094</v>
      </c>
      <c r="BS6" s="1493" t="s">
        <v>334</v>
      </c>
      <c r="BT6" s="1493" t="s">
        <v>335</v>
      </c>
      <c r="BU6" s="1493" t="s">
        <v>875</v>
      </c>
      <c r="BV6" s="1493" t="s">
        <v>697</v>
      </c>
      <c r="BW6" s="1493" t="s">
        <v>2076</v>
      </c>
      <c r="BX6" s="1493" t="s">
        <v>1847</v>
      </c>
      <c r="BY6" s="1493" t="s">
        <v>2673</v>
      </c>
      <c r="BZ6" s="1493" t="s">
        <v>814</v>
      </c>
      <c r="CA6" s="1493" t="s">
        <v>2255</v>
      </c>
      <c r="CB6" s="1493" t="s">
        <v>2147</v>
      </c>
      <c r="CC6" s="1493" t="s">
        <v>707</v>
      </c>
      <c r="CD6" s="1493" t="s">
        <v>1394</v>
      </c>
      <c r="CE6" s="1493" t="s">
        <v>2674</v>
      </c>
      <c r="CF6" s="1493" t="s">
        <v>814</v>
      </c>
      <c r="CG6" s="1493" t="s">
        <v>272</v>
      </c>
      <c r="CH6" s="1493" t="s">
        <v>640</v>
      </c>
      <c r="CI6" s="1493" t="s">
        <v>1611</v>
      </c>
      <c r="CJ6" s="1493" t="s">
        <v>2128</v>
      </c>
      <c r="CK6" s="1493" t="s">
        <v>513</v>
      </c>
      <c r="CL6" s="1493" t="s">
        <v>514</v>
      </c>
      <c r="CM6" s="1493" t="s">
        <v>2086</v>
      </c>
      <c r="CN6" s="1493" t="s">
        <v>962</v>
      </c>
      <c r="CO6" s="1493" t="s">
        <v>1211</v>
      </c>
      <c r="CP6" s="1493" t="s">
        <v>388</v>
      </c>
      <c r="CQ6" s="1493" t="s">
        <v>773</v>
      </c>
      <c r="CR6" s="1493" t="s">
        <v>2152</v>
      </c>
      <c r="CS6" s="1493" t="s">
        <v>1501</v>
      </c>
      <c r="CT6" s="1493" t="s">
        <v>862</v>
      </c>
      <c r="CU6" s="1493" t="s">
        <v>607</v>
      </c>
      <c r="CV6" s="1493" t="s">
        <v>608</v>
      </c>
      <c r="CW6" s="1493" t="s">
        <v>2676</v>
      </c>
      <c r="CX6" s="1493" t="s">
        <v>814</v>
      </c>
      <c r="CY6" s="1493" t="s">
        <v>745</v>
      </c>
      <c r="CZ6" s="1493" t="s">
        <v>746</v>
      </c>
      <c r="DA6" s="1493" t="s">
        <v>709</v>
      </c>
      <c r="DB6" s="1493" t="s">
        <v>1395</v>
      </c>
      <c r="DC6" s="1493" t="s">
        <v>2679</v>
      </c>
      <c r="DD6" s="1493" t="s">
        <v>814</v>
      </c>
      <c r="DE6" s="1493" t="s">
        <v>2680</v>
      </c>
      <c r="DF6" s="1493" t="s">
        <v>814</v>
      </c>
      <c r="DG6" s="1493" t="s">
        <v>2352</v>
      </c>
      <c r="DH6" s="1493" t="s">
        <v>814</v>
      </c>
      <c r="DI6" s="1493" t="s">
        <v>1959</v>
      </c>
      <c r="DJ6" s="1493" t="s">
        <v>891</v>
      </c>
      <c r="DK6" s="1493" t="s">
        <v>1163</v>
      </c>
      <c r="DL6" s="1493" t="s">
        <v>462</v>
      </c>
      <c r="DM6" s="1493" t="s">
        <v>1138</v>
      </c>
      <c r="DN6" s="1493" t="s">
        <v>2141</v>
      </c>
      <c r="DO6" s="1493" t="s">
        <v>2681</v>
      </c>
      <c r="DP6" s="1493" t="s">
        <v>814</v>
      </c>
      <c r="DQ6" s="1493" t="s">
        <v>2682</v>
      </c>
      <c r="DR6" s="1493" t="s">
        <v>814</v>
      </c>
      <c r="DS6" s="1493" t="s">
        <v>2921</v>
      </c>
      <c r="DT6" s="1493" t="s">
        <v>814</v>
      </c>
      <c r="DU6" s="1493" t="s">
        <v>739</v>
      </c>
      <c r="DV6" s="1493" t="s">
        <v>814</v>
      </c>
      <c r="DW6" s="1493" t="s">
        <v>665</v>
      </c>
      <c r="DX6" s="1493" t="s">
        <v>666</v>
      </c>
      <c r="DY6" s="1493" t="s">
        <v>129</v>
      </c>
      <c r="DZ6" s="1493" t="s">
        <v>130</v>
      </c>
      <c r="EA6" s="1493" t="s">
        <v>2355</v>
      </c>
      <c r="EB6" s="1493" t="s">
        <v>2356</v>
      </c>
      <c r="EC6" s="1493" t="s">
        <v>2684</v>
      </c>
      <c r="ED6" s="1493" t="s">
        <v>814</v>
      </c>
      <c r="EE6" s="1493" t="s">
        <v>246</v>
      </c>
      <c r="EF6" s="1493" t="s">
        <v>814</v>
      </c>
      <c r="EG6" s="1493" t="s">
        <v>1285</v>
      </c>
      <c r="EH6" s="1493" t="s">
        <v>2190</v>
      </c>
      <c r="EI6" s="1493" t="s">
        <v>2645</v>
      </c>
      <c r="EJ6" s="1493" t="s">
        <v>814</v>
      </c>
      <c r="EK6" s="1493" t="s">
        <v>675</v>
      </c>
      <c r="EL6" s="1493" t="s">
        <v>993</v>
      </c>
      <c r="EM6" s="1493" t="s">
        <v>53</v>
      </c>
      <c r="EN6" s="1493" t="s">
        <v>54</v>
      </c>
      <c r="EO6" s="1493" t="s">
        <v>1449</v>
      </c>
      <c r="EP6" s="1493" t="s">
        <v>1450</v>
      </c>
      <c r="EQ6" s="1493" t="s">
        <v>1872</v>
      </c>
      <c r="ER6" s="1493" t="s">
        <v>961</v>
      </c>
      <c r="ES6" s="1493" t="s">
        <v>2685</v>
      </c>
      <c r="ET6" s="1493" t="s">
        <v>814</v>
      </c>
      <c r="EU6" s="1493" t="s">
        <v>39</v>
      </c>
      <c r="EV6" s="1493" t="s">
        <v>40</v>
      </c>
      <c r="EW6" s="1493" t="s">
        <v>2219</v>
      </c>
      <c r="EX6" s="1493" t="s">
        <v>2425</v>
      </c>
      <c r="EY6" s="1493" t="s">
        <v>2687</v>
      </c>
      <c r="EZ6" s="1493" t="s">
        <v>814</v>
      </c>
      <c r="FA6" s="1493" t="s">
        <v>2688</v>
      </c>
      <c r="FB6" s="1493" t="s">
        <v>814</v>
      </c>
      <c r="FC6" s="1493" t="s">
        <v>1700</v>
      </c>
      <c r="FD6" s="1493" t="s">
        <v>1701</v>
      </c>
      <c r="FE6" s="1493" t="s">
        <v>2663</v>
      </c>
      <c r="FF6" s="1493" t="s">
        <v>814</v>
      </c>
      <c r="FG6" s="1493" t="s">
        <v>1302</v>
      </c>
      <c r="FH6" s="1493" t="s">
        <v>2205</v>
      </c>
      <c r="FI6" s="1493" t="s">
        <v>73</v>
      </c>
      <c r="FJ6" s="1493" t="s">
        <v>894</v>
      </c>
      <c r="FK6" s="1493" t="s">
        <v>1058</v>
      </c>
      <c r="FL6" s="1493" t="s">
        <v>1855</v>
      </c>
      <c r="FM6" s="1493" t="s">
        <v>2689</v>
      </c>
      <c r="FN6" s="1493" t="s">
        <v>814</v>
      </c>
      <c r="FO6" s="1493" t="s">
        <v>406</v>
      </c>
      <c r="FP6" s="1493" t="s">
        <v>407</v>
      </c>
      <c r="FQ6" s="1493" t="s">
        <v>2690</v>
      </c>
      <c r="FR6" s="1493" t="s">
        <v>814</v>
      </c>
      <c r="FS6" s="1493" t="s">
        <v>1158</v>
      </c>
      <c r="FT6" s="1493" t="s">
        <v>457</v>
      </c>
      <c r="FU6" s="1493" t="s">
        <v>1159</v>
      </c>
      <c r="FV6" s="1493" t="s">
        <v>458</v>
      </c>
      <c r="FW6" s="1493" t="s">
        <v>1160</v>
      </c>
      <c r="FX6" s="1493" t="s">
        <v>459</v>
      </c>
      <c r="FY6" s="1493" t="s">
        <v>1161</v>
      </c>
      <c r="FZ6" s="1493" t="s">
        <v>460</v>
      </c>
      <c r="GA6" s="1493" t="s">
        <v>2691</v>
      </c>
      <c r="GB6" s="1493" t="s">
        <v>814</v>
      </c>
      <c r="GC6" s="1493" t="s">
        <v>22</v>
      </c>
      <c r="GD6" s="1493" t="s">
        <v>23</v>
      </c>
      <c r="GE6" s="1493" t="s">
        <v>2693</v>
      </c>
      <c r="GF6" s="1493" t="s">
        <v>814</v>
      </c>
      <c r="GG6" s="1493" t="s">
        <v>192</v>
      </c>
      <c r="GH6" s="1493" t="s">
        <v>814</v>
      </c>
      <c r="GI6" s="1493" t="s">
        <v>1675</v>
      </c>
      <c r="GJ6" s="1493" t="s">
        <v>1410</v>
      </c>
      <c r="GK6" s="1493" t="s">
        <v>1202</v>
      </c>
      <c r="GL6" s="1493" t="s">
        <v>2</v>
      </c>
      <c r="GM6" s="1493" t="s">
        <v>523</v>
      </c>
      <c r="GN6" s="1493" t="s">
        <v>814</v>
      </c>
      <c r="GO6" s="1493" t="s">
        <v>1238</v>
      </c>
      <c r="GP6" s="1493" t="s">
        <v>1106</v>
      </c>
      <c r="GQ6" s="1493" t="s">
        <v>271</v>
      </c>
      <c r="GR6" s="1493" t="s">
        <v>814</v>
      </c>
      <c r="GS6" s="1493" t="s">
        <v>2299</v>
      </c>
      <c r="GT6" s="1493" t="s">
        <v>2112</v>
      </c>
      <c r="GU6" s="1493" t="s">
        <v>2694</v>
      </c>
      <c r="GV6" s="1493" t="s">
        <v>814</v>
      </c>
      <c r="GW6" s="1493" t="s">
        <v>1193</v>
      </c>
      <c r="GX6" s="1493" t="s">
        <v>814</v>
      </c>
      <c r="GY6" s="1493" t="s">
        <v>2695</v>
      </c>
      <c r="GZ6" s="1493" t="s">
        <v>814</v>
      </c>
      <c r="HA6" s="1493" t="s">
        <v>397</v>
      </c>
      <c r="HB6" s="1493" t="s">
        <v>398</v>
      </c>
      <c r="HC6" s="1493" t="s">
        <v>721</v>
      </c>
      <c r="HD6" s="1493" t="s">
        <v>814</v>
      </c>
      <c r="HE6" s="1493" t="s">
        <v>87</v>
      </c>
      <c r="HF6" s="1493" t="s">
        <v>1110</v>
      </c>
      <c r="HG6" s="1493" t="s">
        <v>1862</v>
      </c>
      <c r="HH6" s="1493" t="s">
        <v>1964</v>
      </c>
      <c r="HI6" s="1493" t="s">
        <v>1826</v>
      </c>
      <c r="HJ6" s="1493" t="s">
        <v>814</v>
      </c>
      <c r="HK6" s="1493" t="s">
        <v>184</v>
      </c>
      <c r="HL6" s="1493" t="s">
        <v>814</v>
      </c>
      <c r="HM6" s="1493" t="s">
        <v>1173</v>
      </c>
      <c r="HN6" s="1493" t="s">
        <v>2077</v>
      </c>
      <c r="HO6" s="1493" t="s">
        <v>1120</v>
      </c>
      <c r="HP6" s="1493" t="s">
        <v>996</v>
      </c>
      <c r="HQ6" s="1493" t="s">
        <v>1659</v>
      </c>
      <c r="HR6" s="1493" t="s">
        <v>2193</v>
      </c>
      <c r="HS6" s="1493" t="s">
        <v>2697</v>
      </c>
      <c r="HT6" s="1493" t="s">
        <v>814</v>
      </c>
      <c r="HU6" s="1493" t="s">
        <v>2698</v>
      </c>
      <c r="HV6" s="1493" t="s">
        <v>814</v>
      </c>
      <c r="HW6" s="1493" t="s">
        <v>1576</v>
      </c>
      <c r="HX6" s="1493" t="s">
        <v>2043</v>
      </c>
      <c r="HY6" s="1493" t="s">
        <v>183</v>
      </c>
      <c r="HZ6" s="1493" t="s">
        <v>1092</v>
      </c>
      <c r="IA6" s="1493" t="s">
        <v>173</v>
      </c>
      <c r="IB6" s="1493" t="s">
        <v>814</v>
      </c>
      <c r="IC6" s="1493" t="s">
        <v>265</v>
      </c>
      <c r="ID6" s="1493" t="s">
        <v>1433</v>
      </c>
      <c r="IE6" s="1493" t="s">
        <v>1667</v>
      </c>
      <c r="IF6" s="1493" t="s">
        <v>1668</v>
      </c>
      <c r="IG6" s="1493" t="s">
        <v>950</v>
      </c>
      <c r="IH6" s="1493" t="s">
        <v>376</v>
      </c>
      <c r="II6" s="1493" t="s">
        <v>2700</v>
      </c>
      <c r="IJ6" s="1493" t="s">
        <v>814</v>
      </c>
      <c r="IK6" s="1493" t="s">
        <v>1751</v>
      </c>
      <c r="IL6" s="1493" t="s">
        <v>2160</v>
      </c>
      <c r="IM6" s="1493" t="s">
        <v>1133</v>
      </c>
      <c r="IN6" s="1493" t="s">
        <v>1397</v>
      </c>
      <c r="IO6" s="1493" t="s">
        <v>2701</v>
      </c>
      <c r="IP6" s="1493" t="s">
        <v>814</v>
      </c>
      <c r="IQ6" s="1493" t="s">
        <v>2702</v>
      </c>
      <c r="IR6" s="1493" t="s">
        <v>814</v>
      </c>
      <c r="IS6" s="1493" t="s">
        <v>71</v>
      </c>
      <c r="IT6" s="1493" t="s">
        <v>892</v>
      </c>
      <c r="IU6" s="1493" t="s">
        <v>2279</v>
      </c>
      <c r="IV6" s="1493" t="s">
        <v>2280</v>
      </c>
    </row>
    <row r="7" spans="1:256">
      <c r="A7" s="1493" t="s">
        <v>2347</v>
      </c>
      <c r="B7" s="1493" t="s">
        <v>1478</v>
      </c>
      <c r="C7" s="1493" t="s">
        <v>2235</v>
      </c>
      <c r="D7" s="1493" t="s">
        <v>814</v>
      </c>
      <c r="E7" s="1493" t="s">
        <v>2704</v>
      </c>
      <c r="F7" s="1493" t="s">
        <v>814</v>
      </c>
      <c r="G7" s="1493" t="s">
        <v>912</v>
      </c>
      <c r="H7" s="1493" t="s">
        <v>2036</v>
      </c>
      <c r="I7" s="1493" t="s">
        <v>220</v>
      </c>
      <c r="J7" s="1493" t="s">
        <v>1482</v>
      </c>
      <c r="K7" s="1493" t="s">
        <v>2904</v>
      </c>
      <c r="L7" s="1493" t="s">
        <v>814</v>
      </c>
      <c r="M7" s="1493" t="s">
        <v>2739</v>
      </c>
      <c r="N7" s="1493" t="s">
        <v>814</v>
      </c>
      <c r="O7" s="1493" t="s">
        <v>2706</v>
      </c>
      <c r="P7" s="1493" t="s">
        <v>814</v>
      </c>
      <c r="Q7" s="1493" t="s">
        <v>1747</v>
      </c>
      <c r="R7" s="1493" t="s">
        <v>2156</v>
      </c>
      <c r="S7" s="1493" t="s">
        <v>1210</v>
      </c>
      <c r="T7" s="1493" t="s">
        <v>5</v>
      </c>
      <c r="U7" s="1493" t="s">
        <v>2102</v>
      </c>
      <c r="V7" s="1493" t="s">
        <v>1717</v>
      </c>
      <c r="W7" s="1493" t="s">
        <v>1816</v>
      </c>
      <c r="X7" s="1493" t="s">
        <v>1817</v>
      </c>
      <c r="Y7" s="1493" t="s">
        <v>2707</v>
      </c>
      <c r="Z7" s="1493" t="s">
        <v>814</v>
      </c>
      <c r="AA7" s="1493" t="s">
        <v>2986</v>
      </c>
      <c r="AB7" s="1493" t="s">
        <v>814</v>
      </c>
      <c r="AC7" s="1493" t="s">
        <v>1889</v>
      </c>
      <c r="AD7" s="1493" t="s">
        <v>1716</v>
      </c>
      <c r="AE7" s="1493" t="s">
        <v>2489</v>
      </c>
      <c r="AF7" s="1493" t="s">
        <v>814</v>
      </c>
      <c r="AG7" s="1493" t="s">
        <v>2709</v>
      </c>
      <c r="AH7" s="1493" t="s">
        <v>814</v>
      </c>
      <c r="AI7" s="1493" t="s">
        <v>149</v>
      </c>
      <c r="AJ7" s="1493" t="s">
        <v>1478</v>
      </c>
      <c r="AK7" s="1493" t="s">
        <v>2711</v>
      </c>
      <c r="AL7" s="1493" t="s">
        <v>814</v>
      </c>
      <c r="AM7" s="1493" t="s">
        <v>2712</v>
      </c>
      <c r="AN7" s="1493" t="s">
        <v>814</v>
      </c>
      <c r="AO7" s="1493" t="s">
        <v>2714</v>
      </c>
      <c r="AP7" s="1493" t="s">
        <v>814</v>
      </c>
      <c r="AQ7" s="1493" t="s">
        <v>2295</v>
      </c>
      <c r="AR7" s="1493" t="s">
        <v>2109</v>
      </c>
      <c r="AS7" s="1493" t="s">
        <v>2715</v>
      </c>
      <c r="AT7" s="1493" t="s">
        <v>814</v>
      </c>
      <c r="AU7" s="1493" t="s">
        <v>426</v>
      </c>
      <c r="AV7" s="1493" t="s">
        <v>2105</v>
      </c>
      <c r="AW7" s="1493" t="s">
        <v>1475</v>
      </c>
      <c r="AX7" s="1493" t="s">
        <v>1476</v>
      </c>
      <c r="AY7" s="1493" t="s">
        <v>2297</v>
      </c>
      <c r="AZ7" s="1493" t="s">
        <v>2174</v>
      </c>
      <c r="BA7" s="1493" t="s">
        <v>2304</v>
      </c>
      <c r="BB7" s="1493" t="s">
        <v>814</v>
      </c>
      <c r="BC7" s="1493" t="s">
        <v>1821</v>
      </c>
      <c r="BD7" s="1493" t="s">
        <v>1822</v>
      </c>
      <c r="BE7" s="1493" t="s">
        <v>2716</v>
      </c>
      <c r="BF7" s="1493" t="s">
        <v>814</v>
      </c>
      <c r="BG7" s="1493" t="s">
        <v>2717</v>
      </c>
      <c r="BH7" s="1493" t="s">
        <v>814</v>
      </c>
      <c r="BI7" s="1493" t="s">
        <v>2719</v>
      </c>
      <c r="BJ7" s="1493" t="s">
        <v>814</v>
      </c>
      <c r="BK7" s="1493" t="s">
        <v>2720</v>
      </c>
      <c r="BL7" s="1493" t="s">
        <v>814</v>
      </c>
      <c r="BM7" s="1493" t="s">
        <v>2721</v>
      </c>
      <c r="BN7" s="1493" t="s">
        <v>814</v>
      </c>
      <c r="BO7" s="1493" t="s">
        <v>36</v>
      </c>
      <c r="BP7" s="1493" t="s">
        <v>1043</v>
      </c>
      <c r="BQ7" s="1493" t="s">
        <v>786</v>
      </c>
      <c r="BR7" s="1493" t="s">
        <v>787</v>
      </c>
      <c r="BS7" s="1493" t="s">
        <v>945</v>
      </c>
      <c r="BT7" s="1493" t="s">
        <v>794</v>
      </c>
      <c r="BU7" s="1493" t="s">
        <v>1521</v>
      </c>
      <c r="BV7" s="1493" t="s">
        <v>436</v>
      </c>
      <c r="BW7" s="1493" t="s">
        <v>497</v>
      </c>
      <c r="BX7" s="1493" t="s">
        <v>855</v>
      </c>
      <c r="BY7" s="1493" t="s">
        <v>1522</v>
      </c>
      <c r="BZ7" s="1493" t="s">
        <v>569</v>
      </c>
      <c r="CA7" s="1493" t="s">
        <v>1135</v>
      </c>
      <c r="CB7" s="1493" t="s">
        <v>2138</v>
      </c>
      <c r="CC7" s="1493" t="s">
        <v>2013</v>
      </c>
      <c r="CD7" s="1493" t="s">
        <v>889</v>
      </c>
      <c r="CE7" s="1493" t="s">
        <v>2722</v>
      </c>
      <c r="CF7" s="1493" t="s">
        <v>814</v>
      </c>
      <c r="CG7" s="1493" t="s">
        <v>2164</v>
      </c>
      <c r="CH7" s="1493" t="s">
        <v>814</v>
      </c>
      <c r="CI7" s="1493" t="s">
        <v>2996</v>
      </c>
      <c r="CJ7" s="1493" t="s">
        <v>814</v>
      </c>
      <c r="CK7" s="1493" t="s">
        <v>2383</v>
      </c>
      <c r="CL7" s="1493" t="s">
        <v>3111</v>
      </c>
      <c r="CM7" s="1493" t="s">
        <v>2723</v>
      </c>
      <c r="CN7" s="1493" t="s">
        <v>814</v>
      </c>
      <c r="CO7" s="1493" t="s">
        <v>2724</v>
      </c>
      <c r="CP7" s="1493" t="s">
        <v>814</v>
      </c>
      <c r="CQ7" s="1493" t="s">
        <v>827</v>
      </c>
      <c r="CR7" s="1493" t="s">
        <v>385</v>
      </c>
      <c r="CS7" s="1493" t="s">
        <v>1683</v>
      </c>
      <c r="CT7" s="1493" t="s">
        <v>1414</v>
      </c>
      <c r="CU7" s="1493" t="s">
        <v>2261</v>
      </c>
      <c r="CV7" s="1493" t="s">
        <v>1091</v>
      </c>
      <c r="CW7" s="1493" t="s">
        <v>1629</v>
      </c>
      <c r="CX7" s="1493" t="s">
        <v>975</v>
      </c>
      <c r="CY7" s="1493" t="s">
        <v>1066</v>
      </c>
      <c r="CZ7" s="1493" t="s">
        <v>984</v>
      </c>
      <c r="DA7" s="1493" t="s">
        <v>1287</v>
      </c>
      <c r="DB7" s="1493" t="s">
        <v>1437</v>
      </c>
      <c r="DC7" s="1493" t="s">
        <v>286</v>
      </c>
      <c r="DD7" s="1493" t="s">
        <v>814</v>
      </c>
      <c r="DE7" s="1493" t="s">
        <v>348</v>
      </c>
      <c r="DF7" s="1493" t="s">
        <v>349</v>
      </c>
      <c r="DG7" s="1493" t="s">
        <v>1690</v>
      </c>
      <c r="DH7" s="1493" t="s">
        <v>1628</v>
      </c>
      <c r="DI7" s="1493" t="s">
        <v>951</v>
      </c>
      <c r="DJ7" s="1493" t="s">
        <v>1325</v>
      </c>
      <c r="DK7" s="1493" t="s">
        <v>2727</v>
      </c>
      <c r="DL7" s="1493" t="s">
        <v>814</v>
      </c>
      <c r="DM7" s="1493" t="s">
        <v>2729</v>
      </c>
      <c r="DN7" s="1493" t="s">
        <v>814</v>
      </c>
      <c r="DO7" s="1493" t="s">
        <v>2730</v>
      </c>
      <c r="DP7" s="1493" t="s">
        <v>814</v>
      </c>
      <c r="DQ7" s="1493" t="s">
        <v>2731</v>
      </c>
      <c r="DR7" s="1493" t="s">
        <v>814</v>
      </c>
      <c r="DS7" s="1493" t="s">
        <v>2732</v>
      </c>
      <c r="DT7" s="1493" t="s">
        <v>814</v>
      </c>
      <c r="DU7" s="1493" t="s">
        <v>1876</v>
      </c>
      <c r="DV7" s="1493" t="s">
        <v>1877</v>
      </c>
      <c r="DW7" s="1493" t="s">
        <v>1631</v>
      </c>
      <c r="DX7" s="1493" t="s">
        <v>814</v>
      </c>
      <c r="DY7" s="1493" t="s">
        <v>1477</v>
      </c>
      <c r="DZ7" s="1493" t="s">
        <v>1478</v>
      </c>
      <c r="EA7" s="1493" t="s">
        <v>791</v>
      </c>
      <c r="EB7" s="1493" t="s">
        <v>1759</v>
      </c>
      <c r="EC7" s="1493" t="s">
        <v>2933</v>
      </c>
      <c r="ED7" s="1493" t="s">
        <v>814</v>
      </c>
      <c r="EE7" s="1493" t="s">
        <v>507</v>
      </c>
      <c r="EF7" s="1493" t="s">
        <v>853</v>
      </c>
      <c r="EG7" s="1493" t="s">
        <v>750</v>
      </c>
      <c r="EH7" s="1493" t="s">
        <v>1345</v>
      </c>
      <c r="EI7" s="1493" t="s">
        <v>1641</v>
      </c>
      <c r="EJ7" s="1493" t="s">
        <v>2032</v>
      </c>
      <c r="EK7" s="1493" t="s">
        <v>1709</v>
      </c>
      <c r="EL7" s="1493" t="s">
        <v>814</v>
      </c>
      <c r="EM7" s="1493" t="s">
        <v>710</v>
      </c>
      <c r="EN7" s="1493" t="s">
        <v>1396</v>
      </c>
      <c r="EO7" s="1493" t="s">
        <v>2734</v>
      </c>
      <c r="EP7" s="1493" t="s">
        <v>814</v>
      </c>
      <c r="EQ7" s="1493" t="s">
        <v>2735</v>
      </c>
      <c r="ER7" s="1493" t="s">
        <v>814</v>
      </c>
      <c r="ES7" s="1493" t="s">
        <v>2736</v>
      </c>
      <c r="ET7" s="1493" t="s">
        <v>814</v>
      </c>
      <c r="EU7" s="1493" t="s">
        <v>2737</v>
      </c>
      <c r="EV7" s="1493" t="s">
        <v>814</v>
      </c>
      <c r="EW7" s="1493" t="s">
        <v>247</v>
      </c>
      <c r="EX7" s="1493" t="s">
        <v>2329</v>
      </c>
      <c r="EY7" s="1493" t="s">
        <v>2738</v>
      </c>
      <c r="EZ7" s="1493" t="s">
        <v>814</v>
      </c>
      <c r="FA7" s="1493" t="s">
        <v>338</v>
      </c>
      <c r="FB7" s="1493" t="s">
        <v>339</v>
      </c>
      <c r="FC7" s="1493" t="s">
        <v>1524</v>
      </c>
      <c r="FD7" s="1493" t="s">
        <v>814</v>
      </c>
      <c r="FE7" s="1493" t="s">
        <v>1665</v>
      </c>
      <c r="FF7" s="1493" t="s">
        <v>646</v>
      </c>
      <c r="FG7" s="1493" t="s">
        <v>1465</v>
      </c>
      <c r="FH7" s="1493" t="s">
        <v>2082</v>
      </c>
      <c r="FI7" s="1493" t="s">
        <v>279</v>
      </c>
      <c r="FJ7" s="1493" t="s">
        <v>280</v>
      </c>
      <c r="FK7" s="1493" t="s">
        <v>1863</v>
      </c>
      <c r="FL7" s="1493" t="s">
        <v>640</v>
      </c>
      <c r="FM7" s="1493" t="s">
        <v>1269</v>
      </c>
      <c r="FN7" s="1493" t="s">
        <v>847</v>
      </c>
      <c r="FO7" s="1493" t="s">
        <v>718</v>
      </c>
      <c r="FP7" s="1493" t="s">
        <v>719</v>
      </c>
      <c r="FQ7" s="1493" t="s">
        <v>1300</v>
      </c>
      <c r="FR7" s="1493" t="s">
        <v>2203</v>
      </c>
      <c r="FS7" s="1493" t="s">
        <v>2740</v>
      </c>
      <c r="FT7" s="1493" t="s">
        <v>814</v>
      </c>
      <c r="FU7" s="1493" t="s">
        <v>2300</v>
      </c>
      <c r="FV7" s="1493" t="s">
        <v>2280</v>
      </c>
      <c r="FW7" s="1493" t="s">
        <v>2741</v>
      </c>
      <c r="FX7" s="1493" t="s">
        <v>814</v>
      </c>
      <c r="FY7" s="1493" t="s">
        <v>138</v>
      </c>
      <c r="FZ7" s="1493" t="s">
        <v>1130</v>
      </c>
      <c r="GA7" s="1493" t="s">
        <v>2742</v>
      </c>
      <c r="GB7" s="1493" t="s">
        <v>814</v>
      </c>
      <c r="GC7" s="1493" t="s">
        <v>1167</v>
      </c>
      <c r="GD7" s="1493" t="s">
        <v>886</v>
      </c>
      <c r="GE7" s="1493" t="s">
        <v>933</v>
      </c>
      <c r="GF7" s="1493" t="s">
        <v>2232</v>
      </c>
      <c r="GG7" s="1493" t="s">
        <v>498</v>
      </c>
      <c r="GH7" s="1493" t="s">
        <v>856</v>
      </c>
      <c r="GI7" s="1493" t="s">
        <v>691</v>
      </c>
      <c r="GJ7" s="1493" t="s">
        <v>814</v>
      </c>
      <c r="GK7" s="1493" t="s">
        <v>2293</v>
      </c>
      <c r="GL7" s="1493" t="s">
        <v>7</v>
      </c>
      <c r="GM7" s="1493" t="s">
        <v>2316</v>
      </c>
      <c r="GN7" s="1493" t="s">
        <v>630</v>
      </c>
      <c r="GO7" s="1493" t="s">
        <v>1044</v>
      </c>
      <c r="GP7" s="1493" t="s">
        <v>1045</v>
      </c>
      <c r="GQ7" s="1493" t="s">
        <v>1608</v>
      </c>
      <c r="GR7" s="1493" t="s">
        <v>1853</v>
      </c>
      <c r="GS7" s="1493" t="s">
        <v>1197</v>
      </c>
      <c r="GT7" s="1493" t="s">
        <v>297</v>
      </c>
      <c r="GU7" s="1493" t="s">
        <v>2379</v>
      </c>
      <c r="GV7" s="1493" t="s">
        <v>1431</v>
      </c>
      <c r="GW7" s="1493" t="s">
        <v>1818</v>
      </c>
      <c r="GX7" s="1493" t="s">
        <v>1819</v>
      </c>
      <c r="GY7" s="1493" t="s">
        <v>2744</v>
      </c>
      <c r="GZ7" s="1493" t="s">
        <v>814</v>
      </c>
      <c r="HA7" s="1493" t="s">
        <v>2361</v>
      </c>
      <c r="HB7" s="1493" t="s">
        <v>1247</v>
      </c>
      <c r="HC7" s="1493" t="s">
        <v>2066</v>
      </c>
      <c r="HD7" s="1493" t="s">
        <v>2067</v>
      </c>
      <c r="HE7" s="1493" t="s">
        <v>197</v>
      </c>
      <c r="HF7" s="1493" t="s">
        <v>1102</v>
      </c>
      <c r="HG7" s="1493" t="s">
        <v>2745</v>
      </c>
      <c r="HH7" s="1493" t="s">
        <v>814</v>
      </c>
      <c r="HI7" s="1493" t="s">
        <v>32</v>
      </c>
      <c r="HJ7" s="1493" t="s">
        <v>33</v>
      </c>
      <c r="HK7" s="1493" t="s">
        <v>722</v>
      </c>
      <c r="HL7" s="1493" t="s">
        <v>1729</v>
      </c>
      <c r="HM7" s="1493" t="s">
        <v>2746</v>
      </c>
      <c r="HN7" s="1493" t="s">
        <v>814</v>
      </c>
      <c r="HO7" s="1493" t="s">
        <v>2747</v>
      </c>
      <c r="HP7" s="1493" t="s">
        <v>814</v>
      </c>
      <c r="HQ7" s="1493" t="s">
        <v>1597</v>
      </c>
      <c r="HR7" s="1493" t="s">
        <v>960</v>
      </c>
      <c r="HS7" s="1493" t="s">
        <v>2748</v>
      </c>
      <c r="HT7" s="1493" t="s">
        <v>814</v>
      </c>
      <c r="HU7" s="1493" t="s">
        <v>2718</v>
      </c>
      <c r="HV7" s="1493" t="s">
        <v>814</v>
      </c>
      <c r="HW7" s="1493" t="s">
        <v>1519</v>
      </c>
      <c r="HX7" s="1493" t="s">
        <v>434</v>
      </c>
      <c r="HY7" s="1493" t="s">
        <v>692</v>
      </c>
      <c r="HZ7" s="1493" t="s">
        <v>693</v>
      </c>
      <c r="IA7" s="1493" t="s">
        <v>593</v>
      </c>
      <c r="IB7" s="1493" t="s">
        <v>1478</v>
      </c>
      <c r="IC7" s="1493" t="s">
        <v>2750</v>
      </c>
      <c r="ID7" s="1493" t="s">
        <v>814</v>
      </c>
      <c r="IE7" s="1493" t="s">
        <v>2751</v>
      </c>
      <c r="IF7" s="1493" t="s">
        <v>814</v>
      </c>
      <c r="IG7" s="1493" t="s">
        <v>2710</v>
      </c>
      <c r="IH7" s="1493" t="s">
        <v>814</v>
      </c>
      <c r="II7" s="1493" t="s">
        <v>1313</v>
      </c>
      <c r="IJ7" s="1493" t="s">
        <v>2144</v>
      </c>
      <c r="IK7" s="1493" t="s">
        <v>2752</v>
      </c>
      <c r="IL7" s="1493" t="s">
        <v>814</v>
      </c>
      <c r="IM7" s="1493" t="s">
        <v>2753</v>
      </c>
      <c r="IN7" s="1493" t="s">
        <v>814</v>
      </c>
      <c r="IO7" s="1493" t="s">
        <v>1262</v>
      </c>
      <c r="IP7" s="1493" t="s">
        <v>1492</v>
      </c>
      <c r="IQ7" s="1493" t="s">
        <v>169</v>
      </c>
      <c r="IR7" s="1493" t="s">
        <v>814</v>
      </c>
      <c r="IS7" s="1493" t="s">
        <v>2074</v>
      </c>
      <c r="IT7" s="1493" t="s">
        <v>1845</v>
      </c>
      <c r="IU7" s="1493" t="s">
        <v>324</v>
      </c>
      <c r="IV7" s="1493" t="s">
        <v>1308</v>
      </c>
    </row>
    <row r="8" spans="1:256">
      <c r="A8" s="1493" t="s">
        <v>2754</v>
      </c>
      <c r="B8" s="1493" t="s">
        <v>814</v>
      </c>
      <c r="C8" s="1493" t="s">
        <v>2755</v>
      </c>
      <c r="D8" s="1493" t="s">
        <v>814</v>
      </c>
      <c r="E8" s="1493" t="s">
        <v>2756</v>
      </c>
      <c r="F8" s="1493" t="s">
        <v>814</v>
      </c>
      <c r="G8" s="1493" t="s">
        <v>2757</v>
      </c>
      <c r="H8" s="1493" t="s">
        <v>814</v>
      </c>
      <c r="I8" s="1493" t="s">
        <v>751</v>
      </c>
      <c r="J8" s="1493" t="s">
        <v>1346</v>
      </c>
      <c r="K8" s="1493" t="s">
        <v>2758</v>
      </c>
      <c r="L8" s="1493" t="s">
        <v>814</v>
      </c>
      <c r="M8" s="1493" t="s">
        <v>2759</v>
      </c>
      <c r="N8" s="1493" t="s">
        <v>814</v>
      </c>
      <c r="O8" s="1493" t="s">
        <v>785</v>
      </c>
      <c r="P8" s="1493" t="s">
        <v>814</v>
      </c>
      <c r="Q8" s="1493" t="s">
        <v>170</v>
      </c>
      <c r="R8" s="1493" t="s">
        <v>2149</v>
      </c>
      <c r="S8" s="1493" t="s">
        <v>2103</v>
      </c>
      <c r="T8" s="1493" t="s">
        <v>814</v>
      </c>
      <c r="U8" s="1493" t="s">
        <v>2844</v>
      </c>
      <c r="V8" s="1493" t="s">
        <v>814</v>
      </c>
      <c r="W8" s="1493" t="s">
        <v>1567</v>
      </c>
      <c r="X8" s="1493" t="s">
        <v>147</v>
      </c>
      <c r="Y8" s="1493" t="s">
        <v>1794</v>
      </c>
      <c r="Z8" s="1493" t="s">
        <v>1795</v>
      </c>
      <c r="AA8" s="1493" t="s">
        <v>2761</v>
      </c>
      <c r="AB8" s="1493" t="s">
        <v>814</v>
      </c>
      <c r="AC8" s="1493" t="s">
        <v>2321</v>
      </c>
      <c r="AD8" s="1493" t="s">
        <v>2322</v>
      </c>
      <c r="AE8" s="1493" t="s">
        <v>1632</v>
      </c>
      <c r="AF8" s="1493" t="s">
        <v>976</v>
      </c>
      <c r="AG8" s="1493" t="s">
        <v>2762</v>
      </c>
      <c r="AH8" s="1493" t="s">
        <v>814</v>
      </c>
      <c r="AI8" s="1493" t="s">
        <v>2705</v>
      </c>
      <c r="AJ8" s="1493" t="s">
        <v>814</v>
      </c>
      <c r="AK8" s="1493" t="s">
        <v>1552</v>
      </c>
      <c r="AL8" s="1493" t="s">
        <v>814</v>
      </c>
      <c r="AM8" s="1493" t="s">
        <v>1962</v>
      </c>
      <c r="AN8" s="1493" t="s">
        <v>1807</v>
      </c>
      <c r="AO8" s="1493" t="s">
        <v>310</v>
      </c>
      <c r="AP8" s="1493" t="s">
        <v>1404</v>
      </c>
      <c r="AQ8" s="1493" t="s">
        <v>2764</v>
      </c>
      <c r="AR8" s="1493" t="s">
        <v>814</v>
      </c>
      <c r="AS8" s="1493" t="s">
        <v>1562</v>
      </c>
      <c r="AT8" s="1493" t="s">
        <v>1342</v>
      </c>
      <c r="AU8" s="1493" t="s">
        <v>1669</v>
      </c>
      <c r="AV8" s="1493" t="s">
        <v>1291</v>
      </c>
      <c r="AW8" s="1493" t="s">
        <v>60</v>
      </c>
      <c r="AX8" s="1493" t="s">
        <v>456</v>
      </c>
      <c r="AY8" s="1493" t="s">
        <v>2765</v>
      </c>
      <c r="AZ8" s="1493" t="s">
        <v>814</v>
      </c>
      <c r="BA8" s="1493" t="s">
        <v>1871</v>
      </c>
      <c r="BB8" s="1493" t="s">
        <v>2198</v>
      </c>
      <c r="BC8" s="1493" t="s">
        <v>2368</v>
      </c>
      <c r="BD8" s="1493" t="s">
        <v>2369</v>
      </c>
      <c r="BE8" s="1493" t="s">
        <v>2317</v>
      </c>
      <c r="BF8" s="1493" t="s">
        <v>631</v>
      </c>
      <c r="BG8" s="1493" t="s">
        <v>382</v>
      </c>
      <c r="BH8" s="1493" t="s">
        <v>2118</v>
      </c>
      <c r="BI8" s="1493" t="s">
        <v>2766</v>
      </c>
      <c r="BJ8" s="1493" t="s">
        <v>814</v>
      </c>
      <c r="BK8" s="1493" t="s">
        <v>327</v>
      </c>
      <c r="BL8" s="1493" t="s">
        <v>328</v>
      </c>
      <c r="BM8" s="1493" t="s">
        <v>2767</v>
      </c>
      <c r="BN8" s="1493" t="s">
        <v>814</v>
      </c>
      <c r="BO8" s="1493" t="s">
        <v>2522</v>
      </c>
      <c r="BP8" s="1493" t="s">
        <v>814</v>
      </c>
      <c r="BQ8" s="1493" t="s">
        <v>2768</v>
      </c>
      <c r="BR8" s="1493" t="s">
        <v>814</v>
      </c>
      <c r="BS8" s="1493" t="s">
        <v>2253</v>
      </c>
      <c r="BT8" s="1493" t="s">
        <v>2058</v>
      </c>
      <c r="BU8" s="1493" t="s">
        <v>2104</v>
      </c>
      <c r="BV8" s="1493" t="s">
        <v>1718</v>
      </c>
      <c r="BW8" s="1493" t="s">
        <v>1820</v>
      </c>
      <c r="BX8" s="1493" t="s">
        <v>814</v>
      </c>
      <c r="BY8" s="1493" t="s">
        <v>661</v>
      </c>
      <c r="BZ8" s="1493" t="s">
        <v>662</v>
      </c>
      <c r="CA8" s="1493" t="s">
        <v>2769</v>
      </c>
      <c r="CB8" s="1493" t="s">
        <v>814</v>
      </c>
      <c r="CC8" s="1493" t="s">
        <v>2770</v>
      </c>
      <c r="CD8" s="1493" t="s">
        <v>814</v>
      </c>
      <c r="CE8" s="1493" t="s">
        <v>1286</v>
      </c>
      <c r="CF8" s="1493" t="s">
        <v>1436</v>
      </c>
      <c r="CG8" s="1493" t="s">
        <v>1061</v>
      </c>
      <c r="CH8" s="1493" t="s">
        <v>1858</v>
      </c>
      <c r="CI8" s="1493" t="s">
        <v>2771</v>
      </c>
      <c r="CJ8" s="1493" t="s">
        <v>814</v>
      </c>
      <c r="CK8" s="1493" t="s">
        <v>1551</v>
      </c>
      <c r="CL8" s="1493" t="s">
        <v>2230</v>
      </c>
      <c r="CM8" s="1493" t="s">
        <v>2772</v>
      </c>
      <c r="CN8" s="1493" t="s">
        <v>814</v>
      </c>
      <c r="CO8" s="1493" t="s">
        <v>2773</v>
      </c>
      <c r="CP8" s="1493" t="s">
        <v>814</v>
      </c>
      <c r="CQ8" s="1493" t="s">
        <v>3047</v>
      </c>
      <c r="CR8" s="1493" t="s">
        <v>814</v>
      </c>
      <c r="CS8" s="1493" t="s">
        <v>2774</v>
      </c>
      <c r="CT8" s="1493" t="s">
        <v>814</v>
      </c>
      <c r="CU8" s="1493" t="s">
        <v>2775</v>
      </c>
      <c r="CV8" s="1493" t="s">
        <v>814</v>
      </c>
      <c r="CW8" s="1493" t="s">
        <v>2776</v>
      </c>
      <c r="CX8" s="1493" t="s">
        <v>814</v>
      </c>
      <c r="CY8" s="1493" t="s">
        <v>1123</v>
      </c>
      <c r="CZ8" s="1493" t="s">
        <v>1585</v>
      </c>
      <c r="DA8" s="1493" t="s">
        <v>820</v>
      </c>
      <c r="DB8" s="1493" t="s">
        <v>1772</v>
      </c>
      <c r="DC8" s="1493" t="s">
        <v>278</v>
      </c>
      <c r="DD8" s="1493" t="s">
        <v>814</v>
      </c>
      <c r="DE8" s="1493" t="s">
        <v>1785</v>
      </c>
      <c r="DF8" s="1493" t="s">
        <v>1786</v>
      </c>
      <c r="DG8" s="1493" t="s">
        <v>1188</v>
      </c>
      <c r="DH8" s="1493" t="s">
        <v>1353</v>
      </c>
      <c r="DI8" s="1493" t="s">
        <v>562</v>
      </c>
      <c r="DJ8" s="1493" t="s">
        <v>2047</v>
      </c>
      <c r="DK8" s="1493" t="s">
        <v>979</v>
      </c>
      <c r="DL8" s="1493" t="s">
        <v>2051</v>
      </c>
      <c r="DM8" s="1493" t="s">
        <v>2777</v>
      </c>
      <c r="DN8" s="1493" t="s">
        <v>814</v>
      </c>
      <c r="DO8" s="1493" t="s">
        <v>598</v>
      </c>
      <c r="DP8" s="1493" t="s">
        <v>1330</v>
      </c>
      <c r="DQ8" s="1493" t="s">
        <v>2778</v>
      </c>
      <c r="DR8" s="1493" t="s">
        <v>814</v>
      </c>
      <c r="DS8" s="1493" t="s">
        <v>2779</v>
      </c>
      <c r="DT8" s="1493" t="s">
        <v>814</v>
      </c>
      <c r="DU8" s="1493" t="s">
        <v>2780</v>
      </c>
      <c r="DV8" s="1493" t="s">
        <v>814</v>
      </c>
      <c r="DW8" s="1493" t="s">
        <v>2749</v>
      </c>
      <c r="DX8" s="1493" t="s">
        <v>814</v>
      </c>
      <c r="DY8" s="1493" t="s">
        <v>1945</v>
      </c>
      <c r="DZ8" s="1493" t="s">
        <v>814</v>
      </c>
      <c r="EA8" s="1493" t="s">
        <v>2182</v>
      </c>
      <c r="EB8" s="1493" t="s">
        <v>814</v>
      </c>
      <c r="EC8" s="1493" t="s">
        <v>2278</v>
      </c>
      <c r="ED8" s="1493" t="s">
        <v>386</v>
      </c>
      <c r="EE8" s="1493" t="s">
        <v>2781</v>
      </c>
      <c r="EF8" s="1493" t="s">
        <v>814</v>
      </c>
      <c r="EG8" s="1493" t="s">
        <v>2983</v>
      </c>
      <c r="EH8" s="1493" t="s">
        <v>814</v>
      </c>
      <c r="EI8" s="1493" t="s">
        <v>1500</v>
      </c>
      <c r="EJ8" s="1493" t="s">
        <v>861</v>
      </c>
      <c r="EK8" s="1493" t="s">
        <v>2713</v>
      </c>
      <c r="EL8" s="1493" t="s">
        <v>814</v>
      </c>
      <c r="EM8" s="1493" t="s">
        <v>2782</v>
      </c>
      <c r="EN8" s="1493" t="s">
        <v>814</v>
      </c>
      <c r="EO8" s="1493" t="s">
        <v>2784</v>
      </c>
      <c r="EP8" s="1493" t="s">
        <v>814</v>
      </c>
      <c r="EQ8" s="1493" t="s">
        <v>2785</v>
      </c>
      <c r="ER8" s="1493" t="s">
        <v>814</v>
      </c>
      <c r="ES8" s="1493" t="s">
        <v>1736</v>
      </c>
      <c r="ET8" s="1493" t="s">
        <v>814</v>
      </c>
      <c r="EU8" s="1493" t="s">
        <v>2786</v>
      </c>
      <c r="EV8" s="1493" t="s">
        <v>814</v>
      </c>
      <c r="EW8" s="1493" t="s">
        <v>1908</v>
      </c>
      <c r="EX8" s="1493" t="s">
        <v>295</v>
      </c>
      <c r="EY8" s="1493" t="s">
        <v>1943</v>
      </c>
      <c r="EZ8" s="1493" t="s">
        <v>1333</v>
      </c>
      <c r="FA8" s="1493" t="s">
        <v>2787</v>
      </c>
      <c r="FB8" s="1493" t="s">
        <v>814</v>
      </c>
      <c r="FC8" s="1493" t="s">
        <v>1799</v>
      </c>
      <c r="FD8" s="1493" t="s">
        <v>1800</v>
      </c>
      <c r="FE8" s="1493" t="s">
        <v>2788</v>
      </c>
      <c r="FF8" s="1493" t="s">
        <v>814</v>
      </c>
      <c r="FG8" s="1493" t="s">
        <v>2789</v>
      </c>
      <c r="FH8" s="1493" t="s">
        <v>814</v>
      </c>
      <c r="FI8" s="1493" t="s">
        <v>340</v>
      </c>
      <c r="FJ8" s="1493" t="s">
        <v>294</v>
      </c>
      <c r="FK8" s="1493" t="s">
        <v>2790</v>
      </c>
      <c r="FL8" s="1493" t="s">
        <v>814</v>
      </c>
      <c r="FM8" s="1493" t="s">
        <v>1888</v>
      </c>
      <c r="FN8" s="1493" t="s">
        <v>814</v>
      </c>
      <c r="FO8" s="1493" t="s">
        <v>2087</v>
      </c>
      <c r="FP8" s="1493" t="s">
        <v>963</v>
      </c>
      <c r="FQ8" s="1493" t="s">
        <v>753</v>
      </c>
      <c r="FR8" s="1493" t="s">
        <v>814</v>
      </c>
      <c r="FS8" s="1493" t="s">
        <v>1069</v>
      </c>
      <c r="FT8" s="1493" t="s">
        <v>987</v>
      </c>
      <c r="FU8" s="1493" t="s">
        <v>1956</v>
      </c>
      <c r="FV8" s="1493" t="s">
        <v>1340</v>
      </c>
      <c r="FW8" s="1493" t="s">
        <v>672</v>
      </c>
      <c r="FX8" s="1493" t="s">
        <v>814</v>
      </c>
      <c r="FY8" s="1493" t="s">
        <v>1658</v>
      </c>
      <c r="FZ8" s="1493" t="s">
        <v>814</v>
      </c>
      <c r="GA8" s="1493" t="s">
        <v>2791</v>
      </c>
      <c r="GB8" s="1493" t="s">
        <v>814</v>
      </c>
      <c r="GC8" s="1493" t="s">
        <v>2792</v>
      </c>
      <c r="GD8" s="1493" t="s">
        <v>814</v>
      </c>
      <c r="GE8" s="1493" t="s">
        <v>221</v>
      </c>
      <c r="GF8" s="1493" t="s">
        <v>814</v>
      </c>
      <c r="GG8" s="1493" t="s">
        <v>877</v>
      </c>
      <c r="GH8" s="1493" t="s">
        <v>2325</v>
      </c>
      <c r="GI8" s="1493" t="s">
        <v>2793</v>
      </c>
      <c r="GJ8" s="1493" t="s">
        <v>814</v>
      </c>
      <c r="GK8" s="1493" t="s">
        <v>289</v>
      </c>
      <c r="GL8" s="1493" t="s">
        <v>814</v>
      </c>
      <c r="GM8" s="1493" t="s">
        <v>2238</v>
      </c>
      <c r="GN8" s="1493" t="s">
        <v>814</v>
      </c>
      <c r="GO8" s="1493" t="s">
        <v>2599</v>
      </c>
      <c r="GP8" s="1493" t="s">
        <v>814</v>
      </c>
      <c r="GQ8" s="1493" t="s">
        <v>660</v>
      </c>
      <c r="GR8" s="1493" t="s">
        <v>814</v>
      </c>
      <c r="GS8" s="1493" t="s">
        <v>2794</v>
      </c>
      <c r="GT8" s="1493" t="s">
        <v>814</v>
      </c>
      <c r="GU8" s="1493" t="s">
        <v>2796</v>
      </c>
      <c r="GV8" s="1493" t="s">
        <v>814</v>
      </c>
      <c r="GW8" s="1493" t="s">
        <v>1209</v>
      </c>
      <c r="GX8" s="1493" t="s">
        <v>1807</v>
      </c>
      <c r="GY8" s="1493" t="s">
        <v>1624</v>
      </c>
      <c r="GZ8" s="1493" t="s">
        <v>973</v>
      </c>
      <c r="HA8" s="1493" t="s">
        <v>74</v>
      </c>
      <c r="HB8" s="1493" t="s">
        <v>2332</v>
      </c>
      <c r="HC8" s="1493" t="s">
        <v>1073</v>
      </c>
      <c r="HD8" s="1493" t="s">
        <v>2333</v>
      </c>
      <c r="HE8" s="1493" t="s">
        <v>1074</v>
      </c>
      <c r="HF8" s="1493" t="s">
        <v>2334</v>
      </c>
      <c r="HG8" s="1493" t="s">
        <v>2294</v>
      </c>
      <c r="HH8" s="1493" t="s">
        <v>2108</v>
      </c>
      <c r="HI8" s="1493" t="s">
        <v>180</v>
      </c>
      <c r="HJ8" s="1493" t="s">
        <v>1443</v>
      </c>
      <c r="HK8" s="1493" t="s">
        <v>452</v>
      </c>
      <c r="HL8" s="1493" t="s">
        <v>1807</v>
      </c>
      <c r="HM8" s="1493" t="s">
        <v>1704</v>
      </c>
      <c r="HN8" s="1493" t="s">
        <v>2196</v>
      </c>
      <c r="HO8" s="1493" t="s">
        <v>270</v>
      </c>
      <c r="HP8" s="1493" t="s">
        <v>639</v>
      </c>
      <c r="HQ8" s="1493" t="s">
        <v>1707</v>
      </c>
      <c r="HR8" s="1493" t="s">
        <v>1418</v>
      </c>
      <c r="HS8" s="1493" t="s">
        <v>1686</v>
      </c>
      <c r="HT8" s="1493" t="s">
        <v>1478</v>
      </c>
      <c r="HU8" s="1493" t="s">
        <v>2575</v>
      </c>
      <c r="HV8" s="1493" t="s">
        <v>814</v>
      </c>
      <c r="HW8" s="1493" t="s">
        <v>1185</v>
      </c>
      <c r="HX8" s="1493" t="s">
        <v>814</v>
      </c>
      <c r="HY8" s="1493" t="s">
        <v>133</v>
      </c>
      <c r="HZ8" s="1493" t="s">
        <v>134</v>
      </c>
      <c r="IA8" s="1493" t="s">
        <v>404</v>
      </c>
      <c r="IB8" s="1493" t="s">
        <v>405</v>
      </c>
      <c r="IC8" s="1493" t="s">
        <v>250</v>
      </c>
      <c r="ID8" s="1493" t="s">
        <v>2331</v>
      </c>
      <c r="IE8" s="1493" t="s">
        <v>2763</v>
      </c>
      <c r="IF8" s="1493" t="s">
        <v>814</v>
      </c>
      <c r="IG8" s="1493" t="s">
        <v>932</v>
      </c>
      <c r="IH8" s="1493" t="s">
        <v>2231</v>
      </c>
      <c r="II8" s="1493" t="s">
        <v>952</v>
      </c>
      <c r="IJ8" s="1493" t="s">
        <v>377</v>
      </c>
      <c r="IK8" s="1493" t="s">
        <v>1808</v>
      </c>
      <c r="IL8" s="1493" t="s">
        <v>1809</v>
      </c>
      <c r="IM8" s="1493" t="s">
        <v>2798</v>
      </c>
      <c r="IN8" s="1493" t="s">
        <v>814</v>
      </c>
      <c r="IO8" s="1493" t="s">
        <v>701</v>
      </c>
      <c r="IP8" s="1493" t="s">
        <v>2131</v>
      </c>
      <c r="IQ8" s="1493" t="s">
        <v>2799</v>
      </c>
      <c r="IR8" s="1493" t="s">
        <v>814</v>
      </c>
      <c r="IS8" s="1493" t="s">
        <v>2591</v>
      </c>
      <c r="IT8" s="1493" t="s">
        <v>814</v>
      </c>
      <c r="IU8" s="1493" t="s">
        <v>1642</v>
      </c>
      <c r="IV8" s="1493" t="s">
        <v>2033</v>
      </c>
    </row>
    <row r="9" spans="1:256">
      <c r="A9" s="1493" t="s">
        <v>1140</v>
      </c>
      <c r="B9" s="1493" t="s">
        <v>2143</v>
      </c>
      <c r="C9" s="1493" t="s">
        <v>2801</v>
      </c>
      <c r="D9" s="1493" t="s">
        <v>814</v>
      </c>
      <c r="E9" s="1493" t="s">
        <v>2683</v>
      </c>
      <c r="F9" s="1493" t="s">
        <v>814</v>
      </c>
      <c r="G9" s="1493" t="s">
        <v>2699</v>
      </c>
      <c r="H9" s="1493" t="s">
        <v>814</v>
      </c>
      <c r="I9" s="1493" t="s">
        <v>2390</v>
      </c>
      <c r="J9" s="1493" t="s">
        <v>653</v>
      </c>
      <c r="K9" s="1493" t="s">
        <v>1553</v>
      </c>
      <c r="L9" s="1493" t="s">
        <v>1554</v>
      </c>
      <c r="M9" s="1493" t="s">
        <v>2802</v>
      </c>
      <c r="N9" s="1493" t="s">
        <v>814</v>
      </c>
      <c r="O9" s="1493" t="s">
        <v>2169</v>
      </c>
      <c r="P9" s="1493" t="s">
        <v>814</v>
      </c>
      <c r="Q9" s="1493" t="s">
        <v>1165</v>
      </c>
      <c r="R9" s="1493" t="s">
        <v>464</v>
      </c>
      <c r="S9" s="1493" t="s">
        <v>1266</v>
      </c>
      <c r="T9" s="1493" t="s">
        <v>1435</v>
      </c>
      <c r="U9" s="1493" t="s">
        <v>1509</v>
      </c>
      <c r="V9" s="1493" t="s">
        <v>864</v>
      </c>
      <c r="W9" s="1493" t="s">
        <v>2529</v>
      </c>
      <c r="X9" s="1493" t="s">
        <v>814</v>
      </c>
      <c r="Y9" s="1493" t="s">
        <v>1868</v>
      </c>
      <c r="Z9" s="1493" t="s">
        <v>1869</v>
      </c>
      <c r="AA9" s="1493" t="s">
        <v>370</v>
      </c>
      <c r="AB9" s="1493" t="s">
        <v>1769</v>
      </c>
      <c r="AC9" s="1493" t="s">
        <v>2696</v>
      </c>
      <c r="AD9" s="1493" t="s">
        <v>814</v>
      </c>
      <c r="AE9" s="1493" t="s">
        <v>2803</v>
      </c>
      <c r="AF9" s="1493" t="s">
        <v>814</v>
      </c>
      <c r="AG9" s="1493" t="s">
        <v>2804</v>
      </c>
      <c r="AH9" s="1493" t="s">
        <v>814</v>
      </c>
      <c r="AI9" s="1493" t="s">
        <v>2805</v>
      </c>
      <c r="AJ9" s="1493" t="s">
        <v>814</v>
      </c>
      <c r="AK9" s="1493" t="s">
        <v>2806</v>
      </c>
      <c r="AL9" s="1493" t="s">
        <v>814</v>
      </c>
      <c r="AM9" s="1493" t="s">
        <v>2808</v>
      </c>
      <c r="AN9" s="1493" t="s">
        <v>814</v>
      </c>
      <c r="AO9" s="1493" t="s">
        <v>2809</v>
      </c>
      <c r="AP9" s="1493" t="s">
        <v>814</v>
      </c>
      <c r="AQ9" s="1493" t="s">
        <v>430</v>
      </c>
      <c r="AR9" s="1493" t="s">
        <v>814</v>
      </c>
      <c r="AS9" s="1493" t="s">
        <v>1625</v>
      </c>
      <c r="AT9" s="1493" t="s">
        <v>974</v>
      </c>
      <c r="AU9" s="1493" t="s">
        <v>2609</v>
      </c>
      <c r="AV9" s="1493" t="s">
        <v>814</v>
      </c>
      <c r="AW9" s="1493" t="s">
        <v>2810</v>
      </c>
      <c r="AX9" s="1493" t="s">
        <v>814</v>
      </c>
      <c r="AY9" s="1493" t="s">
        <v>1466</v>
      </c>
      <c r="AZ9" s="1493" t="s">
        <v>440</v>
      </c>
      <c r="BA9" s="1493" t="s">
        <v>1289</v>
      </c>
      <c r="BB9" s="1493" t="s">
        <v>1290</v>
      </c>
      <c r="BC9" s="1493" t="s">
        <v>1917</v>
      </c>
      <c r="BD9" s="1493" t="s">
        <v>2133</v>
      </c>
      <c r="BE9" s="1493" t="s">
        <v>2313</v>
      </c>
      <c r="BF9" s="1493" t="s">
        <v>628</v>
      </c>
      <c r="BG9" s="1493" t="s">
        <v>2811</v>
      </c>
      <c r="BH9" s="1493" t="s">
        <v>814</v>
      </c>
      <c r="BI9" s="1493" t="s">
        <v>1884</v>
      </c>
      <c r="BJ9" s="1493" t="s">
        <v>1713</v>
      </c>
      <c r="BK9" s="1493" t="s">
        <v>2743</v>
      </c>
      <c r="BL9" s="1493" t="s">
        <v>814</v>
      </c>
      <c r="BM9" s="1493" t="s">
        <v>1298</v>
      </c>
      <c r="BN9" s="1493" t="s">
        <v>2201</v>
      </c>
      <c r="BO9" s="1493" t="s">
        <v>1240</v>
      </c>
      <c r="BP9" s="1493" t="s">
        <v>814</v>
      </c>
      <c r="BQ9" s="1493" t="s">
        <v>2812</v>
      </c>
      <c r="BR9" s="1493" t="s">
        <v>814</v>
      </c>
      <c r="BS9" s="1493" t="s">
        <v>2311</v>
      </c>
      <c r="BT9" s="1493" t="s">
        <v>814</v>
      </c>
      <c r="BU9" s="1493" t="s">
        <v>1792</v>
      </c>
      <c r="BV9" s="1493" t="s">
        <v>1793</v>
      </c>
      <c r="BW9" s="1493" t="s">
        <v>2819</v>
      </c>
      <c r="BX9" s="1493" t="s">
        <v>814</v>
      </c>
      <c r="BY9" s="1493" t="s">
        <v>266</v>
      </c>
      <c r="BZ9" s="1493" t="s">
        <v>1434</v>
      </c>
      <c r="CA9" s="1493" t="s">
        <v>1460</v>
      </c>
      <c r="CB9" s="1493" t="s">
        <v>2078</v>
      </c>
      <c r="CC9" s="1493" t="s">
        <v>209</v>
      </c>
      <c r="CD9" s="1493" t="s">
        <v>1756</v>
      </c>
      <c r="CE9" s="1493" t="s">
        <v>2797</v>
      </c>
      <c r="CF9" s="1493" t="s">
        <v>814</v>
      </c>
      <c r="CG9" s="1493" t="s">
        <v>2815</v>
      </c>
      <c r="CH9" s="1493" t="s">
        <v>814</v>
      </c>
      <c r="CI9" s="1493" t="s">
        <v>2816</v>
      </c>
      <c r="CJ9" s="1493" t="s">
        <v>814</v>
      </c>
      <c r="CK9" s="1493" t="s">
        <v>431</v>
      </c>
      <c r="CL9" s="1493" t="s">
        <v>2121</v>
      </c>
      <c r="CM9" s="1493" t="s">
        <v>1513</v>
      </c>
      <c r="CN9" s="1493" t="s">
        <v>868</v>
      </c>
      <c r="CO9" s="1493" t="s">
        <v>1594</v>
      </c>
      <c r="CP9" s="1493" t="s">
        <v>1595</v>
      </c>
      <c r="CQ9" s="1493" t="s">
        <v>2817</v>
      </c>
      <c r="CR9" s="1493" t="s">
        <v>814</v>
      </c>
      <c r="CS9" s="1493" t="s">
        <v>2818</v>
      </c>
      <c r="CT9" s="1493" t="s">
        <v>814</v>
      </c>
      <c r="CU9" s="1493" t="s">
        <v>1781</v>
      </c>
      <c r="CV9" s="1493" t="s">
        <v>1782</v>
      </c>
      <c r="CW9" s="1493" t="s">
        <v>2535</v>
      </c>
      <c r="CX9" s="1493" t="s">
        <v>814</v>
      </c>
      <c r="CY9" s="1493" t="s">
        <v>2820</v>
      </c>
      <c r="CZ9" s="1493" t="s">
        <v>814</v>
      </c>
      <c r="DA9" s="1493" t="s">
        <v>2821</v>
      </c>
      <c r="DB9" s="1493" t="s">
        <v>814</v>
      </c>
      <c r="DC9" s="1493" t="s">
        <v>2822</v>
      </c>
      <c r="DD9" s="1493" t="s">
        <v>814</v>
      </c>
      <c r="DE9" s="1493" t="s">
        <v>150</v>
      </c>
      <c r="DF9" s="1493" t="s">
        <v>1143</v>
      </c>
      <c r="DG9" s="1493" t="s">
        <v>264</v>
      </c>
      <c r="DH9" s="1493" t="s">
        <v>1432</v>
      </c>
      <c r="DI9" s="1493" t="s">
        <v>1520</v>
      </c>
      <c r="DJ9" s="1493" t="s">
        <v>435</v>
      </c>
      <c r="DK9" s="1493" t="s">
        <v>930</v>
      </c>
      <c r="DL9" s="1493" t="s">
        <v>2212</v>
      </c>
      <c r="DM9" s="1493" t="s">
        <v>1063</v>
      </c>
      <c r="DN9" s="1493" t="s">
        <v>1859</v>
      </c>
      <c r="DO9" s="1493" t="s">
        <v>1208</v>
      </c>
      <c r="DP9" s="1493" t="s">
        <v>814</v>
      </c>
      <c r="DQ9" s="1493" t="s">
        <v>1525</v>
      </c>
      <c r="DR9" s="1493" t="s">
        <v>571</v>
      </c>
      <c r="DS9" s="1493" t="s">
        <v>1241</v>
      </c>
      <c r="DT9" s="1493" t="s">
        <v>2177</v>
      </c>
      <c r="DU9" s="1493" t="s">
        <v>281</v>
      </c>
      <c r="DV9" s="1493" t="s">
        <v>282</v>
      </c>
      <c r="DW9" s="1493" t="s">
        <v>673</v>
      </c>
      <c r="DX9" s="1493" t="s">
        <v>814</v>
      </c>
      <c r="DY9" s="1493" t="s">
        <v>925</v>
      </c>
      <c r="DZ9" s="1493" t="s">
        <v>2208</v>
      </c>
      <c r="EA9" s="1493" t="s">
        <v>926</v>
      </c>
      <c r="EB9" s="1493" t="s">
        <v>2209</v>
      </c>
      <c r="EC9" s="1493" t="s">
        <v>824</v>
      </c>
      <c r="ED9" s="1493" t="s">
        <v>1775</v>
      </c>
      <c r="EE9" s="1493" t="s">
        <v>928</v>
      </c>
      <c r="EF9" s="1493" t="s">
        <v>2211</v>
      </c>
      <c r="EG9" s="1493" t="s">
        <v>909</v>
      </c>
      <c r="EH9" s="1493" t="s">
        <v>578</v>
      </c>
      <c r="EI9" s="1493" t="s">
        <v>2823</v>
      </c>
      <c r="EJ9" s="1493" t="s">
        <v>814</v>
      </c>
      <c r="EK9" s="1493" t="s">
        <v>2824</v>
      </c>
      <c r="EL9" s="1493" t="s">
        <v>814</v>
      </c>
      <c r="EM9" s="1493" t="s">
        <v>2825</v>
      </c>
      <c r="EN9" s="1493" t="s">
        <v>814</v>
      </c>
      <c r="EO9" s="1493" t="s">
        <v>2301</v>
      </c>
      <c r="EP9" s="1493" t="s">
        <v>2113</v>
      </c>
      <c r="EQ9" s="1493" t="s">
        <v>2474</v>
      </c>
      <c r="ER9" s="1493" t="s">
        <v>814</v>
      </c>
      <c r="ES9" s="1493" t="s">
        <v>1568</v>
      </c>
      <c r="ET9" s="1493" t="s">
        <v>2054</v>
      </c>
      <c r="EU9" s="1493" t="s">
        <v>2827</v>
      </c>
      <c r="EV9" s="1493" t="s">
        <v>814</v>
      </c>
      <c r="EW9" s="1493" t="s">
        <v>1195</v>
      </c>
      <c r="EX9" s="1493" t="s">
        <v>1356</v>
      </c>
      <c r="EY9" s="1493" t="s">
        <v>733</v>
      </c>
      <c r="EZ9" s="1493" t="s">
        <v>734</v>
      </c>
      <c r="FA9" s="1493" t="s">
        <v>229</v>
      </c>
      <c r="FB9" s="1493" t="s">
        <v>1116</v>
      </c>
      <c r="FC9" s="1493" t="s">
        <v>2828</v>
      </c>
      <c r="FD9" s="1493" t="s">
        <v>814</v>
      </c>
      <c r="FE9" s="1493" t="s">
        <v>3050</v>
      </c>
      <c r="FF9" s="1493" t="s">
        <v>814</v>
      </c>
      <c r="FG9" s="1493" t="s">
        <v>561</v>
      </c>
      <c r="FH9" s="1493" t="s">
        <v>2046</v>
      </c>
      <c r="FI9" s="1493" t="s">
        <v>2830</v>
      </c>
      <c r="FJ9" s="1493" t="s">
        <v>814</v>
      </c>
      <c r="FK9" s="1493" t="s">
        <v>2831</v>
      </c>
      <c r="FL9" s="1493" t="s">
        <v>814</v>
      </c>
      <c r="FM9" s="1493" t="s">
        <v>1235</v>
      </c>
      <c r="FN9" s="1493" t="s">
        <v>1151</v>
      </c>
      <c r="FO9" s="1493" t="s">
        <v>2832</v>
      </c>
      <c r="FP9" s="1493" t="s">
        <v>814</v>
      </c>
      <c r="FQ9" s="1493" t="s">
        <v>1268</v>
      </c>
      <c r="FR9" s="1493" t="s">
        <v>1877</v>
      </c>
      <c r="FS9" s="1493" t="s">
        <v>1604</v>
      </c>
      <c r="FT9" s="1493" t="s">
        <v>814</v>
      </c>
      <c r="FU9" s="1493" t="s">
        <v>2834</v>
      </c>
      <c r="FV9" s="1493" t="s">
        <v>814</v>
      </c>
      <c r="FW9" s="1493" t="s">
        <v>1198</v>
      </c>
      <c r="FX9" s="1493" t="s">
        <v>1357</v>
      </c>
      <c r="FY9" s="1493" t="s">
        <v>939</v>
      </c>
      <c r="FZ9" s="1493" t="s">
        <v>291</v>
      </c>
      <c r="GA9" s="1493" t="s">
        <v>188</v>
      </c>
      <c r="GB9" s="1493" t="s">
        <v>1096</v>
      </c>
      <c r="GC9" s="1493" t="s">
        <v>2507</v>
      </c>
      <c r="GD9" s="1493" t="s">
        <v>814</v>
      </c>
      <c r="GE9" s="1493" t="s">
        <v>2836</v>
      </c>
      <c r="GF9" s="1493" t="s">
        <v>814</v>
      </c>
      <c r="GG9" s="1493" t="s">
        <v>2837</v>
      </c>
      <c r="GH9" s="1493" t="s">
        <v>814</v>
      </c>
      <c r="GI9" s="1493" t="s">
        <v>1569</v>
      </c>
      <c r="GJ9" s="1493" t="s">
        <v>814</v>
      </c>
      <c r="GK9" s="1493" t="s">
        <v>1065</v>
      </c>
      <c r="GL9" s="1493" t="s">
        <v>814</v>
      </c>
      <c r="GM9" s="1493" t="s">
        <v>2838</v>
      </c>
      <c r="GN9" s="1493" t="s">
        <v>814</v>
      </c>
      <c r="GO9" s="1493" t="s">
        <v>2839</v>
      </c>
      <c r="GP9" s="1493" t="s">
        <v>814</v>
      </c>
      <c r="GQ9" s="1493" t="s">
        <v>58</v>
      </c>
      <c r="GR9" s="1493" t="s">
        <v>455</v>
      </c>
      <c r="GS9" s="1493" t="s">
        <v>2841</v>
      </c>
      <c r="GT9" s="1493" t="s">
        <v>814</v>
      </c>
      <c r="GU9" s="1493" t="s">
        <v>1295</v>
      </c>
      <c r="GV9" s="1493" t="s">
        <v>1296</v>
      </c>
      <c r="GW9" s="1493" t="s">
        <v>1626</v>
      </c>
      <c r="GX9" s="1493" t="s">
        <v>971</v>
      </c>
      <c r="GY9" s="1493" t="s">
        <v>2216</v>
      </c>
      <c r="GZ9" s="1493" t="s">
        <v>38</v>
      </c>
      <c r="HA9" s="1493" t="s">
        <v>910</v>
      </c>
      <c r="HB9" s="1493" t="s">
        <v>2035</v>
      </c>
      <c r="HC9" s="1493" t="s">
        <v>2842</v>
      </c>
      <c r="HD9" s="1493" t="s">
        <v>814</v>
      </c>
      <c r="HE9" s="1493" t="s">
        <v>1468</v>
      </c>
      <c r="HF9" s="1493" t="s">
        <v>814</v>
      </c>
      <c r="HG9" s="1493" t="s">
        <v>676</v>
      </c>
      <c r="HH9" s="1493" t="s">
        <v>1720</v>
      </c>
      <c r="HI9" s="1493" t="s">
        <v>1946</v>
      </c>
      <c r="HJ9" s="1493" t="s">
        <v>1335</v>
      </c>
      <c r="HK9" s="1493" t="s">
        <v>775</v>
      </c>
      <c r="HL9" s="1493" t="s">
        <v>2154</v>
      </c>
      <c r="HM9" s="1493" t="s">
        <v>1605</v>
      </c>
      <c r="HN9" s="1493" t="s">
        <v>814</v>
      </c>
      <c r="HO9" s="1493" t="s">
        <v>1950</v>
      </c>
      <c r="HP9" s="1493" t="s">
        <v>1338</v>
      </c>
      <c r="HQ9" s="1493" t="s">
        <v>2843</v>
      </c>
      <c r="HR9" s="1493" t="s">
        <v>814</v>
      </c>
      <c r="HS9" s="1493" t="s">
        <v>2846</v>
      </c>
      <c r="HT9" s="1493" t="s">
        <v>814</v>
      </c>
      <c r="HU9" s="1493" t="s">
        <v>1955</v>
      </c>
      <c r="HV9" s="1493" t="s">
        <v>1339</v>
      </c>
      <c r="HW9" s="1493" t="s">
        <v>2847</v>
      </c>
      <c r="HX9" s="1493" t="s">
        <v>814</v>
      </c>
      <c r="HY9" s="1493" t="s">
        <v>2848</v>
      </c>
      <c r="HZ9" s="1493" t="s">
        <v>814</v>
      </c>
      <c r="IA9" s="1493" t="s">
        <v>2849</v>
      </c>
      <c r="IB9" s="1493" t="s">
        <v>814</v>
      </c>
      <c r="IC9" s="1493" t="s">
        <v>2850</v>
      </c>
      <c r="ID9" s="1493" t="s">
        <v>814</v>
      </c>
      <c r="IE9" s="1493" t="s">
        <v>1239</v>
      </c>
      <c r="IF9" s="1493" t="s">
        <v>2176</v>
      </c>
      <c r="IG9" s="1493" t="s">
        <v>2223</v>
      </c>
      <c r="IH9" s="1493" t="s">
        <v>852</v>
      </c>
      <c r="II9" s="1493" t="s">
        <v>2851</v>
      </c>
      <c r="IJ9" s="1493" t="s">
        <v>814</v>
      </c>
      <c r="IK9" s="1493" t="s">
        <v>2852</v>
      </c>
      <c r="IL9" s="1493" t="s">
        <v>814</v>
      </c>
      <c r="IM9" s="1493" t="s">
        <v>1260</v>
      </c>
      <c r="IN9" s="1493" t="s">
        <v>1807</v>
      </c>
      <c r="IO9" s="1493" t="s">
        <v>2853</v>
      </c>
      <c r="IP9" s="1493" t="s">
        <v>814</v>
      </c>
      <c r="IQ9" s="1493" t="s">
        <v>1166</v>
      </c>
      <c r="IR9" s="1493" t="s">
        <v>885</v>
      </c>
      <c r="IS9" s="1493" t="s">
        <v>2854</v>
      </c>
      <c r="IT9" s="1493" t="s">
        <v>814</v>
      </c>
      <c r="IU9" s="1493" t="s">
        <v>2855</v>
      </c>
      <c r="IV9" s="1493" t="s">
        <v>814</v>
      </c>
    </row>
    <row r="10" spans="1:256">
      <c r="A10" s="1493" t="s">
        <v>2856</v>
      </c>
      <c r="B10" s="1493" t="s">
        <v>814</v>
      </c>
      <c r="C10" s="1493" t="s">
        <v>2857</v>
      </c>
      <c r="D10" s="1493" t="s">
        <v>814</v>
      </c>
      <c r="E10" s="1493" t="s">
        <v>2858</v>
      </c>
      <c r="F10" s="1493" t="s">
        <v>814</v>
      </c>
      <c r="G10" s="1493" t="s">
        <v>1215</v>
      </c>
      <c r="H10" s="1493" t="s">
        <v>6</v>
      </c>
      <c r="I10" s="1493" t="s">
        <v>226</v>
      </c>
      <c r="J10" s="1493" t="s">
        <v>814</v>
      </c>
      <c r="K10" s="1493" t="s">
        <v>2605</v>
      </c>
      <c r="L10" s="1493" t="s">
        <v>814</v>
      </c>
      <c r="M10" s="1493" t="s">
        <v>1630</v>
      </c>
      <c r="N10" s="1493" t="s">
        <v>814</v>
      </c>
      <c r="O10" s="1493" t="s">
        <v>1192</v>
      </c>
      <c r="P10" s="1493" t="s">
        <v>21</v>
      </c>
      <c r="Q10" s="1493" t="s">
        <v>2318</v>
      </c>
      <c r="R10" s="1493" t="s">
        <v>814</v>
      </c>
      <c r="S10" s="1493" t="s">
        <v>2362</v>
      </c>
      <c r="T10" s="1493" t="s">
        <v>1877</v>
      </c>
      <c r="U10" s="1493" t="s">
        <v>1254</v>
      </c>
      <c r="V10" s="1493" t="s">
        <v>1485</v>
      </c>
      <c r="W10" s="1493" t="s">
        <v>1503</v>
      </c>
      <c r="X10" s="1493" t="s">
        <v>2195</v>
      </c>
      <c r="Y10" s="1493" t="s">
        <v>3038</v>
      </c>
      <c r="Z10" s="1493" t="s">
        <v>814</v>
      </c>
      <c r="AA10" s="1493" t="s">
        <v>2860</v>
      </c>
      <c r="AB10" s="1493" t="s">
        <v>814</v>
      </c>
      <c r="AC10" s="1493" t="s">
        <v>2315</v>
      </c>
      <c r="AD10" s="1493" t="s">
        <v>814</v>
      </c>
      <c r="AE10" s="1493" t="s">
        <v>365</v>
      </c>
      <c r="AF10" s="1493" t="s">
        <v>1765</v>
      </c>
      <c r="AG10" s="1493" t="s">
        <v>1909</v>
      </c>
      <c r="AH10" s="1493" t="s">
        <v>296</v>
      </c>
      <c r="AI10" s="1493" t="s">
        <v>2861</v>
      </c>
      <c r="AJ10" s="1493" t="s">
        <v>814</v>
      </c>
      <c r="AK10" s="1493" t="s">
        <v>1657</v>
      </c>
      <c r="AL10" s="1493" t="s">
        <v>134</v>
      </c>
      <c r="AM10" s="1493" t="s">
        <v>2228</v>
      </c>
      <c r="AN10" s="1493" t="s">
        <v>1393</v>
      </c>
      <c r="AO10" s="1493" t="s">
        <v>511</v>
      </c>
      <c r="AP10" s="1493" t="s">
        <v>2039</v>
      </c>
      <c r="AQ10" s="1493" t="s">
        <v>2862</v>
      </c>
      <c r="AR10" s="1493" t="s">
        <v>814</v>
      </c>
      <c r="AS10" s="1493" t="s">
        <v>2312</v>
      </c>
      <c r="AT10" s="1493" t="s">
        <v>1233</v>
      </c>
      <c r="AU10" s="1493" t="s">
        <v>727</v>
      </c>
      <c r="AV10" s="1493" t="s">
        <v>1332</v>
      </c>
      <c r="AW10" s="1493" t="s">
        <v>2726</v>
      </c>
      <c r="AX10" s="1493" t="s">
        <v>814</v>
      </c>
      <c r="AY10" s="1493" t="s">
        <v>899</v>
      </c>
      <c r="AZ10" s="1493" t="s">
        <v>2339</v>
      </c>
      <c r="BA10" s="1493" t="s">
        <v>2865</v>
      </c>
      <c r="BB10" s="1493" t="s">
        <v>814</v>
      </c>
      <c r="BC10" s="1493" t="s">
        <v>980</v>
      </c>
      <c r="BD10" s="1493" t="s">
        <v>2052</v>
      </c>
      <c r="BE10" s="1493" t="s">
        <v>2866</v>
      </c>
      <c r="BF10" s="1493" t="s">
        <v>814</v>
      </c>
      <c r="BG10" s="1493" t="s">
        <v>560</v>
      </c>
      <c r="BH10" s="1493" t="s">
        <v>814</v>
      </c>
      <c r="BI10" s="1493" t="s">
        <v>2867</v>
      </c>
      <c r="BJ10" s="1493" t="s">
        <v>814</v>
      </c>
      <c r="BK10" s="1493" t="s">
        <v>2868</v>
      </c>
      <c r="BL10" s="1493" t="s">
        <v>814</v>
      </c>
      <c r="BM10" s="1493" t="s">
        <v>2869</v>
      </c>
      <c r="BN10" s="1493" t="s">
        <v>814</v>
      </c>
      <c r="BO10" s="1493" t="s">
        <v>2010</v>
      </c>
      <c r="BP10" s="1493" t="s">
        <v>887</v>
      </c>
      <c r="BQ10" s="1493" t="s">
        <v>1257</v>
      </c>
      <c r="BR10" s="1493" t="s">
        <v>1488</v>
      </c>
      <c r="BS10" s="1493" t="s">
        <v>2870</v>
      </c>
      <c r="BT10" s="1493" t="s">
        <v>814</v>
      </c>
      <c r="BU10" s="1493" t="s">
        <v>2953</v>
      </c>
      <c r="BV10" s="1493" t="s">
        <v>814</v>
      </c>
      <c r="BW10" s="1493" t="s">
        <v>412</v>
      </c>
      <c r="BX10" s="1493" t="s">
        <v>413</v>
      </c>
      <c r="BY10" s="1493" t="s">
        <v>174</v>
      </c>
      <c r="BZ10" s="1493" t="s">
        <v>175</v>
      </c>
      <c r="CA10" s="1493" t="s">
        <v>2871</v>
      </c>
      <c r="CB10" s="1493" t="s">
        <v>814</v>
      </c>
      <c r="CC10" s="1493" t="s">
        <v>1886</v>
      </c>
      <c r="CD10" s="1493" t="s">
        <v>1714</v>
      </c>
      <c r="CE10" s="1493" t="s">
        <v>2089</v>
      </c>
      <c r="CF10" s="1493" t="s">
        <v>2090</v>
      </c>
      <c r="CG10" s="1493" t="s">
        <v>1864</v>
      </c>
      <c r="CH10" s="1493" t="s">
        <v>335</v>
      </c>
      <c r="CI10" s="1493" t="s">
        <v>1783</v>
      </c>
      <c r="CJ10" s="1493" t="s">
        <v>1784</v>
      </c>
      <c r="CK10" s="1493" t="s">
        <v>2075</v>
      </c>
      <c r="CL10" s="1493" t="s">
        <v>1846</v>
      </c>
      <c r="CM10" s="1493" t="s">
        <v>381</v>
      </c>
      <c r="CN10" s="1493" t="s">
        <v>391</v>
      </c>
      <c r="CO10" s="1493" t="s">
        <v>231</v>
      </c>
      <c r="CP10" s="1493" t="s">
        <v>2184</v>
      </c>
      <c r="CQ10" s="1493" t="s">
        <v>1060</v>
      </c>
      <c r="CR10" s="1493" t="s">
        <v>1857</v>
      </c>
      <c r="CS10" s="1493" t="s">
        <v>1048</v>
      </c>
      <c r="CT10" s="1493" t="s">
        <v>814</v>
      </c>
      <c r="CU10" s="1493" t="s">
        <v>1137</v>
      </c>
      <c r="CV10" s="1493" t="s">
        <v>2140</v>
      </c>
      <c r="CW10" s="1493" t="s">
        <v>2633</v>
      </c>
      <c r="CX10" s="1493" t="s">
        <v>814</v>
      </c>
      <c r="CY10" s="1493" t="s">
        <v>2872</v>
      </c>
      <c r="CZ10" s="1493" t="s">
        <v>814</v>
      </c>
      <c r="DA10" s="1493" t="s">
        <v>1638</v>
      </c>
      <c r="DB10" s="1493" t="s">
        <v>2029</v>
      </c>
      <c r="DC10" s="1493" t="s">
        <v>1303</v>
      </c>
      <c r="DD10" s="1493" t="s">
        <v>323</v>
      </c>
      <c r="DE10" s="1493" t="s">
        <v>1678</v>
      </c>
      <c r="DF10" s="1493" t="s">
        <v>1412</v>
      </c>
      <c r="DG10" s="1493" t="s">
        <v>1655</v>
      </c>
      <c r="DH10" s="1493" t="s">
        <v>1439</v>
      </c>
      <c r="DI10" s="1493" t="s">
        <v>2292</v>
      </c>
      <c r="DJ10" s="1493" t="s">
        <v>1108</v>
      </c>
      <c r="DK10" s="1493" t="s">
        <v>2873</v>
      </c>
      <c r="DL10" s="1493" t="s">
        <v>814</v>
      </c>
      <c r="DM10" s="1493" t="s">
        <v>1252</v>
      </c>
      <c r="DN10" s="1493" t="s">
        <v>1483</v>
      </c>
      <c r="DO10" s="1493" t="s">
        <v>1689</v>
      </c>
      <c r="DP10" s="1493" t="s">
        <v>1417</v>
      </c>
      <c r="DQ10" s="1493" t="s">
        <v>1697</v>
      </c>
      <c r="DR10" s="1493" t="s">
        <v>1698</v>
      </c>
      <c r="DS10" s="1493" t="s">
        <v>244</v>
      </c>
      <c r="DT10" s="1493" t="s">
        <v>1399</v>
      </c>
      <c r="DU10" s="1493" t="s">
        <v>2874</v>
      </c>
      <c r="DV10" s="1493" t="s">
        <v>814</v>
      </c>
      <c r="DW10" s="1493" t="s">
        <v>519</v>
      </c>
      <c r="DX10" s="1493" t="s">
        <v>520</v>
      </c>
      <c r="DY10" s="1493" t="s">
        <v>41</v>
      </c>
      <c r="DZ10" s="1493" t="s">
        <v>814</v>
      </c>
      <c r="EA10" s="1493" t="s">
        <v>1462</v>
      </c>
      <c r="EB10" s="1493" t="s">
        <v>971</v>
      </c>
      <c r="EC10" s="1493" t="s">
        <v>735</v>
      </c>
      <c r="ED10" s="1493" t="s">
        <v>736</v>
      </c>
      <c r="EE10" s="1493" t="s">
        <v>2178</v>
      </c>
      <c r="EF10" s="1493" t="s">
        <v>1112</v>
      </c>
      <c r="EG10" s="1493" t="s">
        <v>879</v>
      </c>
      <c r="EH10" s="1493" t="s">
        <v>2327</v>
      </c>
      <c r="EI10" s="1493" t="s">
        <v>740</v>
      </c>
      <c r="EJ10" s="1493" t="s">
        <v>741</v>
      </c>
      <c r="EK10" s="1493" t="s">
        <v>1186</v>
      </c>
      <c r="EL10" s="1493" t="s">
        <v>1428</v>
      </c>
      <c r="EM10" s="1493" t="s">
        <v>720</v>
      </c>
      <c r="EN10" s="1493" t="s">
        <v>814</v>
      </c>
      <c r="EO10" s="1493" t="s">
        <v>512</v>
      </c>
      <c r="EP10" s="1493" t="s">
        <v>814</v>
      </c>
      <c r="EQ10" s="1493" t="s">
        <v>495</v>
      </c>
      <c r="ER10" s="1493" t="s">
        <v>1478</v>
      </c>
      <c r="ES10" s="1493" t="s">
        <v>1184</v>
      </c>
      <c r="ET10" s="1493" t="s">
        <v>1427</v>
      </c>
      <c r="EU10" s="1493" t="s">
        <v>1677</v>
      </c>
      <c r="EV10" s="1493" t="s">
        <v>1411</v>
      </c>
      <c r="EW10" s="1493" t="s">
        <v>1598</v>
      </c>
      <c r="EX10" s="1493" t="s">
        <v>961</v>
      </c>
      <c r="EY10" s="1493" t="s">
        <v>2877</v>
      </c>
      <c r="EZ10" s="1493" t="s">
        <v>814</v>
      </c>
      <c r="FA10" s="1493" t="s">
        <v>2878</v>
      </c>
      <c r="FB10" s="1493" t="s">
        <v>814</v>
      </c>
      <c r="FC10" s="1493" t="s">
        <v>2168</v>
      </c>
      <c r="FD10" s="1493" t="s">
        <v>1724</v>
      </c>
      <c r="FE10" s="1493" t="s">
        <v>2879</v>
      </c>
      <c r="FF10" s="1493" t="s">
        <v>814</v>
      </c>
      <c r="FG10" s="1493" t="s">
        <v>189</v>
      </c>
      <c r="FH10" s="1493" t="s">
        <v>1097</v>
      </c>
      <c r="FI10" s="1493" t="s">
        <v>2880</v>
      </c>
      <c r="FJ10" s="1493" t="s">
        <v>814</v>
      </c>
      <c r="FK10" s="1493" t="s">
        <v>168</v>
      </c>
      <c r="FL10" s="1493" t="s">
        <v>814</v>
      </c>
      <c r="FM10" s="1493" t="s">
        <v>1304</v>
      </c>
      <c r="FN10" s="1493" t="s">
        <v>650</v>
      </c>
      <c r="FO10" s="1493" t="s">
        <v>2881</v>
      </c>
      <c r="FP10" s="1493" t="s">
        <v>814</v>
      </c>
      <c r="FQ10" s="1493" t="s">
        <v>934</v>
      </c>
      <c r="FR10" s="1493" t="s">
        <v>1128</v>
      </c>
      <c r="FS10" s="1493" t="s">
        <v>2882</v>
      </c>
      <c r="FT10" s="1493" t="s">
        <v>814</v>
      </c>
      <c r="FU10" s="1493" t="s">
        <v>941</v>
      </c>
      <c r="FV10" s="1493" t="s">
        <v>293</v>
      </c>
      <c r="FW10" s="1493" t="s">
        <v>223</v>
      </c>
      <c r="FX10" s="1493" t="s">
        <v>982</v>
      </c>
      <c r="FY10" s="1493" t="s">
        <v>2883</v>
      </c>
      <c r="FZ10" s="1493" t="s">
        <v>814</v>
      </c>
      <c r="GA10" s="1493" t="s">
        <v>190</v>
      </c>
      <c r="GB10" s="1493" t="s">
        <v>814</v>
      </c>
      <c r="GC10" s="1493" t="s">
        <v>2884</v>
      </c>
      <c r="GD10" s="1493" t="s">
        <v>814</v>
      </c>
      <c r="GE10" s="1493" t="s">
        <v>2885</v>
      </c>
      <c r="GF10" s="1493" t="s">
        <v>814</v>
      </c>
      <c r="GG10" s="1493" t="s">
        <v>1671</v>
      </c>
      <c r="GH10" s="1493" t="s">
        <v>1406</v>
      </c>
      <c r="GI10" s="1493" t="s">
        <v>172</v>
      </c>
      <c r="GJ10" s="1493" t="s">
        <v>2151</v>
      </c>
      <c r="GK10" s="1493" t="s">
        <v>2377</v>
      </c>
      <c r="GL10" s="1493" t="s">
        <v>301</v>
      </c>
      <c r="GM10" s="1493" t="s">
        <v>1560</v>
      </c>
      <c r="GN10" s="1493" t="s">
        <v>1561</v>
      </c>
      <c r="GO10" s="1493" t="s">
        <v>2886</v>
      </c>
      <c r="GP10" s="1493" t="s">
        <v>814</v>
      </c>
      <c r="GQ10" s="1493" t="s">
        <v>2084</v>
      </c>
      <c r="GR10" s="1493" t="s">
        <v>1326</v>
      </c>
      <c r="GS10" s="1493" t="s">
        <v>1510</v>
      </c>
      <c r="GT10" s="1493" t="s">
        <v>865</v>
      </c>
      <c r="GU10" s="1493" t="s">
        <v>1162</v>
      </c>
      <c r="GV10" s="1493" t="s">
        <v>461</v>
      </c>
      <c r="GW10" s="1493" t="s">
        <v>2887</v>
      </c>
      <c r="GX10" s="1493" t="s">
        <v>814</v>
      </c>
      <c r="GY10" s="1493" t="s">
        <v>2061</v>
      </c>
      <c r="GZ10" s="1493" t="s">
        <v>967</v>
      </c>
      <c r="HA10" s="1493" t="s">
        <v>902</v>
      </c>
      <c r="HB10" s="1493" t="s">
        <v>814</v>
      </c>
      <c r="HC10" s="1493" t="s">
        <v>1515</v>
      </c>
      <c r="HD10" s="1493" t="s">
        <v>870</v>
      </c>
      <c r="HE10" s="1493" t="s">
        <v>1236</v>
      </c>
      <c r="HF10" s="1493" t="s">
        <v>1105</v>
      </c>
      <c r="HG10" s="1493" t="s">
        <v>2889</v>
      </c>
      <c r="HH10" s="1493" t="s">
        <v>814</v>
      </c>
      <c r="HI10" s="1493" t="s">
        <v>237</v>
      </c>
      <c r="HJ10" s="1493" t="s">
        <v>649</v>
      </c>
      <c r="HK10" s="1493" t="s">
        <v>2890</v>
      </c>
      <c r="HL10" s="1493" t="s">
        <v>814</v>
      </c>
      <c r="HM10" s="1493" t="s">
        <v>1294</v>
      </c>
      <c r="HN10" s="1493" t="s">
        <v>1478</v>
      </c>
      <c r="HO10" s="1493" t="s">
        <v>2891</v>
      </c>
      <c r="HP10" s="1493" t="s">
        <v>814</v>
      </c>
      <c r="HQ10" s="1493" t="s">
        <v>2892</v>
      </c>
      <c r="HR10" s="1493" t="s">
        <v>814</v>
      </c>
      <c r="HS10" s="1493" t="s">
        <v>2893</v>
      </c>
      <c r="HT10" s="1493" t="s">
        <v>814</v>
      </c>
      <c r="HU10" s="1493" t="s">
        <v>2894</v>
      </c>
      <c r="HV10" s="1493" t="s">
        <v>814</v>
      </c>
      <c r="HW10" s="1493" t="s">
        <v>2896</v>
      </c>
      <c r="HX10" s="1493" t="s">
        <v>814</v>
      </c>
      <c r="HY10" s="1493" t="s">
        <v>2319</v>
      </c>
      <c r="HZ10" s="1493" t="s">
        <v>2323</v>
      </c>
      <c r="IA10" s="1493" t="s">
        <v>1473</v>
      </c>
      <c r="IB10" s="1493" t="s">
        <v>1474</v>
      </c>
      <c r="IC10" s="1493" t="s">
        <v>749</v>
      </c>
      <c r="ID10" s="1493" t="s">
        <v>1344</v>
      </c>
      <c r="IE10" s="1493" t="s">
        <v>2897</v>
      </c>
      <c r="IF10" s="1493" t="s">
        <v>814</v>
      </c>
      <c r="IG10" s="1493" t="s">
        <v>287</v>
      </c>
      <c r="IH10" s="1493" t="s">
        <v>647</v>
      </c>
      <c r="II10" s="1493" t="s">
        <v>1963</v>
      </c>
      <c r="IJ10" s="1493" t="s">
        <v>1964</v>
      </c>
      <c r="IK10" s="1493" t="s">
        <v>2898</v>
      </c>
      <c r="IL10" s="1493" t="s">
        <v>814</v>
      </c>
      <c r="IM10" s="1493" t="s">
        <v>2378</v>
      </c>
      <c r="IN10" s="1493" t="s">
        <v>1441</v>
      </c>
      <c r="IO10" s="1493" t="s">
        <v>2899</v>
      </c>
      <c r="IP10" s="1493" t="s">
        <v>814</v>
      </c>
      <c r="IQ10" s="1493" t="s">
        <v>2900</v>
      </c>
      <c r="IR10" s="1493" t="s">
        <v>814</v>
      </c>
      <c r="IS10" s="1493" t="s">
        <v>2901</v>
      </c>
      <c r="IT10" s="1493" t="s">
        <v>814</v>
      </c>
      <c r="IU10" s="1493" t="s">
        <v>2298</v>
      </c>
      <c r="IV10" s="1493" t="s">
        <v>2175</v>
      </c>
    </row>
    <row r="11" spans="1:256">
      <c r="A11" s="1493" t="s">
        <v>2902</v>
      </c>
      <c r="B11" s="1493" t="s">
        <v>814</v>
      </c>
      <c r="C11" s="1493" t="s">
        <v>2903</v>
      </c>
      <c r="D11" s="1493" t="s">
        <v>814</v>
      </c>
      <c r="E11" s="1493" t="s">
        <v>2905</v>
      </c>
      <c r="F11" s="1493" t="s">
        <v>814</v>
      </c>
      <c r="G11" s="1493" t="s">
        <v>1189</v>
      </c>
      <c r="H11" s="1493" t="s">
        <v>1354</v>
      </c>
      <c r="I11" s="1493" t="s">
        <v>2906</v>
      </c>
      <c r="J11" s="1493" t="s">
        <v>814</v>
      </c>
      <c r="K11" s="1493" t="s">
        <v>1182</v>
      </c>
      <c r="L11" s="1493" t="s">
        <v>1425</v>
      </c>
      <c r="M11" s="1493" t="s">
        <v>2907</v>
      </c>
      <c r="N11" s="1493" t="s">
        <v>814</v>
      </c>
      <c r="O11" s="1493" t="s">
        <v>1052</v>
      </c>
      <c r="P11" s="1493" t="s">
        <v>814</v>
      </c>
      <c r="Q11" s="1493" t="s">
        <v>422</v>
      </c>
      <c r="R11" s="1493" t="s">
        <v>1801</v>
      </c>
      <c r="S11" s="1493" t="s">
        <v>2909</v>
      </c>
      <c r="T11" s="1493" t="s">
        <v>814</v>
      </c>
      <c r="U11" s="1493" t="s">
        <v>1271</v>
      </c>
      <c r="V11" s="1493" t="s">
        <v>849</v>
      </c>
      <c r="W11" s="1493" t="s">
        <v>2910</v>
      </c>
      <c r="X11" s="1493" t="s">
        <v>814</v>
      </c>
      <c r="Y11" s="1493" t="s">
        <v>2911</v>
      </c>
      <c r="Z11" s="1493" t="s">
        <v>814</v>
      </c>
      <c r="AA11" s="1493" t="s">
        <v>2912</v>
      </c>
      <c r="AB11" s="1493" t="s">
        <v>814</v>
      </c>
      <c r="AC11" s="1493" t="s">
        <v>2002</v>
      </c>
      <c r="AD11" s="1493" t="s">
        <v>2053</v>
      </c>
      <c r="AE11" s="1493" t="s">
        <v>2913</v>
      </c>
      <c r="AF11" s="1493" t="s">
        <v>814</v>
      </c>
      <c r="AG11" s="1493" t="s">
        <v>2914</v>
      </c>
      <c r="AH11" s="1493" t="s">
        <v>814</v>
      </c>
      <c r="AI11" s="1493" t="s">
        <v>1748</v>
      </c>
      <c r="AJ11" s="1493" t="s">
        <v>2157</v>
      </c>
      <c r="AK11" s="1493" t="s">
        <v>2915</v>
      </c>
      <c r="AL11" s="1493" t="s">
        <v>814</v>
      </c>
      <c r="AM11" s="1493" t="s">
        <v>267</v>
      </c>
      <c r="AN11" s="1493" t="s">
        <v>1435</v>
      </c>
      <c r="AO11" s="1493" t="s">
        <v>1777</v>
      </c>
      <c r="AP11" s="1493" t="s">
        <v>1778</v>
      </c>
      <c r="AQ11" s="1493" t="s">
        <v>2916</v>
      </c>
      <c r="AR11" s="1493" t="s">
        <v>814</v>
      </c>
      <c r="AS11" s="1493" t="s">
        <v>1299</v>
      </c>
      <c r="AT11" s="1493" t="s">
        <v>2202</v>
      </c>
      <c r="AU11" s="1493" t="s">
        <v>2539</v>
      </c>
      <c r="AV11" s="1493" t="s">
        <v>814</v>
      </c>
      <c r="AW11" s="1493" t="s">
        <v>2281</v>
      </c>
      <c r="AX11" s="1493" t="s">
        <v>387</v>
      </c>
      <c r="AY11" s="1493" t="s">
        <v>2918</v>
      </c>
      <c r="AZ11" s="1493" t="s">
        <v>814</v>
      </c>
      <c r="BA11" s="1493" t="s">
        <v>308</v>
      </c>
      <c r="BB11" s="1493" t="s">
        <v>1403</v>
      </c>
      <c r="BC11" s="1493" t="s">
        <v>2919</v>
      </c>
      <c r="BD11" s="1493" t="s">
        <v>814</v>
      </c>
      <c r="BE11" s="1493" t="s">
        <v>2813</v>
      </c>
      <c r="BF11" s="1493" t="s">
        <v>814</v>
      </c>
      <c r="BG11" s="1493" t="s">
        <v>364</v>
      </c>
      <c r="BH11" s="1493" t="s">
        <v>1764</v>
      </c>
      <c r="BI11" s="1493" t="s">
        <v>425</v>
      </c>
      <c r="BJ11" s="1493" t="s">
        <v>814</v>
      </c>
      <c r="BK11" s="1493" t="s">
        <v>428</v>
      </c>
      <c r="BL11" s="1493" t="s">
        <v>2119</v>
      </c>
      <c r="BM11" s="1493" t="s">
        <v>821</v>
      </c>
      <c r="BN11" s="1493" t="s">
        <v>1773</v>
      </c>
      <c r="BO11" s="1493" t="s">
        <v>1708</v>
      </c>
      <c r="BP11" s="1493" t="s">
        <v>762</v>
      </c>
      <c r="BQ11" s="1493" t="s">
        <v>2728</v>
      </c>
      <c r="BR11" s="1493" t="s">
        <v>814</v>
      </c>
      <c r="BS11" s="1493" t="s">
        <v>1680</v>
      </c>
      <c r="BT11" s="1493" t="s">
        <v>814</v>
      </c>
      <c r="BU11" s="1493" t="s">
        <v>2923</v>
      </c>
      <c r="BV11" s="1493" t="s">
        <v>814</v>
      </c>
      <c r="BW11" s="1493" t="s">
        <v>2924</v>
      </c>
      <c r="BX11" s="1493" t="s">
        <v>814</v>
      </c>
      <c r="BY11" s="1493" t="s">
        <v>713</v>
      </c>
      <c r="BZ11" s="1493" t="s">
        <v>1731</v>
      </c>
      <c r="CA11" s="1493" t="s">
        <v>2925</v>
      </c>
      <c r="CB11" s="1493" t="s">
        <v>814</v>
      </c>
      <c r="CC11" s="1493" t="s">
        <v>1948</v>
      </c>
      <c r="CD11" s="1493" t="s">
        <v>814</v>
      </c>
      <c r="CE11" s="1493" t="s">
        <v>1602</v>
      </c>
      <c r="CF11" s="1493" t="s">
        <v>1807</v>
      </c>
      <c r="CG11" s="1493" t="s">
        <v>2927</v>
      </c>
      <c r="CH11" s="1493" t="s">
        <v>814</v>
      </c>
      <c r="CI11" s="1493" t="s">
        <v>2928</v>
      </c>
      <c r="CJ11" s="1493" t="s">
        <v>814</v>
      </c>
      <c r="CK11" s="1493" t="s">
        <v>2929</v>
      </c>
      <c r="CL11" s="1493" t="s">
        <v>814</v>
      </c>
      <c r="CM11" s="1493" t="s">
        <v>2930</v>
      </c>
      <c r="CN11" s="1493" t="s">
        <v>814</v>
      </c>
      <c r="CO11" s="1493" t="s">
        <v>350</v>
      </c>
      <c r="CP11" s="1493" t="s">
        <v>351</v>
      </c>
      <c r="CQ11" s="1493" t="s">
        <v>13</v>
      </c>
      <c r="CR11" s="1493" t="s">
        <v>14</v>
      </c>
      <c r="CS11" s="1493" t="s">
        <v>2183</v>
      </c>
      <c r="CT11" s="1493" t="s">
        <v>1719</v>
      </c>
      <c r="CU11" s="1493" t="s">
        <v>1635</v>
      </c>
      <c r="CV11" s="1493" t="s">
        <v>814</v>
      </c>
      <c r="CW11" s="1493" t="s">
        <v>19</v>
      </c>
      <c r="CX11" s="1493" t="s">
        <v>20</v>
      </c>
      <c r="CY11" s="1493" t="s">
        <v>1203</v>
      </c>
      <c r="CZ11" s="1493" t="s">
        <v>3</v>
      </c>
      <c r="DA11" s="1493" t="s">
        <v>322</v>
      </c>
      <c r="DB11" s="1493" t="s">
        <v>323</v>
      </c>
      <c r="DC11" s="1493" t="s">
        <v>75</v>
      </c>
      <c r="DD11" s="1493" t="s">
        <v>76</v>
      </c>
      <c r="DE11" s="1493" t="s">
        <v>2931</v>
      </c>
      <c r="DF11" s="1493" t="s">
        <v>814</v>
      </c>
      <c r="DG11" s="1493" t="s">
        <v>1599</v>
      </c>
      <c r="DH11" s="1493" t="s">
        <v>1807</v>
      </c>
      <c r="DI11" s="1493" t="s">
        <v>2932</v>
      </c>
      <c r="DJ11" s="1493" t="s">
        <v>814</v>
      </c>
      <c r="DK11" s="1493" t="s">
        <v>947</v>
      </c>
      <c r="DL11" s="1493" t="s">
        <v>814</v>
      </c>
      <c r="DM11" s="1493" t="s">
        <v>2646</v>
      </c>
      <c r="DN11" s="1493" t="s">
        <v>814</v>
      </c>
      <c r="DO11" s="1493" t="s">
        <v>2934</v>
      </c>
      <c r="DP11" s="1493" t="s">
        <v>814</v>
      </c>
      <c r="DQ11" s="1493" t="s">
        <v>2597</v>
      </c>
      <c r="DR11" s="1493" t="s">
        <v>814</v>
      </c>
      <c r="DS11" s="1493" t="s">
        <v>2936</v>
      </c>
      <c r="DT11" s="1493" t="s">
        <v>814</v>
      </c>
      <c r="DU11" s="1493" t="s">
        <v>2937</v>
      </c>
      <c r="DV11" s="1493" t="s">
        <v>814</v>
      </c>
      <c r="DW11" s="1493" t="s">
        <v>2938</v>
      </c>
      <c r="DX11" s="1493" t="s">
        <v>814</v>
      </c>
      <c r="DY11" s="1493" t="s">
        <v>171</v>
      </c>
      <c r="DZ11" s="1493" t="s">
        <v>2150</v>
      </c>
      <c r="EA11" s="1493" t="s">
        <v>1077</v>
      </c>
      <c r="EB11" s="1493" t="s">
        <v>2336</v>
      </c>
      <c r="EC11" s="1493" t="s">
        <v>2940</v>
      </c>
      <c r="ED11" s="1493" t="s">
        <v>814</v>
      </c>
      <c r="EE11" s="1493" t="s">
        <v>1958</v>
      </c>
      <c r="EF11" s="1493" t="s">
        <v>1341</v>
      </c>
      <c r="EG11" s="1493" t="s">
        <v>1743</v>
      </c>
      <c r="EH11" s="1493" t="s">
        <v>321</v>
      </c>
      <c r="EI11" s="1493" t="s">
        <v>2941</v>
      </c>
      <c r="EJ11" s="1493" t="s">
        <v>814</v>
      </c>
      <c r="EK11" s="1493" t="s">
        <v>1779</v>
      </c>
      <c r="EL11" s="1493" t="s">
        <v>1780</v>
      </c>
      <c r="EM11" s="1493" t="s">
        <v>2942</v>
      </c>
      <c r="EN11" s="1493" t="s">
        <v>814</v>
      </c>
      <c r="EO11" s="1493" t="s">
        <v>2943</v>
      </c>
      <c r="EP11" s="1493" t="s">
        <v>814</v>
      </c>
      <c r="EQ11" s="1493" t="s">
        <v>2944</v>
      </c>
      <c r="ER11" s="1493" t="s">
        <v>814</v>
      </c>
      <c r="ES11" s="1493" t="s">
        <v>1885</v>
      </c>
      <c r="ET11" s="1493" t="s">
        <v>393</v>
      </c>
      <c r="EU11" s="1493" t="s">
        <v>2945</v>
      </c>
      <c r="EV11" s="1493" t="s">
        <v>814</v>
      </c>
      <c r="EW11" s="1493" t="s">
        <v>1555</v>
      </c>
      <c r="EX11" s="1493" t="s">
        <v>156</v>
      </c>
      <c r="EY11" s="1493" t="s">
        <v>2946</v>
      </c>
      <c r="EZ11" s="1493" t="s">
        <v>814</v>
      </c>
      <c r="FA11" s="1493" t="s">
        <v>2947</v>
      </c>
      <c r="FB11" s="1493" t="s">
        <v>814</v>
      </c>
      <c r="FC11" s="1493" t="s">
        <v>1878</v>
      </c>
      <c r="FD11" s="1493" t="s">
        <v>1879</v>
      </c>
      <c r="FE11" s="1493" t="s">
        <v>288</v>
      </c>
      <c r="FF11" s="1493" t="s">
        <v>1728</v>
      </c>
      <c r="FG11" s="1493" t="s">
        <v>708</v>
      </c>
      <c r="FH11" s="1493" t="s">
        <v>814</v>
      </c>
      <c r="FI11" s="1493" t="s">
        <v>1573</v>
      </c>
      <c r="FJ11" s="1493" t="s">
        <v>1435</v>
      </c>
      <c r="FK11" s="1493" t="s">
        <v>1656</v>
      </c>
      <c r="FL11" s="1493" t="s">
        <v>1440</v>
      </c>
      <c r="FM11" s="1493" t="s">
        <v>2948</v>
      </c>
      <c r="FN11" s="1493" t="s">
        <v>814</v>
      </c>
      <c r="FO11" s="1493" t="s">
        <v>2949</v>
      </c>
      <c r="FP11" s="1493" t="s">
        <v>814</v>
      </c>
      <c r="FQ11" s="1493" t="s">
        <v>878</v>
      </c>
      <c r="FR11" s="1493" t="s">
        <v>2326</v>
      </c>
      <c r="FS11" s="1493" t="s">
        <v>2320</v>
      </c>
      <c r="FT11" s="1493" t="s">
        <v>2324</v>
      </c>
      <c r="FU11" s="1493" t="s">
        <v>2950</v>
      </c>
      <c r="FV11" s="1493" t="s">
        <v>814</v>
      </c>
      <c r="FW11" s="1493" t="s">
        <v>2088</v>
      </c>
      <c r="FX11" s="1493" t="s">
        <v>964</v>
      </c>
      <c r="FY11" s="1493" t="s">
        <v>380</v>
      </c>
      <c r="FZ11" s="1493" t="s">
        <v>390</v>
      </c>
      <c r="GA11" s="1493" t="s">
        <v>704</v>
      </c>
      <c r="GB11" s="1493" t="s">
        <v>1402</v>
      </c>
      <c r="GC11" s="1493" t="s">
        <v>1505</v>
      </c>
      <c r="GD11" s="1493" t="s">
        <v>1880</v>
      </c>
      <c r="GE11" s="1493" t="s">
        <v>1870</v>
      </c>
      <c r="GF11" s="1493" t="s">
        <v>2197</v>
      </c>
      <c r="GG11" s="1493" t="s">
        <v>2952</v>
      </c>
      <c r="GH11" s="1493" t="s">
        <v>814</v>
      </c>
      <c r="GI11" s="1493" t="s">
        <v>2954</v>
      </c>
      <c r="GJ11" s="1493" t="s">
        <v>814</v>
      </c>
      <c r="GK11" s="1493" t="s">
        <v>2955</v>
      </c>
      <c r="GL11" s="1493" t="s">
        <v>814</v>
      </c>
      <c r="GM11" s="1493" t="s">
        <v>2956</v>
      </c>
      <c r="GN11" s="1493" t="s">
        <v>814</v>
      </c>
      <c r="GO11" s="1493" t="s">
        <v>897</v>
      </c>
      <c r="GP11" s="1493" t="s">
        <v>814</v>
      </c>
      <c r="GQ11" s="1493" t="s">
        <v>394</v>
      </c>
      <c r="GR11" s="1493" t="s">
        <v>395</v>
      </c>
      <c r="GS11" s="1493" t="s">
        <v>1076</v>
      </c>
      <c r="GT11" s="1493" t="s">
        <v>2335</v>
      </c>
      <c r="GU11" s="1493" t="s">
        <v>2957</v>
      </c>
      <c r="GV11" s="1493" t="s">
        <v>814</v>
      </c>
      <c r="GW11" s="1493" t="s">
        <v>2958</v>
      </c>
      <c r="GX11" s="1493" t="s">
        <v>814</v>
      </c>
      <c r="GY11" s="1493" t="s">
        <v>2960</v>
      </c>
      <c r="GZ11" s="1493" t="s">
        <v>814</v>
      </c>
      <c r="HA11" s="1493" t="s">
        <v>2961</v>
      </c>
      <c r="HB11" s="1493" t="s">
        <v>814</v>
      </c>
      <c r="HC11" s="1493" t="s">
        <v>1199</v>
      </c>
      <c r="HD11" s="1493" t="s">
        <v>1358</v>
      </c>
      <c r="HE11" s="1493" t="s">
        <v>2962</v>
      </c>
      <c r="HF11" s="1493" t="s">
        <v>814</v>
      </c>
      <c r="HG11" s="1493" t="s">
        <v>1152</v>
      </c>
      <c r="HH11" s="1493" t="s">
        <v>1153</v>
      </c>
      <c r="HI11" s="1493" t="s">
        <v>2963</v>
      </c>
      <c r="HJ11" s="1493" t="s">
        <v>814</v>
      </c>
      <c r="HK11" s="1493" t="s">
        <v>1270</v>
      </c>
      <c r="HL11" s="1493" t="s">
        <v>848</v>
      </c>
      <c r="HM11" s="1493" t="s">
        <v>2964</v>
      </c>
      <c r="HN11" s="1493" t="s">
        <v>814</v>
      </c>
      <c r="HO11" s="1493" t="s">
        <v>2965</v>
      </c>
      <c r="HP11" s="1493" t="s">
        <v>814</v>
      </c>
      <c r="HQ11" s="1493" t="s">
        <v>508</v>
      </c>
      <c r="HR11" s="1493" t="s">
        <v>854</v>
      </c>
      <c r="HS11" s="1493" t="s">
        <v>2966</v>
      </c>
      <c r="HT11" s="1493" t="s">
        <v>814</v>
      </c>
      <c r="HU11" s="1493" t="s">
        <v>1953</v>
      </c>
      <c r="HV11" s="1493" t="s">
        <v>814</v>
      </c>
      <c r="HW11" s="1493" t="s">
        <v>1612</v>
      </c>
      <c r="HX11" s="1493" t="s">
        <v>2129</v>
      </c>
      <c r="HY11" s="1493" t="s">
        <v>2092</v>
      </c>
      <c r="HZ11" s="1493" t="s">
        <v>2130</v>
      </c>
      <c r="IA11" s="1493" t="s">
        <v>609</v>
      </c>
      <c r="IB11" s="1493" t="s">
        <v>2172</v>
      </c>
      <c r="IC11" s="1493" t="s">
        <v>1234</v>
      </c>
      <c r="ID11" s="1493" t="s">
        <v>2173</v>
      </c>
      <c r="IE11" s="1493" t="s">
        <v>2959</v>
      </c>
      <c r="IF11" s="1493" t="s">
        <v>814</v>
      </c>
      <c r="IG11" s="1493" t="s">
        <v>2166</v>
      </c>
      <c r="IH11" s="1493" t="s">
        <v>1722</v>
      </c>
      <c r="II11" s="1493" t="s">
        <v>2252</v>
      </c>
      <c r="IJ11" s="1493" t="s">
        <v>814</v>
      </c>
      <c r="IK11" s="1493" t="s">
        <v>2968</v>
      </c>
      <c r="IL11" s="1493" t="s">
        <v>814</v>
      </c>
      <c r="IM11" s="1493" t="s">
        <v>742</v>
      </c>
      <c r="IN11" s="1493" t="s">
        <v>814</v>
      </c>
      <c r="IO11" s="1493" t="s">
        <v>2969</v>
      </c>
      <c r="IP11" s="1493" t="s">
        <v>814</v>
      </c>
      <c r="IQ11" s="1493" t="s">
        <v>2970</v>
      </c>
      <c r="IR11" s="1493" t="s">
        <v>814</v>
      </c>
      <c r="IS11" s="1493" t="s">
        <v>2542</v>
      </c>
      <c r="IT11" s="1493" t="s">
        <v>814</v>
      </c>
      <c r="IU11" s="1493" t="s">
        <v>499</v>
      </c>
      <c r="IV11" s="1493" t="s">
        <v>857</v>
      </c>
    </row>
    <row r="12" spans="1:256">
      <c r="A12" s="1493" t="s">
        <v>2972</v>
      </c>
      <c r="B12" s="1493" t="s">
        <v>814</v>
      </c>
      <c r="C12" s="1493" t="s">
        <v>2637</v>
      </c>
      <c r="D12" s="1493" t="s">
        <v>814</v>
      </c>
      <c r="E12" s="1493" t="s">
        <v>2973</v>
      </c>
      <c r="F12" s="1493" t="s">
        <v>814</v>
      </c>
      <c r="G12" s="1493" t="s">
        <v>1119</v>
      </c>
      <c r="H12" s="1493" t="s">
        <v>117</v>
      </c>
      <c r="I12" s="1493" t="s">
        <v>2814</v>
      </c>
      <c r="J12" s="1493" t="s">
        <v>814</v>
      </c>
      <c r="K12" s="1493" t="s">
        <v>2358</v>
      </c>
      <c r="L12" s="1493" t="s">
        <v>1244</v>
      </c>
      <c r="M12" s="1493" t="s">
        <v>2648</v>
      </c>
      <c r="N12" s="1493" t="s">
        <v>814</v>
      </c>
      <c r="O12" s="1493" t="s">
        <v>2662</v>
      </c>
      <c r="P12" s="1493" t="s">
        <v>814</v>
      </c>
      <c r="Q12" s="1493" t="s">
        <v>2309</v>
      </c>
      <c r="R12" s="1493" t="s">
        <v>1494</v>
      </c>
      <c r="S12" s="1493" t="s">
        <v>1545</v>
      </c>
      <c r="T12" s="1493" t="s">
        <v>304</v>
      </c>
      <c r="U12" s="1493" t="s">
        <v>2974</v>
      </c>
      <c r="V12" s="1493" t="s">
        <v>814</v>
      </c>
      <c r="W12" s="1493" t="s">
        <v>669</v>
      </c>
      <c r="X12" s="1493" t="s">
        <v>874</v>
      </c>
      <c r="Y12" s="1493" t="s">
        <v>2975</v>
      </c>
      <c r="Z12" s="1493" t="s">
        <v>814</v>
      </c>
      <c r="AA12" s="1493" t="s">
        <v>2976</v>
      </c>
      <c r="AB12" s="1493" t="s">
        <v>814</v>
      </c>
      <c r="AC12" s="1493" t="s">
        <v>219</v>
      </c>
      <c r="AD12" s="1493" t="s">
        <v>1481</v>
      </c>
      <c r="AE12" s="1493" t="s">
        <v>2977</v>
      </c>
      <c r="AF12" s="1493" t="s">
        <v>814</v>
      </c>
      <c r="AG12" s="1493" t="s">
        <v>2978</v>
      </c>
      <c r="AH12" s="1493" t="s">
        <v>814</v>
      </c>
      <c r="AI12" s="1493" t="s">
        <v>1447</v>
      </c>
      <c r="AJ12" s="1493" t="s">
        <v>1448</v>
      </c>
      <c r="AK12" s="1493" t="s">
        <v>1556</v>
      </c>
      <c r="AL12" s="1493" t="s">
        <v>1557</v>
      </c>
      <c r="AM12" s="1493" t="s">
        <v>228</v>
      </c>
      <c r="AN12" s="1493" t="s">
        <v>1115</v>
      </c>
      <c r="AO12" s="1493" t="s">
        <v>368</v>
      </c>
      <c r="AP12" s="1493" t="s">
        <v>1767</v>
      </c>
      <c r="AQ12" s="1493" t="s">
        <v>2979</v>
      </c>
      <c r="AR12" s="1493" t="s">
        <v>814</v>
      </c>
      <c r="AS12" s="1493" t="s">
        <v>2980</v>
      </c>
      <c r="AT12" s="1493" t="s">
        <v>814</v>
      </c>
      <c r="AU12" s="1493" t="s">
        <v>1874</v>
      </c>
      <c r="AV12" s="1493" t="s">
        <v>2200</v>
      </c>
      <c r="AW12" s="1493" t="s">
        <v>11</v>
      </c>
      <c r="AX12" s="1493" t="s">
        <v>12</v>
      </c>
      <c r="AY12" s="1493" t="s">
        <v>2981</v>
      </c>
      <c r="AZ12" s="1493" t="s">
        <v>814</v>
      </c>
      <c r="BA12" s="1493" t="s">
        <v>659</v>
      </c>
      <c r="BB12" s="1493" t="s">
        <v>814</v>
      </c>
      <c r="BC12" s="1493" t="s">
        <v>1696</v>
      </c>
      <c r="BD12" s="1493" t="s">
        <v>814</v>
      </c>
      <c r="BE12" s="1493" t="s">
        <v>2622</v>
      </c>
      <c r="BF12" s="1493" t="s">
        <v>814</v>
      </c>
      <c r="BG12" s="1493" t="s">
        <v>728</v>
      </c>
      <c r="BH12" s="1493" t="s">
        <v>1398</v>
      </c>
      <c r="BI12" s="1493" t="s">
        <v>2982</v>
      </c>
      <c r="BJ12" s="1493" t="s">
        <v>814</v>
      </c>
      <c r="BK12" s="1493" t="s">
        <v>1320</v>
      </c>
      <c r="BL12" s="1493" t="s">
        <v>1321</v>
      </c>
      <c r="BM12" s="1493" t="s">
        <v>1664</v>
      </c>
      <c r="BN12" s="1493" t="s">
        <v>645</v>
      </c>
      <c r="BO12" s="1493" t="s">
        <v>2306</v>
      </c>
      <c r="BP12" s="1493" t="s">
        <v>2116</v>
      </c>
      <c r="BQ12" s="1493" t="s">
        <v>2984</v>
      </c>
      <c r="BR12" s="1493" t="s">
        <v>814</v>
      </c>
      <c r="BS12" s="1493" t="s">
        <v>954</v>
      </c>
      <c r="BT12" s="1493" t="s">
        <v>378</v>
      </c>
      <c r="BU12" s="1493" t="s">
        <v>1144</v>
      </c>
      <c r="BV12" s="1493" t="s">
        <v>1145</v>
      </c>
      <c r="BW12" s="1493" t="s">
        <v>2985</v>
      </c>
      <c r="BX12" s="1493" t="s">
        <v>814</v>
      </c>
      <c r="BY12" s="1493" t="s">
        <v>1823</v>
      </c>
      <c r="BZ12" s="1493" t="s">
        <v>1824</v>
      </c>
      <c r="CA12" s="1493" t="s">
        <v>227</v>
      </c>
      <c r="CB12" s="1493" t="s">
        <v>814</v>
      </c>
      <c r="CC12" s="1493" t="s">
        <v>1292</v>
      </c>
      <c r="CD12" s="1493" t="s">
        <v>1293</v>
      </c>
      <c r="CE12" s="1493" t="s">
        <v>3005</v>
      </c>
      <c r="CF12" s="1493" t="s">
        <v>814</v>
      </c>
      <c r="CG12" s="1493" t="s">
        <v>946</v>
      </c>
      <c r="CH12" s="1493" t="s">
        <v>795</v>
      </c>
      <c r="CI12" s="1493" t="s">
        <v>2987</v>
      </c>
      <c r="CJ12" s="1493" t="s">
        <v>814</v>
      </c>
      <c r="CK12" s="1493" t="s">
        <v>2988</v>
      </c>
      <c r="CL12" s="1493" t="s">
        <v>814</v>
      </c>
      <c r="CM12" s="1493" t="s">
        <v>2989</v>
      </c>
      <c r="CN12" s="1493" t="s">
        <v>814</v>
      </c>
      <c r="CO12" s="1493" t="s">
        <v>1737</v>
      </c>
      <c r="CP12" s="1493" t="s">
        <v>814</v>
      </c>
      <c r="CQ12" s="1493" t="s">
        <v>943</v>
      </c>
      <c r="CR12" s="1493" t="s">
        <v>1825</v>
      </c>
      <c r="CS12" s="1493" t="s">
        <v>515</v>
      </c>
      <c r="CT12" s="1493" t="s">
        <v>516</v>
      </c>
      <c r="CU12" s="1493" t="s">
        <v>2990</v>
      </c>
      <c r="CV12" s="1493" t="s">
        <v>814</v>
      </c>
      <c r="CW12" s="1493" t="s">
        <v>2991</v>
      </c>
      <c r="CX12" s="1493" t="s">
        <v>814</v>
      </c>
      <c r="CY12" s="1493" t="s">
        <v>2992</v>
      </c>
      <c r="CZ12" s="1493" t="s">
        <v>814</v>
      </c>
      <c r="DA12" s="1493" t="s">
        <v>2993</v>
      </c>
      <c r="DB12" s="1493" t="s">
        <v>814</v>
      </c>
      <c r="DC12" s="1493" t="s">
        <v>1067</v>
      </c>
      <c r="DD12" s="1493" t="s">
        <v>985</v>
      </c>
      <c r="DE12" s="1493" t="s">
        <v>2374</v>
      </c>
      <c r="DF12" s="1493" t="s">
        <v>814</v>
      </c>
      <c r="DG12" s="1493" t="s">
        <v>2994</v>
      </c>
      <c r="DH12" s="1493" t="s">
        <v>814</v>
      </c>
      <c r="DI12" s="1493" t="s">
        <v>1670</v>
      </c>
      <c r="DJ12" s="1493" t="s">
        <v>1405</v>
      </c>
      <c r="DK12" s="1493" t="s">
        <v>937</v>
      </c>
      <c r="DL12" s="1493" t="s">
        <v>2213</v>
      </c>
      <c r="DM12" s="1493" t="s">
        <v>2995</v>
      </c>
      <c r="DN12" s="1493" t="s">
        <v>814</v>
      </c>
      <c r="DO12" s="1493" t="s">
        <v>2951</v>
      </c>
      <c r="DP12" s="1493" t="s">
        <v>814</v>
      </c>
      <c r="DQ12" s="1493" t="s">
        <v>2686</v>
      </c>
      <c r="DR12" s="1493" t="s">
        <v>814</v>
      </c>
      <c r="DS12" s="1493" t="s">
        <v>1787</v>
      </c>
      <c r="DT12" s="1493" t="s">
        <v>1788</v>
      </c>
      <c r="DU12" s="1493" t="s">
        <v>2998</v>
      </c>
      <c r="DV12" s="1493" t="s">
        <v>814</v>
      </c>
      <c r="DW12" s="1493" t="s">
        <v>2220</v>
      </c>
      <c r="DX12" s="1493" t="s">
        <v>2426</v>
      </c>
      <c r="DY12" s="1493" t="s">
        <v>2999</v>
      </c>
      <c r="DZ12" s="1493" t="s">
        <v>814</v>
      </c>
      <c r="EA12" s="1493" t="s">
        <v>3000</v>
      </c>
      <c r="EB12" s="1493" t="s">
        <v>814</v>
      </c>
      <c r="EC12" s="1493" t="s">
        <v>3001</v>
      </c>
      <c r="ED12" s="1493" t="s">
        <v>814</v>
      </c>
      <c r="EE12" s="1493" t="s">
        <v>414</v>
      </c>
      <c r="EF12" s="1493" t="s">
        <v>1478</v>
      </c>
      <c r="EG12" s="1493" t="s">
        <v>3002</v>
      </c>
      <c r="EH12" s="1493" t="s">
        <v>814</v>
      </c>
      <c r="EI12" s="1493" t="s">
        <v>1075</v>
      </c>
      <c r="EJ12" s="1493" t="s">
        <v>2280</v>
      </c>
      <c r="EK12" s="1493" t="s">
        <v>3003</v>
      </c>
      <c r="EL12" s="1493" t="s">
        <v>814</v>
      </c>
      <c r="EM12" s="1493" t="s">
        <v>3004</v>
      </c>
      <c r="EN12" s="1493" t="s">
        <v>814</v>
      </c>
      <c r="EO12" s="1493" t="s">
        <v>1954</v>
      </c>
      <c r="EP12" s="1493" t="s">
        <v>1090</v>
      </c>
      <c r="EQ12" s="1493" t="s">
        <v>2366</v>
      </c>
      <c r="ER12" s="1493" t="s">
        <v>2367</v>
      </c>
      <c r="ES12" s="1493" t="s">
        <v>2083</v>
      </c>
      <c r="ET12" s="1493" t="s">
        <v>1324</v>
      </c>
      <c r="EU12" s="1493" t="s">
        <v>2370</v>
      </c>
      <c r="EV12" s="1493" t="s">
        <v>2371</v>
      </c>
      <c r="EW12" s="1493" t="s">
        <v>2372</v>
      </c>
      <c r="EX12" s="1493" t="s">
        <v>2373</v>
      </c>
      <c r="EY12" s="1493" t="s">
        <v>2290</v>
      </c>
      <c r="EZ12" s="1493" t="s">
        <v>1107</v>
      </c>
      <c r="FA12" s="1493" t="s">
        <v>2256</v>
      </c>
      <c r="FB12" s="1493" t="s">
        <v>2148</v>
      </c>
      <c r="FC12" s="1493" t="s">
        <v>3083</v>
      </c>
      <c r="FD12" s="1493" t="s">
        <v>814</v>
      </c>
      <c r="FE12" s="1493" t="s">
        <v>3006</v>
      </c>
      <c r="FF12" s="1493" t="s">
        <v>814</v>
      </c>
      <c r="FG12" s="1493" t="s">
        <v>3007</v>
      </c>
      <c r="FH12" s="1493" t="s">
        <v>814</v>
      </c>
      <c r="FI12" s="1493" t="s">
        <v>3008</v>
      </c>
      <c r="FJ12" s="1493" t="s">
        <v>814</v>
      </c>
      <c r="FK12" s="1493" t="s">
        <v>801</v>
      </c>
      <c r="FL12" s="1493" t="s">
        <v>1770</v>
      </c>
      <c r="FM12" s="1493" t="s">
        <v>1647</v>
      </c>
      <c r="FN12" s="1493" t="s">
        <v>814</v>
      </c>
      <c r="FO12" s="1493" t="s">
        <v>1146</v>
      </c>
      <c r="FP12" s="1493" t="s">
        <v>1147</v>
      </c>
      <c r="FQ12" s="1493" t="s">
        <v>3009</v>
      </c>
      <c r="FR12" s="1493" t="s">
        <v>814</v>
      </c>
      <c r="FS12" s="1493" t="s">
        <v>799</v>
      </c>
      <c r="FT12" s="1493" t="s">
        <v>800</v>
      </c>
      <c r="FU12" s="1493" t="s">
        <v>496</v>
      </c>
      <c r="FV12" s="1493" t="s">
        <v>134</v>
      </c>
      <c r="FW12" s="1493" t="s">
        <v>3010</v>
      </c>
      <c r="FX12" s="1493" t="s">
        <v>814</v>
      </c>
      <c r="FY12" s="1493" t="s">
        <v>1283</v>
      </c>
      <c r="FZ12" s="1493" t="s">
        <v>1628</v>
      </c>
      <c r="GA12" s="1493" t="s">
        <v>2829</v>
      </c>
      <c r="GB12" s="1493" t="s">
        <v>814</v>
      </c>
      <c r="GC12" s="1493" t="s">
        <v>3011</v>
      </c>
      <c r="GD12" s="1493" t="s">
        <v>814</v>
      </c>
      <c r="GE12" s="1493" t="s">
        <v>1650</v>
      </c>
      <c r="GF12" s="1493" t="s">
        <v>1651</v>
      </c>
      <c r="GG12" s="1493" t="s">
        <v>3012</v>
      </c>
      <c r="GH12" s="1493" t="s">
        <v>814</v>
      </c>
      <c r="GI12" s="1493" t="s">
        <v>2217</v>
      </c>
      <c r="GJ12" s="1493" t="s">
        <v>2424</v>
      </c>
      <c r="GK12" s="1493" t="s">
        <v>1645</v>
      </c>
      <c r="GL12" s="1493" t="s">
        <v>638</v>
      </c>
      <c r="GM12" s="1493" t="s">
        <v>1206</v>
      </c>
      <c r="GN12" s="1493" t="s">
        <v>814</v>
      </c>
      <c r="GO12" s="1493" t="s">
        <v>2014</v>
      </c>
      <c r="GP12" s="1493" t="s">
        <v>890</v>
      </c>
      <c r="GQ12" s="1493" t="s">
        <v>2170</v>
      </c>
      <c r="GR12" s="1493" t="s">
        <v>1051</v>
      </c>
      <c r="GS12" s="1493" t="s">
        <v>1643</v>
      </c>
      <c r="GT12" s="1493" t="s">
        <v>981</v>
      </c>
      <c r="GU12" s="1493" t="s">
        <v>222</v>
      </c>
      <c r="GV12" s="1493" t="s">
        <v>814</v>
      </c>
      <c r="GW12" s="1493" t="s">
        <v>347</v>
      </c>
      <c r="GX12" s="1493" t="s">
        <v>814</v>
      </c>
      <c r="GY12" s="1493" t="s">
        <v>790</v>
      </c>
      <c r="GZ12" s="1493" t="s">
        <v>1776</v>
      </c>
      <c r="HA12" s="1493" t="s">
        <v>938</v>
      </c>
      <c r="HB12" s="1493" t="s">
        <v>290</v>
      </c>
      <c r="HC12" s="1493" t="s">
        <v>3013</v>
      </c>
      <c r="HD12" s="1493" t="s">
        <v>814</v>
      </c>
      <c r="HE12" s="1493" t="s">
        <v>148</v>
      </c>
      <c r="HF12" s="1493" t="s">
        <v>1478</v>
      </c>
      <c r="HG12" s="1493" t="s">
        <v>1514</v>
      </c>
      <c r="HH12" s="1493" t="s">
        <v>869</v>
      </c>
      <c r="HI12" s="1493" t="s">
        <v>914</v>
      </c>
      <c r="HJ12" s="1493" t="s">
        <v>2038</v>
      </c>
      <c r="HK12" s="1493" t="s">
        <v>213</v>
      </c>
      <c r="HL12" s="1493" t="s">
        <v>2127</v>
      </c>
      <c r="HM12" s="1493" t="s">
        <v>70</v>
      </c>
      <c r="HN12" s="1493" t="s">
        <v>2090</v>
      </c>
      <c r="HO12" s="1493" t="s">
        <v>2875</v>
      </c>
      <c r="HP12" s="1493" t="s">
        <v>814</v>
      </c>
      <c r="HQ12" s="1493" t="s">
        <v>3014</v>
      </c>
      <c r="HR12" s="1493" t="s">
        <v>814</v>
      </c>
      <c r="HS12" s="1493" t="s">
        <v>1194</v>
      </c>
      <c r="HT12" s="1493" t="s">
        <v>1355</v>
      </c>
      <c r="HU12" s="1493" t="s">
        <v>826</v>
      </c>
      <c r="HV12" s="1493" t="s">
        <v>814</v>
      </c>
      <c r="HW12" s="1493" t="s">
        <v>3015</v>
      </c>
      <c r="HX12" s="1493" t="s">
        <v>814</v>
      </c>
      <c r="HY12" s="1493" t="s">
        <v>181</v>
      </c>
      <c r="HZ12" s="1493" t="s">
        <v>1444</v>
      </c>
      <c r="IA12" s="1493" t="s">
        <v>1875</v>
      </c>
      <c r="IB12" s="1493" t="s">
        <v>814</v>
      </c>
      <c r="IC12" s="1493" t="s">
        <v>1467</v>
      </c>
      <c r="ID12" s="1493" t="s">
        <v>961</v>
      </c>
      <c r="IE12" s="1493" t="s">
        <v>262</v>
      </c>
      <c r="IF12" s="1493" t="s">
        <v>263</v>
      </c>
      <c r="IG12" s="1493" t="s">
        <v>341</v>
      </c>
      <c r="IH12" s="1493" t="s">
        <v>342</v>
      </c>
      <c r="II12" s="1493" t="s">
        <v>1498</v>
      </c>
      <c r="IJ12" s="1493" t="s">
        <v>1499</v>
      </c>
      <c r="IK12" s="1493" t="s">
        <v>1679</v>
      </c>
      <c r="IL12" s="1493" t="s">
        <v>814</v>
      </c>
      <c r="IM12" s="1493" t="s">
        <v>1141</v>
      </c>
      <c r="IN12" s="1493" t="s">
        <v>2134</v>
      </c>
      <c r="IO12" s="1493" t="s">
        <v>1802</v>
      </c>
      <c r="IP12" s="1493" t="s">
        <v>1803</v>
      </c>
      <c r="IQ12" s="1493" t="s">
        <v>3016</v>
      </c>
      <c r="IR12" s="1493" t="s">
        <v>814</v>
      </c>
      <c r="IS12" s="1493" t="s">
        <v>1548</v>
      </c>
      <c r="IT12" s="1493" t="s">
        <v>306</v>
      </c>
      <c r="IU12" s="1493" t="s">
        <v>1688</v>
      </c>
      <c r="IV12" s="1493" t="s">
        <v>1478</v>
      </c>
    </row>
    <row r="13" spans="1:256">
      <c r="A13" s="1493" t="s">
        <v>2922</v>
      </c>
      <c r="B13" s="1493" t="s">
        <v>814</v>
      </c>
      <c r="C13" s="1493" t="s">
        <v>3017</v>
      </c>
      <c r="D13" s="1493" t="s">
        <v>814</v>
      </c>
      <c r="E13" s="1493" t="s">
        <v>526</v>
      </c>
      <c r="F13" s="1493" t="s">
        <v>1129</v>
      </c>
      <c r="G13" s="1493" t="s">
        <v>3018</v>
      </c>
      <c r="H13" s="1493" t="s">
        <v>814</v>
      </c>
      <c r="I13" s="1493" t="s">
        <v>1549</v>
      </c>
      <c r="J13" s="1493" t="s">
        <v>307</v>
      </c>
      <c r="K13" s="1493" t="s">
        <v>2833</v>
      </c>
      <c r="L13" s="1493" t="s">
        <v>814</v>
      </c>
      <c r="M13" s="1493" t="s">
        <v>3019</v>
      </c>
      <c r="N13" s="1493" t="s">
        <v>814</v>
      </c>
      <c r="O13" s="1493" t="s">
        <v>1804</v>
      </c>
      <c r="P13" s="1493" t="s">
        <v>1805</v>
      </c>
      <c r="Q13" s="1493" t="s">
        <v>2096</v>
      </c>
      <c r="R13" s="1493" t="s">
        <v>2097</v>
      </c>
      <c r="S13" s="1493" t="s">
        <v>1674</v>
      </c>
      <c r="T13" s="1493" t="s">
        <v>1409</v>
      </c>
      <c r="U13" s="1493" t="s">
        <v>1322</v>
      </c>
      <c r="V13" s="1493" t="s">
        <v>1323</v>
      </c>
      <c r="W13" s="1493" t="s">
        <v>235</v>
      </c>
      <c r="X13" s="1493" t="s">
        <v>634</v>
      </c>
      <c r="Y13" s="1493" t="s">
        <v>236</v>
      </c>
      <c r="Z13" s="1493" t="s">
        <v>635</v>
      </c>
      <c r="AA13" s="1493" t="s">
        <v>690</v>
      </c>
      <c r="AB13" s="1493" t="s">
        <v>2186</v>
      </c>
      <c r="AC13" s="1493" t="s">
        <v>2342</v>
      </c>
      <c r="AD13" s="1493" t="s">
        <v>636</v>
      </c>
      <c r="AE13" s="1493" t="s">
        <v>1309</v>
      </c>
      <c r="AF13" s="1493" t="s">
        <v>1310</v>
      </c>
      <c r="AG13" s="1493" t="s">
        <v>788</v>
      </c>
      <c r="AH13" s="1493" t="s">
        <v>789</v>
      </c>
      <c r="AI13" s="1493" t="s">
        <v>3020</v>
      </c>
      <c r="AJ13" s="1493" t="s">
        <v>814</v>
      </c>
      <c r="AK13" s="1493" t="s">
        <v>3060</v>
      </c>
      <c r="AL13" s="1493" t="s">
        <v>814</v>
      </c>
      <c r="AM13" s="1493" t="s">
        <v>2997</v>
      </c>
      <c r="AN13" s="1493" t="s">
        <v>814</v>
      </c>
      <c r="AO13" s="1493" t="s">
        <v>3021</v>
      </c>
      <c r="AP13" s="1493" t="s">
        <v>814</v>
      </c>
      <c r="AQ13" s="1493" t="s">
        <v>3022</v>
      </c>
      <c r="AR13" s="1493" t="s">
        <v>814</v>
      </c>
      <c r="AS13" s="1493" t="s">
        <v>3023</v>
      </c>
      <c r="AT13" s="1493" t="s">
        <v>814</v>
      </c>
      <c r="AU13" s="1493" t="s">
        <v>3024</v>
      </c>
      <c r="AV13" s="1493" t="s">
        <v>814</v>
      </c>
      <c r="AW13" s="1493" t="s">
        <v>2760</v>
      </c>
      <c r="AX13" s="1493" t="s">
        <v>814</v>
      </c>
      <c r="AY13" s="1493" t="s">
        <v>904</v>
      </c>
      <c r="AZ13" s="1493" t="s">
        <v>573</v>
      </c>
      <c r="BA13" s="1493" t="s">
        <v>1461</v>
      </c>
      <c r="BB13" s="1493" t="s">
        <v>2079</v>
      </c>
      <c r="BC13" s="1493" t="s">
        <v>1207</v>
      </c>
      <c r="BD13" s="1493" t="s">
        <v>4</v>
      </c>
      <c r="BE13" s="1493" t="s">
        <v>3026</v>
      </c>
      <c r="BF13" s="1493" t="s">
        <v>814</v>
      </c>
      <c r="BG13" s="1493" t="s">
        <v>3027</v>
      </c>
      <c r="BH13" s="1493" t="s">
        <v>814</v>
      </c>
      <c r="BI13" s="1493" t="s">
        <v>3028</v>
      </c>
      <c r="BJ13" s="1493" t="s">
        <v>814</v>
      </c>
      <c r="BK13" s="1493" t="s">
        <v>1504</v>
      </c>
      <c r="BL13" s="1493" t="s">
        <v>814</v>
      </c>
      <c r="BM13" s="1493" t="s">
        <v>2085</v>
      </c>
      <c r="BN13" s="1493" t="s">
        <v>1327</v>
      </c>
      <c r="BO13" s="1493" t="s">
        <v>2249</v>
      </c>
      <c r="BP13" s="1493" t="s">
        <v>1352</v>
      </c>
      <c r="BQ13" s="1493" t="s">
        <v>1789</v>
      </c>
      <c r="BR13" s="1493" t="s">
        <v>1807</v>
      </c>
      <c r="BS13" s="1493" t="s">
        <v>563</v>
      </c>
      <c r="BT13" s="1493" t="s">
        <v>2048</v>
      </c>
      <c r="BU13" s="1493" t="s">
        <v>113</v>
      </c>
      <c r="BV13" s="1493" t="s">
        <v>814</v>
      </c>
      <c r="BW13" s="1493" t="s">
        <v>2225</v>
      </c>
      <c r="BX13" s="1493" t="s">
        <v>814</v>
      </c>
      <c r="BY13" s="1493" t="s">
        <v>2101</v>
      </c>
      <c r="BZ13" s="1493" t="s">
        <v>746</v>
      </c>
      <c r="CA13" s="1493" t="s">
        <v>3029</v>
      </c>
      <c r="CB13" s="1493" t="s">
        <v>814</v>
      </c>
      <c r="CC13" s="1493" t="s">
        <v>1259</v>
      </c>
      <c r="CD13" s="1493" t="s">
        <v>1491</v>
      </c>
      <c r="CE13" s="1493" t="s">
        <v>2733</v>
      </c>
      <c r="CF13" s="1493" t="s">
        <v>814</v>
      </c>
      <c r="CG13" s="1493" t="s">
        <v>2725</v>
      </c>
      <c r="CH13" s="1493" t="s">
        <v>814</v>
      </c>
      <c r="CI13" s="1493" t="s">
        <v>808</v>
      </c>
      <c r="CJ13" s="1493" t="s">
        <v>809</v>
      </c>
      <c r="CK13" s="1493" t="s">
        <v>810</v>
      </c>
      <c r="CL13" s="1493" t="s">
        <v>811</v>
      </c>
      <c r="CM13" s="1493" t="s">
        <v>1516</v>
      </c>
      <c r="CN13" s="1493" t="s">
        <v>871</v>
      </c>
      <c r="CO13" s="1493" t="s">
        <v>1572</v>
      </c>
      <c r="CP13" s="1493" t="s">
        <v>2056</v>
      </c>
      <c r="CQ13" s="1493" t="s">
        <v>1046</v>
      </c>
      <c r="CR13" s="1493" t="s">
        <v>1047</v>
      </c>
      <c r="CS13" s="1493" t="s">
        <v>3030</v>
      </c>
      <c r="CT13" s="1493" t="s">
        <v>814</v>
      </c>
      <c r="CU13" s="1493" t="s">
        <v>3031</v>
      </c>
      <c r="CV13" s="1493" t="s">
        <v>814</v>
      </c>
      <c r="CW13" s="1493" t="s">
        <v>1566</v>
      </c>
      <c r="CX13" s="1493" t="s">
        <v>1478</v>
      </c>
      <c r="CY13" s="1493" t="s">
        <v>2703</v>
      </c>
      <c r="CZ13" s="1493" t="s">
        <v>814</v>
      </c>
      <c r="DA13" s="1493" t="s">
        <v>2234</v>
      </c>
      <c r="DB13" s="1493" t="s">
        <v>2136</v>
      </c>
      <c r="DC13" s="1493" t="s">
        <v>1136</v>
      </c>
      <c r="DD13" s="1493" t="s">
        <v>2139</v>
      </c>
      <c r="DE13" s="1493" t="s">
        <v>3032</v>
      </c>
      <c r="DF13" s="1493" t="s">
        <v>814</v>
      </c>
      <c r="DG13" s="1493" t="s">
        <v>1960</v>
      </c>
      <c r="DH13" s="1493" t="s">
        <v>1961</v>
      </c>
      <c r="DI13" s="1493" t="s">
        <v>3033</v>
      </c>
      <c r="DJ13" s="1493" t="s">
        <v>814</v>
      </c>
      <c r="DK13" s="1493" t="s">
        <v>726</v>
      </c>
      <c r="DL13" s="1493" t="s">
        <v>1331</v>
      </c>
      <c r="DM13" s="1493" t="s">
        <v>402</v>
      </c>
      <c r="DN13" s="1493" t="s">
        <v>403</v>
      </c>
      <c r="DO13" s="1493" t="s">
        <v>3034</v>
      </c>
      <c r="DP13" s="1493" t="s">
        <v>814</v>
      </c>
      <c r="DQ13" s="1493" t="s">
        <v>3035</v>
      </c>
      <c r="DR13" s="1493" t="s">
        <v>814</v>
      </c>
      <c r="DS13" s="1493" t="s">
        <v>1682</v>
      </c>
      <c r="DT13" s="1493" t="s">
        <v>814</v>
      </c>
      <c r="DU13" s="1493" t="s">
        <v>2939</v>
      </c>
      <c r="DV13" s="1493" t="s">
        <v>814</v>
      </c>
      <c r="DW13" s="1493" t="s">
        <v>2236</v>
      </c>
      <c r="DX13" s="1493" t="s">
        <v>814</v>
      </c>
      <c r="DY13" s="1493" t="s">
        <v>3036</v>
      </c>
      <c r="DZ13" s="1493" t="s">
        <v>814</v>
      </c>
      <c r="EA13" s="1493" t="s">
        <v>1220</v>
      </c>
      <c r="EB13" s="1493" t="s">
        <v>814</v>
      </c>
      <c r="EC13" s="1493" t="s">
        <v>1652</v>
      </c>
      <c r="ED13" s="1493" t="s">
        <v>1653</v>
      </c>
      <c r="EE13" s="1493" t="s">
        <v>367</v>
      </c>
      <c r="EF13" s="1493" t="s">
        <v>814</v>
      </c>
      <c r="EG13" s="1493" t="s">
        <v>851</v>
      </c>
      <c r="EH13" s="1493" t="s">
        <v>852</v>
      </c>
      <c r="EI13" s="1493" t="s">
        <v>1264</v>
      </c>
      <c r="EJ13" s="1493" t="s">
        <v>392</v>
      </c>
      <c r="EK13" s="1493" t="s">
        <v>3037</v>
      </c>
      <c r="EL13" s="1493" t="s">
        <v>814</v>
      </c>
      <c r="EM13" s="1493" t="s">
        <v>1267</v>
      </c>
      <c r="EN13" s="1493" t="s">
        <v>846</v>
      </c>
      <c r="EO13" s="1493" t="s">
        <v>195</v>
      </c>
      <c r="EP13" s="1493" t="s">
        <v>1100</v>
      </c>
      <c r="EQ13" s="1493" t="s">
        <v>2917</v>
      </c>
      <c r="ER13" s="1493" t="s">
        <v>814</v>
      </c>
      <c r="ES13" s="1493" t="s">
        <v>3039</v>
      </c>
      <c r="ET13" s="1493" t="s">
        <v>814</v>
      </c>
      <c r="EU13" s="1493" t="s">
        <v>716</v>
      </c>
      <c r="EV13" s="1493" t="s">
        <v>325</v>
      </c>
      <c r="EW13" s="1493" t="s">
        <v>1873</v>
      </c>
      <c r="EX13" s="1493" t="s">
        <v>2199</v>
      </c>
      <c r="EY13" s="1493" t="s">
        <v>3040</v>
      </c>
      <c r="EZ13" s="1493" t="s">
        <v>814</v>
      </c>
      <c r="FA13" s="1493" t="s">
        <v>3041</v>
      </c>
      <c r="FB13" s="1493" t="s">
        <v>814</v>
      </c>
      <c r="FC13" s="1493" t="s">
        <v>3042</v>
      </c>
      <c r="FD13" s="1493" t="s">
        <v>814</v>
      </c>
      <c r="FE13" s="1493" t="s">
        <v>371</v>
      </c>
      <c r="FF13" s="1493" t="s">
        <v>814</v>
      </c>
      <c r="FG13" s="1493" t="s">
        <v>3043</v>
      </c>
      <c r="FH13" s="1493" t="s">
        <v>814</v>
      </c>
      <c r="FI13" s="1493" t="s">
        <v>752</v>
      </c>
      <c r="FJ13" s="1493" t="s">
        <v>1347</v>
      </c>
      <c r="FK13" s="1493" t="s">
        <v>2307</v>
      </c>
      <c r="FL13" s="1493" t="s">
        <v>2117</v>
      </c>
      <c r="FM13" s="1493" t="s">
        <v>3044</v>
      </c>
      <c r="FN13" s="1493" t="s">
        <v>814</v>
      </c>
      <c r="FO13" s="1493" t="s">
        <v>2343</v>
      </c>
      <c r="FP13" s="1493" t="s">
        <v>2344</v>
      </c>
      <c r="FQ13" s="1493" t="s">
        <v>1745</v>
      </c>
      <c r="FR13" s="1493" t="s">
        <v>1760</v>
      </c>
      <c r="FS13" s="1493" t="s">
        <v>1746</v>
      </c>
      <c r="FT13" s="1493" t="s">
        <v>1761</v>
      </c>
      <c r="FU13" s="1493" t="s">
        <v>361</v>
      </c>
      <c r="FV13" s="1493" t="s">
        <v>1762</v>
      </c>
      <c r="FW13" s="1493" t="s">
        <v>903</v>
      </c>
      <c r="FX13" s="1493" t="s">
        <v>572</v>
      </c>
      <c r="FY13" s="1493" t="s">
        <v>1249</v>
      </c>
      <c r="FZ13" s="1493" t="s">
        <v>1250</v>
      </c>
      <c r="GA13" s="1493" t="s">
        <v>1949</v>
      </c>
      <c r="GB13" s="1493" t="s">
        <v>1337</v>
      </c>
      <c r="GC13" s="1493" t="s">
        <v>1216</v>
      </c>
      <c r="GD13" s="1493" t="s">
        <v>2124</v>
      </c>
      <c r="GE13" s="1493" t="s">
        <v>1577</v>
      </c>
      <c r="GF13" s="1493" t="s">
        <v>2044</v>
      </c>
      <c r="GG13" s="1493" t="s">
        <v>1810</v>
      </c>
      <c r="GH13" s="1493" t="s">
        <v>1811</v>
      </c>
      <c r="GI13" s="1493" t="s">
        <v>3046</v>
      </c>
      <c r="GJ13" s="1493" t="s">
        <v>814</v>
      </c>
      <c r="GK13" s="1493" t="s">
        <v>2895</v>
      </c>
      <c r="GL13" s="1493" t="s">
        <v>814</v>
      </c>
      <c r="GM13" s="1493" t="s">
        <v>2062</v>
      </c>
      <c r="GN13" s="1493" t="s">
        <v>968</v>
      </c>
      <c r="GO13" s="1493" t="s">
        <v>3048</v>
      </c>
      <c r="GP13" s="1493" t="s">
        <v>814</v>
      </c>
      <c r="GQ13" s="1493" t="s">
        <v>1705</v>
      </c>
      <c r="GR13" s="1493" t="s">
        <v>814</v>
      </c>
      <c r="GS13" s="1493" t="s">
        <v>2064</v>
      </c>
      <c r="GT13" s="1493" t="s">
        <v>970</v>
      </c>
      <c r="GU13" s="1493" t="s">
        <v>3049</v>
      </c>
      <c r="GV13" s="1493" t="s">
        <v>814</v>
      </c>
      <c r="GW13" s="1493" t="s">
        <v>2908</v>
      </c>
      <c r="GX13" s="1493" t="s">
        <v>814</v>
      </c>
      <c r="GY13" s="1493" t="s">
        <v>363</v>
      </c>
      <c r="GZ13" s="1493" t="s">
        <v>814</v>
      </c>
      <c r="HA13" s="1493" t="s">
        <v>1064</v>
      </c>
      <c r="HB13" s="1493" t="s">
        <v>814</v>
      </c>
      <c r="HC13" s="1493" t="s">
        <v>920</v>
      </c>
      <c r="HD13" s="1493" t="s">
        <v>814</v>
      </c>
      <c r="HE13" s="1493" t="s">
        <v>1660</v>
      </c>
      <c r="HF13" s="1493" t="s">
        <v>1653</v>
      </c>
      <c r="HG13" s="1493" t="s">
        <v>82</v>
      </c>
      <c r="HH13" s="1493" t="s">
        <v>83</v>
      </c>
      <c r="HI13" s="1493" t="s">
        <v>517</v>
      </c>
      <c r="HJ13" s="1493" t="s">
        <v>518</v>
      </c>
      <c r="HK13" s="1493" t="s">
        <v>9</v>
      </c>
      <c r="HL13" s="1493" t="s">
        <v>10</v>
      </c>
      <c r="HM13" s="1493" t="s">
        <v>2783</v>
      </c>
      <c r="HN13" s="1493" t="s">
        <v>814</v>
      </c>
      <c r="HO13" s="1493" t="s">
        <v>3052</v>
      </c>
      <c r="HP13" s="1493" t="s">
        <v>814</v>
      </c>
      <c r="HQ13" s="1493" t="s">
        <v>823</v>
      </c>
      <c r="HR13" s="1493" t="s">
        <v>814</v>
      </c>
      <c r="HS13" s="1493" t="s">
        <v>2375</v>
      </c>
      <c r="HT13" s="1493" t="s">
        <v>112</v>
      </c>
      <c r="HU13" s="1493" t="s">
        <v>230</v>
      </c>
      <c r="HV13" s="1493" t="s">
        <v>814</v>
      </c>
      <c r="HW13" s="1493" t="s">
        <v>3053</v>
      </c>
      <c r="HX13" s="1493" t="s">
        <v>814</v>
      </c>
      <c r="HY13" s="1493" t="s">
        <v>3054</v>
      </c>
      <c r="HZ13" s="1493" t="s">
        <v>814</v>
      </c>
      <c r="IA13" s="1493" t="s">
        <v>182</v>
      </c>
      <c r="IB13" s="1493" t="s">
        <v>814</v>
      </c>
      <c r="IC13" s="1493" t="s">
        <v>1170</v>
      </c>
      <c r="ID13" s="1493" t="s">
        <v>1423</v>
      </c>
      <c r="IE13" s="1493" t="s">
        <v>249</v>
      </c>
      <c r="IF13" s="1493" t="s">
        <v>814</v>
      </c>
      <c r="IG13" s="1493" t="s">
        <v>3055</v>
      </c>
      <c r="IH13" s="1493" t="s">
        <v>814</v>
      </c>
      <c r="II13" s="1493" t="s">
        <v>2251</v>
      </c>
      <c r="IJ13" s="1493" t="s">
        <v>814</v>
      </c>
      <c r="IK13" s="1493" t="s">
        <v>3056</v>
      </c>
      <c r="IL13" s="1493" t="s">
        <v>814</v>
      </c>
      <c r="IM13" s="1493" t="s">
        <v>2519</v>
      </c>
      <c r="IN13" s="1493" t="s">
        <v>814</v>
      </c>
      <c r="IO13" s="1493" t="s">
        <v>1676</v>
      </c>
      <c r="IP13" s="1493" t="s">
        <v>814</v>
      </c>
      <c r="IQ13" s="1493" t="s">
        <v>759</v>
      </c>
      <c r="IR13" s="1493" t="s">
        <v>1350</v>
      </c>
      <c r="IS13" s="1493" t="s">
        <v>3058</v>
      </c>
      <c r="IT13" s="1493" t="s">
        <v>814</v>
      </c>
      <c r="IU13" s="1493" t="s">
        <v>1221</v>
      </c>
      <c r="IV13" s="1493" t="s">
        <v>814</v>
      </c>
    </row>
    <row r="14" spans="1:256">
      <c r="A14" s="1493" t="s">
        <v>3059</v>
      </c>
      <c r="B14" s="1493" t="s">
        <v>814</v>
      </c>
      <c r="C14" s="1493" t="s">
        <v>687</v>
      </c>
      <c r="D14" s="1493" t="s">
        <v>814</v>
      </c>
      <c r="E14" s="1493" t="s">
        <v>1947</v>
      </c>
      <c r="F14" s="1493" t="s">
        <v>1336</v>
      </c>
      <c r="G14" s="1493" t="s">
        <v>131</v>
      </c>
      <c r="H14" s="1493" t="s">
        <v>132</v>
      </c>
      <c r="I14" s="1493" t="s">
        <v>2165</v>
      </c>
      <c r="J14" s="1493" t="s">
        <v>1721</v>
      </c>
      <c r="K14" s="1493" t="s">
        <v>3061</v>
      </c>
      <c r="L14" s="1493" t="s">
        <v>814</v>
      </c>
      <c r="M14" s="1493" t="s">
        <v>913</v>
      </c>
      <c r="N14" s="1493" t="s">
        <v>2037</v>
      </c>
      <c r="O14" s="1493" t="s">
        <v>1463</v>
      </c>
      <c r="P14" s="1493" t="s">
        <v>2080</v>
      </c>
      <c r="Q14" s="1493" t="s">
        <v>15</v>
      </c>
      <c r="R14" s="1493" t="s">
        <v>16</v>
      </c>
      <c r="S14" s="1493" t="s">
        <v>2262</v>
      </c>
      <c r="T14" s="1493" t="s">
        <v>1429</v>
      </c>
      <c r="U14" s="1493" t="s">
        <v>1663</v>
      </c>
      <c r="V14" s="1493" t="s">
        <v>643</v>
      </c>
      <c r="W14" s="1493" t="s">
        <v>139</v>
      </c>
      <c r="X14" s="1493" t="s">
        <v>814</v>
      </c>
      <c r="Y14" s="1493" t="s">
        <v>729</v>
      </c>
      <c r="Z14" s="1493" t="s">
        <v>730</v>
      </c>
      <c r="AA14" s="1493" t="s">
        <v>3062</v>
      </c>
      <c r="AB14" s="1493" t="s">
        <v>814</v>
      </c>
      <c r="AC14" s="1493" t="s">
        <v>1470</v>
      </c>
      <c r="AD14" s="1493" t="s">
        <v>453</v>
      </c>
      <c r="AE14" s="1493" t="s">
        <v>3063</v>
      </c>
      <c r="AF14" s="1493" t="s">
        <v>814</v>
      </c>
      <c r="AG14" s="1493" t="s">
        <v>3064</v>
      </c>
      <c r="AH14" s="1493" t="s">
        <v>814</v>
      </c>
      <c r="AI14" s="1493" t="s">
        <v>216</v>
      </c>
      <c r="AJ14" s="1493" t="s">
        <v>2111</v>
      </c>
      <c r="AK14" s="1493" t="s">
        <v>3065</v>
      </c>
      <c r="AL14" s="1493" t="s">
        <v>814</v>
      </c>
      <c r="AM14" s="1493" t="s">
        <v>3066</v>
      </c>
      <c r="AN14" s="1493" t="s">
        <v>814</v>
      </c>
      <c r="AO14" s="1493" t="s">
        <v>3067</v>
      </c>
      <c r="AP14" s="1493" t="s">
        <v>814</v>
      </c>
      <c r="AQ14" s="1493" t="s">
        <v>2876</v>
      </c>
      <c r="AR14" s="1493" t="s">
        <v>814</v>
      </c>
      <c r="AS14" s="1493" t="s">
        <v>2708</v>
      </c>
      <c r="AT14" s="1493" t="s">
        <v>814</v>
      </c>
      <c r="AU14" s="1493" t="s">
        <v>3068</v>
      </c>
      <c r="AV14" s="1493" t="s">
        <v>814</v>
      </c>
      <c r="AW14" s="1493" t="s">
        <v>3051</v>
      </c>
      <c r="AX14" s="1493" t="s">
        <v>814</v>
      </c>
      <c r="AY14" s="1493" t="s">
        <v>2060</v>
      </c>
      <c r="AZ14" s="1493" t="s">
        <v>966</v>
      </c>
      <c r="BA14" s="1493" t="s">
        <v>3069</v>
      </c>
      <c r="BB14" s="1493" t="s">
        <v>814</v>
      </c>
      <c r="BC14" s="1493" t="s">
        <v>3070</v>
      </c>
      <c r="BD14" s="1493" t="s">
        <v>814</v>
      </c>
      <c r="BE14" s="1493" t="s">
        <v>2350</v>
      </c>
      <c r="BF14" s="1493" t="s">
        <v>2351</v>
      </c>
      <c r="BG14" s="1493" t="s">
        <v>1672</v>
      </c>
      <c r="BH14" s="1493" t="s">
        <v>1407</v>
      </c>
      <c r="BI14" s="1493" t="s">
        <v>3071</v>
      </c>
      <c r="BJ14" s="1493" t="s">
        <v>814</v>
      </c>
      <c r="BK14" s="1493" t="s">
        <v>3072</v>
      </c>
      <c r="BL14" s="1493" t="s">
        <v>814</v>
      </c>
      <c r="BM14" s="1493" t="s">
        <v>3073</v>
      </c>
      <c r="BN14" s="1493" t="s">
        <v>814</v>
      </c>
      <c r="BO14" s="1493" t="s">
        <v>2308</v>
      </c>
      <c r="BP14" s="1493" t="s">
        <v>1493</v>
      </c>
      <c r="BQ14" s="1493" t="s">
        <v>3074</v>
      </c>
      <c r="BR14" s="1493" t="s">
        <v>814</v>
      </c>
      <c r="BS14" s="1493" t="s">
        <v>3075</v>
      </c>
      <c r="BT14" s="1493" t="s">
        <v>814</v>
      </c>
      <c r="BU14" s="1493" t="s">
        <v>3057</v>
      </c>
      <c r="BV14" s="1493" t="s">
        <v>814</v>
      </c>
      <c r="BW14" s="1493" t="s">
        <v>1649</v>
      </c>
      <c r="BX14" s="1493" t="s">
        <v>2192</v>
      </c>
      <c r="BY14" s="1493" t="s">
        <v>743</v>
      </c>
      <c r="BZ14" s="1493" t="s">
        <v>744</v>
      </c>
      <c r="CA14" s="1493" t="s">
        <v>953</v>
      </c>
      <c r="CB14" s="1493" t="s">
        <v>814</v>
      </c>
      <c r="CC14" s="1493" t="s">
        <v>806</v>
      </c>
      <c r="CD14" s="1493" t="s">
        <v>807</v>
      </c>
      <c r="CE14" s="1493" t="s">
        <v>424</v>
      </c>
      <c r="CF14" s="1493" t="s">
        <v>2107</v>
      </c>
      <c r="CG14" s="1493" t="s">
        <v>1288</v>
      </c>
      <c r="CH14" s="1493" t="s">
        <v>1438</v>
      </c>
      <c r="CI14" s="1493" t="s">
        <v>3077</v>
      </c>
      <c r="CJ14" s="1493" t="s">
        <v>814</v>
      </c>
      <c r="CK14" s="1493" t="s">
        <v>3078</v>
      </c>
      <c r="CL14" s="1493" t="s">
        <v>814</v>
      </c>
      <c r="CM14" s="1493" t="s">
        <v>2920</v>
      </c>
      <c r="CN14" s="1493" t="s">
        <v>814</v>
      </c>
      <c r="CO14" s="1493" t="s">
        <v>1062</v>
      </c>
      <c r="CP14" s="1493" t="s">
        <v>814</v>
      </c>
      <c r="CQ14" s="1493" t="s">
        <v>3079</v>
      </c>
      <c r="CR14" s="1493" t="s">
        <v>814</v>
      </c>
      <c r="CS14" s="1493" t="s">
        <v>825</v>
      </c>
      <c r="CT14" s="1493" t="s">
        <v>384</v>
      </c>
      <c r="CU14" s="1493" t="s">
        <v>533</v>
      </c>
      <c r="CV14" s="1493" t="s">
        <v>2042</v>
      </c>
      <c r="CW14" s="1493" t="s">
        <v>604</v>
      </c>
      <c r="CX14" s="1493" t="s">
        <v>814</v>
      </c>
      <c r="CY14" s="1493" t="s">
        <v>3080</v>
      </c>
      <c r="CZ14" s="1493" t="s">
        <v>814</v>
      </c>
      <c r="DA14" s="1493" t="s">
        <v>2678</v>
      </c>
      <c r="DB14" s="1493" t="s">
        <v>814</v>
      </c>
      <c r="DC14" s="1493" t="s">
        <v>2618</v>
      </c>
      <c r="DD14" s="1493" t="s">
        <v>814</v>
      </c>
      <c r="DE14" s="1493" t="s">
        <v>2303</v>
      </c>
      <c r="DF14" s="1493" t="s">
        <v>1850</v>
      </c>
      <c r="DG14" s="1493" t="s">
        <v>3081</v>
      </c>
      <c r="DH14" s="1493" t="s">
        <v>814</v>
      </c>
      <c r="DI14" s="1493" t="s">
        <v>3082</v>
      </c>
      <c r="DJ14" s="1493" t="s">
        <v>814</v>
      </c>
      <c r="DK14" s="1493" t="s">
        <v>754</v>
      </c>
      <c r="DL14" s="1493" t="s">
        <v>814</v>
      </c>
      <c r="DM14" s="1493" t="s">
        <v>2345</v>
      </c>
      <c r="DN14" s="1493" t="s">
        <v>2346</v>
      </c>
      <c r="DO14" s="1493" t="s">
        <v>283</v>
      </c>
      <c r="DP14" s="1493" t="s">
        <v>795</v>
      </c>
      <c r="DQ14" s="1493" t="s">
        <v>758</v>
      </c>
      <c r="DR14" s="1493" t="s">
        <v>1349</v>
      </c>
      <c r="DS14" s="1493" t="s">
        <v>782</v>
      </c>
      <c r="DT14" s="1493" t="s">
        <v>814</v>
      </c>
      <c r="DU14" s="1493" t="s">
        <v>1280</v>
      </c>
      <c r="DV14" s="1493" t="s">
        <v>641</v>
      </c>
      <c r="DW14" s="1493" t="s">
        <v>2011</v>
      </c>
      <c r="DX14" s="1493" t="s">
        <v>814</v>
      </c>
      <c r="DY14" s="1493" t="s">
        <v>3084</v>
      </c>
      <c r="DZ14" s="1493" t="s">
        <v>814</v>
      </c>
      <c r="EA14" s="1493" t="s">
        <v>3045</v>
      </c>
      <c r="EB14" s="1493" t="s">
        <v>814</v>
      </c>
      <c r="EC14" s="1493" t="s">
        <v>3085</v>
      </c>
      <c r="ED14" s="1493" t="s">
        <v>814</v>
      </c>
      <c r="EE14" s="1493" t="s">
        <v>3086</v>
      </c>
      <c r="EF14" s="1493" t="s">
        <v>814</v>
      </c>
      <c r="EG14" s="1493" t="s">
        <v>369</v>
      </c>
      <c r="EH14" s="1493" t="s">
        <v>1768</v>
      </c>
      <c r="EI14" s="1493" t="s">
        <v>276</v>
      </c>
      <c r="EJ14" s="1493" t="s">
        <v>277</v>
      </c>
      <c r="EK14" s="1493" t="s">
        <v>3087</v>
      </c>
      <c r="EL14" s="1493" t="s">
        <v>814</v>
      </c>
      <c r="EM14" s="1493" t="s">
        <v>1148</v>
      </c>
      <c r="EN14" s="1493" t="s">
        <v>1149</v>
      </c>
      <c r="EO14" s="1493" t="s">
        <v>210</v>
      </c>
      <c r="EP14" s="1493" t="s">
        <v>2125</v>
      </c>
      <c r="EQ14" s="1493" t="s">
        <v>3088</v>
      </c>
      <c r="ER14" s="1493" t="s">
        <v>814</v>
      </c>
      <c r="ES14" s="1493" t="s">
        <v>2971</v>
      </c>
      <c r="ET14" s="1493" t="s">
        <v>814</v>
      </c>
      <c r="EU14" s="1493" t="s">
        <v>3089</v>
      </c>
      <c r="EV14" s="1493" t="s">
        <v>814</v>
      </c>
      <c r="EW14" s="1493"/>
      <c r="EX14" s="1493"/>
      <c r="EY14" s="1493"/>
      <c r="EZ14" s="1493"/>
      <c r="FA14" s="1493"/>
      <c r="FB14" s="1493"/>
      <c r="FC14" s="1493"/>
      <c r="FD14" s="1493"/>
      <c r="FE14" s="1493"/>
      <c r="FF14" s="1493"/>
      <c r="FG14" s="1493"/>
      <c r="FH14" s="1493"/>
      <c r="FI14" s="1493"/>
      <c r="FJ14" s="1493"/>
      <c r="FK14" s="1493"/>
      <c r="FL14" s="1493"/>
      <c r="FM14" s="1493"/>
      <c r="FN14" s="1493"/>
      <c r="FO14" s="1493"/>
      <c r="FP14" s="1493"/>
      <c r="FQ14" s="1493"/>
      <c r="FR14" s="1493"/>
      <c r="FS14" s="1493"/>
      <c r="FT14" s="1493"/>
      <c r="FU14" s="1493"/>
      <c r="FV14" s="1493"/>
      <c r="FW14" s="1493"/>
      <c r="FX14" s="1493"/>
      <c r="FY14" s="1493"/>
      <c r="FZ14" s="1493"/>
      <c r="GA14" s="1493"/>
      <c r="GB14" s="1493"/>
      <c r="GC14" s="1493"/>
      <c r="GD14" s="1493"/>
      <c r="GE14" s="1493"/>
      <c r="GF14" s="1493"/>
      <c r="GG14" s="1493"/>
      <c r="GH14" s="1493"/>
      <c r="GI14" s="1493"/>
      <c r="GJ14" s="1493"/>
      <c r="GK14" s="1493"/>
      <c r="GL14" s="1493"/>
      <c r="GM14" s="1493"/>
      <c r="GN14" s="1493"/>
      <c r="GO14" s="1493"/>
      <c r="GP14" s="1493"/>
      <c r="GQ14" s="1493"/>
      <c r="GR14" s="1493"/>
      <c r="GS14" s="1493"/>
      <c r="GT14" s="1493"/>
      <c r="GU14" s="1493"/>
      <c r="GV14" s="1493"/>
      <c r="GW14" s="1493"/>
      <c r="GX14" s="1493"/>
      <c r="GY14" s="1493"/>
      <c r="GZ14" s="1493"/>
      <c r="HA14" s="1493"/>
      <c r="HB14" s="1493"/>
      <c r="HC14" s="1493"/>
      <c r="HD14" s="1493"/>
      <c r="HE14" s="1493"/>
      <c r="HF14" s="1493"/>
      <c r="HG14" s="1493"/>
      <c r="HH14" s="1493"/>
      <c r="HI14" s="1493"/>
      <c r="HJ14" s="1493"/>
      <c r="HK14" s="1493"/>
      <c r="HL14" s="1493"/>
      <c r="HM14" s="1493"/>
      <c r="HN14" s="1493"/>
      <c r="HO14" s="1493"/>
      <c r="HP14" s="1493"/>
      <c r="HQ14" s="1493"/>
      <c r="HR14" s="1493"/>
      <c r="HS14" s="1493"/>
      <c r="HT14" s="1493"/>
      <c r="HU14" s="1493"/>
      <c r="HV14" s="1493"/>
      <c r="HW14" s="1493"/>
      <c r="HX14" s="1493"/>
      <c r="HY14" s="1493"/>
      <c r="HZ14" s="1493"/>
      <c r="IA14" s="1493"/>
      <c r="IB14" s="1493"/>
      <c r="IC14" s="1493"/>
      <c r="ID14" s="1493"/>
      <c r="IE14" s="1493"/>
      <c r="IF14" s="1493"/>
      <c r="IG14" s="1493"/>
      <c r="IH14" s="1493"/>
      <c r="II14" s="1493"/>
      <c r="IJ14" s="1493"/>
      <c r="IK14" s="1493"/>
      <c r="IL14" s="1493"/>
      <c r="IM14" s="1493"/>
      <c r="IN14" s="1493"/>
      <c r="IO14" s="1493"/>
      <c r="IP14" s="1493"/>
      <c r="IQ14" s="1493"/>
      <c r="IR14" s="1493"/>
      <c r="IS14" s="1493"/>
      <c r="IT14" s="1493"/>
      <c r="IU14" s="1493"/>
      <c r="IV14" s="1493"/>
    </row>
  </sheetData>
  <phoneticPr fontId="56"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E314"/>
  <sheetViews>
    <sheetView showGridLines="0" zoomScaleNormal="95" workbookViewId="0">
      <pane xSplit="3" ySplit="181" topLeftCell="D289" activePane="bottomRight" state="frozen"/>
      <selection activeCell="AI509" sqref="AI509"/>
      <selection pane="topRight" activeCell="AI509" sqref="AI509"/>
      <selection pane="bottomLeft" activeCell="AI509" sqref="AI509"/>
      <selection pane="bottomRight" activeCell="AZ314" sqref="AZ314"/>
    </sheetView>
  </sheetViews>
  <sheetFormatPr defaultRowHeight="12" customHeight="1" outlineLevelRow="2" outlineLevelCol="1"/>
  <cols>
    <col min="1" max="1" width="3.7109375" customWidth="1"/>
    <col min="2" max="2" width="5.140625" customWidth="1"/>
    <col min="3" max="3" width="2" customWidth="1"/>
    <col min="4" max="4" width="8" bestFit="1" customWidth="1"/>
    <col min="5" max="6" width="4.7109375" customWidth="1"/>
    <col min="7" max="7" width="8.42578125" bestFit="1" customWidth="1"/>
    <col min="8" max="8" width="4.7109375" hidden="1" customWidth="1" outlineLevel="1"/>
    <col min="9" max="9" width="4.140625" customWidth="1" collapsed="1"/>
    <col min="10" max="10" width="1.85546875" customWidth="1"/>
    <col min="11" max="11" width="9" bestFit="1" customWidth="1"/>
    <col min="12" max="12" width="3.5703125" customWidth="1"/>
    <col min="13" max="13" width="8.85546875" hidden="1" customWidth="1" outlineLevel="1"/>
    <col min="14" max="14" width="3.140625" hidden="1" customWidth="1" outlineLevel="1"/>
    <col min="15" max="15" width="8.140625" hidden="1" customWidth="1" outlineLevel="1"/>
    <col min="16" max="16" width="4.7109375" hidden="1" customWidth="1" outlineLevel="1"/>
    <col min="17" max="17" width="4.7109375" customWidth="1" collapsed="1"/>
    <col min="18" max="18" width="6.5703125" bestFit="1" customWidth="1"/>
    <col min="19" max="19" width="4.140625" bestFit="1" customWidth="1"/>
    <col min="20" max="20" width="2.28515625" customWidth="1"/>
    <col min="21" max="21" width="9" bestFit="1" customWidth="1"/>
    <col min="22" max="22" width="3.5703125" customWidth="1"/>
    <col min="23" max="23" width="4.7109375" customWidth="1" collapsed="1"/>
    <col min="24" max="24" width="6.5703125" bestFit="1" customWidth="1"/>
    <col min="25" max="25" width="4.140625" bestFit="1" customWidth="1"/>
    <col min="26" max="26" width="2.140625" customWidth="1"/>
    <col min="27" max="27" width="8" bestFit="1" customWidth="1"/>
    <col min="28" max="28" width="4.5703125" bestFit="1" customWidth="1"/>
    <col min="29" max="29" width="4.7109375" customWidth="1"/>
    <col min="30" max="30" width="6.5703125" bestFit="1" customWidth="1"/>
    <col min="31" max="31" width="4.140625" bestFit="1" customWidth="1"/>
    <col min="32" max="32" width="2.140625" customWidth="1"/>
    <col min="33" max="33" width="8" bestFit="1" customWidth="1"/>
    <col min="34" max="34" width="4.5703125" bestFit="1" customWidth="1"/>
    <col min="35" max="35" width="4.7109375" customWidth="1"/>
    <col min="36" max="36" width="6.5703125" bestFit="1" customWidth="1"/>
    <col min="37" max="37" width="4.140625" bestFit="1" customWidth="1"/>
    <col min="38" max="38" width="8.85546875" hidden="1" customWidth="1" outlineLevel="1"/>
    <col min="39" max="39" width="4.7109375" hidden="1" customWidth="1" outlineLevel="1"/>
    <col min="40" max="40" width="6.28515625" hidden="1" customWidth="1" outlineLevel="1"/>
    <col min="41" max="41" width="0" hidden="1" customWidth="1" outlineLevel="1"/>
    <col min="42" max="42" width="6.28515625" hidden="1" customWidth="1" outlineLevel="1"/>
    <col min="43" max="43" width="6" hidden="1" customWidth="1" outlineLevel="1"/>
    <col min="44" max="44" width="2" customWidth="1" collapsed="1"/>
    <col min="45" max="45" width="8" bestFit="1" customWidth="1"/>
    <col min="46" max="46" width="4.140625" customWidth="1"/>
    <col min="47" max="47" width="4.7109375" customWidth="1"/>
    <col min="48" max="49" width="5.28515625" bestFit="1" customWidth="1"/>
    <col min="50" max="50" width="7.5703125" customWidth="1" outlineLevel="1"/>
    <col min="51" max="51" width="5.85546875" customWidth="1" outlineLevel="1"/>
    <col min="52" max="52" width="8.140625" customWidth="1"/>
    <col min="53" max="53" width="6.5703125" bestFit="1" customWidth="1"/>
    <col min="54" max="54" width="2.28515625" customWidth="1"/>
    <col min="55" max="55" width="7.5703125" bestFit="1" customWidth="1"/>
    <col min="57" max="57" width="8.140625" customWidth="1"/>
  </cols>
  <sheetData>
    <row r="1" spans="1:57" ht="12" customHeight="1">
      <c r="A1" s="228" t="s">
        <v>1919</v>
      </c>
      <c r="B1" s="228"/>
      <c r="C1" s="228"/>
      <c r="D1" s="166"/>
      <c r="E1" s="1303"/>
      <c r="F1" s="166"/>
      <c r="G1" s="777"/>
      <c r="H1" s="166"/>
      <c r="I1" s="1304"/>
      <c r="J1" s="228"/>
      <c r="K1" s="166"/>
      <c r="L1" s="1304"/>
      <c r="M1" s="166"/>
      <c r="N1" s="1304"/>
      <c r="O1" s="166"/>
      <c r="P1" s="1305"/>
      <c r="Q1" s="166"/>
      <c r="R1" s="166"/>
      <c r="S1" s="166"/>
      <c r="T1" s="274"/>
      <c r="U1" s="166"/>
      <c r="V1" s="1304"/>
      <c r="W1" s="166"/>
      <c r="X1" s="166"/>
      <c r="Y1" s="166"/>
      <c r="Z1" s="274"/>
      <c r="AA1" s="166"/>
      <c r="AB1" s="1304"/>
      <c r="AC1" s="166"/>
      <c r="AD1" s="166"/>
      <c r="AE1" s="1304"/>
      <c r="AF1" s="166"/>
      <c r="AG1" s="166"/>
      <c r="AH1" s="1304"/>
      <c r="AI1" s="166"/>
      <c r="AJ1" s="166"/>
      <c r="AK1" s="1304"/>
      <c r="AL1" s="166"/>
      <c r="AM1" s="1304"/>
      <c r="AN1" s="1304"/>
      <c r="AO1" s="228"/>
      <c r="AP1" s="166"/>
      <c r="AQ1" s="166"/>
      <c r="AR1" s="274"/>
      <c r="AS1" s="228"/>
      <c r="AT1" s="228"/>
      <c r="AU1" s="228"/>
      <c r="AV1" s="228"/>
      <c r="AW1" s="228"/>
      <c r="AX1" s="228"/>
      <c r="AY1" s="1306"/>
      <c r="AZ1" s="228"/>
      <c r="BA1" s="228"/>
      <c r="BB1" s="228"/>
      <c r="BC1" s="228"/>
      <c r="BD1" s="777"/>
      <c r="BE1" s="228"/>
    </row>
    <row r="2" spans="1:57" ht="12" customHeight="1">
      <c r="A2" s="1307" t="s">
        <v>1218</v>
      </c>
      <c r="B2" s="1307"/>
      <c r="C2" s="1307"/>
      <c r="D2" s="1308"/>
      <c r="E2" s="1303"/>
      <c r="F2" s="166"/>
      <c r="G2" s="777"/>
      <c r="H2" s="166"/>
      <c r="I2" s="1304"/>
      <c r="J2" s="228"/>
      <c r="K2" s="166"/>
      <c r="L2" s="1304"/>
      <c r="M2" s="166"/>
      <c r="N2" s="1304"/>
      <c r="O2" s="166"/>
      <c r="P2" s="1305"/>
      <c r="Q2" s="166"/>
      <c r="R2" s="166"/>
      <c r="S2" s="166"/>
      <c r="T2" s="274"/>
      <c r="U2" s="166"/>
      <c r="V2" s="1304"/>
      <c r="W2" s="166"/>
      <c r="X2" s="166"/>
      <c r="Y2" s="166"/>
      <c r="Z2" s="274"/>
      <c r="AA2" s="166"/>
      <c r="AB2" s="1304"/>
      <c r="AC2" s="166"/>
      <c r="AD2" s="166"/>
      <c r="AE2" s="1304"/>
      <c r="AF2" s="166"/>
      <c r="AG2" s="166"/>
      <c r="AH2" s="1304"/>
      <c r="AI2" s="166"/>
      <c r="AJ2" s="166"/>
      <c r="AK2" s="1304"/>
      <c r="AL2" s="166"/>
      <c r="AM2" s="1304"/>
      <c r="AN2" s="1304"/>
      <c r="AO2" s="228"/>
      <c r="AP2" s="166"/>
      <c r="AQ2" s="166"/>
      <c r="AR2" s="274"/>
      <c r="AS2" s="228"/>
      <c r="AT2" s="228"/>
      <c r="AU2" s="228"/>
      <c r="AV2" s="228"/>
      <c r="AW2" s="228"/>
      <c r="AX2" s="228"/>
      <c r="AY2" s="1306"/>
      <c r="AZ2" s="228"/>
      <c r="BA2" s="228"/>
      <c r="BB2" s="228"/>
      <c r="BC2" s="228"/>
      <c r="BD2" s="777"/>
      <c r="BE2" s="228"/>
    </row>
    <row r="3" spans="1:57" ht="16.5" customHeight="1">
      <c r="A3" s="134"/>
      <c r="B3" s="132"/>
      <c r="C3" s="132"/>
      <c r="D3" s="1309" t="s">
        <v>1581</v>
      </c>
      <c r="E3" s="1297"/>
      <c r="F3" s="1298"/>
      <c r="G3" s="1298"/>
      <c r="H3" s="1298"/>
      <c r="I3" s="1298"/>
      <c r="J3" s="131"/>
      <c r="K3" s="1309" t="s">
        <v>2073</v>
      </c>
      <c r="L3" s="1297"/>
      <c r="M3" s="1298"/>
      <c r="N3" s="1298"/>
      <c r="O3" s="1298"/>
      <c r="P3" s="1298"/>
      <c r="Q3" s="644"/>
      <c r="R3" s="644"/>
      <c r="S3" s="644"/>
      <c r="T3" s="643"/>
      <c r="U3" s="1309" t="s">
        <v>2007</v>
      </c>
      <c r="V3" s="1297"/>
      <c r="W3" s="644"/>
      <c r="X3" s="644"/>
      <c r="Y3" s="644"/>
      <c r="Z3" s="643"/>
      <c r="AA3" s="1309" t="s">
        <v>2008</v>
      </c>
      <c r="AB3" s="1297"/>
      <c r="AC3" s="1298"/>
      <c r="AD3" s="644"/>
      <c r="AE3" s="644"/>
      <c r="AF3" s="230"/>
      <c r="AG3" s="1309" t="s">
        <v>1375</v>
      </c>
      <c r="AH3" s="1297"/>
      <c r="AI3" s="1298"/>
      <c r="AJ3" s="644"/>
      <c r="AK3" s="644"/>
      <c r="AL3" s="230"/>
      <c r="AM3" s="174"/>
      <c r="AN3" s="174"/>
      <c r="AO3" s="132"/>
      <c r="AP3" s="230"/>
      <c r="AQ3" s="230"/>
      <c r="AR3" s="643"/>
      <c r="AS3" s="1309" t="s">
        <v>45</v>
      </c>
      <c r="AT3" s="1297"/>
      <c r="AU3" s="1298"/>
      <c r="AV3" s="644"/>
      <c r="AW3" s="644"/>
      <c r="AX3" s="1309"/>
      <c r="AY3" s="1297"/>
      <c r="AZ3" s="1298"/>
      <c r="BA3" s="644"/>
      <c r="BB3" s="132"/>
      <c r="BC3" s="132"/>
      <c r="BD3" s="256"/>
      <c r="BE3" s="132"/>
    </row>
    <row r="4" spans="1:57" ht="34.5" customHeight="1">
      <c r="A4" s="1310"/>
      <c r="B4" s="1310"/>
      <c r="C4" s="1311"/>
      <c r="D4" s="1312" t="s">
        <v>1921</v>
      </c>
      <c r="E4" s="1310" t="s">
        <v>1922</v>
      </c>
      <c r="F4" s="1313" t="s">
        <v>1923</v>
      </c>
      <c r="G4" s="1314" t="s">
        <v>1939</v>
      </c>
      <c r="H4" s="1313" t="s">
        <v>1924</v>
      </c>
      <c r="I4" s="1315" t="s">
        <v>1923</v>
      </c>
      <c r="J4" s="1316"/>
      <c r="K4" s="1312" t="s">
        <v>1921</v>
      </c>
      <c r="L4" s="1310" t="s">
        <v>1922</v>
      </c>
      <c r="M4" s="1313" t="s">
        <v>1923</v>
      </c>
      <c r="N4" s="1317"/>
      <c r="O4" s="1312" t="s">
        <v>552</v>
      </c>
      <c r="P4" s="1318"/>
      <c r="Q4" s="1313" t="s">
        <v>1923</v>
      </c>
      <c r="R4" s="1314" t="s">
        <v>1939</v>
      </c>
      <c r="S4" s="1315" t="s">
        <v>1923</v>
      </c>
      <c r="T4" s="1316"/>
      <c r="U4" s="1312"/>
      <c r="V4" s="1310"/>
      <c r="W4" s="1313"/>
      <c r="X4" s="1314"/>
      <c r="Y4" s="1315"/>
      <c r="Z4" s="1316"/>
      <c r="AA4" s="1312" t="s">
        <v>1921</v>
      </c>
      <c r="AB4" s="1310" t="s">
        <v>1922</v>
      </c>
      <c r="AC4" s="1313" t="s">
        <v>1923</v>
      </c>
      <c r="AD4" s="1314" t="s">
        <v>1939</v>
      </c>
      <c r="AE4" s="1315" t="s">
        <v>1923</v>
      </c>
      <c r="AF4" s="1313"/>
      <c r="AG4" s="1312" t="s">
        <v>1921</v>
      </c>
      <c r="AH4" s="1310" t="s">
        <v>1922</v>
      </c>
      <c r="AI4" s="1313" t="s">
        <v>1923</v>
      </c>
      <c r="AJ4" s="1314" t="s">
        <v>1939</v>
      </c>
      <c r="AK4" s="1315" t="s">
        <v>1923</v>
      </c>
      <c r="AL4" s="1312"/>
      <c r="AM4" s="1315"/>
      <c r="AN4" s="1315"/>
      <c r="AO4" s="1319"/>
      <c r="AP4" s="1313"/>
      <c r="AQ4" s="1313"/>
      <c r="AR4" s="1316"/>
      <c r="AS4" s="1312" t="s">
        <v>1921</v>
      </c>
      <c r="AT4" s="1313" t="s">
        <v>1925</v>
      </c>
      <c r="AU4" s="1313" t="s">
        <v>1923</v>
      </c>
      <c r="AV4" s="1313" t="s">
        <v>1926</v>
      </c>
      <c r="AW4" s="1315" t="s">
        <v>1927</v>
      </c>
      <c r="AX4" s="1320" t="s">
        <v>2408</v>
      </c>
      <c r="AY4" s="1321" t="s">
        <v>2409</v>
      </c>
      <c r="AZ4" s="1314" t="s">
        <v>1939</v>
      </c>
      <c r="BA4" s="1315" t="s">
        <v>1923</v>
      </c>
      <c r="BB4" s="1315"/>
      <c r="BC4" s="653" t="s">
        <v>146</v>
      </c>
      <c r="BD4" s="651" t="s">
        <v>2003</v>
      </c>
      <c r="BE4" s="653" t="s">
        <v>2004</v>
      </c>
    </row>
    <row r="5" spans="1:57" ht="12.75" hidden="1" outlineLevel="1">
      <c r="A5" s="230"/>
      <c r="B5" s="230"/>
      <c r="C5" s="230"/>
      <c r="D5" s="1322" t="s">
        <v>145</v>
      </c>
      <c r="E5" s="644"/>
      <c r="F5" s="1323"/>
      <c r="G5" s="1323"/>
      <c r="H5" s="1323"/>
      <c r="I5" s="1323"/>
      <c r="J5" s="291"/>
      <c r="K5" s="1323" t="s">
        <v>536</v>
      </c>
      <c r="L5" s="1323"/>
      <c r="M5" s="1323"/>
      <c r="N5" s="1323"/>
      <c r="O5" s="1323"/>
      <c r="P5" s="644"/>
      <c r="Q5" s="1323"/>
      <c r="R5" s="1323"/>
      <c r="S5" s="1323"/>
      <c r="T5" s="291"/>
      <c r="U5" s="1323"/>
      <c r="V5" s="1323"/>
      <c r="W5" s="1323"/>
      <c r="X5" s="1323"/>
      <c r="Y5" s="1323"/>
      <c r="Z5" s="291"/>
      <c r="AA5" s="1323" t="s">
        <v>537</v>
      </c>
      <c r="AB5" s="644"/>
      <c r="AC5" s="1323"/>
      <c r="AD5" s="1323"/>
      <c r="AE5" s="644"/>
      <c r="AF5" s="1323"/>
      <c r="AG5" s="1323"/>
      <c r="AH5" s="644" t="s">
        <v>1383</v>
      </c>
      <c r="AI5" s="1323"/>
      <c r="AJ5" s="1323"/>
      <c r="AK5" s="644"/>
      <c r="AL5" s="1323" t="s">
        <v>2414</v>
      </c>
      <c r="AM5" s="644"/>
      <c r="AN5" s="1323"/>
      <c r="AO5" s="1323"/>
      <c r="AP5" s="1323"/>
      <c r="AQ5" s="1323"/>
      <c r="AR5" s="291"/>
      <c r="AS5" s="1323" t="s">
        <v>2005</v>
      </c>
      <c r="AT5" s="644"/>
      <c r="AU5" s="644"/>
      <c r="AV5" s="644"/>
      <c r="AW5" s="644"/>
      <c r="AX5" s="644"/>
      <c r="AY5" s="1324"/>
      <c r="AZ5" s="230"/>
      <c r="BA5" s="230"/>
      <c r="BB5" s="230"/>
      <c r="BC5" s="1323" t="s">
        <v>1920</v>
      </c>
      <c r="BD5" s="776"/>
      <c r="BE5" s="1323"/>
    </row>
    <row r="6" spans="1:57" ht="45" hidden="1" outlineLevel="1">
      <c r="A6" s="1310"/>
      <c r="B6" s="1310"/>
      <c r="C6" s="1311"/>
      <c r="D6" s="1312" t="s">
        <v>1921</v>
      </c>
      <c r="E6" s="1310" t="s">
        <v>1922</v>
      </c>
      <c r="F6" s="1313" t="s">
        <v>1923</v>
      </c>
      <c r="G6" s="1314" t="s">
        <v>1939</v>
      </c>
      <c r="H6" s="1313" t="s">
        <v>1924</v>
      </c>
      <c r="I6" s="1315" t="s">
        <v>1923</v>
      </c>
      <c r="J6" s="1316"/>
      <c r="K6" s="1312" t="s">
        <v>551</v>
      </c>
      <c r="L6" s="1317"/>
      <c r="M6" s="1312" t="s">
        <v>550</v>
      </c>
      <c r="N6" s="1317"/>
      <c r="O6" s="1312" t="s">
        <v>552</v>
      </c>
      <c r="P6" s="1318"/>
      <c r="Q6" s="1313" t="s">
        <v>1923</v>
      </c>
      <c r="R6" s="1313"/>
      <c r="S6" s="1313"/>
      <c r="T6" s="1316"/>
      <c r="U6" s="1312"/>
      <c r="V6" s="1317"/>
      <c r="W6" s="1313"/>
      <c r="X6" s="1313"/>
      <c r="Y6" s="1313"/>
      <c r="Z6" s="1316"/>
      <c r="AA6" s="1312" t="s">
        <v>538</v>
      </c>
      <c r="AB6" s="1315"/>
      <c r="AC6" s="1313" t="s">
        <v>1923</v>
      </c>
      <c r="AD6" s="1312" t="s">
        <v>539</v>
      </c>
      <c r="AE6" s="1315"/>
      <c r="AF6" s="1313" t="s">
        <v>1923</v>
      </c>
      <c r="AG6" s="1312"/>
      <c r="AH6" s="1315" t="s">
        <v>1939</v>
      </c>
      <c r="AI6" s="1313" t="s">
        <v>1924</v>
      </c>
      <c r="AJ6" s="1312" t="s">
        <v>1923</v>
      </c>
      <c r="AK6" s="1315"/>
      <c r="AL6" s="1312" t="s">
        <v>1921</v>
      </c>
      <c r="AM6" s="1315"/>
      <c r="AN6" s="1315" t="s">
        <v>1923</v>
      </c>
      <c r="AO6" s="1319" t="s">
        <v>1939</v>
      </c>
      <c r="AP6" s="1313" t="s">
        <v>1924</v>
      </c>
      <c r="AQ6" s="1313" t="s">
        <v>1923</v>
      </c>
      <c r="AR6" s="1316"/>
      <c r="AS6" s="1312" t="s">
        <v>1921</v>
      </c>
      <c r="AT6" s="1313" t="s">
        <v>1925</v>
      </c>
      <c r="AU6" s="1313" t="s">
        <v>1923</v>
      </c>
      <c r="AV6" s="1313" t="s">
        <v>1926</v>
      </c>
      <c r="AW6" s="1315" t="s">
        <v>1927</v>
      </c>
      <c r="AX6" s="1320" t="s">
        <v>2408</v>
      </c>
      <c r="AY6" s="1321" t="s">
        <v>2409</v>
      </c>
      <c r="AZ6" s="1310"/>
      <c r="BA6" s="1310"/>
      <c r="BB6" s="1310"/>
      <c r="BC6" s="653" t="s">
        <v>146</v>
      </c>
      <c r="BD6" s="651" t="s">
        <v>2003</v>
      </c>
      <c r="BE6" s="653" t="s">
        <v>2004</v>
      </c>
    </row>
    <row r="7" spans="1:57" ht="12.75" hidden="1" outlineLevel="1">
      <c r="A7" s="1310"/>
      <c r="B7" s="1310"/>
      <c r="C7" s="1311"/>
      <c r="D7" s="1312"/>
      <c r="E7" s="1310"/>
      <c r="F7" s="1313"/>
      <c r="G7" s="1314"/>
      <c r="H7" s="1313"/>
      <c r="I7" s="1315"/>
      <c r="J7" s="1316"/>
      <c r="K7" s="1312"/>
      <c r="L7" s="1317"/>
      <c r="M7" s="1312"/>
      <c r="N7" s="1317"/>
      <c r="O7" s="1312"/>
      <c r="P7" s="1318"/>
      <c r="Q7" s="1313"/>
      <c r="R7" s="1313"/>
      <c r="S7" s="1313"/>
      <c r="T7" s="1316"/>
      <c r="U7" s="1312"/>
      <c r="V7" s="1317"/>
      <c r="W7" s="1313"/>
      <c r="X7" s="1313"/>
      <c r="Y7" s="1313"/>
      <c r="Z7" s="1316"/>
      <c r="AA7" s="1312"/>
      <c r="AB7" s="1315"/>
      <c r="AC7" s="1313"/>
      <c r="AD7" s="1312"/>
      <c r="AE7" s="1315"/>
      <c r="AF7" s="1313"/>
      <c r="AG7" s="1312"/>
      <c r="AH7" s="1315"/>
      <c r="AI7" s="1313"/>
      <c r="AJ7" s="1312"/>
      <c r="AK7" s="1315"/>
      <c r="AL7" s="1312"/>
      <c r="AM7" s="1315"/>
      <c r="AN7" s="1315"/>
      <c r="AO7" s="1319"/>
      <c r="AP7" s="1313"/>
      <c r="AQ7" s="1313"/>
      <c r="AR7" s="1316"/>
      <c r="AS7" s="1312"/>
      <c r="AT7" s="1313"/>
      <c r="AU7" s="1313"/>
      <c r="AV7" s="1313"/>
      <c r="AW7" s="1315"/>
      <c r="AX7" s="1315"/>
      <c r="AY7" s="1321"/>
      <c r="AZ7" s="1310"/>
      <c r="BA7" s="1310"/>
      <c r="BB7" s="1310"/>
      <c r="BC7" s="653"/>
      <c r="BD7" s="651"/>
      <c r="BE7" s="653"/>
    </row>
    <row r="8" spans="1:57" ht="12" hidden="1" customHeight="1" outlineLevel="2">
      <c r="A8" s="2506">
        <v>1987</v>
      </c>
      <c r="B8" s="2506"/>
      <c r="C8" s="132"/>
      <c r="D8" s="230"/>
      <c r="E8" s="1325"/>
      <c r="F8" s="230"/>
      <c r="G8" s="256"/>
      <c r="H8" s="230"/>
      <c r="I8" s="174"/>
      <c r="J8" s="132"/>
      <c r="K8" s="230"/>
      <c r="L8" s="174"/>
      <c r="M8" s="230"/>
      <c r="N8" s="174"/>
      <c r="O8" s="230"/>
      <c r="P8" s="200"/>
      <c r="Q8" s="230"/>
      <c r="R8" s="230"/>
      <c r="S8" s="230"/>
      <c r="T8" s="643"/>
      <c r="U8" s="230"/>
      <c r="V8" s="174"/>
      <c r="W8" s="230"/>
      <c r="X8" s="230"/>
      <c r="Y8" s="230"/>
      <c r="Z8" s="643"/>
      <c r="AA8" s="230"/>
      <c r="AB8" s="174"/>
      <c r="AC8" s="230"/>
      <c r="AD8" s="230"/>
      <c r="AE8" s="174"/>
      <c r="AF8" s="230"/>
      <c r="AG8" s="230"/>
      <c r="AH8" s="174"/>
      <c r="AI8" s="230"/>
      <c r="AJ8" s="230"/>
      <c r="AK8" s="174"/>
      <c r="AL8" s="233"/>
      <c r="AM8" s="174"/>
      <c r="AN8" s="1326"/>
      <c r="AO8" s="132"/>
      <c r="AP8" s="230"/>
      <c r="AQ8" s="230"/>
      <c r="AR8" s="643"/>
      <c r="AS8" s="587"/>
      <c r="AT8" s="132"/>
      <c r="AU8" s="132"/>
      <c r="AV8" s="200"/>
      <c r="AW8" s="174"/>
      <c r="AX8" s="174"/>
      <c r="AY8" s="1327"/>
      <c r="AZ8" s="132"/>
      <c r="BA8" s="132"/>
      <c r="BB8" s="132"/>
      <c r="BC8" s="132"/>
      <c r="BD8" s="256"/>
      <c r="BE8" s="132"/>
    </row>
    <row r="9" spans="1:57" ht="12" hidden="1" customHeight="1" outlineLevel="2">
      <c r="A9" s="132" t="s">
        <v>1998</v>
      </c>
      <c r="B9" s="132" t="s">
        <v>1985</v>
      </c>
      <c r="C9" s="132"/>
      <c r="D9" s="1328"/>
      <c r="E9" s="1329"/>
      <c r="F9" s="1330"/>
      <c r="G9" s="1331"/>
      <c r="H9" s="665"/>
      <c r="I9" s="1330"/>
      <c r="J9" s="132"/>
      <c r="K9" s="1332"/>
      <c r="L9" s="1333"/>
      <c r="M9" s="1332"/>
      <c r="N9" s="1333"/>
      <c r="O9" s="1332"/>
      <c r="P9" s="1334"/>
      <c r="Q9" s="665"/>
      <c r="R9" s="665"/>
      <c r="S9" s="665"/>
      <c r="T9" s="664"/>
      <c r="U9" s="1332"/>
      <c r="V9" s="1333"/>
      <c r="W9" s="665"/>
      <c r="X9" s="665"/>
      <c r="Y9" s="665"/>
      <c r="Z9" s="664"/>
      <c r="AA9" s="1332"/>
      <c r="AB9" s="1335"/>
      <c r="AC9" s="665"/>
      <c r="AD9" s="1332"/>
      <c r="AE9" s="1335"/>
      <c r="AF9" s="665"/>
      <c r="AG9" s="1332"/>
      <c r="AH9" s="1335"/>
      <c r="AI9" s="665"/>
      <c r="AJ9" s="1332"/>
      <c r="AK9" s="1335"/>
      <c r="AL9" s="1336"/>
      <c r="AM9" s="1335"/>
      <c r="AN9" s="1337"/>
      <c r="AO9" s="1338"/>
      <c r="AP9" s="665"/>
      <c r="AQ9" s="1339"/>
      <c r="AR9" s="664"/>
      <c r="AS9" s="1340">
        <f>+D9+O9+AA9+AD9+AL9</f>
        <v>0</v>
      </c>
      <c r="AT9" s="1341"/>
      <c r="AU9" s="665"/>
      <c r="AV9" s="1334"/>
      <c r="AW9" s="1335"/>
      <c r="AX9" s="1335"/>
      <c r="AY9" s="1342"/>
      <c r="AZ9" s="132"/>
      <c r="BA9" s="132"/>
      <c r="BB9" s="132"/>
      <c r="BC9" s="215" t="e">
        <f>D9/AS9</f>
        <v>#DIV/0!</v>
      </c>
      <c r="BD9" s="1492" t="e">
        <f>(O9+AA9+AD9)/AS9</f>
        <v>#DIV/0!</v>
      </c>
      <c r="BE9" s="1343" t="e">
        <f>AL9/AS9</f>
        <v>#DIV/0!</v>
      </c>
    </row>
    <row r="10" spans="1:57" ht="12" hidden="1" customHeight="1" outlineLevel="2">
      <c r="A10" s="132" t="s">
        <v>1999</v>
      </c>
      <c r="B10" s="132" t="s">
        <v>1986</v>
      </c>
      <c r="C10" s="132"/>
      <c r="D10" s="1328"/>
      <c r="E10" s="1329"/>
      <c r="F10" s="1330"/>
      <c r="G10" s="1331"/>
      <c r="H10" s="665"/>
      <c r="I10" s="1330"/>
      <c r="J10" s="672"/>
      <c r="K10" s="1344"/>
      <c r="L10" s="1345"/>
      <c r="M10" s="1344"/>
      <c r="N10" s="1345"/>
      <c r="O10" s="1344"/>
      <c r="P10" s="1334"/>
      <c r="Q10" s="665"/>
      <c r="R10" s="665"/>
      <c r="S10" s="665"/>
      <c r="T10" s="664"/>
      <c r="U10" s="1344"/>
      <c r="V10" s="1345"/>
      <c r="W10" s="665"/>
      <c r="X10" s="665"/>
      <c r="Y10" s="665"/>
      <c r="Z10" s="664"/>
      <c r="AA10" s="1344"/>
      <c r="AB10" s="1335"/>
      <c r="AC10" s="665"/>
      <c r="AD10" s="1344"/>
      <c r="AE10" s="1335"/>
      <c r="AF10" s="665"/>
      <c r="AG10" s="1344"/>
      <c r="AH10" s="1335"/>
      <c r="AI10" s="665"/>
      <c r="AJ10" s="1344"/>
      <c r="AK10" s="1335"/>
      <c r="AL10" s="1344"/>
      <c r="AM10" s="1335"/>
      <c r="AN10" s="1337"/>
      <c r="AO10" s="1338"/>
      <c r="AP10" s="665"/>
      <c r="AQ10" s="1339"/>
      <c r="AR10" s="664"/>
      <c r="AS10" s="1340">
        <f>+D10+O10+AA10+AD10+AL10</f>
        <v>0</v>
      </c>
      <c r="AT10" s="1341"/>
      <c r="AU10" s="665"/>
      <c r="AV10" s="1334"/>
      <c r="AW10" s="1335"/>
      <c r="AX10" s="1335"/>
      <c r="AY10" s="1342"/>
      <c r="AZ10" s="132"/>
      <c r="BA10" s="132"/>
      <c r="BB10" s="132"/>
      <c r="BC10" s="215" t="e">
        <f>D10/AS10</f>
        <v>#DIV/0!</v>
      </c>
      <c r="BD10" s="1492" t="e">
        <f>(O10+AA10+AD10)/AS10</f>
        <v>#DIV/0!</v>
      </c>
      <c r="BE10" s="1343" t="e">
        <f>AL10/AS10</f>
        <v>#DIV/0!</v>
      </c>
    </row>
    <row r="11" spans="1:57" ht="12" hidden="1" customHeight="1" outlineLevel="2">
      <c r="A11" s="132" t="s">
        <v>2000</v>
      </c>
      <c r="B11" s="132" t="s">
        <v>1987</v>
      </c>
      <c r="C11" s="132"/>
      <c r="D11" s="1328"/>
      <c r="E11" s="1329"/>
      <c r="F11" s="1330"/>
      <c r="G11" s="1331"/>
      <c r="H11" s="665"/>
      <c r="I11" s="1330"/>
      <c r="J11" s="132"/>
      <c r="K11" s="1344"/>
      <c r="L11" s="1345"/>
      <c r="M11" s="1344"/>
      <c r="N11" s="1345"/>
      <c r="O11" s="1344"/>
      <c r="P11" s="1346"/>
      <c r="Q11" s="665"/>
      <c r="R11" s="665"/>
      <c r="S11" s="665"/>
      <c r="T11" s="664"/>
      <c r="U11" s="1344"/>
      <c r="V11" s="1345"/>
      <c r="W11" s="665"/>
      <c r="X11" s="665"/>
      <c r="Y11" s="665"/>
      <c r="Z11" s="664"/>
      <c r="AA11" s="1344"/>
      <c r="AB11" s="1347"/>
      <c r="AC11" s="665"/>
      <c r="AD11" s="1344"/>
      <c r="AE11" s="1347"/>
      <c r="AF11" s="665"/>
      <c r="AG11" s="1344"/>
      <c r="AH11" s="1347"/>
      <c r="AI11" s="665"/>
      <c r="AJ11" s="1344"/>
      <c r="AK11" s="1347"/>
      <c r="AL11" s="1344"/>
      <c r="AM11" s="1347"/>
      <c r="AN11" s="1337"/>
      <c r="AO11" s="1338"/>
      <c r="AP11" s="665"/>
      <c r="AQ11" s="1339"/>
      <c r="AR11" s="664"/>
      <c r="AS11" s="1340">
        <f>+D11+O11+AA11+AD11+AL11</f>
        <v>0</v>
      </c>
      <c r="AT11" s="1341"/>
      <c r="AU11" s="665"/>
      <c r="AV11" s="1346"/>
      <c r="AW11" s="1347"/>
      <c r="AX11" s="1347"/>
      <c r="AY11" s="1348"/>
      <c r="AZ11" s="132"/>
      <c r="BA11" s="132"/>
      <c r="BB11" s="132"/>
      <c r="BC11" s="215" t="e">
        <f>D11/AS11</f>
        <v>#DIV/0!</v>
      </c>
      <c r="BD11" s="1492" t="e">
        <f>(O11+AA11+AD11)/AS11</f>
        <v>#DIV/0!</v>
      </c>
      <c r="BE11" s="1343" t="e">
        <f>AL11/AS11</f>
        <v>#DIV/0!</v>
      </c>
    </row>
    <row r="12" spans="1:57" ht="12" hidden="1" customHeight="1" outlineLevel="2">
      <c r="A12" s="132" t="s">
        <v>2001</v>
      </c>
      <c r="B12" s="132" t="s">
        <v>1988</v>
      </c>
      <c r="C12" s="132"/>
      <c r="D12" s="1349">
        <v>8</v>
      </c>
      <c r="E12" s="1329"/>
      <c r="F12" s="1330"/>
      <c r="G12" s="1350"/>
      <c r="H12" s="665"/>
      <c r="I12" s="1330"/>
      <c r="J12" s="132"/>
      <c r="K12" s="1351">
        <v>0</v>
      </c>
      <c r="L12" s="1352"/>
      <c r="M12" s="1349">
        <v>2</v>
      </c>
      <c r="N12" s="1352"/>
      <c r="O12" s="1328">
        <f>K12+M12</f>
        <v>2</v>
      </c>
      <c r="P12" s="1346"/>
      <c r="Q12" s="665"/>
      <c r="R12" s="665"/>
      <c r="S12" s="665"/>
      <c r="T12" s="664"/>
      <c r="U12" s="1351"/>
      <c r="V12" s="1352"/>
      <c r="W12" s="665"/>
      <c r="X12" s="665"/>
      <c r="Y12" s="665"/>
      <c r="Z12" s="664"/>
      <c r="AA12" s="1349">
        <v>0</v>
      </c>
      <c r="AB12" s="1347"/>
      <c r="AC12" s="665"/>
      <c r="AD12" s="1349">
        <v>0</v>
      </c>
      <c r="AE12" s="1347"/>
      <c r="AF12" s="665"/>
      <c r="AG12" s="1349"/>
      <c r="AH12" s="1347"/>
      <c r="AI12" s="665"/>
      <c r="AJ12" s="1349"/>
      <c r="AK12" s="1347"/>
      <c r="AL12" s="1328"/>
      <c r="AM12" s="1347"/>
      <c r="AN12" s="1337"/>
      <c r="AO12" s="1353"/>
      <c r="AP12" s="661"/>
      <c r="AQ12" s="1354"/>
      <c r="AR12" s="700"/>
      <c r="AS12" s="1355">
        <f>+D12+O12+AA12+AD12+AL12</f>
        <v>10</v>
      </c>
      <c r="AT12" s="1341"/>
      <c r="AU12" s="665"/>
      <c r="AV12" s="1346"/>
      <c r="AW12" s="1347"/>
      <c r="AX12" s="1347">
        <f>AS12-D12-AL12</f>
        <v>2</v>
      </c>
      <c r="AY12" s="1348"/>
      <c r="AZ12" s="132"/>
      <c r="BA12" s="132"/>
      <c r="BB12" s="132"/>
      <c r="BC12" s="215">
        <f>D12/AS12</f>
        <v>0.8</v>
      </c>
      <c r="BD12" s="1492">
        <f>(O12+AA12+AD12)/AS12</f>
        <v>0.2</v>
      </c>
      <c r="BE12" s="1356">
        <f>AL12/AS12</f>
        <v>0</v>
      </c>
    </row>
    <row r="13" spans="1:57" ht="12" hidden="1" customHeight="1" outlineLevel="2">
      <c r="A13" s="132"/>
      <c r="B13" s="132" t="s">
        <v>999</v>
      </c>
      <c r="C13" s="132"/>
      <c r="D13" s="1340">
        <f>+D12</f>
        <v>8</v>
      </c>
      <c r="E13" s="1357"/>
      <c r="F13" s="1330"/>
      <c r="G13" s="1331"/>
      <c r="H13" s="665">
        <f>+G13/D13*1000</f>
        <v>0</v>
      </c>
      <c r="I13" s="1330"/>
      <c r="J13" s="132"/>
      <c r="K13" s="1340">
        <f>+K12</f>
        <v>0</v>
      </c>
      <c r="L13" s="1358"/>
      <c r="M13" s="1340">
        <f>+M12</f>
        <v>2</v>
      </c>
      <c r="N13" s="1358"/>
      <c r="O13" s="1336">
        <v>2</v>
      </c>
      <c r="P13" s="1359"/>
      <c r="Q13" s="1330"/>
      <c r="R13" s="1330"/>
      <c r="S13" s="1330"/>
      <c r="T13" s="664"/>
      <c r="U13" s="1340"/>
      <c r="V13" s="1358"/>
      <c r="W13" s="1330"/>
      <c r="X13" s="1330"/>
      <c r="Y13" s="1330"/>
      <c r="Z13" s="664"/>
      <c r="AA13" s="1340">
        <f>+AA12</f>
        <v>0</v>
      </c>
      <c r="AB13" s="1360"/>
      <c r="AC13" s="1330"/>
      <c r="AD13" s="1340">
        <f>+AD12</f>
        <v>0</v>
      </c>
      <c r="AE13" s="1360"/>
      <c r="AF13" s="1330"/>
      <c r="AG13" s="1340"/>
      <c r="AH13" s="1360"/>
      <c r="AI13" s="1330"/>
      <c r="AJ13" s="1340"/>
      <c r="AK13" s="1360"/>
      <c r="AL13" s="1336"/>
      <c r="AM13" s="1360"/>
      <c r="AN13" s="1361"/>
      <c r="AO13" s="1362"/>
      <c r="AP13" s="661"/>
      <c r="AQ13" s="1361"/>
      <c r="AR13" s="700"/>
      <c r="AS13" s="1340">
        <f>+D13+O13+AA13+AD13+AL13</f>
        <v>10</v>
      </c>
      <c r="AT13" s="683">
        <f>+AS13-352</f>
        <v>-342</v>
      </c>
      <c r="AU13" s="1330">
        <f>+AS13/352-1</f>
        <v>-0.97159090909090906</v>
      </c>
      <c r="AV13" s="1359"/>
      <c r="AW13" s="1360"/>
      <c r="AX13" s="1347">
        <f>AS13-D13-AL13</f>
        <v>2</v>
      </c>
      <c r="AY13" s="1348"/>
      <c r="AZ13" s="132"/>
      <c r="BA13" s="132"/>
      <c r="BB13" s="132"/>
      <c r="BC13" s="1363">
        <f>D13/AS13</f>
        <v>0.8</v>
      </c>
      <c r="BD13" s="1810">
        <f>(O13+AA13+AD13)/AS13</f>
        <v>0.2</v>
      </c>
      <c r="BE13" s="1363">
        <f>AL13/AS13</f>
        <v>0</v>
      </c>
    </row>
    <row r="14" spans="1:57" ht="12" hidden="1" customHeight="1" outlineLevel="2">
      <c r="A14" s="139"/>
      <c r="B14" s="139"/>
      <c r="C14" s="132"/>
      <c r="D14" s="233"/>
      <c r="E14" s="1364"/>
      <c r="F14" s="233"/>
      <c r="G14" s="587"/>
      <c r="H14" s="230"/>
      <c r="I14" s="174"/>
      <c r="J14" s="132"/>
      <c r="K14" s="230"/>
      <c r="L14" s="174"/>
      <c r="M14" s="230"/>
      <c r="N14" s="174"/>
      <c r="O14" s="230"/>
      <c r="P14" s="1365"/>
      <c r="Q14" s="230"/>
      <c r="R14" s="230"/>
      <c r="S14" s="230"/>
      <c r="T14" s="643"/>
      <c r="U14" s="230"/>
      <c r="V14" s="174"/>
      <c r="W14" s="230"/>
      <c r="X14" s="230"/>
      <c r="Y14" s="230"/>
      <c r="Z14" s="643"/>
      <c r="AA14" s="230"/>
      <c r="AB14" s="1326"/>
      <c r="AC14" s="230"/>
      <c r="AD14" s="230"/>
      <c r="AE14" s="1326"/>
      <c r="AF14" s="230"/>
      <c r="AG14" s="230"/>
      <c r="AH14" s="1326"/>
      <c r="AI14" s="230"/>
      <c r="AJ14" s="230"/>
      <c r="AK14" s="1326"/>
      <c r="AL14" s="233"/>
      <c r="AM14" s="1326"/>
      <c r="AN14" s="1326"/>
      <c r="AO14" s="132"/>
      <c r="AP14" s="233"/>
      <c r="AQ14" s="233"/>
      <c r="AR14" s="893"/>
      <c r="AS14" s="587"/>
      <c r="AT14" s="132"/>
      <c r="AU14" s="132"/>
      <c r="AV14" s="1365"/>
      <c r="AW14" s="1326"/>
      <c r="AX14" s="1326"/>
      <c r="AY14" s="1366"/>
      <c r="AZ14" s="132"/>
      <c r="BA14" s="132"/>
      <c r="BB14" s="132"/>
      <c r="BC14" s="132"/>
      <c r="BD14" s="256"/>
      <c r="BE14" s="132"/>
    </row>
    <row r="15" spans="1:57" ht="12" hidden="1" customHeight="1" outlineLevel="2">
      <c r="A15" s="2506">
        <v>1988</v>
      </c>
      <c r="B15" s="2506"/>
      <c r="C15" s="132"/>
      <c r="D15" s="230"/>
      <c r="E15" s="1325"/>
      <c r="F15" s="230"/>
      <c r="G15" s="256"/>
      <c r="H15" s="230"/>
      <c r="I15" s="174"/>
      <c r="J15" s="132"/>
      <c r="K15" s="230"/>
      <c r="L15" s="174"/>
      <c r="M15" s="230"/>
      <c r="N15" s="174"/>
      <c r="O15" s="230"/>
      <c r="P15" s="200"/>
      <c r="Q15" s="230"/>
      <c r="R15" s="230"/>
      <c r="S15" s="230"/>
      <c r="T15" s="643"/>
      <c r="U15" s="230"/>
      <c r="V15" s="174"/>
      <c r="W15" s="230"/>
      <c r="X15" s="230"/>
      <c r="Y15" s="230"/>
      <c r="Z15" s="643"/>
      <c r="AA15" s="230"/>
      <c r="AB15" s="174"/>
      <c r="AC15" s="230"/>
      <c r="AD15" s="230"/>
      <c r="AE15" s="174"/>
      <c r="AF15" s="230"/>
      <c r="AG15" s="230"/>
      <c r="AH15" s="174"/>
      <c r="AI15" s="230"/>
      <c r="AJ15" s="230"/>
      <c r="AK15" s="174"/>
      <c r="AL15" s="233"/>
      <c r="AM15" s="174"/>
      <c r="AN15" s="1326"/>
      <c r="AO15" s="132"/>
      <c r="AP15" s="230"/>
      <c r="AQ15" s="230"/>
      <c r="AR15" s="643"/>
      <c r="AS15" s="587"/>
      <c r="AT15" s="132"/>
      <c r="AU15" s="132"/>
      <c r="AV15" s="200"/>
      <c r="AW15" s="174"/>
      <c r="AX15" s="174"/>
      <c r="AY15" s="1327"/>
      <c r="AZ15" s="132"/>
      <c r="BA15" s="132"/>
      <c r="BB15" s="132"/>
      <c r="BC15" s="132"/>
      <c r="BD15" s="256"/>
      <c r="BE15" s="132"/>
    </row>
    <row r="16" spans="1:57" ht="12" hidden="1" customHeight="1" outlineLevel="2">
      <c r="A16" s="132" t="s">
        <v>1998</v>
      </c>
      <c r="B16" s="132" t="s">
        <v>1985</v>
      </c>
      <c r="C16" s="132"/>
      <c r="D16" s="1367">
        <v>8</v>
      </c>
      <c r="E16" s="1329">
        <f>+D16-D12</f>
        <v>0</v>
      </c>
      <c r="F16" s="1330"/>
      <c r="G16" s="1331"/>
      <c r="H16" s="665"/>
      <c r="I16" s="1330"/>
      <c r="J16" s="132"/>
      <c r="K16" s="1332"/>
      <c r="L16" s="1335"/>
      <c r="M16" s="1332"/>
      <c r="N16" s="1335"/>
      <c r="O16" s="1332"/>
      <c r="P16" s="1334"/>
      <c r="Q16" s="665"/>
      <c r="R16" s="665"/>
      <c r="S16" s="665"/>
      <c r="T16" s="664"/>
      <c r="U16" s="1332"/>
      <c r="V16" s="1335"/>
      <c r="W16" s="665"/>
      <c r="X16" s="665"/>
      <c r="Y16" s="665"/>
      <c r="Z16" s="664"/>
      <c r="AA16" s="1332"/>
      <c r="AB16" s="1335"/>
      <c r="AC16" s="665"/>
      <c r="AD16" s="1332"/>
      <c r="AE16" s="1335">
        <f>+AD16-AD12</f>
        <v>0</v>
      </c>
      <c r="AF16" s="665"/>
      <c r="AG16" s="1332"/>
      <c r="AH16" s="1335"/>
      <c r="AI16" s="665"/>
      <c r="AJ16" s="1332"/>
      <c r="AK16" s="1335"/>
      <c r="AL16" s="1336"/>
      <c r="AM16" s="1335"/>
      <c r="AN16" s="1337"/>
      <c r="AO16" s="1338"/>
      <c r="AP16" s="665"/>
      <c r="AQ16" s="1339"/>
      <c r="AR16" s="664"/>
      <c r="AS16" s="1340">
        <f>+D16+O16+AA16+AD16+AL16</f>
        <v>8</v>
      </c>
      <c r="AT16" s="1341"/>
      <c r="AU16" s="665"/>
      <c r="AV16" s="1334"/>
      <c r="AW16" s="1335"/>
      <c r="AX16" s="1368">
        <v>2</v>
      </c>
      <c r="AY16" s="1369">
        <f>AX16-AX13</f>
        <v>0</v>
      </c>
      <c r="AZ16" s="132"/>
      <c r="BA16" s="132"/>
      <c r="BB16" s="132"/>
      <c r="BC16" s="215">
        <f>D16/AS16</f>
        <v>1</v>
      </c>
      <c r="BD16" s="1492">
        <f>(O16+AA16+AD16)/AS16</f>
        <v>0</v>
      </c>
      <c r="BE16" s="1343">
        <f>AL16/AS16</f>
        <v>0</v>
      </c>
    </row>
    <row r="17" spans="1:57" ht="12" hidden="1" customHeight="1" outlineLevel="2">
      <c r="A17" s="132" t="s">
        <v>1999</v>
      </c>
      <c r="B17" s="132" t="s">
        <v>1986</v>
      </c>
      <c r="C17" s="132"/>
      <c r="D17" s="1367">
        <v>9</v>
      </c>
      <c r="E17" s="1329">
        <f>+D17-D16</f>
        <v>1</v>
      </c>
      <c r="F17" s="1330"/>
      <c r="G17" s="1331"/>
      <c r="H17" s="665"/>
      <c r="I17" s="1330"/>
      <c r="J17" s="672"/>
      <c r="K17" s="1344"/>
      <c r="L17" s="1335"/>
      <c r="M17" s="1344"/>
      <c r="N17" s="1335"/>
      <c r="O17" s="1344"/>
      <c r="P17" s="1334"/>
      <c r="Q17" s="665"/>
      <c r="R17" s="665"/>
      <c r="S17" s="665"/>
      <c r="T17" s="664"/>
      <c r="U17" s="1344"/>
      <c r="V17" s="1335"/>
      <c r="W17" s="665"/>
      <c r="X17" s="665"/>
      <c r="Y17" s="665"/>
      <c r="Z17" s="664"/>
      <c r="AA17" s="1344"/>
      <c r="AB17" s="1335"/>
      <c r="AC17" s="665"/>
      <c r="AD17" s="1344"/>
      <c r="AE17" s="1335">
        <f>+AD17-AD16</f>
        <v>0</v>
      </c>
      <c r="AF17" s="665"/>
      <c r="AG17" s="1344"/>
      <c r="AH17" s="1335"/>
      <c r="AI17" s="665"/>
      <c r="AJ17" s="1344"/>
      <c r="AK17" s="1335"/>
      <c r="AL17" s="1344"/>
      <c r="AM17" s="1335"/>
      <c r="AN17" s="1337"/>
      <c r="AO17" s="1338"/>
      <c r="AP17" s="665"/>
      <c r="AQ17" s="1339"/>
      <c r="AR17" s="664"/>
      <c r="AS17" s="1340">
        <f>+D17+O17+AA17+AD17+AL17</f>
        <v>9</v>
      </c>
      <c r="AT17" s="1341"/>
      <c r="AU17" s="665"/>
      <c r="AV17" s="1334"/>
      <c r="AW17" s="1335"/>
      <c r="AX17" s="1368">
        <v>3</v>
      </c>
      <c r="AY17" s="1369">
        <f>AX17-AX16</f>
        <v>1</v>
      </c>
      <c r="AZ17" s="132"/>
      <c r="BA17" s="132"/>
      <c r="BB17" s="132"/>
      <c r="BC17" s="215">
        <f>D17/AS17</f>
        <v>1</v>
      </c>
      <c r="BD17" s="1492">
        <f>(O17+AA17+AD17)/AS17</f>
        <v>0</v>
      </c>
      <c r="BE17" s="1343">
        <f>AL17/AS17</f>
        <v>0</v>
      </c>
    </row>
    <row r="18" spans="1:57" ht="12" hidden="1" customHeight="1" outlineLevel="2">
      <c r="A18" s="132" t="s">
        <v>2000</v>
      </c>
      <c r="B18" s="132" t="s">
        <v>1987</v>
      </c>
      <c r="C18" s="132"/>
      <c r="D18" s="1367">
        <v>9</v>
      </c>
      <c r="E18" s="1329">
        <f>+D18-D17</f>
        <v>0</v>
      </c>
      <c r="F18" s="1330"/>
      <c r="G18" s="1331"/>
      <c r="H18" s="665"/>
      <c r="I18" s="1330"/>
      <c r="J18" s="132"/>
      <c r="K18" s="1344"/>
      <c r="L18" s="1335"/>
      <c r="M18" s="1344"/>
      <c r="N18" s="1335"/>
      <c r="O18" s="1344"/>
      <c r="P18" s="1346"/>
      <c r="Q18" s="665"/>
      <c r="R18" s="665"/>
      <c r="S18" s="665"/>
      <c r="T18" s="664"/>
      <c r="U18" s="1344"/>
      <c r="V18" s="1335"/>
      <c r="W18" s="665"/>
      <c r="X18" s="665"/>
      <c r="Y18" s="665"/>
      <c r="Z18" s="664"/>
      <c r="AA18" s="1344"/>
      <c r="AB18" s="1347"/>
      <c r="AC18" s="665"/>
      <c r="AD18" s="1344"/>
      <c r="AE18" s="1335">
        <f>+AD18-AD17</f>
        <v>0</v>
      </c>
      <c r="AF18" s="665"/>
      <c r="AG18" s="1344"/>
      <c r="AH18" s="1347"/>
      <c r="AI18" s="665"/>
      <c r="AJ18" s="1344"/>
      <c r="AK18" s="1335"/>
      <c r="AL18" s="1344"/>
      <c r="AM18" s="1347"/>
      <c r="AN18" s="1337"/>
      <c r="AO18" s="1338"/>
      <c r="AP18" s="665"/>
      <c r="AQ18" s="1339"/>
      <c r="AR18" s="664"/>
      <c r="AS18" s="1340">
        <f>+D18+O18+AA18+AD18+AL18</f>
        <v>9</v>
      </c>
      <c r="AT18" s="1341"/>
      <c r="AU18" s="665"/>
      <c r="AV18" s="1346"/>
      <c r="AW18" s="1347"/>
      <c r="AX18" s="1370">
        <v>4</v>
      </c>
      <c r="AY18" s="1369">
        <f>AX18-AX17</f>
        <v>1</v>
      </c>
      <c r="AZ18" s="132"/>
      <c r="BA18" s="132"/>
      <c r="BB18" s="132"/>
      <c r="BC18" s="215">
        <f>D18/AS18</f>
        <v>1</v>
      </c>
      <c r="BD18" s="1492">
        <f>(O18+AA18+AD18)/AS18</f>
        <v>0</v>
      </c>
      <c r="BE18" s="1343">
        <f>AL18/AS18</f>
        <v>0</v>
      </c>
    </row>
    <row r="19" spans="1:57" ht="12" hidden="1" customHeight="1" outlineLevel="2">
      <c r="A19" s="132" t="s">
        <v>2001</v>
      </c>
      <c r="B19" s="132" t="s">
        <v>1988</v>
      </c>
      <c r="C19" s="132"/>
      <c r="D19" s="1349">
        <v>9</v>
      </c>
      <c r="E19" s="1329">
        <f>+D19-D18</f>
        <v>0</v>
      </c>
      <c r="F19" s="1330"/>
      <c r="G19" s="1350"/>
      <c r="H19" s="665"/>
      <c r="I19" s="1330"/>
      <c r="J19" s="132"/>
      <c r="K19" s="1351">
        <v>0</v>
      </c>
      <c r="L19" s="1335"/>
      <c r="M19" s="1349">
        <v>3</v>
      </c>
      <c r="N19" s="1335"/>
      <c r="O19" s="1328">
        <f>K19+M19</f>
        <v>3</v>
      </c>
      <c r="P19" s="1346"/>
      <c r="Q19" s="665"/>
      <c r="R19" s="665"/>
      <c r="S19" s="665"/>
      <c r="T19" s="664"/>
      <c r="U19" s="1351"/>
      <c r="V19" s="1335"/>
      <c r="W19" s="665"/>
      <c r="X19" s="665"/>
      <c r="Y19" s="665"/>
      <c r="Z19" s="664"/>
      <c r="AA19" s="1349">
        <v>0</v>
      </c>
      <c r="AB19" s="1347"/>
      <c r="AC19" s="665"/>
      <c r="AD19" s="1349">
        <v>1</v>
      </c>
      <c r="AE19" s="1335">
        <f>+AD19-AD18</f>
        <v>1</v>
      </c>
      <c r="AF19" s="665"/>
      <c r="AG19" s="1349"/>
      <c r="AH19" s="1347"/>
      <c r="AI19" s="665"/>
      <c r="AJ19" s="1349"/>
      <c r="AK19" s="1335"/>
      <c r="AL19" s="1328"/>
      <c r="AM19" s="1347"/>
      <c r="AN19" s="1337"/>
      <c r="AO19" s="1353"/>
      <c r="AP19" s="661"/>
      <c r="AQ19" s="1354"/>
      <c r="AR19" s="700"/>
      <c r="AS19" s="1355">
        <f>+D19+O19+AA19+AD19+AL19</f>
        <v>13</v>
      </c>
      <c r="AT19" s="1341"/>
      <c r="AU19" s="665"/>
      <c r="AV19" s="1346"/>
      <c r="AW19" s="1347"/>
      <c r="AX19" s="1371">
        <f>AS19-D19-AL19</f>
        <v>4</v>
      </c>
      <c r="AY19" s="1369">
        <f>AX19-AX18</f>
        <v>0</v>
      </c>
      <c r="AZ19" s="132"/>
      <c r="BA19" s="132"/>
      <c r="BB19" s="132"/>
      <c r="BC19" s="215">
        <f>D19/AS19</f>
        <v>0.69230769230769229</v>
      </c>
      <c r="BD19" s="1492">
        <f>(O19+AA19+AD19)/AS19</f>
        <v>0.30769230769230771</v>
      </c>
      <c r="BE19" s="1356">
        <f>AL19/AS19</f>
        <v>0</v>
      </c>
    </row>
    <row r="20" spans="1:57" ht="12" hidden="1" customHeight="1" outlineLevel="2">
      <c r="A20" s="132"/>
      <c r="B20" s="132" t="s">
        <v>999</v>
      </c>
      <c r="C20" s="132"/>
      <c r="D20" s="1340">
        <f>+D19</f>
        <v>9</v>
      </c>
      <c r="E20" s="1357">
        <f>+D20-D13</f>
        <v>1</v>
      </c>
      <c r="F20" s="1330"/>
      <c r="G20" s="1331"/>
      <c r="H20" s="665">
        <f>+G20/D20*1000</f>
        <v>0</v>
      </c>
      <c r="I20" s="1330"/>
      <c r="J20" s="132"/>
      <c r="K20" s="1340">
        <f>+K19</f>
        <v>0</v>
      </c>
      <c r="L20" s="1372">
        <f>+K20-K13</f>
        <v>0</v>
      </c>
      <c r="M20" s="1340">
        <f>+M19</f>
        <v>3</v>
      </c>
      <c r="N20" s="1372">
        <f>+M20-M13</f>
        <v>1</v>
      </c>
      <c r="O20" s="1336">
        <v>3</v>
      </c>
      <c r="P20" s="1359"/>
      <c r="Q20" s="1330"/>
      <c r="R20" s="1330"/>
      <c r="S20" s="1330"/>
      <c r="T20" s="664"/>
      <c r="U20" s="1340"/>
      <c r="V20" s="1372"/>
      <c r="W20" s="1330"/>
      <c r="X20" s="1330"/>
      <c r="Y20" s="1330"/>
      <c r="Z20" s="664"/>
      <c r="AA20" s="1340">
        <f>+AA19</f>
        <v>0</v>
      </c>
      <c r="AB20" s="1372">
        <f>+AA20-AA13</f>
        <v>0</v>
      </c>
      <c r="AC20" s="1330"/>
      <c r="AD20" s="1340">
        <f>+AD19</f>
        <v>1</v>
      </c>
      <c r="AE20" s="1372">
        <f>+AD20-AD13</f>
        <v>1</v>
      </c>
      <c r="AF20" s="1330"/>
      <c r="AG20" s="1340"/>
      <c r="AH20" s="1372"/>
      <c r="AI20" s="1330"/>
      <c r="AJ20" s="1340"/>
      <c r="AK20" s="1372"/>
      <c r="AL20" s="1336"/>
      <c r="AM20" s="1360"/>
      <c r="AN20" s="1361"/>
      <c r="AO20" s="1362"/>
      <c r="AP20" s="661"/>
      <c r="AQ20" s="1361"/>
      <c r="AR20" s="700"/>
      <c r="AS20" s="1340">
        <f>+D20+O20+AA20+AD20+AL20</f>
        <v>13</v>
      </c>
      <c r="AT20" s="683">
        <f>+AS20-352</f>
        <v>-339</v>
      </c>
      <c r="AU20" s="1330">
        <f>+AS20/352-1</f>
        <v>-0.96306818181818177</v>
      </c>
      <c r="AV20" s="1359"/>
      <c r="AW20" s="1360"/>
      <c r="AX20" s="1371">
        <f>AS20-D20-AL20</f>
        <v>4</v>
      </c>
      <c r="AY20" s="1369">
        <f>AX20-AX13</f>
        <v>2</v>
      </c>
      <c r="AZ20" s="132"/>
      <c r="BA20" s="132"/>
      <c r="BB20" s="132"/>
      <c r="BC20" s="1363">
        <f>D20/AS20</f>
        <v>0.69230769230769229</v>
      </c>
      <c r="BD20" s="1810">
        <f>(O20+AA20+AD20)/AS20</f>
        <v>0.30769230769230771</v>
      </c>
      <c r="BE20" s="1363">
        <f>AL20/AS20</f>
        <v>0</v>
      </c>
    </row>
    <row r="21" spans="1:57" ht="12" hidden="1" customHeight="1" outlineLevel="2">
      <c r="A21" s="139"/>
      <c r="B21" s="139"/>
      <c r="C21" s="132"/>
      <c r="D21" s="233"/>
      <c r="E21" s="1364"/>
      <c r="F21" s="233"/>
      <c r="G21" s="587"/>
      <c r="H21" s="230"/>
      <c r="I21" s="174"/>
      <c r="J21" s="132"/>
      <c r="K21" s="230"/>
      <c r="L21" s="174"/>
      <c r="M21" s="230"/>
      <c r="N21" s="174"/>
      <c r="O21" s="230"/>
      <c r="P21" s="1365"/>
      <c r="Q21" s="230"/>
      <c r="R21" s="230"/>
      <c r="S21" s="230"/>
      <c r="T21" s="643"/>
      <c r="U21" s="230"/>
      <c r="V21" s="174"/>
      <c r="W21" s="230"/>
      <c r="X21" s="230"/>
      <c r="Y21" s="230"/>
      <c r="Z21" s="643"/>
      <c r="AA21" s="230"/>
      <c r="AB21" s="1326"/>
      <c r="AC21" s="230"/>
      <c r="AD21" s="230"/>
      <c r="AE21" s="1326"/>
      <c r="AF21" s="230"/>
      <c r="AG21" s="230"/>
      <c r="AH21" s="1326"/>
      <c r="AI21" s="230"/>
      <c r="AJ21" s="230"/>
      <c r="AK21" s="1326"/>
      <c r="AL21" s="233"/>
      <c r="AM21" s="1326"/>
      <c r="AN21" s="1326"/>
      <c r="AO21" s="132"/>
      <c r="AP21" s="233"/>
      <c r="AQ21" s="233"/>
      <c r="AR21" s="893"/>
      <c r="AS21" s="587"/>
      <c r="AT21" s="132"/>
      <c r="AU21" s="132"/>
      <c r="AV21" s="1365"/>
      <c r="AW21" s="1326"/>
      <c r="AX21" s="1326"/>
      <c r="AY21" s="1366"/>
      <c r="AZ21" s="132"/>
      <c r="BA21" s="132"/>
      <c r="BB21" s="132"/>
      <c r="BC21" s="132"/>
      <c r="BD21" s="256"/>
      <c r="BE21" s="132"/>
    </row>
    <row r="22" spans="1:57" ht="12" hidden="1" customHeight="1" outlineLevel="2">
      <c r="A22" s="2506">
        <v>1989</v>
      </c>
      <c r="B22" s="2506"/>
      <c r="C22" s="132"/>
      <c r="D22" s="230"/>
      <c r="E22" s="1325"/>
      <c r="F22" s="230"/>
      <c r="G22" s="256"/>
      <c r="H22" s="230"/>
      <c r="I22" s="174"/>
      <c r="J22" s="132"/>
      <c r="K22" s="230"/>
      <c r="L22" s="174"/>
      <c r="M22" s="230"/>
      <c r="N22" s="174"/>
      <c r="O22" s="230"/>
      <c r="P22" s="200"/>
      <c r="Q22" s="230"/>
      <c r="R22" s="230"/>
      <c r="S22" s="230"/>
      <c r="T22" s="643"/>
      <c r="U22" s="230"/>
      <c r="V22" s="174"/>
      <c r="W22" s="230"/>
      <c r="X22" s="230"/>
      <c r="Y22" s="230"/>
      <c r="Z22" s="643"/>
      <c r="AA22" s="230"/>
      <c r="AB22" s="174"/>
      <c r="AC22" s="230"/>
      <c r="AD22" s="230"/>
      <c r="AE22" s="174"/>
      <c r="AF22" s="230"/>
      <c r="AG22" s="230"/>
      <c r="AH22" s="174"/>
      <c r="AI22" s="230"/>
      <c r="AJ22" s="230"/>
      <c r="AK22" s="174"/>
      <c r="AL22" s="233"/>
      <c r="AM22" s="174"/>
      <c r="AN22" s="1326"/>
      <c r="AO22" s="132"/>
      <c r="AP22" s="230"/>
      <c r="AQ22" s="230"/>
      <c r="AR22" s="643"/>
      <c r="AS22" s="587"/>
      <c r="AT22" s="132"/>
      <c r="AU22" s="132"/>
      <c r="AV22" s="200"/>
      <c r="AW22" s="174"/>
      <c r="AX22" s="174"/>
      <c r="AY22" s="1327"/>
      <c r="AZ22" s="132"/>
      <c r="BA22" s="132"/>
      <c r="BB22" s="132"/>
      <c r="BC22" s="132"/>
      <c r="BD22" s="256"/>
      <c r="BE22" s="132"/>
    </row>
    <row r="23" spans="1:57" ht="12" hidden="1" customHeight="1" outlineLevel="2">
      <c r="A23" s="132" t="s">
        <v>1998</v>
      </c>
      <c r="B23" s="132" t="s">
        <v>1985</v>
      </c>
      <c r="C23" s="132"/>
      <c r="D23" s="1373">
        <v>9</v>
      </c>
      <c r="E23" s="1329">
        <f>+D23-D19</f>
        <v>0</v>
      </c>
      <c r="F23" s="1330"/>
      <c r="G23" s="1331"/>
      <c r="H23" s="665"/>
      <c r="I23" s="1330"/>
      <c r="J23" s="132"/>
      <c r="K23" s="1332"/>
      <c r="L23" s="1333"/>
      <c r="M23" s="1332"/>
      <c r="N23" s="1333"/>
      <c r="O23" s="1332"/>
      <c r="P23" s="1334"/>
      <c r="Q23" s="665"/>
      <c r="R23" s="665"/>
      <c r="S23" s="665"/>
      <c r="T23" s="664"/>
      <c r="U23" s="1332"/>
      <c r="V23" s="1333"/>
      <c r="W23" s="665"/>
      <c r="X23" s="665"/>
      <c r="Y23" s="665"/>
      <c r="Z23" s="664"/>
      <c r="AA23" s="1332"/>
      <c r="AB23" s="1335"/>
      <c r="AC23" s="665"/>
      <c r="AD23" s="1332"/>
      <c r="AE23" s="1335"/>
      <c r="AF23" s="665"/>
      <c r="AG23" s="1332"/>
      <c r="AH23" s="1335"/>
      <c r="AI23" s="665"/>
      <c r="AJ23" s="1332"/>
      <c r="AK23" s="1335"/>
      <c r="AL23" s="1336"/>
      <c r="AM23" s="1335"/>
      <c r="AN23" s="1337"/>
      <c r="AO23" s="1338"/>
      <c r="AP23" s="665"/>
      <c r="AQ23" s="1339"/>
      <c r="AR23" s="664"/>
      <c r="AS23" s="1340">
        <f>+D23+O23+AA23+AD23+AL23</f>
        <v>9</v>
      </c>
      <c r="AT23" s="1341"/>
      <c r="AU23" s="665"/>
      <c r="AV23" s="1334"/>
      <c r="AW23" s="1335"/>
      <c r="AX23" s="1368">
        <v>4</v>
      </c>
      <c r="AY23" s="1369">
        <f>AX23-AX20</f>
        <v>0</v>
      </c>
      <c r="AZ23" s="132"/>
      <c r="BA23" s="132"/>
      <c r="BB23" s="132"/>
      <c r="BC23" s="215">
        <f>D23/AS23</f>
        <v>1</v>
      </c>
      <c r="BD23" s="1492">
        <f>(O23+AA23+AD23)/AS23</f>
        <v>0</v>
      </c>
      <c r="BE23" s="1343">
        <f>AL23/AS23</f>
        <v>0</v>
      </c>
    </row>
    <row r="24" spans="1:57" ht="12" hidden="1" customHeight="1" outlineLevel="2">
      <c r="A24" s="132" t="s">
        <v>1999</v>
      </c>
      <c r="B24" s="132" t="s">
        <v>1986</v>
      </c>
      <c r="C24" s="132"/>
      <c r="D24" s="1373">
        <v>9</v>
      </c>
      <c r="E24" s="1329">
        <f>+D24-D23</f>
        <v>0</v>
      </c>
      <c r="F24" s="1330"/>
      <c r="G24" s="1331"/>
      <c r="H24" s="665"/>
      <c r="I24" s="1330"/>
      <c r="J24" s="672"/>
      <c r="K24" s="1344"/>
      <c r="L24" s="1345"/>
      <c r="M24" s="1344"/>
      <c r="N24" s="1345"/>
      <c r="O24" s="1344"/>
      <c r="P24" s="1334"/>
      <c r="Q24" s="665"/>
      <c r="R24" s="665"/>
      <c r="S24" s="665"/>
      <c r="T24" s="664"/>
      <c r="U24" s="1344"/>
      <c r="V24" s="1345"/>
      <c r="W24" s="665"/>
      <c r="X24" s="665"/>
      <c r="Y24" s="665"/>
      <c r="Z24" s="664"/>
      <c r="AA24" s="1344"/>
      <c r="AB24" s="1335"/>
      <c r="AC24" s="665"/>
      <c r="AD24" s="1344"/>
      <c r="AE24" s="1335"/>
      <c r="AF24" s="665"/>
      <c r="AG24" s="1344"/>
      <c r="AH24" s="1335"/>
      <c r="AI24" s="665"/>
      <c r="AJ24" s="1344"/>
      <c r="AK24" s="1335"/>
      <c r="AL24" s="1344"/>
      <c r="AM24" s="1335"/>
      <c r="AN24" s="1337"/>
      <c r="AO24" s="1338"/>
      <c r="AP24" s="665"/>
      <c r="AQ24" s="1339"/>
      <c r="AR24" s="664"/>
      <c r="AS24" s="1340">
        <f>+D24+O24+AA24+AD24+AL24</f>
        <v>9</v>
      </c>
      <c r="AT24" s="1341"/>
      <c r="AU24" s="665"/>
      <c r="AV24" s="1334"/>
      <c r="AW24" s="1335"/>
      <c r="AX24" s="1368">
        <v>5</v>
      </c>
      <c r="AY24" s="1369">
        <f>AX24-AX23</f>
        <v>1</v>
      </c>
      <c r="AZ24" s="132"/>
      <c r="BA24" s="132"/>
      <c r="BB24" s="132"/>
      <c r="BC24" s="215">
        <f>D24/AS24</f>
        <v>1</v>
      </c>
      <c r="BD24" s="1492">
        <f>(O24+AA24+AD24)/AS24</f>
        <v>0</v>
      </c>
      <c r="BE24" s="1343">
        <f>AL24/AS24</f>
        <v>0</v>
      </c>
    </row>
    <row r="25" spans="1:57" ht="12" hidden="1" customHeight="1" outlineLevel="2">
      <c r="A25" s="132" t="s">
        <v>2000</v>
      </c>
      <c r="B25" s="132" t="s">
        <v>1987</v>
      </c>
      <c r="C25" s="132"/>
      <c r="D25" s="1373">
        <v>9</v>
      </c>
      <c r="E25" s="1329">
        <f>+D25-D24</f>
        <v>0</v>
      </c>
      <c r="F25" s="1330"/>
      <c r="G25" s="1331"/>
      <c r="H25" s="665"/>
      <c r="I25" s="1330"/>
      <c r="J25" s="132"/>
      <c r="K25" s="1344"/>
      <c r="L25" s="1345"/>
      <c r="M25" s="1344"/>
      <c r="N25" s="1345"/>
      <c r="O25" s="1344"/>
      <c r="P25" s="1346"/>
      <c r="Q25" s="665"/>
      <c r="R25" s="665"/>
      <c r="S25" s="665"/>
      <c r="T25" s="664"/>
      <c r="U25" s="1344"/>
      <c r="V25" s="1345"/>
      <c r="W25" s="665"/>
      <c r="X25" s="665"/>
      <c r="Y25" s="665"/>
      <c r="Z25" s="664"/>
      <c r="AA25" s="1344"/>
      <c r="AB25" s="1347"/>
      <c r="AC25" s="665"/>
      <c r="AD25" s="1344"/>
      <c r="AE25" s="1347"/>
      <c r="AF25" s="665"/>
      <c r="AG25" s="1344"/>
      <c r="AH25" s="1347"/>
      <c r="AI25" s="665"/>
      <c r="AJ25" s="1344"/>
      <c r="AK25" s="1347"/>
      <c r="AL25" s="1344"/>
      <c r="AM25" s="1347"/>
      <c r="AN25" s="1337"/>
      <c r="AO25" s="1338"/>
      <c r="AP25" s="665"/>
      <c r="AQ25" s="1339"/>
      <c r="AR25" s="664"/>
      <c r="AS25" s="1340">
        <f>+D25+O25+AA25+AD25+AL25</f>
        <v>9</v>
      </c>
      <c r="AT25" s="1341"/>
      <c r="AU25" s="665"/>
      <c r="AV25" s="1346"/>
      <c r="AW25" s="1347"/>
      <c r="AX25" s="1370">
        <v>6</v>
      </c>
      <c r="AY25" s="1369">
        <f>AX25-AX24</f>
        <v>1</v>
      </c>
      <c r="AZ25" s="132"/>
      <c r="BA25" s="132"/>
      <c r="BB25" s="132"/>
      <c r="BC25" s="215">
        <f>D25/AS25</f>
        <v>1</v>
      </c>
      <c r="BD25" s="1492">
        <f>(O25+AA25+AD25)/AS25</f>
        <v>0</v>
      </c>
      <c r="BE25" s="1343">
        <f>AL25/AS25</f>
        <v>0</v>
      </c>
    </row>
    <row r="26" spans="1:57" ht="12" hidden="1" customHeight="1" outlineLevel="2">
      <c r="A26" s="132" t="s">
        <v>2001</v>
      </c>
      <c r="B26" s="132" t="s">
        <v>1988</v>
      </c>
      <c r="C26" s="132"/>
      <c r="D26" s="1349">
        <v>9</v>
      </c>
      <c r="E26" s="1329">
        <f>+D26-D25</f>
        <v>0</v>
      </c>
      <c r="F26" s="1330"/>
      <c r="G26" s="1350"/>
      <c r="H26" s="665"/>
      <c r="I26" s="1330"/>
      <c r="J26" s="132"/>
      <c r="K26" s="1351">
        <v>0</v>
      </c>
      <c r="L26" s="1352"/>
      <c r="M26" s="1349">
        <v>5</v>
      </c>
      <c r="N26" s="1352"/>
      <c r="O26" s="1328">
        <f>K26+M26</f>
        <v>5</v>
      </c>
      <c r="P26" s="1346"/>
      <c r="Q26" s="665"/>
      <c r="R26" s="665"/>
      <c r="S26" s="665"/>
      <c r="T26" s="664"/>
      <c r="U26" s="1351"/>
      <c r="V26" s="1352"/>
      <c r="W26" s="665"/>
      <c r="X26" s="665"/>
      <c r="Y26" s="665"/>
      <c r="Z26" s="664"/>
      <c r="AA26" s="1349">
        <v>0</v>
      </c>
      <c r="AB26" s="1347"/>
      <c r="AC26" s="665"/>
      <c r="AD26" s="1349">
        <v>2</v>
      </c>
      <c r="AE26" s="1347"/>
      <c r="AF26" s="665"/>
      <c r="AG26" s="1349"/>
      <c r="AH26" s="1347"/>
      <c r="AI26" s="665"/>
      <c r="AJ26" s="1349"/>
      <c r="AK26" s="1347"/>
      <c r="AL26" s="1328"/>
      <c r="AM26" s="1347"/>
      <c r="AN26" s="1337"/>
      <c r="AO26" s="1353"/>
      <c r="AP26" s="661"/>
      <c r="AQ26" s="1354"/>
      <c r="AR26" s="700"/>
      <c r="AS26" s="1355">
        <f>+D26+O26+AA26+AD26+AL26</f>
        <v>16</v>
      </c>
      <c r="AT26" s="1341"/>
      <c r="AU26" s="665"/>
      <c r="AV26" s="1346"/>
      <c r="AW26" s="1347"/>
      <c r="AX26" s="1347">
        <f>AS26-D26-AL26</f>
        <v>7</v>
      </c>
      <c r="AY26" s="1369">
        <f>AX26-AX25</f>
        <v>1</v>
      </c>
      <c r="AZ26" s="132"/>
      <c r="BA26" s="132"/>
      <c r="BB26" s="132"/>
      <c r="BC26" s="215">
        <f>D26/AS26</f>
        <v>0.5625</v>
      </c>
      <c r="BD26" s="1492">
        <f>(O26+AA26+AD26)/AS26</f>
        <v>0.4375</v>
      </c>
      <c r="BE26" s="1356">
        <f>AL26/AS26</f>
        <v>0</v>
      </c>
    </row>
    <row r="27" spans="1:57" ht="12" hidden="1" customHeight="1" outlineLevel="2">
      <c r="A27" s="132"/>
      <c r="B27" s="132" t="s">
        <v>999</v>
      </c>
      <c r="C27" s="132"/>
      <c r="D27" s="1340">
        <f>+D26</f>
        <v>9</v>
      </c>
      <c r="E27" s="1357">
        <f>+D27-D20</f>
        <v>0</v>
      </c>
      <c r="F27" s="1330"/>
      <c r="G27" s="1331"/>
      <c r="H27" s="665">
        <f>+G27/D27*1000</f>
        <v>0</v>
      </c>
      <c r="I27" s="1330"/>
      <c r="J27" s="132"/>
      <c r="K27" s="1340">
        <f>+K26</f>
        <v>0</v>
      </c>
      <c r="L27" s="1372">
        <f>+K27-K20</f>
        <v>0</v>
      </c>
      <c r="M27" s="1340">
        <f>+M26</f>
        <v>5</v>
      </c>
      <c r="N27" s="1372">
        <f>+M27-M20</f>
        <v>2</v>
      </c>
      <c r="O27" s="1336">
        <v>5</v>
      </c>
      <c r="P27" s="1359"/>
      <c r="Q27" s="1330"/>
      <c r="R27" s="1330"/>
      <c r="S27" s="1330"/>
      <c r="T27" s="664"/>
      <c r="U27" s="1340"/>
      <c r="V27" s="1372"/>
      <c r="W27" s="1330"/>
      <c r="X27" s="1330"/>
      <c r="Y27" s="1330"/>
      <c r="Z27" s="664"/>
      <c r="AA27" s="1340">
        <f>+AA26</f>
        <v>0</v>
      </c>
      <c r="AB27" s="1372">
        <f>+AA27-AA20</f>
        <v>0</v>
      </c>
      <c r="AC27" s="1330"/>
      <c r="AD27" s="1340">
        <f>+AD26</f>
        <v>2</v>
      </c>
      <c r="AE27" s="1360"/>
      <c r="AF27" s="1330"/>
      <c r="AG27" s="1340"/>
      <c r="AH27" s="1372"/>
      <c r="AI27" s="1330"/>
      <c r="AJ27" s="1340"/>
      <c r="AK27" s="1360"/>
      <c r="AL27" s="1336"/>
      <c r="AM27" s="1360"/>
      <c r="AN27" s="1361"/>
      <c r="AO27" s="1362"/>
      <c r="AP27" s="661"/>
      <c r="AQ27" s="1361"/>
      <c r="AR27" s="700"/>
      <c r="AS27" s="1340">
        <f>+D27+O27+AA27+AD27+AL27</f>
        <v>16</v>
      </c>
      <c r="AT27" s="683">
        <f>+AS27-352</f>
        <v>-336</v>
      </c>
      <c r="AU27" s="1330">
        <f>+AS27/352-1</f>
        <v>-0.95454545454545459</v>
      </c>
      <c r="AV27" s="1359"/>
      <c r="AW27" s="1360"/>
      <c r="AX27" s="1347">
        <f>AS27-D27-AL27</f>
        <v>7</v>
      </c>
      <c r="AY27" s="1369">
        <f>AX27-AX20</f>
        <v>3</v>
      </c>
      <c r="AZ27" s="132"/>
      <c r="BA27" s="132"/>
      <c r="BB27" s="132"/>
      <c r="BC27" s="1363">
        <f>D27/AS27</f>
        <v>0.5625</v>
      </c>
      <c r="BD27" s="1810">
        <f>(O27+AA27+AD27)/AS27</f>
        <v>0.4375</v>
      </c>
      <c r="BE27" s="1363">
        <f>AL27/AS27</f>
        <v>0</v>
      </c>
    </row>
    <row r="28" spans="1:57" ht="12" hidden="1" customHeight="1" outlineLevel="2">
      <c r="A28" s="139"/>
      <c r="B28" s="139"/>
      <c r="C28" s="132"/>
      <c r="D28" s="233"/>
      <c r="E28" s="1364"/>
      <c r="F28" s="233"/>
      <c r="G28" s="587"/>
      <c r="H28" s="230"/>
      <c r="I28" s="174"/>
      <c r="J28" s="132"/>
      <c r="K28" s="230"/>
      <c r="L28" s="174"/>
      <c r="M28" s="230"/>
      <c r="N28" s="174"/>
      <c r="O28" s="230"/>
      <c r="P28" s="1365"/>
      <c r="Q28" s="230"/>
      <c r="R28" s="230"/>
      <c r="S28" s="230"/>
      <c r="T28" s="643"/>
      <c r="U28" s="230"/>
      <c r="V28" s="174"/>
      <c r="W28" s="230"/>
      <c r="X28" s="230"/>
      <c r="Y28" s="230"/>
      <c r="Z28" s="643"/>
      <c r="AA28" s="230"/>
      <c r="AB28" s="1326"/>
      <c r="AC28" s="230"/>
      <c r="AD28" s="230"/>
      <c r="AE28" s="1326"/>
      <c r="AF28" s="230"/>
      <c r="AG28" s="230"/>
      <c r="AH28" s="1326"/>
      <c r="AI28" s="230"/>
      <c r="AJ28" s="230"/>
      <c r="AK28" s="1326"/>
      <c r="AL28" s="233"/>
      <c r="AM28" s="1326"/>
      <c r="AN28" s="1326"/>
      <c r="AO28" s="132"/>
      <c r="AP28" s="233"/>
      <c r="AQ28" s="233"/>
      <c r="AR28" s="893"/>
      <c r="AS28" s="587"/>
      <c r="AT28" s="132"/>
      <c r="AU28" s="132"/>
      <c r="AV28" s="1365"/>
      <c r="AW28" s="1326"/>
      <c r="AX28" s="1326"/>
      <c r="AY28" s="1366"/>
      <c r="AZ28" s="132"/>
      <c r="BA28" s="132"/>
      <c r="BB28" s="132"/>
      <c r="BC28" s="132"/>
      <c r="BD28" s="256"/>
      <c r="BE28" s="132"/>
    </row>
    <row r="29" spans="1:57" ht="12" hidden="1" customHeight="1" outlineLevel="2">
      <c r="A29" s="2506">
        <v>1990</v>
      </c>
      <c r="B29" s="2506"/>
      <c r="C29" s="132"/>
      <c r="D29" s="230"/>
      <c r="E29" s="1325"/>
      <c r="F29" s="230"/>
      <c r="G29" s="256"/>
      <c r="H29" s="230"/>
      <c r="I29" s="174"/>
      <c r="J29" s="132"/>
      <c r="K29" s="230"/>
      <c r="L29" s="174"/>
      <c r="M29" s="230"/>
      <c r="N29" s="174"/>
      <c r="O29" s="230"/>
      <c r="P29" s="200"/>
      <c r="Q29" s="230"/>
      <c r="R29" s="230"/>
      <c r="S29" s="230"/>
      <c r="T29" s="643"/>
      <c r="U29" s="230"/>
      <c r="V29" s="174"/>
      <c r="W29" s="230"/>
      <c r="X29" s="230"/>
      <c r="Y29" s="230"/>
      <c r="Z29" s="643"/>
      <c r="AA29" s="230"/>
      <c r="AB29" s="174"/>
      <c r="AC29" s="230"/>
      <c r="AD29" s="230"/>
      <c r="AE29" s="174"/>
      <c r="AF29" s="230"/>
      <c r="AG29" s="230"/>
      <c r="AH29" s="174"/>
      <c r="AI29" s="230"/>
      <c r="AJ29" s="230"/>
      <c r="AK29" s="174"/>
      <c r="AL29" s="233"/>
      <c r="AM29" s="174"/>
      <c r="AN29" s="1326"/>
      <c r="AO29" s="132"/>
      <c r="AP29" s="230"/>
      <c r="AQ29" s="230"/>
      <c r="AR29" s="643"/>
      <c r="AS29" s="587"/>
      <c r="AT29" s="132"/>
      <c r="AU29" s="132"/>
      <c r="AV29" s="200"/>
      <c r="AW29" s="174"/>
      <c r="AX29" s="174"/>
      <c r="AY29" s="1327"/>
      <c r="AZ29" s="132"/>
      <c r="BA29" s="132"/>
      <c r="BB29" s="132"/>
      <c r="BC29" s="132"/>
      <c r="BD29" s="256"/>
      <c r="BE29" s="132"/>
    </row>
    <row r="30" spans="1:57" ht="12" hidden="1" customHeight="1" outlineLevel="2">
      <c r="A30" s="132" t="s">
        <v>1998</v>
      </c>
      <c r="B30" s="132" t="s">
        <v>1985</v>
      </c>
      <c r="C30" s="132"/>
      <c r="D30" s="1367">
        <v>9</v>
      </c>
      <c r="E30" s="1329">
        <f>+D30-D26</f>
        <v>0</v>
      </c>
      <c r="F30" s="1330"/>
      <c r="G30" s="1331"/>
      <c r="H30" s="665"/>
      <c r="I30" s="1330"/>
      <c r="J30" s="132"/>
      <c r="K30" s="1332"/>
      <c r="L30" s="1335">
        <f>+K30-K26</f>
        <v>0</v>
      </c>
      <c r="M30" s="1332"/>
      <c r="N30" s="1335">
        <f>+M30-M26</f>
        <v>-5</v>
      </c>
      <c r="O30" s="1332"/>
      <c r="P30" s="1334"/>
      <c r="Q30" s="665"/>
      <c r="R30" s="665"/>
      <c r="S30" s="665"/>
      <c r="T30" s="664"/>
      <c r="U30" s="1332"/>
      <c r="V30" s="1335"/>
      <c r="W30" s="665"/>
      <c r="X30" s="665"/>
      <c r="Y30" s="665"/>
      <c r="Z30" s="664"/>
      <c r="AA30" s="1332"/>
      <c r="AB30" s="1335"/>
      <c r="AC30" s="665"/>
      <c r="AD30" s="1332"/>
      <c r="AE30" s="1374">
        <f>+AD30-AD26</f>
        <v>-2</v>
      </c>
      <c r="AF30" s="665"/>
      <c r="AG30" s="1332"/>
      <c r="AH30" s="1335"/>
      <c r="AI30" s="665"/>
      <c r="AJ30" s="1332"/>
      <c r="AK30" s="1374"/>
      <c r="AL30" s="1336"/>
      <c r="AM30" s="1335"/>
      <c r="AN30" s="1337"/>
      <c r="AO30" s="1338"/>
      <c r="AP30" s="665"/>
      <c r="AQ30" s="1339"/>
      <c r="AR30" s="664"/>
      <c r="AS30" s="1340">
        <f>+D30+O30+AA30+AD30+AL30</f>
        <v>9</v>
      </c>
      <c r="AT30" s="1341"/>
      <c r="AU30" s="665"/>
      <c r="AV30" s="1334"/>
      <c r="AW30" s="1335"/>
      <c r="AX30" s="1368">
        <v>7</v>
      </c>
      <c r="AY30" s="1369">
        <f>AX30-AX27</f>
        <v>0</v>
      </c>
      <c r="AZ30" s="132"/>
      <c r="BA30" s="132"/>
      <c r="BB30" s="132"/>
      <c r="BC30" s="215">
        <f>D30/AS30</f>
        <v>1</v>
      </c>
      <c r="BD30" s="1492">
        <f>(O30+AA30+AD30)/AS30</f>
        <v>0</v>
      </c>
      <c r="BE30" s="1343">
        <f>AL30/AS30</f>
        <v>0</v>
      </c>
    </row>
    <row r="31" spans="1:57" ht="12" hidden="1" customHeight="1" outlineLevel="2">
      <c r="A31" s="132" t="s">
        <v>1999</v>
      </c>
      <c r="B31" s="132" t="s">
        <v>1986</v>
      </c>
      <c r="C31" s="132"/>
      <c r="D31" s="1367">
        <v>10</v>
      </c>
      <c r="E31" s="1329">
        <f>+D31-D30</f>
        <v>1</v>
      </c>
      <c r="F31" s="1330"/>
      <c r="G31" s="1331"/>
      <c r="H31" s="665"/>
      <c r="I31" s="1330"/>
      <c r="J31" s="672"/>
      <c r="K31" s="1344"/>
      <c r="L31" s="1335">
        <f>+K31-K30</f>
        <v>0</v>
      </c>
      <c r="M31" s="1344"/>
      <c r="N31" s="1335">
        <f>+M31-M30</f>
        <v>0</v>
      </c>
      <c r="O31" s="1344"/>
      <c r="P31" s="1334"/>
      <c r="Q31" s="665"/>
      <c r="R31" s="665"/>
      <c r="S31" s="665"/>
      <c r="T31" s="664"/>
      <c r="U31" s="1344"/>
      <c r="V31" s="1335"/>
      <c r="W31" s="665"/>
      <c r="X31" s="665"/>
      <c r="Y31" s="665"/>
      <c r="Z31" s="664"/>
      <c r="AA31" s="1344"/>
      <c r="AB31" s="1335"/>
      <c r="AC31" s="665"/>
      <c r="AD31" s="1344"/>
      <c r="AE31" s="1335">
        <f>+AD31-AD30</f>
        <v>0</v>
      </c>
      <c r="AF31" s="665"/>
      <c r="AG31" s="1344"/>
      <c r="AH31" s="1335"/>
      <c r="AI31" s="665"/>
      <c r="AJ31" s="1344"/>
      <c r="AK31" s="1335"/>
      <c r="AL31" s="1344"/>
      <c r="AM31" s="1335"/>
      <c r="AN31" s="1337"/>
      <c r="AO31" s="1338"/>
      <c r="AP31" s="665"/>
      <c r="AQ31" s="1339"/>
      <c r="AR31" s="664"/>
      <c r="AS31" s="1340">
        <f>+D31+O31+AA31+AD31+AL31</f>
        <v>10</v>
      </c>
      <c r="AT31" s="1341"/>
      <c r="AU31" s="665"/>
      <c r="AV31" s="1334"/>
      <c r="AW31" s="1335"/>
      <c r="AX31" s="1368">
        <v>8</v>
      </c>
      <c r="AY31" s="1369">
        <f>AX31-AX30</f>
        <v>1</v>
      </c>
      <c r="AZ31" s="132"/>
      <c r="BA31" s="132"/>
      <c r="BB31" s="132"/>
      <c r="BC31" s="215">
        <f>D31/AS31</f>
        <v>1</v>
      </c>
      <c r="BD31" s="1492">
        <f>(O31+AA31+AD31)/AS31</f>
        <v>0</v>
      </c>
      <c r="BE31" s="1343">
        <f>AL31/AS31</f>
        <v>0</v>
      </c>
    </row>
    <row r="32" spans="1:57" ht="12" hidden="1" customHeight="1" outlineLevel="2">
      <c r="A32" s="132" t="s">
        <v>2000</v>
      </c>
      <c r="B32" s="132" t="s">
        <v>1987</v>
      </c>
      <c r="C32" s="132"/>
      <c r="D32" s="1367">
        <v>11</v>
      </c>
      <c r="E32" s="1329">
        <f>+D32-D31</f>
        <v>1</v>
      </c>
      <c r="F32" s="1330"/>
      <c r="G32" s="1331"/>
      <c r="H32" s="665"/>
      <c r="I32" s="1330"/>
      <c r="J32" s="132"/>
      <c r="K32" s="1344"/>
      <c r="L32" s="1335">
        <f>+K32-K31</f>
        <v>0</v>
      </c>
      <c r="M32" s="1344"/>
      <c r="N32" s="1335">
        <f>+M32-M31</f>
        <v>0</v>
      </c>
      <c r="O32" s="1344"/>
      <c r="P32" s="1346"/>
      <c r="Q32" s="665"/>
      <c r="R32" s="665"/>
      <c r="S32" s="665"/>
      <c r="T32" s="664"/>
      <c r="U32" s="1344"/>
      <c r="V32" s="1335"/>
      <c r="W32" s="665"/>
      <c r="X32" s="665"/>
      <c r="Y32" s="665"/>
      <c r="Z32" s="664"/>
      <c r="AA32" s="1344"/>
      <c r="AB32" s="1347"/>
      <c r="AC32" s="665"/>
      <c r="AD32" s="1344"/>
      <c r="AE32" s="1335">
        <f>+AD32-AD31</f>
        <v>0</v>
      </c>
      <c r="AF32" s="665"/>
      <c r="AG32" s="1344"/>
      <c r="AH32" s="1347"/>
      <c r="AI32" s="665"/>
      <c r="AJ32" s="1344"/>
      <c r="AK32" s="1335"/>
      <c r="AL32" s="1344"/>
      <c r="AM32" s="1347"/>
      <c r="AN32" s="1337"/>
      <c r="AO32" s="1338"/>
      <c r="AP32" s="665"/>
      <c r="AQ32" s="1339"/>
      <c r="AR32" s="664"/>
      <c r="AS32" s="1340">
        <f>+D32+O32+AA32+AD32+AL32</f>
        <v>11</v>
      </c>
      <c r="AT32" s="1341"/>
      <c r="AU32" s="665"/>
      <c r="AV32" s="1346"/>
      <c r="AW32" s="1347"/>
      <c r="AX32" s="1370">
        <v>8</v>
      </c>
      <c r="AY32" s="1369">
        <f>AX32-AX31</f>
        <v>0</v>
      </c>
      <c r="AZ32" s="132"/>
      <c r="BA32" s="132"/>
      <c r="BB32" s="132"/>
      <c r="BC32" s="215">
        <f>D32/AS32</f>
        <v>1</v>
      </c>
      <c r="BD32" s="1492">
        <f>(O32+AA32+AD32)/AS32</f>
        <v>0</v>
      </c>
      <c r="BE32" s="1343">
        <f>AL32/AS32</f>
        <v>0</v>
      </c>
    </row>
    <row r="33" spans="1:57" ht="12" hidden="1" customHeight="1" outlineLevel="2">
      <c r="A33" s="132" t="s">
        <v>2001</v>
      </c>
      <c r="B33" s="132" t="s">
        <v>1988</v>
      </c>
      <c r="C33" s="132"/>
      <c r="D33" s="1349">
        <v>12</v>
      </c>
      <c r="E33" s="1329">
        <f>+D33-D32</f>
        <v>1</v>
      </c>
      <c r="F33" s="1330"/>
      <c r="G33" s="1350"/>
      <c r="H33" s="665"/>
      <c r="I33" s="1330"/>
      <c r="J33" s="132"/>
      <c r="K33" s="1351">
        <v>0</v>
      </c>
      <c r="L33" s="1335">
        <f>+K33-K32</f>
        <v>0</v>
      </c>
      <c r="M33" s="1349">
        <v>5</v>
      </c>
      <c r="N33" s="1335">
        <f>+M33-M32</f>
        <v>5</v>
      </c>
      <c r="O33" s="1328">
        <f>K33+M33</f>
        <v>5</v>
      </c>
      <c r="P33" s="1346"/>
      <c r="Q33" s="665"/>
      <c r="R33" s="665"/>
      <c r="S33" s="665"/>
      <c r="T33" s="664"/>
      <c r="U33" s="1351"/>
      <c r="V33" s="1335"/>
      <c r="W33" s="665"/>
      <c r="X33" s="665"/>
      <c r="Y33" s="665"/>
      <c r="Z33" s="664"/>
      <c r="AA33" s="1349">
        <v>0</v>
      </c>
      <c r="AB33" s="1347"/>
      <c r="AC33" s="665"/>
      <c r="AD33" s="1349">
        <v>3</v>
      </c>
      <c r="AE33" s="1335">
        <f>+AD33-AD32</f>
        <v>3</v>
      </c>
      <c r="AF33" s="665"/>
      <c r="AG33" s="1349"/>
      <c r="AH33" s="1347"/>
      <c r="AI33" s="665"/>
      <c r="AJ33" s="1349"/>
      <c r="AK33" s="1335"/>
      <c r="AL33" s="1328"/>
      <c r="AM33" s="1347"/>
      <c r="AN33" s="1337"/>
      <c r="AO33" s="1353"/>
      <c r="AP33" s="661"/>
      <c r="AQ33" s="1354"/>
      <c r="AR33" s="700"/>
      <c r="AS33" s="1355">
        <f>+D33+O33+AA33+AD33+AL33</f>
        <v>20</v>
      </c>
      <c r="AT33" s="1341"/>
      <c r="AU33" s="665"/>
      <c r="AV33" s="1346"/>
      <c r="AW33" s="1347"/>
      <c r="AX33" s="1347">
        <f>AS33-D33-AL33</f>
        <v>8</v>
      </c>
      <c r="AY33" s="1369">
        <f>AX33-AX32</f>
        <v>0</v>
      </c>
      <c r="AZ33" s="132"/>
      <c r="BA33" s="132"/>
      <c r="BB33" s="132"/>
      <c r="BC33" s="215">
        <f>D33/AS33</f>
        <v>0.6</v>
      </c>
      <c r="BD33" s="1492">
        <f>(O33+AA33+AD33)/AS33</f>
        <v>0.4</v>
      </c>
      <c r="BE33" s="1356">
        <f>AL33/AS33</f>
        <v>0</v>
      </c>
    </row>
    <row r="34" spans="1:57" ht="12" hidden="1" customHeight="1" outlineLevel="2">
      <c r="A34" s="132"/>
      <c r="B34" s="132" t="s">
        <v>999</v>
      </c>
      <c r="C34" s="132"/>
      <c r="D34" s="1340">
        <f>+D33</f>
        <v>12</v>
      </c>
      <c r="E34" s="1357">
        <f>+D34-D27</f>
        <v>3</v>
      </c>
      <c r="F34" s="1330"/>
      <c r="G34" s="1331"/>
      <c r="H34" s="665">
        <f>+G34/D34*1000</f>
        <v>0</v>
      </c>
      <c r="I34" s="1330"/>
      <c r="J34" s="132"/>
      <c r="K34" s="1340">
        <f>+K33</f>
        <v>0</v>
      </c>
      <c r="L34" s="1372">
        <f>+K34-K27</f>
        <v>0</v>
      </c>
      <c r="M34" s="1340">
        <f>+M33</f>
        <v>5</v>
      </c>
      <c r="N34" s="1372">
        <f>+M34-M27</f>
        <v>0</v>
      </c>
      <c r="O34" s="1336">
        <v>5</v>
      </c>
      <c r="P34" s="1359"/>
      <c r="Q34" s="1330"/>
      <c r="R34" s="1330"/>
      <c r="S34" s="1330"/>
      <c r="T34" s="664"/>
      <c r="U34" s="1340"/>
      <c r="V34" s="1372"/>
      <c r="W34" s="1330"/>
      <c r="X34" s="1330"/>
      <c r="Y34" s="1330"/>
      <c r="Z34" s="664"/>
      <c r="AA34" s="1340">
        <f>+AA33</f>
        <v>0</v>
      </c>
      <c r="AB34" s="1372">
        <f>+AA34-AA27</f>
        <v>0</v>
      </c>
      <c r="AC34" s="1330"/>
      <c r="AD34" s="1340">
        <f>+AD33</f>
        <v>3</v>
      </c>
      <c r="AE34" s="1372">
        <f>+AD34-AD27</f>
        <v>1</v>
      </c>
      <c r="AF34" s="1330"/>
      <c r="AG34" s="1340"/>
      <c r="AH34" s="1372"/>
      <c r="AI34" s="1330"/>
      <c r="AJ34" s="1340"/>
      <c r="AK34" s="1372"/>
      <c r="AL34" s="1336"/>
      <c r="AM34" s="1360"/>
      <c r="AN34" s="1361"/>
      <c r="AO34" s="1362"/>
      <c r="AP34" s="661"/>
      <c r="AQ34" s="1361"/>
      <c r="AR34" s="700"/>
      <c r="AS34" s="1340">
        <f>+D34+O34+AA34+AD34+AL34</f>
        <v>20</v>
      </c>
      <c r="AT34" s="683">
        <f>+AS34-352</f>
        <v>-332</v>
      </c>
      <c r="AU34" s="1330">
        <f>+AS34/352-1</f>
        <v>-0.94318181818181823</v>
      </c>
      <c r="AV34" s="1359"/>
      <c r="AW34" s="1360"/>
      <c r="AX34" s="1347">
        <f>AS34-D34-AL34</f>
        <v>8</v>
      </c>
      <c r="AY34" s="1369">
        <f>AX34-AX27</f>
        <v>1</v>
      </c>
      <c r="AZ34" s="132"/>
      <c r="BA34" s="132"/>
      <c r="BB34" s="132"/>
      <c r="BC34" s="1363">
        <f>D34/AS34</f>
        <v>0.6</v>
      </c>
      <c r="BD34" s="1810">
        <f>(O34+AA34+AD34)/AS34</f>
        <v>0.4</v>
      </c>
      <c r="BE34" s="1363">
        <f>AL34/AS34</f>
        <v>0</v>
      </c>
    </row>
    <row r="35" spans="1:57" ht="12" hidden="1" customHeight="1" outlineLevel="2">
      <c r="A35" s="139"/>
      <c r="B35" s="139"/>
      <c r="C35" s="132"/>
      <c r="D35" s="233"/>
      <c r="E35" s="1364"/>
      <c r="F35" s="233"/>
      <c r="G35" s="587"/>
      <c r="H35" s="230"/>
      <c r="I35" s="174"/>
      <c r="J35" s="132"/>
      <c r="K35" s="230"/>
      <c r="L35" s="174"/>
      <c r="M35" s="230"/>
      <c r="N35" s="174"/>
      <c r="O35" s="230"/>
      <c r="P35" s="1365"/>
      <c r="Q35" s="230"/>
      <c r="R35" s="230"/>
      <c r="S35" s="230"/>
      <c r="T35" s="643"/>
      <c r="U35" s="230"/>
      <c r="V35" s="174"/>
      <c r="W35" s="230"/>
      <c r="X35" s="230"/>
      <c r="Y35" s="230"/>
      <c r="Z35" s="643"/>
      <c r="AA35" s="230"/>
      <c r="AB35" s="1326"/>
      <c r="AC35" s="230"/>
      <c r="AD35" s="230"/>
      <c r="AE35" s="1326"/>
      <c r="AF35" s="230"/>
      <c r="AG35" s="230"/>
      <c r="AH35" s="1326"/>
      <c r="AI35" s="230"/>
      <c r="AJ35" s="230"/>
      <c r="AK35" s="1326"/>
      <c r="AL35" s="233"/>
      <c r="AM35" s="1326"/>
      <c r="AN35" s="1326"/>
      <c r="AO35" s="132"/>
      <c r="AP35" s="233"/>
      <c r="AQ35" s="233"/>
      <c r="AR35" s="893"/>
      <c r="AS35" s="587"/>
      <c r="AT35" s="132"/>
      <c r="AU35" s="132"/>
      <c r="AV35" s="1365"/>
      <c r="AW35" s="1326"/>
      <c r="AX35" s="1326"/>
      <c r="AY35" s="1366"/>
      <c r="AZ35" s="132"/>
      <c r="BA35" s="132"/>
      <c r="BB35" s="132"/>
      <c r="BC35" s="132"/>
      <c r="BD35" s="256"/>
      <c r="BE35" s="132"/>
    </row>
    <row r="36" spans="1:57" ht="12" hidden="1" customHeight="1" outlineLevel="2">
      <c r="A36" s="2506">
        <f>+A29+1</f>
        <v>1991</v>
      </c>
      <c r="B36" s="2506"/>
      <c r="C36" s="132"/>
      <c r="D36" s="233"/>
      <c r="E36" s="1364"/>
      <c r="F36" s="233"/>
      <c r="G36" s="587"/>
      <c r="H36" s="230"/>
      <c r="I36" s="174"/>
      <c r="J36" s="132"/>
      <c r="K36" s="1375"/>
      <c r="L36" s="1375"/>
      <c r="M36" s="1375"/>
      <c r="N36" s="1375"/>
      <c r="O36" s="1375"/>
      <c r="P36" s="1365"/>
      <c r="Q36" s="230"/>
      <c r="R36" s="230"/>
      <c r="S36" s="230"/>
      <c r="T36" s="643"/>
      <c r="U36" s="1375"/>
      <c r="V36" s="1375"/>
      <c r="W36" s="230"/>
      <c r="X36" s="230"/>
      <c r="Y36" s="230"/>
      <c r="Z36" s="643"/>
      <c r="AA36" s="1375"/>
      <c r="AB36" s="1326"/>
      <c r="AC36" s="230"/>
      <c r="AD36" s="1375"/>
      <c r="AE36" s="1326"/>
      <c r="AF36" s="230"/>
      <c r="AG36" s="1375"/>
      <c r="AH36" s="1326"/>
      <c r="AI36" s="230"/>
      <c r="AJ36" s="1375"/>
      <c r="AK36" s="1326"/>
      <c r="AL36" s="233"/>
      <c r="AM36" s="1326"/>
      <c r="AN36" s="1326"/>
      <c r="AO36" s="132"/>
      <c r="AP36" s="233"/>
      <c r="AQ36" s="233"/>
      <c r="AR36" s="893"/>
      <c r="AS36" s="587"/>
      <c r="AT36" s="132"/>
      <c r="AU36" s="132"/>
      <c r="AV36" s="1365"/>
      <c r="AW36" s="1326"/>
      <c r="AX36" s="1376"/>
      <c r="AY36" s="1366"/>
      <c r="AZ36" s="132"/>
      <c r="BA36" s="132"/>
      <c r="BB36" s="132"/>
      <c r="BC36" s="132"/>
      <c r="BD36" s="256"/>
      <c r="BE36" s="132"/>
    </row>
    <row r="37" spans="1:57" ht="12" hidden="1" customHeight="1" outlineLevel="2">
      <c r="A37" s="132" t="str">
        <f>$A$30</f>
        <v>1Q</v>
      </c>
      <c r="B37" s="132" t="str">
        <f>$B$30</f>
        <v>Apr</v>
      </c>
      <c r="C37" s="132"/>
      <c r="D37" s="1367">
        <v>12</v>
      </c>
      <c r="E37" s="1329">
        <f>+D37-D33</f>
        <v>0</v>
      </c>
      <c r="F37" s="1330">
        <f>+(D37/D30-1)*100</f>
        <v>33.333333333333329</v>
      </c>
      <c r="G37" s="1331"/>
      <c r="H37" s="665"/>
      <c r="I37" s="1330" t="e">
        <f>+(G37/G30-1)*100</f>
        <v>#DIV/0!</v>
      </c>
      <c r="J37" s="132"/>
      <c r="K37" s="1332"/>
      <c r="L37" s="1335">
        <f>+K37-K33</f>
        <v>0</v>
      </c>
      <c r="M37" s="1332"/>
      <c r="N37" s="1335">
        <f>+M37-M33</f>
        <v>-5</v>
      </c>
      <c r="O37" s="1340">
        <f>+K37+M37</f>
        <v>0</v>
      </c>
      <c r="P37" s="1334">
        <f>+K37-K33</f>
        <v>0</v>
      </c>
      <c r="Q37" s="665"/>
      <c r="R37" s="665"/>
      <c r="S37" s="665"/>
      <c r="T37" s="664"/>
      <c r="U37" s="1332"/>
      <c r="V37" s="1335"/>
      <c r="W37" s="665"/>
      <c r="X37" s="665"/>
      <c r="Y37" s="665"/>
      <c r="Z37" s="664"/>
      <c r="AA37" s="1332"/>
      <c r="AB37" s="1335">
        <f>+AA37-AA33</f>
        <v>0</v>
      </c>
      <c r="AC37" s="665"/>
      <c r="AD37" s="1332">
        <v>3</v>
      </c>
      <c r="AE37" s="1374">
        <f>+AD37-AD33</f>
        <v>0</v>
      </c>
      <c r="AF37" s="665"/>
      <c r="AG37" s="1332"/>
      <c r="AH37" s="1335"/>
      <c r="AI37" s="665"/>
      <c r="AJ37" s="1332"/>
      <c r="AK37" s="1374"/>
      <c r="AL37" s="1336"/>
      <c r="AM37" s="1347"/>
      <c r="AN37" s="1337"/>
      <c r="AO37" s="1338"/>
      <c r="AP37" s="661"/>
      <c r="AQ37" s="1354"/>
      <c r="AR37" s="700"/>
      <c r="AS37" s="1340">
        <f>+D37+O37+AA37+AD37+AL37</f>
        <v>15</v>
      </c>
      <c r="AT37" s="1341">
        <f>+AS37-AS33</f>
        <v>-5</v>
      </c>
      <c r="AU37" s="1330">
        <f>+(AS37/AS30-1)*100</f>
        <v>66.666666666666671</v>
      </c>
      <c r="AV37" s="1346"/>
      <c r="AW37" s="1347"/>
      <c r="AX37" s="1370">
        <v>9</v>
      </c>
      <c r="AY37" s="1369">
        <f>AX37-AX34</f>
        <v>1</v>
      </c>
      <c r="AZ37" s="132"/>
      <c r="BA37" s="132"/>
      <c r="BB37" s="132"/>
      <c r="BC37" s="215">
        <f>D37/AS37</f>
        <v>0.8</v>
      </c>
      <c r="BD37" s="1492">
        <f>(O37+AA37+AD37)/AS37</f>
        <v>0.2</v>
      </c>
      <c r="BE37" s="1343">
        <f>AL37/AS37</f>
        <v>0</v>
      </c>
    </row>
    <row r="38" spans="1:57" ht="12" hidden="1" customHeight="1" outlineLevel="2">
      <c r="A38" s="132" t="str">
        <f>$A$31</f>
        <v>2Q</v>
      </c>
      <c r="B38" s="132" t="str">
        <f>$B$31</f>
        <v>Jul</v>
      </c>
      <c r="C38" s="132"/>
      <c r="D38" s="1367">
        <v>13</v>
      </c>
      <c r="E38" s="1329">
        <f>+D38-D37</f>
        <v>1</v>
      </c>
      <c r="F38" s="1330">
        <f>+(D38/D31-1)*100</f>
        <v>30.000000000000004</v>
      </c>
      <c r="G38" s="1331"/>
      <c r="H38" s="665"/>
      <c r="I38" s="1330" t="e">
        <f>+(G38/G31-1)*100</f>
        <v>#DIV/0!</v>
      </c>
      <c r="J38" s="672"/>
      <c r="K38" s="1344"/>
      <c r="L38" s="1335">
        <f>+K38-K37</f>
        <v>0</v>
      </c>
      <c r="M38" s="1344"/>
      <c r="N38" s="1335">
        <f>+M38-M37</f>
        <v>0</v>
      </c>
      <c r="O38" s="1328">
        <f>+K38+M38</f>
        <v>0</v>
      </c>
      <c r="P38" s="1334">
        <f>+K38-K37</f>
        <v>0</v>
      </c>
      <c r="Q38" s="665"/>
      <c r="R38" s="665"/>
      <c r="S38" s="665"/>
      <c r="T38" s="664"/>
      <c r="U38" s="1344"/>
      <c r="V38" s="1335"/>
      <c r="W38" s="665"/>
      <c r="X38" s="665"/>
      <c r="Y38" s="665"/>
      <c r="Z38" s="664"/>
      <c r="AA38" s="1344"/>
      <c r="AB38" s="1335">
        <f>+AA38-AA37</f>
        <v>0</v>
      </c>
      <c r="AC38" s="665"/>
      <c r="AD38" s="1344">
        <v>4</v>
      </c>
      <c r="AE38" s="1335">
        <f>+AD38-AD37</f>
        <v>1</v>
      </c>
      <c r="AF38" s="665"/>
      <c r="AG38" s="1344"/>
      <c r="AH38" s="1335"/>
      <c r="AI38" s="665"/>
      <c r="AJ38" s="1344"/>
      <c r="AK38" s="1335"/>
      <c r="AL38" s="1344"/>
      <c r="AM38" s="1347"/>
      <c r="AN38" s="1337"/>
      <c r="AO38" s="1338"/>
      <c r="AP38" s="661"/>
      <c r="AQ38" s="1354"/>
      <c r="AR38" s="700"/>
      <c r="AS38" s="1340">
        <f>+D38+O38+AA38+AD38+AL38</f>
        <v>17</v>
      </c>
      <c r="AT38" s="1341">
        <f>+AS38-AS37</f>
        <v>2</v>
      </c>
      <c r="AU38" s="1330">
        <f>+(AS38/AS31-1)*100</f>
        <v>70</v>
      </c>
      <c r="AV38" s="1346"/>
      <c r="AW38" s="1347"/>
      <c r="AX38" s="1370">
        <v>10</v>
      </c>
      <c r="AY38" s="1369">
        <f>AX38-AX37</f>
        <v>1</v>
      </c>
      <c r="AZ38" s="132"/>
      <c r="BA38" s="132"/>
      <c r="BB38" s="132"/>
      <c r="BC38" s="215">
        <f>D38/AS38</f>
        <v>0.76470588235294112</v>
      </c>
      <c r="BD38" s="1492">
        <f>(O38+AA38+AD38)/AS38</f>
        <v>0.23529411764705882</v>
      </c>
      <c r="BE38" s="1343">
        <f>AL38/AS38</f>
        <v>0</v>
      </c>
    </row>
    <row r="39" spans="1:57" ht="12" hidden="1" customHeight="1" outlineLevel="2">
      <c r="A39" s="132" t="str">
        <f>$A$32</f>
        <v>3Q</v>
      </c>
      <c r="B39" s="132" t="str">
        <f>$B$32</f>
        <v>Oct</v>
      </c>
      <c r="C39" s="132"/>
      <c r="D39" s="1367">
        <v>13</v>
      </c>
      <c r="E39" s="1329">
        <f>+D39-D38</f>
        <v>0</v>
      </c>
      <c r="F39" s="1330">
        <f>+(D39/D32-1)*100</f>
        <v>18.181818181818187</v>
      </c>
      <c r="G39" s="1331"/>
      <c r="H39" s="665"/>
      <c r="I39" s="1330" t="e">
        <f>+(G39/G32-1)*100</f>
        <v>#DIV/0!</v>
      </c>
      <c r="J39" s="132"/>
      <c r="K39" s="1344"/>
      <c r="L39" s="1335">
        <f>+K39-K38</f>
        <v>0</v>
      </c>
      <c r="M39" s="1344"/>
      <c r="N39" s="1335">
        <f>+M39-M38</f>
        <v>0</v>
      </c>
      <c r="O39" s="1328">
        <f>+K39+M39</f>
        <v>0</v>
      </c>
      <c r="P39" s="1334">
        <f>+K39-K38</f>
        <v>0</v>
      </c>
      <c r="Q39" s="665"/>
      <c r="R39" s="665"/>
      <c r="S39" s="665"/>
      <c r="T39" s="664"/>
      <c r="U39" s="1344"/>
      <c r="V39" s="1335"/>
      <c r="W39" s="665"/>
      <c r="X39" s="665"/>
      <c r="Y39" s="665"/>
      <c r="Z39" s="664"/>
      <c r="AA39" s="1344"/>
      <c r="AB39" s="1335">
        <f>+AA39-AA38</f>
        <v>0</v>
      </c>
      <c r="AC39" s="665"/>
      <c r="AD39" s="1344">
        <v>4</v>
      </c>
      <c r="AE39" s="1335">
        <f>+AD39-AD38</f>
        <v>0</v>
      </c>
      <c r="AF39" s="665"/>
      <c r="AG39" s="1344"/>
      <c r="AH39" s="1335"/>
      <c r="AI39" s="665"/>
      <c r="AJ39" s="1344"/>
      <c r="AK39" s="1335"/>
      <c r="AL39" s="1344"/>
      <c r="AM39" s="1347"/>
      <c r="AN39" s="1337"/>
      <c r="AO39" s="1338"/>
      <c r="AP39" s="661"/>
      <c r="AQ39" s="1354"/>
      <c r="AR39" s="700"/>
      <c r="AS39" s="1340">
        <f>+D39+O39+AA39+AD39+AL39</f>
        <v>17</v>
      </c>
      <c r="AT39" s="1341">
        <f>+AS39-AS38</f>
        <v>0</v>
      </c>
      <c r="AU39" s="1330">
        <f>+(AS39/AS32-1)*100</f>
        <v>54.54545454545454</v>
      </c>
      <c r="AV39" s="1346"/>
      <c r="AW39" s="1347"/>
      <c r="AX39" s="1370">
        <v>11</v>
      </c>
      <c r="AY39" s="1369">
        <f>AX39-AX38</f>
        <v>1</v>
      </c>
      <c r="AZ39" s="132"/>
      <c r="BA39" s="132"/>
      <c r="BB39" s="132"/>
      <c r="BC39" s="215">
        <f>D39/AS39</f>
        <v>0.76470588235294112</v>
      </c>
      <c r="BD39" s="1492">
        <f>(O39+AA39+AD39)/AS39</f>
        <v>0.23529411764705882</v>
      </c>
      <c r="BE39" s="1343">
        <f>AL39/AS39</f>
        <v>0</v>
      </c>
    </row>
    <row r="40" spans="1:57" ht="12" hidden="1" customHeight="1" outlineLevel="2">
      <c r="A40" s="132" t="str">
        <f>$A$33</f>
        <v>4Q</v>
      </c>
      <c r="B40" s="132" t="str">
        <f>$B$33</f>
        <v>Jan</v>
      </c>
      <c r="C40" s="132"/>
      <c r="D40" s="1349">
        <v>13</v>
      </c>
      <c r="E40" s="1329">
        <f>+D40-D39</f>
        <v>0</v>
      </c>
      <c r="F40" s="1330">
        <f>+(D40/D33-1)*100</f>
        <v>8.333333333333325</v>
      </c>
      <c r="G40" s="1350"/>
      <c r="H40" s="665"/>
      <c r="I40" s="1330" t="e">
        <f>+(G40/G33-1)*100</f>
        <v>#DIV/0!</v>
      </c>
      <c r="J40" s="132"/>
      <c r="K40" s="1349">
        <v>1</v>
      </c>
      <c r="L40" s="1335">
        <f>+K40-K39</f>
        <v>1</v>
      </c>
      <c r="M40" s="1349">
        <v>7</v>
      </c>
      <c r="N40" s="1335">
        <f>+M40-M39</f>
        <v>7</v>
      </c>
      <c r="O40" s="1351">
        <f>+K40+M40</f>
        <v>8</v>
      </c>
      <c r="P40" s="1334">
        <f>+K40-K39</f>
        <v>1</v>
      </c>
      <c r="Q40" s="665"/>
      <c r="R40" s="665"/>
      <c r="S40" s="665"/>
      <c r="T40" s="664"/>
      <c r="U40" s="1349"/>
      <c r="V40" s="1335"/>
      <c r="W40" s="665"/>
      <c r="X40" s="665"/>
      <c r="Y40" s="665"/>
      <c r="Z40" s="664"/>
      <c r="AA40" s="1349">
        <v>0</v>
      </c>
      <c r="AB40" s="1335">
        <f>+AA40-AA39</f>
        <v>0</v>
      </c>
      <c r="AC40" s="665"/>
      <c r="AD40" s="1349">
        <v>4</v>
      </c>
      <c r="AE40" s="1335">
        <f>+AD40-AD39</f>
        <v>0</v>
      </c>
      <c r="AF40" s="665"/>
      <c r="AG40" s="1349"/>
      <c r="AH40" s="1335"/>
      <c r="AI40" s="665"/>
      <c r="AJ40" s="1349"/>
      <c r="AK40" s="1335"/>
      <c r="AL40" s="1344"/>
      <c r="AM40" s="1347"/>
      <c r="AN40" s="1337"/>
      <c r="AO40" s="1353"/>
      <c r="AP40" s="661"/>
      <c r="AQ40" s="1354"/>
      <c r="AR40" s="700"/>
      <c r="AS40" s="1355">
        <f>+D40+O40+AA40+AD40+AL40</f>
        <v>25</v>
      </c>
      <c r="AT40" s="1341">
        <f>+AS40-AS39</f>
        <v>8</v>
      </c>
      <c r="AU40" s="1330">
        <f>+(AS40/AS33-1)*100</f>
        <v>25</v>
      </c>
      <c r="AV40" s="1346"/>
      <c r="AW40" s="1347"/>
      <c r="AX40" s="1347">
        <f>AS40-D40-AL40</f>
        <v>12</v>
      </c>
      <c r="AY40" s="1369">
        <f>AX40-AX39</f>
        <v>1</v>
      </c>
      <c r="AZ40" s="132"/>
      <c r="BA40" s="132"/>
      <c r="BB40" s="132"/>
      <c r="BC40" s="215">
        <f>D40/AS40</f>
        <v>0.52</v>
      </c>
      <c r="BD40" s="1492">
        <f>(O40+AA40+AD40)/AS40</f>
        <v>0.48</v>
      </c>
      <c r="BE40" s="1356">
        <f>AL40/AS40</f>
        <v>0</v>
      </c>
    </row>
    <row r="41" spans="1:57" ht="12" hidden="1" customHeight="1" outlineLevel="2">
      <c r="A41" s="132"/>
      <c r="B41" s="132" t="str">
        <f>$B$34</f>
        <v>Year</v>
      </c>
      <c r="C41" s="132"/>
      <c r="D41" s="1340">
        <f>+D40</f>
        <v>13</v>
      </c>
      <c r="E41" s="1357">
        <f>+D41-D34</f>
        <v>1</v>
      </c>
      <c r="F41" s="1330">
        <f>+(D41/D34-1)*100</f>
        <v>8.333333333333325</v>
      </c>
      <c r="G41" s="1331"/>
      <c r="H41" s="665">
        <f>+G41/D41*1000</f>
        <v>0</v>
      </c>
      <c r="I41" s="1330" t="e">
        <f>+(G41/G34-1)*100</f>
        <v>#DIV/0!</v>
      </c>
      <c r="J41" s="132"/>
      <c r="K41" s="1340">
        <f>+K40</f>
        <v>1</v>
      </c>
      <c r="L41" s="1372">
        <f>+K41-K34</f>
        <v>1</v>
      </c>
      <c r="M41" s="1340">
        <f>+M40</f>
        <v>7</v>
      </c>
      <c r="N41" s="1372">
        <f>+M41-M34</f>
        <v>2</v>
      </c>
      <c r="O41" s="1328">
        <f>+K41+M41</f>
        <v>8</v>
      </c>
      <c r="P41" s="683">
        <f>+K41-K34</f>
        <v>1</v>
      </c>
      <c r="Q41" s="1330"/>
      <c r="R41" s="1330"/>
      <c r="S41" s="1330"/>
      <c r="T41" s="664"/>
      <c r="U41" s="1340"/>
      <c r="V41" s="1372"/>
      <c r="W41" s="1330"/>
      <c r="X41" s="1330"/>
      <c r="Y41" s="1330"/>
      <c r="Z41" s="664"/>
      <c r="AA41" s="1340">
        <f>+AA40</f>
        <v>0</v>
      </c>
      <c r="AB41" s="1372">
        <f>+AA41-AA34</f>
        <v>0</v>
      </c>
      <c r="AC41" s="1330"/>
      <c r="AD41" s="1340">
        <f>+AD40</f>
        <v>4</v>
      </c>
      <c r="AE41" s="1372">
        <f>+AD41-AD34</f>
        <v>1</v>
      </c>
      <c r="AF41" s="1330"/>
      <c r="AG41" s="1340"/>
      <c r="AH41" s="1372"/>
      <c r="AI41" s="1330"/>
      <c r="AJ41" s="1340"/>
      <c r="AK41" s="1372"/>
      <c r="AL41" s="1377"/>
      <c r="AM41" s="1360"/>
      <c r="AN41" s="1361"/>
      <c r="AO41" s="1362"/>
      <c r="AP41" s="661"/>
      <c r="AQ41" s="1361"/>
      <c r="AR41" s="700"/>
      <c r="AS41" s="1340">
        <f>+D41+O41+AA41+AD41+AL41</f>
        <v>25</v>
      </c>
      <c r="AT41" s="683">
        <f>+AS41-AS34</f>
        <v>5</v>
      </c>
      <c r="AU41" s="1330">
        <f>+(AS41/AS34-1)*100</f>
        <v>25</v>
      </c>
      <c r="AV41" s="683"/>
      <c r="AW41" s="1372"/>
      <c r="AX41" s="1347">
        <f>AS41-D41-AL41</f>
        <v>12</v>
      </c>
      <c r="AY41" s="1369">
        <f>AX41-AX34</f>
        <v>4</v>
      </c>
      <c r="AZ41" s="132"/>
      <c r="BA41" s="132"/>
      <c r="BB41" s="132"/>
      <c r="BC41" s="1363">
        <f>D41/AS41</f>
        <v>0.52</v>
      </c>
      <c r="BD41" s="1810">
        <f>(O41+AA41+AD41)/AS41</f>
        <v>0.48</v>
      </c>
      <c r="BE41" s="1363">
        <f>AL41/AS41</f>
        <v>0</v>
      </c>
    </row>
    <row r="42" spans="1:57" ht="12" hidden="1" customHeight="1" outlineLevel="2">
      <c r="A42" s="132"/>
      <c r="B42" s="132"/>
      <c r="C42" s="132"/>
      <c r="D42" s="233"/>
      <c r="E42" s="1364"/>
      <c r="F42" s="233"/>
      <c r="G42" s="587"/>
      <c r="H42" s="230"/>
      <c r="I42" s="174"/>
      <c r="J42" s="132"/>
      <c r="K42" s="230"/>
      <c r="L42" s="174"/>
      <c r="M42" s="230"/>
      <c r="N42" s="174"/>
      <c r="O42" s="230"/>
      <c r="P42" s="1365"/>
      <c r="Q42" s="230"/>
      <c r="R42" s="230"/>
      <c r="S42" s="230"/>
      <c r="T42" s="643"/>
      <c r="U42" s="230"/>
      <c r="V42" s="174"/>
      <c r="W42" s="230"/>
      <c r="X42" s="230"/>
      <c r="Y42" s="230"/>
      <c r="Z42" s="643"/>
      <c r="AA42" s="230"/>
      <c r="AB42" s="1326"/>
      <c r="AC42" s="230"/>
      <c r="AD42" s="230"/>
      <c r="AE42" s="1326"/>
      <c r="AF42" s="230"/>
      <c r="AG42" s="230"/>
      <c r="AH42" s="1326"/>
      <c r="AI42" s="230"/>
      <c r="AJ42" s="230"/>
      <c r="AK42" s="1326"/>
      <c r="AL42" s="233"/>
      <c r="AM42" s="1326"/>
      <c r="AN42" s="1326"/>
      <c r="AO42" s="132"/>
      <c r="AP42" s="233"/>
      <c r="AQ42" s="233"/>
      <c r="AR42" s="893"/>
      <c r="AS42" s="587"/>
      <c r="AT42" s="132"/>
      <c r="AU42" s="132"/>
      <c r="AV42" s="1365"/>
      <c r="AW42" s="1326"/>
      <c r="AX42" s="1326"/>
      <c r="AY42" s="1366"/>
      <c r="AZ42" s="132"/>
      <c r="BA42" s="132"/>
      <c r="BB42" s="132"/>
      <c r="BC42" s="132"/>
      <c r="BD42" s="256"/>
      <c r="BE42" s="132"/>
    </row>
    <row r="43" spans="1:57" ht="12" hidden="1" customHeight="1" outlineLevel="2">
      <c r="A43" s="2506">
        <f>+A36+1</f>
        <v>1992</v>
      </c>
      <c r="B43" s="2506"/>
      <c r="C43" s="132"/>
      <c r="D43" s="233"/>
      <c r="E43" s="1364"/>
      <c r="F43" s="233"/>
      <c r="G43" s="587"/>
      <c r="H43" s="230"/>
      <c r="I43" s="174"/>
      <c r="J43" s="132"/>
      <c r="K43" s="230"/>
      <c r="L43" s="174"/>
      <c r="M43" s="230"/>
      <c r="N43" s="174"/>
      <c r="O43" s="230"/>
      <c r="P43" s="1365"/>
      <c r="Q43" s="230"/>
      <c r="R43" s="230"/>
      <c r="S43" s="230"/>
      <c r="T43" s="643"/>
      <c r="U43" s="230"/>
      <c r="V43" s="174"/>
      <c r="W43" s="230"/>
      <c r="X43" s="230"/>
      <c r="Y43" s="230"/>
      <c r="Z43" s="643"/>
      <c r="AA43" s="230"/>
      <c r="AB43" s="1326"/>
      <c r="AC43" s="230"/>
      <c r="AD43" s="230"/>
      <c r="AE43" s="1326"/>
      <c r="AF43" s="230"/>
      <c r="AG43" s="230"/>
      <c r="AH43" s="1326"/>
      <c r="AI43" s="230"/>
      <c r="AJ43" s="230"/>
      <c r="AK43" s="1326"/>
      <c r="AL43" s="233"/>
      <c r="AM43" s="1326"/>
      <c r="AN43" s="1326"/>
      <c r="AO43" s="132"/>
      <c r="AP43" s="230"/>
      <c r="AQ43" s="230"/>
      <c r="AR43" s="643"/>
      <c r="AS43" s="587"/>
      <c r="AT43" s="132"/>
      <c r="AU43" s="132"/>
      <c r="AV43" s="1365"/>
      <c r="AW43" s="1326"/>
      <c r="AX43" s="1326"/>
      <c r="AY43" s="1366"/>
      <c r="AZ43" s="132"/>
      <c r="BA43" s="132"/>
      <c r="BB43" s="132"/>
      <c r="BC43" s="132"/>
      <c r="BD43" s="256"/>
      <c r="BE43" s="132"/>
    </row>
    <row r="44" spans="1:57" ht="12" hidden="1" customHeight="1" outlineLevel="2">
      <c r="A44" s="132" t="str">
        <f>$A$30</f>
        <v>1Q</v>
      </c>
      <c r="B44" s="132" t="str">
        <f>$B$30</f>
        <v>Apr</v>
      </c>
      <c r="C44" s="132"/>
      <c r="D44" s="1367">
        <v>13</v>
      </c>
      <c r="E44" s="1329">
        <f>+D44-D40</f>
        <v>0</v>
      </c>
      <c r="F44" s="1330">
        <f>+(D44/D37-1)*100</f>
        <v>8.333333333333325</v>
      </c>
      <c r="G44" s="1331"/>
      <c r="H44" s="665"/>
      <c r="I44" s="1330" t="e">
        <f>+(G44/G37-1)*100</f>
        <v>#DIV/0!</v>
      </c>
      <c r="J44" s="132"/>
      <c r="K44" s="1332"/>
      <c r="L44" s="1335">
        <f>+K44-K40</f>
        <v>-1</v>
      </c>
      <c r="M44" s="1332"/>
      <c r="N44" s="1335">
        <f>+M44-M40</f>
        <v>-7</v>
      </c>
      <c r="O44" s="1340">
        <f>+K44+M44</f>
        <v>0</v>
      </c>
      <c r="P44" s="1334">
        <f>+K44-K40</f>
        <v>-1</v>
      </c>
      <c r="Q44" s="1330" t="e">
        <f>+(K44/K37-1)*100</f>
        <v>#DIV/0!</v>
      </c>
      <c r="R44" s="1330"/>
      <c r="S44" s="1330"/>
      <c r="T44" s="664"/>
      <c r="U44" s="1332"/>
      <c r="V44" s="1335"/>
      <c r="W44" s="1330"/>
      <c r="X44" s="1330"/>
      <c r="Y44" s="1330"/>
      <c r="Z44" s="664"/>
      <c r="AA44" s="1332"/>
      <c r="AB44" s="1335">
        <f>+AA44-AA40</f>
        <v>0</v>
      </c>
      <c r="AC44" s="1330" t="e">
        <f>+(AA44/AA37-1)*100</f>
        <v>#DIV/0!</v>
      </c>
      <c r="AD44" s="1332">
        <v>4</v>
      </c>
      <c r="AE44" s="1374">
        <f>+AD44-AD40</f>
        <v>0</v>
      </c>
      <c r="AF44" s="1330">
        <f>+(AD44/AD37-1)*100</f>
        <v>33.333333333333329</v>
      </c>
      <c r="AG44" s="1332"/>
      <c r="AH44" s="1335"/>
      <c r="AI44" s="1330"/>
      <c r="AJ44" s="1332"/>
      <c r="AK44" s="1374"/>
      <c r="AL44" s="1336"/>
      <c r="AM44" s="1347"/>
      <c r="AN44" s="1337"/>
      <c r="AO44" s="1338"/>
      <c r="AP44" s="665"/>
      <c r="AQ44" s="1339"/>
      <c r="AR44" s="664"/>
      <c r="AS44" s="1340">
        <f>+D44+O44+AA44+AD44+AL44</f>
        <v>17</v>
      </c>
      <c r="AT44" s="1341">
        <f>+AS44-AS40</f>
        <v>-8</v>
      </c>
      <c r="AU44" s="1330">
        <f>+(AS44/AS37-1)*100</f>
        <v>13.33333333333333</v>
      </c>
      <c r="AV44" s="1346"/>
      <c r="AW44" s="1347"/>
      <c r="AX44" s="1370">
        <v>14</v>
      </c>
      <c r="AY44" s="1369">
        <f>AX44-AX41</f>
        <v>2</v>
      </c>
      <c r="AZ44" s="132"/>
      <c r="BA44" s="132"/>
      <c r="BB44" s="132"/>
      <c r="BC44" s="215">
        <f>D44/AS44</f>
        <v>0.76470588235294112</v>
      </c>
      <c r="BD44" s="1492">
        <f>(O44+AA44+AD44)/AS44</f>
        <v>0.23529411764705882</v>
      </c>
      <c r="BE44" s="1343">
        <f>AL44/AS44</f>
        <v>0</v>
      </c>
    </row>
    <row r="45" spans="1:57" ht="12" hidden="1" customHeight="1" outlineLevel="2">
      <c r="A45" s="132" t="str">
        <f>$A$31</f>
        <v>2Q</v>
      </c>
      <c r="B45" s="132" t="str">
        <f>$B$31</f>
        <v>Jul</v>
      </c>
      <c r="C45" s="132"/>
      <c r="D45" s="1367">
        <v>14</v>
      </c>
      <c r="E45" s="1329">
        <f>+D45-D44</f>
        <v>1</v>
      </c>
      <c r="F45" s="1330">
        <f>+(D45/D38-1)*100</f>
        <v>7.6923076923076872</v>
      </c>
      <c r="G45" s="1331"/>
      <c r="H45" s="665"/>
      <c r="I45" s="1330" t="e">
        <f>+(G45/G38-1)*100</f>
        <v>#DIV/0!</v>
      </c>
      <c r="J45" s="672"/>
      <c r="K45" s="1344"/>
      <c r="L45" s="1335">
        <f>+K45-K44</f>
        <v>0</v>
      </c>
      <c r="M45" s="1344"/>
      <c r="N45" s="1335">
        <f>+M45-M44</f>
        <v>0</v>
      </c>
      <c r="O45" s="1328">
        <f>+K45+M45</f>
        <v>0</v>
      </c>
      <c r="P45" s="1334">
        <f>+K45-K44</f>
        <v>0</v>
      </c>
      <c r="Q45" s="1330" t="e">
        <f>+(K45/K38-1)*100</f>
        <v>#DIV/0!</v>
      </c>
      <c r="R45" s="1330"/>
      <c r="S45" s="1330"/>
      <c r="T45" s="664"/>
      <c r="U45" s="1344"/>
      <c r="V45" s="1335"/>
      <c r="W45" s="1330"/>
      <c r="X45" s="1330"/>
      <c r="Y45" s="1330"/>
      <c r="Z45" s="664"/>
      <c r="AA45" s="1344"/>
      <c r="AB45" s="1335">
        <f>+AA45-AA44</f>
        <v>0</v>
      </c>
      <c r="AC45" s="1330" t="e">
        <f>+(AA45/AA38-1)*100</f>
        <v>#DIV/0!</v>
      </c>
      <c r="AD45" s="1344">
        <v>4</v>
      </c>
      <c r="AE45" s="1335">
        <f>+AD45-AD44</f>
        <v>0</v>
      </c>
      <c r="AF45" s="1330">
        <f>+(AD45/AD38-1)*100</f>
        <v>0</v>
      </c>
      <c r="AG45" s="1344"/>
      <c r="AH45" s="1335"/>
      <c r="AI45" s="1330"/>
      <c r="AJ45" s="1344"/>
      <c r="AK45" s="1335"/>
      <c r="AL45" s="1344"/>
      <c r="AM45" s="1347"/>
      <c r="AN45" s="1337"/>
      <c r="AO45" s="1338"/>
      <c r="AP45" s="665"/>
      <c r="AQ45" s="1339"/>
      <c r="AR45" s="664"/>
      <c r="AS45" s="1340">
        <f>+D45+O45+AA45+AD45+AL45</f>
        <v>18</v>
      </c>
      <c r="AT45" s="1341">
        <f>+AS45-AS44</f>
        <v>1</v>
      </c>
      <c r="AU45" s="1330">
        <f>+(AS45/AS38-1)*100</f>
        <v>5.8823529411764719</v>
      </c>
      <c r="AV45" s="1346"/>
      <c r="AW45" s="1347"/>
      <c r="AX45" s="1370">
        <v>16</v>
      </c>
      <c r="AY45" s="1369">
        <f>AX45-AX44</f>
        <v>2</v>
      </c>
      <c r="AZ45" s="132"/>
      <c r="BA45" s="132"/>
      <c r="BB45" s="132"/>
      <c r="BC45" s="215">
        <f>D45/AS45</f>
        <v>0.77777777777777779</v>
      </c>
      <c r="BD45" s="1492">
        <f>(O45+AA45+AD45)/AS45</f>
        <v>0.22222222222222221</v>
      </c>
      <c r="BE45" s="1343">
        <f>AL45/AS45</f>
        <v>0</v>
      </c>
    </row>
    <row r="46" spans="1:57" ht="12" hidden="1" customHeight="1" outlineLevel="2">
      <c r="A46" s="132" t="str">
        <f>$A$32</f>
        <v>3Q</v>
      </c>
      <c r="B46" s="132" t="str">
        <f>$B$32</f>
        <v>Oct</v>
      </c>
      <c r="C46" s="132"/>
      <c r="D46" s="1367">
        <v>15</v>
      </c>
      <c r="E46" s="1329">
        <f>+D46-D45</f>
        <v>1</v>
      </c>
      <c r="F46" s="1330">
        <f>+(D46/D39-1)*100</f>
        <v>15.384615384615374</v>
      </c>
      <c r="G46" s="1331"/>
      <c r="H46" s="665"/>
      <c r="I46" s="1330" t="e">
        <f>+(G46/G39-1)*100</f>
        <v>#DIV/0!</v>
      </c>
      <c r="J46" s="132"/>
      <c r="K46" s="1344"/>
      <c r="L46" s="1335">
        <f>+K46-K45</f>
        <v>0</v>
      </c>
      <c r="M46" s="1344"/>
      <c r="N46" s="1335">
        <f>+M46-M45</f>
        <v>0</v>
      </c>
      <c r="O46" s="1328">
        <f>+K46+M46</f>
        <v>0</v>
      </c>
      <c r="P46" s="1334">
        <f>+K46-K45</f>
        <v>0</v>
      </c>
      <c r="Q46" s="1330" t="e">
        <f>+(K46/K39-1)*100</f>
        <v>#DIV/0!</v>
      </c>
      <c r="R46" s="1330"/>
      <c r="S46" s="1330"/>
      <c r="T46" s="664"/>
      <c r="U46" s="1344"/>
      <c r="V46" s="1335"/>
      <c r="W46" s="1330"/>
      <c r="X46" s="1330"/>
      <c r="Y46" s="1330"/>
      <c r="Z46" s="664"/>
      <c r="AA46" s="1344"/>
      <c r="AB46" s="1335">
        <f>+AA46-AA45</f>
        <v>0</v>
      </c>
      <c r="AC46" s="1330" t="e">
        <f>+(AA46/AA39-1)*100</f>
        <v>#DIV/0!</v>
      </c>
      <c r="AD46" s="1344">
        <v>4</v>
      </c>
      <c r="AE46" s="1335">
        <f>+AD46-AD45</f>
        <v>0</v>
      </c>
      <c r="AF46" s="1330">
        <f>+(AD46/AD39-1)*100</f>
        <v>0</v>
      </c>
      <c r="AG46" s="1344"/>
      <c r="AH46" s="1335"/>
      <c r="AI46" s="1330"/>
      <c r="AJ46" s="1344"/>
      <c r="AK46" s="1335"/>
      <c r="AL46" s="1344"/>
      <c r="AM46" s="1347"/>
      <c r="AN46" s="1337"/>
      <c r="AO46" s="1338"/>
      <c r="AP46" s="665"/>
      <c r="AQ46" s="1339"/>
      <c r="AR46" s="664"/>
      <c r="AS46" s="1340">
        <f>+D46+O46+AA46+AD46+AL46</f>
        <v>19</v>
      </c>
      <c r="AT46" s="1341">
        <f>+AS46-AS45</f>
        <v>1</v>
      </c>
      <c r="AU46" s="1330">
        <f>+(AS46/AS39-1)*100</f>
        <v>11.764705882352944</v>
      </c>
      <c r="AV46" s="1346"/>
      <c r="AW46" s="1347"/>
      <c r="AX46" s="1370">
        <v>18</v>
      </c>
      <c r="AY46" s="1369">
        <f>AX46-AX45</f>
        <v>2</v>
      </c>
      <c r="AZ46" s="132"/>
      <c r="BA46" s="132"/>
      <c r="BB46" s="132"/>
      <c r="BC46" s="215">
        <f>D46/AS46</f>
        <v>0.78947368421052633</v>
      </c>
      <c r="BD46" s="1492">
        <f>(O46+AA46+AD46)/AS46</f>
        <v>0.21052631578947367</v>
      </c>
      <c r="BE46" s="1343">
        <f>AL46/AS46</f>
        <v>0</v>
      </c>
    </row>
    <row r="47" spans="1:57" ht="12" hidden="1" customHeight="1" outlineLevel="2">
      <c r="A47" s="132" t="str">
        <f>$A$33</f>
        <v>4Q</v>
      </c>
      <c r="B47" s="132" t="str">
        <f>$B$33</f>
        <v>Jan</v>
      </c>
      <c r="C47" s="132"/>
      <c r="D47" s="1349">
        <v>16</v>
      </c>
      <c r="E47" s="1329">
        <f>+D47-D46</f>
        <v>1</v>
      </c>
      <c r="F47" s="1330">
        <f>+(D47/D40-1)*100</f>
        <v>23.076923076923084</v>
      </c>
      <c r="G47" s="1350"/>
      <c r="H47" s="665"/>
      <c r="I47" s="1330" t="e">
        <f>+(G47/G40-1)*100</f>
        <v>#DIV/0!</v>
      </c>
      <c r="J47" s="132"/>
      <c r="K47" s="1349">
        <v>1</v>
      </c>
      <c r="L47" s="1335">
        <f>+K47-K46</f>
        <v>1</v>
      </c>
      <c r="M47" s="1349">
        <v>7</v>
      </c>
      <c r="N47" s="1335">
        <f>+M47-M46</f>
        <v>7</v>
      </c>
      <c r="O47" s="1351">
        <f>+K47+M47</f>
        <v>8</v>
      </c>
      <c r="P47" s="1334">
        <f>+K47-K46</f>
        <v>1</v>
      </c>
      <c r="Q47" s="1330">
        <f>+(K47/K40-1)*100</f>
        <v>0</v>
      </c>
      <c r="R47" s="1330"/>
      <c r="S47" s="1330"/>
      <c r="T47" s="664"/>
      <c r="U47" s="1349"/>
      <c r="V47" s="1335"/>
      <c r="W47" s="1330"/>
      <c r="X47" s="1330"/>
      <c r="Y47" s="1330"/>
      <c r="Z47" s="664"/>
      <c r="AA47" s="1349">
        <v>7</v>
      </c>
      <c r="AB47" s="1335">
        <f>+AA47-AA46</f>
        <v>7</v>
      </c>
      <c r="AC47" s="1330" t="e">
        <f>+(AA47/AA40-1)*100</f>
        <v>#DIV/0!</v>
      </c>
      <c r="AD47" s="1349">
        <v>4</v>
      </c>
      <c r="AE47" s="1335">
        <f>+AD47-AD46</f>
        <v>0</v>
      </c>
      <c r="AF47" s="1330">
        <f>+(AD47/AD40-1)*100</f>
        <v>0</v>
      </c>
      <c r="AG47" s="1349"/>
      <c r="AH47" s="1335"/>
      <c r="AI47" s="1330"/>
      <c r="AJ47" s="1349"/>
      <c r="AK47" s="1335"/>
      <c r="AL47" s="1344"/>
      <c r="AM47" s="1347"/>
      <c r="AN47" s="1337"/>
      <c r="AO47" s="1353"/>
      <c r="AP47" s="665"/>
      <c r="AQ47" s="1339"/>
      <c r="AR47" s="664"/>
      <c r="AS47" s="1355">
        <f>+D47+O47+AA47+AD47+AL47</f>
        <v>35</v>
      </c>
      <c r="AT47" s="1341">
        <f>+AS47-AS46</f>
        <v>16</v>
      </c>
      <c r="AU47" s="1330">
        <f>+(AS47/AS40-1)*100</f>
        <v>39.999999999999993</v>
      </c>
      <c r="AV47" s="1346"/>
      <c r="AW47" s="1347"/>
      <c r="AX47" s="1347">
        <f>AS47-D47-AL47</f>
        <v>19</v>
      </c>
      <c r="AY47" s="1369">
        <f>AX47-AX46</f>
        <v>1</v>
      </c>
      <c r="AZ47" s="132"/>
      <c r="BA47" s="132"/>
      <c r="BB47" s="132"/>
      <c r="BC47" s="215">
        <f>D47/AS47</f>
        <v>0.45714285714285713</v>
      </c>
      <c r="BD47" s="1492">
        <f>(O47+AA47+AD47)/AS47</f>
        <v>0.54285714285714282</v>
      </c>
      <c r="BE47" s="1356">
        <f>AL47/AS47</f>
        <v>0</v>
      </c>
    </row>
    <row r="48" spans="1:57" ht="12" hidden="1" customHeight="1" outlineLevel="2">
      <c r="A48" s="132"/>
      <c r="B48" s="132" t="str">
        <f>$B$34</f>
        <v>Year</v>
      </c>
      <c r="C48" s="132"/>
      <c r="D48" s="1340">
        <f>+D47</f>
        <v>16</v>
      </c>
      <c r="E48" s="1357">
        <f>+D48-D41</f>
        <v>3</v>
      </c>
      <c r="F48" s="1330">
        <f>+(D48/D41-1)*100</f>
        <v>23.076923076923084</v>
      </c>
      <c r="G48" s="1331"/>
      <c r="H48" s="665">
        <f>+G48/D48*1000</f>
        <v>0</v>
      </c>
      <c r="I48" s="1330" t="e">
        <f>+(G48/G41-1)*100</f>
        <v>#DIV/0!</v>
      </c>
      <c r="J48" s="132"/>
      <c r="K48" s="1340">
        <f>+K47</f>
        <v>1</v>
      </c>
      <c r="L48" s="1372">
        <f>+K48-K41</f>
        <v>0</v>
      </c>
      <c r="M48" s="1340">
        <f>+M47</f>
        <v>7</v>
      </c>
      <c r="N48" s="1372">
        <f>+M48-M41</f>
        <v>0</v>
      </c>
      <c r="O48" s="1328">
        <f>+K48+M48</f>
        <v>8</v>
      </c>
      <c r="P48" s="683">
        <f>+K48-K41</f>
        <v>0</v>
      </c>
      <c r="Q48" s="1330">
        <f>+(K48/K41-1)*100</f>
        <v>0</v>
      </c>
      <c r="R48" s="1330"/>
      <c r="S48" s="1330"/>
      <c r="T48" s="664"/>
      <c r="U48" s="1340"/>
      <c r="V48" s="1372"/>
      <c r="W48" s="1330"/>
      <c r="X48" s="1330"/>
      <c r="Y48" s="1330"/>
      <c r="Z48" s="664"/>
      <c r="AA48" s="1340">
        <f>+AA47</f>
        <v>7</v>
      </c>
      <c r="AB48" s="1372">
        <f>+AA48-AA41</f>
        <v>7</v>
      </c>
      <c r="AC48" s="1330" t="e">
        <f>+(AA48/AA41-1)*100</f>
        <v>#DIV/0!</v>
      </c>
      <c r="AD48" s="1340">
        <f>+AD47</f>
        <v>4</v>
      </c>
      <c r="AE48" s="1372">
        <f>+AD48-AD41</f>
        <v>0</v>
      </c>
      <c r="AF48" s="1330">
        <f>+(AD48/AD41-1)*100</f>
        <v>0</v>
      </c>
      <c r="AG48" s="1340"/>
      <c r="AH48" s="1372"/>
      <c r="AI48" s="1330"/>
      <c r="AJ48" s="1340"/>
      <c r="AK48" s="1372"/>
      <c r="AL48" s="1377"/>
      <c r="AM48" s="1360"/>
      <c r="AN48" s="1361"/>
      <c r="AO48" s="1362"/>
      <c r="AP48" s="665"/>
      <c r="AQ48" s="1330"/>
      <c r="AR48" s="664"/>
      <c r="AS48" s="1340">
        <f>+D48+O48+AA48+AD48+AL48</f>
        <v>35</v>
      </c>
      <c r="AT48" s="683">
        <f>+AS48-AS41</f>
        <v>10</v>
      </c>
      <c r="AU48" s="1330">
        <f>+(AS48/AS41-1)*100</f>
        <v>39.999999999999993</v>
      </c>
      <c r="AV48" s="683"/>
      <c r="AW48" s="1372"/>
      <c r="AX48" s="1347">
        <f>AS48-D48-AL48</f>
        <v>19</v>
      </c>
      <c r="AY48" s="1369">
        <f>AX48-AX41</f>
        <v>7</v>
      </c>
      <c r="AZ48" s="132"/>
      <c r="BA48" s="132"/>
      <c r="BB48" s="132"/>
      <c r="BC48" s="1363">
        <f>D48/AS48</f>
        <v>0.45714285714285713</v>
      </c>
      <c r="BD48" s="1810">
        <f>(O48+AA48+AD48)/AS48</f>
        <v>0.54285714285714282</v>
      </c>
      <c r="BE48" s="1363">
        <f>AL48/AS48</f>
        <v>0</v>
      </c>
    </row>
    <row r="49" spans="1:57" ht="12" hidden="1" customHeight="1" outlineLevel="2">
      <c r="A49" s="132"/>
      <c r="B49" s="132"/>
      <c r="C49" s="132"/>
      <c r="D49" s="233"/>
      <c r="E49" s="1364"/>
      <c r="F49" s="233"/>
      <c r="G49" s="587"/>
      <c r="H49" s="230"/>
      <c r="I49" s="174"/>
      <c r="J49" s="132"/>
      <c r="K49" s="230"/>
      <c r="L49" s="174"/>
      <c r="M49" s="230"/>
      <c r="N49" s="174"/>
      <c r="O49" s="230"/>
      <c r="P49" s="1365"/>
      <c r="Q49" s="230"/>
      <c r="R49" s="230"/>
      <c r="S49" s="230"/>
      <c r="T49" s="643"/>
      <c r="U49" s="230"/>
      <c r="V49" s="174"/>
      <c r="W49" s="230"/>
      <c r="X49" s="230"/>
      <c r="Y49" s="230"/>
      <c r="Z49" s="643"/>
      <c r="AA49" s="230"/>
      <c r="AB49" s="1326"/>
      <c r="AC49" s="230"/>
      <c r="AD49" s="230"/>
      <c r="AE49" s="1326"/>
      <c r="AF49" s="230"/>
      <c r="AG49" s="230"/>
      <c r="AH49" s="1326"/>
      <c r="AI49" s="230"/>
      <c r="AJ49" s="230"/>
      <c r="AK49" s="1326"/>
      <c r="AL49" s="233"/>
      <c r="AM49" s="1326"/>
      <c r="AN49" s="1326"/>
      <c r="AO49" s="132"/>
      <c r="AP49" s="230"/>
      <c r="AQ49" s="230"/>
      <c r="AR49" s="643"/>
      <c r="AS49" s="587"/>
      <c r="AT49" s="132"/>
      <c r="AU49" s="132"/>
      <c r="AV49" s="1365"/>
      <c r="AW49" s="1326"/>
      <c r="AX49" s="1326"/>
      <c r="AY49" s="1366"/>
      <c r="AZ49" s="132"/>
      <c r="BA49" s="132"/>
      <c r="BB49" s="132"/>
      <c r="BC49" s="132"/>
      <c r="BD49" s="256"/>
      <c r="BE49" s="132"/>
    </row>
    <row r="50" spans="1:57" ht="12" hidden="1" customHeight="1" outlineLevel="2">
      <c r="A50" s="2506">
        <f>+A43+1</f>
        <v>1993</v>
      </c>
      <c r="B50" s="2506"/>
      <c r="C50" s="132"/>
      <c r="D50" s="233"/>
      <c r="E50" s="1364"/>
      <c r="F50" s="233"/>
      <c r="G50" s="587"/>
      <c r="H50" s="230"/>
      <c r="I50" s="174"/>
      <c r="J50" s="132"/>
      <c r="K50" s="230"/>
      <c r="L50" s="174"/>
      <c r="M50" s="230"/>
      <c r="N50" s="174"/>
      <c r="O50" s="230"/>
      <c r="P50" s="1365"/>
      <c r="Q50" s="230"/>
      <c r="R50" s="230"/>
      <c r="S50" s="230"/>
      <c r="T50" s="643"/>
      <c r="U50" s="230"/>
      <c r="V50" s="174"/>
      <c r="W50" s="230"/>
      <c r="X50" s="230"/>
      <c r="Y50" s="230"/>
      <c r="Z50" s="643"/>
      <c r="AA50" s="230"/>
      <c r="AB50" s="1326"/>
      <c r="AC50" s="230"/>
      <c r="AD50" s="230"/>
      <c r="AE50" s="1326"/>
      <c r="AF50" s="230"/>
      <c r="AG50" s="230"/>
      <c r="AH50" s="1326"/>
      <c r="AI50" s="230"/>
      <c r="AJ50" s="230"/>
      <c r="AK50" s="1326"/>
      <c r="AL50" s="233"/>
      <c r="AM50" s="1326"/>
      <c r="AN50" s="1326"/>
      <c r="AO50" s="132"/>
      <c r="AP50" s="230"/>
      <c r="AQ50" s="230"/>
      <c r="AR50" s="643"/>
      <c r="AS50" s="587"/>
      <c r="AT50" s="132"/>
      <c r="AU50" s="132"/>
      <c r="AV50" s="1365"/>
      <c r="AW50" s="1326"/>
      <c r="AX50" s="1326"/>
      <c r="AY50" s="1366"/>
      <c r="AZ50" s="132"/>
      <c r="BA50" s="132"/>
      <c r="BB50" s="132"/>
      <c r="BC50" s="132"/>
      <c r="BD50" s="256"/>
      <c r="BE50" s="132"/>
    </row>
    <row r="51" spans="1:57" ht="12" hidden="1" customHeight="1" outlineLevel="2">
      <c r="A51" s="132" t="str">
        <f>$A$30</f>
        <v>1Q</v>
      </c>
      <c r="B51" s="132" t="str">
        <f>$B$30</f>
        <v>Apr</v>
      </c>
      <c r="C51" s="132"/>
      <c r="D51" s="1367">
        <v>16</v>
      </c>
      <c r="E51" s="1329">
        <f>+D51-D47</f>
        <v>0</v>
      </c>
      <c r="F51" s="1330">
        <f>+(D51/D44-1)*100</f>
        <v>23.076923076923084</v>
      </c>
      <c r="G51" s="1331"/>
      <c r="H51" s="665"/>
      <c r="I51" s="1330" t="e">
        <f>+(G51/G44-1)*100</f>
        <v>#DIV/0!</v>
      </c>
      <c r="J51" s="132"/>
      <c r="K51" s="1332"/>
      <c r="L51" s="1335">
        <f>+K51-K47</f>
        <v>-1</v>
      </c>
      <c r="M51" s="1332"/>
      <c r="N51" s="1335">
        <f>+M51-M47</f>
        <v>-7</v>
      </c>
      <c r="O51" s="1340">
        <f>+K51+M51</f>
        <v>0</v>
      </c>
      <c r="P51" s="1334">
        <f>+K51-K47</f>
        <v>-1</v>
      </c>
      <c r="Q51" s="1330" t="e">
        <f>+(K51/K44-1)*100</f>
        <v>#DIV/0!</v>
      </c>
      <c r="R51" s="1330"/>
      <c r="S51" s="1330"/>
      <c r="T51" s="664"/>
      <c r="U51" s="1332"/>
      <c r="V51" s="1335"/>
      <c r="W51" s="1330"/>
      <c r="X51" s="1330"/>
      <c r="Y51" s="1330"/>
      <c r="Z51" s="664"/>
      <c r="AA51" s="1332"/>
      <c r="AB51" s="1335">
        <f>+AA51-AA47</f>
        <v>-7</v>
      </c>
      <c r="AC51" s="1330" t="e">
        <f>+(AA51/AA44-1)*100</f>
        <v>#DIV/0!</v>
      </c>
      <c r="AD51" s="1378">
        <v>4</v>
      </c>
      <c r="AE51" s="1374">
        <f>+AD51-AD47</f>
        <v>0</v>
      </c>
      <c r="AF51" s="1330">
        <f>+(AD51/AD44-1)*100</f>
        <v>0</v>
      </c>
      <c r="AG51" s="1332"/>
      <c r="AH51" s="1335"/>
      <c r="AI51" s="1330"/>
      <c r="AJ51" s="1378"/>
      <c r="AK51" s="1374"/>
      <c r="AL51" s="1336"/>
      <c r="AM51" s="1347"/>
      <c r="AN51" s="1337"/>
      <c r="AO51" s="1338"/>
      <c r="AP51" s="665"/>
      <c r="AQ51" s="1339"/>
      <c r="AR51" s="664"/>
      <c r="AS51" s="1340">
        <f>+D51+O51+AA51+AD51+AL51</f>
        <v>20</v>
      </c>
      <c r="AT51" s="1341">
        <f>+AS51-AS47</f>
        <v>-15</v>
      </c>
      <c r="AU51" s="1330">
        <f>+(AS51/AS44-1)*100</f>
        <v>17.647058823529417</v>
      </c>
      <c r="AV51" s="1346"/>
      <c r="AW51" s="1347"/>
      <c r="AX51" s="1370">
        <v>26</v>
      </c>
      <c r="AY51" s="1369">
        <f>AX51-AX48</f>
        <v>7</v>
      </c>
      <c r="AZ51" s="132"/>
      <c r="BA51" s="132"/>
      <c r="BB51" s="132"/>
      <c r="BC51" s="215">
        <f>D51/AS51</f>
        <v>0.8</v>
      </c>
      <c r="BD51" s="1492">
        <f>(O51+AA51+AD51)/AS51</f>
        <v>0.2</v>
      </c>
      <c r="BE51" s="1343">
        <f>AL51/AS51</f>
        <v>0</v>
      </c>
    </row>
    <row r="52" spans="1:57" ht="12" hidden="1" customHeight="1" outlineLevel="2">
      <c r="A52" s="132" t="str">
        <f>$A$31</f>
        <v>2Q</v>
      </c>
      <c r="B52" s="132" t="str">
        <f>$B$31</f>
        <v>Jul</v>
      </c>
      <c r="C52" s="132"/>
      <c r="D52" s="1367">
        <v>16</v>
      </c>
      <c r="E52" s="1329">
        <f>+D52-D51</f>
        <v>0</v>
      </c>
      <c r="F52" s="1330">
        <f>+(D52/D45-1)*100</f>
        <v>14.285714285714279</v>
      </c>
      <c r="G52" s="1331"/>
      <c r="H52" s="665"/>
      <c r="I52" s="1330" t="e">
        <f>+(G52/G45-1)*100</f>
        <v>#DIV/0!</v>
      </c>
      <c r="J52" s="672"/>
      <c r="K52" s="1344"/>
      <c r="L52" s="1335">
        <f>+K52-K51</f>
        <v>0</v>
      </c>
      <c r="M52" s="1344"/>
      <c r="N52" s="1335">
        <f>+M52-M51</f>
        <v>0</v>
      </c>
      <c r="O52" s="1328">
        <f>+K52+M52</f>
        <v>0</v>
      </c>
      <c r="P52" s="1334">
        <f>+K52-K51</f>
        <v>0</v>
      </c>
      <c r="Q52" s="1330" t="e">
        <f>+(K52/K45-1)*100</f>
        <v>#DIV/0!</v>
      </c>
      <c r="R52" s="1330"/>
      <c r="S52" s="1330"/>
      <c r="T52" s="664"/>
      <c r="U52" s="1344"/>
      <c r="V52" s="1335"/>
      <c r="W52" s="1330"/>
      <c r="X52" s="1330"/>
      <c r="Y52" s="1330"/>
      <c r="Z52" s="664"/>
      <c r="AA52" s="1344"/>
      <c r="AB52" s="1335">
        <f>+AA52-AA51</f>
        <v>0</v>
      </c>
      <c r="AC52" s="1330" t="e">
        <f>+(AA52/AA45-1)*100</f>
        <v>#DIV/0!</v>
      </c>
      <c r="AD52" s="1367">
        <v>5</v>
      </c>
      <c r="AE52" s="1335">
        <f>+AD52-AD51</f>
        <v>1</v>
      </c>
      <c r="AF52" s="1330">
        <f>+(AD52/AD45-1)*100</f>
        <v>25</v>
      </c>
      <c r="AG52" s="1344"/>
      <c r="AH52" s="1335"/>
      <c r="AI52" s="1330"/>
      <c r="AJ52" s="1367"/>
      <c r="AK52" s="1335"/>
      <c r="AL52" s="1344"/>
      <c r="AM52" s="1347"/>
      <c r="AN52" s="1337"/>
      <c r="AO52" s="1338"/>
      <c r="AP52" s="665"/>
      <c r="AQ52" s="1339"/>
      <c r="AR52" s="664"/>
      <c r="AS52" s="1340">
        <f>+D52+O52+AA52+AD52+AL52</f>
        <v>21</v>
      </c>
      <c r="AT52" s="1341">
        <f>+AS52-AS51</f>
        <v>1</v>
      </c>
      <c r="AU52" s="1330">
        <f>+(AS52/AS45-1)*100</f>
        <v>16.666666666666675</v>
      </c>
      <c r="AV52" s="1346"/>
      <c r="AW52" s="1347"/>
      <c r="AX52" s="1370">
        <v>33</v>
      </c>
      <c r="AY52" s="1369">
        <f>AX52-AX51</f>
        <v>7</v>
      </c>
      <c r="AZ52" s="132"/>
      <c r="BA52" s="132"/>
      <c r="BB52" s="132"/>
      <c r="BC52" s="215">
        <f>D52/AS52</f>
        <v>0.76190476190476186</v>
      </c>
      <c r="BD52" s="1492">
        <f>(O52+AA52+AD52)/AS52</f>
        <v>0.23809523809523808</v>
      </c>
      <c r="BE52" s="1343">
        <f>AL52/AS52</f>
        <v>0</v>
      </c>
    </row>
    <row r="53" spans="1:57" ht="12" hidden="1" customHeight="1" outlineLevel="2">
      <c r="A53" s="132" t="str">
        <f>$A$32</f>
        <v>3Q</v>
      </c>
      <c r="B53" s="132" t="str">
        <f>$B$32</f>
        <v>Oct</v>
      </c>
      <c r="C53" s="132"/>
      <c r="D53" s="1367">
        <v>16</v>
      </c>
      <c r="E53" s="1329">
        <f>+D53-D52</f>
        <v>0</v>
      </c>
      <c r="F53" s="1330">
        <f>+(D53/D46-1)*100</f>
        <v>6.6666666666666652</v>
      </c>
      <c r="G53" s="1331"/>
      <c r="H53" s="665"/>
      <c r="I53" s="1330" t="e">
        <f>+(G53/G46-1)*100</f>
        <v>#DIV/0!</v>
      </c>
      <c r="J53" s="132"/>
      <c r="K53" s="1344"/>
      <c r="L53" s="1335">
        <f>+K53-K52</f>
        <v>0</v>
      </c>
      <c r="M53" s="1344"/>
      <c r="N53" s="1335">
        <f>+M53-M52</f>
        <v>0</v>
      </c>
      <c r="O53" s="1328">
        <f>+K53+M53</f>
        <v>0</v>
      </c>
      <c r="P53" s="1334">
        <f>+K53-K52</f>
        <v>0</v>
      </c>
      <c r="Q53" s="1330" t="e">
        <f>+(K53/K46-1)*100</f>
        <v>#DIV/0!</v>
      </c>
      <c r="R53" s="1330"/>
      <c r="S53" s="1330"/>
      <c r="T53" s="664"/>
      <c r="U53" s="1344"/>
      <c r="V53" s="1335"/>
      <c r="W53" s="1330"/>
      <c r="X53" s="1330"/>
      <c r="Y53" s="1330"/>
      <c r="Z53" s="664"/>
      <c r="AA53" s="1344"/>
      <c r="AB53" s="1335">
        <f>+AA53-AA52</f>
        <v>0</v>
      </c>
      <c r="AC53" s="1330" t="e">
        <f>+(AA53/AA46-1)*100</f>
        <v>#DIV/0!</v>
      </c>
      <c r="AD53" s="1367">
        <v>5</v>
      </c>
      <c r="AE53" s="1335">
        <f>+AD53-AD52</f>
        <v>0</v>
      </c>
      <c r="AF53" s="1330">
        <f>+(AD53/AD46-1)*100</f>
        <v>25</v>
      </c>
      <c r="AG53" s="1344"/>
      <c r="AH53" s="1335"/>
      <c r="AI53" s="1330"/>
      <c r="AJ53" s="1367"/>
      <c r="AK53" s="1335"/>
      <c r="AL53" s="1344"/>
      <c r="AM53" s="1347"/>
      <c r="AN53" s="1337"/>
      <c r="AO53" s="1338"/>
      <c r="AP53" s="665"/>
      <c r="AQ53" s="1339"/>
      <c r="AR53" s="664"/>
      <c r="AS53" s="1340">
        <f>+D53+O53+AA53+AD53+AL53</f>
        <v>21</v>
      </c>
      <c r="AT53" s="1341">
        <f>+AS53-AS52</f>
        <v>0</v>
      </c>
      <c r="AU53" s="1330">
        <f>+(AS53/AS46-1)*100</f>
        <v>10.526315789473696</v>
      </c>
      <c r="AV53" s="1346"/>
      <c r="AW53" s="1347"/>
      <c r="AX53" s="1370">
        <v>41</v>
      </c>
      <c r="AY53" s="1369">
        <f>AX53-AX52</f>
        <v>8</v>
      </c>
      <c r="AZ53" s="132"/>
      <c r="BA53" s="132"/>
      <c r="BB53" s="132"/>
      <c r="BC53" s="215">
        <f>D53/AS53</f>
        <v>0.76190476190476186</v>
      </c>
      <c r="BD53" s="1492">
        <f>(O53+AA53+AD53)/AS53</f>
        <v>0.23809523809523808</v>
      </c>
      <c r="BE53" s="1343">
        <f>AL53/AS53</f>
        <v>0</v>
      </c>
    </row>
    <row r="54" spans="1:57" ht="12" hidden="1" customHeight="1" outlineLevel="2">
      <c r="A54" s="132" t="str">
        <f>$A$33</f>
        <v>4Q</v>
      </c>
      <c r="B54" s="132" t="str">
        <f>$B$33</f>
        <v>Jan</v>
      </c>
      <c r="C54" s="132"/>
      <c r="D54" s="1349">
        <v>16</v>
      </c>
      <c r="E54" s="1329">
        <f>+D54-D53</f>
        <v>0</v>
      </c>
      <c r="F54" s="1330">
        <f>+(D54/D47-1)*100</f>
        <v>0</v>
      </c>
      <c r="G54" s="1350">
        <f>0.17+0.03245</f>
        <v>0.20245000000000002</v>
      </c>
      <c r="H54" s="665"/>
      <c r="I54" s="1330" t="e">
        <f>+(G54/G47-1)*100</f>
        <v>#DIV/0!</v>
      </c>
      <c r="J54" s="132"/>
      <c r="K54" s="1349">
        <v>1</v>
      </c>
      <c r="L54" s="1335">
        <f>+K54-K53</f>
        <v>1</v>
      </c>
      <c r="M54" s="1349">
        <v>6</v>
      </c>
      <c r="N54" s="1335">
        <f>+M54-M53</f>
        <v>6</v>
      </c>
      <c r="O54" s="1351">
        <f>+K54+M54</f>
        <v>7</v>
      </c>
      <c r="P54" s="1334">
        <f>+K54-K53</f>
        <v>1</v>
      </c>
      <c r="Q54" s="1330">
        <f>+(K54/K47-1)*100</f>
        <v>0</v>
      </c>
      <c r="R54" s="1330"/>
      <c r="S54" s="1330"/>
      <c r="T54" s="664"/>
      <c r="U54" s="1349"/>
      <c r="V54" s="1335"/>
      <c r="W54" s="1330"/>
      <c r="X54" s="1330"/>
      <c r="Y54" s="1330"/>
      <c r="Z54" s="664"/>
      <c r="AA54" s="1349">
        <v>37</v>
      </c>
      <c r="AB54" s="1335">
        <f>+AA54-AA53</f>
        <v>37</v>
      </c>
      <c r="AC54" s="1330">
        <f>+(AA54/AA47-1)*100</f>
        <v>428.57142857142856</v>
      </c>
      <c r="AD54" s="1349">
        <v>5</v>
      </c>
      <c r="AE54" s="1335">
        <f>+AD54-AD53</f>
        <v>0</v>
      </c>
      <c r="AF54" s="1330">
        <f>+(AD54/AD47-1)*100</f>
        <v>25</v>
      </c>
      <c r="AG54" s="1349"/>
      <c r="AH54" s="1335">
        <v>0.127</v>
      </c>
      <c r="AI54" s="1330"/>
      <c r="AJ54" s="1349"/>
      <c r="AK54" s="1335"/>
      <c r="AL54" s="1344"/>
      <c r="AM54" s="1347"/>
      <c r="AN54" s="1337"/>
      <c r="AO54" s="1353"/>
      <c r="AP54" s="665"/>
      <c r="AQ54" s="1339"/>
      <c r="AR54" s="664"/>
      <c r="AS54" s="1355">
        <f>+D54+O54+AA54+AD54+AL54</f>
        <v>65</v>
      </c>
      <c r="AT54" s="1341">
        <f>+AS54-AS53</f>
        <v>44</v>
      </c>
      <c r="AU54" s="1330">
        <f>+(AS54/AS47-1)*100</f>
        <v>85.714285714285722</v>
      </c>
      <c r="AV54" s="1346"/>
      <c r="AW54" s="1347"/>
      <c r="AX54" s="1347">
        <f>AS54-D54-AL54</f>
        <v>49</v>
      </c>
      <c r="AY54" s="1369">
        <f>AX54-AX53</f>
        <v>8</v>
      </c>
      <c r="AZ54" s="132"/>
      <c r="BA54" s="132"/>
      <c r="BB54" s="132"/>
      <c r="BC54" s="215">
        <f>D54/AS54</f>
        <v>0.24615384615384617</v>
      </c>
      <c r="BD54" s="1492">
        <f>(O54+AA54+AD54)/AS54</f>
        <v>0.75384615384615383</v>
      </c>
      <c r="BE54" s="1356">
        <f>AL54/AS54</f>
        <v>0</v>
      </c>
    </row>
    <row r="55" spans="1:57" ht="12" hidden="1" customHeight="1" outlineLevel="2">
      <c r="A55" s="132"/>
      <c r="B55" s="132" t="str">
        <f>$B$34</f>
        <v>Year</v>
      </c>
      <c r="C55" s="132"/>
      <c r="D55" s="1340">
        <f>+D54</f>
        <v>16</v>
      </c>
      <c r="E55" s="1357">
        <f>+D55-D48</f>
        <v>0</v>
      </c>
      <c r="F55" s="1330">
        <f>+(D55/D48-1)*100</f>
        <v>0</v>
      </c>
      <c r="G55" s="1331">
        <f>G54</f>
        <v>0.20245000000000002</v>
      </c>
      <c r="H55" s="665">
        <f>+G55/D55*1000</f>
        <v>12.653125000000001</v>
      </c>
      <c r="I55" s="1330" t="e">
        <f>+(G55/G48-1)*100</f>
        <v>#DIV/0!</v>
      </c>
      <c r="J55" s="132"/>
      <c r="K55" s="1340">
        <f>+K54</f>
        <v>1</v>
      </c>
      <c r="L55" s="1372">
        <f>+K55-K48</f>
        <v>0</v>
      </c>
      <c r="M55" s="1340">
        <f>+M54</f>
        <v>6</v>
      </c>
      <c r="N55" s="1372">
        <f>+M55-M48</f>
        <v>-1</v>
      </c>
      <c r="O55" s="1328">
        <f>+K55+M55</f>
        <v>7</v>
      </c>
      <c r="P55" s="683">
        <f>+K55-K48</f>
        <v>0</v>
      </c>
      <c r="Q55" s="1330">
        <f>+(K55/K48-1)*100</f>
        <v>0</v>
      </c>
      <c r="R55" s="1330"/>
      <c r="S55" s="1330"/>
      <c r="T55" s="664"/>
      <c r="U55" s="1340"/>
      <c r="V55" s="1372"/>
      <c r="W55" s="1330"/>
      <c r="X55" s="1330"/>
      <c r="Y55" s="1330"/>
      <c r="Z55" s="664"/>
      <c r="AA55" s="1340">
        <f>+AA54</f>
        <v>37</v>
      </c>
      <c r="AB55" s="1372">
        <f>+AA55-AA48</f>
        <v>30</v>
      </c>
      <c r="AC55" s="1330">
        <f>+(AA55/AA48-1)*100</f>
        <v>428.57142857142856</v>
      </c>
      <c r="AD55" s="1340">
        <f>+AD54</f>
        <v>5</v>
      </c>
      <c r="AE55" s="1372">
        <f>+AD55-AD48</f>
        <v>1</v>
      </c>
      <c r="AF55" s="1330">
        <f>+(AD55/AD48-1)*100</f>
        <v>25</v>
      </c>
      <c r="AG55" s="1340"/>
      <c r="AH55" s="1372">
        <f>AH54</f>
        <v>0.127</v>
      </c>
      <c r="AI55" s="1330">
        <f>+AH55/AX55*1000000</f>
        <v>2591.8367346938776</v>
      </c>
      <c r="AJ55" s="1340"/>
      <c r="AK55" s="1372"/>
      <c r="AL55" s="1377"/>
      <c r="AM55" s="1360"/>
      <c r="AN55" s="1361"/>
      <c r="AO55" s="1362"/>
      <c r="AP55" s="665"/>
      <c r="AQ55" s="1330"/>
      <c r="AR55" s="664"/>
      <c r="AS55" s="1340">
        <f>+D55+O55+AA55+AD55+AL55</f>
        <v>65</v>
      </c>
      <c r="AT55" s="683">
        <f>+AS55-AS48</f>
        <v>30</v>
      </c>
      <c r="AU55" s="1330">
        <f>+(AS55/AS48-1)*100</f>
        <v>85.714285714285722</v>
      </c>
      <c r="AV55" s="683"/>
      <c r="AW55" s="1372"/>
      <c r="AX55" s="1347">
        <f>AS55-D55-AL55</f>
        <v>49</v>
      </c>
      <c r="AY55" s="1369">
        <f>AX55-AX48</f>
        <v>30</v>
      </c>
      <c r="AZ55" s="132"/>
      <c r="BA55" s="132"/>
      <c r="BB55" s="132"/>
      <c r="BC55" s="1363">
        <f>D55/AS55</f>
        <v>0.24615384615384617</v>
      </c>
      <c r="BD55" s="1810">
        <f>(O55+AA55+AD55)/AS55</f>
        <v>0.75384615384615383</v>
      </c>
      <c r="BE55" s="1363">
        <f>AL55/AS55</f>
        <v>0</v>
      </c>
    </row>
    <row r="56" spans="1:57" ht="12" hidden="1" customHeight="1" outlineLevel="2">
      <c r="A56" s="132"/>
      <c r="B56" s="132"/>
      <c r="C56" s="132"/>
      <c r="D56" s="233"/>
      <c r="E56" s="1364"/>
      <c r="F56" s="233"/>
      <c r="G56" s="587"/>
      <c r="H56" s="230"/>
      <c r="I56" s="174"/>
      <c r="J56" s="132"/>
      <c r="K56" s="230"/>
      <c r="L56" s="174"/>
      <c r="M56" s="230"/>
      <c r="N56" s="174"/>
      <c r="O56" s="230"/>
      <c r="P56" s="1365"/>
      <c r="Q56" s="230"/>
      <c r="R56" s="230"/>
      <c r="S56" s="230"/>
      <c r="T56" s="643"/>
      <c r="U56" s="230"/>
      <c r="V56" s="174"/>
      <c r="W56" s="230"/>
      <c r="X56" s="230"/>
      <c r="Y56" s="230"/>
      <c r="Z56" s="643"/>
      <c r="AA56" s="230"/>
      <c r="AB56" s="1326"/>
      <c r="AC56" s="230"/>
      <c r="AD56" s="230"/>
      <c r="AE56" s="1326"/>
      <c r="AF56" s="230"/>
      <c r="AG56" s="230"/>
      <c r="AH56" s="1326"/>
      <c r="AI56" s="230"/>
      <c r="AJ56" s="230"/>
      <c r="AK56" s="1326"/>
      <c r="AL56" s="230"/>
      <c r="AM56" s="1326"/>
      <c r="AN56" s="174"/>
      <c r="AO56" s="132"/>
      <c r="AP56" s="230"/>
      <c r="AQ56" s="230"/>
      <c r="AR56" s="643"/>
      <c r="AS56" s="587"/>
      <c r="AT56" s="132"/>
      <c r="AU56" s="132"/>
      <c r="AV56" s="1365"/>
      <c r="AW56" s="1326"/>
      <c r="AX56" s="1326"/>
      <c r="AY56" s="1366"/>
      <c r="AZ56" s="132"/>
      <c r="BA56" s="132"/>
      <c r="BB56" s="132"/>
      <c r="BC56" s="132"/>
      <c r="BD56" s="256"/>
      <c r="BE56" s="132"/>
    </row>
    <row r="57" spans="1:57" ht="12" hidden="1" customHeight="1" outlineLevel="2">
      <c r="A57" s="2506">
        <f>+A50+1</f>
        <v>1994</v>
      </c>
      <c r="B57" s="2506"/>
      <c r="C57" s="132"/>
      <c r="D57" s="233"/>
      <c r="E57" s="1364"/>
      <c r="F57" s="233"/>
      <c r="G57" s="587"/>
      <c r="H57" s="230"/>
      <c r="I57" s="174"/>
      <c r="J57" s="132"/>
      <c r="K57" s="230"/>
      <c r="L57" s="174"/>
      <c r="M57" s="230"/>
      <c r="N57" s="174"/>
      <c r="O57" s="230"/>
      <c r="P57" s="1365"/>
      <c r="Q57" s="230"/>
      <c r="R57" s="230"/>
      <c r="S57" s="230"/>
      <c r="T57" s="643"/>
      <c r="U57" s="230"/>
      <c r="V57" s="174"/>
      <c r="W57" s="230"/>
      <c r="X57" s="230"/>
      <c r="Y57" s="230"/>
      <c r="Z57" s="643"/>
      <c r="AA57" s="230"/>
      <c r="AB57" s="1326"/>
      <c r="AC57" s="230"/>
      <c r="AD57" s="230"/>
      <c r="AE57" s="1326"/>
      <c r="AF57" s="230"/>
      <c r="AG57" s="230"/>
      <c r="AH57" s="1326"/>
      <c r="AI57" s="230"/>
      <c r="AJ57" s="230"/>
      <c r="AK57" s="1326"/>
      <c r="AL57" s="230"/>
      <c r="AM57" s="1326"/>
      <c r="AN57" s="174"/>
      <c r="AO57" s="132"/>
      <c r="AP57" s="230"/>
      <c r="AQ57" s="230"/>
      <c r="AR57" s="643"/>
      <c r="AS57" s="587"/>
      <c r="AT57" s="132"/>
      <c r="AU57" s="132"/>
      <c r="AV57" s="1365"/>
      <c r="AW57" s="1326"/>
      <c r="AX57" s="1326"/>
      <c r="AY57" s="1366"/>
      <c r="AZ57" s="132"/>
      <c r="BA57" s="132"/>
      <c r="BB57" s="132"/>
      <c r="BC57" s="132"/>
      <c r="BD57" s="256"/>
      <c r="BE57" s="132"/>
    </row>
    <row r="58" spans="1:57" ht="12" hidden="1" customHeight="1" outlineLevel="2">
      <c r="A58" s="132" t="str">
        <f>$A$30</f>
        <v>1Q</v>
      </c>
      <c r="B58" s="132" t="str">
        <f>$B$30</f>
        <v>Apr</v>
      </c>
      <c r="C58" s="132"/>
      <c r="D58" s="1367">
        <v>16</v>
      </c>
      <c r="E58" s="1329">
        <f>+D58-D54</f>
        <v>0</v>
      </c>
      <c r="F58" s="1330">
        <f>+(D58/D51-1)*100</f>
        <v>0</v>
      </c>
      <c r="G58" s="1331">
        <f>G55+($G62-$G$111)/$E62*E58</f>
        <v>0.20245000000000002</v>
      </c>
      <c r="H58" s="665"/>
      <c r="I58" s="1330" t="e">
        <f>+(G58/G51-1)*100</f>
        <v>#DIV/0!</v>
      </c>
      <c r="J58" s="132"/>
      <c r="K58" s="1332"/>
      <c r="L58" s="1335">
        <f>+K58-K54</f>
        <v>-1</v>
      </c>
      <c r="M58" s="1332"/>
      <c r="N58" s="1335">
        <f>+M58-M54</f>
        <v>-6</v>
      </c>
      <c r="O58" s="1340">
        <f>+K58+M58</f>
        <v>0</v>
      </c>
      <c r="P58" s="1334">
        <f>+K58-K54</f>
        <v>-1</v>
      </c>
      <c r="Q58" s="1330" t="e">
        <f>+(K58/K51-1)*100</f>
        <v>#DIV/0!</v>
      </c>
      <c r="R58" s="1330"/>
      <c r="S58" s="1330"/>
      <c r="T58" s="664"/>
      <c r="U58" s="1332"/>
      <c r="V58" s="1335"/>
      <c r="W58" s="1330"/>
      <c r="X58" s="1330"/>
      <c r="Y58" s="1330"/>
      <c r="Z58" s="664"/>
      <c r="AA58" s="1332"/>
      <c r="AB58" s="1335">
        <f>+AA58-AA54</f>
        <v>-37</v>
      </c>
      <c r="AC58" s="1330" t="e">
        <f>+(AA58/AA51-1)*100</f>
        <v>#DIV/0!</v>
      </c>
      <c r="AD58" s="1378">
        <v>5</v>
      </c>
      <c r="AE58" s="1374">
        <f>+AD58-AD54</f>
        <v>0</v>
      </c>
      <c r="AF58" s="1330">
        <f>+(AD58/AD51-1)*100</f>
        <v>25</v>
      </c>
      <c r="AG58" s="1332"/>
      <c r="AH58" s="1335">
        <f>AH55+(AH62-AH55)/AY62*AY58</f>
        <v>0.127</v>
      </c>
      <c r="AI58" s="1330"/>
      <c r="AJ58" s="1378"/>
      <c r="AK58" s="1374"/>
      <c r="AL58" s="1344"/>
      <c r="AM58" s="1335">
        <f>+AL58-AL54</f>
        <v>0</v>
      </c>
      <c r="AN58" s="1379"/>
      <c r="AO58" s="1338" t="e">
        <f>+AL58*AP$62/1000</f>
        <v>#DIV/0!</v>
      </c>
      <c r="AP58" s="665"/>
      <c r="AQ58" s="1339"/>
      <c r="AR58" s="664"/>
      <c r="AS58" s="1340">
        <f>+D58+O58+AA58+AD58+AL58</f>
        <v>21</v>
      </c>
      <c r="AT58" s="1341">
        <f>+AS58-AS54</f>
        <v>-44</v>
      </c>
      <c r="AU58" s="1330">
        <f>+(AS58/AS51-1)*100</f>
        <v>5.0000000000000044</v>
      </c>
      <c r="AV58" s="1346"/>
      <c r="AW58" s="1347"/>
      <c r="AX58" s="1370">
        <v>49</v>
      </c>
      <c r="AY58" s="1369">
        <f>AX58-AX55</f>
        <v>0</v>
      </c>
      <c r="AZ58" s="132"/>
      <c r="BA58" s="132"/>
      <c r="BB58" s="132"/>
      <c r="BC58" s="215">
        <f>D58/AS58</f>
        <v>0.76190476190476186</v>
      </c>
      <c r="BD58" s="1492">
        <f>(O58+AA58+AD58)/AS58</f>
        <v>0.23809523809523808</v>
      </c>
      <c r="BE58" s="1343">
        <f>AL58/AS58</f>
        <v>0</v>
      </c>
    </row>
    <row r="59" spans="1:57" ht="12" hidden="1" customHeight="1" outlineLevel="2">
      <c r="A59" s="132" t="str">
        <f>$A$31</f>
        <v>2Q</v>
      </c>
      <c r="B59" s="132" t="str">
        <f>$B$31</f>
        <v>Jul</v>
      </c>
      <c r="C59" s="132"/>
      <c r="D59" s="1367">
        <v>17</v>
      </c>
      <c r="E59" s="1329">
        <f>+D59-D58</f>
        <v>1</v>
      </c>
      <c r="F59" s="1330">
        <f>+(D59/D52-1)*100</f>
        <v>6.25</v>
      </c>
      <c r="G59" s="1331">
        <f>G58+($G62-$G55)/$E62*E59</f>
        <v>0.20745000000000002</v>
      </c>
      <c r="H59" s="665"/>
      <c r="I59" s="1330" t="e">
        <f>+(G59/G52-1)*100</f>
        <v>#DIV/0!</v>
      </c>
      <c r="J59" s="672"/>
      <c r="K59" s="1344"/>
      <c r="L59" s="1335">
        <f>+K59-K58</f>
        <v>0</v>
      </c>
      <c r="M59" s="1344"/>
      <c r="N59" s="1335">
        <f>+M59-M58</f>
        <v>0</v>
      </c>
      <c r="O59" s="1328">
        <f>+K59+M59</f>
        <v>0</v>
      </c>
      <c r="P59" s="1334">
        <f>+K59-K58</f>
        <v>0</v>
      </c>
      <c r="Q59" s="1330" t="e">
        <f>+(K59/K52-1)*100</f>
        <v>#DIV/0!</v>
      </c>
      <c r="R59" s="1330"/>
      <c r="S59" s="1330"/>
      <c r="T59" s="664"/>
      <c r="U59" s="1344"/>
      <c r="V59" s="1335"/>
      <c r="W59" s="1330"/>
      <c r="X59" s="1330"/>
      <c r="Y59" s="1330"/>
      <c r="Z59" s="664"/>
      <c r="AA59" s="1344"/>
      <c r="AB59" s="1335">
        <f>+AA59-AA58</f>
        <v>0</v>
      </c>
      <c r="AC59" s="1330" t="e">
        <f>+(AA59/AA52-1)*100</f>
        <v>#DIV/0!</v>
      </c>
      <c r="AD59" s="1367">
        <v>6</v>
      </c>
      <c r="AE59" s="1335">
        <f>+AD59-AD58</f>
        <v>1</v>
      </c>
      <c r="AF59" s="1330">
        <f>+(AD59/AD52-1)*100</f>
        <v>19.999999999999996</v>
      </c>
      <c r="AG59" s="1344"/>
      <c r="AH59" s="1335">
        <f>AH58+(AH62-AH55)/AY62*AY59</f>
        <v>0.1305</v>
      </c>
      <c r="AI59" s="1330"/>
      <c r="AJ59" s="1367"/>
      <c r="AK59" s="1335"/>
      <c r="AL59" s="1344"/>
      <c r="AM59" s="1335">
        <f>+AL59-AL58</f>
        <v>0</v>
      </c>
      <c r="AN59" s="1379"/>
      <c r="AO59" s="1338" t="e">
        <f>+AL59*AP$62/1000</f>
        <v>#DIV/0!</v>
      </c>
      <c r="AP59" s="665"/>
      <c r="AQ59" s="1339"/>
      <c r="AR59" s="664"/>
      <c r="AS59" s="1340">
        <f>+D59+O59+AA59+AD59+AL59</f>
        <v>23</v>
      </c>
      <c r="AT59" s="1341">
        <f>+AS59-AS58</f>
        <v>2</v>
      </c>
      <c r="AU59" s="1330">
        <f>+(AS59/AS52-1)*100</f>
        <v>9.5238095238095344</v>
      </c>
      <c r="AV59" s="1346"/>
      <c r="AW59" s="1347"/>
      <c r="AX59" s="1370">
        <v>50</v>
      </c>
      <c r="AY59" s="1369">
        <f>AX59-AX58</f>
        <v>1</v>
      </c>
      <c r="AZ59" s="132"/>
      <c r="BA59" s="132"/>
      <c r="BB59" s="132"/>
      <c r="BC59" s="215">
        <f>D59/AS59</f>
        <v>0.73913043478260865</v>
      </c>
      <c r="BD59" s="1492">
        <f>(O59+AA59+AD59)/AS59</f>
        <v>0.2608695652173913</v>
      </c>
      <c r="BE59" s="1343">
        <f>AL59/AS59</f>
        <v>0</v>
      </c>
    </row>
    <row r="60" spans="1:57" ht="12" hidden="1" customHeight="1" outlineLevel="2">
      <c r="A60" s="132" t="str">
        <f>$A$32</f>
        <v>3Q</v>
      </c>
      <c r="B60" s="132" t="str">
        <f>$B$32</f>
        <v>Oct</v>
      </c>
      <c r="C60" s="132"/>
      <c r="D60" s="1367">
        <v>18</v>
      </c>
      <c r="E60" s="1329">
        <f>+D60-D59</f>
        <v>1</v>
      </c>
      <c r="F60" s="1330">
        <f>+(D60/D53-1)*100</f>
        <v>12.5</v>
      </c>
      <c r="G60" s="1331">
        <f>G59+($G62-$G55)/$E62*E60</f>
        <v>0.21245000000000003</v>
      </c>
      <c r="H60" s="665"/>
      <c r="I60" s="1330" t="e">
        <f>+(G60/G53-1)*100</f>
        <v>#DIV/0!</v>
      </c>
      <c r="J60" s="132"/>
      <c r="K60" s="1344"/>
      <c r="L60" s="1335">
        <f>+K60-K59</f>
        <v>0</v>
      </c>
      <c r="M60" s="1344"/>
      <c r="N60" s="1335">
        <f>+M60-M59</f>
        <v>0</v>
      </c>
      <c r="O60" s="1328">
        <f>+K60+M60</f>
        <v>0</v>
      </c>
      <c r="P60" s="1334">
        <f>+K60-K59</f>
        <v>0</v>
      </c>
      <c r="Q60" s="1330" t="e">
        <f>+(K60/K53-1)*100</f>
        <v>#DIV/0!</v>
      </c>
      <c r="R60" s="1330"/>
      <c r="S60" s="1330"/>
      <c r="T60" s="664"/>
      <c r="U60" s="1344"/>
      <c r="V60" s="1335"/>
      <c r="W60" s="1330"/>
      <c r="X60" s="1330"/>
      <c r="Y60" s="1330"/>
      <c r="Z60" s="664"/>
      <c r="AA60" s="1344"/>
      <c r="AB60" s="1335">
        <f>+AA60-AA59</f>
        <v>0</v>
      </c>
      <c r="AC60" s="1330" t="e">
        <f>+(AA60/AA53-1)*100</f>
        <v>#DIV/0!</v>
      </c>
      <c r="AD60" s="1367">
        <v>7</v>
      </c>
      <c r="AE60" s="1335">
        <f>+AD60-AD59</f>
        <v>1</v>
      </c>
      <c r="AF60" s="1330">
        <f>+(AD60/AD53-1)*100</f>
        <v>39.999999999999993</v>
      </c>
      <c r="AG60" s="1344"/>
      <c r="AH60" s="1335">
        <f>AH59+(AH62-AH55)/AY62*AY60</f>
        <v>0.13400000000000001</v>
      </c>
      <c r="AI60" s="1330"/>
      <c r="AJ60" s="1367"/>
      <c r="AK60" s="1335"/>
      <c r="AL60" s="1344"/>
      <c r="AM60" s="1335">
        <f>+AL60-AL59</f>
        <v>0</v>
      </c>
      <c r="AN60" s="1379"/>
      <c r="AO60" s="1338" t="e">
        <f>+AL60*AP$62/1000</f>
        <v>#DIV/0!</v>
      </c>
      <c r="AP60" s="665"/>
      <c r="AQ60" s="1339"/>
      <c r="AR60" s="664"/>
      <c r="AS60" s="1340">
        <f>+D60+O60+AA60+AD60+AL60</f>
        <v>25</v>
      </c>
      <c r="AT60" s="1341">
        <f>+AS60-AS59</f>
        <v>2</v>
      </c>
      <c r="AU60" s="1330">
        <f>+(AS60/AS53-1)*100</f>
        <v>19.047619047619047</v>
      </c>
      <c r="AV60" s="1346"/>
      <c r="AW60" s="1347"/>
      <c r="AX60" s="1370">
        <v>51</v>
      </c>
      <c r="AY60" s="1369">
        <f>AX60-AX59</f>
        <v>1</v>
      </c>
      <c r="AZ60" s="132"/>
      <c r="BA60" s="132"/>
      <c r="BB60" s="132"/>
      <c r="BC60" s="215">
        <f>D60/AS60</f>
        <v>0.72</v>
      </c>
      <c r="BD60" s="1492">
        <f>(O60+AA60+AD60)/AS60</f>
        <v>0.28000000000000003</v>
      </c>
      <c r="BE60" s="1343">
        <f>AL60/AS60</f>
        <v>0</v>
      </c>
    </row>
    <row r="61" spans="1:57" ht="12" hidden="1" customHeight="1" outlineLevel="2">
      <c r="A61" s="132" t="str">
        <f>$A$33</f>
        <v>4Q</v>
      </c>
      <c r="B61" s="132" t="str">
        <f>$B$33</f>
        <v>Jan</v>
      </c>
      <c r="C61" s="132"/>
      <c r="D61" s="1349">
        <v>18</v>
      </c>
      <c r="E61" s="1329">
        <f>+D61-D60</f>
        <v>0</v>
      </c>
      <c r="F61" s="1330">
        <f>+(D61/D54-1)*100</f>
        <v>12.5</v>
      </c>
      <c r="G61" s="1380">
        <f>0.18+0.03245</f>
        <v>0.21245</v>
      </c>
      <c r="H61" s="665"/>
      <c r="I61" s="1330">
        <f>+(G61/G54-1)*100</f>
        <v>4.9394912324030482</v>
      </c>
      <c r="J61" s="132"/>
      <c r="K61" s="1349">
        <v>1</v>
      </c>
      <c r="L61" s="1335">
        <f>+K61-K60</f>
        <v>1</v>
      </c>
      <c r="M61" s="1349">
        <v>6</v>
      </c>
      <c r="N61" s="1335">
        <f>+M61-M60</f>
        <v>6</v>
      </c>
      <c r="O61" s="1351">
        <f>+K61+M61</f>
        <v>7</v>
      </c>
      <c r="P61" s="1334">
        <f>+K61-K60</f>
        <v>1</v>
      </c>
      <c r="Q61" s="1330">
        <f>+(K61/K54-1)*100</f>
        <v>0</v>
      </c>
      <c r="R61" s="1330"/>
      <c r="S61" s="1330"/>
      <c r="T61" s="664"/>
      <c r="U61" s="1349"/>
      <c r="V61" s="1335"/>
      <c r="W61" s="1330"/>
      <c r="X61" s="1330"/>
      <c r="Y61" s="1330"/>
      <c r="Z61" s="664"/>
      <c r="AA61" s="1349">
        <v>37</v>
      </c>
      <c r="AB61" s="1335">
        <f>+AA61-AA60</f>
        <v>37</v>
      </c>
      <c r="AC61" s="1330">
        <f>+(AA61/AA54-1)*100</f>
        <v>0</v>
      </c>
      <c r="AD61" s="1349">
        <v>7</v>
      </c>
      <c r="AE61" s="1335">
        <f>+AD61-AD60</f>
        <v>0</v>
      </c>
      <c r="AF61" s="1330">
        <f>+(AD61/AD54-1)*100</f>
        <v>39.999999999999993</v>
      </c>
      <c r="AG61" s="1349"/>
      <c r="AH61" s="1335">
        <v>0.13400000000000001</v>
      </c>
      <c r="AI61" s="1330"/>
      <c r="AJ61" s="1349"/>
      <c r="AK61" s="1335"/>
      <c r="AL61" s="1349"/>
      <c r="AM61" s="1335">
        <f>+AL61-AL60</f>
        <v>0</v>
      </c>
      <c r="AN61" s="1379"/>
      <c r="AO61" s="1353" t="e">
        <f>+AL61*AP$62/1000</f>
        <v>#DIV/0!</v>
      </c>
      <c r="AP61" s="665"/>
      <c r="AQ61" s="1339"/>
      <c r="AR61" s="664"/>
      <c r="AS61" s="1355">
        <f>+D61+O61+AA61+AD61+AL61</f>
        <v>69</v>
      </c>
      <c r="AT61" s="1341">
        <f>+AS61-AS60</f>
        <v>44</v>
      </c>
      <c r="AU61" s="1330">
        <f>+(AS61/AS54-1)*100</f>
        <v>6.1538461538461542</v>
      </c>
      <c r="AV61" s="1346"/>
      <c r="AW61" s="1347"/>
      <c r="AX61" s="1347">
        <f>AS61-D61-AL61</f>
        <v>51</v>
      </c>
      <c r="AY61" s="1369">
        <f>AX61-AX60</f>
        <v>0</v>
      </c>
      <c r="AZ61" s="132"/>
      <c r="BA61" s="132"/>
      <c r="BB61" s="132"/>
      <c r="BC61" s="215">
        <f>D61/AS61</f>
        <v>0.2608695652173913</v>
      </c>
      <c r="BD61" s="1492">
        <f>(O61+AA61+AD61)/AS61</f>
        <v>0.73913043478260865</v>
      </c>
      <c r="BE61" s="1356">
        <f>AL61/AS61</f>
        <v>0</v>
      </c>
    </row>
    <row r="62" spans="1:57" ht="12" hidden="1" customHeight="1" outlineLevel="2">
      <c r="A62" s="132"/>
      <c r="B62" s="132" t="str">
        <f>$B$34</f>
        <v>Year</v>
      </c>
      <c r="C62" s="132"/>
      <c r="D62" s="1381">
        <f>+D61</f>
        <v>18</v>
      </c>
      <c r="E62" s="1357">
        <f>+D62-D55</f>
        <v>2</v>
      </c>
      <c r="F62" s="1330">
        <f>+(D62/D55-1)*100</f>
        <v>12.5</v>
      </c>
      <c r="G62" s="1331">
        <f>G61</f>
        <v>0.21245</v>
      </c>
      <c r="H62" s="665">
        <f>+G62/D62*1000</f>
        <v>11.802777777777779</v>
      </c>
      <c r="I62" s="1330">
        <f>+(G62/G55-1)*100</f>
        <v>4.9394912324030482</v>
      </c>
      <c r="J62" s="132"/>
      <c r="K62" s="1340">
        <f>+K61</f>
        <v>1</v>
      </c>
      <c r="L62" s="1372">
        <f>+K62-K55</f>
        <v>0</v>
      </c>
      <c r="M62" s="1340">
        <f>+M61</f>
        <v>6</v>
      </c>
      <c r="N62" s="1372">
        <f>+M62-M55</f>
        <v>0</v>
      </c>
      <c r="O62" s="1328">
        <f>+K62+M62</f>
        <v>7</v>
      </c>
      <c r="P62" s="683">
        <f>+K62-K55</f>
        <v>0</v>
      </c>
      <c r="Q62" s="1330">
        <f>+(K62/K55-1)*100</f>
        <v>0</v>
      </c>
      <c r="R62" s="1330"/>
      <c r="S62" s="1330"/>
      <c r="T62" s="664"/>
      <c r="U62" s="1340"/>
      <c r="V62" s="1372"/>
      <c r="W62" s="1330"/>
      <c r="X62" s="1330"/>
      <c r="Y62" s="1330"/>
      <c r="Z62" s="664"/>
      <c r="AA62" s="1340">
        <f>+AA61</f>
        <v>37</v>
      </c>
      <c r="AB62" s="1372">
        <f>+AA62-AA55</f>
        <v>0</v>
      </c>
      <c r="AC62" s="1330">
        <f>+(AA62/AA55-1)*100</f>
        <v>0</v>
      </c>
      <c r="AD62" s="1340">
        <f>+AD61</f>
        <v>7</v>
      </c>
      <c r="AE62" s="1372">
        <f>+AD62-AD55</f>
        <v>2</v>
      </c>
      <c r="AF62" s="1330">
        <f>+(AD62/AD55-1)*100</f>
        <v>39.999999999999993</v>
      </c>
      <c r="AG62" s="1340"/>
      <c r="AH62" s="1372">
        <f>AH61</f>
        <v>0.13400000000000001</v>
      </c>
      <c r="AI62" s="1330">
        <f>+AH62/AX62*1000000</f>
        <v>2627.4509803921574</v>
      </c>
      <c r="AJ62" s="1340"/>
      <c r="AK62" s="1372"/>
      <c r="AL62" s="1340">
        <f>+AL61</f>
        <v>0</v>
      </c>
      <c r="AM62" s="1372">
        <f>+AL62-AL55</f>
        <v>0</v>
      </c>
      <c r="AN62" s="1330"/>
      <c r="AO62" s="1362"/>
      <c r="AP62" s="665" t="e">
        <f>+AO62/AL62*1000</f>
        <v>#DIV/0!</v>
      </c>
      <c r="AQ62" s="1330"/>
      <c r="AR62" s="664"/>
      <c r="AS62" s="1340">
        <f>+D62+O62+AA62+AD62+AL62</f>
        <v>69</v>
      </c>
      <c r="AT62" s="683">
        <f>+AS62-AS55</f>
        <v>4</v>
      </c>
      <c r="AU62" s="1330">
        <f>+(AS62/AS55-1)*100</f>
        <v>6.1538461538461542</v>
      </c>
      <c r="AV62" s="683"/>
      <c r="AW62" s="1372"/>
      <c r="AX62" s="1347">
        <f>AS62-D62-AL62</f>
        <v>51</v>
      </c>
      <c r="AY62" s="1369">
        <f>AX62-AX55</f>
        <v>2</v>
      </c>
      <c r="AZ62" s="132"/>
      <c r="BA62" s="132"/>
      <c r="BB62" s="132"/>
      <c r="BC62" s="1363">
        <f>D62/AS62</f>
        <v>0.2608695652173913</v>
      </c>
      <c r="BD62" s="1810">
        <f>(O62+AA62+AD62)/AS62</f>
        <v>0.73913043478260865</v>
      </c>
      <c r="BE62" s="1363">
        <f>AL62/AS62</f>
        <v>0</v>
      </c>
    </row>
    <row r="63" spans="1:57" ht="12" hidden="1" customHeight="1" outlineLevel="2">
      <c r="A63" s="132"/>
      <c r="B63" s="132"/>
      <c r="C63" s="132"/>
      <c r="D63" s="233"/>
      <c r="E63" s="1364"/>
      <c r="F63" s="233"/>
      <c r="G63" s="587"/>
      <c r="H63" s="230"/>
      <c r="I63" s="174"/>
      <c r="J63" s="132"/>
      <c r="K63" s="230"/>
      <c r="L63" s="174"/>
      <c r="M63" s="230"/>
      <c r="N63" s="174"/>
      <c r="O63" s="230"/>
      <c r="P63" s="1365"/>
      <c r="Q63" s="230"/>
      <c r="R63" s="230"/>
      <c r="S63" s="230"/>
      <c r="T63" s="643"/>
      <c r="U63" s="230"/>
      <c r="V63" s="174"/>
      <c r="W63" s="230"/>
      <c r="X63" s="230"/>
      <c r="Y63" s="230"/>
      <c r="Z63" s="643"/>
      <c r="AA63" s="230"/>
      <c r="AB63" s="1326"/>
      <c r="AC63" s="230"/>
      <c r="AD63" s="230"/>
      <c r="AE63" s="1326"/>
      <c r="AF63" s="230"/>
      <c r="AG63" s="230"/>
      <c r="AH63" s="1326"/>
      <c r="AI63" s="230"/>
      <c r="AJ63" s="230"/>
      <c r="AK63" s="1326"/>
      <c r="AL63" s="230"/>
      <c r="AM63" s="1326"/>
      <c r="AN63" s="174"/>
      <c r="AO63" s="132"/>
      <c r="AP63" s="230"/>
      <c r="AQ63" s="230"/>
      <c r="AR63" s="643"/>
      <c r="AS63" s="587"/>
      <c r="AT63" s="132"/>
      <c r="AU63" s="132"/>
      <c r="AV63" s="1365"/>
      <c r="AW63" s="1326"/>
      <c r="AX63" s="1347"/>
      <c r="AY63" s="1348"/>
      <c r="AZ63" s="132"/>
      <c r="BA63" s="132"/>
      <c r="BB63" s="132"/>
      <c r="BC63" s="132"/>
      <c r="BD63" s="256"/>
      <c r="BE63" s="132"/>
    </row>
    <row r="64" spans="1:57" ht="12" hidden="1" customHeight="1" outlineLevel="2">
      <c r="A64" s="2506">
        <f>+A57+1</f>
        <v>1995</v>
      </c>
      <c r="B64" s="2506"/>
      <c r="C64" s="132"/>
      <c r="D64" s="230"/>
      <c r="E64" s="1325"/>
      <c r="F64" s="230"/>
      <c r="G64" s="256"/>
      <c r="H64" s="230"/>
      <c r="I64" s="174"/>
      <c r="J64" s="132"/>
      <c r="K64" s="230"/>
      <c r="L64" s="174"/>
      <c r="M64" s="230"/>
      <c r="N64" s="174"/>
      <c r="O64" s="230"/>
      <c r="P64" s="200"/>
      <c r="Q64" s="230"/>
      <c r="R64" s="230"/>
      <c r="S64" s="230"/>
      <c r="T64" s="643"/>
      <c r="U64" s="230"/>
      <c r="V64" s="174"/>
      <c r="W64" s="230"/>
      <c r="X64" s="230"/>
      <c r="Y64" s="230"/>
      <c r="Z64" s="643"/>
      <c r="AA64" s="230"/>
      <c r="AB64" s="174"/>
      <c r="AC64" s="230"/>
      <c r="AD64" s="230"/>
      <c r="AE64" s="174"/>
      <c r="AF64" s="230"/>
      <c r="AG64" s="230"/>
      <c r="AH64" s="174"/>
      <c r="AI64" s="230"/>
      <c r="AJ64" s="230"/>
      <c r="AK64" s="174"/>
      <c r="AL64" s="230"/>
      <c r="AM64" s="174"/>
      <c r="AN64" s="174"/>
      <c r="AO64" s="132"/>
      <c r="AP64" s="230"/>
      <c r="AQ64" s="230"/>
      <c r="AR64" s="643"/>
      <c r="AS64" s="587"/>
      <c r="AT64" s="132"/>
      <c r="AU64" s="132"/>
      <c r="AV64" s="200"/>
      <c r="AW64" s="174"/>
      <c r="AX64" s="1347"/>
      <c r="AY64" s="1348"/>
      <c r="AZ64" s="132"/>
      <c r="BA64" s="132"/>
      <c r="BB64" s="132"/>
      <c r="BC64" s="132"/>
      <c r="BD64" s="256"/>
      <c r="BE64" s="132"/>
    </row>
    <row r="65" spans="1:57" ht="12" hidden="1" customHeight="1" outlineLevel="2">
      <c r="A65" s="132" t="str">
        <f>$A$30</f>
        <v>1Q</v>
      </c>
      <c r="B65" s="132" t="str">
        <f>$B$30</f>
        <v>Apr</v>
      </c>
      <c r="C65" s="132"/>
      <c r="D65" s="1367">
        <v>18</v>
      </c>
      <c r="E65" s="1329">
        <f>+D65-D61</f>
        <v>0</v>
      </c>
      <c r="F65" s="1330">
        <f>+(D65/D58-1)*100</f>
        <v>12.5</v>
      </c>
      <c r="G65" s="1331">
        <f>G62+($G69-$G$111)/$E69*E65</f>
        <v>0.21245</v>
      </c>
      <c r="H65" s="665"/>
      <c r="I65" s="1330">
        <f>+(G65/G58-1)*100</f>
        <v>4.9394912324030482</v>
      </c>
      <c r="J65" s="132"/>
      <c r="K65" s="1332"/>
      <c r="L65" s="1335">
        <f>+K65-K61</f>
        <v>-1</v>
      </c>
      <c r="M65" s="1332"/>
      <c r="N65" s="1335">
        <f>+M65-M61</f>
        <v>-6</v>
      </c>
      <c r="O65" s="1340">
        <f>+K65+M65</f>
        <v>0</v>
      </c>
      <c r="P65" s="1334">
        <f>+K65-K61</f>
        <v>-1</v>
      </c>
      <c r="Q65" s="1330" t="e">
        <f>+(K65/K58-1)*100</f>
        <v>#DIV/0!</v>
      </c>
      <c r="R65" s="1330"/>
      <c r="S65" s="1330"/>
      <c r="T65" s="664"/>
      <c r="U65" s="1332"/>
      <c r="V65" s="1335"/>
      <c r="W65" s="1330"/>
      <c r="X65" s="1330"/>
      <c r="Y65" s="1330"/>
      <c r="Z65" s="664"/>
      <c r="AA65" s="1332"/>
      <c r="AB65" s="1335">
        <f>+AA65-AA61</f>
        <v>-37</v>
      </c>
      <c r="AC65" s="1330" t="e">
        <f>+(AA65/AA58-1)*100</f>
        <v>#DIV/0!</v>
      </c>
      <c r="AD65" s="1378">
        <v>7</v>
      </c>
      <c r="AE65" s="1374">
        <f>+AD65-AD61</f>
        <v>0</v>
      </c>
      <c r="AF65" s="1330">
        <f>+(AD65/AD58-1)*100</f>
        <v>39.999999999999993</v>
      </c>
      <c r="AG65" s="1332"/>
      <c r="AH65" s="1335">
        <f>AH62+(AH69-AH62)/AY69*AY65</f>
        <v>0.13400000000000001</v>
      </c>
      <c r="AI65" s="1330"/>
      <c r="AJ65" s="1378"/>
      <c r="AK65" s="1374"/>
      <c r="AL65" s="1344"/>
      <c r="AM65" s="1335">
        <f>+AL65-AL61</f>
        <v>0</v>
      </c>
      <c r="AN65" s="1382" t="e">
        <f>+(AL65/AL58-1)*100</f>
        <v>#DIV/0!</v>
      </c>
      <c r="AO65" s="1338" t="e">
        <f>+AL65*AP$69/1000</f>
        <v>#DIV/0!</v>
      </c>
      <c r="AP65" s="665"/>
      <c r="AQ65" s="1339"/>
      <c r="AR65" s="664"/>
      <c r="AS65" s="1340">
        <f>+D65+O65+AA65+AD65+AL65</f>
        <v>25</v>
      </c>
      <c r="AT65" s="1341">
        <f>+AS65-AS61</f>
        <v>-44</v>
      </c>
      <c r="AU65" s="1330">
        <f>+(AS65/AS58-1)*100</f>
        <v>19.047619047619047</v>
      </c>
      <c r="AV65" s="1334"/>
      <c r="AW65" s="1335"/>
      <c r="AX65" s="1370">
        <v>51</v>
      </c>
      <c r="AY65" s="1369">
        <f>AX65-AX62</f>
        <v>0</v>
      </c>
      <c r="AZ65" s="132"/>
      <c r="BA65" s="132"/>
      <c r="BB65" s="132"/>
      <c r="BC65" s="215">
        <f>D65/AS65</f>
        <v>0.72</v>
      </c>
      <c r="BD65" s="1492">
        <f>(O65+AA65+AD65)/AS65</f>
        <v>0.28000000000000003</v>
      </c>
      <c r="BE65" s="1343">
        <f>AL65/AS65</f>
        <v>0</v>
      </c>
    </row>
    <row r="66" spans="1:57" ht="12" hidden="1" customHeight="1" outlineLevel="2">
      <c r="A66" s="132" t="str">
        <f>$A$31</f>
        <v>2Q</v>
      </c>
      <c r="B66" s="132" t="str">
        <f>$B$31</f>
        <v>Jul</v>
      </c>
      <c r="C66" s="132"/>
      <c r="D66" s="1367">
        <v>19</v>
      </c>
      <c r="E66" s="1329">
        <f>+D66-D65</f>
        <v>1</v>
      </c>
      <c r="F66" s="1330">
        <f>+(D66/D59-1)*100</f>
        <v>11.764705882352944</v>
      </c>
      <c r="G66" s="1331">
        <f>G65+($G69-$G62)/$E69*E66</f>
        <v>0.22045000000000001</v>
      </c>
      <c r="H66" s="665"/>
      <c r="I66" s="1330">
        <f>+(G66/G59-1)*100</f>
        <v>6.2665702578934557</v>
      </c>
      <c r="J66" s="672"/>
      <c r="K66" s="1344"/>
      <c r="L66" s="1335">
        <f>+K66-K65</f>
        <v>0</v>
      </c>
      <c r="M66" s="1344"/>
      <c r="N66" s="1335">
        <f>+M66-M65</f>
        <v>0</v>
      </c>
      <c r="O66" s="1328">
        <f>+K66+M66</f>
        <v>0</v>
      </c>
      <c r="P66" s="1334">
        <f>+K66-K65</f>
        <v>0</v>
      </c>
      <c r="Q66" s="1330" t="e">
        <f>+(K66/K59-1)*100</f>
        <v>#DIV/0!</v>
      </c>
      <c r="R66" s="1330"/>
      <c r="S66" s="1330"/>
      <c r="T66" s="664"/>
      <c r="U66" s="1344"/>
      <c r="V66" s="1335"/>
      <c r="W66" s="1330"/>
      <c r="X66" s="1330"/>
      <c r="Y66" s="1330"/>
      <c r="Z66" s="664"/>
      <c r="AA66" s="1344"/>
      <c r="AB66" s="1335">
        <f>+AA66-AA65</f>
        <v>0</v>
      </c>
      <c r="AC66" s="1330" t="e">
        <f>+(AA66/AA59-1)*100</f>
        <v>#DIV/0!</v>
      </c>
      <c r="AD66" s="1367">
        <v>8</v>
      </c>
      <c r="AE66" s="1335">
        <f>+AD66-AD65</f>
        <v>1</v>
      </c>
      <c r="AF66" s="1330">
        <f>+(AD66/AD59-1)*100</f>
        <v>33.333333333333329</v>
      </c>
      <c r="AG66" s="1344"/>
      <c r="AH66" s="1335">
        <f>AH65+(AH69-AH62)/AY69*AY66</f>
        <v>0.13400000000000001</v>
      </c>
      <c r="AI66" s="1330"/>
      <c r="AJ66" s="1367"/>
      <c r="AK66" s="1335"/>
      <c r="AL66" s="1344"/>
      <c r="AM66" s="1335">
        <f>+AL66-AL65</f>
        <v>0</v>
      </c>
      <c r="AN66" s="1382" t="e">
        <f>+(AL66/AL59-1)*100</f>
        <v>#DIV/0!</v>
      </c>
      <c r="AO66" s="1338" t="e">
        <f>+AL66*AP$69/1000</f>
        <v>#DIV/0!</v>
      </c>
      <c r="AP66" s="665"/>
      <c r="AQ66" s="1339"/>
      <c r="AR66" s="664"/>
      <c r="AS66" s="1340">
        <f>+D66+O66+AA66+AD66+AL66</f>
        <v>27</v>
      </c>
      <c r="AT66" s="1341">
        <f>+AS66-AS65</f>
        <v>2</v>
      </c>
      <c r="AU66" s="1330">
        <f>+(AS66/AS59-1)*100</f>
        <v>17.391304347826097</v>
      </c>
      <c r="AV66" s="1334"/>
      <c r="AW66" s="1335"/>
      <c r="AX66" s="1370">
        <v>52</v>
      </c>
      <c r="AY66" s="1369">
        <f>AX66-AX65</f>
        <v>1</v>
      </c>
      <c r="AZ66" s="132"/>
      <c r="BA66" s="132"/>
      <c r="BB66" s="132"/>
      <c r="BC66" s="215">
        <f>D66/AS66</f>
        <v>0.70370370370370372</v>
      </c>
      <c r="BD66" s="1492">
        <f>(O66+AA66+AD66)/AS66</f>
        <v>0.29629629629629628</v>
      </c>
      <c r="BE66" s="1343">
        <f>AL66/AS66</f>
        <v>0</v>
      </c>
    </row>
    <row r="67" spans="1:57" ht="12" hidden="1" customHeight="1" outlineLevel="2">
      <c r="A67" s="132" t="str">
        <f>$A$32</f>
        <v>3Q</v>
      </c>
      <c r="B67" s="132" t="str">
        <f>$B$32</f>
        <v>Oct</v>
      </c>
      <c r="C67" s="132"/>
      <c r="D67" s="1367">
        <v>20</v>
      </c>
      <c r="E67" s="1329">
        <f>+D67-D66</f>
        <v>1</v>
      </c>
      <c r="F67" s="1330">
        <f>+(D67/D60-1)*100</f>
        <v>11.111111111111116</v>
      </c>
      <c r="G67" s="1331">
        <f>G66+($G69-$G62)/$E69*E67</f>
        <v>0.22845000000000001</v>
      </c>
      <c r="H67" s="665"/>
      <c r="I67" s="1330">
        <f>+(G67/G60-1)*100</f>
        <v>7.531183807954811</v>
      </c>
      <c r="J67" s="132"/>
      <c r="K67" s="1344"/>
      <c r="L67" s="1335">
        <f>+K67-K66</f>
        <v>0</v>
      </c>
      <c r="M67" s="1344"/>
      <c r="N67" s="1335">
        <f>+M67-M66</f>
        <v>0</v>
      </c>
      <c r="O67" s="1328">
        <f>+K67+M67</f>
        <v>0</v>
      </c>
      <c r="P67" s="1334">
        <f>+K67-K66</f>
        <v>0</v>
      </c>
      <c r="Q67" s="1330" t="e">
        <f>+(K67/K60-1)*100</f>
        <v>#DIV/0!</v>
      </c>
      <c r="R67" s="1330"/>
      <c r="S67" s="1330"/>
      <c r="T67" s="664"/>
      <c r="U67" s="1344"/>
      <c r="V67" s="1335"/>
      <c r="W67" s="1330"/>
      <c r="X67" s="1330"/>
      <c r="Y67" s="1330"/>
      <c r="Z67" s="664"/>
      <c r="AA67" s="1344"/>
      <c r="AB67" s="1335">
        <f>+AA67-AA66</f>
        <v>0</v>
      </c>
      <c r="AC67" s="1330" t="e">
        <f>+(AA67/AA60-1)*100</f>
        <v>#DIV/0!</v>
      </c>
      <c r="AD67" s="1367">
        <v>9</v>
      </c>
      <c r="AE67" s="1335">
        <f>+AD67-AD66</f>
        <v>1</v>
      </c>
      <c r="AF67" s="1330">
        <f>+(AD67/AD60-1)*100</f>
        <v>28.57142857142858</v>
      </c>
      <c r="AG67" s="1344"/>
      <c r="AH67" s="1335">
        <f>AH66+(AH69-AH62)/AY69*AY67</f>
        <v>0.13400000000000001</v>
      </c>
      <c r="AI67" s="1330"/>
      <c r="AJ67" s="1367"/>
      <c r="AK67" s="1335"/>
      <c r="AL67" s="1344"/>
      <c r="AM67" s="1335">
        <f>+AL67-AL66</f>
        <v>0</v>
      </c>
      <c r="AN67" s="1382" t="e">
        <f>+(AL67/AL60-1)*100</f>
        <v>#DIV/0!</v>
      </c>
      <c r="AO67" s="1338" t="e">
        <f>+AL67*AP$69/1000</f>
        <v>#DIV/0!</v>
      </c>
      <c r="AP67" s="665"/>
      <c r="AQ67" s="1339"/>
      <c r="AR67" s="664"/>
      <c r="AS67" s="1340">
        <f>+D67+O67+AA67+AD67+AL67</f>
        <v>29</v>
      </c>
      <c r="AT67" s="1341">
        <f>+AS67-AS66</f>
        <v>2</v>
      </c>
      <c r="AU67" s="1330">
        <f>+(AS67/AS60-1)*100</f>
        <v>15.999999999999993</v>
      </c>
      <c r="AV67" s="1334"/>
      <c r="AW67" s="1335"/>
      <c r="AX67" s="1370">
        <v>53</v>
      </c>
      <c r="AY67" s="1369">
        <f>AX67-AX66</f>
        <v>1</v>
      </c>
      <c r="AZ67" s="132"/>
      <c r="BA67" s="132"/>
      <c r="BB67" s="132"/>
      <c r="BC67" s="215">
        <f>D67/AS67</f>
        <v>0.68965517241379315</v>
      </c>
      <c r="BD67" s="1492">
        <f>(O67+AA67+AD67)/AS67</f>
        <v>0.31034482758620691</v>
      </c>
      <c r="BE67" s="1343">
        <f>AL67/AS67</f>
        <v>0</v>
      </c>
    </row>
    <row r="68" spans="1:57" ht="12" hidden="1" customHeight="1" outlineLevel="2">
      <c r="A68" s="132" t="str">
        <f>$A$33</f>
        <v>4Q</v>
      </c>
      <c r="B68" s="132" t="str">
        <f>$B$33</f>
        <v>Jan</v>
      </c>
      <c r="C68" s="132"/>
      <c r="D68" s="1349">
        <v>21</v>
      </c>
      <c r="E68" s="1329">
        <f>+D68-D67</f>
        <v>1</v>
      </c>
      <c r="F68" s="1330">
        <f>+(D68/D61-1)*100</f>
        <v>16.666666666666675</v>
      </c>
      <c r="G68" s="1380">
        <f>0.204+0.03245</f>
        <v>0.23644999999999999</v>
      </c>
      <c r="H68" s="665"/>
      <c r="I68" s="1330">
        <f>+(G68/G61-1)*100</f>
        <v>11.296775711932217</v>
      </c>
      <c r="J68" s="132"/>
      <c r="K68" s="1349">
        <v>1</v>
      </c>
      <c r="L68" s="1335">
        <f>+K68-K67</f>
        <v>1</v>
      </c>
      <c r="M68" s="1349">
        <v>6</v>
      </c>
      <c r="N68" s="1335">
        <f>+M68-M67</f>
        <v>6</v>
      </c>
      <c r="O68" s="1351">
        <f>+K68+M68</f>
        <v>7</v>
      </c>
      <c r="P68" s="1334">
        <f>+K68-K67</f>
        <v>1</v>
      </c>
      <c r="Q68" s="1330">
        <f>+(K68/K61-1)*100</f>
        <v>0</v>
      </c>
      <c r="R68" s="1330"/>
      <c r="S68" s="1330"/>
      <c r="T68" s="664"/>
      <c r="U68" s="1349"/>
      <c r="V68" s="1335"/>
      <c r="W68" s="1330"/>
      <c r="X68" s="1330"/>
      <c r="Y68" s="1330"/>
      <c r="Z68" s="664"/>
      <c r="AA68" s="1349">
        <v>38</v>
      </c>
      <c r="AB68" s="1335">
        <f>+AA68-AA67</f>
        <v>38</v>
      </c>
      <c r="AC68" s="1330">
        <f>+(AA68/AA61-1)*100</f>
        <v>2.7027027027026973</v>
      </c>
      <c r="AD68" s="1349">
        <v>9</v>
      </c>
      <c r="AE68" s="1335">
        <f>+AD68-AD67</f>
        <v>0</v>
      </c>
      <c r="AF68" s="1330">
        <f>+(AD68/AD61-1)*100</f>
        <v>28.57142857142858</v>
      </c>
      <c r="AG68" s="1349"/>
      <c r="AH68" s="1335">
        <v>0.13400000000000001</v>
      </c>
      <c r="AI68" s="1330"/>
      <c r="AJ68" s="1349"/>
      <c r="AK68" s="1335"/>
      <c r="AL68" s="1349"/>
      <c r="AM68" s="1335">
        <f>+AL68-AL67</f>
        <v>0</v>
      </c>
      <c r="AN68" s="1382" t="e">
        <f>+(AL68/AL61-1)*100</f>
        <v>#DIV/0!</v>
      </c>
      <c r="AO68" s="1353" t="e">
        <f>+AL68*AP$69/1000</f>
        <v>#DIV/0!</v>
      </c>
      <c r="AP68" s="665"/>
      <c r="AQ68" s="1339"/>
      <c r="AR68" s="664"/>
      <c r="AS68" s="1355">
        <f>+D68+O68+AA68+AD68+AL68</f>
        <v>75</v>
      </c>
      <c r="AT68" s="1341">
        <f>+AS68-AS67</f>
        <v>46</v>
      </c>
      <c r="AU68" s="1330">
        <f>+(AS68/AS61-1)*100</f>
        <v>8.6956521739130377</v>
      </c>
      <c r="AV68" s="1334"/>
      <c r="AW68" s="1335"/>
      <c r="AX68" s="1347">
        <f>AS68-D68-AL68</f>
        <v>54</v>
      </c>
      <c r="AY68" s="1369">
        <f>AX68-AX67</f>
        <v>1</v>
      </c>
      <c r="AZ68" s="132"/>
      <c r="BA68" s="132"/>
      <c r="BB68" s="132"/>
      <c r="BC68" s="215">
        <f>D68/AS68</f>
        <v>0.28000000000000003</v>
      </c>
      <c r="BD68" s="1492">
        <f>(O68+AA68+AD68)/AS68</f>
        <v>0.72</v>
      </c>
      <c r="BE68" s="1356">
        <f>AL68/AS68</f>
        <v>0</v>
      </c>
    </row>
    <row r="69" spans="1:57" ht="12" hidden="1" customHeight="1" outlineLevel="2">
      <c r="A69" s="132"/>
      <c r="B69" s="132" t="str">
        <f>$B$34</f>
        <v>Year</v>
      </c>
      <c r="C69" s="132"/>
      <c r="D69" s="1340">
        <f>+D68</f>
        <v>21</v>
      </c>
      <c r="E69" s="1357">
        <f>+D69-D62</f>
        <v>3</v>
      </c>
      <c r="F69" s="1330">
        <f>+(D69/D62-1)*100</f>
        <v>16.666666666666675</v>
      </c>
      <c r="G69" s="1331">
        <f>+G68</f>
        <v>0.23644999999999999</v>
      </c>
      <c r="H69" s="665">
        <f>+G69/D69*1000</f>
        <v>11.259523809523809</v>
      </c>
      <c r="I69" s="1330">
        <f>+(G69/G62-1)*100</f>
        <v>11.296775711932217</v>
      </c>
      <c r="J69" s="132"/>
      <c r="K69" s="1340">
        <f>+K68</f>
        <v>1</v>
      </c>
      <c r="L69" s="1372">
        <f>+K69-K62</f>
        <v>0</v>
      </c>
      <c r="M69" s="1340">
        <f>+M68</f>
        <v>6</v>
      </c>
      <c r="N69" s="1372">
        <f>+M69-M62</f>
        <v>0</v>
      </c>
      <c r="O69" s="1328">
        <f>+K69+M69</f>
        <v>7</v>
      </c>
      <c r="P69" s="683">
        <f>+K69-K62</f>
        <v>0</v>
      </c>
      <c r="Q69" s="1330">
        <f>+(K69/K62-1)*100</f>
        <v>0</v>
      </c>
      <c r="R69" s="1330"/>
      <c r="S69" s="1330"/>
      <c r="T69" s="664"/>
      <c r="U69" s="1340"/>
      <c r="V69" s="1372"/>
      <c r="W69" s="1330"/>
      <c r="X69" s="1330"/>
      <c r="Y69" s="1330"/>
      <c r="Z69" s="664"/>
      <c r="AA69" s="1340">
        <f>+AA68</f>
        <v>38</v>
      </c>
      <c r="AB69" s="1372">
        <f>+AA69-AA62</f>
        <v>1</v>
      </c>
      <c r="AC69" s="1330">
        <f>+(AA69/AA62-1)*100</f>
        <v>2.7027027027026973</v>
      </c>
      <c r="AD69" s="1340">
        <f>+AD68</f>
        <v>9</v>
      </c>
      <c r="AE69" s="1372">
        <f>+AD69-AD62</f>
        <v>2</v>
      </c>
      <c r="AF69" s="1330">
        <f>+(AD69/AD62-1)*100</f>
        <v>28.57142857142858</v>
      </c>
      <c r="AG69" s="1340"/>
      <c r="AH69" s="1372">
        <f>+AH68</f>
        <v>0.13400000000000001</v>
      </c>
      <c r="AI69" s="1330">
        <f>+AH69/AX69*1000000</f>
        <v>2481.4814814814818</v>
      </c>
      <c r="AJ69" s="1340"/>
      <c r="AK69" s="1372"/>
      <c r="AL69" s="1340">
        <f>+AL68</f>
        <v>0</v>
      </c>
      <c r="AM69" s="1372">
        <f>+AL69-AL62</f>
        <v>0</v>
      </c>
      <c r="AN69" s="1382" t="e">
        <f>+(AL69/AL62-1)*100</f>
        <v>#DIV/0!</v>
      </c>
      <c r="AO69" s="1362"/>
      <c r="AP69" s="665" t="e">
        <f>+AO69/AL69*1000</f>
        <v>#DIV/0!</v>
      </c>
      <c r="AQ69" s="1330"/>
      <c r="AR69" s="664"/>
      <c r="AS69" s="1340">
        <f>+D69+O69+AA69+AD69+AL69</f>
        <v>75</v>
      </c>
      <c r="AT69" s="683">
        <f>+AS69-AS62</f>
        <v>6</v>
      </c>
      <c r="AU69" s="1330">
        <f>+(AS69/AS62-1)*100</f>
        <v>8.6956521739130377</v>
      </c>
      <c r="AV69" s="683"/>
      <c r="AW69" s="1372"/>
      <c r="AX69" s="1347">
        <f>AS69-D69-AL69</f>
        <v>54</v>
      </c>
      <c r="AY69" s="1369">
        <f>AX69-AX62</f>
        <v>3</v>
      </c>
      <c r="AZ69" s="132"/>
      <c r="BA69" s="132"/>
      <c r="BB69" s="132"/>
      <c r="BC69" s="1363">
        <f>D69/AS69</f>
        <v>0.28000000000000003</v>
      </c>
      <c r="BD69" s="1810">
        <f>(O69+AA69+AD69)/AS69</f>
        <v>0.72</v>
      </c>
      <c r="BE69" s="1363">
        <f>AL69/AS69</f>
        <v>0</v>
      </c>
    </row>
    <row r="70" spans="1:57" ht="12" hidden="1" customHeight="1" outlineLevel="2">
      <c r="A70" s="132"/>
      <c r="B70" s="132"/>
      <c r="C70" s="132"/>
      <c r="D70" s="230"/>
      <c r="E70" s="1325"/>
      <c r="F70" s="230"/>
      <c r="G70" s="256"/>
      <c r="H70" s="230"/>
      <c r="I70" s="174"/>
      <c r="J70" s="132"/>
      <c r="K70" s="230"/>
      <c r="L70" s="174"/>
      <c r="M70" s="230"/>
      <c r="N70" s="174"/>
      <c r="O70" s="230"/>
      <c r="P70" s="200"/>
      <c r="Q70" s="230"/>
      <c r="R70" s="230"/>
      <c r="S70" s="230"/>
      <c r="T70" s="643"/>
      <c r="U70" s="230"/>
      <c r="V70" s="174"/>
      <c r="W70" s="230"/>
      <c r="X70" s="230"/>
      <c r="Y70" s="230"/>
      <c r="Z70" s="643"/>
      <c r="AA70" s="230"/>
      <c r="AB70" s="174"/>
      <c r="AC70" s="230"/>
      <c r="AD70" s="230"/>
      <c r="AE70" s="174"/>
      <c r="AF70" s="230"/>
      <c r="AG70" s="230"/>
      <c r="AH70" s="174"/>
      <c r="AI70" s="230"/>
      <c r="AJ70" s="230"/>
      <c r="AK70" s="174"/>
      <c r="AL70" s="230"/>
      <c r="AM70" s="174"/>
      <c r="AN70" s="174"/>
      <c r="AO70" s="132"/>
      <c r="AP70" s="230"/>
      <c r="AQ70" s="230"/>
      <c r="AR70" s="643"/>
      <c r="AS70" s="587"/>
      <c r="AT70" s="132"/>
      <c r="AU70" s="132"/>
      <c r="AV70" s="200"/>
      <c r="AW70" s="174"/>
      <c r="AX70" s="1347"/>
      <c r="AY70" s="1348"/>
      <c r="AZ70" s="132"/>
      <c r="BA70" s="132"/>
      <c r="BB70" s="132"/>
      <c r="BC70" s="132"/>
      <c r="BD70" s="256"/>
      <c r="BE70" s="132"/>
    </row>
    <row r="71" spans="1:57" ht="12" hidden="1" customHeight="1" outlineLevel="2">
      <c r="A71" s="2506">
        <f>+A64+1</f>
        <v>1996</v>
      </c>
      <c r="B71" s="2506"/>
      <c r="C71" s="132"/>
      <c r="D71" s="230"/>
      <c r="E71" s="1325"/>
      <c r="F71" s="230"/>
      <c r="G71" s="256"/>
      <c r="H71" s="230"/>
      <c r="I71" s="174"/>
      <c r="J71" s="132"/>
      <c r="K71" s="230"/>
      <c r="L71" s="174"/>
      <c r="M71" s="230"/>
      <c r="N71" s="174"/>
      <c r="O71" s="230"/>
      <c r="P71" s="200"/>
      <c r="Q71" s="230"/>
      <c r="R71" s="230"/>
      <c r="S71" s="230"/>
      <c r="T71" s="643"/>
      <c r="U71" s="230"/>
      <c r="V71" s="174"/>
      <c r="W71" s="230"/>
      <c r="X71" s="230"/>
      <c r="Y71" s="230"/>
      <c r="Z71" s="643"/>
      <c r="AA71" s="230"/>
      <c r="AB71" s="174"/>
      <c r="AC71" s="230"/>
      <c r="AD71" s="230"/>
      <c r="AE71" s="174"/>
      <c r="AF71" s="230"/>
      <c r="AG71" s="230"/>
      <c r="AH71" s="174"/>
      <c r="AI71" s="230"/>
      <c r="AJ71" s="230"/>
      <c r="AK71" s="174"/>
      <c r="AL71" s="230"/>
      <c r="AM71" s="174"/>
      <c r="AN71" s="174"/>
      <c r="AO71" s="132"/>
      <c r="AP71" s="230"/>
      <c r="AQ71" s="230"/>
      <c r="AR71" s="643"/>
      <c r="AS71" s="587"/>
      <c r="AT71" s="132"/>
      <c r="AU71" s="132"/>
      <c r="AV71" s="200"/>
      <c r="AW71" s="174"/>
      <c r="AX71" s="1347"/>
      <c r="AY71" s="1348"/>
      <c r="AZ71" s="132"/>
      <c r="BA71" s="132"/>
      <c r="BB71" s="132"/>
      <c r="BC71" s="132"/>
      <c r="BD71" s="256"/>
      <c r="BE71" s="132"/>
    </row>
    <row r="72" spans="1:57" ht="12" hidden="1" customHeight="1" outlineLevel="2">
      <c r="A72" s="132" t="str">
        <f>$A$30</f>
        <v>1Q</v>
      </c>
      <c r="B72" s="132" t="str">
        <f>$B$30</f>
        <v>Apr</v>
      </c>
      <c r="C72" s="132"/>
      <c r="D72" s="1367">
        <v>21</v>
      </c>
      <c r="E72" s="1383"/>
      <c r="F72" s="1330">
        <f>+(D72/D65-1)*100</f>
        <v>16.666666666666675</v>
      </c>
      <c r="G72" s="1331">
        <f>G69+($G76-$G$111)/$E76*E72</f>
        <v>0.23644999999999999</v>
      </c>
      <c r="H72" s="665"/>
      <c r="I72" s="1330">
        <f>+(G72/G65-1)*100</f>
        <v>11.296775711932217</v>
      </c>
      <c r="J72" s="132"/>
      <c r="K72" s="1332"/>
      <c r="L72" s="1335">
        <f>+K72-K68</f>
        <v>-1</v>
      </c>
      <c r="M72" s="1332"/>
      <c r="N72" s="1335">
        <f>+M72-M68</f>
        <v>-6</v>
      </c>
      <c r="O72" s="1340">
        <f>+K72+M72</f>
        <v>0</v>
      </c>
      <c r="P72" s="1334">
        <f>+K72-K68</f>
        <v>-1</v>
      </c>
      <c r="Q72" s="1330" t="e">
        <f>+(K72/K65-1)*100</f>
        <v>#DIV/0!</v>
      </c>
      <c r="R72" s="1330"/>
      <c r="S72" s="1330"/>
      <c r="T72" s="664"/>
      <c r="U72" s="1332"/>
      <c r="V72" s="1335"/>
      <c r="W72" s="1330"/>
      <c r="X72" s="1330"/>
      <c r="Y72" s="1330"/>
      <c r="Z72" s="664"/>
      <c r="AA72" s="1332"/>
      <c r="AB72" s="1335">
        <f>+AA72-AA68</f>
        <v>-38</v>
      </c>
      <c r="AC72" s="1330" t="e">
        <f>+(AA72/AA65-1)*100</f>
        <v>#DIV/0!</v>
      </c>
      <c r="AD72" s="1378">
        <v>9</v>
      </c>
      <c r="AE72" s="1374">
        <f>+AD72-AD68</f>
        <v>0</v>
      </c>
      <c r="AF72" s="1330">
        <f>+(AD72/AD65-1)*100</f>
        <v>28.57142857142858</v>
      </c>
      <c r="AG72" s="1332"/>
      <c r="AH72" s="1335">
        <f>AH69+(AH76-AH69)/AY76*AY72</f>
        <v>0.13675000000000001</v>
      </c>
      <c r="AI72" s="1330"/>
      <c r="AJ72" s="1378"/>
      <c r="AK72" s="1374"/>
      <c r="AL72" s="1344"/>
      <c r="AM72" s="1335">
        <f>+AL72-AL68</f>
        <v>0</v>
      </c>
      <c r="AN72" s="1382" t="e">
        <f>+(AL72/AL65-1)*100</f>
        <v>#DIV/0!</v>
      </c>
      <c r="AO72" s="1338" t="e">
        <f>+AL72*AP$76/1000</f>
        <v>#DIV/0!</v>
      </c>
      <c r="AP72" s="665"/>
      <c r="AQ72" s="1339"/>
      <c r="AR72" s="664"/>
      <c r="AS72" s="1340">
        <f>+D72+O72+AA72+AD72+AL72</f>
        <v>30</v>
      </c>
      <c r="AT72" s="1341">
        <f>+AS72-AS68</f>
        <v>-45</v>
      </c>
      <c r="AU72" s="1330">
        <f>+(AS72/AS65-1)*100</f>
        <v>19.999999999999996</v>
      </c>
      <c r="AV72" s="1334"/>
      <c r="AW72" s="1335"/>
      <c r="AX72" s="1370">
        <v>55</v>
      </c>
      <c r="AY72" s="1369">
        <f>AX72-AX69</f>
        <v>1</v>
      </c>
      <c r="AZ72" s="132"/>
      <c r="BA72" s="132"/>
      <c r="BB72" s="132"/>
      <c r="BC72" s="215">
        <f>D72/AS72</f>
        <v>0.7</v>
      </c>
      <c r="BD72" s="1492">
        <f>(O72+AA72+AD72)/AS72</f>
        <v>0.3</v>
      </c>
      <c r="BE72" s="1343">
        <f>AL72/AS72</f>
        <v>0</v>
      </c>
    </row>
    <row r="73" spans="1:57" ht="12" hidden="1" customHeight="1" outlineLevel="2">
      <c r="A73" s="132" t="str">
        <f>$A$31</f>
        <v>2Q</v>
      </c>
      <c r="B73" s="132" t="str">
        <f>$B$31</f>
        <v>Jul</v>
      </c>
      <c r="C73" s="132"/>
      <c r="D73" s="1367">
        <v>22</v>
      </c>
      <c r="E73" s="1329">
        <f>+D73-D72</f>
        <v>1</v>
      </c>
      <c r="F73" s="1330">
        <f>+(D73/D66-1)*100</f>
        <v>15.789473684210531</v>
      </c>
      <c r="G73" s="1331">
        <f>G72+($G76-$G69)/$E76*E73</f>
        <v>0.24295</v>
      </c>
      <c r="H73" s="665"/>
      <c r="I73" s="1330">
        <f>+(G73/G66-1)*100</f>
        <v>10.206396008165108</v>
      </c>
      <c r="J73" s="672"/>
      <c r="K73" s="1344"/>
      <c r="L73" s="1335">
        <f>+K73-K72</f>
        <v>0</v>
      </c>
      <c r="M73" s="1344"/>
      <c r="N73" s="1335">
        <f>+M73-M72</f>
        <v>0</v>
      </c>
      <c r="O73" s="1328">
        <f>+K73+M73</f>
        <v>0</v>
      </c>
      <c r="P73" s="1334">
        <f>+K73-K72</f>
        <v>0</v>
      </c>
      <c r="Q73" s="1330" t="e">
        <f>+(K73/K66-1)*100</f>
        <v>#DIV/0!</v>
      </c>
      <c r="R73" s="1330"/>
      <c r="S73" s="1330"/>
      <c r="T73" s="664"/>
      <c r="U73" s="1344"/>
      <c r="V73" s="1335"/>
      <c r="W73" s="1330"/>
      <c r="X73" s="1330"/>
      <c r="Y73" s="1330"/>
      <c r="Z73" s="664"/>
      <c r="AA73" s="1344"/>
      <c r="AB73" s="1335">
        <f>+AA73-AA72</f>
        <v>0</v>
      </c>
      <c r="AC73" s="1330" t="e">
        <f>+(AA73/AA66-1)*100</f>
        <v>#DIV/0!</v>
      </c>
      <c r="AD73" s="1367">
        <v>10</v>
      </c>
      <c r="AE73" s="1335">
        <f>+AD73-AD72</f>
        <v>1</v>
      </c>
      <c r="AF73" s="1330">
        <f>+(AD73/AD66-1)*100</f>
        <v>25</v>
      </c>
      <c r="AG73" s="1344"/>
      <c r="AH73" s="1335">
        <f>AH72+(AH76-AH69)/AY76*AY73</f>
        <v>0.13950000000000001</v>
      </c>
      <c r="AI73" s="1330"/>
      <c r="AJ73" s="1367"/>
      <c r="AK73" s="1335"/>
      <c r="AL73" s="1344"/>
      <c r="AM73" s="1335">
        <f>+AL73-AL72</f>
        <v>0</v>
      </c>
      <c r="AN73" s="1382" t="e">
        <f>+(AL73/AL66-1)*100</f>
        <v>#DIV/0!</v>
      </c>
      <c r="AO73" s="1338" t="e">
        <f>+AL73*AP$76/1000</f>
        <v>#DIV/0!</v>
      </c>
      <c r="AP73" s="665"/>
      <c r="AQ73" s="1339"/>
      <c r="AR73" s="664"/>
      <c r="AS73" s="1340">
        <f>+D73+O73+AA73+AD73+AL73</f>
        <v>32</v>
      </c>
      <c r="AT73" s="1341">
        <f>+AS73-AS72</f>
        <v>2</v>
      </c>
      <c r="AU73" s="1330">
        <f>+(AS73/AS66-1)*100</f>
        <v>18.518518518518512</v>
      </c>
      <c r="AV73" s="1334"/>
      <c r="AW73" s="1335"/>
      <c r="AX73" s="1370">
        <v>56</v>
      </c>
      <c r="AY73" s="1369">
        <f>AX73-AX72</f>
        <v>1</v>
      </c>
      <c r="AZ73" s="132"/>
      <c r="BA73" s="132"/>
      <c r="BB73" s="132"/>
      <c r="BC73" s="215">
        <f>D73/AS73</f>
        <v>0.6875</v>
      </c>
      <c r="BD73" s="1492">
        <f>(O73+AA73+AD73)/AS73</f>
        <v>0.3125</v>
      </c>
      <c r="BE73" s="1343">
        <f>AL73/AS73</f>
        <v>0</v>
      </c>
    </row>
    <row r="74" spans="1:57" ht="12" hidden="1" customHeight="1" outlineLevel="2">
      <c r="A74" s="132" t="str">
        <f>$A$32</f>
        <v>3Q</v>
      </c>
      <c r="B74" s="132" t="str">
        <f>$B$32</f>
        <v>Oct</v>
      </c>
      <c r="C74" s="132"/>
      <c r="D74" s="1367">
        <v>23</v>
      </c>
      <c r="E74" s="1329">
        <f>+D74-D73</f>
        <v>1</v>
      </c>
      <c r="F74" s="1330">
        <f>+(D74/D67-1)*100</f>
        <v>14.999999999999991</v>
      </c>
      <c r="G74" s="1331">
        <f>G73+($G76-$G69)/$E76*E74</f>
        <v>0.24945000000000001</v>
      </c>
      <c r="H74" s="665"/>
      <c r="I74" s="1330">
        <f>+(G74/G67-1)*100</f>
        <v>9.1923834537097839</v>
      </c>
      <c r="J74" s="132"/>
      <c r="K74" s="1344"/>
      <c r="L74" s="1335">
        <f>+K74-K73</f>
        <v>0</v>
      </c>
      <c r="M74" s="1344"/>
      <c r="N74" s="1335">
        <f>+M74-M73</f>
        <v>0</v>
      </c>
      <c r="O74" s="1328">
        <f>+K74+M74</f>
        <v>0</v>
      </c>
      <c r="P74" s="1334">
        <f>+K74-K73</f>
        <v>0</v>
      </c>
      <c r="Q74" s="1330" t="e">
        <f>+(K74/K67-1)*100</f>
        <v>#DIV/0!</v>
      </c>
      <c r="R74" s="1330"/>
      <c r="S74" s="1330"/>
      <c r="T74" s="664"/>
      <c r="U74" s="1344"/>
      <c r="V74" s="1335"/>
      <c r="W74" s="1330"/>
      <c r="X74" s="1330"/>
      <c r="Y74" s="1330"/>
      <c r="Z74" s="664"/>
      <c r="AA74" s="1344"/>
      <c r="AB74" s="1335">
        <f>+AA74-AA73</f>
        <v>0</v>
      </c>
      <c r="AC74" s="1330" t="e">
        <f>+(AA74/AA67-1)*100</f>
        <v>#DIV/0!</v>
      </c>
      <c r="AD74" s="1367">
        <v>11</v>
      </c>
      <c r="AE74" s="1335">
        <f>+AD74-AD73</f>
        <v>1</v>
      </c>
      <c r="AF74" s="1330">
        <f>+(AD74/AD67-1)*100</f>
        <v>22.222222222222232</v>
      </c>
      <c r="AG74" s="1344"/>
      <c r="AH74" s="1335">
        <f>AH73+(AH76-AH69)/AY76*AY74</f>
        <v>0.14225000000000002</v>
      </c>
      <c r="AI74" s="1330"/>
      <c r="AJ74" s="1367"/>
      <c r="AK74" s="1335"/>
      <c r="AL74" s="1344"/>
      <c r="AM74" s="1335">
        <f>+AL74-AL73</f>
        <v>0</v>
      </c>
      <c r="AN74" s="1382" t="e">
        <f>+(AL74/AL67-1)*100</f>
        <v>#DIV/0!</v>
      </c>
      <c r="AO74" s="1338" t="e">
        <f>+AL74*AP$76/1000</f>
        <v>#DIV/0!</v>
      </c>
      <c r="AP74" s="665"/>
      <c r="AQ74" s="1339"/>
      <c r="AR74" s="664"/>
      <c r="AS74" s="1340">
        <f>+D74+O74+AA74+AD74+AL74</f>
        <v>34</v>
      </c>
      <c r="AT74" s="1341">
        <f>+AS74-AS73</f>
        <v>2</v>
      </c>
      <c r="AU74" s="1330">
        <f>+(AS74/AS67-1)*100</f>
        <v>17.241379310344819</v>
      </c>
      <c r="AV74" s="1334"/>
      <c r="AW74" s="1335"/>
      <c r="AX74" s="1370">
        <v>57</v>
      </c>
      <c r="AY74" s="1369">
        <f>AX74-AX73</f>
        <v>1</v>
      </c>
      <c r="AZ74" s="132"/>
      <c r="BA74" s="132"/>
      <c r="BB74" s="132"/>
      <c r="BC74" s="215">
        <f>D74/AS74</f>
        <v>0.67647058823529416</v>
      </c>
      <c r="BD74" s="1492">
        <f>(O74+AA74+AD74)/AS74</f>
        <v>0.3235294117647059</v>
      </c>
      <c r="BE74" s="1343">
        <f>AL74/AS74</f>
        <v>0</v>
      </c>
    </row>
    <row r="75" spans="1:57" ht="12" hidden="1" customHeight="1" outlineLevel="2">
      <c r="A75" s="132" t="str">
        <f>$A$33</f>
        <v>4Q</v>
      </c>
      <c r="B75" s="132" t="str">
        <f>$B$33</f>
        <v>Jan</v>
      </c>
      <c r="C75" s="132"/>
      <c r="D75" s="1349">
        <v>23</v>
      </c>
      <c r="E75" s="1329">
        <f>+D75-D74</f>
        <v>0</v>
      </c>
      <c r="F75" s="1330">
        <f>+(D75/D68-1)*100</f>
        <v>9.5238095238095344</v>
      </c>
      <c r="G75" s="1380">
        <f>0.217+0.03245</f>
        <v>0.24945000000000001</v>
      </c>
      <c r="H75" s="665"/>
      <c r="I75" s="1330">
        <f>+(G75/G68-1)*100</f>
        <v>5.4979911186297414</v>
      </c>
      <c r="J75" s="132"/>
      <c r="K75" s="1349">
        <v>1</v>
      </c>
      <c r="L75" s="1335">
        <f>+K75-K74</f>
        <v>1</v>
      </c>
      <c r="M75" s="1349">
        <v>6</v>
      </c>
      <c r="N75" s="1335">
        <f>+M75-M74</f>
        <v>6</v>
      </c>
      <c r="O75" s="1351">
        <f>+K75+M75</f>
        <v>7</v>
      </c>
      <c r="P75" s="1334">
        <f>+K75-K74</f>
        <v>1</v>
      </c>
      <c r="Q75" s="1330">
        <f>+(K75/K68-1)*100</f>
        <v>0</v>
      </c>
      <c r="R75" s="1330"/>
      <c r="S75" s="1330"/>
      <c r="T75" s="664"/>
      <c r="U75" s="1349"/>
      <c r="V75" s="1335"/>
      <c r="W75" s="1330"/>
      <c r="X75" s="1330"/>
      <c r="Y75" s="1330"/>
      <c r="Z75" s="664"/>
      <c r="AA75" s="1349">
        <v>39</v>
      </c>
      <c r="AB75" s="1335">
        <f>+AA75-AA74</f>
        <v>39</v>
      </c>
      <c r="AC75" s="1330">
        <f>+(AA75/AA68-1)*100</f>
        <v>2.6315789473684292</v>
      </c>
      <c r="AD75" s="1349">
        <v>12</v>
      </c>
      <c r="AE75" s="1335">
        <f>+AD75-AD74</f>
        <v>1</v>
      </c>
      <c r="AF75" s="1330">
        <f>+(AD75/AD68-1)*100</f>
        <v>33.333333333333329</v>
      </c>
      <c r="AG75" s="1349"/>
      <c r="AH75" s="1335">
        <v>0.14499999999999999</v>
      </c>
      <c r="AI75" s="1330"/>
      <c r="AJ75" s="1349"/>
      <c r="AK75" s="1335"/>
      <c r="AL75" s="1349"/>
      <c r="AM75" s="1335">
        <f>+AL75-AL74</f>
        <v>0</v>
      </c>
      <c r="AN75" s="1382" t="e">
        <f>+(AL75/AL68-1)*100</f>
        <v>#DIV/0!</v>
      </c>
      <c r="AO75" s="1353" t="e">
        <f>+AL75*AP$76/1000</f>
        <v>#DIV/0!</v>
      </c>
      <c r="AP75" s="665"/>
      <c r="AQ75" s="1339"/>
      <c r="AR75" s="664"/>
      <c r="AS75" s="1355">
        <f>+D75+O75+AA75+AD75+AL75</f>
        <v>81</v>
      </c>
      <c r="AT75" s="1341">
        <f>+AS75-AS74</f>
        <v>47</v>
      </c>
      <c r="AU75" s="1330">
        <f>+(AS75/AS68-1)*100</f>
        <v>8.0000000000000071</v>
      </c>
      <c r="AV75" s="1334"/>
      <c r="AW75" s="1335"/>
      <c r="AX75" s="1347">
        <f>AS75-D75-AL75</f>
        <v>58</v>
      </c>
      <c r="AY75" s="1369">
        <f>AX75-AX74</f>
        <v>1</v>
      </c>
      <c r="AZ75" s="132"/>
      <c r="BA75" s="132"/>
      <c r="BB75" s="132"/>
      <c r="BC75" s="215">
        <f>D75/AS75</f>
        <v>0.2839506172839506</v>
      </c>
      <c r="BD75" s="1492">
        <f>(O75+AA75+AD75)/AS75</f>
        <v>0.71604938271604934</v>
      </c>
      <c r="BE75" s="1356">
        <f>AL75/AS75</f>
        <v>0</v>
      </c>
    </row>
    <row r="76" spans="1:57" ht="12" hidden="1" customHeight="1" outlineLevel="2">
      <c r="A76" s="132"/>
      <c r="B76" s="132" t="str">
        <f>$B$34</f>
        <v>Year</v>
      </c>
      <c r="C76" s="132"/>
      <c r="D76" s="1340">
        <f>+D75</f>
        <v>23</v>
      </c>
      <c r="E76" s="1357">
        <f>+D76-D69</f>
        <v>2</v>
      </c>
      <c r="F76" s="1330">
        <f>+(D76/D69-1)*100</f>
        <v>9.5238095238095344</v>
      </c>
      <c r="G76" s="1331">
        <f>+G75</f>
        <v>0.24945000000000001</v>
      </c>
      <c r="H76" s="665">
        <f>+G76/D76*1000</f>
        <v>10.845652173913045</v>
      </c>
      <c r="I76" s="1330">
        <f>+(G76/G69-1)*100</f>
        <v>5.4979911186297414</v>
      </c>
      <c r="J76" s="132"/>
      <c r="K76" s="1340">
        <f>+K75</f>
        <v>1</v>
      </c>
      <c r="L76" s="1372">
        <f>+K76-K69</f>
        <v>0</v>
      </c>
      <c r="M76" s="1340">
        <f>+M75</f>
        <v>6</v>
      </c>
      <c r="N76" s="1372">
        <f>+M76-M69</f>
        <v>0</v>
      </c>
      <c r="O76" s="1328">
        <f>+K76+M76</f>
        <v>7</v>
      </c>
      <c r="P76" s="683">
        <f>+K76-K69</f>
        <v>0</v>
      </c>
      <c r="Q76" s="1330">
        <f>+(K76/K69-1)*100</f>
        <v>0</v>
      </c>
      <c r="R76" s="1330"/>
      <c r="S76" s="1330"/>
      <c r="T76" s="664"/>
      <c r="U76" s="1340"/>
      <c r="V76" s="1372"/>
      <c r="W76" s="1330"/>
      <c r="X76" s="1330"/>
      <c r="Y76" s="1330"/>
      <c r="Z76" s="664"/>
      <c r="AA76" s="1340">
        <f>+AA75</f>
        <v>39</v>
      </c>
      <c r="AB76" s="1372">
        <f>+AA76-AA69</f>
        <v>1</v>
      </c>
      <c r="AC76" s="1330">
        <f>+(AA76/AA69-1)*100</f>
        <v>2.6315789473684292</v>
      </c>
      <c r="AD76" s="1340">
        <f>+AD75</f>
        <v>12</v>
      </c>
      <c r="AE76" s="1372">
        <f>+AD76-AD69</f>
        <v>3</v>
      </c>
      <c r="AF76" s="1330">
        <f>+(AD76/AD69-1)*100</f>
        <v>33.333333333333329</v>
      </c>
      <c r="AG76" s="1340"/>
      <c r="AH76" s="1372">
        <f>+AH75</f>
        <v>0.14499999999999999</v>
      </c>
      <c r="AI76" s="1330">
        <f>+AH76/AX76*1000000</f>
        <v>2499.9999999999995</v>
      </c>
      <c r="AJ76" s="1340"/>
      <c r="AK76" s="1372"/>
      <c r="AL76" s="1340">
        <f>+AL75</f>
        <v>0</v>
      </c>
      <c r="AM76" s="1372">
        <f>+AL76-AL69</f>
        <v>0</v>
      </c>
      <c r="AN76" s="1382" t="e">
        <f>+(AL76/AL69-1)*100</f>
        <v>#DIV/0!</v>
      </c>
      <c r="AO76" s="1362"/>
      <c r="AP76" s="665" t="e">
        <f>+AO76/AL76*1000</f>
        <v>#DIV/0!</v>
      </c>
      <c r="AQ76" s="1330"/>
      <c r="AR76" s="664"/>
      <c r="AS76" s="1340">
        <f>+D76+O76+AA76+AD76+AL76</f>
        <v>81</v>
      </c>
      <c r="AT76" s="683">
        <f>+AS76-AS69</f>
        <v>6</v>
      </c>
      <c r="AU76" s="1330">
        <f>+(AS76/AS69-1)*100</f>
        <v>8.0000000000000071</v>
      </c>
      <c r="AV76" s="683"/>
      <c r="AW76" s="1372"/>
      <c r="AX76" s="1347">
        <f>AS76-D76-AL76</f>
        <v>58</v>
      </c>
      <c r="AY76" s="1369">
        <f>AX76-AX69</f>
        <v>4</v>
      </c>
      <c r="AZ76" s="132"/>
      <c r="BA76" s="132"/>
      <c r="BB76" s="132"/>
      <c r="BC76" s="1363">
        <f>D76/AS76</f>
        <v>0.2839506172839506</v>
      </c>
      <c r="BD76" s="1810">
        <f>(O76+AA76+AD76)/AS76</f>
        <v>0.71604938271604934</v>
      </c>
      <c r="BE76" s="1363">
        <f>AL76/AS76</f>
        <v>0</v>
      </c>
    </row>
    <row r="77" spans="1:57" ht="12" hidden="1" customHeight="1" outlineLevel="2">
      <c r="A77" s="132"/>
      <c r="B77" s="132"/>
      <c r="C77" s="132"/>
      <c r="D77" s="230"/>
      <c r="E77" s="1325"/>
      <c r="F77" s="230"/>
      <c r="G77" s="256"/>
      <c r="H77" s="230"/>
      <c r="I77" s="174"/>
      <c r="J77" s="132"/>
      <c r="K77" s="230"/>
      <c r="L77" s="174"/>
      <c r="M77" s="230"/>
      <c r="N77" s="174"/>
      <c r="O77" s="230"/>
      <c r="P77" s="200"/>
      <c r="Q77" s="230"/>
      <c r="R77" s="230"/>
      <c r="S77" s="230"/>
      <c r="T77" s="643"/>
      <c r="U77" s="230"/>
      <c r="V77" s="174"/>
      <c r="W77" s="230"/>
      <c r="X77" s="230"/>
      <c r="Y77" s="230"/>
      <c r="Z77" s="643"/>
      <c r="AA77" s="230"/>
      <c r="AB77" s="174"/>
      <c r="AC77" s="230"/>
      <c r="AD77" s="230"/>
      <c r="AE77" s="174"/>
      <c r="AF77" s="230"/>
      <c r="AG77" s="230"/>
      <c r="AH77" s="174"/>
      <c r="AI77" s="230"/>
      <c r="AJ77" s="230"/>
      <c r="AK77" s="174"/>
      <c r="AL77" s="230"/>
      <c r="AM77" s="174"/>
      <c r="AN77" s="174"/>
      <c r="AO77" s="132"/>
      <c r="AP77" s="230"/>
      <c r="AQ77" s="230"/>
      <c r="AR77" s="643"/>
      <c r="AS77" s="587"/>
      <c r="AT77" s="132"/>
      <c r="AU77" s="132"/>
      <c r="AV77" s="200"/>
      <c r="AW77" s="174"/>
      <c r="AX77" s="1347"/>
      <c r="AY77" s="1348"/>
      <c r="AZ77" s="132"/>
      <c r="BA77" s="132"/>
      <c r="BB77" s="132"/>
      <c r="BC77" s="132"/>
      <c r="BD77" s="256"/>
      <c r="BE77" s="132"/>
    </row>
    <row r="78" spans="1:57" ht="12" hidden="1" customHeight="1" outlineLevel="2">
      <c r="A78" s="2506">
        <f>+A71+1</f>
        <v>1997</v>
      </c>
      <c r="B78" s="2506"/>
      <c r="C78" s="132"/>
      <c r="D78" s="230"/>
      <c r="E78" s="1325"/>
      <c r="F78" s="230"/>
      <c r="G78" s="256"/>
      <c r="H78" s="230"/>
      <c r="I78" s="174"/>
      <c r="J78" s="132"/>
      <c r="K78" s="230"/>
      <c r="L78" s="174"/>
      <c r="M78" s="230"/>
      <c r="N78" s="174"/>
      <c r="O78" s="230"/>
      <c r="P78" s="200"/>
      <c r="Q78" s="230"/>
      <c r="R78" s="230"/>
      <c r="S78" s="230"/>
      <c r="T78" s="643"/>
      <c r="U78" s="230"/>
      <c r="V78" s="174"/>
      <c r="W78" s="230"/>
      <c r="X78" s="230"/>
      <c r="Y78" s="230"/>
      <c r="Z78" s="643"/>
      <c r="AA78" s="230"/>
      <c r="AB78" s="174"/>
      <c r="AC78" s="230"/>
      <c r="AD78" s="230"/>
      <c r="AE78" s="174"/>
      <c r="AF78" s="230"/>
      <c r="AG78" s="230"/>
      <c r="AH78" s="174"/>
      <c r="AI78" s="230"/>
      <c r="AJ78" s="230"/>
      <c r="AK78" s="174"/>
      <c r="AL78" s="230"/>
      <c r="AM78" s="174"/>
      <c r="AN78" s="174"/>
      <c r="AO78" s="132"/>
      <c r="AP78" s="230"/>
      <c r="AQ78" s="230"/>
      <c r="AR78" s="643"/>
      <c r="AS78" s="587"/>
      <c r="AT78" s="132"/>
      <c r="AU78" s="132"/>
      <c r="AV78" s="200"/>
      <c r="AW78" s="174"/>
      <c r="AX78" s="1347"/>
      <c r="AY78" s="1348"/>
      <c r="AZ78" s="132"/>
      <c r="BA78" s="132"/>
      <c r="BB78" s="132"/>
      <c r="BC78" s="132"/>
      <c r="BD78" s="256"/>
      <c r="BE78" s="132"/>
    </row>
    <row r="79" spans="1:57" ht="12" hidden="1" customHeight="1" outlineLevel="2">
      <c r="A79" s="132" t="str">
        <f>$A$30</f>
        <v>1Q</v>
      </c>
      <c r="B79" s="132" t="str">
        <f>$B$30</f>
        <v>Apr</v>
      </c>
      <c r="C79" s="132"/>
      <c r="D79" s="1367">
        <v>23</v>
      </c>
      <c r="E79" s="1383">
        <v>0</v>
      </c>
      <c r="F79" s="1330">
        <f>+(D79/D72-1)*100</f>
        <v>9.5238095238095344</v>
      </c>
      <c r="G79" s="1331">
        <f>G76+($G83-$G$111)/$E83*E79</f>
        <v>0.24945000000000001</v>
      </c>
      <c r="H79" s="665"/>
      <c r="I79" s="1330">
        <f>+(G79/G72-1)*100</f>
        <v>5.4979911186297414</v>
      </c>
      <c r="J79" s="132"/>
      <c r="K79" s="1332"/>
      <c r="L79" s="1335">
        <f>+K79-K75</f>
        <v>-1</v>
      </c>
      <c r="M79" s="1332"/>
      <c r="N79" s="1335">
        <f>+M79-M75</f>
        <v>-6</v>
      </c>
      <c r="O79" s="1340">
        <f>+K79+M79</f>
        <v>0</v>
      </c>
      <c r="P79" s="1334">
        <f>+N79+L79</f>
        <v>-7</v>
      </c>
      <c r="Q79" s="1330" t="e">
        <f>+(K79/K72-1)*100</f>
        <v>#DIV/0!</v>
      </c>
      <c r="R79" s="1330"/>
      <c r="S79" s="1330"/>
      <c r="T79" s="664"/>
      <c r="U79" s="1332"/>
      <c r="V79" s="1335"/>
      <c r="W79" s="1330"/>
      <c r="X79" s="1330"/>
      <c r="Y79" s="1330"/>
      <c r="Z79" s="664"/>
      <c r="AA79" s="1332"/>
      <c r="AB79" s="1335">
        <f>+AA79-AA75</f>
        <v>-39</v>
      </c>
      <c r="AC79" s="1330" t="e">
        <f>+(AA79/AA72-1)*100</f>
        <v>#DIV/0!</v>
      </c>
      <c r="AD79" s="1378">
        <v>12</v>
      </c>
      <c r="AE79" s="1374">
        <f>+AD79-AD75</f>
        <v>0</v>
      </c>
      <c r="AF79" s="1330">
        <f>+(AD79/AD72-1)*100</f>
        <v>33.333333333333329</v>
      </c>
      <c r="AG79" s="1332"/>
      <c r="AH79" s="1335">
        <f>AH76+(AH83-AH76)/AY83*AY79</f>
        <v>0.14829999999999999</v>
      </c>
      <c r="AI79" s="1330"/>
      <c r="AJ79" s="1378"/>
      <c r="AK79" s="1374"/>
      <c r="AL79" s="1344"/>
      <c r="AM79" s="1335">
        <f>+AL79-AL75</f>
        <v>0</v>
      </c>
      <c r="AN79" s="1330" t="e">
        <f>+(AL79/AL72-1)*100</f>
        <v>#DIV/0!</v>
      </c>
      <c r="AO79" s="1362"/>
      <c r="AP79" s="665"/>
      <c r="AQ79" s="1339"/>
      <c r="AR79" s="664"/>
      <c r="AS79" s="1340">
        <f>+D79+O79+AA79+AD79+AL79</f>
        <v>35</v>
      </c>
      <c r="AT79" s="1341">
        <f>+AS79-AS75</f>
        <v>-46</v>
      </c>
      <c r="AU79" s="1330">
        <f>+(AS79/AS72-1)*100</f>
        <v>16.666666666666675</v>
      </c>
      <c r="AV79" s="1334"/>
      <c r="AW79" s="1335"/>
      <c r="AX79" s="1384">
        <v>61</v>
      </c>
      <c r="AY79" s="1369">
        <f>AX79-AX76</f>
        <v>3</v>
      </c>
      <c r="AZ79" s="132"/>
      <c r="BA79" s="132"/>
      <c r="BB79" s="132"/>
      <c r="BC79" s="215">
        <f>D79/AS79</f>
        <v>0.65714285714285714</v>
      </c>
      <c r="BD79" s="1492">
        <f>(O79+AA79+AD79)/AS79</f>
        <v>0.34285714285714286</v>
      </c>
      <c r="BE79" s="1343">
        <f>AL79/AS79</f>
        <v>0</v>
      </c>
    </row>
    <row r="80" spans="1:57" ht="12" hidden="1" customHeight="1" outlineLevel="2">
      <c r="A80" s="132" t="str">
        <f>$A$31</f>
        <v>2Q</v>
      </c>
      <c r="B80" s="132" t="str">
        <f>$B$31</f>
        <v>Jul</v>
      </c>
      <c r="C80" s="132"/>
      <c r="D80" s="1367">
        <v>24</v>
      </c>
      <c r="E80" s="1383">
        <v>1</v>
      </c>
      <c r="F80" s="1330">
        <f>+(D80/D73-1)*100</f>
        <v>9.0909090909090828</v>
      </c>
      <c r="G80" s="1331">
        <f>G79+($G83-$G76)/$E83*E80</f>
        <v>0.25445000000000001</v>
      </c>
      <c r="H80" s="665"/>
      <c r="I80" s="1330">
        <f>+(G80/G73-1)*100</f>
        <v>4.7334842560197599</v>
      </c>
      <c r="J80" s="672"/>
      <c r="K80" s="1344"/>
      <c r="L80" s="1335">
        <f>+K80-K79</f>
        <v>0</v>
      </c>
      <c r="M80" s="1344"/>
      <c r="N80" s="1335">
        <f>+M80-M79</f>
        <v>0</v>
      </c>
      <c r="O80" s="1328">
        <f>+K80+M80</f>
        <v>0</v>
      </c>
      <c r="P80" s="1334">
        <f>+N80+L80</f>
        <v>0</v>
      </c>
      <c r="Q80" s="1330" t="e">
        <f>+(K80/K73-1)*100</f>
        <v>#DIV/0!</v>
      </c>
      <c r="R80" s="1330"/>
      <c r="S80" s="1330"/>
      <c r="T80" s="664"/>
      <c r="U80" s="1344"/>
      <c r="V80" s="1335"/>
      <c r="W80" s="1330"/>
      <c r="X80" s="1330"/>
      <c r="Y80" s="1330"/>
      <c r="Z80" s="664"/>
      <c r="AA80" s="1344"/>
      <c r="AB80" s="1335">
        <f>+AA80-AA79</f>
        <v>0</v>
      </c>
      <c r="AC80" s="1330" t="e">
        <f>+(AA80/AA73-1)*100</f>
        <v>#DIV/0!</v>
      </c>
      <c r="AD80" s="1367">
        <v>14</v>
      </c>
      <c r="AE80" s="1335">
        <f>+AD80-AD79</f>
        <v>2</v>
      </c>
      <c r="AF80" s="1330">
        <f>+(AD80/AD73-1)*100</f>
        <v>39.999999999999993</v>
      </c>
      <c r="AG80" s="1344"/>
      <c r="AH80" s="1335">
        <f>AH79+(AH83-AH76)/AY83*AY80</f>
        <v>0.15159999999999998</v>
      </c>
      <c r="AI80" s="1330"/>
      <c r="AJ80" s="1367"/>
      <c r="AK80" s="1335"/>
      <c r="AL80" s="1344"/>
      <c r="AM80" s="1335">
        <f>+AL80-AL79</f>
        <v>0</v>
      </c>
      <c r="AN80" s="1330" t="e">
        <f>+(AL80/AL73-1)*100</f>
        <v>#DIV/0!</v>
      </c>
      <c r="AO80" s="1362"/>
      <c r="AP80" s="665"/>
      <c r="AQ80" s="1339"/>
      <c r="AR80" s="664"/>
      <c r="AS80" s="1340">
        <f>+D80+O80+AA80+AD80+AL80</f>
        <v>38</v>
      </c>
      <c r="AT80" s="1341">
        <f>+AS80-AS79</f>
        <v>3</v>
      </c>
      <c r="AU80" s="1330">
        <f>+(AS80/AS73-1)*100</f>
        <v>18.75</v>
      </c>
      <c r="AV80" s="1334"/>
      <c r="AW80" s="1335"/>
      <c r="AX80" s="1384">
        <v>64</v>
      </c>
      <c r="AY80" s="1369">
        <f>AX80-AX79</f>
        <v>3</v>
      </c>
      <c r="AZ80" s="132"/>
      <c r="BA80" s="132"/>
      <c r="BB80" s="132"/>
      <c r="BC80" s="215">
        <f>D80/AS80</f>
        <v>0.63157894736842102</v>
      </c>
      <c r="BD80" s="1492">
        <f>(O80+AA80+AD80)/AS80</f>
        <v>0.36842105263157893</v>
      </c>
      <c r="BE80" s="1343">
        <f>AL80/AS80</f>
        <v>0</v>
      </c>
    </row>
    <row r="81" spans="1:57" ht="12" hidden="1" customHeight="1" outlineLevel="2">
      <c r="A81" s="132" t="str">
        <f>$A$32</f>
        <v>3Q</v>
      </c>
      <c r="B81" s="132" t="str">
        <f>$B$32</f>
        <v>Oct</v>
      </c>
      <c r="C81" s="132"/>
      <c r="D81" s="1367">
        <v>27</v>
      </c>
      <c r="E81" s="1383">
        <v>3</v>
      </c>
      <c r="F81" s="1330">
        <f>+(D81/D74-1)*100</f>
        <v>17.391304347826097</v>
      </c>
      <c r="G81" s="1331">
        <f>G80+($G83-$G76)/$E83*E81</f>
        <v>0.26944999999999997</v>
      </c>
      <c r="H81" s="665"/>
      <c r="I81" s="1330">
        <f>+(G81/G74-1)*100</f>
        <v>8.0176388053718064</v>
      </c>
      <c r="J81" s="132"/>
      <c r="K81" s="1344"/>
      <c r="L81" s="1335">
        <f>+K81-K80</f>
        <v>0</v>
      </c>
      <c r="M81" s="1344"/>
      <c r="N81" s="1335">
        <f>+M81-M80</f>
        <v>0</v>
      </c>
      <c r="O81" s="1328">
        <f>+K81+M81</f>
        <v>0</v>
      </c>
      <c r="P81" s="1334">
        <f>+N81+L81</f>
        <v>0</v>
      </c>
      <c r="Q81" s="1330" t="e">
        <f>+(K81/K74-1)*100</f>
        <v>#DIV/0!</v>
      </c>
      <c r="R81" s="1330"/>
      <c r="S81" s="1330"/>
      <c r="T81" s="664"/>
      <c r="U81" s="1344"/>
      <c r="V81" s="1335"/>
      <c r="W81" s="1330"/>
      <c r="X81" s="1330"/>
      <c r="Y81" s="1330"/>
      <c r="Z81" s="664"/>
      <c r="AA81" s="1344"/>
      <c r="AB81" s="1335">
        <f>+AA81-AA80</f>
        <v>0</v>
      </c>
      <c r="AC81" s="1330" t="e">
        <f>+(AA81/AA74-1)*100</f>
        <v>#DIV/0!</v>
      </c>
      <c r="AD81" s="1367">
        <v>16</v>
      </c>
      <c r="AE81" s="1335">
        <f>+AD81-AD80</f>
        <v>2</v>
      </c>
      <c r="AF81" s="1330">
        <f>+(AD81/AD74-1)*100</f>
        <v>45.45454545454546</v>
      </c>
      <c r="AG81" s="1344"/>
      <c r="AH81" s="1335">
        <f>AH80+(AH83-AH76)/AY83*AY81</f>
        <v>0.15379999999999999</v>
      </c>
      <c r="AI81" s="1330"/>
      <c r="AJ81" s="1367"/>
      <c r="AK81" s="1335"/>
      <c r="AL81" s="1344"/>
      <c r="AM81" s="1335">
        <f>+AL81-AL80</f>
        <v>0</v>
      </c>
      <c r="AN81" s="1330" t="e">
        <f>+(AL81/AL74-1)*100</f>
        <v>#DIV/0!</v>
      </c>
      <c r="AO81" s="1362"/>
      <c r="AP81" s="665"/>
      <c r="AQ81" s="1339"/>
      <c r="AR81" s="664"/>
      <c r="AS81" s="1340">
        <f>+D81+O81+AA81+AD81+AL81</f>
        <v>43</v>
      </c>
      <c r="AT81" s="1341">
        <f>+AS81-AS80</f>
        <v>5</v>
      </c>
      <c r="AU81" s="1330">
        <f>+(AS81/AS74-1)*100</f>
        <v>26.470588235294112</v>
      </c>
      <c r="AV81" s="1334"/>
      <c r="AW81" s="1335"/>
      <c r="AX81" s="1384">
        <v>66</v>
      </c>
      <c r="AY81" s="1369">
        <f>AX81-AX80</f>
        <v>2</v>
      </c>
      <c r="AZ81" s="132"/>
      <c r="BA81" s="132"/>
      <c r="BB81" s="132"/>
      <c r="BC81" s="215">
        <f>D81/AS81</f>
        <v>0.62790697674418605</v>
      </c>
      <c r="BD81" s="1492">
        <f>(O81+AA81+AD81)/AS81</f>
        <v>0.37209302325581395</v>
      </c>
      <c r="BE81" s="1343">
        <f>AL81/AS81</f>
        <v>0</v>
      </c>
    </row>
    <row r="82" spans="1:57" ht="12" hidden="1" customHeight="1" outlineLevel="2">
      <c r="A82" s="132" t="str">
        <f>$A$33</f>
        <v>4Q</v>
      </c>
      <c r="B82" s="132" t="str">
        <f>$B$33</f>
        <v>Jan</v>
      </c>
      <c r="C82" s="132"/>
      <c r="D82" s="1349">
        <v>28</v>
      </c>
      <c r="E82" s="1383">
        <v>1</v>
      </c>
      <c r="F82" s="1330">
        <f>+(D82/D75-1)*100</f>
        <v>21.739130434782616</v>
      </c>
      <c r="G82" s="1380">
        <f>0.242+0.03245</f>
        <v>0.27444999999999997</v>
      </c>
      <c r="H82" s="665"/>
      <c r="I82" s="1330">
        <f>+(G82/G75-1)*100</f>
        <v>10.022048506714754</v>
      </c>
      <c r="J82" s="132"/>
      <c r="K82" s="1349">
        <v>2</v>
      </c>
      <c r="L82" s="1335">
        <f>+K82-K81</f>
        <v>2</v>
      </c>
      <c r="M82" s="1349">
        <v>7</v>
      </c>
      <c r="N82" s="1335">
        <f>+M82-M81</f>
        <v>7</v>
      </c>
      <c r="O82" s="1351">
        <f>+K82+M82</f>
        <v>9</v>
      </c>
      <c r="P82" s="1334">
        <f>+N82+L82</f>
        <v>9</v>
      </c>
      <c r="Q82" s="1330">
        <f>+(K82/K75-1)*100</f>
        <v>100</v>
      </c>
      <c r="R82" s="1330"/>
      <c r="S82" s="1330"/>
      <c r="T82" s="664"/>
      <c r="U82" s="1349"/>
      <c r="V82" s="1335"/>
      <c r="W82" s="1330"/>
      <c r="X82" s="1330"/>
      <c r="Y82" s="1330"/>
      <c r="Z82" s="664"/>
      <c r="AA82" s="1349">
        <v>42</v>
      </c>
      <c r="AB82" s="1335">
        <f>+AA82-AA81</f>
        <v>42</v>
      </c>
      <c r="AC82" s="1330">
        <f>+(AA82/AA75-1)*100</f>
        <v>7.6923076923076872</v>
      </c>
      <c r="AD82" s="1349">
        <v>17</v>
      </c>
      <c r="AE82" s="1335">
        <f>+AD82-AD81</f>
        <v>1</v>
      </c>
      <c r="AF82" s="1330">
        <f>+(AD82/AD75-1)*100</f>
        <v>41.666666666666671</v>
      </c>
      <c r="AG82" s="1349"/>
      <c r="AH82" s="1335">
        <v>0.156</v>
      </c>
      <c r="AI82" s="1330"/>
      <c r="AJ82" s="1349"/>
      <c r="AK82" s="1335"/>
      <c r="AL82" s="1349"/>
      <c r="AM82" s="1335">
        <f>+AL82-AL81</f>
        <v>0</v>
      </c>
      <c r="AN82" s="1330" t="e">
        <f>+(AL82/AL75-1)*100</f>
        <v>#DIV/0!</v>
      </c>
      <c r="AO82" s="1385"/>
      <c r="AP82" s="665"/>
      <c r="AQ82" s="1339"/>
      <c r="AR82" s="664"/>
      <c r="AS82" s="1355">
        <f>+D82+O82+AA82+AD82+AL82</f>
        <v>96</v>
      </c>
      <c r="AT82" s="1341">
        <f>+AS82-AS81</f>
        <v>53</v>
      </c>
      <c r="AU82" s="1330">
        <f>+(AS82/AS75-1)*100</f>
        <v>18.518518518518512</v>
      </c>
      <c r="AV82" s="1334"/>
      <c r="AW82" s="1335"/>
      <c r="AX82" s="1347">
        <f>AS82-D82-AL82</f>
        <v>68</v>
      </c>
      <c r="AY82" s="1369">
        <f>AX82-AX81</f>
        <v>2</v>
      </c>
      <c r="AZ82" s="132"/>
      <c r="BA82" s="132"/>
      <c r="BB82" s="132"/>
      <c r="BC82" s="215">
        <f>D82/AS82</f>
        <v>0.29166666666666669</v>
      </c>
      <c r="BD82" s="1492">
        <f>(O82+AA82+AD82)/AS82</f>
        <v>0.70833333333333337</v>
      </c>
      <c r="BE82" s="1356">
        <f>AL82/AS82</f>
        <v>0</v>
      </c>
    </row>
    <row r="83" spans="1:57" ht="12" hidden="1" customHeight="1" outlineLevel="2">
      <c r="A83" s="132"/>
      <c r="B83" s="132" t="str">
        <f>$B$34</f>
        <v>Year</v>
      </c>
      <c r="C83" s="132"/>
      <c r="D83" s="1340">
        <f>+D82</f>
        <v>28</v>
      </c>
      <c r="E83" s="1357">
        <f>+D83-D76</f>
        <v>5</v>
      </c>
      <c r="F83" s="1330">
        <f>+(D83/D76-1)*100</f>
        <v>21.739130434782616</v>
      </c>
      <c r="G83" s="1331">
        <f>+G82</f>
        <v>0.27444999999999997</v>
      </c>
      <c r="H83" s="665">
        <f>+G83/D83*1000</f>
        <v>9.8017857142857121</v>
      </c>
      <c r="I83" s="1330">
        <f>+(G83/G76-1)*100</f>
        <v>10.022048506714754</v>
      </c>
      <c r="J83" s="132"/>
      <c r="K83" s="1340">
        <f>+K82</f>
        <v>2</v>
      </c>
      <c r="L83" s="1372">
        <f>+K83-K76</f>
        <v>1</v>
      </c>
      <c r="M83" s="1340">
        <f>+M82</f>
        <v>7</v>
      </c>
      <c r="N83" s="1372">
        <f>+M83-M76</f>
        <v>1</v>
      </c>
      <c r="O83" s="1328">
        <f>+K83+M83</f>
        <v>9</v>
      </c>
      <c r="P83" s="683">
        <f>+N83+L83</f>
        <v>2</v>
      </c>
      <c r="Q83" s="1330">
        <f>+(K83/K76-1)*100</f>
        <v>100</v>
      </c>
      <c r="R83" s="1330"/>
      <c r="S83" s="1330"/>
      <c r="T83" s="664"/>
      <c r="U83" s="1340"/>
      <c r="V83" s="1372"/>
      <c r="W83" s="1330"/>
      <c r="X83" s="1330"/>
      <c r="Y83" s="1330"/>
      <c r="Z83" s="664"/>
      <c r="AA83" s="1340">
        <f>+AA82</f>
        <v>42</v>
      </c>
      <c r="AB83" s="1372">
        <f>+AA83-AA76</f>
        <v>3</v>
      </c>
      <c r="AC83" s="1330">
        <f>+(AA83/AA76-1)*100</f>
        <v>7.6923076923076872</v>
      </c>
      <c r="AD83" s="1340">
        <f>+AD82</f>
        <v>17</v>
      </c>
      <c r="AE83" s="1372">
        <f>+AD83-AD76</f>
        <v>5</v>
      </c>
      <c r="AF83" s="1330">
        <f>+(AD83/AD76-1)*100</f>
        <v>41.666666666666671</v>
      </c>
      <c r="AG83" s="1340"/>
      <c r="AH83" s="1372">
        <f>+AH82</f>
        <v>0.156</v>
      </c>
      <c r="AI83" s="1330">
        <f>+AH83/AX83*1000000</f>
        <v>2294.1176470588239</v>
      </c>
      <c r="AJ83" s="1340"/>
      <c r="AK83" s="1372"/>
      <c r="AL83" s="1340">
        <f>+AL82</f>
        <v>0</v>
      </c>
      <c r="AM83" s="1372">
        <f>+AL83-AL76</f>
        <v>0</v>
      </c>
      <c r="AN83" s="1330" t="e">
        <f>+(AL83/AL76-1)*100</f>
        <v>#DIV/0!</v>
      </c>
      <c r="AO83" s="1338">
        <f>+AO82</f>
        <v>0</v>
      </c>
      <c r="AP83" s="665" t="e">
        <f>+AO83/AL83*1000</f>
        <v>#DIV/0!</v>
      </c>
      <c r="AQ83" s="1330"/>
      <c r="AR83" s="664"/>
      <c r="AS83" s="1340">
        <f>+D83+O83+AA83+AD83+AL83</f>
        <v>96</v>
      </c>
      <c r="AT83" s="683">
        <f>+AS83-AS76</f>
        <v>15</v>
      </c>
      <c r="AU83" s="1330">
        <f>+(AS83/AS76-1)*100</f>
        <v>18.518518518518512</v>
      </c>
      <c r="AV83" s="683"/>
      <c r="AW83" s="1372"/>
      <c r="AX83" s="1347">
        <f>AS83-D83-AL83</f>
        <v>68</v>
      </c>
      <c r="AY83" s="1369">
        <f>AX83-AX76</f>
        <v>10</v>
      </c>
      <c r="AZ83" s="132"/>
      <c r="BA83" s="132"/>
      <c r="BB83" s="132"/>
      <c r="BC83" s="1363">
        <f>D83/AS83</f>
        <v>0.29166666666666669</v>
      </c>
      <c r="BD83" s="1810">
        <f>(O83+AA83+AD83)/AS83</f>
        <v>0.70833333333333337</v>
      </c>
      <c r="BE83" s="1363">
        <f>AL83/AS83</f>
        <v>0</v>
      </c>
    </row>
    <row r="84" spans="1:57" ht="12" hidden="1" customHeight="1" outlineLevel="2">
      <c r="A84" s="132"/>
      <c r="B84" s="132"/>
      <c r="C84" s="132"/>
      <c r="D84" s="1033"/>
      <c r="E84" s="1325"/>
      <c r="F84" s="1339"/>
      <c r="G84" s="1033"/>
      <c r="H84" s="230"/>
      <c r="I84" s="1330"/>
      <c r="J84" s="132"/>
      <c r="K84" s="1386"/>
      <c r="L84" s="1387"/>
      <c r="M84" s="1386"/>
      <c r="N84" s="1387"/>
      <c r="O84" s="1386"/>
      <c r="P84" s="200"/>
      <c r="Q84" s="230"/>
      <c r="R84" s="230"/>
      <c r="S84" s="230"/>
      <c r="T84" s="643"/>
      <c r="U84" s="1386"/>
      <c r="V84" s="1387"/>
      <c r="W84" s="230"/>
      <c r="X84" s="230"/>
      <c r="Y84" s="230"/>
      <c r="Z84" s="643"/>
      <c r="AA84" s="1386"/>
      <c r="AB84" s="174"/>
      <c r="AC84" s="230"/>
      <c r="AD84" s="1386"/>
      <c r="AE84" s="174"/>
      <c r="AF84" s="230"/>
      <c r="AG84" s="1386"/>
      <c r="AH84" s="174"/>
      <c r="AI84" s="230"/>
      <c r="AJ84" s="1386"/>
      <c r="AK84" s="174"/>
      <c r="AL84" s="1386"/>
      <c r="AM84" s="174"/>
      <c r="AN84" s="174"/>
      <c r="AO84" s="1386"/>
      <c r="AP84" s="230"/>
      <c r="AQ84" s="1339"/>
      <c r="AR84" s="643"/>
      <c r="AS84" s="1033"/>
      <c r="AT84" s="132"/>
      <c r="AU84" s="132"/>
      <c r="AV84" s="132"/>
      <c r="AW84" s="132"/>
      <c r="AX84" s="1347"/>
      <c r="AY84" s="1348"/>
      <c r="AZ84" s="132"/>
      <c r="BA84" s="132"/>
      <c r="BB84" s="132"/>
      <c r="BC84" s="132"/>
      <c r="BD84" s="256"/>
      <c r="BE84" s="132"/>
    </row>
    <row r="85" spans="1:57" ht="12" hidden="1" customHeight="1" outlineLevel="1" collapsed="1">
      <c r="A85" s="2506">
        <f>+A78+1</f>
        <v>1998</v>
      </c>
      <c r="B85" s="2506"/>
      <c r="C85" s="132"/>
      <c r="D85" s="1033"/>
      <c r="E85" s="1325"/>
      <c r="F85" s="1339"/>
      <c r="G85" s="1033"/>
      <c r="H85" s="230"/>
      <c r="I85" s="1330"/>
      <c r="J85" s="132"/>
      <c r="K85" s="1386"/>
      <c r="L85" s="1387"/>
      <c r="M85" s="1386"/>
      <c r="N85" s="1387"/>
      <c r="O85" s="1386"/>
      <c r="P85" s="200"/>
      <c r="Q85" s="230"/>
      <c r="R85" s="230"/>
      <c r="S85" s="230"/>
      <c r="T85" s="643"/>
      <c r="U85" s="1386"/>
      <c r="V85" s="1387"/>
      <c r="W85" s="230"/>
      <c r="X85" s="230"/>
      <c r="Y85" s="230"/>
      <c r="Z85" s="643"/>
      <c r="AA85" s="1386"/>
      <c r="AB85" s="174"/>
      <c r="AC85" s="230"/>
      <c r="AD85" s="1386"/>
      <c r="AE85" s="174"/>
      <c r="AF85" s="230"/>
      <c r="AG85" s="1386"/>
      <c r="AH85" s="174"/>
      <c r="AI85" s="230"/>
      <c r="AJ85" s="1386"/>
      <c r="AK85" s="174"/>
      <c r="AL85" s="1386"/>
      <c r="AM85" s="174"/>
      <c r="AN85" s="174"/>
      <c r="AO85" s="1386"/>
      <c r="AP85" s="230"/>
      <c r="AQ85" s="1339"/>
      <c r="AR85" s="643"/>
      <c r="AS85" s="1033"/>
      <c r="AT85" s="132"/>
      <c r="AU85" s="132"/>
      <c r="AV85" s="132"/>
      <c r="AW85" s="132"/>
      <c r="AX85" s="1347"/>
      <c r="AY85" s="1348"/>
      <c r="AZ85" s="132"/>
      <c r="BA85" s="132"/>
      <c r="BB85" s="132"/>
      <c r="BC85" s="132"/>
      <c r="BD85" s="256"/>
      <c r="BE85" s="132"/>
    </row>
    <row r="86" spans="1:57" ht="12" hidden="1" customHeight="1" outlineLevel="1">
      <c r="A86" s="132" t="str">
        <f>$A$30</f>
        <v>1Q</v>
      </c>
      <c r="B86" s="132" t="str">
        <f>$B$30</f>
        <v>Apr</v>
      </c>
      <c r="C86" s="132"/>
      <c r="D86" s="1367">
        <v>28</v>
      </c>
      <c r="E86" s="1329">
        <f>+D86-D82</f>
        <v>0</v>
      </c>
      <c r="F86" s="1330">
        <f>+(D86/D79-1)*100</f>
        <v>21.739130434782616</v>
      </c>
      <c r="G86" s="1331">
        <f>G83+($G90-$G$111)/$E90*E86</f>
        <v>0.27444999999999997</v>
      </c>
      <c r="H86" s="665"/>
      <c r="I86" s="1330">
        <f>+(G86/G79-1)*100</f>
        <v>10.022048506714754</v>
      </c>
      <c r="J86" s="132"/>
      <c r="K86" s="1332"/>
      <c r="L86" s="1335">
        <f>+K86-K82</f>
        <v>-2</v>
      </c>
      <c r="M86" s="1332"/>
      <c r="N86" s="1335">
        <f>+M86-M82</f>
        <v>-7</v>
      </c>
      <c r="O86" s="1340">
        <f>+K86+M86</f>
        <v>0</v>
      </c>
      <c r="P86" s="1334">
        <f>+N86+L86</f>
        <v>-9</v>
      </c>
      <c r="Q86" s="1330" t="e">
        <f>+(K86/K79-1)*100</f>
        <v>#DIV/0!</v>
      </c>
      <c r="R86" s="1330"/>
      <c r="S86" s="1330"/>
      <c r="T86" s="664"/>
      <c r="U86" s="1332"/>
      <c r="V86" s="1335"/>
      <c r="W86" s="1330"/>
      <c r="X86" s="1330"/>
      <c r="Y86" s="1330"/>
      <c r="Z86" s="664"/>
      <c r="AA86" s="1332"/>
      <c r="AB86" s="1335">
        <f>+AA86-AA82</f>
        <v>-42</v>
      </c>
      <c r="AC86" s="1330" t="e">
        <f>+(AA86/AA79-1)*100</f>
        <v>#DIV/0!</v>
      </c>
      <c r="AD86" s="1332"/>
      <c r="AE86" s="1335">
        <v>0</v>
      </c>
      <c r="AF86" s="1330">
        <f>+(AD86/AD79-1)*100</f>
        <v>-100</v>
      </c>
      <c r="AG86" s="1332"/>
      <c r="AH86" s="1335">
        <f>AH83+(AH90-AH83)/AY90*AY86</f>
        <v>0.156</v>
      </c>
      <c r="AI86" s="1330"/>
      <c r="AJ86" s="1332"/>
      <c r="AK86" s="1335"/>
      <c r="AL86" s="1344"/>
      <c r="AM86" s="1347"/>
      <c r="AN86" s="1330"/>
      <c r="AO86" s="1362"/>
      <c r="AP86" s="665"/>
      <c r="AQ86" s="1330"/>
      <c r="AR86" s="664"/>
      <c r="AS86" s="1340">
        <f>+D86+O86+AA86+AD86+AL86</f>
        <v>28</v>
      </c>
      <c r="AT86" s="1341">
        <f>+AS86-AS82</f>
        <v>-68</v>
      </c>
      <c r="AU86" s="1330">
        <f>+(AS86/AS79-1)*100</f>
        <v>-19.999999999999996</v>
      </c>
      <c r="AV86" s="1330"/>
      <c r="AW86" s="1330"/>
      <c r="AX86" s="1384">
        <v>68</v>
      </c>
      <c r="AY86" s="1369">
        <f>AX86-AX83</f>
        <v>0</v>
      </c>
      <c r="AZ86" s="132"/>
      <c r="BA86" s="132"/>
      <c r="BB86" s="132"/>
      <c r="BC86" s="215">
        <f>D86/AS86</f>
        <v>1</v>
      </c>
      <c r="BD86" s="1492">
        <f>(O86+AA86+AD86)/AS86</f>
        <v>0</v>
      </c>
      <c r="BE86" s="1343">
        <f>AL86/AS86</f>
        <v>0</v>
      </c>
    </row>
    <row r="87" spans="1:57" ht="12" hidden="1" customHeight="1" outlineLevel="1">
      <c r="A87" s="132" t="str">
        <f>$A$31</f>
        <v>2Q</v>
      </c>
      <c r="B87" s="132" t="str">
        <f>$B$31</f>
        <v>Jul</v>
      </c>
      <c r="C87" s="132"/>
      <c r="D87" s="1367">
        <v>30</v>
      </c>
      <c r="E87" s="1329">
        <f>+D87-D86</f>
        <v>2</v>
      </c>
      <c r="F87" s="1330">
        <f>+(D87/D80-1)*100</f>
        <v>25</v>
      </c>
      <c r="G87" s="1331">
        <f>G86+($G90-$G83)/$E90*E87</f>
        <v>0.28711666666666663</v>
      </c>
      <c r="H87" s="665"/>
      <c r="I87" s="1330">
        <f>+(G87/G80-1)*100</f>
        <v>12.838147638697816</v>
      </c>
      <c r="J87" s="672"/>
      <c r="K87" s="1344"/>
      <c r="L87" s="1335">
        <f>+K87-K86</f>
        <v>0</v>
      </c>
      <c r="M87" s="1344"/>
      <c r="N87" s="1335">
        <f>+M87-M86</f>
        <v>0</v>
      </c>
      <c r="O87" s="1328">
        <f>+K87+M87</f>
        <v>0</v>
      </c>
      <c r="P87" s="1334">
        <f>+N87+L87</f>
        <v>0</v>
      </c>
      <c r="Q87" s="1330" t="e">
        <f>+(K87/K80-1)*100</f>
        <v>#DIV/0!</v>
      </c>
      <c r="R87" s="1330"/>
      <c r="S87" s="1330"/>
      <c r="T87" s="664"/>
      <c r="U87" s="1344"/>
      <c r="V87" s="1335"/>
      <c r="W87" s="1330"/>
      <c r="X87" s="1330"/>
      <c r="Y87" s="1330"/>
      <c r="Z87" s="664"/>
      <c r="AA87" s="1344"/>
      <c r="AB87" s="1335">
        <f>+AA87-AA86</f>
        <v>0</v>
      </c>
      <c r="AC87" s="1330" t="e">
        <f>+(AA87/AA80-1)*100</f>
        <v>#DIV/0!</v>
      </c>
      <c r="AD87" s="1344"/>
      <c r="AE87" s="1335">
        <f>+AD87-AD86</f>
        <v>0</v>
      </c>
      <c r="AF87" s="1330">
        <f>+(AD87/AD80-1)*100</f>
        <v>-100</v>
      </c>
      <c r="AG87" s="1344"/>
      <c r="AH87" s="1335">
        <f>AH86+(AH90-AH83)/AY90*AY87</f>
        <v>0.1575</v>
      </c>
      <c r="AI87" s="1330"/>
      <c r="AJ87" s="1344"/>
      <c r="AK87" s="1335"/>
      <c r="AL87" s="1344"/>
      <c r="AM87" s="1347"/>
      <c r="AN87" s="1330"/>
      <c r="AO87" s="1362"/>
      <c r="AP87" s="665"/>
      <c r="AQ87" s="1330"/>
      <c r="AR87" s="664"/>
      <c r="AS87" s="1340">
        <f>+D87+O87+AA87+AD87+AL87</f>
        <v>30</v>
      </c>
      <c r="AT87" s="1341">
        <f>+AS87-AS86</f>
        <v>2</v>
      </c>
      <c r="AU87" s="1330">
        <f>+(AS87/AS80-1)*100</f>
        <v>-21.052631578947366</v>
      </c>
      <c r="AV87" s="1330"/>
      <c r="AW87" s="1330"/>
      <c r="AX87" s="1384">
        <v>69</v>
      </c>
      <c r="AY87" s="1369">
        <f>AX87-AX86</f>
        <v>1</v>
      </c>
      <c r="AZ87" s="132"/>
      <c r="BA87" s="132"/>
      <c r="BB87" s="132"/>
      <c r="BC87" s="215">
        <f>D87/AS87</f>
        <v>1</v>
      </c>
      <c r="BD87" s="1492">
        <f>(O87+AA87+AD87)/AS87</f>
        <v>0</v>
      </c>
      <c r="BE87" s="1343">
        <f>AL87/AS87</f>
        <v>0</v>
      </c>
    </row>
    <row r="88" spans="1:57" ht="12" hidden="1" customHeight="1" outlineLevel="1">
      <c r="A88" s="132" t="str">
        <f>$A$32</f>
        <v>3Q</v>
      </c>
      <c r="B88" s="132" t="str">
        <f>$B$32</f>
        <v>Oct</v>
      </c>
      <c r="C88" s="132"/>
      <c r="D88" s="1367">
        <v>32</v>
      </c>
      <c r="E88" s="1329">
        <f>+D88-D87</f>
        <v>2</v>
      </c>
      <c r="F88" s="1330">
        <f>+(D88/D81-1)*100</f>
        <v>18.518518518518512</v>
      </c>
      <c r="G88" s="1331">
        <f>G87+($G90-$G83)/$E90*E88</f>
        <v>0.29978333333333329</v>
      </c>
      <c r="H88" s="665"/>
      <c r="I88" s="1330">
        <f>+(G88/G81-1)*100</f>
        <v>11.257499845364016</v>
      </c>
      <c r="J88" s="132"/>
      <c r="K88" s="1344"/>
      <c r="L88" s="1335">
        <f>+K88-K87</f>
        <v>0</v>
      </c>
      <c r="M88" s="1344"/>
      <c r="N88" s="1335">
        <f>+M88-M87</f>
        <v>0</v>
      </c>
      <c r="O88" s="1328">
        <f>+K88+M88</f>
        <v>0</v>
      </c>
      <c r="P88" s="1334">
        <f>+N88+L88</f>
        <v>0</v>
      </c>
      <c r="Q88" s="1330" t="e">
        <f>+(K88/K81-1)*100</f>
        <v>#DIV/0!</v>
      </c>
      <c r="R88" s="1330"/>
      <c r="S88" s="1330"/>
      <c r="T88" s="664"/>
      <c r="U88" s="1344"/>
      <c r="V88" s="1335"/>
      <c r="W88" s="1330"/>
      <c r="X88" s="1330"/>
      <c r="Y88" s="1330"/>
      <c r="Z88" s="664"/>
      <c r="AA88" s="1344"/>
      <c r="AB88" s="1335">
        <f>+AA88-AA87</f>
        <v>0</v>
      </c>
      <c r="AC88" s="1330" t="e">
        <f>+(AA88/AA81-1)*100</f>
        <v>#DIV/0!</v>
      </c>
      <c r="AD88" s="1344"/>
      <c r="AE88" s="1335">
        <f>+AD88-AD87</f>
        <v>0</v>
      </c>
      <c r="AF88" s="1330">
        <f>+(AD88/AD81-1)*100</f>
        <v>-100</v>
      </c>
      <c r="AG88" s="1344"/>
      <c r="AH88" s="1335">
        <f>AH87+(AH90-AH83)/AY90*AY88</f>
        <v>0.159</v>
      </c>
      <c r="AI88" s="1330"/>
      <c r="AJ88" s="1344"/>
      <c r="AK88" s="1335"/>
      <c r="AL88" s="1344"/>
      <c r="AM88" s="1347"/>
      <c r="AN88" s="1330"/>
      <c r="AO88" s="1362"/>
      <c r="AP88" s="665"/>
      <c r="AQ88" s="1330"/>
      <c r="AR88" s="664"/>
      <c r="AS88" s="1340">
        <f>+D88+O88+AA88+AD88+AL88</f>
        <v>32</v>
      </c>
      <c r="AT88" s="1341">
        <f>+AS88-AS87</f>
        <v>2</v>
      </c>
      <c r="AU88" s="1330">
        <f>+(AS88/AS81-1)*100</f>
        <v>-25.581395348837212</v>
      </c>
      <c r="AV88" s="1330"/>
      <c r="AW88" s="1330"/>
      <c r="AX88" s="1384">
        <v>70</v>
      </c>
      <c r="AY88" s="1369">
        <f>AX88-AX87</f>
        <v>1</v>
      </c>
      <c r="AZ88" s="132"/>
      <c r="BA88" s="132"/>
      <c r="BB88" s="132"/>
      <c r="BC88" s="215">
        <f>D88/AS88</f>
        <v>1</v>
      </c>
      <c r="BD88" s="1492">
        <f>(O88+AA88+AD88)/AS88</f>
        <v>0</v>
      </c>
      <c r="BE88" s="1343">
        <f>AL88/AS88</f>
        <v>0</v>
      </c>
    </row>
    <row r="89" spans="1:57" ht="12" hidden="1" customHeight="1" outlineLevel="1">
      <c r="A89" s="132" t="str">
        <f>$A$33</f>
        <v>4Q</v>
      </c>
      <c r="B89" s="132" t="str">
        <f>$B$33</f>
        <v>Jan</v>
      </c>
      <c r="C89" s="132"/>
      <c r="D89" s="1349">
        <v>34</v>
      </c>
      <c r="E89" s="1329">
        <f>+D89-D88</f>
        <v>2</v>
      </c>
      <c r="F89" s="1330">
        <f>+(D89/D82-1)*100</f>
        <v>21.42857142857142</v>
      </c>
      <c r="G89" s="1380">
        <f>0.28+0.03245</f>
        <v>0.31245000000000001</v>
      </c>
      <c r="H89" s="665"/>
      <c r="I89" s="1330">
        <f>+(G89/G82-1)*100</f>
        <v>13.845873565312461</v>
      </c>
      <c r="J89" s="132"/>
      <c r="K89" s="1349">
        <v>2</v>
      </c>
      <c r="L89" s="1335">
        <f>+K89-K88</f>
        <v>2</v>
      </c>
      <c r="M89" s="1349">
        <v>7</v>
      </c>
      <c r="N89" s="1335">
        <f>+M89-M88</f>
        <v>7</v>
      </c>
      <c r="O89" s="1351">
        <f>+K89+M89</f>
        <v>9</v>
      </c>
      <c r="P89" s="1334">
        <f>+N89+L89</f>
        <v>9</v>
      </c>
      <c r="Q89" s="1330">
        <f>+(K89/K82-1)*100</f>
        <v>0</v>
      </c>
      <c r="R89" s="1330"/>
      <c r="S89" s="1330"/>
      <c r="T89" s="664"/>
      <c r="U89" s="1349"/>
      <c r="V89" s="1335"/>
      <c r="W89" s="1330"/>
      <c r="X89" s="1330"/>
      <c r="Y89" s="1330"/>
      <c r="Z89" s="664"/>
      <c r="AA89" s="1349">
        <v>44</v>
      </c>
      <c r="AB89" s="1335">
        <f>+AA89-AA88</f>
        <v>44</v>
      </c>
      <c r="AC89" s="1330">
        <f>+(AA89/AA82-1)*100</f>
        <v>4.7619047619047672</v>
      </c>
      <c r="AD89" s="1349">
        <v>17</v>
      </c>
      <c r="AE89" s="1335">
        <f>+AD89-AD88</f>
        <v>17</v>
      </c>
      <c r="AF89" s="1330">
        <f>+(AD89/AD82-1)*100</f>
        <v>0</v>
      </c>
      <c r="AG89" s="1349"/>
      <c r="AH89" s="1335">
        <v>0.159</v>
      </c>
      <c r="AI89" s="1330"/>
      <c r="AJ89" s="1349"/>
      <c r="AK89" s="1335"/>
      <c r="AL89" s="1344"/>
      <c r="AM89" s="1347"/>
      <c r="AN89" s="1330"/>
      <c r="AO89" s="1388"/>
      <c r="AP89" s="665"/>
      <c r="AQ89" s="1330"/>
      <c r="AR89" s="664"/>
      <c r="AS89" s="1355">
        <f>+D89+O89+AA89+AD89+AL89</f>
        <v>104</v>
      </c>
      <c r="AT89" s="1341">
        <f>+AS89-AS88</f>
        <v>72</v>
      </c>
      <c r="AU89" s="1330">
        <f>+(AS89/AS82-1)*100</f>
        <v>8.333333333333325</v>
      </c>
      <c r="AV89" s="1330"/>
      <c r="AW89" s="1330"/>
      <c r="AX89" s="1347">
        <f>AS89-D89-AL89</f>
        <v>70</v>
      </c>
      <c r="AY89" s="1369">
        <f>AX89-AX88</f>
        <v>0</v>
      </c>
      <c r="AZ89" s="132"/>
      <c r="BA89" s="132"/>
      <c r="BB89" s="132"/>
      <c r="BC89" s="215">
        <f>D89/AS89</f>
        <v>0.32692307692307693</v>
      </c>
      <c r="BD89" s="1492">
        <f>(O89+AA89+AD89)/AS89</f>
        <v>0.67307692307692313</v>
      </c>
      <c r="BE89" s="1356">
        <f>AL89/AS89</f>
        <v>0</v>
      </c>
    </row>
    <row r="90" spans="1:57" ht="12" hidden="1" customHeight="1" outlineLevel="1">
      <c r="A90" s="132"/>
      <c r="B90" s="132" t="str">
        <f>$B$34</f>
        <v>Year</v>
      </c>
      <c r="C90" s="132"/>
      <c r="D90" s="1340">
        <f>+D89</f>
        <v>34</v>
      </c>
      <c r="E90" s="1357">
        <f>+D90-D83</f>
        <v>6</v>
      </c>
      <c r="F90" s="1330">
        <f>+(D90/D83-1)*100</f>
        <v>21.42857142857142</v>
      </c>
      <c r="G90" s="1331">
        <f>+G89</f>
        <v>0.31245000000000001</v>
      </c>
      <c r="H90" s="665">
        <f>+G90/D90*1000</f>
        <v>9.1897058823529427</v>
      </c>
      <c r="I90" s="1330">
        <f>+(G90/G83-1)*100</f>
        <v>13.845873565312461</v>
      </c>
      <c r="J90" s="132"/>
      <c r="K90" s="1340">
        <f>+K89</f>
        <v>2</v>
      </c>
      <c r="L90" s="1372">
        <f>+K90-K83</f>
        <v>0</v>
      </c>
      <c r="M90" s="1340">
        <f>+M89</f>
        <v>7</v>
      </c>
      <c r="N90" s="1372">
        <f>+M90-M83</f>
        <v>0</v>
      </c>
      <c r="O90" s="1328">
        <f>+K90+M90</f>
        <v>9</v>
      </c>
      <c r="P90" s="683">
        <f>+N90+L90</f>
        <v>0</v>
      </c>
      <c r="Q90" s="1330">
        <f>+(K90/K83-1)*100</f>
        <v>0</v>
      </c>
      <c r="R90" s="1330"/>
      <c r="S90" s="1330"/>
      <c r="T90" s="664"/>
      <c r="U90" s="1340"/>
      <c r="V90" s="1372"/>
      <c r="W90" s="1330"/>
      <c r="X90" s="1330"/>
      <c r="Y90" s="1330"/>
      <c r="Z90" s="664"/>
      <c r="AA90" s="1340">
        <f>+AA89</f>
        <v>44</v>
      </c>
      <c r="AB90" s="1372">
        <f>+AA90-AA83</f>
        <v>2</v>
      </c>
      <c r="AC90" s="1330">
        <f>+(AA90/AA83-1)*100</f>
        <v>4.7619047619047672</v>
      </c>
      <c r="AD90" s="1340">
        <f>+AD89</f>
        <v>17</v>
      </c>
      <c r="AE90" s="1372">
        <f>+AD90-AD83</f>
        <v>0</v>
      </c>
      <c r="AF90" s="1330">
        <f>+(AD90/AD83-1)*100</f>
        <v>0</v>
      </c>
      <c r="AG90" s="1340"/>
      <c r="AH90" s="1372">
        <f>+AH89</f>
        <v>0.159</v>
      </c>
      <c r="AI90" s="1330">
        <f>+AH90/AX90*1000</f>
        <v>2.2714285714285714</v>
      </c>
      <c r="AJ90" s="1340">
        <f>+(AH90/AH83-1)*100</f>
        <v>1.9230769230769162</v>
      </c>
      <c r="AK90" s="1372"/>
      <c r="AL90" s="1377"/>
      <c r="AM90" s="1360"/>
      <c r="AN90" s="1330"/>
      <c r="AO90" s="1389"/>
      <c r="AP90" s="661"/>
      <c r="AQ90" s="1330"/>
      <c r="AR90" s="664"/>
      <c r="AS90" s="1340">
        <f>+D90+O90+AA90+AD90+AL90</f>
        <v>104</v>
      </c>
      <c r="AT90" s="683">
        <f>+AS90-AS83</f>
        <v>8</v>
      </c>
      <c r="AU90" s="1330">
        <f>+(AS90/AS83-1)*100</f>
        <v>8.333333333333325</v>
      </c>
      <c r="AV90" s="1330"/>
      <c r="AW90" s="1330"/>
      <c r="AX90" s="1347">
        <f>AS90-D90-AL90</f>
        <v>70</v>
      </c>
      <c r="AY90" s="1369">
        <f>AX90-AX83</f>
        <v>2</v>
      </c>
      <c r="AZ90" s="132"/>
      <c r="BA90" s="132"/>
      <c r="BB90" s="132"/>
      <c r="BC90" s="1363">
        <f>D90/AS90</f>
        <v>0.32692307692307693</v>
      </c>
      <c r="BD90" s="1810">
        <f>(O90+AA90+AD90)/AS90</f>
        <v>0.67307692307692313</v>
      </c>
      <c r="BE90" s="1363">
        <f>AL90/AS90</f>
        <v>0</v>
      </c>
    </row>
    <row r="91" spans="1:57" ht="12" hidden="1" customHeight="1" outlineLevel="1">
      <c r="A91" s="132"/>
      <c r="B91" s="132"/>
      <c r="C91" s="132"/>
      <c r="D91" s="1033"/>
      <c r="E91" s="1325"/>
      <c r="F91" s="230"/>
      <c r="G91" s="1033"/>
      <c r="H91" s="230"/>
      <c r="I91" s="1330"/>
      <c r="J91" s="132"/>
      <c r="K91" s="1386"/>
      <c r="L91" s="1387"/>
      <c r="M91" s="1386"/>
      <c r="N91" s="1387"/>
      <c r="O91" s="1386"/>
      <c r="P91" s="200"/>
      <c r="Q91" s="230"/>
      <c r="R91" s="230"/>
      <c r="S91" s="230"/>
      <c r="T91" s="643"/>
      <c r="U91" s="1386"/>
      <c r="V91" s="1387"/>
      <c r="W91" s="230"/>
      <c r="X91" s="230"/>
      <c r="Y91" s="230"/>
      <c r="Z91" s="643"/>
      <c r="AA91" s="1386"/>
      <c r="AB91" s="174"/>
      <c r="AC91" s="230"/>
      <c r="AD91" s="1386"/>
      <c r="AE91" s="174"/>
      <c r="AF91" s="230"/>
      <c r="AG91" s="1386"/>
      <c r="AH91" s="174"/>
      <c r="AI91" s="230"/>
      <c r="AJ91" s="1386"/>
      <c r="AK91" s="174"/>
      <c r="AL91" s="1386"/>
      <c r="AM91" s="1326"/>
      <c r="AN91" s="230"/>
      <c r="AO91" s="1386"/>
      <c r="AP91" s="233"/>
      <c r="AQ91" s="1339"/>
      <c r="AR91" s="643"/>
      <c r="AS91" s="1033"/>
      <c r="AT91" s="132"/>
      <c r="AU91" s="132"/>
      <c r="AV91" s="132"/>
      <c r="AW91" s="132"/>
      <c r="AX91" s="1347"/>
      <c r="AY91" s="1348"/>
      <c r="AZ91" s="132"/>
      <c r="BA91" s="132"/>
      <c r="BB91" s="132"/>
      <c r="BC91" s="132"/>
      <c r="BD91" s="256"/>
      <c r="BE91" s="132"/>
    </row>
    <row r="92" spans="1:57" ht="12" hidden="1" customHeight="1" outlineLevel="1">
      <c r="A92" s="2506">
        <f>+A85+1</f>
        <v>1999</v>
      </c>
      <c r="B92" s="2506"/>
      <c r="C92" s="132"/>
      <c r="D92" s="1033"/>
      <c r="E92" s="1325"/>
      <c r="F92" s="230"/>
      <c r="G92" s="1033"/>
      <c r="H92" s="230"/>
      <c r="I92" s="1330"/>
      <c r="J92" s="132"/>
      <c r="K92" s="1386"/>
      <c r="L92" s="1387"/>
      <c r="M92" s="1386"/>
      <c r="N92" s="1387"/>
      <c r="O92" s="1386"/>
      <c r="P92" s="200"/>
      <c r="Q92" s="230"/>
      <c r="R92" s="230"/>
      <c r="S92" s="230"/>
      <c r="T92" s="643"/>
      <c r="U92" s="1386"/>
      <c r="V92" s="1387"/>
      <c r="W92" s="230"/>
      <c r="X92" s="230"/>
      <c r="Y92" s="230"/>
      <c r="Z92" s="643"/>
      <c r="AA92" s="1386"/>
      <c r="AB92" s="174"/>
      <c r="AC92" s="230"/>
      <c r="AD92" s="1386"/>
      <c r="AE92" s="174"/>
      <c r="AF92" s="230"/>
      <c r="AG92" s="1386"/>
      <c r="AH92" s="174"/>
      <c r="AI92" s="230"/>
      <c r="AJ92" s="1386"/>
      <c r="AK92" s="174"/>
      <c r="AL92" s="1386"/>
      <c r="AM92" s="1326"/>
      <c r="AN92" s="230"/>
      <c r="AO92" s="1386"/>
      <c r="AP92" s="233"/>
      <c r="AQ92" s="1339"/>
      <c r="AR92" s="643"/>
      <c r="AS92" s="1033"/>
      <c r="AT92" s="132"/>
      <c r="AU92" s="132"/>
      <c r="AV92" s="132"/>
      <c r="AW92" s="132"/>
      <c r="AX92" s="1347"/>
      <c r="AY92" s="1348"/>
      <c r="AZ92" s="132"/>
      <c r="BA92" s="132"/>
      <c r="BB92" s="132"/>
      <c r="BC92" s="132"/>
      <c r="BD92" s="256"/>
      <c r="BE92" s="132"/>
    </row>
    <row r="93" spans="1:57" ht="12" hidden="1" customHeight="1" outlineLevel="1">
      <c r="A93" s="132" t="str">
        <f>$A$30</f>
        <v>1Q</v>
      </c>
      <c r="B93" s="132" t="str">
        <f>$B$30</f>
        <v>Apr</v>
      </c>
      <c r="C93" s="132"/>
      <c r="D93" s="1328">
        <f>+D89+E93</f>
        <v>34</v>
      </c>
      <c r="E93" s="1332">
        <v>0</v>
      </c>
      <c r="F93" s="1330">
        <f>+(D93/D86-1)*100</f>
        <v>21.42857142857142</v>
      </c>
      <c r="G93" s="1331">
        <f>G90+($G97-$G$111)/$E97*E93</f>
        <v>0.31245000000000001</v>
      </c>
      <c r="H93" s="665"/>
      <c r="I93" s="1330">
        <f>+(G93/G86-1)*100</f>
        <v>13.845873565312461</v>
      </c>
      <c r="J93" s="132"/>
      <c r="K93" s="1328">
        <f>+K89+L93</f>
        <v>2</v>
      </c>
      <c r="L93" s="1333">
        <v>0</v>
      </c>
      <c r="M93" s="1328">
        <f>+M89+N93</f>
        <v>7</v>
      </c>
      <c r="N93" s="1333">
        <v>0</v>
      </c>
      <c r="O93" s="1340">
        <f>+K93+M93</f>
        <v>9</v>
      </c>
      <c r="P93" s="1334">
        <f>+N93+L93</f>
        <v>0</v>
      </c>
      <c r="Q93" s="1330" t="e">
        <f>+(K93/K86-1)*100</f>
        <v>#DIV/0!</v>
      </c>
      <c r="R93" s="1330"/>
      <c r="S93" s="1330"/>
      <c r="T93" s="664"/>
      <c r="U93" s="1328"/>
      <c r="V93" s="1333"/>
      <c r="W93" s="1330"/>
      <c r="X93" s="1330"/>
      <c r="Y93" s="1330"/>
      <c r="Z93" s="664"/>
      <c r="AA93" s="1340">
        <f>+AA89+AB93</f>
        <v>45</v>
      </c>
      <c r="AB93" s="1390">
        <v>1</v>
      </c>
      <c r="AC93" s="1330" t="e">
        <f>+(AA93/AA86-1)*100</f>
        <v>#DIV/0!</v>
      </c>
      <c r="AD93" s="1340">
        <f>+AD89+AE93</f>
        <v>17</v>
      </c>
      <c r="AE93" s="1390">
        <v>0</v>
      </c>
      <c r="AF93" s="1330" t="e">
        <f>+(AD93/AD86-1)*100</f>
        <v>#DIV/0!</v>
      </c>
      <c r="AG93" s="1340"/>
      <c r="AH93" s="1390">
        <f>AH90+(AH97-AH90)/AY97*AY93</f>
        <v>0.17049999999999998</v>
      </c>
      <c r="AI93" s="1330"/>
      <c r="AJ93" s="1340"/>
      <c r="AK93" s="1390"/>
      <c r="AL93" s="1344"/>
      <c r="AM93" s="1347"/>
      <c r="AN93" s="1330"/>
      <c r="AO93" s="1388"/>
      <c r="AP93" s="661"/>
      <c r="AQ93" s="1330"/>
      <c r="AR93" s="664"/>
      <c r="AS93" s="1340">
        <f>+D93+O93+AA93+AD93+AL93</f>
        <v>105</v>
      </c>
      <c r="AT93" s="1341">
        <f>+AS93-AS89</f>
        <v>1</v>
      </c>
      <c r="AU93" s="1330">
        <f>+(AS93/AS86-1)*100</f>
        <v>275</v>
      </c>
      <c r="AV93" s="1330"/>
      <c r="AW93" s="1330"/>
      <c r="AX93" s="1347">
        <f>AS93-D93-AL93</f>
        <v>71</v>
      </c>
      <c r="AY93" s="1348">
        <f>AX93-AX90</f>
        <v>1</v>
      </c>
      <c r="AZ93" s="132"/>
      <c r="BA93" s="132"/>
      <c r="BB93" s="132"/>
      <c r="BC93" s="215">
        <f>D93/AS93</f>
        <v>0.32380952380952382</v>
      </c>
      <c r="BD93" s="1492">
        <f>(O93+AA93+AD93)/AS93</f>
        <v>0.67619047619047623</v>
      </c>
      <c r="BE93" s="1343">
        <f>AL93/AS93</f>
        <v>0</v>
      </c>
    </row>
    <row r="94" spans="1:57" ht="12" hidden="1" customHeight="1" outlineLevel="1">
      <c r="A94" s="132" t="str">
        <f>$A$31</f>
        <v>2Q</v>
      </c>
      <c r="B94" s="132" t="str">
        <f>$B$31</f>
        <v>Jul</v>
      </c>
      <c r="C94" s="132"/>
      <c r="D94" s="1328">
        <f>+E94+D93</f>
        <v>36</v>
      </c>
      <c r="E94" s="1344">
        <v>2</v>
      </c>
      <c r="F94" s="1330">
        <f>+(D94/D87-1)*100</f>
        <v>19.999999999999996</v>
      </c>
      <c r="G94" s="1331">
        <f>G93+($G97-$G90)/$E97*E94</f>
        <v>0.32345000000000002</v>
      </c>
      <c r="H94" s="665"/>
      <c r="I94" s="1330">
        <f>+(G94/G87-1)*100</f>
        <v>12.654553897950915</v>
      </c>
      <c r="J94" s="672"/>
      <c r="K94" s="1328">
        <f>+L94+K93</f>
        <v>2</v>
      </c>
      <c r="L94" s="1345">
        <v>0</v>
      </c>
      <c r="M94" s="1328">
        <f>+N94+M93</f>
        <v>7</v>
      </c>
      <c r="N94" s="1345">
        <v>0</v>
      </c>
      <c r="O94" s="1328">
        <f>+K94+M94</f>
        <v>9</v>
      </c>
      <c r="P94" s="1334">
        <f>+N94+L94</f>
        <v>0</v>
      </c>
      <c r="Q94" s="1330" t="e">
        <f>+(K94/K87-1)*100</f>
        <v>#DIV/0!</v>
      </c>
      <c r="R94" s="1330"/>
      <c r="S94" s="1330"/>
      <c r="T94" s="664"/>
      <c r="U94" s="1328"/>
      <c r="V94" s="1345"/>
      <c r="W94" s="1330"/>
      <c r="X94" s="1330"/>
      <c r="Y94" s="1330"/>
      <c r="Z94" s="664"/>
      <c r="AA94" s="1328">
        <f>+AA93+AB94</f>
        <v>45</v>
      </c>
      <c r="AB94" s="1390">
        <v>0</v>
      </c>
      <c r="AC94" s="1330" t="e">
        <f>+(AA94/AA87-1)*100</f>
        <v>#DIV/0!</v>
      </c>
      <c r="AD94" s="1328">
        <f>+AD93+AE94</f>
        <v>17</v>
      </c>
      <c r="AE94" s="1390">
        <v>0</v>
      </c>
      <c r="AF94" s="1330" t="e">
        <f>+(AD94/AD87-1)*100</f>
        <v>#DIV/0!</v>
      </c>
      <c r="AG94" s="1328"/>
      <c r="AH94" s="1390">
        <f>AH93+(AH97-AH90)/AY97*AY94</f>
        <v>0.17049999999999998</v>
      </c>
      <c r="AI94" s="1330"/>
      <c r="AJ94" s="1328"/>
      <c r="AK94" s="1390"/>
      <c r="AL94" s="1344"/>
      <c r="AM94" s="1347"/>
      <c r="AN94" s="1330"/>
      <c r="AO94" s="1388"/>
      <c r="AP94" s="661"/>
      <c r="AQ94" s="1330"/>
      <c r="AR94" s="664"/>
      <c r="AS94" s="1340">
        <f>+D94+O94+AA94+AD94+AL94</f>
        <v>107</v>
      </c>
      <c r="AT94" s="1341">
        <f>+AS94-AS93</f>
        <v>2</v>
      </c>
      <c r="AU94" s="1330">
        <f>+(AS94/AS87-1)*100</f>
        <v>256.66666666666669</v>
      </c>
      <c r="AV94" s="1330"/>
      <c r="AW94" s="1330"/>
      <c r="AX94" s="1347">
        <f>AS94-D94-AL94</f>
        <v>71</v>
      </c>
      <c r="AY94" s="1348">
        <f>AX94-AX93</f>
        <v>0</v>
      </c>
      <c r="AZ94" s="132"/>
      <c r="BA94" s="132"/>
      <c r="BB94" s="132"/>
      <c r="BC94" s="215">
        <f>D94/AS94</f>
        <v>0.3364485981308411</v>
      </c>
      <c r="BD94" s="1492">
        <f>(O94+AA94+AD94)/AS94</f>
        <v>0.66355140186915884</v>
      </c>
      <c r="BE94" s="1343">
        <f>AL94/AS94</f>
        <v>0</v>
      </c>
    </row>
    <row r="95" spans="1:57" ht="12" hidden="1" customHeight="1" outlineLevel="1">
      <c r="A95" s="132" t="str">
        <f>$A$32</f>
        <v>3Q</v>
      </c>
      <c r="B95" s="132" t="str">
        <f>$B$32</f>
        <v>Oct</v>
      </c>
      <c r="C95" s="132"/>
      <c r="D95" s="1328">
        <f>+E95+D94</f>
        <v>37</v>
      </c>
      <c r="E95" s="1344">
        <v>1</v>
      </c>
      <c r="F95" s="1330">
        <f>+(D95/D88-1)*100</f>
        <v>15.625</v>
      </c>
      <c r="G95" s="1331">
        <f>G94+($G97-$G90)/$E97*E95</f>
        <v>0.32895000000000002</v>
      </c>
      <c r="H95" s="665"/>
      <c r="I95" s="1330">
        <f>+(G95/G88-1)*100</f>
        <v>9.7292489019847892</v>
      </c>
      <c r="J95" s="132"/>
      <c r="K95" s="1328">
        <f>+L95+K94</f>
        <v>3</v>
      </c>
      <c r="L95" s="1345">
        <v>1</v>
      </c>
      <c r="M95" s="1328">
        <f>+N95+M94</f>
        <v>8</v>
      </c>
      <c r="N95" s="1345">
        <v>1</v>
      </c>
      <c r="O95" s="1328">
        <f>+K95+M95</f>
        <v>11</v>
      </c>
      <c r="P95" s="1334">
        <f>+N95+L95</f>
        <v>2</v>
      </c>
      <c r="Q95" s="1330" t="e">
        <f>+(K95/K88-1)*100</f>
        <v>#DIV/0!</v>
      </c>
      <c r="R95" s="1330"/>
      <c r="S95" s="1330"/>
      <c r="T95" s="664"/>
      <c r="U95" s="1328"/>
      <c r="V95" s="1345"/>
      <c r="W95" s="1330"/>
      <c r="X95" s="1330"/>
      <c r="Y95" s="1330"/>
      <c r="Z95" s="664"/>
      <c r="AA95" s="1328">
        <f>+AA94+AB95</f>
        <v>46</v>
      </c>
      <c r="AB95" s="1390">
        <v>1</v>
      </c>
      <c r="AC95" s="1330" t="e">
        <f>+(AA95/AA88-1)*100</f>
        <v>#DIV/0!</v>
      </c>
      <c r="AD95" s="1328">
        <f>+AD94+AE95</f>
        <v>17</v>
      </c>
      <c r="AE95" s="1390">
        <v>0</v>
      </c>
      <c r="AF95" s="1330" t="e">
        <f>+(AD95/AD88-1)*100</f>
        <v>#DIV/0!</v>
      </c>
      <c r="AG95" s="1328"/>
      <c r="AH95" s="1390">
        <f>AH94+(AH97-AH90)/AY97*AY95</f>
        <v>0.20499999999999996</v>
      </c>
      <c r="AI95" s="1330"/>
      <c r="AJ95" s="1328"/>
      <c r="AK95" s="1390"/>
      <c r="AL95" s="1344"/>
      <c r="AM95" s="1347"/>
      <c r="AN95" s="1330"/>
      <c r="AO95" s="1388"/>
      <c r="AP95" s="661"/>
      <c r="AQ95" s="1330"/>
      <c r="AR95" s="664"/>
      <c r="AS95" s="1340">
        <f>+D95+O95+AA95+AD95+AL95</f>
        <v>111</v>
      </c>
      <c r="AT95" s="1341">
        <f>+AS95-AS94</f>
        <v>4</v>
      </c>
      <c r="AU95" s="1330">
        <f>+(AS95/AS88-1)*100</f>
        <v>246.875</v>
      </c>
      <c r="AV95" s="1330"/>
      <c r="AW95" s="1330"/>
      <c r="AX95" s="1347">
        <f>AS95-D95-AL95</f>
        <v>74</v>
      </c>
      <c r="AY95" s="1348">
        <f>AX95-AX94</f>
        <v>3</v>
      </c>
      <c r="AZ95" s="132"/>
      <c r="BA95" s="132"/>
      <c r="BB95" s="132"/>
      <c r="BC95" s="215">
        <f>D95/AS95</f>
        <v>0.33333333333333331</v>
      </c>
      <c r="BD95" s="1492">
        <f>(O95+AA95+AD95)/AS95</f>
        <v>0.66666666666666663</v>
      </c>
      <c r="BE95" s="1343">
        <f>AL95/AS95</f>
        <v>0</v>
      </c>
    </row>
    <row r="96" spans="1:57" ht="12" hidden="1" customHeight="1" outlineLevel="1">
      <c r="A96" s="132" t="str">
        <f>$A$33</f>
        <v>4Q</v>
      </c>
      <c r="B96" s="132" t="str">
        <f>$B$33</f>
        <v>Jan</v>
      </c>
      <c r="C96" s="132"/>
      <c r="D96" s="1349">
        <v>38</v>
      </c>
      <c r="E96" s="1329">
        <f>+D96-D95</f>
        <v>1</v>
      </c>
      <c r="F96" s="1330">
        <f>+(D96/D89-1)*100</f>
        <v>11.764705882352944</v>
      </c>
      <c r="G96" s="1380">
        <f>0.302+0.03245</f>
        <v>0.33444999999999997</v>
      </c>
      <c r="H96" s="665"/>
      <c r="I96" s="1330">
        <f>+(G96/G89-1)*100</f>
        <v>7.0411265802528211</v>
      </c>
      <c r="J96" s="132"/>
      <c r="K96" s="1349">
        <v>3</v>
      </c>
      <c r="L96" s="1335">
        <f>+K96-K95</f>
        <v>0</v>
      </c>
      <c r="M96" s="1349">
        <v>8</v>
      </c>
      <c r="N96" s="1335">
        <f>+M96-M95</f>
        <v>0</v>
      </c>
      <c r="O96" s="1351">
        <f>+K96+M96</f>
        <v>11</v>
      </c>
      <c r="P96" s="1334">
        <f>+N96+L96</f>
        <v>0</v>
      </c>
      <c r="Q96" s="1330">
        <f>+(K96/K89-1)*100</f>
        <v>50</v>
      </c>
      <c r="R96" s="1330"/>
      <c r="S96" s="1330"/>
      <c r="T96" s="664"/>
      <c r="U96" s="1349"/>
      <c r="V96" s="1335"/>
      <c r="W96" s="1330"/>
      <c r="X96" s="1330"/>
      <c r="Y96" s="1330"/>
      <c r="Z96" s="664"/>
      <c r="AA96" s="1349">
        <v>44</v>
      </c>
      <c r="AB96" s="1335">
        <f>+AA96-AA95</f>
        <v>-2</v>
      </c>
      <c r="AC96" s="1330">
        <f>+(AA96/AA89-1)*100</f>
        <v>0</v>
      </c>
      <c r="AD96" s="1349">
        <v>17</v>
      </c>
      <c r="AE96" s="1335">
        <f>+AD96-AD95</f>
        <v>0</v>
      </c>
      <c r="AF96" s="1330">
        <f>+(AD96/AD89-1)*100</f>
        <v>0</v>
      </c>
      <c r="AG96" s="1349"/>
      <c r="AH96" s="1335">
        <v>0.182</v>
      </c>
      <c r="AI96" s="1330"/>
      <c r="AJ96" s="1349"/>
      <c r="AK96" s="1335"/>
      <c r="AL96" s="1344"/>
      <c r="AM96" s="1347"/>
      <c r="AN96" s="1330"/>
      <c r="AO96" s="1388"/>
      <c r="AP96" s="661"/>
      <c r="AQ96" s="1330"/>
      <c r="AR96" s="664"/>
      <c r="AS96" s="1355">
        <f>+D96+O96+AA96+AD96+AL96</f>
        <v>110</v>
      </c>
      <c r="AT96" s="1341">
        <f>+AS96-AS95</f>
        <v>-1</v>
      </c>
      <c r="AU96" s="1330">
        <f>+(AS96/AS89-1)*100</f>
        <v>5.7692307692307709</v>
      </c>
      <c r="AV96" s="1330"/>
      <c r="AW96" s="1330"/>
      <c r="AX96" s="1347">
        <f>AS96-D96-AL96</f>
        <v>72</v>
      </c>
      <c r="AY96" s="1348">
        <f>AX96-AX95</f>
        <v>-2</v>
      </c>
      <c r="AZ96" s="132"/>
      <c r="BA96" s="132"/>
      <c r="BB96" s="132"/>
      <c r="BC96" s="215">
        <f>D96/AS96</f>
        <v>0.34545454545454546</v>
      </c>
      <c r="BD96" s="1492">
        <f>(O96+AA96+AD96)/AS96</f>
        <v>0.65454545454545454</v>
      </c>
      <c r="BE96" s="1356">
        <f>AL96/AS96</f>
        <v>0</v>
      </c>
    </row>
    <row r="97" spans="1:57" ht="12" hidden="1" customHeight="1" outlineLevel="1">
      <c r="A97" s="132"/>
      <c r="B97" s="132" t="str">
        <f>$B$34</f>
        <v>Year</v>
      </c>
      <c r="C97" s="132"/>
      <c r="D97" s="1340">
        <f>+D96</f>
        <v>38</v>
      </c>
      <c r="E97" s="1357">
        <f>+D97-D90</f>
        <v>4</v>
      </c>
      <c r="F97" s="1330">
        <f>+(D97/D90-1)*100</f>
        <v>11.764705882352944</v>
      </c>
      <c r="G97" s="1331">
        <f>+G96</f>
        <v>0.33444999999999997</v>
      </c>
      <c r="H97" s="665">
        <f>+G97/D97*1000</f>
        <v>8.8013157894736835</v>
      </c>
      <c r="I97" s="1330">
        <f>+(G97/G90-1)*100</f>
        <v>7.0411265802528211</v>
      </c>
      <c r="J97" s="132"/>
      <c r="K97" s="1340">
        <f>+K96</f>
        <v>3</v>
      </c>
      <c r="L97" s="1372">
        <f>+K97-K90</f>
        <v>1</v>
      </c>
      <c r="M97" s="1340">
        <f>+M96</f>
        <v>8</v>
      </c>
      <c r="N97" s="1372">
        <f>+M97-M90</f>
        <v>1</v>
      </c>
      <c r="O97" s="1328">
        <f>+K97+M97</f>
        <v>11</v>
      </c>
      <c r="P97" s="683">
        <f>+N97+L97</f>
        <v>2</v>
      </c>
      <c r="Q97" s="1330">
        <f>+(K97/K90-1)*100</f>
        <v>50</v>
      </c>
      <c r="R97" s="1330"/>
      <c r="S97" s="1330"/>
      <c r="T97" s="664"/>
      <c r="U97" s="1340"/>
      <c r="V97" s="1372"/>
      <c r="W97" s="1330"/>
      <c r="X97" s="1330"/>
      <c r="Y97" s="1330"/>
      <c r="Z97" s="664"/>
      <c r="AA97" s="1340">
        <f>+AA96</f>
        <v>44</v>
      </c>
      <c r="AB97" s="1372">
        <f>+AA97-AA90</f>
        <v>0</v>
      </c>
      <c r="AC97" s="1330">
        <f>+(AA97/AA90-1)*100</f>
        <v>0</v>
      </c>
      <c r="AD97" s="1340">
        <f>+AD96</f>
        <v>17</v>
      </c>
      <c r="AE97" s="1372">
        <f>+AD97-AD90</f>
        <v>0</v>
      </c>
      <c r="AF97" s="1330">
        <f>+(AD97/AD90-1)*100</f>
        <v>0</v>
      </c>
      <c r="AG97" s="1340"/>
      <c r="AH97" s="1372">
        <f>+AH96</f>
        <v>0.182</v>
      </c>
      <c r="AI97" s="1330">
        <f>+AH97/AX97*1000</f>
        <v>2.5277777777777777</v>
      </c>
      <c r="AJ97" s="1340">
        <f>+(AH97/AH90-1)*100</f>
        <v>14.465408805031444</v>
      </c>
      <c r="AK97" s="1372"/>
      <c r="AL97" s="1377"/>
      <c r="AM97" s="1360"/>
      <c r="AN97" s="1330"/>
      <c r="AO97" s="1389"/>
      <c r="AP97" s="661"/>
      <c r="AQ97" s="1330"/>
      <c r="AR97" s="664"/>
      <c r="AS97" s="1340">
        <f>+D97+O97+AA97+AD97+AL97</f>
        <v>110</v>
      </c>
      <c r="AT97" s="683">
        <f>+AS97-AS90</f>
        <v>6</v>
      </c>
      <c r="AU97" s="1330">
        <f>+(AS97/AS90-1)*100</f>
        <v>5.7692307692307709</v>
      </c>
      <c r="AV97" s="1330"/>
      <c r="AW97" s="1330"/>
      <c r="AX97" s="1347">
        <f>AS97-D97-AL97</f>
        <v>72</v>
      </c>
      <c r="AY97" s="1348">
        <f>AX97-AX90</f>
        <v>2</v>
      </c>
      <c r="AZ97" s="132"/>
      <c r="BA97" s="132"/>
      <c r="BB97" s="132"/>
      <c r="BC97" s="1363">
        <f>D97/AS97</f>
        <v>0.34545454545454546</v>
      </c>
      <c r="BD97" s="1810">
        <f>(O97+AA97+AD97)/AS97</f>
        <v>0.65454545454545454</v>
      </c>
      <c r="BE97" s="1363">
        <f>AL97/AS97</f>
        <v>0</v>
      </c>
    </row>
    <row r="98" spans="1:57" ht="12" hidden="1" customHeight="1" outlineLevel="1">
      <c r="A98" s="132"/>
      <c r="B98" s="132"/>
      <c r="C98" s="132"/>
      <c r="D98" s="1033"/>
      <c r="E98" s="1325"/>
      <c r="F98" s="230"/>
      <c r="G98" s="1033"/>
      <c r="H98" s="230"/>
      <c r="I98" s="1330"/>
      <c r="J98" s="132"/>
      <c r="K98" s="1386"/>
      <c r="L98" s="1387"/>
      <c r="M98" s="1386"/>
      <c r="N98" s="1387"/>
      <c r="O98" s="1386"/>
      <c r="P98" s="200"/>
      <c r="Q98" s="230"/>
      <c r="R98" s="230"/>
      <c r="S98" s="230"/>
      <c r="T98" s="643"/>
      <c r="U98" s="1386"/>
      <c r="V98" s="1387"/>
      <c r="W98" s="230"/>
      <c r="X98" s="230"/>
      <c r="Y98" s="230"/>
      <c r="Z98" s="643"/>
      <c r="AA98" s="1386"/>
      <c r="AB98" s="174"/>
      <c r="AC98" s="230"/>
      <c r="AD98" s="1386"/>
      <c r="AE98" s="174"/>
      <c r="AF98" s="230"/>
      <c r="AG98" s="1386"/>
      <c r="AH98" s="174"/>
      <c r="AI98" s="230"/>
      <c r="AJ98" s="1386"/>
      <c r="AK98" s="174"/>
      <c r="AL98" s="1386"/>
      <c r="AM98" s="1326"/>
      <c r="AN98" s="230"/>
      <c r="AO98" s="1386"/>
      <c r="AP98" s="233"/>
      <c r="AQ98" s="1339"/>
      <c r="AR98" s="643"/>
      <c r="AS98" s="1033"/>
      <c r="AT98" s="132"/>
      <c r="AU98" s="132"/>
      <c r="AV98" s="132"/>
      <c r="AW98" s="132"/>
      <c r="AX98" s="1347"/>
      <c r="AY98" s="1348"/>
      <c r="AZ98" s="132"/>
      <c r="BA98" s="132"/>
      <c r="BB98" s="132"/>
      <c r="BC98" s="132"/>
      <c r="BD98" s="256"/>
      <c r="BE98" s="132"/>
    </row>
    <row r="99" spans="1:57" ht="12" hidden="1" customHeight="1" outlineLevel="1">
      <c r="A99" s="2506">
        <f>+A92+1</f>
        <v>2000</v>
      </c>
      <c r="B99" s="2506"/>
      <c r="C99" s="132"/>
      <c r="D99" s="1033"/>
      <c r="E99" s="1325"/>
      <c r="F99" s="230"/>
      <c r="G99" s="1033"/>
      <c r="H99" s="230"/>
      <c r="I99" s="1330"/>
      <c r="J99" s="132"/>
      <c r="K99" s="1386"/>
      <c r="L99" s="1387"/>
      <c r="M99" s="1386"/>
      <c r="N99" s="1387"/>
      <c r="O99" s="1386"/>
      <c r="P99" s="200"/>
      <c r="Q99" s="230"/>
      <c r="R99" s="230"/>
      <c r="S99" s="230"/>
      <c r="T99" s="643"/>
      <c r="U99" s="1386"/>
      <c r="V99" s="1387"/>
      <c r="W99" s="230"/>
      <c r="X99" s="230"/>
      <c r="Y99" s="230"/>
      <c r="Z99" s="643"/>
      <c r="AA99" s="1386"/>
      <c r="AB99" s="174"/>
      <c r="AC99" s="230"/>
      <c r="AD99" s="1386"/>
      <c r="AE99" s="174"/>
      <c r="AF99" s="230"/>
      <c r="AG99" s="1386"/>
      <c r="AH99" s="174"/>
      <c r="AI99" s="230"/>
      <c r="AJ99" s="1386"/>
      <c r="AK99" s="174"/>
      <c r="AL99" s="1386"/>
      <c r="AM99" s="1326"/>
      <c r="AN99" s="230"/>
      <c r="AO99" s="1386"/>
      <c r="AP99" s="233"/>
      <c r="AQ99" s="1339"/>
      <c r="AR99" s="643"/>
      <c r="AS99" s="1033"/>
      <c r="AT99" s="132"/>
      <c r="AU99" s="132"/>
      <c r="AV99" s="132"/>
      <c r="AW99" s="132"/>
      <c r="AX99" s="1347"/>
      <c r="AY99" s="1348"/>
      <c r="AZ99" s="132"/>
      <c r="BA99" s="132"/>
      <c r="BB99" s="132"/>
      <c r="BC99" s="132"/>
      <c r="BD99" s="256"/>
      <c r="BE99" s="132"/>
    </row>
    <row r="100" spans="1:57" ht="12" hidden="1" customHeight="1" outlineLevel="1">
      <c r="A100" s="132" t="str">
        <f>$A$30</f>
        <v>1Q</v>
      </c>
      <c r="B100" s="132" t="str">
        <f>$B$30</f>
        <v>Apr</v>
      </c>
      <c r="C100" s="132"/>
      <c r="D100" s="1328">
        <f>+D96+E100</f>
        <v>38</v>
      </c>
      <c r="E100" s="1383">
        <v>0</v>
      </c>
      <c r="F100" s="1330">
        <f>+(D100/D93-1)*100</f>
        <v>11.764705882352944</v>
      </c>
      <c r="G100" s="1331">
        <f>G97+($G104-$G$111)/$E104*E100</f>
        <v>0.33444999999999997</v>
      </c>
      <c r="H100" s="665"/>
      <c r="I100" s="1330">
        <f>+(G100/G93-1)*100</f>
        <v>7.0411265802528211</v>
      </c>
      <c r="J100" s="672"/>
      <c r="K100" s="1328">
        <f>+K96+L100</f>
        <v>3</v>
      </c>
      <c r="L100" s="1333">
        <v>0</v>
      </c>
      <c r="M100" s="1328">
        <f>+M96+N100</f>
        <v>8</v>
      </c>
      <c r="N100" s="1333">
        <v>0</v>
      </c>
      <c r="O100" s="1340">
        <f>+K100+M100</f>
        <v>11</v>
      </c>
      <c r="P100" s="1334">
        <f>+N100+L100</f>
        <v>0</v>
      </c>
      <c r="Q100" s="1330">
        <f>+(K100/K93-1)*100</f>
        <v>50</v>
      </c>
      <c r="R100" s="1330"/>
      <c r="S100" s="1330"/>
      <c r="T100" s="664"/>
      <c r="U100" s="1328"/>
      <c r="V100" s="1333"/>
      <c r="W100" s="1330"/>
      <c r="X100" s="1330"/>
      <c r="Y100" s="1330"/>
      <c r="Z100" s="664"/>
      <c r="AA100" s="1340">
        <f>+AA96+AB100</f>
        <v>45</v>
      </c>
      <c r="AB100" s="1390">
        <v>1</v>
      </c>
      <c r="AC100" s="1330">
        <f>+(AA100/AA93-1)*100</f>
        <v>0</v>
      </c>
      <c r="AD100" s="1340">
        <f>+AD96+AE100</f>
        <v>18</v>
      </c>
      <c r="AE100" s="1390">
        <v>1</v>
      </c>
      <c r="AF100" s="1330">
        <f>+(AD100/AD93-1)*100</f>
        <v>5.8823529411764719</v>
      </c>
      <c r="AG100" s="1340"/>
      <c r="AH100" s="1390">
        <f>AH97+(AH104-AH97)/AY104*AY100</f>
        <v>0.188</v>
      </c>
      <c r="AI100" s="1330"/>
      <c r="AJ100" s="1340"/>
      <c r="AK100" s="1390"/>
      <c r="AL100" s="1344"/>
      <c r="AM100" s="1347"/>
      <c r="AN100" s="1330"/>
      <c r="AO100" s="1388"/>
      <c r="AP100" s="661"/>
      <c r="AQ100" s="1330"/>
      <c r="AR100" s="664"/>
      <c r="AS100" s="1340">
        <f>+D100+O100+AA100+AD100+AL100</f>
        <v>112</v>
      </c>
      <c r="AT100" s="1341">
        <f>+AS100-AS96</f>
        <v>2</v>
      </c>
      <c r="AU100" s="1330">
        <f>+(AS100/AS93-1)*100</f>
        <v>6.6666666666666652</v>
      </c>
      <c r="AV100" s="1330"/>
      <c r="AW100" s="1330"/>
      <c r="AX100" s="1347">
        <f>AS100-D100-AL100</f>
        <v>74</v>
      </c>
      <c r="AY100" s="1348">
        <f>AX100-AX97</f>
        <v>2</v>
      </c>
      <c r="AZ100" s="132"/>
      <c r="BA100" s="132"/>
      <c r="BB100" s="132"/>
      <c r="BC100" s="215">
        <f>D100/AS100</f>
        <v>0.3392857142857143</v>
      </c>
      <c r="BD100" s="1492">
        <f>(O100+AA100+AD100)/AS100</f>
        <v>0.6607142857142857</v>
      </c>
      <c r="BE100" s="1343">
        <f>AL100/AS100</f>
        <v>0</v>
      </c>
    </row>
    <row r="101" spans="1:57" ht="12" hidden="1" customHeight="1" outlineLevel="1">
      <c r="A101" s="132" t="str">
        <f>$A$31</f>
        <v>2Q</v>
      </c>
      <c r="B101" s="132" t="str">
        <f>$B$31</f>
        <v>Jul</v>
      </c>
      <c r="C101" s="132"/>
      <c r="D101" s="1328">
        <f>+E101+D100</f>
        <v>39</v>
      </c>
      <c r="E101" s="1383">
        <v>1</v>
      </c>
      <c r="F101" s="1330">
        <f>+(D101/D94-1)*100</f>
        <v>8.333333333333325</v>
      </c>
      <c r="G101" s="1331">
        <f>G100+($G104-$G97)/$E104*E101</f>
        <v>0.3417</v>
      </c>
      <c r="H101" s="665"/>
      <c r="I101" s="1330">
        <f>+(G101/G94-1)*100</f>
        <v>5.6422940176225067</v>
      </c>
      <c r="J101" s="672"/>
      <c r="K101" s="1328">
        <f>+L101+K100</f>
        <v>3</v>
      </c>
      <c r="L101" s="1345">
        <v>0</v>
      </c>
      <c r="M101" s="1328">
        <f>+N101+M100</f>
        <v>8</v>
      </c>
      <c r="N101" s="1345">
        <v>0</v>
      </c>
      <c r="O101" s="1328">
        <f>+K101+M101</f>
        <v>11</v>
      </c>
      <c r="P101" s="1334">
        <f>+N101+L101</f>
        <v>0</v>
      </c>
      <c r="Q101" s="1330">
        <f>+(K101/K94-1)*100</f>
        <v>50</v>
      </c>
      <c r="R101" s="1330"/>
      <c r="S101" s="1330"/>
      <c r="T101" s="664"/>
      <c r="U101" s="1328"/>
      <c r="V101" s="1345"/>
      <c r="W101" s="1330"/>
      <c r="X101" s="1330"/>
      <c r="Y101" s="1330"/>
      <c r="Z101" s="664"/>
      <c r="AA101" s="1328">
        <f>+AA100+AB101</f>
        <v>45</v>
      </c>
      <c r="AB101" s="1390">
        <v>0</v>
      </c>
      <c r="AC101" s="1330">
        <f>+(AA101/AA94-1)*100</f>
        <v>0</v>
      </c>
      <c r="AD101" s="1328">
        <f>+AD100+AE101</f>
        <v>18</v>
      </c>
      <c r="AE101" s="1390">
        <v>0</v>
      </c>
      <c r="AF101" s="1330">
        <f>+(AD101/AD94-1)*100</f>
        <v>5.8823529411764719</v>
      </c>
      <c r="AG101" s="1328"/>
      <c r="AH101" s="1390">
        <f>AH100+(AH104-AH97)/AY104*AY101</f>
        <v>0.188</v>
      </c>
      <c r="AI101" s="1330"/>
      <c r="AJ101" s="1328">
        <f>+(AH101/AH94-1)*100</f>
        <v>10.263929618768341</v>
      </c>
      <c r="AK101" s="1390"/>
      <c r="AL101" s="1344"/>
      <c r="AM101" s="1347"/>
      <c r="AN101" s="1330"/>
      <c r="AO101" s="1388"/>
      <c r="AP101" s="661"/>
      <c r="AQ101" s="1330"/>
      <c r="AR101" s="664"/>
      <c r="AS101" s="1340">
        <f>+D101+O101+AA101+AD101+AL101</f>
        <v>113</v>
      </c>
      <c r="AT101" s="1341">
        <f>+AS101-AS100</f>
        <v>1</v>
      </c>
      <c r="AU101" s="1330">
        <f>+(AS101/AS94-1)*100</f>
        <v>5.6074766355140193</v>
      </c>
      <c r="AV101" s="1330"/>
      <c r="AW101" s="1330"/>
      <c r="AX101" s="1347">
        <f>AS101-D101-AL101</f>
        <v>74</v>
      </c>
      <c r="AY101" s="1348">
        <f>AX101-AX100</f>
        <v>0</v>
      </c>
      <c r="AZ101" s="132"/>
      <c r="BA101" s="132"/>
      <c r="BB101" s="132"/>
      <c r="BC101" s="215">
        <f>D101/AS101</f>
        <v>0.34513274336283184</v>
      </c>
      <c r="BD101" s="1492">
        <f>(O101+AA101+AD101)/AS101</f>
        <v>0.65486725663716816</v>
      </c>
      <c r="BE101" s="1343">
        <f>AL101/AS101</f>
        <v>0</v>
      </c>
    </row>
    <row r="102" spans="1:57" ht="12" hidden="1" customHeight="1" outlineLevel="1">
      <c r="A102" s="132" t="str">
        <f>$A$32</f>
        <v>3Q</v>
      </c>
      <c r="B102" s="132" t="str">
        <f>$B$32</f>
        <v>Oct</v>
      </c>
      <c r="C102" s="132"/>
      <c r="D102" s="1328">
        <f>+E102+D101</f>
        <v>40</v>
      </c>
      <c r="E102" s="1383">
        <v>1</v>
      </c>
      <c r="F102" s="1330">
        <f>+(D102/D95-1)*100</f>
        <v>8.1081081081081141</v>
      </c>
      <c r="G102" s="1331">
        <f>G101+($G104-$G97)/$E104*E102</f>
        <v>0.34894999999999998</v>
      </c>
      <c r="H102" s="665"/>
      <c r="I102" s="1330">
        <f>+(G102/G95-1)*100</f>
        <v>6.079951360389102</v>
      </c>
      <c r="J102" s="672"/>
      <c r="K102" s="1328">
        <f>+K101+L102</f>
        <v>4</v>
      </c>
      <c r="L102" s="1345">
        <v>1</v>
      </c>
      <c r="M102" s="1328">
        <f>+M101+N102</f>
        <v>8</v>
      </c>
      <c r="N102" s="1345">
        <v>0</v>
      </c>
      <c r="O102" s="1328">
        <f>+K102+M102</f>
        <v>12</v>
      </c>
      <c r="P102" s="1334">
        <f>+N102+L102</f>
        <v>1</v>
      </c>
      <c r="Q102" s="1330">
        <f>+(K102/K95-1)*100</f>
        <v>33.333333333333329</v>
      </c>
      <c r="R102" s="1330"/>
      <c r="S102" s="1330"/>
      <c r="T102" s="664"/>
      <c r="U102" s="1328"/>
      <c r="V102" s="1345"/>
      <c r="W102" s="1330"/>
      <c r="X102" s="1330"/>
      <c r="Y102" s="1330"/>
      <c r="Z102" s="664"/>
      <c r="AA102" s="1328">
        <f>+AA101+AB102</f>
        <v>46</v>
      </c>
      <c r="AB102" s="1390">
        <v>1</v>
      </c>
      <c r="AC102" s="1330">
        <f>+(AA102/AA95-1)*100</f>
        <v>0</v>
      </c>
      <c r="AD102" s="1328">
        <f>+AD101+AE102</f>
        <v>20</v>
      </c>
      <c r="AE102" s="1390">
        <v>2</v>
      </c>
      <c r="AF102" s="1330">
        <f>+(AD102/AD95-1)*100</f>
        <v>17.647058823529417</v>
      </c>
      <c r="AG102" s="1328"/>
      <c r="AH102" s="1390">
        <f>AH101+(AH104-AH97)/AY104*AY102</f>
        <v>0.2</v>
      </c>
      <c r="AI102" s="1330"/>
      <c r="AJ102" s="1328"/>
      <c r="AK102" s="1390"/>
      <c r="AL102" s="1344"/>
      <c r="AM102" s="1347"/>
      <c r="AN102" s="1330"/>
      <c r="AO102" s="1388"/>
      <c r="AP102" s="661"/>
      <c r="AQ102" s="1330"/>
      <c r="AR102" s="664"/>
      <c r="AS102" s="1340">
        <f>+D102+O102+AA102+AD102+AL102</f>
        <v>118</v>
      </c>
      <c r="AT102" s="1341">
        <f>+AS102-AS101</f>
        <v>5</v>
      </c>
      <c r="AU102" s="1330">
        <f>+(AS102/AS95-1)*100</f>
        <v>6.3063063063063085</v>
      </c>
      <c r="AV102" s="1330"/>
      <c r="AW102" s="1330"/>
      <c r="AX102" s="1347">
        <f>AS102-D102-AL102</f>
        <v>78</v>
      </c>
      <c r="AY102" s="1348">
        <f>AX102-AX101</f>
        <v>4</v>
      </c>
      <c r="AZ102" s="132"/>
      <c r="BA102" s="132"/>
      <c r="BB102" s="132"/>
      <c r="BC102" s="215">
        <f>D102/AS102</f>
        <v>0.33898305084745761</v>
      </c>
      <c r="BD102" s="1492">
        <f>(O102+AA102+AD102)/AS102</f>
        <v>0.66101694915254239</v>
      </c>
      <c r="BE102" s="1343">
        <f>AL102/AS102</f>
        <v>0</v>
      </c>
    </row>
    <row r="103" spans="1:57" ht="12" hidden="1" customHeight="1" outlineLevel="1">
      <c r="A103" s="132" t="str">
        <f>$A$33</f>
        <v>4Q</v>
      </c>
      <c r="B103" s="132" t="str">
        <f>$B$33</f>
        <v>Jan</v>
      </c>
      <c r="C103" s="132"/>
      <c r="D103" s="1349">
        <v>42</v>
      </c>
      <c r="E103" s="1383">
        <v>2</v>
      </c>
      <c r="F103" s="1330">
        <f>+(D103/D96-1)*100</f>
        <v>10.526315789473696</v>
      </c>
      <c r="G103" s="1380">
        <f>0.331+0.03245</f>
        <v>0.36345</v>
      </c>
      <c r="H103" s="665"/>
      <c r="I103" s="1330">
        <f>+(G103/G96-1)*100</f>
        <v>8.6709523097623133</v>
      </c>
      <c r="J103" s="672"/>
      <c r="K103" s="1349">
        <v>4</v>
      </c>
      <c r="L103" s="1335">
        <f>+K103-K102</f>
        <v>0</v>
      </c>
      <c r="M103" s="1349">
        <v>8</v>
      </c>
      <c r="N103" s="1335">
        <f>+M103-M102</f>
        <v>0</v>
      </c>
      <c r="O103" s="1351">
        <f>+K103+M103</f>
        <v>12</v>
      </c>
      <c r="P103" s="1334">
        <f>+N103+L103</f>
        <v>0</v>
      </c>
      <c r="Q103" s="1330">
        <f>+(K103/K96-1)*100</f>
        <v>33.333333333333329</v>
      </c>
      <c r="R103" s="1330"/>
      <c r="S103" s="1330"/>
      <c r="T103" s="664"/>
      <c r="U103" s="1349"/>
      <c r="V103" s="1335"/>
      <c r="W103" s="1330"/>
      <c r="X103" s="1330"/>
      <c r="Y103" s="1330"/>
      <c r="Z103" s="664"/>
      <c r="AA103" s="1349">
        <v>44</v>
      </c>
      <c r="AB103" s="1335">
        <f>+AA103-AA102</f>
        <v>-2</v>
      </c>
      <c r="AC103" s="1330">
        <f>+(AA103/AA96-1)*100</f>
        <v>0</v>
      </c>
      <c r="AD103" s="1349">
        <v>21</v>
      </c>
      <c r="AE103" s="1335">
        <f>+AD103-AD102</f>
        <v>1</v>
      </c>
      <c r="AF103" s="1330">
        <f>+(AD103/AD96-1)*100</f>
        <v>23.529411764705888</v>
      </c>
      <c r="AG103" s="1349"/>
      <c r="AH103" s="1335">
        <v>0.19700000000000001</v>
      </c>
      <c r="AI103" s="1330"/>
      <c r="AJ103" s="1349"/>
      <c r="AK103" s="1335"/>
      <c r="AL103" s="1344"/>
      <c r="AM103" s="1347"/>
      <c r="AN103" s="1330"/>
      <c r="AO103" s="1388"/>
      <c r="AP103" s="661"/>
      <c r="AQ103" s="1330"/>
      <c r="AR103" s="664"/>
      <c r="AS103" s="1355">
        <f>+D103+O103+AA103+AD103+AL103</f>
        <v>119</v>
      </c>
      <c r="AT103" s="1341">
        <f>+AS103-AS102</f>
        <v>1</v>
      </c>
      <c r="AU103" s="1330">
        <f>+(AS103/AS96-1)*100</f>
        <v>8.1818181818181799</v>
      </c>
      <c r="AV103" s="1330"/>
      <c r="AW103" s="1330"/>
      <c r="AX103" s="1347">
        <f>AS103-D103-AL103</f>
        <v>77</v>
      </c>
      <c r="AY103" s="1348">
        <f>AX103-AX102</f>
        <v>-1</v>
      </c>
      <c r="AZ103" s="132"/>
      <c r="BA103" s="132"/>
      <c r="BB103" s="132"/>
      <c r="BC103" s="215">
        <f>D103/AS103</f>
        <v>0.35294117647058826</v>
      </c>
      <c r="BD103" s="1492">
        <f>(O103+AA103+AD103)/AS103</f>
        <v>0.6470588235294118</v>
      </c>
      <c r="BE103" s="1356">
        <f>AL103/AS103</f>
        <v>0</v>
      </c>
    </row>
    <row r="104" spans="1:57" ht="12" hidden="1" customHeight="1" outlineLevel="1">
      <c r="A104" s="132"/>
      <c r="B104" s="132" t="str">
        <f>$B$34</f>
        <v>Year</v>
      </c>
      <c r="C104" s="132"/>
      <c r="D104" s="1340">
        <f>+D103</f>
        <v>42</v>
      </c>
      <c r="E104" s="1357">
        <f>+D104-D97</f>
        <v>4</v>
      </c>
      <c r="F104" s="1330">
        <f>+(D104/D97-1)*100</f>
        <v>10.526315789473696</v>
      </c>
      <c r="G104" s="1331">
        <f>+G103</f>
        <v>0.36345</v>
      </c>
      <c r="H104" s="665">
        <f>+G104/D104*1000</f>
        <v>8.6535714285714285</v>
      </c>
      <c r="I104" s="1330">
        <f>+(G104/G97-1)*100</f>
        <v>8.6709523097623133</v>
      </c>
      <c r="J104" s="672"/>
      <c r="K104" s="1340">
        <f>+K103</f>
        <v>4</v>
      </c>
      <c r="L104" s="1372">
        <f>+K104-K97</f>
        <v>1</v>
      </c>
      <c r="M104" s="1340">
        <f>+M103</f>
        <v>8</v>
      </c>
      <c r="N104" s="1391"/>
      <c r="O104" s="1328">
        <f>+K104+M104</f>
        <v>12</v>
      </c>
      <c r="P104" s="683">
        <f>+N104+L104</f>
        <v>1</v>
      </c>
      <c r="Q104" s="1330">
        <f>+(K104/K97-1)*100</f>
        <v>33.333333333333329</v>
      </c>
      <c r="R104" s="1330"/>
      <c r="S104" s="1330"/>
      <c r="T104" s="664"/>
      <c r="U104" s="1340"/>
      <c r="V104" s="1372"/>
      <c r="W104" s="1330"/>
      <c r="X104" s="1330"/>
      <c r="Y104" s="1330"/>
      <c r="Z104" s="664"/>
      <c r="AA104" s="1340">
        <f>+AA103</f>
        <v>44</v>
      </c>
      <c r="AB104" s="1372">
        <f>+AA104-AA97</f>
        <v>0</v>
      </c>
      <c r="AC104" s="1330">
        <f>+(AA104/AA97-1)*100</f>
        <v>0</v>
      </c>
      <c r="AD104" s="1340">
        <f>+AD103</f>
        <v>21</v>
      </c>
      <c r="AE104" s="1372">
        <f>+AD104-AD97</f>
        <v>4</v>
      </c>
      <c r="AF104" s="1330">
        <f>+(AD104/AD97-1)*100</f>
        <v>23.529411764705888</v>
      </c>
      <c r="AG104" s="1340"/>
      <c r="AH104" s="1372">
        <f>+AH103</f>
        <v>0.19700000000000001</v>
      </c>
      <c r="AI104" s="1330">
        <f>+AH104/AX104*1000</f>
        <v>2.5584415584415585</v>
      </c>
      <c r="AJ104" s="1340">
        <f>+(AH104/AH97-1)*100</f>
        <v>8.2417582417582569</v>
      </c>
      <c r="AK104" s="1372"/>
      <c r="AL104" s="1377"/>
      <c r="AM104" s="1360"/>
      <c r="AN104" s="1330"/>
      <c r="AO104" s="1389"/>
      <c r="AP104" s="661"/>
      <c r="AQ104" s="1330"/>
      <c r="AR104" s="664"/>
      <c r="AS104" s="1340">
        <f>+D104+O104+AA104+AD104+AL104</f>
        <v>119</v>
      </c>
      <c r="AT104" s="683">
        <f>+AS104-AS97</f>
        <v>9</v>
      </c>
      <c r="AU104" s="1330">
        <f>+(AS104/AS97-1)*100</f>
        <v>8.1818181818181799</v>
      </c>
      <c r="AV104" s="1330"/>
      <c r="AW104" s="1330"/>
      <c r="AX104" s="1347">
        <f>AS104-D104-AL104</f>
        <v>77</v>
      </c>
      <c r="AY104" s="1348">
        <f>AX104-AX97</f>
        <v>5</v>
      </c>
      <c r="AZ104" s="132"/>
      <c r="BA104" s="132"/>
      <c r="BB104" s="132"/>
      <c r="BC104" s="1363">
        <f>D104/AS104</f>
        <v>0.35294117647058826</v>
      </c>
      <c r="BD104" s="1810">
        <f>(O104+AA104+AD104)/AS104</f>
        <v>0.6470588235294118</v>
      </c>
      <c r="BE104" s="1363">
        <f>AL104/AS104</f>
        <v>0</v>
      </c>
    </row>
    <row r="105" spans="1:57" ht="12" hidden="1" customHeight="1" outlineLevel="1">
      <c r="A105" s="2506"/>
      <c r="B105" s="2506"/>
      <c r="C105" s="132"/>
      <c r="D105" s="1033"/>
      <c r="E105" s="1325"/>
      <c r="F105" s="230"/>
      <c r="G105" s="1033"/>
      <c r="H105" s="230"/>
      <c r="I105" s="1330"/>
      <c r="J105" s="132"/>
      <c r="K105" s="1386"/>
      <c r="L105" s="1387"/>
      <c r="M105" s="1386"/>
      <c r="N105" s="1387"/>
      <c r="O105" s="1386"/>
      <c r="P105" s="200"/>
      <c r="Q105" s="230"/>
      <c r="R105" s="230"/>
      <c r="S105" s="230"/>
      <c r="T105" s="643"/>
      <c r="U105" s="1386"/>
      <c r="V105" s="1387"/>
      <c r="W105" s="230"/>
      <c r="X105" s="230"/>
      <c r="Y105" s="230"/>
      <c r="Z105" s="643"/>
      <c r="AA105" s="1386"/>
      <c r="AB105" s="174"/>
      <c r="AC105" s="230"/>
      <c r="AD105" s="1386"/>
      <c r="AE105" s="174"/>
      <c r="AF105" s="230"/>
      <c r="AG105" s="1386"/>
      <c r="AH105" s="174"/>
      <c r="AI105" s="230"/>
      <c r="AJ105" s="1386"/>
      <c r="AK105" s="174"/>
      <c r="AL105" s="1386"/>
      <c r="AM105" s="1326"/>
      <c r="AN105" s="230"/>
      <c r="AO105" s="1386"/>
      <c r="AP105" s="233"/>
      <c r="AQ105" s="1339"/>
      <c r="AR105" s="643"/>
      <c r="AS105" s="1033"/>
      <c r="AT105" s="132"/>
      <c r="AU105" s="132"/>
      <c r="AV105" s="132"/>
      <c r="AW105" s="132"/>
      <c r="AX105" s="1347"/>
      <c r="AY105" s="1348"/>
      <c r="AZ105" s="132"/>
      <c r="BA105" s="132"/>
      <c r="BB105" s="132"/>
      <c r="BC105" s="132"/>
      <c r="BD105" s="256"/>
      <c r="BE105" s="132"/>
    </row>
    <row r="106" spans="1:57" ht="12" hidden="1" customHeight="1" outlineLevel="1">
      <c r="A106" s="2506">
        <f>+A99+1</f>
        <v>2001</v>
      </c>
      <c r="B106" s="2506"/>
      <c r="C106" s="132"/>
      <c r="D106" s="1033"/>
      <c r="E106" s="1325"/>
      <c r="F106" s="230"/>
      <c r="G106" s="1033"/>
      <c r="H106" s="230"/>
      <c r="I106" s="1330"/>
      <c r="J106" s="132"/>
      <c r="K106" s="1386"/>
      <c r="L106" s="1387"/>
      <c r="M106" s="1386"/>
      <c r="N106" s="1387"/>
      <c r="O106" s="1386"/>
      <c r="P106" s="200"/>
      <c r="Q106" s="230"/>
      <c r="R106" s="230"/>
      <c r="S106" s="230"/>
      <c r="T106" s="643"/>
      <c r="U106" s="1386"/>
      <c r="V106" s="1387"/>
      <c r="W106" s="230"/>
      <c r="X106" s="230"/>
      <c r="Y106" s="230"/>
      <c r="Z106" s="643"/>
      <c r="AA106" s="1386"/>
      <c r="AB106" s="174"/>
      <c r="AC106" s="230"/>
      <c r="AD106" s="1386"/>
      <c r="AE106" s="174"/>
      <c r="AF106" s="230"/>
      <c r="AG106" s="1386"/>
      <c r="AH106" s="174"/>
      <c r="AI106" s="230"/>
      <c r="AJ106" s="1386"/>
      <c r="AK106" s="174"/>
      <c r="AL106" s="1386"/>
      <c r="AM106" s="1326"/>
      <c r="AN106" s="230"/>
      <c r="AO106" s="1386"/>
      <c r="AP106" s="233"/>
      <c r="AQ106" s="1339"/>
      <c r="AR106" s="643"/>
      <c r="AS106" s="1033"/>
      <c r="AT106" s="132"/>
      <c r="AU106" s="132"/>
      <c r="AV106" s="132"/>
      <c r="AW106" s="132"/>
      <c r="AX106" s="1347"/>
      <c r="AY106" s="1348"/>
      <c r="AZ106" s="132"/>
      <c r="BA106" s="132"/>
      <c r="BB106" s="132"/>
      <c r="BC106" s="132"/>
      <c r="BD106" s="256"/>
      <c r="BE106" s="132"/>
    </row>
    <row r="107" spans="1:57" ht="12" hidden="1" customHeight="1" outlineLevel="1">
      <c r="A107" s="132" t="str">
        <f>$A$30</f>
        <v>1Q</v>
      </c>
      <c r="B107" s="132" t="str">
        <f>$B$30</f>
        <v>Apr</v>
      </c>
      <c r="C107" s="132"/>
      <c r="D107" s="1328">
        <f>+D103+E107</f>
        <v>42</v>
      </c>
      <c r="E107" s="1383">
        <v>0</v>
      </c>
      <c r="F107" s="1330">
        <f>+(D107/D100-1)*100</f>
        <v>10.526315789473696</v>
      </c>
      <c r="G107" s="1331">
        <f>G104+($G111-$G$111)/$E111*E107</f>
        <v>0.36345</v>
      </c>
      <c r="H107" s="665"/>
      <c r="I107" s="1330">
        <f>+(G107/G100-1)*100</f>
        <v>8.6709523097623133</v>
      </c>
      <c r="J107" s="672"/>
      <c r="K107" s="1328">
        <f>+K103+L107</f>
        <v>5</v>
      </c>
      <c r="L107" s="1333">
        <v>1</v>
      </c>
      <c r="M107" s="1328">
        <f>+M103+N107</f>
        <v>8</v>
      </c>
      <c r="N107" s="1390">
        <v>0</v>
      </c>
      <c r="O107" s="1340">
        <f>+K107+M107</f>
        <v>13</v>
      </c>
      <c r="P107" s="1334">
        <f>+N107+L107</f>
        <v>1</v>
      </c>
      <c r="Q107" s="1330">
        <f>+(K107/K100-1)*100</f>
        <v>66.666666666666671</v>
      </c>
      <c r="R107" s="1330"/>
      <c r="S107" s="1330"/>
      <c r="T107" s="664"/>
      <c r="U107" s="1328"/>
      <c r="V107" s="1333"/>
      <c r="W107" s="1330"/>
      <c r="X107" s="1330"/>
      <c r="Y107" s="1330"/>
      <c r="Z107" s="664"/>
      <c r="AA107" s="1340">
        <f>+AA103+AB107</f>
        <v>47</v>
      </c>
      <c r="AB107" s="1390">
        <v>3</v>
      </c>
      <c r="AC107" s="1330">
        <f>+(AA107/AA100-1)*100</f>
        <v>4.4444444444444509</v>
      </c>
      <c r="AD107" s="1340">
        <f>+AD103+AE107</f>
        <v>21</v>
      </c>
      <c r="AE107" s="1390">
        <v>0</v>
      </c>
      <c r="AF107" s="1330">
        <f>+(AD107/AD100-1)*100</f>
        <v>16.666666666666675</v>
      </c>
      <c r="AG107" s="1340"/>
      <c r="AH107" s="1390">
        <f>AH104+(AH111-AH104)/AY111*AY107</f>
        <v>0.21860000000000002</v>
      </c>
      <c r="AI107" s="1330"/>
      <c r="AJ107" s="1340"/>
      <c r="AK107" s="1390"/>
      <c r="AL107" s="1344"/>
      <c r="AM107" s="1347"/>
      <c r="AN107" s="1330"/>
      <c r="AO107" s="1388"/>
      <c r="AP107" s="661"/>
      <c r="AQ107" s="1330"/>
      <c r="AR107" s="664"/>
      <c r="AS107" s="1340">
        <f>+D107+O107+AA107+AD107+AL107</f>
        <v>123</v>
      </c>
      <c r="AT107" s="1341">
        <f>+AS107-AS103</f>
        <v>4</v>
      </c>
      <c r="AU107" s="1330">
        <f>+(AS107/AS100-1)*100</f>
        <v>9.8214285714285801</v>
      </c>
      <c r="AV107" s="1330"/>
      <c r="AW107" s="1330"/>
      <c r="AX107" s="1347">
        <f>AS107-D107-AL107</f>
        <v>81</v>
      </c>
      <c r="AY107" s="1348">
        <f>AX107-AX104</f>
        <v>4</v>
      </c>
      <c r="AZ107" s="132"/>
      <c r="BA107" s="132"/>
      <c r="BB107" s="132"/>
      <c r="BC107" s="215">
        <f>D107/AS107</f>
        <v>0.34146341463414637</v>
      </c>
      <c r="BD107" s="1492">
        <f>(O107+AA107+AD107)/AS107</f>
        <v>0.65853658536585369</v>
      </c>
      <c r="BE107" s="1343">
        <f>AL107/AS107</f>
        <v>0</v>
      </c>
    </row>
    <row r="108" spans="1:57" ht="12" hidden="1" customHeight="1" outlineLevel="1">
      <c r="A108" s="132" t="str">
        <f>$A$31</f>
        <v>2Q</v>
      </c>
      <c r="B108" s="132" t="str">
        <f>$B$31</f>
        <v>Jul</v>
      </c>
      <c r="C108" s="132"/>
      <c r="D108" s="1328">
        <f>+E108+D107</f>
        <v>43</v>
      </c>
      <c r="E108" s="1383">
        <v>1</v>
      </c>
      <c r="F108" s="1330">
        <f>+(D108/D101-1)*100</f>
        <v>10.256410256410264</v>
      </c>
      <c r="G108" s="1331">
        <f>G107+($G111-$G104)/$E111*E108</f>
        <v>0.37422499999999997</v>
      </c>
      <c r="H108" s="665"/>
      <c r="I108" s="1330">
        <f>+(G108/G101-1)*100</f>
        <v>9.5185835528241114</v>
      </c>
      <c r="J108" s="672"/>
      <c r="K108" s="1328">
        <f>+L108+K107</f>
        <v>5</v>
      </c>
      <c r="L108" s="1345">
        <v>0</v>
      </c>
      <c r="M108" s="1328">
        <f>+N108+M107</f>
        <v>8</v>
      </c>
      <c r="N108" s="1390">
        <v>0</v>
      </c>
      <c r="O108" s="1328">
        <f>+K108+M108</f>
        <v>13</v>
      </c>
      <c r="P108" s="1334">
        <f>+N108+L108</f>
        <v>0</v>
      </c>
      <c r="Q108" s="1330">
        <f>+(K108/K101-1)*100</f>
        <v>66.666666666666671</v>
      </c>
      <c r="R108" s="1330"/>
      <c r="S108" s="1330"/>
      <c r="T108" s="664"/>
      <c r="U108" s="1328"/>
      <c r="V108" s="1345"/>
      <c r="W108" s="1330"/>
      <c r="X108" s="1330"/>
      <c r="Y108" s="1330"/>
      <c r="Z108" s="664"/>
      <c r="AA108" s="1328">
        <f>+AA107+AB108</f>
        <v>47</v>
      </c>
      <c r="AB108" s="1390">
        <v>0</v>
      </c>
      <c r="AC108" s="1330">
        <f>+(AA108/AA101-1)*100</f>
        <v>4.4444444444444509</v>
      </c>
      <c r="AD108" s="1328">
        <f>+AD107+AE108</f>
        <v>20</v>
      </c>
      <c r="AE108" s="1390">
        <v>-1</v>
      </c>
      <c r="AF108" s="1330">
        <f>+(AD108/AD101-1)*100</f>
        <v>11.111111111111116</v>
      </c>
      <c r="AG108" s="1328"/>
      <c r="AH108" s="1390">
        <f>AH107+(AH111-AH104)/AY111*AY108</f>
        <v>0.21320000000000003</v>
      </c>
      <c r="AI108" s="1330"/>
      <c r="AJ108" s="1328"/>
      <c r="AK108" s="1390"/>
      <c r="AL108" s="1344"/>
      <c r="AM108" s="1347"/>
      <c r="AN108" s="1330"/>
      <c r="AO108" s="1388"/>
      <c r="AP108" s="661"/>
      <c r="AQ108" s="1330"/>
      <c r="AR108" s="664"/>
      <c r="AS108" s="1340">
        <f>+D108+O108+AA108+AD108+AL108</f>
        <v>123</v>
      </c>
      <c r="AT108" s="1341">
        <f>+AS108-AS107</f>
        <v>0</v>
      </c>
      <c r="AU108" s="1330">
        <f>+(AS108/AS101-1)*100</f>
        <v>8.8495575221238845</v>
      </c>
      <c r="AV108" s="1330"/>
      <c r="AW108" s="1330"/>
      <c r="AX108" s="1347">
        <f>AS108-D108-AL108</f>
        <v>80</v>
      </c>
      <c r="AY108" s="1348">
        <f>AX108-AX107</f>
        <v>-1</v>
      </c>
      <c r="AZ108" s="132"/>
      <c r="BA108" s="132"/>
      <c r="BB108" s="132"/>
      <c r="BC108" s="215">
        <f>D108/AS108</f>
        <v>0.34959349593495936</v>
      </c>
      <c r="BD108" s="1492">
        <f>(O108+AA108+AD108)/AS108</f>
        <v>0.65040650406504064</v>
      </c>
      <c r="BE108" s="1343">
        <f>AL108/AS108</f>
        <v>0</v>
      </c>
    </row>
    <row r="109" spans="1:57" ht="12" hidden="1" customHeight="1" outlineLevel="1">
      <c r="A109" s="132" t="str">
        <f>$A$32</f>
        <v>3Q</v>
      </c>
      <c r="B109" s="132" t="str">
        <f>$B$32</f>
        <v>Oct</v>
      </c>
      <c r="C109" s="132"/>
      <c r="D109" s="1328">
        <f>+E109+D108</f>
        <v>44</v>
      </c>
      <c r="E109" s="1383">
        <v>1</v>
      </c>
      <c r="F109" s="1330">
        <f>+(D109/D102-1)*100</f>
        <v>10.000000000000009</v>
      </c>
      <c r="G109" s="1331">
        <f>G108+($G111-$G104)/$E111*E109</f>
        <v>0.38499999999999995</v>
      </c>
      <c r="H109" s="665"/>
      <c r="I109" s="1330">
        <f>+(G109/G102-1)*100</f>
        <v>10.330992978936804</v>
      </c>
      <c r="J109" s="672"/>
      <c r="K109" s="1328">
        <f>+K108+L109</f>
        <v>5</v>
      </c>
      <c r="L109" s="1345">
        <v>0</v>
      </c>
      <c r="M109" s="1328">
        <f>+M108+N109</f>
        <v>8</v>
      </c>
      <c r="N109" s="1390">
        <v>0</v>
      </c>
      <c r="O109" s="1328">
        <f>+K109+M109</f>
        <v>13</v>
      </c>
      <c r="P109" s="1334">
        <f>+N109+L109</f>
        <v>0</v>
      </c>
      <c r="Q109" s="1330">
        <f>+(K109/K102-1)*100</f>
        <v>25</v>
      </c>
      <c r="R109" s="1330"/>
      <c r="S109" s="1330"/>
      <c r="T109" s="664"/>
      <c r="U109" s="1328"/>
      <c r="V109" s="1345"/>
      <c r="W109" s="1330"/>
      <c r="X109" s="1330"/>
      <c r="Y109" s="1330"/>
      <c r="Z109" s="664"/>
      <c r="AA109" s="1328">
        <f>+AA108+AB109</f>
        <v>47</v>
      </c>
      <c r="AB109" s="1390">
        <v>0</v>
      </c>
      <c r="AC109" s="1330">
        <f>+(AA109/AA102-1)*100</f>
        <v>2.1739130434782705</v>
      </c>
      <c r="AD109" s="1328">
        <f>+AD108+AE109</f>
        <v>20</v>
      </c>
      <c r="AE109" s="1390">
        <v>0</v>
      </c>
      <c r="AF109" s="1330">
        <f>+(AD109/AD102-1)*100</f>
        <v>0</v>
      </c>
      <c r="AG109" s="1328"/>
      <c r="AH109" s="1390">
        <f>AH108+(AH111-AH104)/AY111*AY109</f>
        <v>0.21320000000000003</v>
      </c>
      <c r="AI109" s="1330"/>
      <c r="AJ109" s="1328"/>
      <c r="AK109" s="1390"/>
      <c r="AL109" s="1344"/>
      <c r="AM109" s="1347"/>
      <c r="AN109" s="1330"/>
      <c r="AO109" s="1388"/>
      <c r="AP109" s="661"/>
      <c r="AQ109" s="1330"/>
      <c r="AR109" s="664"/>
      <c r="AS109" s="1340">
        <f>+D109+O109+AA109+AD109+AL109</f>
        <v>124</v>
      </c>
      <c r="AT109" s="1341">
        <f>+AS109-AS108</f>
        <v>1</v>
      </c>
      <c r="AU109" s="1330">
        <f>+(AS109/AS102-1)*100</f>
        <v>5.0847457627118731</v>
      </c>
      <c r="AV109" s="1330"/>
      <c r="AW109" s="1330"/>
      <c r="AX109" s="1347">
        <f>AS109-D109-AL109</f>
        <v>80</v>
      </c>
      <c r="AY109" s="1348">
        <f>AX109-AX108</f>
        <v>0</v>
      </c>
      <c r="AZ109" s="132"/>
      <c r="BA109" s="132"/>
      <c r="BB109" s="132"/>
      <c r="BC109" s="215">
        <f>D109/AS109</f>
        <v>0.35483870967741937</v>
      </c>
      <c r="BD109" s="1492">
        <f>(O109+AA109+AD109)/AS109</f>
        <v>0.64516129032258063</v>
      </c>
      <c r="BE109" s="1343">
        <f>AL109/AS109</f>
        <v>0</v>
      </c>
    </row>
    <row r="110" spans="1:57" ht="12" hidden="1" customHeight="1" outlineLevel="1">
      <c r="A110" s="132" t="str">
        <f>$A$33</f>
        <v>4Q</v>
      </c>
      <c r="B110" s="132" t="str">
        <f>$B$33</f>
        <v>Jan</v>
      </c>
      <c r="C110" s="132"/>
      <c r="D110" s="1349">
        <v>44</v>
      </c>
      <c r="E110" s="1329">
        <f>+D110-D109</f>
        <v>0</v>
      </c>
      <c r="F110" s="1330">
        <f>+(D110/D103-1)*100</f>
        <v>4.7619047619047672</v>
      </c>
      <c r="G110" s="1380">
        <f>0.345+0.04</f>
        <v>0.38499999999999995</v>
      </c>
      <c r="H110" s="665"/>
      <c r="I110" s="1330">
        <f>+(G110/G103-1)*100</f>
        <v>5.9292887604897482</v>
      </c>
      <c r="J110" s="672"/>
      <c r="K110" s="1349">
        <v>5</v>
      </c>
      <c r="L110" s="1335">
        <f>+K110-K109</f>
        <v>0</v>
      </c>
      <c r="M110" s="1349">
        <v>10</v>
      </c>
      <c r="N110" s="1335">
        <f>+M110-M109</f>
        <v>2</v>
      </c>
      <c r="O110" s="1351">
        <f>+K110+M110</f>
        <v>15</v>
      </c>
      <c r="P110" s="1334">
        <f>+N110+L110</f>
        <v>2</v>
      </c>
      <c r="Q110" s="1330">
        <f>+(K110/K103-1)*100</f>
        <v>25</v>
      </c>
      <c r="R110" s="1330"/>
      <c r="S110" s="1330"/>
      <c r="T110" s="664"/>
      <c r="U110" s="1349"/>
      <c r="V110" s="1335"/>
      <c r="W110" s="1330"/>
      <c r="X110" s="1330"/>
      <c r="Y110" s="1330"/>
      <c r="Z110" s="664"/>
      <c r="AA110" s="1349">
        <v>47</v>
      </c>
      <c r="AB110" s="1335">
        <f>+AA110-AA109</f>
        <v>0</v>
      </c>
      <c r="AC110" s="1330">
        <f>+(AA110/AA103-1)*100</f>
        <v>6.8181818181818121</v>
      </c>
      <c r="AD110" s="1349">
        <v>20</v>
      </c>
      <c r="AE110" s="1335">
        <f>+AD110-AD109</f>
        <v>0</v>
      </c>
      <c r="AF110" s="1330">
        <f>+(AD110/AD103-1)*100</f>
        <v>-4.7619047619047672</v>
      </c>
      <c r="AG110" s="1349"/>
      <c r="AH110" s="1335">
        <v>0.224</v>
      </c>
      <c r="AI110" s="1330"/>
      <c r="AJ110" s="1349"/>
      <c r="AK110" s="1335"/>
      <c r="AL110" s="1344"/>
      <c r="AM110" s="1347"/>
      <c r="AN110" s="1330"/>
      <c r="AO110" s="1388"/>
      <c r="AP110" s="661"/>
      <c r="AQ110" s="1330"/>
      <c r="AR110" s="664"/>
      <c r="AS110" s="1355">
        <f>+D110+O110+AA110+AD110+AL110</f>
        <v>126</v>
      </c>
      <c r="AT110" s="1341">
        <f>+AS110-AS109</f>
        <v>2</v>
      </c>
      <c r="AU110" s="1330">
        <f>+(AS110/AS103-1)*100</f>
        <v>5.8823529411764719</v>
      </c>
      <c r="AV110" s="1330"/>
      <c r="AW110" s="1330"/>
      <c r="AX110" s="1347">
        <f>AS110-D110-AL110</f>
        <v>82</v>
      </c>
      <c r="AY110" s="1348">
        <f>AX110-AX109</f>
        <v>2</v>
      </c>
      <c r="AZ110" s="132"/>
      <c r="BA110" s="132"/>
      <c r="BB110" s="132"/>
      <c r="BC110" s="215">
        <f>D110/AS110</f>
        <v>0.34920634920634919</v>
      </c>
      <c r="BD110" s="1492">
        <f>(O110+AA110+AD110)/AS110</f>
        <v>0.65079365079365081</v>
      </c>
      <c r="BE110" s="1356">
        <f>AL110/AS110</f>
        <v>0</v>
      </c>
    </row>
    <row r="111" spans="1:57" ht="12" hidden="1" customHeight="1" outlineLevel="1">
      <c r="A111" s="132"/>
      <c r="B111" s="132" t="str">
        <f>$B$34</f>
        <v>Year</v>
      </c>
      <c r="C111" s="132"/>
      <c r="D111" s="1340">
        <f>+D110</f>
        <v>44</v>
      </c>
      <c r="E111" s="1357">
        <f>+D111-D104</f>
        <v>2</v>
      </c>
      <c r="F111" s="1330">
        <f>+(D111/D104-1)*100</f>
        <v>4.7619047619047672</v>
      </c>
      <c r="G111" s="1331">
        <f>+G110</f>
        <v>0.38499999999999995</v>
      </c>
      <c r="H111" s="665">
        <f>+G111/D111*1000</f>
        <v>8.7499999999999982</v>
      </c>
      <c r="I111" s="1330">
        <f>+(G111/G104-1)*100</f>
        <v>5.9292887604897482</v>
      </c>
      <c r="J111" s="672"/>
      <c r="K111" s="1340">
        <f>+K110</f>
        <v>5</v>
      </c>
      <c r="L111" s="1372">
        <f>+K111-K104</f>
        <v>1</v>
      </c>
      <c r="M111" s="1340">
        <f>+M110</f>
        <v>10</v>
      </c>
      <c r="N111" s="1372">
        <f>+M111-M104</f>
        <v>2</v>
      </c>
      <c r="O111" s="1328">
        <f>+K111+M111</f>
        <v>15</v>
      </c>
      <c r="P111" s="683">
        <f>+N111+L111</f>
        <v>3</v>
      </c>
      <c r="Q111" s="1330">
        <f>+(K111/K104-1)*100</f>
        <v>25</v>
      </c>
      <c r="R111" s="1330"/>
      <c r="S111" s="1330"/>
      <c r="T111" s="664"/>
      <c r="U111" s="1340"/>
      <c r="V111" s="1372"/>
      <c r="W111" s="1330"/>
      <c r="X111" s="1330"/>
      <c r="Y111" s="1330"/>
      <c r="Z111" s="664"/>
      <c r="AA111" s="1340">
        <f>+AA110</f>
        <v>47</v>
      </c>
      <c r="AB111" s="1372">
        <f>+AA111-AA104</f>
        <v>3</v>
      </c>
      <c r="AC111" s="1330">
        <f>+(AA111/AA104-1)*100</f>
        <v>6.8181818181818121</v>
      </c>
      <c r="AD111" s="1340">
        <f>+AD110</f>
        <v>20</v>
      </c>
      <c r="AE111" s="1372">
        <f>+AD111-AD104</f>
        <v>-1</v>
      </c>
      <c r="AF111" s="1330">
        <f>+(AD111/AD104-1)*100</f>
        <v>-4.7619047619047672</v>
      </c>
      <c r="AG111" s="1340"/>
      <c r="AH111" s="1372">
        <f>+AH110</f>
        <v>0.224</v>
      </c>
      <c r="AI111" s="1330">
        <f>+AH111/AX111*1000</f>
        <v>2.7317073170731709</v>
      </c>
      <c r="AJ111" s="1340">
        <f>+(AH111/AH104-1)*100</f>
        <v>13.705583756345185</v>
      </c>
      <c r="AK111" s="1372"/>
      <c r="AL111" s="1377"/>
      <c r="AM111" s="1360"/>
      <c r="AN111" s="1330"/>
      <c r="AO111" s="1389"/>
      <c r="AP111" s="661"/>
      <c r="AQ111" s="1330"/>
      <c r="AR111" s="664"/>
      <c r="AS111" s="1340">
        <f>+D111+O111+AA111+AD111+AL111</f>
        <v>126</v>
      </c>
      <c r="AT111" s="683">
        <f>+AS111-AS104</f>
        <v>7</v>
      </c>
      <c r="AU111" s="1330">
        <f>+(AS111/AS104-1)*100</f>
        <v>5.8823529411764719</v>
      </c>
      <c r="AV111" s="1330"/>
      <c r="AW111" s="1330"/>
      <c r="AX111" s="1347">
        <f>AS111-D111-AL111</f>
        <v>82</v>
      </c>
      <c r="AY111" s="1348">
        <f>AX111-AX104</f>
        <v>5</v>
      </c>
      <c r="AZ111" s="132"/>
      <c r="BA111" s="132"/>
      <c r="BB111" s="132"/>
      <c r="BC111" s="1363">
        <f>D111/AS111</f>
        <v>0.34920634920634919</v>
      </c>
      <c r="BD111" s="1810">
        <f>(O111+AA111+AD111)/AS111</f>
        <v>0.65079365079365081</v>
      </c>
      <c r="BE111" s="1363">
        <f>AL111/AS111</f>
        <v>0</v>
      </c>
    </row>
    <row r="112" spans="1:57" ht="12" hidden="1" customHeight="1" outlineLevel="1">
      <c r="A112" s="132"/>
      <c r="B112" s="132"/>
      <c r="C112" s="132"/>
      <c r="D112" s="1033"/>
      <c r="E112" s="1325"/>
      <c r="F112" s="230"/>
      <c r="G112" s="1033"/>
      <c r="H112" s="230"/>
      <c r="I112" s="1330"/>
      <c r="J112" s="132"/>
      <c r="K112" s="1386"/>
      <c r="L112" s="1387"/>
      <c r="M112" s="1386"/>
      <c r="N112" s="1387"/>
      <c r="O112" s="1386"/>
      <c r="P112" s="200"/>
      <c r="Q112" s="230"/>
      <c r="R112" s="230"/>
      <c r="S112" s="230"/>
      <c r="T112" s="643"/>
      <c r="U112" s="1386"/>
      <c r="V112" s="1387"/>
      <c r="W112" s="230"/>
      <c r="X112" s="230"/>
      <c r="Y112" s="230"/>
      <c r="Z112" s="643"/>
      <c r="AA112" s="1386"/>
      <c r="AB112" s="174"/>
      <c r="AC112" s="230"/>
      <c r="AD112" s="1386"/>
      <c r="AE112" s="174"/>
      <c r="AF112" s="230"/>
      <c r="AG112" s="1386"/>
      <c r="AH112" s="174"/>
      <c r="AI112" s="230"/>
      <c r="AJ112" s="1386"/>
      <c r="AK112" s="174"/>
      <c r="AL112" s="1386"/>
      <c r="AM112" s="174"/>
      <c r="AN112" s="230"/>
      <c r="AO112" s="1386"/>
      <c r="AP112" s="233"/>
      <c r="AQ112" s="1339"/>
      <c r="AR112" s="643"/>
      <c r="AS112" s="1033"/>
      <c r="AT112" s="132"/>
      <c r="AU112" s="132"/>
      <c r="AV112" s="132"/>
      <c r="AW112" s="132"/>
      <c r="AX112" s="1347"/>
      <c r="AY112" s="1348"/>
      <c r="AZ112" s="132"/>
      <c r="BA112" s="132"/>
      <c r="BB112" s="132"/>
      <c r="BC112" s="132"/>
      <c r="BD112" s="256"/>
      <c r="BE112" s="132"/>
    </row>
    <row r="113" spans="1:57" ht="12" hidden="1" customHeight="1" outlineLevel="1">
      <c r="A113" s="2506">
        <f>+A106+1</f>
        <v>2002</v>
      </c>
      <c r="B113" s="2506"/>
      <c r="C113" s="132"/>
      <c r="D113" s="1033"/>
      <c r="E113" s="1325"/>
      <c r="F113" s="230"/>
      <c r="G113" s="1033"/>
      <c r="H113" s="230"/>
      <c r="I113" s="1330"/>
      <c r="J113" s="132"/>
      <c r="K113" s="1386"/>
      <c r="L113" s="1387"/>
      <c r="M113" s="1386"/>
      <c r="N113" s="1387"/>
      <c r="O113" s="1386"/>
      <c r="P113" s="200"/>
      <c r="Q113" s="230"/>
      <c r="R113" s="230"/>
      <c r="S113" s="230"/>
      <c r="T113" s="643"/>
      <c r="U113" s="1386"/>
      <c r="V113" s="1387"/>
      <c r="W113" s="230"/>
      <c r="X113" s="230"/>
      <c r="Y113" s="230"/>
      <c r="Z113" s="643"/>
      <c r="AA113" s="1386"/>
      <c r="AB113" s="174"/>
      <c r="AC113" s="230"/>
      <c r="AD113" s="1386"/>
      <c r="AE113" s="174"/>
      <c r="AF113" s="230"/>
      <c r="AG113" s="1386"/>
      <c r="AH113" s="174"/>
      <c r="AI113" s="230"/>
      <c r="AJ113" s="1386"/>
      <c r="AK113" s="174"/>
      <c r="AL113" s="1386"/>
      <c r="AM113" s="174"/>
      <c r="AN113" s="230"/>
      <c r="AO113" s="1386"/>
      <c r="AP113" s="233"/>
      <c r="AQ113" s="1339"/>
      <c r="AR113" s="643"/>
      <c r="AS113" s="1033"/>
      <c r="AT113" s="132"/>
      <c r="AU113" s="132"/>
      <c r="AV113" s="132"/>
      <c r="AW113" s="132"/>
      <c r="AX113" s="1347"/>
      <c r="AY113" s="1348"/>
      <c r="AZ113" s="132"/>
      <c r="BA113" s="132"/>
      <c r="BB113" s="132"/>
      <c r="BC113" s="132"/>
      <c r="BD113" s="256"/>
      <c r="BE113" s="132"/>
    </row>
    <row r="114" spans="1:57" ht="12" hidden="1" customHeight="1" outlineLevel="1">
      <c r="A114" s="132" t="str">
        <f>$A$30</f>
        <v>1Q</v>
      </c>
      <c r="B114" s="132" t="str">
        <f>$B$30</f>
        <v>Apr</v>
      </c>
      <c r="C114" s="132"/>
      <c r="D114" s="1328">
        <f>+D110+E114</f>
        <v>44</v>
      </c>
      <c r="E114" s="1383">
        <v>0</v>
      </c>
      <c r="F114" s="1330">
        <f>+(D114/D107-1)*100</f>
        <v>4.7619047619047672</v>
      </c>
      <c r="G114" s="1331">
        <f>G111+($G118-$G$111)/$E118*E114</f>
        <v>0.38499999999999995</v>
      </c>
      <c r="H114" s="665"/>
      <c r="I114" s="1330">
        <f>+(G114/G107-1)*100</f>
        <v>5.9292887604897482</v>
      </c>
      <c r="J114" s="672"/>
      <c r="K114" s="1328">
        <f>+K110+L114</f>
        <v>5</v>
      </c>
      <c r="L114" s="1333">
        <v>0</v>
      </c>
      <c r="M114" s="1328">
        <f>+M110+N114</f>
        <v>10</v>
      </c>
      <c r="N114" s="1333">
        <v>0</v>
      </c>
      <c r="O114" s="1340">
        <f>+K114+M114</f>
        <v>15</v>
      </c>
      <c r="P114" s="1334">
        <f>+N114+L114</f>
        <v>0</v>
      </c>
      <c r="Q114" s="1330">
        <f>+(K114/K107-1)*100</f>
        <v>0</v>
      </c>
      <c r="R114" s="1330"/>
      <c r="S114" s="1330"/>
      <c r="T114" s="664"/>
      <c r="U114" s="1328"/>
      <c r="V114" s="1333"/>
      <c r="W114" s="1330"/>
      <c r="X114" s="1330"/>
      <c r="Y114" s="1330"/>
      <c r="Z114" s="664"/>
      <c r="AA114" s="1340">
        <f>+AA110+AB114</f>
        <v>49</v>
      </c>
      <c r="AB114" s="1390">
        <v>2</v>
      </c>
      <c r="AC114" s="1330">
        <f>+(AA114/AA107-1)*100</f>
        <v>4.2553191489361764</v>
      </c>
      <c r="AD114" s="1340">
        <f>+AD110+AE114</f>
        <v>20</v>
      </c>
      <c r="AE114" s="1390">
        <v>0</v>
      </c>
      <c r="AF114" s="1330">
        <f>+(AD114/AD107-1)*100</f>
        <v>-4.7619047619047672</v>
      </c>
      <c r="AG114" s="1340"/>
      <c r="AH114" s="1390">
        <f>AH111+(AH118-AH111)/AY118*AY114</f>
        <v>0.23200000000000001</v>
      </c>
      <c r="AI114" s="1330"/>
      <c r="AJ114" s="1340">
        <f>+(AH114/AH107-1)*100</f>
        <v>6.1299176578225145</v>
      </c>
      <c r="AK114" s="1390"/>
      <c r="AL114" s="1344"/>
      <c r="AM114" s="1335">
        <f>+AL114-AL110</f>
        <v>0</v>
      </c>
      <c r="AN114" s="1330"/>
      <c r="AO114" s="1388"/>
      <c r="AP114" s="661"/>
      <c r="AQ114" s="1330"/>
      <c r="AR114" s="664"/>
      <c r="AS114" s="1340">
        <f>+D114+O114+AA114+AD114+AL114</f>
        <v>128</v>
      </c>
      <c r="AT114" s="1341">
        <f>+AS114-AS110</f>
        <v>2</v>
      </c>
      <c r="AU114" s="1330">
        <f>+(AS114/AS107-1)*100</f>
        <v>4.0650406504065151</v>
      </c>
      <c r="AV114" s="1330"/>
      <c r="AW114" s="1330"/>
      <c r="AX114" s="1347">
        <f>AS114-D114-AL114</f>
        <v>84</v>
      </c>
      <c r="AY114" s="1348">
        <f>AX114-AX111</f>
        <v>2</v>
      </c>
      <c r="AZ114" s="132"/>
      <c r="BA114" s="132"/>
      <c r="BB114" s="132"/>
      <c r="BC114" s="215">
        <f>D114/AS114</f>
        <v>0.34375</v>
      </c>
      <c r="BD114" s="1492">
        <f>(O114+AA114+AD114)/AS114</f>
        <v>0.65625</v>
      </c>
      <c r="BE114" s="1343">
        <f>AL114/AS114</f>
        <v>0</v>
      </c>
    </row>
    <row r="115" spans="1:57" ht="12" hidden="1" customHeight="1" outlineLevel="1">
      <c r="A115" s="132" t="str">
        <f>$A$31</f>
        <v>2Q</v>
      </c>
      <c r="B115" s="132" t="str">
        <f>$B$31</f>
        <v>Jul</v>
      </c>
      <c r="C115" s="132"/>
      <c r="D115" s="1328">
        <f>+E115+D114</f>
        <v>46</v>
      </c>
      <c r="E115" s="1383">
        <v>2</v>
      </c>
      <c r="F115" s="1330">
        <f>+(D115/D108-1)*100</f>
        <v>6.9767441860465018</v>
      </c>
      <c r="G115" s="1331">
        <f>G114+($G118-$G111)/$E118*E115</f>
        <v>0.40166666666666662</v>
      </c>
      <c r="H115" s="665"/>
      <c r="I115" s="1330">
        <f>+(G115/G108-1)*100</f>
        <v>7.3329325049546812</v>
      </c>
      <c r="J115" s="672"/>
      <c r="K115" s="1328">
        <f>+L115+K114</f>
        <v>5</v>
      </c>
      <c r="L115" s="1345">
        <v>0</v>
      </c>
      <c r="M115" s="1328">
        <f>+N115+M114</f>
        <v>10</v>
      </c>
      <c r="N115" s="1345">
        <v>0</v>
      </c>
      <c r="O115" s="1328">
        <f>+K115+M115</f>
        <v>15</v>
      </c>
      <c r="P115" s="1334">
        <f>+N115+L115</f>
        <v>0</v>
      </c>
      <c r="Q115" s="1330">
        <f>+(K115/K108-1)*100</f>
        <v>0</v>
      </c>
      <c r="R115" s="1330"/>
      <c r="S115" s="1330"/>
      <c r="T115" s="664"/>
      <c r="U115" s="1328"/>
      <c r="V115" s="1345"/>
      <c r="W115" s="1330"/>
      <c r="X115" s="1330"/>
      <c r="Y115" s="1330"/>
      <c r="Z115" s="664"/>
      <c r="AA115" s="1328">
        <f>+AA114+AB115</f>
        <v>49</v>
      </c>
      <c r="AB115" s="1390">
        <v>0</v>
      </c>
      <c r="AC115" s="1330">
        <f>+(AA115/AA108-1)*100</f>
        <v>4.2553191489361764</v>
      </c>
      <c r="AD115" s="1328">
        <f>+AD114+AE115</f>
        <v>22</v>
      </c>
      <c r="AE115" s="1390">
        <v>2</v>
      </c>
      <c r="AF115" s="1330">
        <f>+(AD115/AD108-1)*100</f>
        <v>10.000000000000009</v>
      </c>
      <c r="AG115" s="1328"/>
      <c r="AH115" s="1390">
        <f>AH114+(AH118-AH111)/AY118*AY115</f>
        <v>0.24000000000000002</v>
      </c>
      <c r="AI115" s="1330"/>
      <c r="AJ115" s="1328">
        <f>+(AH115/AH108-1)*100</f>
        <v>12.570356472795496</v>
      </c>
      <c r="AK115" s="1390"/>
      <c r="AL115" s="1344"/>
      <c r="AM115" s="1335">
        <f>+AL115-AL114</f>
        <v>0</v>
      </c>
      <c r="AN115" s="1330"/>
      <c r="AO115" s="1388"/>
      <c r="AP115" s="661"/>
      <c r="AQ115" s="1330"/>
      <c r="AR115" s="664"/>
      <c r="AS115" s="1340">
        <f>+D115+O115+AA115+AD115+AL115</f>
        <v>132</v>
      </c>
      <c r="AT115" s="1341">
        <f>+AS115-AS114</f>
        <v>4</v>
      </c>
      <c r="AU115" s="1330">
        <f>+(AS115/AS108-1)*100</f>
        <v>7.3170731707317138</v>
      </c>
      <c r="AV115" s="1330"/>
      <c r="AW115" s="1330"/>
      <c r="AX115" s="1347">
        <f>AS115-D115-AL115</f>
        <v>86</v>
      </c>
      <c r="AY115" s="1348">
        <f>AX115-AX114</f>
        <v>2</v>
      </c>
      <c r="AZ115" s="132"/>
      <c r="BA115" s="132"/>
      <c r="BB115" s="132"/>
      <c r="BC115" s="215">
        <f>D115/AS115</f>
        <v>0.34848484848484851</v>
      </c>
      <c r="BD115" s="1492">
        <f>(O115+AA115+AD115)/AS115</f>
        <v>0.65151515151515149</v>
      </c>
      <c r="BE115" s="1343">
        <f>AL115/AS115</f>
        <v>0</v>
      </c>
    </row>
    <row r="116" spans="1:57" ht="12" hidden="1" customHeight="1" outlineLevel="1">
      <c r="A116" s="132" t="str">
        <f>$A$32</f>
        <v>3Q</v>
      </c>
      <c r="B116" s="132" t="str">
        <f>$B$32</f>
        <v>Oct</v>
      </c>
      <c r="C116" s="132"/>
      <c r="D116" s="1328">
        <f>+E116+D115</f>
        <v>48</v>
      </c>
      <c r="E116" s="1383">
        <v>2</v>
      </c>
      <c r="F116" s="1330">
        <f>+(D116/D109-1)*100</f>
        <v>9.0909090909090828</v>
      </c>
      <c r="G116" s="1331">
        <f>G115+($G118-$G111)/$E118*E116</f>
        <v>0.41833333333333328</v>
      </c>
      <c r="H116" s="665"/>
      <c r="I116" s="1330">
        <f>+(G116/G109-1)*100</f>
        <v>8.6580086580086544</v>
      </c>
      <c r="J116" s="672"/>
      <c r="K116" s="1328">
        <f>+K115+L116</f>
        <v>5</v>
      </c>
      <c r="L116" s="1345">
        <v>0</v>
      </c>
      <c r="M116" s="1328">
        <f>+M115+N116</f>
        <v>10</v>
      </c>
      <c r="N116" s="1345">
        <v>0</v>
      </c>
      <c r="O116" s="1328">
        <f>+K116+M116</f>
        <v>15</v>
      </c>
      <c r="P116" s="1334">
        <f>+N116+L116</f>
        <v>0</v>
      </c>
      <c r="Q116" s="1330">
        <f>+(K116/K109-1)*100</f>
        <v>0</v>
      </c>
      <c r="R116" s="1330"/>
      <c r="S116" s="1330"/>
      <c r="T116" s="664"/>
      <c r="U116" s="1328"/>
      <c r="V116" s="1345"/>
      <c r="W116" s="1330"/>
      <c r="X116" s="1330"/>
      <c r="Y116" s="1330"/>
      <c r="Z116" s="664"/>
      <c r="AA116" s="1328">
        <f>+AA115+AB116</f>
        <v>49</v>
      </c>
      <c r="AB116" s="1390">
        <v>0</v>
      </c>
      <c r="AC116" s="1330">
        <f>+(AA116/AA109-1)*100</f>
        <v>4.2553191489361764</v>
      </c>
      <c r="AD116" s="1328">
        <f>+AD115+AE116</f>
        <v>22</v>
      </c>
      <c r="AE116" s="1390">
        <v>0</v>
      </c>
      <c r="AF116" s="1330">
        <f>+(AD116/AD109-1)*100</f>
        <v>10.000000000000009</v>
      </c>
      <c r="AG116" s="1328"/>
      <c r="AH116" s="1390">
        <f>AH115+(AH118-AH111)/AY118*AY116</f>
        <v>0.24000000000000002</v>
      </c>
      <c r="AI116" s="1330"/>
      <c r="AJ116" s="1328">
        <f>+(AH116/AH109-1)*100</f>
        <v>12.570356472795496</v>
      </c>
      <c r="AK116" s="1390"/>
      <c r="AL116" s="1344">
        <f>3+2+6+1+1+3+2+1+1</f>
        <v>20</v>
      </c>
      <c r="AM116" s="1335">
        <f>+AL116-AL115</f>
        <v>20</v>
      </c>
      <c r="AN116" s="1330"/>
      <c r="AO116" s="1388"/>
      <c r="AP116" s="661"/>
      <c r="AQ116" s="1330"/>
      <c r="AR116" s="664"/>
      <c r="AS116" s="1340">
        <f>+D116+O116+AA116+AD116+AL116</f>
        <v>154</v>
      </c>
      <c r="AT116" s="1341">
        <f>+AS116-AS115</f>
        <v>22</v>
      </c>
      <c r="AU116" s="1330">
        <f>+(AS116/AS109-1)*100</f>
        <v>24.193548387096776</v>
      </c>
      <c r="AV116" s="1330"/>
      <c r="AW116" s="1330"/>
      <c r="AX116" s="1347">
        <f>AS116-D116-AL116</f>
        <v>86</v>
      </c>
      <c r="AY116" s="1348">
        <f>AX116-AX115</f>
        <v>0</v>
      </c>
      <c r="AZ116" s="132"/>
      <c r="BA116" s="132"/>
      <c r="BB116" s="132"/>
      <c r="BC116" s="215">
        <f>D116/AS116</f>
        <v>0.31168831168831168</v>
      </c>
      <c r="BD116" s="1492">
        <f>(O116+AA116+AD116)/AS116</f>
        <v>0.55844155844155841</v>
      </c>
      <c r="BE116" s="1343">
        <f>AL116/AS116</f>
        <v>0.12987012987012986</v>
      </c>
    </row>
    <row r="117" spans="1:57" ht="12" hidden="1" customHeight="1" outlineLevel="1">
      <c r="A117" s="132" t="str">
        <f>$A$33</f>
        <v>4Q</v>
      </c>
      <c r="B117" s="132" t="str">
        <f>$B$33</f>
        <v>Jan</v>
      </c>
      <c r="C117" s="132"/>
      <c r="D117" s="1349">
        <v>47</v>
      </c>
      <c r="E117" s="1329">
        <f>+D117-D116</f>
        <v>-1</v>
      </c>
      <c r="F117" s="1330">
        <f>+(D117/D110-1)*100</f>
        <v>6.8181818181818121</v>
      </c>
      <c r="G117" s="1380">
        <f>0.37+0.04</f>
        <v>0.41</v>
      </c>
      <c r="H117" s="665"/>
      <c r="I117" s="1330">
        <f>+(G117/G110-1)*100</f>
        <v>6.4935064935065068</v>
      </c>
      <c r="J117" s="672"/>
      <c r="K117" s="1349">
        <v>5</v>
      </c>
      <c r="L117" s="1335">
        <f>+K117-K116</f>
        <v>0</v>
      </c>
      <c r="M117" s="1349">
        <v>11</v>
      </c>
      <c r="N117" s="1335">
        <f>+M117-M116</f>
        <v>1</v>
      </c>
      <c r="O117" s="1351">
        <f>+K117+M117</f>
        <v>16</v>
      </c>
      <c r="P117" s="1334">
        <f>+N117+L117</f>
        <v>1</v>
      </c>
      <c r="Q117" s="1330">
        <f>+(K117/K110-1)*100</f>
        <v>0</v>
      </c>
      <c r="R117" s="1330"/>
      <c r="S117" s="1330"/>
      <c r="T117" s="664"/>
      <c r="U117" s="1349"/>
      <c r="V117" s="1335"/>
      <c r="W117" s="1330"/>
      <c r="X117" s="1330"/>
      <c r="Y117" s="1330"/>
      <c r="Z117" s="664"/>
      <c r="AA117" s="1349">
        <v>48</v>
      </c>
      <c r="AB117" s="1335">
        <f>+AA117-AA116</f>
        <v>-1</v>
      </c>
      <c r="AC117" s="1330">
        <f>+(AA117/AA110-1)*100</f>
        <v>2.1276595744680771</v>
      </c>
      <c r="AD117" s="1349">
        <v>20</v>
      </c>
      <c r="AE117" s="1335">
        <f>+AD117-AD116</f>
        <v>-2</v>
      </c>
      <c r="AF117" s="1330">
        <f>+(AD117/AD110-1)*100</f>
        <v>0</v>
      </c>
      <c r="AG117" s="1349"/>
      <c r="AH117" s="1335">
        <v>0.23200000000000001</v>
      </c>
      <c r="AI117" s="1330"/>
      <c r="AJ117" s="1349">
        <f>+(AH117/AH110-1)*100</f>
        <v>3.5714285714285809</v>
      </c>
      <c r="AK117" s="1335"/>
      <c r="AL117" s="1349">
        <f>3+2+6+1+1+3+2+1+1</f>
        <v>20</v>
      </c>
      <c r="AM117" s="1335">
        <f>+AL117-AL116</f>
        <v>0</v>
      </c>
      <c r="AN117" s="1330"/>
      <c r="AO117" s="1388"/>
      <c r="AP117" s="661"/>
      <c r="AQ117" s="1330"/>
      <c r="AR117" s="664"/>
      <c r="AS117" s="1355">
        <f>+D117+O117+AA117+AD117+AL117</f>
        <v>151</v>
      </c>
      <c r="AT117" s="1341">
        <f>+AS117-AS116</f>
        <v>-3</v>
      </c>
      <c r="AU117" s="1330">
        <f>+(AS117/AS110-1)*100</f>
        <v>19.841269841269838</v>
      </c>
      <c r="AV117" s="1330"/>
      <c r="AW117" s="1330"/>
      <c r="AX117" s="1347">
        <f>AS117-D117-AL117</f>
        <v>84</v>
      </c>
      <c r="AY117" s="1348">
        <f>AX117-AX116</f>
        <v>-2</v>
      </c>
      <c r="AZ117" s="672"/>
      <c r="BA117" s="672"/>
      <c r="BB117" s="672"/>
      <c r="BC117" s="215">
        <f>D117/AS117</f>
        <v>0.31125827814569534</v>
      </c>
      <c r="BD117" s="1492">
        <f>(O117+AA117+AD117)/AS117</f>
        <v>0.55629139072847678</v>
      </c>
      <c r="BE117" s="1356">
        <f>AL117/AS117</f>
        <v>0.13245033112582782</v>
      </c>
    </row>
    <row r="118" spans="1:57" ht="12" hidden="1" customHeight="1" outlineLevel="1">
      <c r="A118" s="132"/>
      <c r="B118" s="132" t="str">
        <f>$B$34</f>
        <v>Year</v>
      </c>
      <c r="C118" s="132"/>
      <c r="D118" s="1340">
        <f>+D117</f>
        <v>47</v>
      </c>
      <c r="E118" s="1357">
        <f>+D118-D111</f>
        <v>3</v>
      </c>
      <c r="F118" s="1330">
        <f>+(D118/D111-1)*100</f>
        <v>6.8181818181818121</v>
      </c>
      <c r="G118" s="1331">
        <f>+G117</f>
        <v>0.41</v>
      </c>
      <c r="H118" s="665">
        <f>+G118/D118*1000</f>
        <v>8.7234042553191475</v>
      </c>
      <c r="I118" s="1330">
        <f>+(G118/G111-1)*100</f>
        <v>6.4935064935065068</v>
      </c>
      <c r="J118" s="672"/>
      <c r="K118" s="1340">
        <f>+K117</f>
        <v>5</v>
      </c>
      <c r="L118" s="1372">
        <f>+K118-K111</f>
        <v>0</v>
      </c>
      <c r="M118" s="1340">
        <f>+M117</f>
        <v>11</v>
      </c>
      <c r="N118" s="1372">
        <f>+M118-M111</f>
        <v>1</v>
      </c>
      <c r="O118" s="1328">
        <f>+K118+M118</f>
        <v>16</v>
      </c>
      <c r="P118" s="683">
        <f>+N118+L118</f>
        <v>1</v>
      </c>
      <c r="Q118" s="1330">
        <f>+(K118/K111-1)*100</f>
        <v>0</v>
      </c>
      <c r="R118" s="1330"/>
      <c r="S118" s="1330"/>
      <c r="T118" s="664"/>
      <c r="U118" s="1340"/>
      <c r="V118" s="1372"/>
      <c r="W118" s="1330"/>
      <c r="X118" s="1330"/>
      <c r="Y118" s="1330"/>
      <c r="Z118" s="664"/>
      <c r="AA118" s="1340">
        <f>+AA117</f>
        <v>48</v>
      </c>
      <c r="AB118" s="1372">
        <f>+AA117-AA110</f>
        <v>1</v>
      </c>
      <c r="AC118" s="1330">
        <f>+(AA118/AA111-1)*100</f>
        <v>2.1276595744680771</v>
      </c>
      <c r="AD118" s="1340">
        <f>+AD117</f>
        <v>20</v>
      </c>
      <c r="AE118" s="1372">
        <v>0</v>
      </c>
      <c r="AF118" s="1330">
        <f>+(AD118/AD111-1)*100</f>
        <v>0</v>
      </c>
      <c r="AG118" s="1340"/>
      <c r="AH118" s="1372">
        <f>+AH117</f>
        <v>0.23200000000000001</v>
      </c>
      <c r="AI118" s="1330">
        <f>+AH118/AX118*1000</f>
        <v>2.7619047619047619</v>
      </c>
      <c r="AJ118" s="1340">
        <f>+(AH118/AH111-1)*100</f>
        <v>3.5714285714285809</v>
      </c>
      <c r="AK118" s="1372"/>
      <c r="AL118" s="1340">
        <f>+AL117</f>
        <v>20</v>
      </c>
      <c r="AM118" s="1372">
        <f>+AL117-AL110</f>
        <v>20</v>
      </c>
      <c r="AN118" s="1330"/>
      <c r="AO118" s="1389"/>
      <c r="AP118" s="661"/>
      <c r="AQ118" s="1330"/>
      <c r="AR118" s="664"/>
      <c r="AS118" s="1340">
        <f>+D118+O118+AA118+AD118+AL118</f>
        <v>151</v>
      </c>
      <c r="AT118" s="683">
        <f>+AS118-AS111</f>
        <v>25</v>
      </c>
      <c r="AU118" s="1330">
        <f>+(AS118/AS111-1)*100</f>
        <v>19.841269841269838</v>
      </c>
      <c r="AV118" s="1330"/>
      <c r="AW118" s="1330"/>
      <c r="AX118" s="1347">
        <f>AS118-D118-AL118</f>
        <v>84</v>
      </c>
      <c r="AY118" s="1348">
        <f>AX118-AX111</f>
        <v>2</v>
      </c>
      <c r="AZ118" s="132"/>
      <c r="BA118" s="132"/>
      <c r="BB118" s="132"/>
      <c r="BC118" s="1363">
        <f>D118/AS118</f>
        <v>0.31125827814569534</v>
      </c>
      <c r="BD118" s="1810">
        <f>(O118+AA118+AD118)/AS118</f>
        <v>0.55629139072847678</v>
      </c>
      <c r="BE118" s="1363">
        <f>AL118/AS118</f>
        <v>0.13245033112582782</v>
      </c>
    </row>
    <row r="119" spans="1:57" ht="12" hidden="1" customHeight="1" outlineLevel="1">
      <c r="A119" s="132"/>
      <c r="B119" s="132"/>
      <c r="C119" s="132"/>
      <c r="D119" s="1033"/>
      <c r="E119" s="1325"/>
      <c r="F119" s="1339"/>
      <c r="G119" s="1033"/>
      <c r="H119" s="230"/>
      <c r="I119" s="1330"/>
      <c r="J119" s="1392"/>
      <c r="K119" s="1386"/>
      <c r="L119" s="1387"/>
      <c r="M119" s="1386"/>
      <c r="N119" s="1387"/>
      <c r="O119" s="1386"/>
      <c r="P119" s="200"/>
      <c r="Q119" s="230"/>
      <c r="R119" s="230"/>
      <c r="S119" s="230"/>
      <c r="T119" s="643"/>
      <c r="U119" s="1386"/>
      <c r="V119" s="1387"/>
      <c r="W119" s="230"/>
      <c r="X119" s="230"/>
      <c r="Y119" s="230"/>
      <c r="Z119" s="643"/>
      <c r="AA119" s="1386"/>
      <c r="AB119" s="174"/>
      <c r="AC119" s="230"/>
      <c r="AD119" s="1386"/>
      <c r="AE119" s="174"/>
      <c r="AF119" s="230"/>
      <c r="AG119" s="1386"/>
      <c r="AH119" s="174"/>
      <c r="AI119" s="230"/>
      <c r="AJ119" s="1386"/>
      <c r="AK119" s="174"/>
      <c r="AL119" s="1386"/>
      <c r="AM119" s="174"/>
      <c r="AN119" s="174"/>
      <c r="AO119" s="1386"/>
      <c r="AP119" s="233"/>
      <c r="AQ119" s="1339"/>
      <c r="AR119" s="643"/>
      <c r="AS119" s="1033"/>
      <c r="AT119" s="132"/>
      <c r="AU119" s="132"/>
      <c r="AV119" s="132"/>
      <c r="AW119" s="132"/>
      <c r="AX119" s="1347"/>
      <c r="AY119" s="1348"/>
      <c r="AZ119" s="132"/>
      <c r="BA119" s="132"/>
      <c r="BB119" s="132"/>
      <c r="BC119" s="132"/>
      <c r="BD119" s="256"/>
      <c r="BE119" s="132"/>
    </row>
    <row r="120" spans="1:57" ht="12" hidden="1" customHeight="1" outlineLevel="1">
      <c r="A120" s="2506">
        <f>+A113+1</f>
        <v>2003</v>
      </c>
      <c r="B120" s="2506"/>
      <c r="C120" s="132"/>
      <c r="D120" s="1033"/>
      <c r="E120" s="1325"/>
      <c r="F120" s="1339"/>
      <c r="G120" s="1033"/>
      <c r="H120" s="230"/>
      <c r="I120" s="1330"/>
      <c r="J120" s="132"/>
      <c r="K120" s="1386"/>
      <c r="L120" s="1387"/>
      <c r="M120" s="1386"/>
      <c r="N120" s="1387"/>
      <c r="O120" s="1386"/>
      <c r="P120" s="200"/>
      <c r="Q120" s="230"/>
      <c r="R120" s="230"/>
      <c r="S120" s="230"/>
      <c r="T120" s="643"/>
      <c r="U120" s="1386"/>
      <c r="V120" s="1387"/>
      <c r="W120" s="230"/>
      <c r="X120" s="230"/>
      <c r="Y120" s="230"/>
      <c r="Z120" s="643"/>
      <c r="AA120" s="1386"/>
      <c r="AB120" s="174"/>
      <c r="AC120" s="230"/>
      <c r="AD120" s="1386"/>
      <c r="AE120" s="174"/>
      <c r="AF120" s="230"/>
      <c r="AG120" s="1386"/>
      <c r="AH120" s="174"/>
      <c r="AI120" s="230"/>
      <c r="AJ120" s="1386"/>
      <c r="AK120" s="174"/>
      <c r="AL120" s="1386"/>
      <c r="AM120" s="174"/>
      <c r="AN120" s="174"/>
      <c r="AO120" s="1386"/>
      <c r="AP120" s="233"/>
      <c r="AQ120" s="1339"/>
      <c r="AR120" s="643"/>
      <c r="AS120" s="1033"/>
      <c r="AT120" s="132"/>
      <c r="AU120" s="132"/>
      <c r="AV120" s="132"/>
      <c r="AW120" s="132"/>
      <c r="AX120" s="1347"/>
      <c r="AY120" s="1348"/>
      <c r="AZ120" s="132"/>
      <c r="BA120" s="132"/>
      <c r="BB120" s="132"/>
      <c r="BC120" s="132"/>
      <c r="BD120" s="256"/>
      <c r="BE120" s="132"/>
    </row>
    <row r="121" spans="1:57" ht="12" hidden="1" customHeight="1" outlineLevel="1">
      <c r="A121" s="132" t="str">
        <f>$A$30</f>
        <v>1Q</v>
      </c>
      <c r="B121" s="132" t="str">
        <f>$B$30</f>
        <v>Apr</v>
      </c>
      <c r="C121" s="139"/>
      <c r="D121" s="1328">
        <f>+D117+E121</f>
        <v>49</v>
      </c>
      <c r="E121" s="1383">
        <v>2</v>
      </c>
      <c r="F121" s="1330">
        <f>+(D121/D114-1)*100</f>
        <v>11.363636363636353</v>
      </c>
      <c r="G121" s="1331">
        <f>G118+($G$125-$G$118)/$E$125*E121</f>
        <v>0.41699999999999998</v>
      </c>
      <c r="H121" s="665"/>
      <c r="I121" s="1330"/>
      <c r="J121" s="132"/>
      <c r="K121" s="1328">
        <f>+K117+L121</f>
        <v>5</v>
      </c>
      <c r="L121" s="1332">
        <v>0</v>
      </c>
      <c r="M121" s="1328">
        <f>+M117+N121</f>
        <v>11</v>
      </c>
      <c r="N121" s="1332">
        <v>0</v>
      </c>
      <c r="O121" s="1340">
        <f>+K121+M121</f>
        <v>16</v>
      </c>
      <c r="P121" s="1334">
        <f>+N121+L121</f>
        <v>0</v>
      </c>
      <c r="Q121" s="1330">
        <f>+(K121/K114-1)*100</f>
        <v>0</v>
      </c>
      <c r="R121" s="1330"/>
      <c r="S121" s="1330"/>
      <c r="T121" s="664"/>
      <c r="U121" s="1328"/>
      <c r="V121" s="1332"/>
      <c r="W121" s="1330"/>
      <c r="X121" s="1330"/>
      <c r="Y121" s="1330"/>
      <c r="Z121" s="664"/>
      <c r="AA121" s="1340">
        <f>+AA117+AB121</f>
        <v>50</v>
      </c>
      <c r="AB121" s="1390">
        <v>2</v>
      </c>
      <c r="AC121" s="1330">
        <f>+(AA121/AA114-1)*100</f>
        <v>2.0408163265306145</v>
      </c>
      <c r="AD121" s="1340">
        <f>+AD117+AE121</f>
        <v>21</v>
      </c>
      <c r="AE121" s="1390">
        <v>1</v>
      </c>
      <c r="AF121" s="1330">
        <f>+(AD121/AD114-1)*100</f>
        <v>5.0000000000000044</v>
      </c>
      <c r="AG121" s="1340"/>
      <c r="AH121" s="1390">
        <f>AH118+(AH125-AH118)/AY125*AY121</f>
        <v>0.24</v>
      </c>
      <c r="AI121" s="1330"/>
      <c r="AJ121" s="1340">
        <f>+(AH121/AH114-1)*100</f>
        <v>3.4482758620689502</v>
      </c>
      <c r="AK121" s="1390"/>
      <c r="AL121" s="1340">
        <f>+AL117+AM121</f>
        <v>20</v>
      </c>
      <c r="AM121" s="1390">
        <v>0</v>
      </c>
      <c r="AN121" s="1330"/>
      <c r="AO121" s="1388"/>
      <c r="AP121" s="661"/>
      <c r="AQ121" s="1330"/>
      <c r="AR121" s="664"/>
      <c r="AS121" s="1340">
        <f>+D121+O121+AA121+AD121+AL121</f>
        <v>156</v>
      </c>
      <c r="AT121" s="1341">
        <f>+AS121-AS117</f>
        <v>5</v>
      </c>
      <c r="AU121" s="1330">
        <f>+(AS121/AS114-1)*100</f>
        <v>21.875</v>
      </c>
      <c r="AV121" s="665"/>
      <c r="AW121" s="665"/>
      <c r="AX121" s="1347">
        <f>AS121-D121-AL121</f>
        <v>87</v>
      </c>
      <c r="AY121" s="1348">
        <f>AX121-AX118</f>
        <v>3</v>
      </c>
      <c r="AZ121" s="132"/>
      <c r="BA121" s="132"/>
      <c r="BB121" s="132"/>
      <c r="BC121" s="215">
        <f>D121/AS121</f>
        <v>0.3141025641025641</v>
      </c>
      <c r="BD121" s="1492">
        <f>(O121+AA121+AD121)/AS121</f>
        <v>0.55769230769230771</v>
      </c>
      <c r="BE121" s="1343">
        <f>AL121/AS121</f>
        <v>0.12820512820512819</v>
      </c>
    </row>
    <row r="122" spans="1:57" ht="12" hidden="1" customHeight="1" outlineLevel="1">
      <c r="A122" s="132" t="str">
        <f>$A$31</f>
        <v>2Q</v>
      </c>
      <c r="B122" s="132" t="str">
        <f>$B$31</f>
        <v>Jul</v>
      </c>
      <c r="C122" s="139"/>
      <c r="D122" s="1328">
        <f>+E122+D121</f>
        <v>50</v>
      </c>
      <c r="E122" s="1383">
        <v>1</v>
      </c>
      <c r="F122" s="1330">
        <f>+(D122/D115-1)*100</f>
        <v>8.6956521739130377</v>
      </c>
      <c r="G122" s="1331">
        <f>G121+($G125-$G118)/$E125*E122</f>
        <v>0.42049999999999998</v>
      </c>
      <c r="H122" s="665"/>
      <c r="I122" s="1330"/>
      <c r="J122" s="672"/>
      <c r="K122" s="1328">
        <f>+L122+K121</f>
        <v>5</v>
      </c>
      <c r="L122" s="1344">
        <v>0</v>
      </c>
      <c r="M122" s="1328">
        <f>+N122+M121</f>
        <v>11</v>
      </c>
      <c r="N122" s="1344">
        <v>0</v>
      </c>
      <c r="O122" s="1328">
        <f>+K122+M122</f>
        <v>16</v>
      </c>
      <c r="P122" s="1334">
        <f>+N122+L122</f>
        <v>0</v>
      </c>
      <c r="Q122" s="1330">
        <f>+(K122/K115-1)*100</f>
        <v>0</v>
      </c>
      <c r="R122" s="1330"/>
      <c r="S122" s="1330"/>
      <c r="T122" s="664"/>
      <c r="U122" s="1328"/>
      <c r="V122" s="1344"/>
      <c r="W122" s="1330"/>
      <c r="X122" s="1330"/>
      <c r="Y122" s="1330"/>
      <c r="Z122" s="664"/>
      <c r="AA122" s="1328">
        <f>+AA121+AB122</f>
        <v>50</v>
      </c>
      <c r="AB122" s="1390">
        <v>0</v>
      </c>
      <c r="AC122" s="1330">
        <f>+(AA122/AA115-1)*100</f>
        <v>2.0408163265306145</v>
      </c>
      <c r="AD122" s="1328">
        <f>+AD121+AE122</f>
        <v>21</v>
      </c>
      <c r="AE122" s="1390">
        <v>0</v>
      </c>
      <c r="AF122" s="1330">
        <f>+(AD122/AD115-1)*100</f>
        <v>-4.5454545454545414</v>
      </c>
      <c r="AG122" s="1328"/>
      <c r="AH122" s="1390">
        <f>AH121+(AH125-AH118)/AY125*AY122</f>
        <v>0.24</v>
      </c>
      <c r="AI122" s="1330"/>
      <c r="AJ122" s="1328">
        <f>+(AH122/AH115-1)*100</f>
        <v>-1.1102230246251565E-14</v>
      </c>
      <c r="AK122" s="1390"/>
      <c r="AL122" s="1328">
        <f>+AL121+AM122</f>
        <v>20</v>
      </c>
      <c r="AM122" s="1390">
        <v>0</v>
      </c>
      <c r="AN122" s="1330"/>
      <c r="AO122" s="1388"/>
      <c r="AP122" s="661"/>
      <c r="AQ122" s="1330"/>
      <c r="AR122" s="664"/>
      <c r="AS122" s="1340">
        <f>+D122+O122+AA122+AD122+AL122</f>
        <v>157</v>
      </c>
      <c r="AT122" s="1341">
        <f>+AS122-AS121</f>
        <v>1</v>
      </c>
      <c r="AU122" s="1330">
        <f>+(AS122/AS115-1)*100</f>
        <v>18.939393939393945</v>
      </c>
      <c r="AV122" s="665"/>
      <c r="AW122" s="665"/>
      <c r="AX122" s="1347">
        <f>AS122-D122-AL122</f>
        <v>87</v>
      </c>
      <c r="AY122" s="1348">
        <f>AX122-AX121</f>
        <v>0</v>
      </c>
      <c r="AZ122" s="132"/>
      <c r="BA122" s="132"/>
      <c r="BB122" s="132"/>
      <c r="BC122" s="215">
        <f>D122/AS122</f>
        <v>0.31847133757961782</v>
      </c>
      <c r="BD122" s="1492">
        <f>(O122+AA122+AD122)/AS122</f>
        <v>0.55414012738853502</v>
      </c>
      <c r="BE122" s="1343">
        <f>AL122/AS122</f>
        <v>0.12738853503184713</v>
      </c>
    </row>
    <row r="123" spans="1:57" ht="12" hidden="1" customHeight="1" outlineLevel="1">
      <c r="A123" s="132" t="str">
        <f>$A$32</f>
        <v>3Q</v>
      </c>
      <c r="B123" s="132" t="str">
        <f>$B$32</f>
        <v>Oct</v>
      </c>
      <c r="C123" s="139"/>
      <c r="D123" s="1328">
        <f>+E123+D122</f>
        <v>51</v>
      </c>
      <c r="E123" s="1383">
        <v>1</v>
      </c>
      <c r="F123" s="1330">
        <f>+(D123/D116-1)*100</f>
        <v>6.25</v>
      </c>
      <c r="G123" s="1331">
        <f>G122+($G125-$G118)/$E125*E123</f>
        <v>0.42399999999999999</v>
      </c>
      <c r="H123" s="665"/>
      <c r="I123" s="1330"/>
      <c r="J123" s="132"/>
      <c r="K123" s="1328">
        <f>+K122+L123</f>
        <v>7</v>
      </c>
      <c r="L123" s="1344">
        <v>2</v>
      </c>
      <c r="M123" s="1328">
        <f>+M122+N123</f>
        <v>11</v>
      </c>
      <c r="N123" s="1344">
        <v>0</v>
      </c>
      <c r="O123" s="1328">
        <f>+K123+M123</f>
        <v>18</v>
      </c>
      <c r="P123" s="1334">
        <f>+N123+L123</f>
        <v>2</v>
      </c>
      <c r="Q123" s="1330">
        <f>+(K123/K116-1)*100</f>
        <v>39.999999999999993</v>
      </c>
      <c r="R123" s="1330"/>
      <c r="S123" s="1330"/>
      <c r="T123" s="664"/>
      <c r="U123" s="1328"/>
      <c r="V123" s="1344"/>
      <c r="W123" s="1330"/>
      <c r="X123" s="1330"/>
      <c r="Y123" s="1330"/>
      <c r="Z123" s="664"/>
      <c r="AA123" s="1328">
        <f>+AA122+AB123</f>
        <v>50</v>
      </c>
      <c r="AB123" s="1390">
        <v>0</v>
      </c>
      <c r="AC123" s="1330">
        <f>+(AA123/AA116-1)*100</f>
        <v>2.0408163265306145</v>
      </c>
      <c r="AD123" s="1328">
        <f>+AD122+AE123</f>
        <v>21</v>
      </c>
      <c r="AE123" s="1390">
        <v>0</v>
      </c>
      <c r="AF123" s="1330">
        <f>+(AD123/AD116-1)*100</f>
        <v>-4.5454545454545414</v>
      </c>
      <c r="AG123" s="1328"/>
      <c r="AH123" s="1390">
        <f>AH122+(AH125-AH118)/AY125*AY123</f>
        <v>0.24533333333333332</v>
      </c>
      <c r="AI123" s="1330"/>
      <c r="AJ123" s="1328">
        <f>+(AH123/AH116-1)*100</f>
        <v>2.2222222222222143</v>
      </c>
      <c r="AK123" s="1390"/>
      <c r="AL123" s="1328">
        <f>+AL122+AM123</f>
        <v>20</v>
      </c>
      <c r="AM123" s="1390">
        <v>0</v>
      </c>
      <c r="AN123" s="1330">
        <f>+(AL123/AL116-1)*100</f>
        <v>0</v>
      </c>
      <c r="AO123" s="1388"/>
      <c r="AP123" s="661"/>
      <c r="AQ123" s="1330"/>
      <c r="AR123" s="664"/>
      <c r="AS123" s="1340">
        <f>+D123+O123+AA123+AD123+AL123</f>
        <v>160</v>
      </c>
      <c r="AT123" s="1341">
        <f>+AS123-AS122</f>
        <v>3</v>
      </c>
      <c r="AU123" s="1330">
        <f>+(AS123/AS116-1)*100</f>
        <v>3.8961038961038863</v>
      </c>
      <c r="AV123" s="665"/>
      <c r="AW123" s="665"/>
      <c r="AX123" s="1347">
        <f>AS123-D123-AL123</f>
        <v>89</v>
      </c>
      <c r="AY123" s="1348">
        <f>AX123-AX122</f>
        <v>2</v>
      </c>
      <c r="AZ123" s="132"/>
      <c r="BA123" s="132"/>
      <c r="BB123" s="132"/>
      <c r="BC123" s="215">
        <f>D123/AS123</f>
        <v>0.31874999999999998</v>
      </c>
      <c r="BD123" s="1492">
        <f>(O123+AA123+AD123)/AS123</f>
        <v>0.55625000000000002</v>
      </c>
      <c r="BE123" s="1343">
        <f>AL123/AS123</f>
        <v>0.125</v>
      </c>
    </row>
    <row r="124" spans="1:57" ht="12" hidden="1" customHeight="1" outlineLevel="1">
      <c r="A124" s="132" t="str">
        <f>$A$33</f>
        <v>4Q</v>
      </c>
      <c r="B124" s="132" t="str">
        <f>$B$33</f>
        <v>Jan</v>
      </c>
      <c r="C124" s="132"/>
      <c r="D124" s="1349">
        <v>51</v>
      </c>
      <c r="E124" s="1329">
        <f>+D124-D123</f>
        <v>0</v>
      </c>
      <c r="F124" s="1330">
        <f>+(D124/D117-1)*100</f>
        <v>8.5106382978723296</v>
      </c>
      <c r="G124" s="1380">
        <v>0.42399999999999999</v>
      </c>
      <c r="H124" s="665"/>
      <c r="I124" s="1330">
        <f>+(G124/G117-1)*100</f>
        <v>3.4146341463414664</v>
      </c>
      <c r="J124" s="132"/>
      <c r="K124" s="1349">
        <v>7</v>
      </c>
      <c r="L124" s="1334">
        <f>+K124-K123</f>
        <v>0</v>
      </c>
      <c r="M124" s="1349">
        <v>11</v>
      </c>
      <c r="N124" s="1334">
        <f>+M124-M123</f>
        <v>0</v>
      </c>
      <c r="O124" s="1351">
        <f>+K124+M124</f>
        <v>18</v>
      </c>
      <c r="P124" s="1334">
        <f>+N124+L124</f>
        <v>0</v>
      </c>
      <c r="Q124" s="1330">
        <f>+(K124/K117-1)*100</f>
        <v>39.999999999999993</v>
      </c>
      <c r="R124" s="1330"/>
      <c r="S124" s="1330"/>
      <c r="T124" s="664"/>
      <c r="U124" s="1349"/>
      <c r="V124" s="1334"/>
      <c r="W124" s="1330"/>
      <c r="X124" s="1330"/>
      <c r="Y124" s="1330"/>
      <c r="Z124" s="664"/>
      <c r="AA124" s="1349">
        <v>50</v>
      </c>
      <c r="AB124" s="1335">
        <f>+AA124-AA123</f>
        <v>0</v>
      </c>
      <c r="AC124" s="1330">
        <f>+(AA124/AA117-1)*100</f>
        <v>4.1666666666666741</v>
      </c>
      <c r="AD124" s="1349">
        <v>22</v>
      </c>
      <c r="AE124" s="1335">
        <f>+AD124-AD123</f>
        <v>1</v>
      </c>
      <c r="AF124" s="1330">
        <f>+(AD124/AD117-1)*100</f>
        <v>10.000000000000009</v>
      </c>
      <c r="AG124" s="1349"/>
      <c r="AH124" s="1335">
        <v>0.248</v>
      </c>
      <c r="AI124" s="1330"/>
      <c r="AJ124" s="1349">
        <f>+(AH124/AH117-1)*100</f>
        <v>6.8965517241379226</v>
      </c>
      <c r="AK124" s="1335"/>
      <c r="AL124" s="1349">
        <v>24</v>
      </c>
      <c r="AM124" s="1335">
        <f>+AL124-AL123</f>
        <v>4</v>
      </c>
      <c r="AN124" s="1330">
        <f>+(AL124/AL117-1)*100</f>
        <v>19.999999999999996</v>
      </c>
      <c r="AO124" s="1388"/>
      <c r="AP124" s="661"/>
      <c r="AQ124" s="1330"/>
      <c r="AR124" s="664"/>
      <c r="AS124" s="1355">
        <f>+D124+O124+AA124+AD124+AL124</f>
        <v>165</v>
      </c>
      <c r="AT124" s="1341">
        <f>+AS124-AS123</f>
        <v>5</v>
      </c>
      <c r="AU124" s="1330">
        <f>+(AS124/AS117-1)*100</f>
        <v>9.27152317880795</v>
      </c>
      <c r="AV124" s="665"/>
      <c r="AW124" s="665"/>
      <c r="AX124" s="1347">
        <f>AS124-D124-AL124</f>
        <v>90</v>
      </c>
      <c r="AY124" s="1348">
        <f>AX124-AX123</f>
        <v>1</v>
      </c>
      <c r="AZ124" s="132"/>
      <c r="BA124" s="132"/>
      <c r="BB124" s="132"/>
      <c r="BC124" s="215">
        <f>D124/AS124</f>
        <v>0.30909090909090908</v>
      </c>
      <c r="BD124" s="1492">
        <f>(O124+AA124+AD124)/AS124</f>
        <v>0.54545454545454541</v>
      </c>
      <c r="BE124" s="1356">
        <f>AL124/AS124</f>
        <v>0.14545454545454545</v>
      </c>
    </row>
    <row r="125" spans="1:57" ht="12" hidden="1" customHeight="1" outlineLevel="1">
      <c r="A125" s="132"/>
      <c r="B125" s="132" t="str">
        <f>$B$34</f>
        <v>Year</v>
      </c>
      <c r="C125" s="132"/>
      <c r="D125" s="1340">
        <f>+D124</f>
        <v>51</v>
      </c>
      <c r="E125" s="1357">
        <f>+D125-D118</f>
        <v>4</v>
      </c>
      <c r="F125" s="1330">
        <f>+(D125/D118-1)*100</f>
        <v>8.5106382978723296</v>
      </c>
      <c r="G125" s="1331">
        <f>+G124</f>
        <v>0.42399999999999999</v>
      </c>
      <c r="H125" s="665">
        <f>+G125/D125*1000</f>
        <v>8.3137254901960773</v>
      </c>
      <c r="I125" s="1330">
        <f>+(G125/G118-1)*100</f>
        <v>3.4146341463414664</v>
      </c>
      <c r="J125" s="132"/>
      <c r="K125" s="1340">
        <f>+K124</f>
        <v>7</v>
      </c>
      <c r="L125" s="683">
        <f>+K125-K118</f>
        <v>2</v>
      </c>
      <c r="M125" s="1340">
        <f>+M124</f>
        <v>11</v>
      </c>
      <c r="N125" s="683">
        <f>+M125-M118</f>
        <v>0</v>
      </c>
      <c r="O125" s="1328">
        <f>+K125+M125</f>
        <v>18</v>
      </c>
      <c r="P125" s="683">
        <f>+N125+L125</f>
        <v>2</v>
      </c>
      <c r="Q125" s="1330">
        <f>+(K125/K118-1)*100</f>
        <v>39.999999999999993</v>
      </c>
      <c r="R125" s="1330"/>
      <c r="S125" s="1330"/>
      <c r="T125" s="664"/>
      <c r="U125" s="1340"/>
      <c r="V125" s="683"/>
      <c r="W125" s="1330"/>
      <c r="X125" s="1330"/>
      <c r="Y125" s="1330"/>
      <c r="Z125" s="664"/>
      <c r="AA125" s="1340">
        <f>+AA124</f>
        <v>50</v>
      </c>
      <c r="AB125" s="1372">
        <f>+AA124-AA117</f>
        <v>2</v>
      </c>
      <c r="AC125" s="1330">
        <f>+(AA125/AA118-1)*100</f>
        <v>4.1666666666666741</v>
      </c>
      <c r="AD125" s="1340">
        <f>+AD124</f>
        <v>22</v>
      </c>
      <c r="AE125" s="1372">
        <f>+AD124-AD117</f>
        <v>2</v>
      </c>
      <c r="AF125" s="1330">
        <f>+(AD125/AD118-1)*100</f>
        <v>10.000000000000009</v>
      </c>
      <c r="AG125" s="1340"/>
      <c r="AH125" s="1372">
        <f>+AH124</f>
        <v>0.248</v>
      </c>
      <c r="AI125" s="1330">
        <f>+AH125/AX125*1000</f>
        <v>2.7555555555555555</v>
      </c>
      <c r="AJ125" s="1340">
        <f>+(AH125/AH118-1)*100</f>
        <v>6.8965517241379226</v>
      </c>
      <c r="AK125" s="1372"/>
      <c r="AL125" s="1340">
        <f>+AL124</f>
        <v>24</v>
      </c>
      <c r="AM125" s="1372">
        <f>+AL124-AL117</f>
        <v>4</v>
      </c>
      <c r="AN125" s="1330">
        <f>+(AL125/AL118-1)*100</f>
        <v>19.999999999999996</v>
      </c>
      <c r="AO125" s="1389"/>
      <c r="AP125" s="661"/>
      <c r="AQ125" s="1330"/>
      <c r="AR125" s="664"/>
      <c r="AS125" s="1340">
        <f>+D125+O125+AA125+AD125+AL125</f>
        <v>165</v>
      </c>
      <c r="AT125" s="683">
        <f>+AS125-AS118</f>
        <v>14</v>
      </c>
      <c r="AU125" s="1330">
        <f>+(AS125/AS118-1)*100</f>
        <v>9.27152317880795</v>
      </c>
      <c r="AV125" s="665"/>
      <c r="AW125" s="665"/>
      <c r="AX125" s="1347">
        <f>AS125-D125-AL125</f>
        <v>90</v>
      </c>
      <c r="AY125" s="1348">
        <f>AX125-AX118</f>
        <v>6</v>
      </c>
      <c r="AZ125" s="132"/>
      <c r="BA125" s="132"/>
      <c r="BB125" s="132"/>
      <c r="BC125" s="1363">
        <f>D125/AS125</f>
        <v>0.30909090909090908</v>
      </c>
      <c r="BD125" s="1810">
        <f>(O125+AA125+AD125)/AS125</f>
        <v>0.54545454545454541</v>
      </c>
      <c r="BE125" s="1363">
        <f>AL125/AS125</f>
        <v>0.14545454545454545</v>
      </c>
    </row>
    <row r="126" spans="1:57" ht="12" hidden="1" customHeight="1" outlineLevel="1">
      <c r="A126" s="132"/>
      <c r="B126" s="132"/>
      <c r="C126" s="132"/>
      <c r="D126" s="1033"/>
      <c r="E126" s="1325"/>
      <c r="F126" s="1339"/>
      <c r="G126" s="1393"/>
      <c r="H126" s="230"/>
      <c r="I126" s="1330"/>
      <c r="J126" s="132"/>
      <c r="K126" s="1386"/>
      <c r="L126" s="1387"/>
      <c r="M126" s="1386"/>
      <c r="N126" s="1387"/>
      <c r="O126" s="1386"/>
      <c r="P126" s="200"/>
      <c r="Q126" s="230"/>
      <c r="R126" s="230"/>
      <c r="S126" s="230"/>
      <c r="T126" s="643"/>
      <c r="U126" s="1386"/>
      <c r="V126" s="1387"/>
      <c r="W126" s="230"/>
      <c r="X126" s="230"/>
      <c r="Y126" s="230"/>
      <c r="Z126" s="643"/>
      <c r="AA126" s="1386"/>
      <c r="AB126" s="174"/>
      <c r="AC126" s="230"/>
      <c r="AD126" s="1386"/>
      <c r="AE126" s="174"/>
      <c r="AF126" s="230"/>
      <c r="AG126" s="1386"/>
      <c r="AH126" s="174"/>
      <c r="AI126" s="230"/>
      <c r="AJ126" s="1386"/>
      <c r="AK126" s="174"/>
      <c r="AL126" s="1386"/>
      <c r="AM126" s="174"/>
      <c r="AN126" s="174"/>
      <c r="AO126" s="1386"/>
      <c r="AP126" s="230"/>
      <c r="AQ126" s="1339"/>
      <c r="AR126" s="643"/>
      <c r="AS126" s="1033"/>
      <c r="AT126" s="132"/>
      <c r="AU126" s="132"/>
      <c r="AV126" s="132"/>
      <c r="AW126" s="132"/>
      <c r="AX126" s="1347"/>
      <c r="AY126" s="1348"/>
      <c r="AZ126" s="132"/>
      <c r="BA126" s="132"/>
      <c r="BB126" s="132"/>
      <c r="BC126" s="132"/>
      <c r="BD126" s="256"/>
      <c r="BE126" s="132"/>
    </row>
    <row r="127" spans="1:57" ht="12" hidden="1" customHeight="1" outlineLevel="1">
      <c r="A127" s="2506">
        <f>+A120+1</f>
        <v>2004</v>
      </c>
      <c r="B127" s="2506"/>
      <c r="C127" s="132"/>
      <c r="D127" s="1033"/>
      <c r="E127" s="1325"/>
      <c r="F127" s="1339"/>
      <c r="G127" s="1033"/>
      <c r="H127" s="230"/>
      <c r="I127" s="1330"/>
      <c r="J127" s="132"/>
      <c r="K127" s="1394"/>
      <c r="L127" s="1395"/>
      <c r="M127" s="1394"/>
      <c r="N127" s="1395"/>
      <c r="O127" s="1394"/>
      <c r="P127" s="200"/>
      <c r="Q127" s="230"/>
      <c r="R127" s="230"/>
      <c r="S127" s="230"/>
      <c r="T127" s="643"/>
      <c r="U127" s="1394"/>
      <c r="V127" s="1395"/>
      <c r="W127" s="230"/>
      <c r="X127" s="230"/>
      <c r="Y127" s="230"/>
      <c r="Z127" s="643"/>
      <c r="AA127" s="1394"/>
      <c r="AB127" s="174"/>
      <c r="AC127" s="230"/>
      <c r="AD127" s="1394"/>
      <c r="AE127" s="174"/>
      <c r="AF127" s="230"/>
      <c r="AG127" s="1394"/>
      <c r="AH127" s="174"/>
      <c r="AI127" s="230"/>
      <c r="AJ127" s="1394"/>
      <c r="AK127" s="174"/>
      <c r="AL127" s="1386"/>
      <c r="AM127" s="174"/>
      <c r="AN127" s="174"/>
      <c r="AO127" s="1386"/>
      <c r="AP127" s="230"/>
      <c r="AQ127" s="1339"/>
      <c r="AR127" s="643"/>
      <c r="AS127" s="1396"/>
      <c r="AT127" s="132"/>
      <c r="AU127" s="132"/>
      <c r="AV127" s="132"/>
      <c r="AW127" s="132"/>
      <c r="AX127" s="1347"/>
      <c r="AY127" s="1348"/>
      <c r="AZ127" s="132"/>
      <c r="BA127" s="132"/>
      <c r="BB127" s="132"/>
      <c r="BC127" s="132"/>
      <c r="BD127" s="256"/>
      <c r="BE127" s="132"/>
    </row>
    <row r="128" spans="1:57" ht="12" hidden="1" customHeight="1" outlineLevel="1">
      <c r="A128" s="132" t="str">
        <f>$A$30</f>
        <v>1Q</v>
      </c>
      <c r="B128" s="132" t="str">
        <f>$B$30</f>
        <v>Apr</v>
      </c>
      <c r="C128" s="132"/>
      <c r="D128" s="1328">
        <f>+D124+E128</f>
        <v>51</v>
      </c>
      <c r="E128" s="1383">
        <v>0</v>
      </c>
      <c r="F128" s="1330">
        <f>+(D128/D121-1)*100</f>
        <v>4.081632653061229</v>
      </c>
      <c r="G128" s="1331">
        <f>G125+($G$132-$G$125)/$E$132*E128</f>
        <v>0.42399999999999999</v>
      </c>
      <c r="H128" s="665"/>
      <c r="I128" s="1330"/>
      <c r="J128" s="132"/>
      <c r="K128" s="1328">
        <f>+K124+L128</f>
        <v>7</v>
      </c>
      <c r="L128" s="1332">
        <v>0</v>
      </c>
      <c r="M128" s="1328">
        <f>+M124+N128</f>
        <v>12</v>
      </c>
      <c r="N128" s="1332">
        <v>1</v>
      </c>
      <c r="O128" s="1340">
        <f>+K128+M128</f>
        <v>19</v>
      </c>
      <c r="P128" s="1334">
        <f>+N128+L128</f>
        <v>1</v>
      </c>
      <c r="Q128" s="1330">
        <f>+(K128/K121-1)*100</f>
        <v>39.999999999999993</v>
      </c>
      <c r="R128" s="1330"/>
      <c r="S128" s="1330"/>
      <c r="T128" s="664"/>
      <c r="U128" s="1328"/>
      <c r="V128" s="1332"/>
      <c r="W128" s="1330"/>
      <c r="X128" s="1330"/>
      <c r="Y128" s="1330"/>
      <c r="Z128" s="664"/>
      <c r="AA128" s="1340">
        <f>+AA124+AB128</f>
        <v>50</v>
      </c>
      <c r="AB128" s="1390">
        <f>1-1</f>
        <v>0</v>
      </c>
      <c r="AC128" s="1330">
        <f>+(AA128/AA121-1)*100</f>
        <v>0</v>
      </c>
      <c r="AD128" s="1340">
        <f>+AD124+AE128</f>
        <v>22</v>
      </c>
      <c r="AE128" s="1390">
        <v>0</v>
      </c>
      <c r="AF128" s="1330">
        <f>+(AD128/AD121-1)*100</f>
        <v>4.7619047619047672</v>
      </c>
      <c r="AG128" s="1340"/>
      <c r="AH128" s="1390">
        <f>AH125+(AH132-AH125)/AY132*AY128</f>
        <v>0.25316666666666665</v>
      </c>
      <c r="AI128" s="1330"/>
      <c r="AJ128" s="1340">
        <f>+(AH128/AH121-1)*100</f>
        <v>5.4861111111111027</v>
      </c>
      <c r="AK128" s="1390"/>
      <c r="AL128" s="1340">
        <f>+AL124+AM128</f>
        <v>24</v>
      </c>
      <c r="AM128" s="1390">
        <v>0</v>
      </c>
      <c r="AN128" s="1330">
        <f>+(AL128/AL121-1)*100</f>
        <v>19.999999999999996</v>
      </c>
      <c r="AO128" s="1338">
        <f>+AL128*AP$132/1000</f>
        <v>3.1200000000000002E-2</v>
      </c>
      <c r="AP128" s="665"/>
      <c r="AQ128" s="1330"/>
      <c r="AR128" s="664"/>
      <c r="AS128" s="1340">
        <f>+D128+O128+AA128+AD128+AL128</f>
        <v>166</v>
      </c>
      <c r="AT128" s="1341">
        <f>+AS128-AS124</f>
        <v>1</v>
      </c>
      <c r="AU128" s="1330">
        <f>+(AS128/AS121-1)*100</f>
        <v>6.4102564102564097</v>
      </c>
      <c r="AV128" s="665"/>
      <c r="AW128" s="665"/>
      <c r="AX128" s="1347">
        <f>AS128-D128-AL128</f>
        <v>91</v>
      </c>
      <c r="AY128" s="1348">
        <f>AX128-AX125</f>
        <v>1</v>
      </c>
      <c r="AZ128" s="132"/>
      <c r="BA128" s="132"/>
      <c r="BB128" s="132"/>
      <c r="BC128" s="215">
        <f>D128/AS128</f>
        <v>0.30722891566265059</v>
      </c>
      <c r="BD128" s="1492">
        <f>(O128+AA128+AD128)/AS128</f>
        <v>0.54819277108433739</v>
      </c>
      <c r="BE128" s="1343">
        <f>AL128/AS128</f>
        <v>0.14457831325301204</v>
      </c>
    </row>
    <row r="129" spans="1:57" ht="12" hidden="1" customHeight="1" outlineLevel="1">
      <c r="A129" s="132" t="str">
        <f>$A$31</f>
        <v>2Q</v>
      </c>
      <c r="B129" s="132" t="str">
        <f>$B$31</f>
        <v>Jul</v>
      </c>
      <c r="C129" s="132"/>
      <c r="D129" s="1328">
        <f>+E129+D128</f>
        <v>53</v>
      </c>
      <c r="E129" s="1383">
        <v>2</v>
      </c>
      <c r="F129" s="1330">
        <f>+(D129/D122-1)*100</f>
        <v>6.0000000000000053</v>
      </c>
      <c r="G129" s="1331">
        <f>G128+($G$132-$G$125)/$E$132*E129</f>
        <v>0.435</v>
      </c>
      <c r="H129" s="665"/>
      <c r="I129" s="1330"/>
      <c r="J129" s="672"/>
      <c r="K129" s="1328">
        <f>+L129+K128</f>
        <v>7</v>
      </c>
      <c r="L129" s="1344">
        <v>0</v>
      </c>
      <c r="M129" s="1328">
        <f>+N129+M128</f>
        <v>12</v>
      </c>
      <c r="N129" s="1344">
        <v>0</v>
      </c>
      <c r="O129" s="1328">
        <f>+K129+M129</f>
        <v>19</v>
      </c>
      <c r="P129" s="1334">
        <f>+N129+L129</f>
        <v>0</v>
      </c>
      <c r="Q129" s="1330">
        <f>+(K129/K122-1)*100</f>
        <v>39.999999999999993</v>
      </c>
      <c r="R129" s="1330"/>
      <c r="S129" s="1330"/>
      <c r="T129" s="664"/>
      <c r="U129" s="1328"/>
      <c r="V129" s="1344"/>
      <c r="W129" s="1330"/>
      <c r="X129" s="1330"/>
      <c r="Y129" s="1330"/>
      <c r="Z129" s="664"/>
      <c r="AA129" s="1328">
        <f>+AA128+AB129</f>
        <v>50</v>
      </c>
      <c r="AB129" s="1390">
        <v>0</v>
      </c>
      <c r="AC129" s="1330">
        <f>+(AA129/AA122-1)*100</f>
        <v>0</v>
      </c>
      <c r="AD129" s="1328">
        <f>+AD128+AE129</f>
        <v>23</v>
      </c>
      <c r="AE129" s="1390">
        <v>1</v>
      </c>
      <c r="AF129" s="1330">
        <f>+(AD129/AD122-1)*100</f>
        <v>9.5238095238095344</v>
      </c>
      <c r="AG129" s="1328"/>
      <c r="AH129" s="1390">
        <f>AH128+(AH132-AH125)/AY132*AY129</f>
        <v>0.2583333333333333</v>
      </c>
      <c r="AI129" s="1330"/>
      <c r="AJ129" s="1328">
        <f>+(AH129/AH122-1)*100</f>
        <v>7.638888888888884</v>
      </c>
      <c r="AK129" s="1390"/>
      <c r="AL129" s="1328">
        <f>+AL128+AM129</f>
        <v>24</v>
      </c>
      <c r="AM129" s="1390">
        <v>0</v>
      </c>
      <c r="AN129" s="1330">
        <f>+(AL129/AL122-1)*100</f>
        <v>19.999999999999996</v>
      </c>
      <c r="AO129" s="1338">
        <f>+AL129*AP$132/1000</f>
        <v>3.1200000000000002E-2</v>
      </c>
      <c r="AP129" s="665"/>
      <c r="AQ129" s="1330"/>
      <c r="AR129" s="664"/>
      <c r="AS129" s="1340">
        <f>+D129+O129+AA129+AD129+AL129</f>
        <v>169</v>
      </c>
      <c r="AT129" s="1341">
        <f>+AS129-AS128</f>
        <v>3</v>
      </c>
      <c r="AU129" s="1330">
        <f>+(AS129/AS122-1)*100</f>
        <v>7.6433121019108263</v>
      </c>
      <c r="AV129" s="665"/>
      <c r="AW129" s="665"/>
      <c r="AX129" s="1347">
        <f>AS129-D129-AL129</f>
        <v>92</v>
      </c>
      <c r="AY129" s="1348">
        <f>AX129-AX128</f>
        <v>1</v>
      </c>
      <c r="AZ129" s="132"/>
      <c r="BA129" s="132"/>
      <c r="BB129" s="132"/>
      <c r="BC129" s="215">
        <f>D129/AS129</f>
        <v>0.31360946745562129</v>
      </c>
      <c r="BD129" s="1492">
        <f>(O129+AA129+AD129)/AS129</f>
        <v>0.54437869822485208</v>
      </c>
      <c r="BE129" s="1343">
        <f>AL129/AS129</f>
        <v>0.14201183431952663</v>
      </c>
    </row>
    <row r="130" spans="1:57" ht="12" hidden="1" customHeight="1" outlineLevel="1">
      <c r="A130" s="132" t="str">
        <f>$A$32</f>
        <v>3Q</v>
      </c>
      <c r="B130" s="132" t="str">
        <f>$B$32</f>
        <v>Oct</v>
      </c>
      <c r="C130" s="132"/>
      <c r="D130" s="1328">
        <f>+E130+D129</f>
        <v>54</v>
      </c>
      <c r="E130" s="1383">
        <v>1</v>
      </c>
      <c r="F130" s="1330">
        <f>+(D130/D123-1)*100</f>
        <v>5.8823529411764719</v>
      </c>
      <c r="G130" s="1331">
        <f>G129+($G$132-$G$125)/$E$132*E130</f>
        <v>0.4405</v>
      </c>
      <c r="H130" s="665"/>
      <c r="I130" s="1330"/>
      <c r="J130" s="132"/>
      <c r="K130" s="1328">
        <f>+L130+K129</f>
        <v>7</v>
      </c>
      <c r="L130" s="1344">
        <v>0</v>
      </c>
      <c r="M130" s="1328">
        <f>+N130+M129</f>
        <v>12</v>
      </c>
      <c r="N130" s="1344">
        <v>0</v>
      </c>
      <c r="O130" s="1328">
        <f>+K130+M130</f>
        <v>19</v>
      </c>
      <c r="P130" s="1334">
        <f>+N130+L130</f>
        <v>0</v>
      </c>
      <c r="Q130" s="1330">
        <f>+(K130/K123-1)*100</f>
        <v>0</v>
      </c>
      <c r="R130" s="1330"/>
      <c r="S130" s="1330"/>
      <c r="T130" s="664"/>
      <c r="U130" s="1328"/>
      <c r="V130" s="1344"/>
      <c r="W130" s="1330"/>
      <c r="X130" s="1330"/>
      <c r="Y130" s="1330"/>
      <c r="Z130" s="664"/>
      <c r="AA130" s="1328">
        <f>+AA129+AB130</f>
        <v>51</v>
      </c>
      <c r="AB130" s="1390">
        <v>1</v>
      </c>
      <c r="AC130" s="1330">
        <f>+(AA130/AA123-1)*100</f>
        <v>2.0000000000000018</v>
      </c>
      <c r="AD130" s="1328">
        <f>+AD129+AE130</f>
        <v>24</v>
      </c>
      <c r="AE130" s="1390">
        <v>1</v>
      </c>
      <c r="AF130" s="1330">
        <f>+(AD130/AD123-1)*100</f>
        <v>14.285714285714279</v>
      </c>
      <c r="AG130" s="1328"/>
      <c r="AH130" s="1390">
        <f>AH129+(AH132-AH125)/AY132*AY130</f>
        <v>0.26866666666666666</v>
      </c>
      <c r="AI130" s="1330"/>
      <c r="AJ130" s="1328">
        <f>+(AH130/AH123-1)*100</f>
        <v>9.5108695652174049</v>
      </c>
      <c r="AK130" s="1390"/>
      <c r="AL130" s="1328">
        <f>+AL129+AM130</f>
        <v>24</v>
      </c>
      <c r="AM130" s="1390">
        <v>0</v>
      </c>
      <c r="AN130" s="1330">
        <f>+(AL130/AL123-1)*100</f>
        <v>19.999999999999996</v>
      </c>
      <c r="AO130" s="1338">
        <f>+AL130*AP$132/1000</f>
        <v>3.1200000000000002E-2</v>
      </c>
      <c r="AP130" s="665"/>
      <c r="AQ130" s="1330"/>
      <c r="AR130" s="664"/>
      <c r="AS130" s="1340">
        <f>+D130+O130+AA130+AD130+AL130</f>
        <v>172</v>
      </c>
      <c r="AT130" s="1341">
        <f>+AS130-AS129</f>
        <v>3</v>
      </c>
      <c r="AU130" s="1330">
        <f>+(AS130/AS123-1)*100</f>
        <v>7.4999999999999956</v>
      </c>
      <c r="AV130" s="665"/>
      <c r="AW130" s="665"/>
      <c r="AX130" s="1347">
        <f>AS130-D130-AL130</f>
        <v>94</v>
      </c>
      <c r="AY130" s="1348">
        <f>AX130-AX129</f>
        <v>2</v>
      </c>
      <c r="AZ130" s="132"/>
      <c r="BA130" s="132"/>
      <c r="BB130" s="132"/>
      <c r="BC130" s="215">
        <f>D130/AS130</f>
        <v>0.31395348837209303</v>
      </c>
      <c r="BD130" s="1492">
        <f>(O130+AA130+AD130)/AS130</f>
        <v>0.54651162790697672</v>
      </c>
      <c r="BE130" s="1343">
        <f>AL130/AS130</f>
        <v>0.13953488372093023</v>
      </c>
    </row>
    <row r="131" spans="1:57" ht="12" hidden="1" customHeight="1" outlineLevel="1">
      <c r="A131" s="132" t="str">
        <f>$A$33</f>
        <v>4Q</v>
      </c>
      <c r="B131" s="132" t="str">
        <f>$B$33</f>
        <v>Jan</v>
      </c>
      <c r="C131" s="132"/>
      <c r="D131" s="1349">
        <v>55</v>
      </c>
      <c r="E131" s="1329">
        <f>+D131-D130</f>
        <v>1</v>
      </c>
      <c r="F131" s="1330">
        <f>+(D131/D124-1)*100</f>
        <v>7.8431372549019551</v>
      </c>
      <c r="G131" s="1380">
        <f>0.406+0.04</f>
        <v>0.44600000000000001</v>
      </c>
      <c r="H131" s="665"/>
      <c r="I131" s="1330">
        <f>+(G131/G124-1)*100</f>
        <v>5.1886792452830344</v>
      </c>
      <c r="J131" s="132"/>
      <c r="K131" s="1349">
        <v>7</v>
      </c>
      <c r="L131" s="1334">
        <f>+K131-K130</f>
        <v>0</v>
      </c>
      <c r="M131" s="1349">
        <v>12</v>
      </c>
      <c r="N131" s="1334">
        <f>+M131-M130</f>
        <v>0</v>
      </c>
      <c r="O131" s="1351">
        <f>+K131+M131</f>
        <v>19</v>
      </c>
      <c r="P131" s="1334">
        <f>+N131+L131</f>
        <v>0</v>
      </c>
      <c r="Q131" s="1330">
        <f>+(K131/K124-1)*100</f>
        <v>0</v>
      </c>
      <c r="R131" s="1330"/>
      <c r="S131" s="1330"/>
      <c r="T131" s="664"/>
      <c r="U131" s="1349"/>
      <c r="V131" s="1334"/>
      <c r="W131" s="1330"/>
      <c r="X131" s="1330"/>
      <c r="Y131" s="1330"/>
      <c r="Z131" s="664"/>
      <c r="AA131" s="1349">
        <v>53</v>
      </c>
      <c r="AB131" s="1335">
        <f>+AA131-AA130</f>
        <v>2</v>
      </c>
      <c r="AC131" s="1330">
        <f>+(AA131/AA124-1)*100</f>
        <v>6.0000000000000053</v>
      </c>
      <c r="AD131" s="1349">
        <v>24</v>
      </c>
      <c r="AE131" s="1335">
        <f>+AD131-AD130</f>
        <v>0</v>
      </c>
      <c r="AF131" s="1330">
        <f>+(AD131/AD124-1)*100</f>
        <v>9.0909090909090828</v>
      </c>
      <c r="AG131" s="1349"/>
      <c r="AH131" s="1335">
        <v>0.27900000000000003</v>
      </c>
      <c r="AI131" s="1330"/>
      <c r="AJ131" s="1349">
        <f>+(AH131/AH124-1)*100</f>
        <v>12.500000000000021</v>
      </c>
      <c r="AK131" s="1335"/>
      <c r="AL131" s="1351">
        <f>+AM131+AL130</f>
        <v>24</v>
      </c>
      <c r="AM131" s="1390">
        <v>0</v>
      </c>
      <c r="AN131" s="1330">
        <f>+(AL131/AL124-1)*100</f>
        <v>0</v>
      </c>
      <c r="AO131" s="1353">
        <f>+AL131*AP$132/1000</f>
        <v>3.1200000000000002E-2</v>
      </c>
      <c r="AP131" s="665"/>
      <c r="AQ131" s="1330"/>
      <c r="AR131" s="664"/>
      <c r="AS131" s="1355">
        <f>+D131+O131+AA131+AD131+AL131</f>
        <v>175</v>
      </c>
      <c r="AT131" s="1341">
        <f>+AS131-AS130</f>
        <v>3</v>
      </c>
      <c r="AU131" s="1330">
        <f>+(AS131/AS124-1)*100</f>
        <v>6.0606060606060552</v>
      </c>
      <c r="AV131" s="665"/>
      <c r="AW131" s="665"/>
      <c r="AX131" s="1347">
        <f>AS131-D131-AL131</f>
        <v>96</v>
      </c>
      <c r="AY131" s="1348">
        <f>AX131-AX130</f>
        <v>2</v>
      </c>
      <c r="AZ131" s="132"/>
      <c r="BA131" s="132"/>
      <c r="BB131" s="132"/>
      <c r="BC131" s="215">
        <f>D131/AS131</f>
        <v>0.31428571428571428</v>
      </c>
      <c r="BD131" s="1492">
        <f>(O131+AA131+AD131)/AS131</f>
        <v>0.5485714285714286</v>
      </c>
      <c r="BE131" s="1356">
        <f>AL131/AS131</f>
        <v>0.13714285714285715</v>
      </c>
    </row>
    <row r="132" spans="1:57" ht="12" hidden="1" customHeight="1" outlineLevel="1">
      <c r="A132" s="132"/>
      <c r="B132" s="132" t="str">
        <f>$B$34</f>
        <v>Year</v>
      </c>
      <c r="C132" s="132"/>
      <c r="D132" s="1340">
        <f>+D124+E132</f>
        <v>55</v>
      </c>
      <c r="E132" s="1357">
        <f>+D131-D125</f>
        <v>4</v>
      </c>
      <c r="F132" s="1330">
        <f>+(D132/D125-1)*100</f>
        <v>7.8431372549019551</v>
      </c>
      <c r="G132" s="1331">
        <f>+G131</f>
        <v>0.44600000000000001</v>
      </c>
      <c r="H132" s="665">
        <f>+G132/D132*1000</f>
        <v>8.1090909090909093</v>
      </c>
      <c r="I132" s="1330">
        <f>+(G132/G125-1)*100</f>
        <v>5.1886792452830344</v>
      </c>
      <c r="J132" s="132"/>
      <c r="K132" s="1340">
        <f>+K124+L132</f>
        <v>7</v>
      </c>
      <c r="L132" s="1357">
        <f>+K131-K125</f>
        <v>0</v>
      </c>
      <c r="M132" s="1340">
        <f>+M124+N132</f>
        <v>12</v>
      </c>
      <c r="N132" s="1357">
        <f>+M131-M125</f>
        <v>1</v>
      </c>
      <c r="O132" s="1328">
        <f>+K132+M132</f>
        <v>19</v>
      </c>
      <c r="P132" s="1334">
        <f>+N132+L132</f>
        <v>1</v>
      </c>
      <c r="Q132" s="1330">
        <f>+(K132/K125-1)*100</f>
        <v>0</v>
      </c>
      <c r="R132" s="1330"/>
      <c r="S132" s="1330"/>
      <c r="T132" s="664"/>
      <c r="U132" s="1340"/>
      <c r="V132" s="1357"/>
      <c r="W132" s="1330"/>
      <c r="X132" s="1330"/>
      <c r="Y132" s="1330"/>
      <c r="Z132" s="664"/>
      <c r="AA132" s="1340">
        <f>+AA124+AB132</f>
        <v>53</v>
      </c>
      <c r="AB132" s="1357">
        <f>+AA131-AA125</f>
        <v>3</v>
      </c>
      <c r="AC132" s="1330">
        <f>+(AA132/AA125-1)*100</f>
        <v>6.0000000000000053</v>
      </c>
      <c r="AD132" s="1340">
        <f>+AD124+AE132</f>
        <v>24</v>
      </c>
      <c r="AE132" s="1357">
        <f>+AD131-AD125</f>
        <v>2</v>
      </c>
      <c r="AF132" s="1330">
        <f>+(AD132/AD125-1)*100</f>
        <v>9.0909090909090828</v>
      </c>
      <c r="AG132" s="1340"/>
      <c r="AH132" s="1357">
        <v>0.27900000000000003</v>
      </c>
      <c r="AI132" s="1330">
        <f>+AH132/AX132*1000</f>
        <v>2.9062500000000004</v>
      </c>
      <c r="AJ132" s="1340">
        <f>+(AH132/AH125-1)*100</f>
        <v>12.500000000000021</v>
      </c>
      <c r="AK132" s="1357"/>
      <c r="AL132" s="1397">
        <f>23+2+2</f>
        <v>27</v>
      </c>
      <c r="AM132" s="1372">
        <f>+AL132-AL125</f>
        <v>3</v>
      </c>
      <c r="AN132" s="1330">
        <f>+(AL132/AL125-1)*100</f>
        <v>12.5</v>
      </c>
      <c r="AO132" s="1338">
        <f>+AL132*AP132/1000</f>
        <v>3.5099999999999999E-2</v>
      </c>
      <c r="AP132" s="665">
        <f>+AP125+1.3</f>
        <v>1.3</v>
      </c>
      <c r="AQ132" s="1330"/>
      <c r="AR132" s="664"/>
      <c r="AS132" s="1340">
        <f>+D132+O132+AA132+AD132+AL132</f>
        <v>178</v>
      </c>
      <c r="AT132" s="683">
        <f>+AS132-AS125</f>
        <v>13</v>
      </c>
      <c r="AU132" s="1330">
        <f>+(AS132/AS125-1)*100</f>
        <v>7.8787878787878851</v>
      </c>
      <c r="AV132" s="665"/>
      <c r="AW132" s="665"/>
      <c r="AX132" s="1347">
        <f>AS132-D132-AL132</f>
        <v>96</v>
      </c>
      <c r="AY132" s="1348">
        <f>AX132-AX125</f>
        <v>6</v>
      </c>
      <c r="AZ132" s="132"/>
      <c r="BA132" s="132"/>
      <c r="BB132" s="132"/>
      <c r="BC132" s="1363">
        <f>D132/AS132</f>
        <v>0.3089887640449438</v>
      </c>
      <c r="BD132" s="1810">
        <f>(O132+AA132+AD132)/AS132</f>
        <v>0.5393258426966292</v>
      </c>
      <c r="BE132" s="1363">
        <f>AL132/AS132</f>
        <v>0.15168539325842698</v>
      </c>
    </row>
    <row r="133" spans="1:57" ht="12" hidden="1" customHeight="1" outlineLevel="1">
      <c r="A133" s="132"/>
      <c r="B133" s="132"/>
      <c r="C133" s="132"/>
      <c r="D133" s="1033"/>
      <c r="E133" s="1325"/>
      <c r="F133" s="1339"/>
      <c r="G133" s="1033"/>
      <c r="H133" s="230"/>
      <c r="I133" s="1330"/>
      <c r="J133" s="132"/>
      <c r="K133" s="1386"/>
      <c r="L133" s="1387"/>
      <c r="M133" s="1386"/>
      <c r="N133" s="1387"/>
      <c r="O133" s="1386"/>
      <c r="P133" s="200"/>
      <c r="Q133" s="1398"/>
      <c r="R133" s="1398"/>
      <c r="S133" s="1398"/>
      <c r="T133" s="643"/>
      <c r="U133" s="1386"/>
      <c r="V133" s="1387"/>
      <c r="W133" s="1398"/>
      <c r="X133" s="1398"/>
      <c r="Y133" s="1398"/>
      <c r="Z133" s="643"/>
      <c r="AA133" s="1386"/>
      <c r="AB133" s="174"/>
      <c r="AC133" s="1398"/>
      <c r="AD133" s="1386"/>
      <c r="AE133" s="174"/>
      <c r="AF133" s="1398"/>
      <c r="AG133" s="1386"/>
      <c r="AH133" s="174"/>
      <c r="AI133" s="1398"/>
      <c r="AJ133" s="1386"/>
      <c r="AK133" s="174"/>
      <c r="AL133" s="1386"/>
      <c r="AM133" s="174"/>
      <c r="AN133" s="174"/>
      <c r="AO133" s="1386"/>
      <c r="AP133" s="230"/>
      <c r="AQ133" s="1339"/>
      <c r="AR133" s="643"/>
      <c r="AS133" s="1033"/>
      <c r="AT133" s="132"/>
      <c r="AU133" s="132"/>
      <c r="AV133" s="132"/>
      <c r="AW133" s="132"/>
      <c r="AX133" s="1347"/>
      <c r="AY133" s="1348"/>
      <c r="AZ133" s="132"/>
      <c r="BA133" s="132"/>
      <c r="BB133" s="132"/>
      <c r="BC133" s="132"/>
      <c r="BD133" s="256"/>
      <c r="BE133" s="132"/>
    </row>
    <row r="134" spans="1:57" ht="12" hidden="1" customHeight="1" outlineLevel="1">
      <c r="A134" s="2506">
        <f>+A127+1</f>
        <v>2005</v>
      </c>
      <c r="B134" s="2506"/>
      <c r="C134" s="132"/>
      <c r="D134" s="1033"/>
      <c r="E134" s="1325"/>
      <c r="F134" s="1339"/>
      <c r="G134" s="1033"/>
      <c r="H134" s="230"/>
      <c r="I134" s="1330"/>
      <c r="J134" s="132"/>
      <c r="K134" s="1386"/>
      <c r="L134" s="1387"/>
      <c r="M134" s="1386"/>
      <c r="N134" s="1387"/>
      <c r="O134" s="1386"/>
      <c r="P134" s="200"/>
      <c r="Q134" s="230"/>
      <c r="R134" s="230"/>
      <c r="S134" s="230"/>
      <c r="T134" s="643"/>
      <c r="U134" s="1386"/>
      <c r="V134" s="1387"/>
      <c r="W134" s="230"/>
      <c r="X134" s="230"/>
      <c r="Y134" s="230"/>
      <c r="Z134" s="643"/>
      <c r="AA134" s="1386"/>
      <c r="AB134" s="174"/>
      <c r="AC134" s="230"/>
      <c r="AD134" s="1386"/>
      <c r="AE134" s="174"/>
      <c r="AF134" s="230"/>
      <c r="AG134" s="1386"/>
      <c r="AH134" s="174"/>
      <c r="AI134" s="230"/>
      <c r="AJ134" s="1386"/>
      <c r="AK134" s="174"/>
      <c r="AL134" s="1386"/>
      <c r="AM134" s="174"/>
      <c r="AN134" s="174"/>
      <c r="AO134" s="1386"/>
      <c r="AP134" s="230"/>
      <c r="AQ134" s="1339"/>
      <c r="AR134" s="643"/>
      <c r="AS134" s="1033"/>
      <c r="AT134" s="132"/>
      <c r="AU134" s="132"/>
      <c r="AV134" s="132"/>
      <c r="AW134" s="132"/>
      <c r="AX134" s="1347"/>
      <c r="AY134" s="1348"/>
      <c r="AZ134" s="132"/>
      <c r="BA134" s="132"/>
      <c r="BB134" s="132"/>
      <c r="BC134" s="132"/>
      <c r="BD134" s="256"/>
      <c r="BE134" s="132"/>
    </row>
    <row r="135" spans="1:57" ht="12" hidden="1" customHeight="1" outlineLevel="1">
      <c r="A135" s="132" t="str">
        <f>$A$30</f>
        <v>1Q</v>
      </c>
      <c r="B135" s="132" t="str">
        <f>$B$30</f>
        <v>Apr</v>
      </c>
      <c r="C135" s="132"/>
      <c r="D135" s="1328">
        <f>+D131+E135</f>
        <v>56</v>
      </c>
      <c r="E135" s="1383">
        <v>1</v>
      </c>
      <c r="F135" s="1330">
        <f>+(D135/D128-1)*100</f>
        <v>9.8039215686274606</v>
      </c>
      <c r="G135" s="1331">
        <f>G132+($G$139-$G$132)/$E$139*E135</f>
        <v>0.45125000000000004</v>
      </c>
      <c r="H135" s="665"/>
      <c r="I135" s="1330">
        <f>+(G135/G128-1)*100</f>
        <v>6.4268867924528461</v>
      </c>
      <c r="J135" s="132"/>
      <c r="K135" s="1328">
        <f>+K131+L135</f>
        <v>7</v>
      </c>
      <c r="L135" s="1332">
        <v>0</v>
      </c>
      <c r="M135" s="1328">
        <f>+M131+N135</f>
        <v>12</v>
      </c>
      <c r="N135" s="1344">
        <v>0</v>
      </c>
      <c r="O135" s="1340">
        <f>+K135+M135</f>
        <v>19</v>
      </c>
      <c r="P135" s="1334">
        <f>+N135+L135</f>
        <v>0</v>
      </c>
      <c r="Q135" s="1330">
        <f>+(K135/K128-1)*100</f>
        <v>0</v>
      </c>
      <c r="R135" s="1330"/>
      <c r="S135" s="1330"/>
      <c r="T135" s="664"/>
      <c r="U135" s="1328"/>
      <c r="V135" s="1332"/>
      <c r="W135" s="1330"/>
      <c r="X135" s="1330"/>
      <c r="Y135" s="1330"/>
      <c r="Z135" s="664"/>
      <c r="AA135" s="1328">
        <f>+AA132+AB135</f>
        <v>53</v>
      </c>
      <c r="AB135" s="1390">
        <v>0</v>
      </c>
      <c r="AC135" s="1330">
        <f>+(AA135/AA128-1)*100</f>
        <v>6.0000000000000053</v>
      </c>
      <c r="AD135" s="1328">
        <f>+AD132+AE135</f>
        <v>24</v>
      </c>
      <c r="AE135" s="1390">
        <v>0</v>
      </c>
      <c r="AF135" s="1330">
        <f>+(AD135/AD128-1)*100</f>
        <v>9.0909090909090828</v>
      </c>
      <c r="AG135" s="1328"/>
      <c r="AH135" s="1390">
        <f>AH132+(AH139-AH132)/AY139*AY135</f>
        <v>0.27900000000000003</v>
      </c>
      <c r="AI135" s="1330"/>
      <c r="AJ135" s="1328">
        <f>+(AH135/AH128-1)*100</f>
        <v>10.204081632653072</v>
      </c>
      <c r="AK135" s="1390"/>
      <c r="AL135" s="1328">
        <f>+AL132+AM135</f>
        <v>27</v>
      </c>
      <c r="AM135" s="1390">
        <v>0</v>
      </c>
      <c r="AN135" s="1330">
        <f>+(AL135/AL128-1)*100</f>
        <v>12.5</v>
      </c>
      <c r="AO135" s="1338">
        <f>+AL135*AP$132/1000</f>
        <v>3.5099999999999999E-2</v>
      </c>
      <c r="AP135" s="665"/>
      <c r="AQ135" s="1330">
        <f>+(AO135/AO128-1)*100</f>
        <v>12.5</v>
      </c>
      <c r="AR135" s="664"/>
      <c r="AS135" s="1340">
        <f>+D135+O135+AA135+AD135+AL135</f>
        <v>179</v>
      </c>
      <c r="AT135" s="1341">
        <f>+AS135-AS131</f>
        <v>4</v>
      </c>
      <c r="AU135" s="1330">
        <f>+(AS135/AS128-1)*100</f>
        <v>7.8313253012048278</v>
      </c>
      <c r="AV135" s="665"/>
      <c r="AW135" s="665"/>
      <c r="AX135" s="1347">
        <f>AS135-D135-AL135</f>
        <v>96</v>
      </c>
      <c r="AY135" s="1348">
        <f>AX135-AX132</f>
        <v>0</v>
      </c>
      <c r="AZ135" s="132"/>
      <c r="BA135" s="132"/>
      <c r="BB135" s="132"/>
      <c r="BC135" s="215">
        <f>D135/AS135</f>
        <v>0.31284916201117319</v>
      </c>
      <c r="BD135" s="1492">
        <f>(O135+AA135+AD135)/AS135</f>
        <v>0.53631284916201116</v>
      </c>
      <c r="BE135" s="1343">
        <f>AL135/AS135</f>
        <v>0.15083798882681565</v>
      </c>
    </row>
    <row r="136" spans="1:57" ht="12" hidden="1" customHeight="1" outlineLevel="1">
      <c r="A136" s="132" t="str">
        <f>$A$31</f>
        <v>2Q</v>
      </c>
      <c r="B136" s="132" t="str">
        <f>$B$31</f>
        <v>Jul</v>
      </c>
      <c r="C136" s="132"/>
      <c r="D136" s="1328">
        <f>+E136+D135</f>
        <v>57</v>
      </c>
      <c r="E136" s="1383">
        <v>1</v>
      </c>
      <c r="F136" s="1330">
        <f>+(D136/D129-1)*100</f>
        <v>7.547169811320753</v>
      </c>
      <c r="G136" s="1331">
        <f>G135+($G$139-$G$132)/$E$139*E136</f>
        <v>0.45650000000000002</v>
      </c>
      <c r="H136" s="665"/>
      <c r="I136" s="1330">
        <f>+(G136/G129-1)*100</f>
        <v>4.9425287356321901</v>
      </c>
      <c r="J136" s="672"/>
      <c r="K136" s="1328">
        <f>+L136+K135</f>
        <v>7</v>
      </c>
      <c r="L136" s="1344">
        <v>0</v>
      </c>
      <c r="M136" s="1328">
        <f>+N136+M135</f>
        <v>12</v>
      </c>
      <c r="N136" s="1344">
        <v>0</v>
      </c>
      <c r="O136" s="1328">
        <f>+K136+M136</f>
        <v>19</v>
      </c>
      <c r="P136" s="1334">
        <f>+N136+L136</f>
        <v>0</v>
      </c>
      <c r="Q136" s="1330">
        <f>+(K136/K129-1)*100</f>
        <v>0</v>
      </c>
      <c r="R136" s="1330"/>
      <c r="S136" s="1330"/>
      <c r="T136" s="664"/>
      <c r="U136" s="1328"/>
      <c r="V136" s="1344"/>
      <c r="W136" s="1330"/>
      <c r="X136" s="1330"/>
      <c r="Y136" s="1330"/>
      <c r="Z136" s="664"/>
      <c r="AA136" s="1328">
        <f>+AA135+AB136</f>
        <v>54</v>
      </c>
      <c r="AB136" s="1390">
        <v>1</v>
      </c>
      <c r="AC136" s="1330">
        <f>+(AA136/AA129-1)*100</f>
        <v>8.0000000000000071</v>
      </c>
      <c r="AD136" s="1328">
        <f>+AD135+AE136</f>
        <v>25</v>
      </c>
      <c r="AE136" s="1390">
        <v>1</v>
      </c>
      <c r="AF136" s="1330">
        <f>+(AD136/AD129-1)*100</f>
        <v>8.6956521739130377</v>
      </c>
      <c r="AG136" s="1328"/>
      <c r="AH136" s="1390">
        <f>AH135+(AH139-AH132)/AY139*AY136</f>
        <v>0.28100000000000003</v>
      </c>
      <c r="AI136" s="1330"/>
      <c r="AJ136" s="1328">
        <f>+(AH136/AH129-1)*100</f>
        <v>8.7741935483871103</v>
      </c>
      <c r="AK136" s="1390"/>
      <c r="AL136" s="1328">
        <f>+AL135+AM136</f>
        <v>27</v>
      </c>
      <c r="AM136" s="1390">
        <v>0</v>
      </c>
      <c r="AN136" s="1330">
        <f>+(AL136/AL129-1)*100</f>
        <v>12.5</v>
      </c>
      <c r="AO136" s="1338">
        <f>+AL136*AP$132/1000</f>
        <v>3.5099999999999999E-2</v>
      </c>
      <c r="AP136" s="665"/>
      <c r="AQ136" s="1330">
        <f>+(AO136/AO129-1)*100</f>
        <v>12.5</v>
      </c>
      <c r="AR136" s="664"/>
      <c r="AS136" s="1340">
        <f>+D136+O136+AA136+AD136+AL136</f>
        <v>182</v>
      </c>
      <c r="AT136" s="1341">
        <f>+AS136-AS135</f>
        <v>3</v>
      </c>
      <c r="AU136" s="1330">
        <f>+(AS136/AS129-1)*100</f>
        <v>7.6923076923076872</v>
      </c>
      <c r="AV136" s="665"/>
      <c r="AW136" s="665"/>
      <c r="AX136" s="1347">
        <f>AS136-D136-AL136</f>
        <v>98</v>
      </c>
      <c r="AY136" s="1348">
        <f>AX136-AX135</f>
        <v>2</v>
      </c>
      <c r="AZ136" s="132"/>
      <c r="BA136" s="132"/>
      <c r="BB136" s="132"/>
      <c r="BC136" s="215">
        <f>D136/AS136</f>
        <v>0.31318681318681318</v>
      </c>
      <c r="BD136" s="1492">
        <f>(O136+AA136+AD136)/AS136</f>
        <v>0.53846153846153844</v>
      </c>
      <c r="BE136" s="1343">
        <f>AL136/AS136</f>
        <v>0.14835164835164835</v>
      </c>
    </row>
    <row r="137" spans="1:57" ht="12" hidden="1" customHeight="1" outlineLevel="1">
      <c r="A137" s="132" t="str">
        <f>$A$32</f>
        <v>3Q</v>
      </c>
      <c r="B137" s="132" t="str">
        <f>$B$32</f>
        <v>Oct</v>
      </c>
      <c r="C137" s="132"/>
      <c r="D137" s="1328">
        <f>+E137+D136</f>
        <v>58</v>
      </c>
      <c r="E137" s="1383">
        <v>1</v>
      </c>
      <c r="F137" s="1330">
        <f>+(D137/D130-1)*100</f>
        <v>7.4074074074074181</v>
      </c>
      <c r="G137" s="1331">
        <f>G136+($G$139-$G$132)/$E$139*E137</f>
        <v>0.46174999999999999</v>
      </c>
      <c r="H137" s="665"/>
      <c r="I137" s="1330">
        <f>+(G137/G130-1)*100</f>
        <v>4.8240635641316754</v>
      </c>
      <c r="J137" s="132"/>
      <c r="K137" s="1328">
        <f>+L137+K136</f>
        <v>7</v>
      </c>
      <c r="L137" s="1344">
        <v>0</v>
      </c>
      <c r="M137" s="1328">
        <f>+N137+M136</f>
        <v>13</v>
      </c>
      <c r="N137" s="1344">
        <v>1</v>
      </c>
      <c r="O137" s="1328">
        <f>+K137+M137</f>
        <v>20</v>
      </c>
      <c r="P137" s="1334">
        <f>+N137+L137</f>
        <v>1</v>
      </c>
      <c r="Q137" s="1330">
        <f>+(K137/K130-1)*100</f>
        <v>0</v>
      </c>
      <c r="R137" s="1330"/>
      <c r="S137" s="1330"/>
      <c r="T137" s="664"/>
      <c r="U137" s="1328"/>
      <c r="V137" s="1344"/>
      <c r="W137" s="1330"/>
      <c r="X137" s="1330"/>
      <c r="Y137" s="1330"/>
      <c r="Z137" s="664"/>
      <c r="AA137" s="1328">
        <f>+AA136+AB137</f>
        <v>55</v>
      </c>
      <c r="AB137" s="1390">
        <v>1</v>
      </c>
      <c r="AC137" s="1330">
        <f>+(AA137/AA130-1)*100</f>
        <v>7.8431372549019551</v>
      </c>
      <c r="AD137" s="1328">
        <f>+AD136+AE137</f>
        <v>25</v>
      </c>
      <c r="AE137" s="1390">
        <v>0</v>
      </c>
      <c r="AF137" s="1330">
        <f>+(AD137/AD130-1)*100</f>
        <v>4.1666666666666741</v>
      </c>
      <c r="AG137" s="1328"/>
      <c r="AH137" s="1390">
        <f>AH136+(AH139-AH132)/AY139*AY137</f>
        <v>0.28300000000000003</v>
      </c>
      <c r="AI137" s="1330"/>
      <c r="AJ137" s="1328">
        <f>+(AH137/AH130-1)*100</f>
        <v>5.3349875930521318</v>
      </c>
      <c r="AK137" s="1390"/>
      <c r="AL137" s="1328">
        <f>+AL136+AM137</f>
        <v>27</v>
      </c>
      <c r="AM137" s="1390">
        <v>0</v>
      </c>
      <c r="AN137" s="1330">
        <f>+(AL137/AL130-1)*100</f>
        <v>12.5</v>
      </c>
      <c r="AO137" s="1338">
        <f>+AL137*AP$132/1000</f>
        <v>3.5099999999999999E-2</v>
      </c>
      <c r="AP137" s="665"/>
      <c r="AQ137" s="1330">
        <f>+(AO137/AO130-1)*100</f>
        <v>12.5</v>
      </c>
      <c r="AR137" s="664"/>
      <c r="AS137" s="1340">
        <f>+D137+O137+AA137+AD137+AL137</f>
        <v>185</v>
      </c>
      <c r="AT137" s="1341">
        <f>+AS137-AS136</f>
        <v>3</v>
      </c>
      <c r="AU137" s="1330">
        <f>+(AS137/AS130-1)*100</f>
        <v>7.5581395348837122</v>
      </c>
      <c r="AV137" s="665"/>
      <c r="AW137" s="665"/>
      <c r="AX137" s="1347">
        <f>AS137-D137-AL137</f>
        <v>100</v>
      </c>
      <c r="AY137" s="1348">
        <f>AX137-AX136</f>
        <v>2</v>
      </c>
      <c r="AZ137" s="132"/>
      <c r="BA137" s="132"/>
      <c r="BB137" s="132"/>
      <c r="BC137" s="215">
        <f>D137/AS137</f>
        <v>0.31351351351351353</v>
      </c>
      <c r="BD137" s="1492">
        <f>(O137+AA137+AD137)/AS137</f>
        <v>0.54054054054054057</v>
      </c>
      <c r="BE137" s="1343">
        <f>AL137/AS137</f>
        <v>0.14594594594594595</v>
      </c>
    </row>
    <row r="138" spans="1:57" ht="12" hidden="1" customHeight="1" outlineLevel="1">
      <c r="A138" s="132" t="str">
        <f>$A$33</f>
        <v>4Q</v>
      </c>
      <c r="B138" s="132" t="str">
        <f>$B$33</f>
        <v>Jan</v>
      </c>
      <c r="C138" s="132"/>
      <c r="D138" s="1351">
        <f>+D139</f>
        <v>59</v>
      </c>
      <c r="E138" s="1329">
        <f>E139-SUM(E135:E137)</f>
        <v>1</v>
      </c>
      <c r="F138" s="1330">
        <f>+(D138/D131-1)*100</f>
        <v>7.2727272727272751</v>
      </c>
      <c r="G138" s="1380">
        <f>0.467</f>
        <v>0.46700000000000003</v>
      </c>
      <c r="H138" s="665"/>
      <c r="I138" s="1330">
        <f>+(G138/G131-1)*100</f>
        <v>4.7085201793721998</v>
      </c>
      <c r="J138" s="132"/>
      <c r="K138" s="1351">
        <f>+K139</f>
        <v>7</v>
      </c>
      <c r="L138" s="1328">
        <f>L139-SUM(L135:L137)</f>
        <v>0</v>
      </c>
      <c r="M138" s="1351">
        <f>+M139</f>
        <v>13</v>
      </c>
      <c r="N138" s="1328">
        <f>N139-SUM(N135:N137)</f>
        <v>0</v>
      </c>
      <c r="O138" s="1351">
        <f>+K138+M138</f>
        <v>20</v>
      </c>
      <c r="P138" s="1334">
        <f>+N138+L138</f>
        <v>0</v>
      </c>
      <c r="Q138" s="1330">
        <f>+(K138/K131-1)*100</f>
        <v>0</v>
      </c>
      <c r="R138" s="1330"/>
      <c r="S138" s="1330"/>
      <c r="T138" s="664"/>
      <c r="U138" s="1351"/>
      <c r="V138" s="1328"/>
      <c r="W138" s="1330"/>
      <c r="X138" s="1330"/>
      <c r="Y138" s="1330"/>
      <c r="Z138" s="664"/>
      <c r="AA138" s="1351">
        <f>+AA139</f>
        <v>50</v>
      </c>
      <c r="AB138" s="1352">
        <f>AB139-SUM(AB135:AB137)</f>
        <v>-5</v>
      </c>
      <c r="AC138" s="1330">
        <f>+(AA138/AA131-1)*100</f>
        <v>-5.6603773584905648</v>
      </c>
      <c r="AD138" s="1351">
        <f>+AD139</f>
        <v>25</v>
      </c>
      <c r="AE138" s="1352">
        <f>AE139-SUM(AE135:AE137)</f>
        <v>0</v>
      </c>
      <c r="AF138" s="1330">
        <f>+(AD138/AD131-1)*100</f>
        <v>4.1666666666666741</v>
      </c>
      <c r="AG138" s="1351"/>
      <c r="AH138" s="1352">
        <f>AH139</f>
        <v>0.27800000000000002</v>
      </c>
      <c r="AI138" s="1330"/>
      <c r="AJ138" s="1351">
        <f>+(AH138/AH131-1)*100</f>
        <v>-0.35842293906810374</v>
      </c>
      <c r="AK138" s="1352"/>
      <c r="AL138" s="1351">
        <f>+AL139</f>
        <v>32</v>
      </c>
      <c r="AM138" s="1352">
        <f>AM139-SUM(AM135:AM137)</f>
        <v>5</v>
      </c>
      <c r="AN138" s="1330">
        <f>+(AL138/AL131-1)*100</f>
        <v>33.333333333333329</v>
      </c>
      <c r="AO138" s="1385">
        <f>0.067+0.009</f>
        <v>7.5999999999999998E-2</v>
      </c>
      <c r="AP138" s="665"/>
      <c r="AQ138" s="1330">
        <f>+(AO138/AO131-1)*100</f>
        <v>143.58974358974356</v>
      </c>
      <c r="AR138" s="664"/>
      <c r="AS138" s="1355">
        <f>+D138+O138+AA138+AD138+AL138</f>
        <v>186</v>
      </c>
      <c r="AT138" s="1341">
        <f>+AS138-AS137</f>
        <v>1</v>
      </c>
      <c r="AU138" s="1330">
        <f>+(AS138/AS131-1)*100</f>
        <v>6.2857142857142945</v>
      </c>
      <c r="AV138" s="665"/>
      <c r="AW138" s="665"/>
      <c r="AX138" s="1347">
        <f>AS138-D138-AL138</f>
        <v>95</v>
      </c>
      <c r="AY138" s="1348">
        <f>AX138-AX137</f>
        <v>-5</v>
      </c>
      <c r="AZ138" s="132"/>
      <c r="BA138" s="132"/>
      <c r="BB138" s="132"/>
      <c r="BC138" s="215">
        <f>D138/AS138</f>
        <v>0.31720430107526881</v>
      </c>
      <c r="BD138" s="1492">
        <f>(O138+AA138+AD138)/AS138</f>
        <v>0.510752688172043</v>
      </c>
      <c r="BE138" s="1356">
        <f>AL138/AS138</f>
        <v>0.17204301075268819</v>
      </c>
    </row>
    <row r="139" spans="1:57" ht="12" hidden="1" customHeight="1" outlineLevel="1">
      <c r="A139" s="132"/>
      <c r="B139" s="132" t="str">
        <f>$B$34</f>
        <v>Year</v>
      </c>
      <c r="C139" s="132"/>
      <c r="D139" s="1340">
        <f>+D132+E139</f>
        <v>59</v>
      </c>
      <c r="E139" s="1399">
        <v>4</v>
      </c>
      <c r="F139" s="1330">
        <f>+(D139/D132-1)*100</f>
        <v>7.2727272727272751</v>
      </c>
      <c r="G139" s="1331">
        <f>+G138</f>
        <v>0.46700000000000003</v>
      </c>
      <c r="H139" s="665">
        <f>+G139/D139*1000</f>
        <v>7.9152542372881349</v>
      </c>
      <c r="I139" s="1330">
        <f>+(G139/G132-1)*100</f>
        <v>4.7085201793721998</v>
      </c>
      <c r="J139" s="132"/>
      <c r="K139" s="1340">
        <f>+L139+K132</f>
        <v>7</v>
      </c>
      <c r="L139" s="1400">
        <v>0</v>
      </c>
      <c r="M139" s="1340">
        <f>+N139+M132</f>
        <v>13</v>
      </c>
      <c r="N139" s="1400">
        <v>1</v>
      </c>
      <c r="O139" s="1328">
        <f>+K139+M139</f>
        <v>20</v>
      </c>
      <c r="P139" s="683">
        <f>+N139+L139</f>
        <v>1</v>
      </c>
      <c r="Q139" s="1330">
        <f>+(K139/K132-1)*100</f>
        <v>0</v>
      </c>
      <c r="R139" s="1330"/>
      <c r="S139" s="1330"/>
      <c r="T139" s="664"/>
      <c r="U139" s="1340"/>
      <c r="V139" s="1400"/>
      <c r="W139" s="1330"/>
      <c r="X139" s="1330"/>
      <c r="Y139" s="1330"/>
      <c r="Z139" s="664"/>
      <c r="AA139" s="1397">
        <v>50</v>
      </c>
      <c r="AB139" s="1401">
        <v>-3</v>
      </c>
      <c r="AC139" s="1330">
        <f>+(AA139/AA132-1)*100</f>
        <v>-5.6603773584905648</v>
      </c>
      <c r="AD139" s="1340">
        <f>+AE139+AD132</f>
        <v>25</v>
      </c>
      <c r="AE139" s="1401">
        <v>1</v>
      </c>
      <c r="AF139" s="1330">
        <f>+(AD139/AD132-1)*100</f>
        <v>4.1666666666666741</v>
      </c>
      <c r="AG139" s="1397"/>
      <c r="AH139" s="1401">
        <v>0.27800000000000002</v>
      </c>
      <c r="AI139" s="1330">
        <f>+AH139/AX139*1000</f>
        <v>2.9263157894736844</v>
      </c>
      <c r="AJ139" s="1340">
        <f>+(AH139/AH132-1)*100</f>
        <v>-0.35842293906810374</v>
      </c>
      <c r="AK139" s="1401"/>
      <c r="AL139" s="1332">
        <f>26+6</f>
        <v>32</v>
      </c>
      <c r="AM139" s="1401">
        <f>AL139-AL132</f>
        <v>5</v>
      </c>
      <c r="AN139" s="1330">
        <f>+(AL139/AL132-1)*100</f>
        <v>18.518518518518512</v>
      </c>
      <c r="AO139" s="1338">
        <f>AO138</f>
        <v>7.5999999999999998E-2</v>
      </c>
      <c r="AP139" s="665">
        <f>+AP132+0.5</f>
        <v>1.8</v>
      </c>
      <c r="AQ139" s="1330">
        <f>+(AO139/AO132-1)*100</f>
        <v>116.52421652421654</v>
      </c>
      <c r="AR139" s="664"/>
      <c r="AS139" s="1340">
        <f>+D139+O139+AA139+AD139+AL139</f>
        <v>186</v>
      </c>
      <c r="AT139" s="683">
        <f>+AS139-AS132</f>
        <v>8</v>
      </c>
      <c r="AU139" s="1330">
        <f>+(AS139/AS132-1)*100</f>
        <v>4.4943820224719211</v>
      </c>
      <c r="AV139" s="665"/>
      <c r="AW139" s="665"/>
      <c r="AX139" s="1347">
        <f>AS139-D139-AL139</f>
        <v>95</v>
      </c>
      <c r="AY139" s="1348">
        <f>AX139-AX132</f>
        <v>-1</v>
      </c>
      <c r="AZ139" s="132"/>
      <c r="BA139" s="132"/>
      <c r="BB139" s="132"/>
      <c r="BC139" s="1363">
        <f>D139/AS139</f>
        <v>0.31720430107526881</v>
      </c>
      <c r="BD139" s="1810">
        <f>(O139+AA139+AD139)/AS139</f>
        <v>0.510752688172043</v>
      </c>
      <c r="BE139" s="1363">
        <f>AL139/AS139</f>
        <v>0.17204301075268819</v>
      </c>
    </row>
    <row r="140" spans="1:57" ht="12" hidden="1" customHeight="1" outlineLevel="1">
      <c r="A140" s="132"/>
      <c r="B140" s="132"/>
      <c r="C140" s="132"/>
      <c r="D140" s="1033"/>
      <c r="E140" s="1325"/>
      <c r="F140" s="1339"/>
      <c r="G140" s="1033"/>
      <c r="H140" s="230"/>
      <c r="I140" s="1330"/>
      <c r="J140" s="132"/>
      <c r="K140" s="1386"/>
      <c r="L140" s="1387"/>
      <c r="M140" s="1386"/>
      <c r="N140" s="1387"/>
      <c r="O140" s="1386"/>
      <c r="P140" s="200"/>
      <c r="Q140" s="230"/>
      <c r="R140" s="230"/>
      <c r="S140" s="230"/>
      <c r="T140" s="643"/>
      <c r="U140" s="1386"/>
      <c r="V140" s="1387"/>
      <c r="W140" s="230"/>
      <c r="X140" s="230"/>
      <c r="Y140" s="230"/>
      <c r="Z140" s="643"/>
      <c r="AA140" s="1386"/>
      <c r="AB140" s="174"/>
      <c r="AC140" s="230"/>
      <c r="AD140" s="1386"/>
      <c r="AE140" s="174"/>
      <c r="AF140" s="230"/>
      <c r="AG140" s="1386"/>
      <c r="AH140" s="174"/>
      <c r="AI140" s="230"/>
      <c r="AJ140" s="1386"/>
      <c r="AK140" s="174"/>
      <c r="AL140" s="1386"/>
      <c r="AM140" s="174"/>
      <c r="AN140" s="174"/>
      <c r="AO140" s="1386"/>
      <c r="AP140" s="230"/>
      <c r="AQ140" s="1339"/>
      <c r="AR140" s="643"/>
      <c r="AS140" s="1033"/>
      <c r="AT140" s="132"/>
      <c r="AU140" s="132"/>
      <c r="AV140" s="132"/>
      <c r="AW140" s="132"/>
      <c r="AX140" s="1347"/>
      <c r="AY140" s="1348"/>
      <c r="AZ140" s="132"/>
      <c r="BA140" s="132"/>
      <c r="BB140" s="132"/>
      <c r="BC140" s="132"/>
      <c r="BD140" s="256"/>
      <c r="BE140" s="132"/>
    </row>
    <row r="141" spans="1:57" ht="12" hidden="1" customHeight="1" outlineLevel="1">
      <c r="A141" s="2506">
        <f>+A134+1</f>
        <v>2006</v>
      </c>
      <c r="B141" s="2506"/>
      <c r="C141" s="132"/>
      <c r="D141" s="1033"/>
      <c r="E141" s="1325"/>
      <c r="F141" s="1339"/>
      <c r="G141" s="1033"/>
      <c r="H141" s="230"/>
      <c r="I141" s="1330"/>
      <c r="J141" s="132"/>
      <c r="K141" s="1386"/>
      <c r="L141" s="1387"/>
      <c r="M141" s="1386"/>
      <c r="N141" s="1387"/>
      <c r="O141" s="1386"/>
      <c r="P141" s="200"/>
      <c r="Q141" s="230"/>
      <c r="R141" s="230"/>
      <c r="S141" s="230"/>
      <c r="T141" s="643"/>
      <c r="U141" s="1386"/>
      <c r="V141" s="1387"/>
      <c r="W141" s="230"/>
      <c r="X141" s="230"/>
      <c r="Y141" s="230"/>
      <c r="Z141" s="643"/>
      <c r="AA141" s="1386"/>
      <c r="AB141" s="174"/>
      <c r="AC141" s="230"/>
      <c r="AD141" s="1386"/>
      <c r="AE141" s="174"/>
      <c r="AF141" s="230"/>
      <c r="AG141" s="1386"/>
      <c r="AH141" s="174"/>
      <c r="AI141" s="230"/>
      <c r="AJ141" s="1386"/>
      <c r="AK141" s="174"/>
      <c r="AL141" s="1386"/>
      <c r="AM141" s="174"/>
      <c r="AN141" s="174"/>
      <c r="AO141" s="1386"/>
      <c r="AP141" s="230"/>
      <c r="AQ141" s="1339"/>
      <c r="AR141" s="643"/>
      <c r="AS141" s="1033"/>
      <c r="AT141" s="132"/>
      <c r="AU141" s="132"/>
      <c r="AV141" s="132"/>
      <c r="AW141" s="132"/>
      <c r="AX141" s="1347"/>
      <c r="AY141" s="1348"/>
      <c r="AZ141" s="132"/>
      <c r="BA141" s="132"/>
      <c r="BB141" s="132"/>
      <c r="BC141" s="132"/>
      <c r="BD141" s="256"/>
      <c r="BE141" s="132"/>
    </row>
    <row r="142" spans="1:57" ht="12" hidden="1" customHeight="1" outlineLevel="1">
      <c r="A142" s="132" t="str">
        <f>$A$30</f>
        <v>1Q</v>
      </c>
      <c r="B142" s="132" t="str">
        <f>$B$30</f>
        <v>Apr</v>
      </c>
      <c r="C142" s="132"/>
      <c r="D142" s="1328">
        <f>+D138+E142</f>
        <v>59</v>
      </c>
      <c r="E142" s="1383">
        <v>0</v>
      </c>
      <c r="F142" s="1330">
        <f>+(D142/D135-1)*100</f>
        <v>5.3571428571428603</v>
      </c>
      <c r="G142" s="1331">
        <f>G139+(G146-G139)/E146*E142</f>
        <v>0.46700000000000003</v>
      </c>
      <c r="H142" s="665"/>
      <c r="I142" s="1330">
        <f>+(G142/G135-1)*100</f>
        <v>3.4903047091412676</v>
      </c>
      <c r="J142" s="132"/>
      <c r="K142" s="1328">
        <f>+K138+L142</f>
        <v>8</v>
      </c>
      <c r="L142" s="1332">
        <v>1</v>
      </c>
      <c r="M142" s="1328">
        <f>+M138+N142</f>
        <v>13</v>
      </c>
      <c r="N142" s="1344">
        <v>0</v>
      </c>
      <c r="O142" s="1340">
        <f>+K142+M142</f>
        <v>21</v>
      </c>
      <c r="P142" s="1402"/>
      <c r="Q142" s="1330">
        <f>+(K142/K135-1)*100</f>
        <v>14.285714285714279</v>
      </c>
      <c r="R142" s="1330"/>
      <c r="S142" s="1330"/>
      <c r="T142" s="664"/>
      <c r="U142" s="1328"/>
      <c r="V142" s="1332"/>
      <c r="W142" s="1330"/>
      <c r="X142" s="1330"/>
      <c r="Y142" s="1330"/>
      <c r="Z142" s="664"/>
      <c r="AA142" s="1328">
        <f>+AA139+AB142</f>
        <v>52</v>
      </c>
      <c r="AB142" s="1390">
        <v>2</v>
      </c>
      <c r="AC142" s="1330">
        <f>+(AA142/AA135-1)*100</f>
        <v>-1.8867924528301883</v>
      </c>
      <c r="AD142" s="1328">
        <f>+AD139+AE142</f>
        <v>24</v>
      </c>
      <c r="AE142" s="1390">
        <v>-1</v>
      </c>
      <c r="AF142" s="1330">
        <f>+(AD142/AD135-1)*100</f>
        <v>0</v>
      </c>
      <c r="AG142" s="1328"/>
      <c r="AH142" s="1390">
        <f>AH139+(AH146-AH139)/AY146*AY142</f>
        <v>0.28500000000000003</v>
      </c>
      <c r="AI142" s="1330"/>
      <c r="AJ142" s="1328">
        <f>+(AH142/AH135-1)*100</f>
        <v>2.1505376344086002</v>
      </c>
      <c r="AK142" s="1390"/>
      <c r="AL142" s="1328">
        <f>+AL139+AM142</f>
        <v>33</v>
      </c>
      <c r="AM142" s="1390">
        <v>1</v>
      </c>
      <c r="AN142" s="1330">
        <f>+(AL142/AL135-1)*100</f>
        <v>22.222222222222232</v>
      </c>
      <c r="AO142" s="1338">
        <f>+AL142*AP$132/1000</f>
        <v>4.2900000000000001E-2</v>
      </c>
      <c r="AP142" s="665"/>
      <c r="AQ142" s="1330">
        <f>+(AO142/AO135-1)*100</f>
        <v>22.222222222222232</v>
      </c>
      <c r="AR142" s="664"/>
      <c r="AS142" s="1340">
        <f>+D142+O142+AA142+AD142+AL142</f>
        <v>189</v>
      </c>
      <c r="AT142" s="1341">
        <f>+AS142-AS138</f>
        <v>3</v>
      </c>
      <c r="AU142" s="1330">
        <f>+(AS142/AS135-1)*100</f>
        <v>5.5865921787709549</v>
      </c>
      <c r="AV142" s="665"/>
      <c r="AW142" s="665"/>
      <c r="AX142" s="1347">
        <f>AS142-D142-AL142</f>
        <v>97</v>
      </c>
      <c r="AY142" s="1348">
        <f>AX142-AX139</f>
        <v>2</v>
      </c>
      <c r="AZ142" s="132"/>
      <c r="BA142" s="132"/>
      <c r="BB142" s="132"/>
      <c r="BC142" s="215">
        <f>D142/AS142</f>
        <v>0.31216931216931215</v>
      </c>
      <c r="BD142" s="1492">
        <f>(O142+AA142+AD142)/AS142</f>
        <v>0.51322751322751325</v>
      </c>
      <c r="BE142" s="1343">
        <f>AL142/AS142</f>
        <v>0.17460317460317459</v>
      </c>
    </row>
    <row r="143" spans="1:57" ht="12" hidden="1" customHeight="1" outlineLevel="1">
      <c r="A143" s="132" t="str">
        <f>$A$31</f>
        <v>2Q</v>
      </c>
      <c r="B143" s="132" t="str">
        <f>$B$31</f>
        <v>Jul</v>
      </c>
      <c r="C143" s="132"/>
      <c r="D143" s="1328">
        <f>+E143+D142</f>
        <v>60</v>
      </c>
      <c r="E143" s="1383">
        <v>1</v>
      </c>
      <c r="F143" s="1330">
        <f>+(D143/D136-1)*100</f>
        <v>5.2631578947368363</v>
      </c>
      <c r="G143" s="1331">
        <f>G142+($G$146-$G$139)/$E$146*E143</f>
        <v>0.4708</v>
      </c>
      <c r="H143" s="665"/>
      <c r="I143" s="1330">
        <f>+(G143/G136-1)*100</f>
        <v>3.1325301204819134</v>
      </c>
      <c r="J143" s="672"/>
      <c r="K143" s="1328">
        <f>+L143+K142</f>
        <v>8</v>
      </c>
      <c r="L143" s="1344">
        <v>0</v>
      </c>
      <c r="M143" s="1328">
        <f>+N143+M142</f>
        <v>13</v>
      </c>
      <c r="N143" s="1344">
        <v>0</v>
      </c>
      <c r="O143" s="1328">
        <f>+K143+M143</f>
        <v>21</v>
      </c>
      <c r="P143" s="1402"/>
      <c r="Q143" s="1330">
        <f>+(K143/K136-1)*100</f>
        <v>14.285714285714279</v>
      </c>
      <c r="R143" s="1330"/>
      <c r="S143" s="1330"/>
      <c r="T143" s="664"/>
      <c r="U143" s="1328"/>
      <c r="V143" s="1344"/>
      <c r="W143" s="1330"/>
      <c r="X143" s="1330"/>
      <c r="Y143" s="1330"/>
      <c r="Z143" s="664"/>
      <c r="AA143" s="1328">
        <f>+AA142+AB143</f>
        <v>51</v>
      </c>
      <c r="AB143" s="1390">
        <v>-1</v>
      </c>
      <c r="AC143" s="1330">
        <f>+(AA143/AA136-1)*100</f>
        <v>-5.555555555555558</v>
      </c>
      <c r="AD143" s="1328">
        <f>+AD142+AE143</f>
        <v>25</v>
      </c>
      <c r="AE143" s="1390">
        <v>1</v>
      </c>
      <c r="AF143" s="1330">
        <f>+(AD143/AD136-1)*100</f>
        <v>0</v>
      </c>
      <c r="AG143" s="1328"/>
      <c r="AH143" s="1390">
        <f>AH142+(AH146-AH139)/AY146*AY143</f>
        <v>0.28500000000000003</v>
      </c>
      <c r="AI143" s="1330"/>
      <c r="AJ143" s="1328">
        <f>+(AH143/AH136-1)*100</f>
        <v>1.4234875444839812</v>
      </c>
      <c r="AK143" s="1390"/>
      <c r="AL143" s="1328">
        <f>+AL142+AM143</f>
        <v>35</v>
      </c>
      <c r="AM143" s="1390">
        <v>2</v>
      </c>
      <c r="AN143" s="1330">
        <f>+(AL143/AL136-1)*100</f>
        <v>29.629629629629626</v>
      </c>
      <c r="AO143" s="1338">
        <f>+AL143*AP$132/1000</f>
        <v>4.5499999999999999E-2</v>
      </c>
      <c r="AP143" s="665"/>
      <c r="AQ143" s="1330">
        <f>+(AO143/AO136-1)*100</f>
        <v>29.629629629629626</v>
      </c>
      <c r="AR143" s="664"/>
      <c r="AS143" s="1340">
        <f>+D143+O143+AA143+AD143+AL143</f>
        <v>192</v>
      </c>
      <c r="AT143" s="1341">
        <f>+AS143-AS142</f>
        <v>3</v>
      </c>
      <c r="AU143" s="1330">
        <f>+(AS143/AS136-1)*100</f>
        <v>5.4945054945054972</v>
      </c>
      <c r="AV143" s="665"/>
      <c r="AW143" s="665"/>
      <c r="AX143" s="1347">
        <f>AS143-D143-AL143</f>
        <v>97</v>
      </c>
      <c r="AY143" s="1348">
        <f>AX143-AX142</f>
        <v>0</v>
      </c>
      <c r="AZ143" s="132"/>
      <c r="BA143" s="132"/>
      <c r="BB143" s="132"/>
      <c r="BC143" s="215">
        <f>D143/AS143</f>
        <v>0.3125</v>
      </c>
      <c r="BD143" s="1492">
        <f>(O143+AA143+AD143)/AS143</f>
        <v>0.50520833333333337</v>
      </c>
      <c r="BE143" s="1343">
        <f>AL143/AS143</f>
        <v>0.18229166666666666</v>
      </c>
    </row>
    <row r="144" spans="1:57" ht="12" hidden="1" customHeight="1" outlineLevel="1">
      <c r="A144" s="132" t="str">
        <f>$A$32</f>
        <v>3Q</v>
      </c>
      <c r="B144" s="132" t="str">
        <f>$B$32</f>
        <v>Oct</v>
      </c>
      <c r="C144" s="132"/>
      <c r="D144" s="1328">
        <f>+E144+D143</f>
        <v>63</v>
      </c>
      <c r="E144" s="1383">
        <v>3</v>
      </c>
      <c r="F144" s="1330">
        <f>+(D144/D137-1)*100</f>
        <v>8.6206896551724199</v>
      </c>
      <c r="G144" s="1331">
        <f>G143+($G$146-$G$139)/$E$146*E144</f>
        <v>0.48219999999999996</v>
      </c>
      <c r="H144" s="665"/>
      <c r="I144" s="1330">
        <f>+(G144/G137-1)*100</f>
        <v>4.4288034650785013</v>
      </c>
      <c r="J144" s="132"/>
      <c r="K144" s="1328">
        <f>+L144+K143</f>
        <v>8</v>
      </c>
      <c r="L144" s="1344">
        <v>0</v>
      </c>
      <c r="M144" s="1328">
        <f>+N144+M143</f>
        <v>14</v>
      </c>
      <c r="N144" s="1344">
        <v>1</v>
      </c>
      <c r="O144" s="1328">
        <f>+K144+M144</f>
        <v>22</v>
      </c>
      <c r="P144" s="1402"/>
      <c r="Q144" s="1330">
        <f>+(K144/K137-1)*100</f>
        <v>14.285714285714279</v>
      </c>
      <c r="R144" s="1330"/>
      <c r="S144" s="1330"/>
      <c r="T144" s="664"/>
      <c r="U144" s="1328"/>
      <c r="V144" s="1344"/>
      <c r="W144" s="1330"/>
      <c r="X144" s="1330"/>
      <c r="Y144" s="1330"/>
      <c r="Z144" s="664"/>
      <c r="AA144" s="1328">
        <f>+AA143+AB144</f>
        <v>52</v>
      </c>
      <c r="AB144" s="1390">
        <v>1</v>
      </c>
      <c r="AC144" s="1330">
        <f>+(AA144/AA137-1)*100</f>
        <v>-5.4545454545454568</v>
      </c>
      <c r="AD144" s="1328">
        <f>+AD143+AE144</f>
        <v>27</v>
      </c>
      <c r="AE144" s="1390">
        <v>2</v>
      </c>
      <c r="AF144" s="1330">
        <f>+(AD144/AD137-1)*100</f>
        <v>8.0000000000000071</v>
      </c>
      <c r="AG144" s="1328"/>
      <c r="AH144" s="1390">
        <f>AH143+(AH146-AH139)/AY146*AY144</f>
        <v>0.29900000000000004</v>
      </c>
      <c r="AI144" s="1330"/>
      <c r="AJ144" s="1328">
        <f>+(AH144/AH137-1)*100</f>
        <v>5.6537102473498191</v>
      </c>
      <c r="AK144" s="1390"/>
      <c r="AL144" s="1328">
        <f>+AL143+AM144</f>
        <v>36</v>
      </c>
      <c r="AM144" s="1390">
        <v>1</v>
      </c>
      <c r="AN144" s="1330">
        <f>+(AL144/AL137-1)*100</f>
        <v>33.333333333333329</v>
      </c>
      <c r="AO144" s="1338">
        <f>+AL144*AP$132/1000</f>
        <v>4.6800000000000001E-2</v>
      </c>
      <c r="AP144" s="665"/>
      <c r="AQ144" s="1330">
        <f>+(AO144/AO137-1)*100</f>
        <v>33.33333333333335</v>
      </c>
      <c r="AR144" s="664"/>
      <c r="AS144" s="1340">
        <f>+D144+O144+AA144+AD144+AL144</f>
        <v>200</v>
      </c>
      <c r="AT144" s="1341">
        <f>+AS144-AS143</f>
        <v>8</v>
      </c>
      <c r="AU144" s="1330">
        <f>+(AS144/AS137-1)*100</f>
        <v>8.1081081081081141</v>
      </c>
      <c r="AV144" s="665"/>
      <c r="AW144" s="665"/>
      <c r="AX144" s="1347">
        <f>AS144-D144-AL144</f>
        <v>101</v>
      </c>
      <c r="AY144" s="1348">
        <f>AX144-AX143</f>
        <v>4</v>
      </c>
      <c r="AZ144" s="132"/>
      <c r="BA144" s="132"/>
      <c r="BB144" s="132"/>
      <c r="BC144" s="215">
        <f>D144/AS144</f>
        <v>0.315</v>
      </c>
      <c r="BD144" s="1492">
        <f>(O144+AA144+AD144)/AS144</f>
        <v>0.505</v>
      </c>
      <c r="BE144" s="1343">
        <f>AL144/AS144</f>
        <v>0.18</v>
      </c>
    </row>
    <row r="145" spans="1:57" ht="12" hidden="1" customHeight="1" outlineLevel="1">
      <c r="A145" s="132" t="str">
        <f>$A$33</f>
        <v>4Q</v>
      </c>
      <c r="B145" s="132" t="str">
        <f>$B$33</f>
        <v>Jan</v>
      </c>
      <c r="C145" s="132"/>
      <c r="D145" s="1351">
        <f>+D146</f>
        <v>64</v>
      </c>
      <c r="E145" s="1329">
        <v>1</v>
      </c>
      <c r="F145" s="1330">
        <f>+(D145/D138-1)*100</f>
        <v>8.4745762711864394</v>
      </c>
      <c r="G145" s="1380">
        <f>0.446+0.04</f>
        <v>0.48599999999999999</v>
      </c>
      <c r="H145" s="665"/>
      <c r="I145" s="1330">
        <f>+(G145/G138-1)*100</f>
        <v>4.0685224839400291</v>
      </c>
      <c r="J145" s="132"/>
      <c r="K145" s="1351">
        <f>+K146</f>
        <v>9</v>
      </c>
      <c r="L145" s="1328">
        <v>1</v>
      </c>
      <c r="M145" s="1351">
        <f>+M146</f>
        <v>14</v>
      </c>
      <c r="N145" s="1328">
        <f>N146-SUM(N142:N144)</f>
        <v>0</v>
      </c>
      <c r="O145" s="1351">
        <f>+K145+M145</f>
        <v>23</v>
      </c>
      <c r="P145" s="1334">
        <f>+K145-K144</f>
        <v>1</v>
      </c>
      <c r="Q145" s="1330">
        <f>+(K145/K138-1)*100</f>
        <v>28.57142857142858</v>
      </c>
      <c r="R145" s="1330"/>
      <c r="S145" s="1330"/>
      <c r="T145" s="664"/>
      <c r="U145" s="1351"/>
      <c r="V145" s="1328"/>
      <c r="W145" s="1330"/>
      <c r="X145" s="1330"/>
      <c r="Y145" s="1330"/>
      <c r="Z145" s="664"/>
      <c r="AA145" s="1351">
        <f>+AA146</f>
        <v>52</v>
      </c>
      <c r="AB145" s="1352">
        <f>AB146-SUM(AB142:AB144)</f>
        <v>0</v>
      </c>
      <c r="AC145" s="1330">
        <f>+(AA145/AA138-1)*100</f>
        <v>4.0000000000000036</v>
      </c>
      <c r="AD145" s="1351">
        <f>+AD146</f>
        <v>28</v>
      </c>
      <c r="AE145" s="1352">
        <f>AE146-SUM(AE142:AE144)</f>
        <v>1</v>
      </c>
      <c r="AF145" s="1330">
        <f>+(AD145/AD138-1)*100</f>
        <v>12.000000000000011</v>
      </c>
      <c r="AG145" s="1351"/>
      <c r="AH145" s="1352">
        <f>+AH146</f>
        <v>0.30599999999999999</v>
      </c>
      <c r="AI145" s="1330"/>
      <c r="AJ145" s="1351">
        <f>+(AH145/AH138-1)*100</f>
        <v>10.071942446043147</v>
      </c>
      <c r="AK145" s="1352"/>
      <c r="AL145" s="1351">
        <f>+AL146</f>
        <v>38</v>
      </c>
      <c r="AM145" s="1352">
        <f>3-1</f>
        <v>2</v>
      </c>
      <c r="AN145" s="1330">
        <f>+(AL145/AL138-1)*100</f>
        <v>18.75</v>
      </c>
      <c r="AO145" s="1385">
        <f>0.093+0.019</f>
        <v>0.112</v>
      </c>
      <c r="AP145" s="665"/>
      <c r="AQ145" s="1330">
        <f>+(AO145/AO138-1)*100</f>
        <v>47.368421052631589</v>
      </c>
      <c r="AR145" s="664"/>
      <c r="AS145" s="1355">
        <f>+D145+O145+AA145+AD145+AL145</f>
        <v>205</v>
      </c>
      <c r="AT145" s="1341">
        <f>+AS145-AS144</f>
        <v>5</v>
      </c>
      <c r="AU145" s="1330">
        <f>+(AS145/AS138-1)*100</f>
        <v>10.215053763440851</v>
      </c>
      <c r="AV145" s="665"/>
      <c r="AW145" s="665"/>
      <c r="AX145" s="1347">
        <f>AS145-D145-AL145</f>
        <v>103</v>
      </c>
      <c r="AY145" s="1348">
        <f>AX145-AX144</f>
        <v>2</v>
      </c>
      <c r="AZ145" s="132"/>
      <c r="BA145" s="132"/>
      <c r="BB145" s="132"/>
      <c r="BC145" s="215">
        <f>D145/AS145</f>
        <v>0.31219512195121951</v>
      </c>
      <c r="BD145" s="1492">
        <f>(O145+AA145+AD145)/AS145</f>
        <v>0.5024390243902439</v>
      </c>
      <c r="BE145" s="1356">
        <f>AL145/AS145</f>
        <v>0.18536585365853658</v>
      </c>
    </row>
    <row r="146" spans="1:57" ht="12" hidden="1" customHeight="1" outlineLevel="1">
      <c r="A146" s="132"/>
      <c r="B146" s="132" t="str">
        <f>$B$34</f>
        <v>Year</v>
      </c>
      <c r="C146" s="132"/>
      <c r="D146" s="1340">
        <f>+D139+E146</f>
        <v>64</v>
      </c>
      <c r="E146" s="1399">
        <v>5</v>
      </c>
      <c r="F146" s="1330">
        <f>+(D146/D139-1)*100</f>
        <v>8.4745762711864394</v>
      </c>
      <c r="G146" s="1331">
        <f>G145</f>
        <v>0.48599999999999999</v>
      </c>
      <c r="H146" s="665">
        <f>+G146/D146*1000</f>
        <v>7.59375</v>
      </c>
      <c r="I146" s="1330">
        <f>+(G146/G139-1)*100</f>
        <v>4.0685224839400291</v>
      </c>
      <c r="J146" s="132"/>
      <c r="K146" s="1340">
        <f>+L146+K139</f>
        <v>9</v>
      </c>
      <c r="L146" s="1400">
        <f>SUM(L142:L145)</f>
        <v>2</v>
      </c>
      <c r="M146" s="1340">
        <f>+N146+M139</f>
        <v>14</v>
      </c>
      <c r="N146" s="1400">
        <v>1</v>
      </c>
      <c r="O146" s="1328">
        <f>+K146+M146</f>
        <v>23</v>
      </c>
      <c r="P146" s="1400"/>
      <c r="Q146" s="1330">
        <f>+(K146/K139-1)*100</f>
        <v>28.57142857142858</v>
      </c>
      <c r="R146" s="1330"/>
      <c r="S146" s="1330"/>
      <c r="T146" s="664"/>
      <c r="U146" s="1340"/>
      <c r="V146" s="1400"/>
      <c r="W146" s="1330"/>
      <c r="X146" s="1330"/>
      <c r="Y146" s="1330"/>
      <c r="Z146" s="664"/>
      <c r="AA146" s="1340">
        <f>+AB146+AA139</f>
        <v>52</v>
      </c>
      <c r="AB146" s="1401">
        <v>2</v>
      </c>
      <c r="AC146" s="1330">
        <f>+(AA146/AA139-1)*100</f>
        <v>4.0000000000000036</v>
      </c>
      <c r="AD146" s="1340">
        <f>+AE146+AD139</f>
        <v>28</v>
      </c>
      <c r="AE146" s="1401">
        <v>3</v>
      </c>
      <c r="AF146" s="1330">
        <f>+(AD146/AD139-1)*100</f>
        <v>12.000000000000011</v>
      </c>
      <c r="AG146" s="1340"/>
      <c r="AH146" s="1401">
        <v>0.30599999999999999</v>
      </c>
      <c r="AI146" s="1330">
        <f>+AH146/AX146*1000</f>
        <v>2.9708737864077666</v>
      </c>
      <c r="AJ146" s="1340">
        <f>+(AH146/AH139-1)*100</f>
        <v>10.071942446043147</v>
      </c>
      <c r="AK146" s="1401"/>
      <c r="AL146" s="1340">
        <f>+AM146+AL139</f>
        <v>38</v>
      </c>
      <c r="AM146" s="1401">
        <f>(25+13)-AL139</f>
        <v>6</v>
      </c>
      <c r="AN146" s="1330">
        <f>+(AL146/AL139-1)*100</f>
        <v>18.75</v>
      </c>
      <c r="AO146" s="1338">
        <f>AO145</f>
        <v>0.112</v>
      </c>
      <c r="AP146" s="665">
        <f>+AP139</f>
        <v>1.8</v>
      </c>
      <c r="AQ146" s="1330">
        <f>+(AO146/AO139-1)*100</f>
        <v>47.368421052631589</v>
      </c>
      <c r="AR146" s="664"/>
      <c r="AS146" s="1340">
        <f>+D146+O146+AA146+AD146+AL146</f>
        <v>205</v>
      </c>
      <c r="AT146" s="683">
        <f>+AS146-AS139</f>
        <v>19</v>
      </c>
      <c r="AU146" s="1330">
        <f>+(AS146/AS139-1)*100</f>
        <v>10.215053763440851</v>
      </c>
      <c r="AV146" s="665"/>
      <c r="AW146" s="665"/>
      <c r="AX146" s="1347">
        <f>AS146-D146-AL146</f>
        <v>103</v>
      </c>
      <c r="AY146" s="1348">
        <f>AX146-AX139</f>
        <v>8</v>
      </c>
      <c r="AZ146" s="132"/>
      <c r="BA146" s="132"/>
      <c r="BB146" s="132"/>
      <c r="BC146" s="1363">
        <f>D146/AS146</f>
        <v>0.31219512195121951</v>
      </c>
      <c r="BD146" s="1810">
        <f>(O146+AA146+AD146)/AS146</f>
        <v>0.5024390243902439</v>
      </c>
      <c r="BE146" s="1363">
        <f>AL146/AS146</f>
        <v>0.18536585365853658</v>
      </c>
    </row>
    <row r="147" spans="1:57" ht="12" hidden="1" customHeight="1" outlineLevel="1">
      <c r="A147" s="132"/>
      <c r="B147" s="132"/>
      <c r="C147" s="132"/>
      <c r="D147" s="1339"/>
      <c r="E147" s="1325"/>
      <c r="F147" s="1339"/>
      <c r="G147" s="614"/>
      <c r="H147" s="230"/>
      <c r="I147" s="1330"/>
      <c r="J147" s="132"/>
      <c r="K147" s="1330"/>
      <c r="L147" s="1330"/>
      <c r="M147" s="1330"/>
      <c r="N147" s="174"/>
      <c r="O147" s="230"/>
      <c r="P147" s="200"/>
      <c r="Q147" s="230"/>
      <c r="R147" s="230"/>
      <c r="S147" s="230"/>
      <c r="T147" s="643"/>
      <c r="U147" s="1330"/>
      <c r="V147" s="1330"/>
      <c r="W147" s="230"/>
      <c r="X147" s="230"/>
      <c r="Y147" s="230"/>
      <c r="Z147" s="643"/>
      <c r="AA147" s="1330"/>
      <c r="AB147" s="174"/>
      <c r="AC147" s="230"/>
      <c r="AD147" s="174"/>
      <c r="AE147" s="174"/>
      <c r="AF147" s="230"/>
      <c r="AG147" s="1330"/>
      <c r="AH147" s="174"/>
      <c r="AI147" s="230"/>
      <c r="AJ147" s="174"/>
      <c r="AK147" s="174"/>
      <c r="AL147" s="174"/>
      <c r="AM147" s="174"/>
      <c r="AN147" s="174"/>
      <c r="AO147" s="132"/>
      <c r="AP147" s="230"/>
      <c r="AQ147" s="1339"/>
      <c r="AR147" s="643"/>
      <c r="AS147" s="1403"/>
      <c r="AT147" s="132"/>
      <c r="AU147" s="132"/>
      <c r="AV147" s="132"/>
      <c r="AW147" s="132"/>
      <c r="AX147" s="1404"/>
      <c r="AY147" s="1348"/>
      <c r="AZ147" s="132"/>
      <c r="BA147" s="132"/>
      <c r="BB147" s="132"/>
      <c r="BC147" s="132"/>
      <c r="BD147" s="256"/>
      <c r="BE147" s="132"/>
    </row>
    <row r="148" spans="1:57" ht="12" hidden="1" customHeight="1" outlineLevel="1">
      <c r="A148" s="2506">
        <f>+A141+1</f>
        <v>2007</v>
      </c>
      <c r="B148" s="2506"/>
      <c r="C148" s="132"/>
      <c r="D148" s="1033"/>
      <c r="E148" s="1325"/>
      <c r="F148" s="1339"/>
      <c r="G148" s="1033"/>
      <c r="H148" s="230"/>
      <c r="I148" s="1330"/>
      <c r="J148" s="132"/>
      <c r="K148" s="1386"/>
      <c r="L148" s="1387"/>
      <c r="M148" s="1386"/>
      <c r="N148" s="1387"/>
      <c r="O148" s="1386"/>
      <c r="P148" s="200"/>
      <c r="Q148" s="230"/>
      <c r="R148" s="230"/>
      <c r="S148" s="230"/>
      <c r="T148" s="643"/>
      <c r="U148" s="1386"/>
      <c r="V148" s="1387"/>
      <c r="W148" s="230"/>
      <c r="X148" s="230"/>
      <c r="Y148" s="230"/>
      <c r="Z148" s="643"/>
      <c r="AA148" s="1386"/>
      <c r="AB148" s="174"/>
      <c r="AC148" s="230"/>
      <c r="AD148" s="1386"/>
      <c r="AE148" s="174"/>
      <c r="AF148" s="230"/>
      <c r="AG148" s="1386"/>
      <c r="AH148" s="174"/>
      <c r="AI148" s="230"/>
      <c r="AJ148" s="1386"/>
      <c r="AK148" s="174"/>
      <c r="AL148" s="1386"/>
      <c r="AM148" s="174"/>
      <c r="AN148" s="174"/>
      <c r="AO148" s="1386"/>
      <c r="AP148" s="230"/>
      <c r="AQ148" s="1339"/>
      <c r="AR148" s="643"/>
      <c r="AS148" s="1033"/>
      <c r="AT148" s="132"/>
      <c r="AU148" s="132"/>
      <c r="AV148" s="132"/>
      <c r="AW148" s="132"/>
      <c r="AX148" s="1347"/>
      <c r="AY148" s="1348"/>
      <c r="AZ148" s="132"/>
      <c r="BA148" s="132"/>
      <c r="BB148" s="132"/>
      <c r="BC148" s="132"/>
      <c r="BD148" s="256"/>
      <c r="BE148" s="132"/>
    </row>
    <row r="149" spans="1:57" ht="12" hidden="1" customHeight="1" outlineLevel="1">
      <c r="A149" s="132" t="str">
        <f>$A$30</f>
        <v>1Q</v>
      </c>
      <c r="B149" s="132" t="str">
        <f>$B$30</f>
        <v>Apr</v>
      </c>
      <c r="C149" s="132"/>
      <c r="D149" s="1328">
        <f>+E149+D146</f>
        <v>65</v>
      </c>
      <c r="E149" s="1405">
        <v>1</v>
      </c>
      <c r="F149" s="1330">
        <f>+(D149/D142-1)*100</f>
        <v>10.169491525423723</v>
      </c>
      <c r="G149" s="1331">
        <f>+G145+0.0051</f>
        <v>0.49109999999999998</v>
      </c>
      <c r="H149" s="665"/>
      <c r="I149" s="1330">
        <f>+(G149/G142-1)*100</f>
        <v>5.1605995717344699</v>
      </c>
      <c r="J149" s="132"/>
      <c r="K149" s="1328">
        <v>9</v>
      </c>
      <c r="L149" s="1397">
        <v>0</v>
      </c>
      <c r="M149" s="1328">
        <v>14</v>
      </c>
      <c r="N149" s="1344">
        <v>1</v>
      </c>
      <c r="O149" s="1340">
        <f>+K149+M149</f>
        <v>23</v>
      </c>
      <c r="P149" s="1402"/>
      <c r="Q149" s="1330">
        <f>+(K149/K142-1)*100</f>
        <v>12.5</v>
      </c>
      <c r="R149" s="1330"/>
      <c r="S149" s="1330"/>
      <c r="T149" s="664"/>
      <c r="U149" s="1328"/>
      <c r="V149" s="1397"/>
      <c r="W149" s="1330"/>
      <c r="X149" s="1330"/>
      <c r="Y149" s="1330"/>
      <c r="Z149" s="664"/>
      <c r="AA149" s="1328">
        <f>+AA146+AB149</f>
        <v>54</v>
      </c>
      <c r="AB149" s="1390">
        <v>2</v>
      </c>
      <c r="AC149" s="1330">
        <f>+(AA149/AA142-1)*100</f>
        <v>3.8461538461538547</v>
      </c>
      <c r="AD149" s="1328">
        <f>+AD146+AE149</f>
        <v>30</v>
      </c>
      <c r="AE149" s="1390">
        <v>2</v>
      </c>
      <c r="AF149" s="1330">
        <f>+(AD149/AD142-1)*100</f>
        <v>25</v>
      </c>
      <c r="AG149" s="1328"/>
      <c r="AH149" s="1390">
        <f>+AH146+((1.6+1.1)+(AB149*$AI$146))/1000</f>
        <v>0.31464174757281554</v>
      </c>
      <c r="AI149" s="1330"/>
      <c r="AJ149" s="1328">
        <f>+(AH149/AH142-1)*100</f>
        <v>10.40061318344403</v>
      </c>
      <c r="AK149" s="1390"/>
      <c r="AL149" s="1328">
        <f>+AL146+AM149</f>
        <v>38</v>
      </c>
      <c r="AM149" s="1390">
        <v>0</v>
      </c>
      <c r="AN149" s="1330">
        <f>+(AL149/AL142-1)*100</f>
        <v>15.151515151515159</v>
      </c>
      <c r="AO149" s="1338">
        <f>+AL149*AP$132/1000</f>
        <v>4.9399999999999999E-2</v>
      </c>
      <c r="AP149" s="665"/>
      <c r="AQ149" s="1330">
        <f>+(AO149/AO142-1)*100</f>
        <v>15.151515151515138</v>
      </c>
      <c r="AR149" s="664"/>
      <c r="AS149" s="1340">
        <f>+D149+O149+AA149+AD149+AL149</f>
        <v>210</v>
      </c>
      <c r="AT149" s="1341">
        <f>+AS149-AS145</f>
        <v>5</v>
      </c>
      <c r="AU149" s="1330">
        <f>+(AS149/AS142-1)*100</f>
        <v>11.111111111111116</v>
      </c>
      <c r="AV149" s="665"/>
      <c r="AW149" s="665"/>
      <c r="AX149" s="1347">
        <f>AS149-D149-AL149</f>
        <v>107</v>
      </c>
      <c r="AY149" s="1348">
        <f>AX149-AX146</f>
        <v>4</v>
      </c>
      <c r="AZ149" s="132"/>
      <c r="BA149" s="132"/>
      <c r="BB149" s="132"/>
      <c r="BC149" s="215">
        <f>D149/AS149</f>
        <v>0.30952380952380953</v>
      </c>
      <c r="BD149" s="1492">
        <f>(AX149)/AS149</f>
        <v>0.50952380952380949</v>
      </c>
      <c r="BE149" s="1343">
        <f>AL149/AS149</f>
        <v>0.18095238095238095</v>
      </c>
    </row>
    <row r="150" spans="1:57" ht="12" hidden="1" customHeight="1" outlineLevel="1">
      <c r="A150" s="132" t="str">
        <f>$A$31</f>
        <v>2Q</v>
      </c>
      <c r="B150" s="132" t="str">
        <f>$B$31</f>
        <v>Jul</v>
      </c>
      <c r="C150" s="132"/>
      <c r="D150" s="1328">
        <f>+E150+D149</f>
        <v>65</v>
      </c>
      <c r="E150" s="1405">
        <v>0</v>
      </c>
      <c r="F150" s="1330">
        <f>+(D150/D143-1)*100</f>
        <v>8.333333333333325</v>
      </c>
      <c r="G150" s="1331">
        <f>G149+($G$146-$G$139)/$E$146*E150</f>
        <v>0.49109999999999998</v>
      </c>
      <c r="H150" s="665"/>
      <c r="I150" s="1330">
        <f>+(G150/G143-1)*100</f>
        <v>4.3118096856414656</v>
      </c>
      <c r="J150" s="672"/>
      <c r="K150" s="1328">
        <f>+L150+K149</f>
        <v>9</v>
      </c>
      <c r="L150" s="1344">
        <v>0</v>
      </c>
      <c r="M150" s="1328">
        <f>+N150+M149</f>
        <v>16</v>
      </c>
      <c r="N150" s="1344">
        <v>2</v>
      </c>
      <c r="O150" s="1328">
        <f>+K150+M150</f>
        <v>25</v>
      </c>
      <c r="P150" s="1402"/>
      <c r="Q150" s="1330">
        <f>+(K150/K143-1)*100</f>
        <v>12.5</v>
      </c>
      <c r="R150" s="1330"/>
      <c r="S150" s="1330"/>
      <c r="T150" s="664"/>
      <c r="U150" s="1328"/>
      <c r="V150" s="1344"/>
      <c r="W150" s="1330"/>
      <c r="X150" s="1330"/>
      <c r="Y150" s="1330"/>
      <c r="Z150" s="664"/>
      <c r="AA150" s="1328">
        <f>+AA149+AB150</f>
        <v>54</v>
      </c>
      <c r="AB150" s="1390">
        <v>0</v>
      </c>
      <c r="AC150" s="1330">
        <f>+(AA150/AA143-1)*100</f>
        <v>5.8823529411764719</v>
      </c>
      <c r="AD150" s="1328">
        <f>+AD149+AE150</f>
        <v>31</v>
      </c>
      <c r="AE150" s="1390">
        <v>1</v>
      </c>
      <c r="AF150" s="1330">
        <f>+(AD150/AD143-1)*100</f>
        <v>24</v>
      </c>
      <c r="AG150" s="1328"/>
      <c r="AH150" s="1390">
        <f>+AH149+0.0024</f>
        <v>0.31704174757281556</v>
      </c>
      <c r="AI150" s="1330"/>
      <c r="AJ150" s="1328">
        <f>+(AH150/AH142-1)*100</f>
        <v>11.242718446601941</v>
      </c>
      <c r="AK150" s="1390"/>
      <c r="AL150" s="1328">
        <f>+AL149+AM150</f>
        <v>38</v>
      </c>
      <c r="AM150" s="1390">
        <v>0</v>
      </c>
      <c r="AN150" s="1330">
        <f>+(AL150/AL143-1)*100</f>
        <v>8.5714285714285623</v>
      </c>
      <c r="AO150" s="1338">
        <f>+AL150*AP$132/1000</f>
        <v>4.9399999999999999E-2</v>
      </c>
      <c r="AP150" s="665"/>
      <c r="AQ150" s="1330">
        <f>+(AO150/AO143-1)*100</f>
        <v>8.5714285714285623</v>
      </c>
      <c r="AR150" s="664"/>
      <c r="AS150" s="1340">
        <f>+D150+O150+AA150+AD150+AL150</f>
        <v>213</v>
      </c>
      <c r="AT150" s="1341">
        <f>+AS150-AS149</f>
        <v>3</v>
      </c>
      <c r="AU150" s="1330">
        <f>+(AS150/AS143-1)*100</f>
        <v>10.9375</v>
      </c>
      <c r="AV150" s="665"/>
      <c r="AW150" s="665"/>
      <c r="AX150" s="1347">
        <f>AS150-D150-AL150</f>
        <v>110</v>
      </c>
      <c r="AY150" s="1348">
        <f>AX150-AX149</f>
        <v>3</v>
      </c>
      <c r="AZ150" s="132" t="s">
        <v>1544</v>
      </c>
      <c r="BA150" s="132"/>
      <c r="BB150" s="132"/>
      <c r="BC150" s="215">
        <f>D150/AS150</f>
        <v>0.30516431924882631</v>
      </c>
      <c r="BD150" s="1492">
        <f>(AX150)/AS150</f>
        <v>0.51643192488262912</v>
      </c>
      <c r="BE150" s="1343">
        <f>AL150/AS150</f>
        <v>0.17840375586854459</v>
      </c>
    </row>
    <row r="151" spans="1:57" ht="12" hidden="1" customHeight="1" outlineLevel="1">
      <c r="A151" s="132" t="str">
        <f>$A$32</f>
        <v>3Q</v>
      </c>
      <c r="B151" s="132" t="str">
        <f>$B$32</f>
        <v>Oct</v>
      </c>
      <c r="C151" s="132"/>
      <c r="D151" s="1328">
        <f>+E151+D150</f>
        <v>68</v>
      </c>
      <c r="E151" s="1405">
        <v>3</v>
      </c>
      <c r="F151" s="1330">
        <f>+(D151/D144-1)*100</f>
        <v>7.9365079365079305</v>
      </c>
      <c r="G151" s="1331">
        <f>G150+($G$146-$G$139)/$E$146*E151</f>
        <v>0.50249999999999995</v>
      </c>
      <c r="H151" s="665"/>
      <c r="I151" s="1330">
        <f>+(G151/G144-1)*100</f>
        <v>4.2098714226461942</v>
      </c>
      <c r="J151" s="132"/>
      <c r="K151" s="1328">
        <f>+L151+K150</f>
        <v>10</v>
      </c>
      <c r="L151" s="1344">
        <v>1</v>
      </c>
      <c r="M151" s="1328">
        <f>+N151+M150</f>
        <v>19</v>
      </c>
      <c r="N151" s="1344">
        <v>3</v>
      </c>
      <c r="O151" s="1328">
        <f>+K151+M151</f>
        <v>29</v>
      </c>
      <c r="P151" s="1402"/>
      <c r="Q151" s="1330">
        <f>+(K151/K144-1)*100</f>
        <v>25</v>
      </c>
      <c r="R151" s="1330"/>
      <c r="S151" s="1330"/>
      <c r="T151" s="664"/>
      <c r="U151" s="1328"/>
      <c r="V151" s="1344"/>
      <c r="W151" s="1330"/>
      <c r="X151" s="1330"/>
      <c r="Y151" s="1330"/>
      <c r="Z151" s="664"/>
      <c r="AA151" s="1328">
        <f>+AA150+AB151</f>
        <v>55</v>
      </c>
      <c r="AB151" s="1390">
        <v>1</v>
      </c>
      <c r="AC151" s="1330">
        <f>+(AA151/AA144-1)*100</f>
        <v>5.7692307692307709</v>
      </c>
      <c r="AD151" s="1328">
        <f>+AD150+AE151</f>
        <v>34</v>
      </c>
      <c r="AE151" s="1390">
        <v>3</v>
      </c>
      <c r="AF151" s="1330">
        <f>+(AD151/AD144-1)*100</f>
        <v>25.925925925925931</v>
      </c>
      <c r="AG151" s="1328"/>
      <c r="AH151" s="1390">
        <f>+AH150+(AE151+AB151+N151+L151)*$AI$146/1000</f>
        <v>0.34080873786407767</v>
      </c>
      <c r="AI151" s="1330"/>
      <c r="AJ151" s="1328">
        <f>+(AH151/AH143-1)*100</f>
        <v>19.582013285641263</v>
      </c>
      <c r="AK151" s="1390"/>
      <c r="AL151" s="1328">
        <f>+AL150+AM151</f>
        <v>38</v>
      </c>
      <c r="AM151" s="1390">
        <v>0</v>
      </c>
      <c r="AN151" s="1330">
        <f>+(AL151/AL144-1)*100</f>
        <v>5.555555555555558</v>
      </c>
      <c r="AO151" s="1338">
        <f>+AL151*AP$132/1000</f>
        <v>4.9399999999999999E-2</v>
      </c>
      <c r="AP151" s="665"/>
      <c r="AQ151" s="1330">
        <f>+(AO151/AO144-1)*100</f>
        <v>5.555555555555558</v>
      </c>
      <c r="AR151" s="664"/>
      <c r="AS151" s="1340">
        <f>+D151+O151+AA151+AD151+AL151</f>
        <v>224</v>
      </c>
      <c r="AT151" s="1341">
        <f>+AS151-AS150</f>
        <v>11</v>
      </c>
      <c r="AU151" s="1330">
        <f>+(AS151/AS144-1)*100</f>
        <v>12.000000000000011</v>
      </c>
      <c r="AV151" s="665"/>
      <c r="AW151" s="665"/>
      <c r="AX151" s="1347">
        <f>AS151-D151-AL151</f>
        <v>118</v>
      </c>
      <c r="AY151" s="1348">
        <f>AX151-AX150</f>
        <v>8</v>
      </c>
      <c r="AZ151" s="132"/>
      <c r="BA151" s="132"/>
      <c r="BB151" s="132"/>
      <c r="BC151" s="215">
        <f>D151/AS151</f>
        <v>0.30357142857142855</v>
      </c>
      <c r="BD151" s="1492">
        <f>(AX151)/AS151</f>
        <v>0.5267857142857143</v>
      </c>
      <c r="BE151" s="1343">
        <f>AL151/AS151</f>
        <v>0.16964285714285715</v>
      </c>
    </row>
    <row r="152" spans="1:57" ht="12" hidden="1" customHeight="1" outlineLevel="1">
      <c r="A152" s="132" t="str">
        <f>$A$33</f>
        <v>4Q</v>
      </c>
      <c r="B152" s="132" t="str">
        <f>$B$33</f>
        <v>Jan</v>
      </c>
      <c r="C152" s="132"/>
      <c r="D152" s="1351">
        <f>+D153</f>
        <v>70</v>
      </c>
      <c r="E152" s="1406">
        <f>E153-SUM(E149:E151)</f>
        <v>2</v>
      </c>
      <c r="F152" s="1330">
        <f>+(D152/D145-1)*100</f>
        <v>9.375</v>
      </c>
      <c r="G152" s="1380">
        <v>0.53300000000000003</v>
      </c>
      <c r="H152" s="665"/>
      <c r="I152" s="1330">
        <f>+(G152/G145-1)*100</f>
        <v>9.6707818930041221</v>
      </c>
      <c r="J152" s="132"/>
      <c r="K152" s="1351">
        <f>+K153</f>
        <v>10</v>
      </c>
      <c r="L152" s="1328">
        <f>L153-SUM(L149:L151)</f>
        <v>0</v>
      </c>
      <c r="M152" s="1351">
        <f>+M153</f>
        <v>17</v>
      </c>
      <c r="N152" s="1328">
        <f>N153-SUM(N149:N151)</f>
        <v>-3</v>
      </c>
      <c r="O152" s="1351">
        <f>+K152+M152</f>
        <v>27</v>
      </c>
      <c r="P152" s="1334">
        <f>+K152-K151</f>
        <v>0</v>
      </c>
      <c r="Q152" s="1330">
        <f>+(K152/K145-1)*100</f>
        <v>11.111111111111116</v>
      </c>
      <c r="R152" s="1330"/>
      <c r="S152" s="1330"/>
      <c r="T152" s="664"/>
      <c r="U152" s="1351"/>
      <c r="V152" s="1328"/>
      <c r="W152" s="1330"/>
      <c r="X152" s="1330"/>
      <c r="Y152" s="1330"/>
      <c r="Z152" s="664"/>
      <c r="AA152" s="1351">
        <f>+AA153</f>
        <v>53</v>
      </c>
      <c r="AB152" s="1352">
        <f>AB153-SUM(AB149:AB151)</f>
        <v>-2</v>
      </c>
      <c r="AC152" s="1330">
        <f>+(AA152/AA145-1)*100</f>
        <v>1.9230769230769162</v>
      </c>
      <c r="AD152" s="1351">
        <f>+AD153</f>
        <v>34</v>
      </c>
      <c r="AE152" s="1352">
        <f>AE153-SUM(AE149:AE151)</f>
        <v>0</v>
      </c>
      <c r="AF152" s="1330">
        <f>+(AD152/AD145-1)*100</f>
        <v>21.42857142857142</v>
      </c>
      <c r="AG152" s="1351"/>
      <c r="AH152" s="1352">
        <f>AH153</f>
        <v>0.32700000000000001</v>
      </c>
      <c r="AI152" s="1330"/>
      <c r="AJ152" s="1351">
        <f>+(AH152/AH144-1)*100</f>
        <v>9.3645484949832714</v>
      </c>
      <c r="AK152" s="1352"/>
      <c r="AL152" s="1351">
        <f>+AL153</f>
        <v>38</v>
      </c>
      <c r="AM152" s="1352">
        <f>AM153-SUM(AM149:AM151)</f>
        <v>0</v>
      </c>
      <c r="AN152" s="1330">
        <f>+(AL152/AL145-1)*100</f>
        <v>0</v>
      </c>
      <c r="AO152" s="1353">
        <f>+AL152*AP$132/1000</f>
        <v>4.9399999999999999E-2</v>
      </c>
      <c r="AP152" s="665"/>
      <c r="AQ152" s="1330">
        <f>+(AO152/AO145-1)*100</f>
        <v>-55.892857142857146</v>
      </c>
      <c r="AR152" s="664"/>
      <c r="AS152" s="1355">
        <f>+D152+O152+AA152+AD152+AL152</f>
        <v>222</v>
      </c>
      <c r="AT152" s="1341">
        <f>+AS152-AS151</f>
        <v>-2</v>
      </c>
      <c r="AU152" s="1330">
        <f>+(AS152/AS145-1)*100</f>
        <v>8.2926829268292757</v>
      </c>
      <c r="AV152" s="665"/>
      <c r="AW152" s="665"/>
      <c r="AX152" s="1347">
        <f>AS152-D152-AL152</f>
        <v>114</v>
      </c>
      <c r="AY152" s="1348">
        <f>AX152-AX151</f>
        <v>-4</v>
      </c>
      <c r="AZ152" s="132"/>
      <c r="BA152" s="132"/>
      <c r="BB152" s="132"/>
      <c r="BC152" s="215">
        <f>D152/AS152</f>
        <v>0.31531531531531531</v>
      </c>
      <c r="BD152" s="1492">
        <f>(AX152)/AS152</f>
        <v>0.51351351351351349</v>
      </c>
      <c r="BE152" s="1356">
        <f>AL152/AS152</f>
        <v>0.17117117117117117</v>
      </c>
    </row>
    <row r="153" spans="1:57" ht="12" hidden="1" customHeight="1" outlineLevel="1">
      <c r="A153" s="132"/>
      <c r="B153" s="132" t="str">
        <f>$B$34</f>
        <v>Year</v>
      </c>
      <c r="C153" s="132"/>
      <c r="D153" s="1340">
        <f>+D146+E153</f>
        <v>70</v>
      </c>
      <c r="E153" s="1407">
        <v>6</v>
      </c>
      <c r="F153" s="1330">
        <f>+(D153/D146-1)*100</f>
        <v>9.375</v>
      </c>
      <c r="G153" s="1331">
        <f>G152</f>
        <v>0.53300000000000003</v>
      </c>
      <c r="H153" s="665">
        <f>+G153/D153*1000</f>
        <v>7.6142857142857148</v>
      </c>
      <c r="I153" s="1330">
        <f>+(G153/G146-1)*100</f>
        <v>9.6707818930041221</v>
      </c>
      <c r="J153" s="132"/>
      <c r="K153" s="1340">
        <f>+L153+K146</f>
        <v>10</v>
      </c>
      <c r="L153" s="1408">
        <v>1</v>
      </c>
      <c r="M153" s="1340">
        <f>+N153+M146</f>
        <v>17</v>
      </c>
      <c r="N153" s="1408">
        <v>3</v>
      </c>
      <c r="O153" s="1328">
        <f>+K153+M153</f>
        <v>27</v>
      </c>
      <c r="P153" s="1400"/>
      <c r="Q153" s="1330">
        <f>+(K153/K146-1)*100</f>
        <v>11.111111111111116</v>
      </c>
      <c r="R153" s="1330"/>
      <c r="S153" s="1330"/>
      <c r="T153" s="664"/>
      <c r="U153" s="1340"/>
      <c r="V153" s="1408"/>
      <c r="W153" s="1330"/>
      <c r="X153" s="1330"/>
      <c r="Y153" s="1330"/>
      <c r="Z153" s="664"/>
      <c r="AA153" s="1340">
        <f>+AB153+AA146</f>
        <v>53</v>
      </c>
      <c r="AB153" s="1401">
        <v>1</v>
      </c>
      <c r="AC153" s="1330">
        <f>+(AA153/AA146-1)*100</f>
        <v>1.9230769230769162</v>
      </c>
      <c r="AD153" s="1340">
        <f>+AE153+AD146</f>
        <v>34</v>
      </c>
      <c r="AE153" s="1401">
        <v>6</v>
      </c>
      <c r="AF153" s="1330">
        <f>+(AD153/AD146-1)*100</f>
        <v>21.42857142857142</v>
      </c>
      <c r="AG153" s="1340"/>
      <c r="AH153" s="1401">
        <v>0.32700000000000001</v>
      </c>
      <c r="AI153" s="1330">
        <f>+AH153/AX153*1000</f>
        <v>2.8684210526315792</v>
      </c>
      <c r="AJ153" s="1340">
        <f>+(AH153/AH145-1)*100</f>
        <v>6.8627450980392135</v>
      </c>
      <c r="AK153" s="1401"/>
      <c r="AL153" s="1340">
        <f>+AM153+AL146</f>
        <v>38</v>
      </c>
      <c r="AM153" s="1401">
        <v>0</v>
      </c>
      <c r="AN153" s="1330">
        <f>+(AL153/AL146-1)*100</f>
        <v>0</v>
      </c>
      <c r="AO153" s="1338">
        <f>+AL153*AP153/1000</f>
        <v>6.8400000000000002E-2</v>
      </c>
      <c r="AP153" s="665">
        <f>+AP146</f>
        <v>1.8</v>
      </c>
      <c r="AQ153" s="1330">
        <f>+(AO153/AO146-1)*100</f>
        <v>-38.928571428571423</v>
      </c>
      <c r="AR153" s="664"/>
      <c r="AS153" s="1340">
        <f>+D153+O153+AA153+AD153+AL153</f>
        <v>222</v>
      </c>
      <c r="AT153" s="683">
        <f>+AS153-AS146</f>
        <v>17</v>
      </c>
      <c r="AU153" s="1330">
        <f>+(AS153/AS146-1)*100</f>
        <v>8.2926829268292757</v>
      </c>
      <c r="AV153" s="665"/>
      <c r="AW153" s="665"/>
      <c r="AX153" s="1347">
        <f>AS153-D153-AL153</f>
        <v>114</v>
      </c>
      <c r="AY153" s="1348">
        <f>AX153-AX146</f>
        <v>11</v>
      </c>
      <c r="AZ153" s="215"/>
      <c r="BA153" s="215"/>
      <c r="BB153" s="215"/>
      <c r="BC153" s="1363">
        <f>D153/AS153</f>
        <v>0.31531531531531531</v>
      </c>
      <c r="BD153" s="1810">
        <f>(O153+AA153+AD153)/AS153</f>
        <v>0.51351351351351349</v>
      </c>
      <c r="BE153" s="1363">
        <f>AL153/AS153</f>
        <v>0.17117117117117117</v>
      </c>
    </row>
    <row r="154" spans="1:57" ht="12" hidden="1" customHeight="1" outlineLevel="1">
      <c r="A154" s="132"/>
      <c r="B154" s="132"/>
      <c r="C154" s="132"/>
      <c r="D154" s="230"/>
      <c r="E154" s="1325"/>
      <c r="F154" s="1339"/>
      <c r="G154" s="614"/>
      <c r="H154" s="230"/>
      <c r="I154" s="1330"/>
      <c r="J154" s="132"/>
      <c r="K154" s="230"/>
      <c r="L154" s="174"/>
      <c r="M154" s="230"/>
      <c r="N154" s="174"/>
      <c r="O154" s="230"/>
      <c r="P154" s="200"/>
      <c r="Q154" s="230"/>
      <c r="R154" s="230"/>
      <c r="S154" s="230"/>
      <c r="T154" s="643"/>
      <c r="U154" s="230"/>
      <c r="V154" s="174"/>
      <c r="W154" s="230"/>
      <c r="X154" s="230"/>
      <c r="Y154" s="230"/>
      <c r="Z154" s="643"/>
      <c r="AA154" s="230"/>
      <c r="AB154" s="174"/>
      <c r="AC154" s="230"/>
      <c r="AD154" s="230"/>
      <c r="AE154" s="174"/>
      <c r="AF154" s="230"/>
      <c r="AG154" s="230"/>
      <c r="AH154" s="174"/>
      <c r="AI154" s="230"/>
      <c r="AJ154" s="230"/>
      <c r="AK154" s="174"/>
      <c r="AL154" s="230"/>
      <c r="AM154" s="174"/>
      <c r="AN154" s="174"/>
      <c r="AO154" s="132"/>
      <c r="AP154" s="230"/>
      <c r="AQ154" s="1339"/>
      <c r="AR154" s="643"/>
      <c r="AS154" s="1403"/>
      <c r="AT154" s="132"/>
      <c r="AU154" s="132"/>
      <c r="AV154" s="132"/>
      <c r="AW154" s="132"/>
      <c r="AX154" s="1347"/>
      <c r="AY154" s="1348"/>
      <c r="AZ154" s="132"/>
      <c r="BA154" s="132"/>
      <c r="BB154" s="132"/>
      <c r="BC154" s="132"/>
      <c r="BD154" s="256"/>
      <c r="BE154" s="132"/>
    </row>
    <row r="155" spans="1:57" ht="12" hidden="1" customHeight="1" outlineLevel="1">
      <c r="A155" s="2506">
        <f>+A148+1</f>
        <v>2008</v>
      </c>
      <c r="B155" s="2506"/>
      <c r="C155" s="132"/>
      <c r="D155" s="1033"/>
      <c r="E155" s="1325"/>
      <c r="F155" s="1339"/>
      <c r="G155" s="1396"/>
      <c r="H155" s="1409"/>
      <c r="I155" s="1330"/>
      <c r="J155" s="132"/>
      <c r="K155" s="1386"/>
      <c r="L155" s="1387"/>
      <c r="M155" s="1386"/>
      <c r="N155" s="1387"/>
      <c r="O155" s="1386"/>
      <c r="P155" s="200"/>
      <c r="Q155" s="230"/>
      <c r="R155" s="230"/>
      <c r="S155" s="230"/>
      <c r="T155" s="643"/>
      <c r="U155" s="1386"/>
      <c r="V155" s="1387"/>
      <c r="W155" s="230"/>
      <c r="X155" s="230"/>
      <c r="Y155" s="230"/>
      <c r="Z155" s="643"/>
      <c r="AA155" s="1386"/>
      <c r="AB155" s="174"/>
      <c r="AC155" s="230"/>
      <c r="AD155" s="1386"/>
      <c r="AE155" s="174"/>
      <c r="AF155" s="230"/>
      <c r="AG155" s="1386"/>
      <c r="AH155" s="174"/>
      <c r="AI155" s="230"/>
      <c r="AJ155" s="1386"/>
      <c r="AK155" s="174"/>
      <c r="AL155" s="1386"/>
      <c r="AM155" s="174"/>
      <c r="AN155" s="174"/>
      <c r="AO155" s="1386"/>
      <c r="AP155" s="230"/>
      <c r="AQ155" s="1339"/>
      <c r="AR155" s="643"/>
      <c r="AS155" s="929"/>
      <c r="AT155" s="132"/>
      <c r="AU155" s="132"/>
      <c r="AV155" s="132"/>
      <c r="AW155" s="132"/>
      <c r="AX155" s="1347"/>
      <c r="AY155" s="1348"/>
      <c r="AZ155" s="132"/>
      <c r="BA155" s="132"/>
      <c r="BB155" s="132"/>
      <c r="BC155" s="132"/>
      <c r="BD155" s="256"/>
      <c r="BE155" s="132"/>
    </row>
    <row r="156" spans="1:57" ht="12" hidden="1" customHeight="1" outlineLevel="1">
      <c r="A156" s="132" t="str">
        <f>$A$30</f>
        <v>1Q</v>
      </c>
      <c r="B156" s="132" t="str">
        <f>$B$30</f>
        <v>Apr</v>
      </c>
      <c r="C156" s="132"/>
      <c r="D156" s="1328">
        <f>+D152+E156</f>
        <v>71</v>
      </c>
      <c r="E156" s="1410">
        <v>1</v>
      </c>
      <c r="F156" s="1330">
        <f>+(D156/D149-1)*100</f>
        <v>9.2307692307692193</v>
      </c>
      <c r="G156" s="1331">
        <f>G153+E156*H153/1000</f>
        <v>0.54061428571428571</v>
      </c>
      <c r="H156" s="665"/>
      <c r="I156" s="1330">
        <f>+(G156/G149-1)*100</f>
        <v>10.082322483055538</v>
      </c>
      <c r="J156" s="132"/>
      <c r="K156" s="1328">
        <f>+K152+L156</f>
        <v>10</v>
      </c>
      <c r="L156" s="1332">
        <v>0</v>
      </c>
      <c r="M156" s="1328">
        <f>+M152+N156</f>
        <v>17</v>
      </c>
      <c r="N156" s="1344">
        <v>0</v>
      </c>
      <c r="O156" s="1340">
        <f>+K156+M156</f>
        <v>27</v>
      </c>
      <c r="P156" s="1402"/>
      <c r="Q156" s="1330">
        <f>+(K156/K149-1)*100</f>
        <v>11.111111111111116</v>
      </c>
      <c r="R156" s="1330"/>
      <c r="S156" s="1330"/>
      <c r="T156" s="664"/>
      <c r="U156" s="1328"/>
      <c r="V156" s="1332"/>
      <c r="W156" s="1330"/>
      <c r="X156" s="1330"/>
      <c r="Y156" s="1330"/>
      <c r="Z156" s="664"/>
      <c r="AA156" s="1328">
        <f>+AA153+AB156</f>
        <v>53</v>
      </c>
      <c r="AB156" s="1390">
        <v>0</v>
      </c>
      <c r="AC156" s="1330">
        <f>+(AA156/AA149-1)*100</f>
        <v>-1.851851851851849</v>
      </c>
      <c r="AD156" s="1328">
        <f>+AD153+AE156</f>
        <v>36</v>
      </c>
      <c r="AE156" s="1390">
        <v>2</v>
      </c>
      <c r="AF156" s="1330">
        <f>+(AD156/AD149-1)*100</f>
        <v>19.999999999999996</v>
      </c>
      <c r="AG156" s="1328"/>
      <c r="AH156" s="1390">
        <f>+AH153+(AE156+AB156+N156+L156)*$AI$146/1000</f>
        <v>0.33294174757281553</v>
      </c>
      <c r="AI156" s="1330"/>
      <c r="AJ156" s="1328">
        <f>+(AH156/AH149-1)*100</f>
        <v>5.8161385579530878</v>
      </c>
      <c r="AK156" s="1390"/>
      <c r="AL156" s="1328">
        <f>+AL153+AM156</f>
        <v>38</v>
      </c>
      <c r="AM156" s="1390">
        <v>0</v>
      </c>
      <c r="AN156" s="1330">
        <f>+(AL156/AL149-1)*100</f>
        <v>0</v>
      </c>
      <c r="AO156" s="1338">
        <f>+AL156*AP$132/1000</f>
        <v>4.9399999999999999E-2</v>
      </c>
      <c r="AP156" s="665"/>
      <c r="AQ156" s="1330">
        <f>+(AO156/AO149-1)*100</f>
        <v>0</v>
      </c>
      <c r="AR156" s="664"/>
      <c r="AS156" s="1340">
        <f>+D156+O156+AA156+AD156+AL156</f>
        <v>225</v>
      </c>
      <c r="AT156" s="1341">
        <f>+AS156-AS152</f>
        <v>3</v>
      </c>
      <c r="AU156" s="1330">
        <f>+(AS156/AS149-1)*100</f>
        <v>7.1428571428571397</v>
      </c>
      <c r="AV156" s="665"/>
      <c r="AW156" s="665"/>
      <c r="AX156" s="1347">
        <f>AS156-D156-AL156</f>
        <v>116</v>
      </c>
      <c r="AY156" s="1348">
        <f>AX156-AX153</f>
        <v>2</v>
      </c>
      <c r="AZ156" s="132"/>
      <c r="BA156" s="132"/>
      <c r="BB156" s="132"/>
      <c r="BC156" s="215">
        <f>D156/AS156</f>
        <v>0.31555555555555553</v>
      </c>
      <c r="BD156" s="1492">
        <f>(O156+AA156+AD156)/AS156</f>
        <v>0.51555555555555554</v>
      </c>
      <c r="BE156" s="1343">
        <f>AL156/AS156</f>
        <v>0.16888888888888889</v>
      </c>
    </row>
    <row r="157" spans="1:57" ht="12" hidden="1" customHeight="1" outlineLevel="1">
      <c r="A157" s="132" t="str">
        <f>$A$31</f>
        <v>2Q</v>
      </c>
      <c r="B157" s="132" t="str">
        <f>$B$31</f>
        <v>Jul</v>
      </c>
      <c r="C157" s="132"/>
      <c r="D157" s="1328">
        <f>+E157+D156</f>
        <v>71</v>
      </c>
      <c r="E157" s="1410">
        <v>0</v>
      </c>
      <c r="F157" s="1330">
        <f>+(D157/D150-1)*100</f>
        <v>9.2307692307692193</v>
      </c>
      <c r="G157" s="1331">
        <f>+G156+(($G$153-$G$146)/$E$153)*E157</f>
        <v>0.54061428571428571</v>
      </c>
      <c r="H157" s="665"/>
      <c r="I157" s="1330">
        <f>+(G157/G150-1)*100</f>
        <v>10.082322483055538</v>
      </c>
      <c r="J157" s="672"/>
      <c r="K157" s="1328">
        <f>+L157+K156</f>
        <v>10</v>
      </c>
      <c r="L157" s="1344">
        <v>0</v>
      </c>
      <c r="M157" s="1328">
        <f>+N157+M156</f>
        <v>18</v>
      </c>
      <c r="N157" s="1344">
        <v>1</v>
      </c>
      <c r="O157" s="1328">
        <f>+K157+M157</f>
        <v>28</v>
      </c>
      <c r="P157" s="1402"/>
      <c r="Q157" s="1330">
        <f>+(K157/K150-1)*100</f>
        <v>11.111111111111116</v>
      </c>
      <c r="R157" s="1330"/>
      <c r="S157" s="1330"/>
      <c r="T157" s="664"/>
      <c r="U157" s="1328"/>
      <c r="V157" s="1344"/>
      <c r="W157" s="1330"/>
      <c r="X157" s="1330"/>
      <c r="Y157" s="1330"/>
      <c r="Z157" s="664"/>
      <c r="AA157" s="1328">
        <f>+AA156+AB157</f>
        <v>54</v>
      </c>
      <c r="AB157" s="1390">
        <v>1</v>
      </c>
      <c r="AC157" s="1330">
        <f>+(AA157/AA150-1)*100</f>
        <v>0</v>
      </c>
      <c r="AD157" s="1328">
        <f>+AD156+AE157</f>
        <v>39</v>
      </c>
      <c r="AE157" s="1390">
        <v>3</v>
      </c>
      <c r="AF157" s="1330">
        <f>+(AD157/AD150-1)*100</f>
        <v>25.806451612903224</v>
      </c>
      <c r="AG157" s="1328"/>
      <c r="AH157" s="1390">
        <f>+AH156+(AE157+AB157+N157+L157)*$AI$146/1000</f>
        <v>0.34779611650485437</v>
      </c>
      <c r="AI157" s="1330"/>
      <c r="AJ157" s="1328">
        <f>+(AH157/AH149-1)*100</f>
        <v>10.537180519684885</v>
      </c>
      <c r="AK157" s="1390"/>
      <c r="AL157" s="1328">
        <f>+AL156+AM157</f>
        <v>38</v>
      </c>
      <c r="AM157" s="1390">
        <v>0</v>
      </c>
      <c r="AN157" s="1330">
        <f>+(AL157/AL150-1)*100</f>
        <v>0</v>
      </c>
      <c r="AO157" s="1338">
        <f>+AL157*AP$132/1000</f>
        <v>4.9399999999999999E-2</v>
      </c>
      <c r="AP157" s="665"/>
      <c r="AQ157" s="1330">
        <f>+(AO157/AO150-1)*100</f>
        <v>0</v>
      </c>
      <c r="AR157" s="664"/>
      <c r="AS157" s="1340">
        <f>+D157+O157+AA157+AD157+AL157</f>
        <v>230</v>
      </c>
      <c r="AT157" s="1341">
        <f>+AS157-AS156</f>
        <v>5</v>
      </c>
      <c r="AU157" s="1330">
        <f>+(AS157/AS150-1)*100</f>
        <v>7.9812206572769995</v>
      </c>
      <c r="AV157" s="665"/>
      <c r="AW157" s="665"/>
      <c r="AX157" s="1347">
        <f>AS157-D157-AL157</f>
        <v>121</v>
      </c>
      <c r="AY157" s="1348">
        <f>AX157-AX156</f>
        <v>5</v>
      </c>
      <c r="AZ157" s="132"/>
      <c r="BA157" s="132"/>
      <c r="BB157" s="132"/>
      <c r="BC157" s="215">
        <f>D157/AS157</f>
        <v>0.30869565217391304</v>
      </c>
      <c r="BD157" s="1492">
        <f>(O157+AA157+AD157)/AS157</f>
        <v>0.52608695652173909</v>
      </c>
      <c r="BE157" s="1343">
        <f>AL157/AS157</f>
        <v>0.16521739130434782</v>
      </c>
    </row>
    <row r="158" spans="1:57" ht="12" hidden="1" customHeight="1" outlineLevel="1">
      <c r="A158" s="132" t="str">
        <f>$A$32</f>
        <v>3Q</v>
      </c>
      <c r="B158" s="132" t="str">
        <f>$B$32</f>
        <v>Oct</v>
      </c>
      <c r="C158" s="132"/>
      <c r="D158" s="1328">
        <f>+E158+D157</f>
        <v>74</v>
      </c>
      <c r="E158" s="1410">
        <v>3</v>
      </c>
      <c r="F158" s="1330">
        <f>+(D158/D151-1)*100</f>
        <v>8.8235294117646959</v>
      </c>
      <c r="G158" s="1331">
        <f>+G157+(($G$153-$G$146)/$E$153)*E158</f>
        <v>0.56411428571428579</v>
      </c>
      <c r="H158" s="665"/>
      <c r="I158" s="1330">
        <f>+(G158/G151-1)*100</f>
        <v>12.261549395877779</v>
      </c>
      <c r="J158" s="132"/>
      <c r="K158" s="1328">
        <f>+L158+K157</f>
        <v>11</v>
      </c>
      <c r="L158" s="1344">
        <v>1</v>
      </c>
      <c r="M158" s="1328">
        <f>+N158+M157</f>
        <v>19</v>
      </c>
      <c r="N158" s="1344">
        <v>1</v>
      </c>
      <c r="O158" s="1328">
        <f>+K158+M158</f>
        <v>30</v>
      </c>
      <c r="P158" s="1402"/>
      <c r="Q158" s="1330">
        <f>+(K158/K151-1)*100</f>
        <v>10.000000000000009</v>
      </c>
      <c r="R158" s="1330"/>
      <c r="S158" s="1330"/>
      <c r="T158" s="664"/>
      <c r="U158" s="1328"/>
      <c r="V158" s="1344"/>
      <c r="W158" s="1330"/>
      <c r="X158" s="1330"/>
      <c r="Y158" s="1330"/>
      <c r="Z158" s="664"/>
      <c r="AA158" s="1328">
        <f>+AA157+AB158</f>
        <v>55</v>
      </c>
      <c r="AB158" s="1390">
        <v>1</v>
      </c>
      <c r="AC158" s="1330">
        <f>+(AA158/AA151-1)*100</f>
        <v>0</v>
      </c>
      <c r="AD158" s="1328">
        <f>+AD157+AE158</f>
        <v>44</v>
      </c>
      <c r="AE158" s="1390">
        <v>5</v>
      </c>
      <c r="AF158" s="1330">
        <f>+(AD158/AD151-1)*100</f>
        <v>29.411764705882359</v>
      </c>
      <c r="AG158" s="1328"/>
      <c r="AH158" s="1390">
        <f>+AH157+(AE158+AB158+N158+L158)*$AI$146/1000</f>
        <v>0.37156310679611648</v>
      </c>
      <c r="AI158" s="1330"/>
      <c r="AJ158" s="1328">
        <f>+(AH158/AH150-1)*100</f>
        <v>17.196902187393761</v>
      </c>
      <c r="AK158" s="1390"/>
      <c r="AL158" s="1328">
        <f>+AL157+AM158</f>
        <v>38</v>
      </c>
      <c r="AM158" s="1390">
        <v>0</v>
      </c>
      <c r="AN158" s="1330">
        <f>+(AL158/AL151-1)*100</f>
        <v>0</v>
      </c>
      <c r="AO158" s="1338">
        <f>+AL158*AP$132/1000</f>
        <v>4.9399999999999999E-2</v>
      </c>
      <c r="AP158" s="665"/>
      <c r="AQ158" s="1330">
        <f>+(AO158/AO151-1)*100</f>
        <v>0</v>
      </c>
      <c r="AR158" s="664"/>
      <c r="AS158" s="1340">
        <f>+D158+O158+AA158+AD158+AL158</f>
        <v>241</v>
      </c>
      <c r="AT158" s="1341">
        <f>+AS158-AS157</f>
        <v>11</v>
      </c>
      <c r="AU158" s="1330">
        <f>+(AS158/AS151-1)*100</f>
        <v>7.5892857142857206</v>
      </c>
      <c r="AV158" s="665"/>
      <c r="AW158" s="665"/>
      <c r="AX158" s="1347">
        <f>AS158-D158-AL158</f>
        <v>129</v>
      </c>
      <c r="AY158" s="1348">
        <f>AX158-AX157</f>
        <v>8</v>
      </c>
      <c r="AZ158" s="132"/>
      <c r="BA158" s="132"/>
      <c r="BB158" s="132"/>
      <c r="BC158" s="215">
        <f>D158/AS158</f>
        <v>0.30705394190871371</v>
      </c>
      <c r="BD158" s="1492">
        <f>(O158+AA158+AD158)/AS158</f>
        <v>0.53526970954356845</v>
      </c>
      <c r="BE158" s="1343">
        <f>AL158/AS158</f>
        <v>0.15767634854771784</v>
      </c>
    </row>
    <row r="159" spans="1:57" ht="12" hidden="1" customHeight="1" outlineLevel="1">
      <c r="A159" s="132" t="str">
        <f>$A$33</f>
        <v>4Q</v>
      </c>
      <c r="B159" s="132" t="str">
        <f>$B$33</f>
        <v>Jan</v>
      </c>
      <c r="C159" s="132"/>
      <c r="D159" s="1351">
        <f>+D160</f>
        <v>76</v>
      </c>
      <c r="E159" s="1329">
        <f>E160-SUM(E156:E158)</f>
        <v>2</v>
      </c>
      <c r="F159" s="1330">
        <f>+(D159/D152-1)*100</f>
        <v>8.5714285714285623</v>
      </c>
      <c r="G159" s="1350">
        <f>+G158+(($G$153-$G$146)/$E$153)*E159</f>
        <v>0.57978095238095251</v>
      </c>
      <c r="H159" s="665"/>
      <c r="I159" s="1330">
        <f>+(G159/G152-1)*100</f>
        <v>8.7769141427678221</v>
      </c>
      <c r="J159" s="132"/>
      <c r="K159" s="1351">
        <f>+K160</f>
        <v>10</v>
      </c>
      <c r="L159" s="1328">
        <f>L160-SUM(L156:L158)</f>
        <v>-1</v>
      </c>
      <c r="M159" s="1351">
        <f>+M160</f>
        <v>24</v>
      </c>
      <c r="N159" s="1328">
        <f>N160-SUM(N156:N158)</f>
        <v>5</v>
      </c>
      <c r="O159" s="1351">
        <f>+K159+M159</f>
        <v>34</v>
      </c>
      <c r="P159" s="1334">
        <f>+K159-K158</f>
        <v>-1</v>
      </c>
      <c r="Q159" s="1330">
        <f>+(K159/K152-1)*100</f>
        <v>0</v>
      </c>
      <c r="R159" s="1330"/>
      <c r="S159" s="1330"/>
      <c r="T159" s="664"/>
      <c r="U159" s="1351"/>
      <c r="V159" s="1328"/>
      <c r="W159" s="1330"/>
      <c r="X159" s="1330"/>
      <c r="Y159" s="1330"/>
      <c r="Z159" s="664"/>
      <c r="AA159" s="1351">
        <f>+AA160</f>
        <v>57</v>
      </c>
      <c r="AB159" s="1352">
        <f>AB160-SUM(AB156:AB158)</f>
        <v>2</v>
      </c>
      <c r="AC159" s="1330">
        <f>+(AA159/AA152-1)*100</f>
        <v>7.547169811320753</v>
      </c>
      <c r="AD159" s="1351">
        <f>+AD160</f>
        <v>39</v>
      </c>
      <c r="AE159" s="1352">
        <f>AE160-SUM(AE156:AE158)</f>
        <v>-5</v>
      </c>
      <c r="AF159" s="1330">
        <f>+(AD159/AD152-1)*100</f>
        <v>14.705882352941169</v>
      </c>
      <c r="AG159" s="1351"/>
      <c r="AH159" s="1352">
        <f>+AH158+(AE159+AB159+N159+L159)*$AI$146/1000</f>
        <v>0.37453398058252424</v>
      </c>
      <c r="AI159" s="1330"/>
      <c r="AJ159" s="1351">
        <f>+(AH159/AH151-1)*100</f>
        <v>9.8956508362461513</v>
      </c>
      <c r="AK159" s="1352"/>
      <c r="AL159" s="1351">
        <f>+AL160</f>
        <v>38</v>
      </c>
      <c r="AM159" s="1352">
        <f>AM160-SUM(AM156:AM158)</f>
        <v>0</v>
      </c>
      <c r="AN159" s="1330">
        <f>+(AL159/AL152-1)*100</f>
        <v>0</v>
      </c>
      <c r="AO159" s="1353">
        <f>+AL159*AP$132/1000</f>
        <v>4.9399999999999999E-2</v>
      </c>
      <c r="AP159" s="665"/>
      <c r="AQ159" s="1330">
        <f>+(AO159/AO152-1)*100</f>
        <v>0</v>
      </c>
      <c r="AR159" s="664"/>
      <c r="AS159" s="1355">
        <f>+D159+O159+AA159+AD159+AL159</f>
        <v>244</v>
      </c>
      <c r="AT159" s="1341">
        <f>+AS159-AS158</f>
        <v>3</v>
      </c>
      <c r="AU159" s="1330">
        <f>+(AS159/AS152-1)*100</f>
        <v>9.9099099099099206</v>
      </c>
      <c r="AV159" s="665"/>
      <c r="AW159" s="665"/>
      <c r="AX159" s="1347">
        <f>AS159-D159-AL159</f>
        <v>130</v>
      </c>
      <c r="AY159" s="1348">
        <f>AX159-AX158</f>
        <v>1</v>
      </c>
      <c r="AZ159" s="132"/>
      <c r="BA159" s="132"/>
      <c r="BB159" s="132"/>
      <c r="BC159" s="215">
        <f>D159/AS159</f>
        <v>0.31147540983606559</v>
      </c>
      <c r="BD159" s="1492">
        <f>(O159+AA159+AD159)/AS159</f>
        <v>0.53278688524590168</v>
      </c>
      <c r="BE159" s="1356">
        <f>AL159/AS159</f>
        <v>0.15573770491803279</v>
      </c>
    </row>
    <row r="160" spans="1:57" ht="12" hidden="1" customHeight="1" outlineLevel="1">
      <c r="A160" s="132"/>
      <c r="B160" s="132" t="str">
        <f>$B$34</f>
        <v>Year</v>
      </c>
      <c r="C160" s="132"/>
      <c r="D160" s="1340">
        <f>+D153+E160</f>
        <v>76</v>
      </c>
      <c r="E160" s="1399">
        <v>6</v>
      </c>
      <c r="F160" s="1330">
        <f>+(D160/D153-1)*100</f>
        <v>8.5714285714285623</v>
      </c>
      <c r="G160" s="1331">
        <f>+G159</f>
        <v>0.57978095238095251</v>
      </c>
      <c r="H160" s="665">
        <f>+G160/D160*1000</f>
        <v>7.6286967418546388</v>
      </c>
      <c r="I160" s="1330">
        <f>+(G160/G153-1)*100</f>
        <v>8.7769141427678221</v>
      </c>
      <c r="J160" s="132"/>
      <c r="K160" s="1340">
        <f>+L160+K153</f>
        <v>10</v>
      </c>
      <c r="L160" s="1400">
        <v>0</v>
      </c>
      <c r="M160" s="1340">
        <f>+N160+M153</f>
        <v>24</v>
      </c>
      <c r="N160" s="1400">
        <v>7</v>
      </c>
      <c r="O160" s="1328">
        <f>+K160+M160</f>
        <v>34</v>
      </c>
      <c r="P160" s="1400"/>
      <c r="Q160" s="1330">
        <f>+(K160/K153-1)*100</f>
        <v>0</v>
      </c>
      <c r="R160" s="1330"/>
      <c r="S160" s="1330"/>
      <c r="T160" s="664"/>
      <c r="U160" s="1340"/>
      <c r="V160" s="1400"/>
      <c r="W160" s="1330"/>
      <c r="X160" s="1330"/>
      <c r="Y160" s="1330"/>
      <c r="Z160" s="664"/>
      <c r="AA160" s="1340">
        <f>+AB160+AA153</f>
        <v>57</v>
      </c>
      <c r="AB160" s="1401">
        <v>4</v>
      </c>
      <c r="AC160" s="1330">
        <f>+(AA160/AA153-1)*100</f>
        <v>7.547169811320753</v>
      </c>
      <c r="AD160" s="1340">
        <f>+AE160+AD153</f>
        <v>39</v>
      </c>
      <c r="AE160" s="1401">
        <v>5</v>
      </c>
      <c r="AF160" s="1330">
        <f>+(AD160/AD153-1)*100</f>
        <v>14.705882352941169</v>
      </c>
      <c r="AG160" s="1340"/>
      <c r="AH160" s="1401">
        <f>+AH159</f>
        <v>0.37453398058252424</v>
      </c>
      <c r="AI160" s="1330">
        <f>+AH160/AX160*1000</f>
        <v>2.8810306198655709</v>
      </c>
      <c r="AJ160" s="1340">
        <f>+(AH160/AH152-1)*100</f>
        <v>14.536385499242876</v>
      </c>
      <c r="AK160" s="1401"/>
      <c r="AL160" s="1340">
        <f>+AM160+AL153</f>
        <v>38</v>
      </c>
      <c r="AM160" s="1401">
        <v>0</v>
      </c>
      <c r="AN160" s="1330">
        <f>+(AL160/AL153-1)*100</f>
        <v>0</v>
      </c>
      <c r="AO160" s="1338">
        <f>+AL160*AP160/1000</f>
        <v>6.8400000000000002E-2</v>
      </c>
      <c r="AP160" s="665">
        <f>+AP153</f>
        <v>1.8</v>
      </c>
      <c r="AQ160" s="1330">
        <f>+(AO160/AO153-1)*100</f>
        <v>0</v>
      </c>
      <c r="AR160" s="664"/>
      <c r="AS160" s="1340">
        <f>+D160+O160+AA160+AD160+AL160</f>
        <v>244</v>
      </c>
      <c r="AT160" s="683">
        <f>+AS160-AS153</f>
        <v>22</v>
      </c>
      <c r="AU160" s="1330">
        <f>+(AS160/AS153-1)*100</f>
        <v>9.9099099099099206</v>
      </c>
      <c r="AV160" s="665"/>
      <c r="AW160" s="665"/>
      <c r="AX160" s="1347">
        <f>AS160-D160-AL160</f>
        <v>130</v>
      </c>
      <c r="AY160" s="1348">
        <f>AX160-AX153</f>
        <v>16</v>
      </c>
      <c r="AZ160" s="132"/>
      <c r="BA160" s="132"/>
      <c r="BB160" s="132"/>
      <c r="BC160" s="1363">
        <f>D160/AS160</f>
        <v>0.31147540983606559</v>
      </c>
      <c r="BD160" s="1810">
        <f>(O160+AA160+AD160)/AS160</f>
        <v>0.53278688524590168</v>
      </c>
      <c r="BE160" s="1363">
        <f>AL160/AS160</f>
        <v>0.15573770491803279</v>
      </c>
    </row>
    <row r="161" spans="1:57" ht="12" hidden="1" customHeight="1" outlineLevel="1">
      <c r="A161" s="132"/>
      <c r="B161" s="132"/>
      <c r="C161" s="132"/>
      <c r="D161" s="230"/>
      <c r="E161" s="1325"/>
      <c r="F161" s="1339"/>
      <c r="G161" s="614"/>
      <c r="H161" s="230"/>
      <c r="I161" s="1330"/>
      <c r="J161" s="132"/>
      <c r="K161" s="230"/>
      <c r="L161" s="174"/>
      <c r="M161" s="230"/>
      <c r="N161" s="174"/>
      <c r="O161" s="230"/>
      <c r="P161" s="200"/>
      <c r="Q161" s="230"/>
      <c r="R161" s="230"/>
      <c r="S161" s="230"/>
      <c r="T161" s="643"/>
      <c r="U161" s="230"/>
      <c r="V161" s="174"/>
      <c r="W161" s="230"/>
      <c r="X161" s="230"/>
      <c r="Y161" s="230"/>
      <c r="Z161" s="643"/>
      <c r="AA161" s="230"/>
      <c r="AB161" s="174"/>
      <c r="AC161" s="230"/>
      <c r="AD161" s="230"/>
      <c r="AE161" s="174"/>
      <c r="AF161" s="230"/>
      <c r="AG161" s="230"/>
      <c r="AH161" s="174"/>
      <c r="AI161" s="230"/>
      <c r="AJ161" s="230"/>
      <c r="AK161" s="174"/>
      <c r="AL161" s="230"/>
      <c r="AM161" s="174"/>
      <c r="AN161" s="174"/>
      <c r="AO161" s="132"/>
      <c r="AP161" s="230"/>
      <c r="AQ161" s="1339"/>
      <c r="AR161" s="643"/>
      <c r="AS161" s="228"/>
      <c r="AT161" s="132"/>
      <c r="AU161" s="132"/>
      <c r="AV161" s="132"/>
      <c r="AW161" s="132"/>
      <c r="AX161" s="1347"/>
      <c r="AY161" s="1348"/>
      <c r="AZ161" s="132"/>
      <c r="BA161" s="132"/>
      <c r="BB161" s="132"/>
      <c r="BC161" s="132"/>
      <c r="BD161" s="256"/>
      <c r="BE161" s="132"/>
    </row>
    <row r="162" spans="1:57" ht="12" hidden="1" customHeight="1" outlineLevel="1">
      <c r="A162" s="2506">
        <f>+A155+1</f>
        <v>2009</v>
      </c>
      <c r="B162" s="2506"/>
      <c r="C162" s="132"/>
      <c r="D162" s="1033"/>
      <c r="E162" s="1325"/>
      <c r="F162" s="1339"/>
      <c r="G162" s="1033"/>
      <c r="H162" s="230"/>
      <c r="I162" s="1330"/>
      <c r="J162" s="132"/>
      <c r="K162" s="1386"/>
      <c r="L162" s="1387"/>
      <c r="M162" s="1386"/>
      <c r="N162" s="1387"/>
      <c r="O162" s="1386"/>
      <c r="P162" s="200"/>
      <c r="Q162" s="230"/>
      <c r="R162" s="230"/>
      <c r="S162" s="230"/>
      <c r="T162" s="643"/>
      <c r="U162" s="1386"/>
      <c r="V162" s="1387"/>
      <c r="W162" s="230"/>
      <c r="X162" s="230"/>
      <c r="Y162" s="230"/>
      <c r="Z162" s="643"/>
      <c r="AA162" s="1386"/>
      <c r="AB162" s="174"/>
      <c r="AC162" s="230"/>
      <c r="AD162" s="1386"/>
      <c r="AE162" s="174"/>
      <c r="AF162" s="230"/>
      <c r="AG162" s="1386"/>
      <c r="AH162" s="174"/>
      <c r="AI162" s="230"/>
      <c r="AJ162" s="1386"/>
      <c r="AK162" s="174"/>
      <c r="AL162" s="1386"/>
      <c r="AM162" s="174"/>
      <c r="AN162" s="174"/>
      <c r="AO162" s="1386"/>
      <c r="AP162" s="230"/>
      <c r="AQ162" s="1339"/>
      <c r="AR162" s="643"/>
      <c r="AS162" s="1033"/>
      <c r="AT162" s="132"/>
      <c r="AU162" s="132"/>
      <c r="AV162" s="132"/>
      <c r="AW162" s="132"/>
      <c r="AX162" s="1347"/>
      <c r="AY162" s="1348"/>
      <c r="AZ162" s="132"/>
      <c r="BA162" s="132"/>
      <c r="BB162" s="132"/>
      <c r="BC162" s="132"/>
      <c r="BD162" s="256"/>
      <c r="BE162" s="132"/>
    </row>
    <row r="163" spans="1:57" ht="12" hidden="1" customHeight="1" outlineLevel="1">
      <c r="A163" s="132" t="str">
        <f>$A$30</f>
        <v>1Q</v>
      </c>
      <c r="B163" s="132" t="str">
        <f>$B$30</f>
        <v>Apr</v>
      </c>
      <c r="C163" s="132"/>
      <c r="D163" s="1328">
        <f>+D159+E163</f>
        <v>77</v>
      </c>
      <c r="E163" s="1383">
        <v>1</v>
      </c>
      <c r="F163" s="1330">
        <f>+(D163/D156-1)*100</f>
        <v>8.4507042253521227</v>
      </c>
      <c r="G163" s="1331">
        <f>+G160+(($G$153-$G$146)/$E$153)*E163</f>
        <v>0.58761428571428587</v>
      </c>
      <c r="H163" s="665"/>
      <c r="I163" s="1330">
        <f>+(G163/G156-1)*100</f>
        <v>8.6938139153872829</v>
      </c>
      <c r="J163" s="132"/>
      <c r="K163" s="1328">
        <f>+K159+L163</f>
        <v>10</v>
      </c>
      <c r="L163" s="1332">
        <v>0</v>
      </c>
      <c r="M163" s="1328">
        <f>+M159+N163</f>
        <v>24</v>
      </c>
      <c r="N163" s="1344">
        <v>0</v>
      </c>
      <c r="O163" s="1340">
        <f>+K163+M163</f>
        <v>34</v>
      </c>
      <c r="P163" s="1402"/>
      <c r="Q163" s="1330">
        <f>+(K163/K156-1)*100</f>
        <v>0</v>
      </c>
      <c r="R163" s="1330"/>
      <c r="S163" s="1330"/>
      <c r="T163" s="664"/>
      <c r="U163" s="1328"/>
      <c r="V163" s="1332"/>
      <c r="W163" s="1330"/>
      <c r="X163" s="1330"/>
      <c r="Y163" s="1330"/>
      <c r="Z163" s="664"/>
      <c r="AA163" s="1328">
        <f>+AA160+AB163</f>
        <v>57</v>
      </c>
      <c r="AB163" s="1390">
        <v>0</v>
      </c>
      <c r="AC163" s="1330">
        <f>+(AA163/AA156-1)*100</f>
        <v>7.547169811320753</v>
      </c>
      <c r="AD163" s="1328">
        <f>+AD160+AE163</f>
        <v>39</v>
      </c>
      <c r="AE163" s="1390">
        <v>0</v>
      </c>
      <c r="AF163" s="1330">
        <f>+(AD163/AD156-1)*100</f>
        <v>8.333333333333325</v>
      </c>
      <c r="AG163" s="1328"/>
      <c r="AH163" s="1390">
        <f>+AH160+(AE163+AB163+N163+L163)*$AI$146/1000</f>
        <v>0.37453398058252424</v>
      </c>
      <c r="AI163" s="1330"/>
      <c r="AJ163" s="1328">
        <f>+(AH163/AH156-1)*100</f>
        <v>12.49234537660746</v>
      </c>
      <c r="AK163" s="1390"/>
      <c r="AL163" s="1328">
        <f>+AL160+AM163</f>
        <v>38</v>
      </c>
      <c r="AM163" s="1390">
        <v>0</v>
      </c>
      <c r="AN163" s="1330">
        <f>+(AL163/AL156-1)*100</f>
        <v>0</v>
      </c>
      <c r="AO163" s="1338">
        <f>+AL163*AP$132/1000</f>
        <v>4.9399999999999999E-2</v>
      </c>
      <c r="AP163" s="665"/>
      <c r="AQ163" s="1330">
        <f>+(AO163/AO156-1)*100</f>
        <v>0</v>
      </c>
      <c r="AR163" s="664"/>
      <c r="AS163" s="1340">
        <f>+D163+O163+AA163+AD163+AL163</f>
        <v>245</v>
      </c>
      <c r="AT163" s="1341">
        <f>+AS163-AS159</f>
        <v>1</v>
      </c>
      <c r="AU163" s="1330">
        <f>+(AS163/AS156-1)*100</f>
        <v>8.8888888888888786</v>
      </c>
      <c r="AV163" s="665"/>
      <c r="AW163" s="665"/>
      <c r="AX163" s="1347">
        <f>AS163-D163-AL163</f>
        <v>130</v>
      </c>
      <c r="AY163" s="1348">
        <f>AX163-AX160</f>
        <v>0</v>
      </c>
      <c r="AZ163" s="132"/>
      <c r="BA163" s="132"/>
      <c r="BB163" s="132"/>
      <c r="BC163" s="215">
        <f>D163/AS163</f>
        <v>0.31428571428571428</v>
      </c>
      <c r="BD163" s="1492">
        <f>(O163+AA163+AD163)/AS163</f>
        <v>0.53061224489795922</v>
      </c>
      <c r="BE163" s="1343">
        <f>AL163/AS163</f>
        <v>0.15510204081632653</v>
      </c>
    </row>
    <row r="164" spans="1:57" ht="12" hidden="1" customHeight="1" outlineLevel="1">
      <c r="A164" s="132" t="str">
        <f>$A$31</f>
        <v>2Q</v>
      </c>
      <c r="B164" s="132" t="str">
        <f>$B$31</f>
        <v>Jul</v>
      </c>
      <c r="C164" s="132"/>
      <c r="D164" s="1328">
        <f>+E164+D163</f>
        <v>79</v>
      </c>
      <c r="E164" s="1383">
        <v>2</v>
      </c>
      <c r="F164" s="1330">
        <f>+(D164/D157-1)*100</f>
        <v>11.267605633802823</v>
      </c>
      <c r="G164" s="1331">
        <f>+G163+(($G$153-$G$146)/$E$153)*E164</f>
        <v>0.60328095238095258</v>
      </c>
      <c r="H164" s="665"/>
      <c r="I164" s="1330">
        <f>+(G164/G157-1)*100</f>
        <v>11.591751887183044</v>
      </c>
      <c r="J164" s="672"/>
      <c r="K164" s="1328">
        <f>+L164+K163</f>
        <v>10</v>
      </c>
      <c r="L164" s="1344">
        <v>0</v>
      </c>
      <c r="M164" s="1328">
        <f>+N164+M163</f>
        <v>25</v>
      </c>
      <c r="N164" s="1344">
        <v>1</v>
      </c>
      <c r="O164" s="1328">
        <f>+K164+M164</f>
        <v>35</v>
      </c>
      <c r="P164" s="1402"/>
      <c r="Q164" s="1330">
        <f>+(K164/K157-1)*100</f>
        <v>0</v>
      </c>
      <c r="R164" s="1330"/>
      <c r="S164" s="1330"/>
      <c r="T164" s="664"/>
      <c r="U164" s="1328"/>
      <c r="V164" s="1344"/>
      <c r="W164" s="1330"/>
      <c r="X164" s="1330"/>
      <c r="Y164" s="1330"/>
      <c r="Z164" s="664"/>
      <c r="AA164" s="1328">
        <f>+AA163+AB164</f>
        <v>58</v>
      </c>
      <c r="AB164" s="1390">
        <v>1</v>
      </c>
      <c r="AC164" s="1330">
        <f>+(AA164/AA157-1)*100</f>
        <v>7.4074074074074181</v>
      </c>
      <c r="AD164" s="1328">
        <f>+AD163+AE164</f>
        <v>40</v>
      </c>
      <c r="AE164" s="1390">
        <v>1</v>
      </c>
      <c r="AF164" s="1330">
        <f>+(AD164/AD157-1)*100</f>
        <v>2.564102564102555</v>
      </c>
      <c r="AG164" s="1328"/>
      <c r="AH164" s="1390">
        <f>+AH163+(AE164+AB164+N164+L164)*$AI$146/1000</f>
        <v>0.38344660194174751</v>
      </c>
      <c r="AI164" s="1330"/>
      <c r="AJ164" s="1328">
        <f>+(AH164/AH156-1)*100</f>
        <v>15.16927652873763</v>
      </c>
      <c r="AK164" s="1390"/>
      <c r="AL164" s="1328">
        <f>+AL163+AM164</f>
        <v>38</v>
      </c>
      <c r="AM164" s="1390">
        <v>0</v>
      </c>
      <c r="AN164" s="1330">
        <f>+(AL164/AL157-1)*100</f>
        <v>0</v>
      </c>
      <c r="AO164" s="1338">
        <f>+AL164*AP$132/1000</f>
        <v>4.9399999999999999E-2</v>
      </c>
      <c r="AP164" s="665"/>
      <c r="AQ164" s="1330">
        <f>+(AO164/AO157-1)*100</f>
        <v>0</v>
      </c>
      <c r="AR164" s="664"/>
      <c r="AS164" s="1340">
        <f>+D164+O164+AA164+AD164+AL164</f>
        <v>250</v>
      </c>
      <c r="AT164" s="1341">
        <f>+AS164-AS163</f>
        <v>5</v>
      </c>
      <c r="AU164" s="1330">
        <f>+(AS164/AS157-1)*100</f>
        <v>8.6956521739130377</v>
      </c>
      <c r="AV164" s="665"/>
      <c r="AW164" s="665"/>
      <c r="AX164" s="1347">
        <f>AS164-D164-AL164</f>
        <v>133</v>
      </c>
      <c r="AY164" s="1348">
        <f>AX164-AX163</f>
        <v>3</v>
      </c>
      <c r="AZ164" s="132"/>
      <c r="BA164" s="132"/>
      <c r="BB164" s="132"/>
      <c r="BC164" s="215">
        <f>D164/AS164</f>
        <v>0.316</v>
      </c>
      <c r="BD164" s="1492">
        <f>(O164+AA164+AD164)/AS164</f>
        <v>0.53200000000000003</v>
      </c>
      <c r="BE164" s="1343">
        <f>AL164/AS164</f>
        <v>0.152</v>
      </c>
    </row>
    <row r="165" spans="1:57" ht="12" hidden="1" customHeight="1" outlineLevel="1">
      <c r="A165" s="132" t="str">
        <f>$A$32</f>
        <v>3Q</v>
      </c>
      <c r="B165" s="132" t="str">
        <f>$B$32</f>
        <v>Oct</v>
      </c>
      <c r="C165" s="132"/>
      <c r="D165" s="1328">
        <f>+E165+D164</f>
        <v>81</v>
      </c>
      <c r="E165" s="1383">
        <v>2</v>
      </c>
      <c r="F165" s="1330">
        <f>+(D165/D158-1)*100</f>
        <v>9.4594594594594525</v>
      </c>
      <c r="G165" s="1331">
        <f>+G164+(($G$153-$G$146)/$E$153)*E165</f>
        <v>0.6189476190476193</v>
      </c>
      <c r="H165" s="665"/>
      <c r="I165" s="1330">
        <f>+(G165/G158-1)*100</f>
        <v>9.7202525661804771</v>
      </c>
      <c r="J165" s="132"/>
      <c r="K165" s="1328">
        <f>+L165+K164</f>
        <v>11</v>
      </c>
      <c r="L165" s="1344">
        <v>1</v>
      </c>
      <c r="M165" s="1328">
        <f>+N165+M164</f>
        <v>25</v>
      </c>
      <c r="N165" s="1344">
        <v>0</v>
      </c>
      <c r="O165" s="1328">
        <f>+K165+M165</f>
        <v>36</v>
      </c>
      <c r="P165" s="1402"/>
      <c r="Q165" s="1330">
        <f>+(K165/K158-1)*100</f>
        <v>0</v>
      </c>
      <c r="R165" s="1330"/>
      <c r="S165" s="1330"/>
      <c r="T165" s="664"/>
      <c r="U165" s="1328"/>
      <c r="V165" s="1344"/>
      <c r="W165" s="1330"/>
      <c r="X165" s="1330"/>
      <c r="Y165" s="1330"/>
      <c r="Z165" s="664"/>
      <c r="AA165" s="1328">
        <f>+AA164+AB165</f>
        <v>58</v>
      </c>
      <c r="AB165" s="1390">
        <v>0</v>
      </c>
      <c r="AC165" s="1330">
        <f>+(AA165/AA158-1)*100</f>
        <v>5.4545454545454453</v>
      </c>
      <c r="AD165" s="1328">
        <f>+AD164+AE165</f>
        <v>41</v>
      </c>
      <c r="AE165" s="1390">
        <v>1</v>
      </c>
      <c r="AF165" s="1330">
        <f>+(AD165/AD158-1)*100</f>
        <v>-6.8181818181818237</v>
      </c>
      <c r="AG165" s="1328"/>
      <c r="AH165" s="1390">
        <f>+AH164+(AE165+AB165+N165+L165)*$AI$146/1000</f>
        <v>0.38938834951456303</v>
      </c>
      <c r="AI165" s="1330"/>
      <c r="AJ165" s="1328">
        <f>+(AH165/AH157-1)*100</f>
        <v>11.958797420651512</v>
      </c>
      <c r="AK165" s="1390"/>
      <c r="AL165" s="1328">
        <f>+AL164+AM165</f>
        <v>38</v>
      </c>
      <c r="AM165" s="1390">
        <v>0</v>
      </c>
      <c r="AN165" s="1330">
        <f>+(AL165/AL158-1)*100</f>
        <v>0</v>
      </c>
      <c r="AO165" s="1338">
        <f>+AL165*AP$132/1000</f>
        <v>4.9399999999999999E-2</v>
      </c>
      <c r="AP165" s="665"/>
      <c r="AQ165" s="1330">
        <f>+(AO165/AO158-1)*100</f>
        <v>0</v>
      </c>
      <c r="AR165" s="664"/>
      <c r="AS165" s="1340">
        <f>+D165+O165+AA165+AD165+AL165</f>
        <v>254</v>
      </c>
      <c r="AT165" s="1341">
        <f>+AS165-AS164</f>
        <v>4</v>
      </c>
      <c r="AU165" s="1330">
        <f>+(AS165/AS158-1)*100</f>
        <v>5.3941908713692976</v>
      </c>
      <c r="AV165" s="665"/>
      <c r="AW165" s="665"/>
      <c r="AX165" s="1347">
        <f>AS165-D165-AL165</f>
        <v>135</v>
      </c>
      <c r="AY165" s="1348">
        <f>AX165-AX164</f>
        <v>2</v>
      </c>
      <c r="AZ165" s="132"/>
      <c r="BA165" s="132"/>
      <c r="BB165" s="132"/>
      <c r="BC165" s="215">
        <f>D165/AS165</f>
        <v>0.31889763779527558</v>
      </c>
      <c r="BD165" s="1492">
        <f>(O165+AA165+AD165)/AS165</f>
        <v>0.53149606299212604</v>
      </c>
      <c r="BE165" s="1343">
        <f>AL165/AS165</f>
        <v>0.14960629921259844</v>
      </c>
    </row>
    <row r="166" spans="1:57" ht="12" hidden="1" customHeight="1" outlineLevel="1">
      <c r="A166" s="132" t="str">
        <f>$A$33</f>
        <v>4Q</v>
      </c>
      <c r="B166" s="132" t="str">
        <f>$B$33</f>
        <v>Jan</v>
      </c>
      <c r="C166" s="132"/>
      <c r="D166" s="1351">
        <f>+D167</f>
        <v>82</v>
      </c>
      <c r="E166" s="1329">
        <f>E167-SUM(E163:E165)</f>
        <v>1</v>
      </c>
      <c r="F166" s="1330">
        <f>+(D166/D159-1)*100</f>
        <v>7.8947368421052655</v>
      </c>
      <c r="G166" s="1350">
        <f>+G165+(($G$153-$G$146)/$E$153)*E166</f>
        <v>0.62678095238095266</v>
      </c>
      <c r="H166" s="665"/>
      <c r="I166" s="1330">
        <f>+(G166/G159-1)*100</f>
        <v>8.1065098477257624</v>
      </c>
      <c r="J166" s="132"/>
      <c r="K166" s="1351">
        <f>+K167</f>
        <v>11</v>
      </c>
      <c r="L166" s="1328">
        <f>L167-SUM(L163:L165)</f>
        <v>0</v>
      </c>
      <c r="M166" s="1351">
        <f>+M167</f>
        <v>26</v>
      </c>
      <c r="N166" s="1328">
        <f>N167-SUM(N163:N165)</f>
        <v>1</v>
      </c>
      <c r="O166" s="1351">
        <f>+K166+M166</f>
        <v>37</v>
      </c>
      <c r="P166" s="1334">
        <f>+K166-K165</f>
        <v>0</v>
      </c>
      <c r="Q166" s="1330">
        <f>+(K166/K159-1)*100</f>
        <v>10.000000000000009</v>
      </c>
      <c r="R166" s="1330"/>
      <c r="S166" s="1330"/>
      <c r="T166" s="664"/>
      <c r="U166" s="1351"/>
      <c r="V166" s="1328"/>
      <c r="W166" s="1330"/>
      <c r="X166" s="1330"/>
      <c r="Y166" s="1330"/>
      <c r="Z166" s="664"/>
      <c r="AA166" s="1351">
        <f>+AA167</f>
        <v>58</v>
      </c>
      <c r="AB166" s="1352">
        <f>AB167-SUM(AB163:AB165)</f>
        <v>0</v>
      </c>
      <c r="AC166" s="1330">
        <f>+(AA166/AA159-1)*100</f>
        <v>1.7543859649122862</v>
      </c>
      <c r="AD166" s="1351">
        <f>+AD167</f>
        <v>45</v>
      </c>
      <c r="AE166" s="1352">
        <f>AE167-SUM(AE163:AE165)</f>
        <v>4</v>
      </c>
      <c r="AF166" s="1330">
        <f>+(AD166/AD159-1)*100</f>
        <v>15.384615384615374</v>
      </c>
      <c r="AG166" s="1351"/>
      <c r="AH166" s="1352">
        <f>+AH165+(AE166+AB166+N166+L166)*$AI$146/1000</f>
        <v>0.40424271844660187</v>
      </c>
      <c r="AI166" s="1330"/>
      <c r="AJ166" s="1351">
        <f>+(AH166/AH158-1)*100</f>
        <v>8.795171278513747</v>
      </c>
      <c r="AK166" s="1352"/>
      <c r="AL166" s="1351">
        <f>+AL167</f>
        <v>38</v>
      </c>
      <c r="AM166" s="1352">
        <f>AM167-SUM(AM163:AM165)</f>
        <v>0</v>
      </c>
      <c r="AN166" s="1330">
        <f>+(AL166/AL159-1)*100</f>
        <v>0</v>
      </c>
      <c r="AO166" s="1353">
        <f>+AL166*AP$132/1000</f>
        <v>4.9399999999999999E-2</v>
      </c>
      <c r="AP166" s="665"/>
      <c r="AQ166" s="1330">
        <f>+(AO166/AO159-1)*100</f>
        <v>0</v>
      </c>
      <c r="AR166" s="664"/>
      <c r="AS166" s="1355">
        <f>+D166+O166+AA166+AD166+AL166</f>
        <v>260</v>
      </c>
      <c r="AT166" s="1341">
        <f>+AS166-AS165</f>
        <v>6</v>
      </c>
      <c r="AU166" s="1330">
        <f>+(AS166/AS159-1)*100</f>
        <v>6.5573770491803351</v>
      </c>
      <c r="AV166" s="665"/>
      <c r="AW166" s="665"/>
      <c r="AX166" s="1347">
        <f>AS166-D166-AL166</f>
        <v>140</v>
      </c>
      <c r="AY166" s="1348">
        <f>AX166-AX165</f>
        <v>5</v>
      </c>
      <c r="AZ166" s="132"/>
      <c r="BA166" s="132"/>
      <c r="BB166" s="132"/>
      <c r="BC166" s="215">
        <f>D166/AS166</f>
        <v>0.31538461538461537</v>
      </c>
      <c r="BD166" s="1492">
        <f>(O166+AA166+AD166)/AS166</f>
        <v>0.53846153846153844</v>
      </c>
      <c r="BE166" s="1356">
        <f>AL166/AS166</f>
        <v>0.14615384615384616</v>
      </c>
    </row>
    <row r="167" spans="1:57" ht="12" hidden="1" customHeight="1" outlineLevel="1">
      <c r="A167" s="132"/>
      <c r="B167" s="132" t="str">
        <f>$B$34</f>
        <v>Year</v>
      </c>
      <c r="C167" s="132"/>
      <c r="D167" s="1340">
        <f>+D160+E167</f>
        <v>82</v>
      </c>
      <c r="E167" s="1399">
        <v>6</v>
      </c>
      <c r="F167" s="1330">
        <f>+(D167/D160-1)*100</f>
        <v>7.8947368421052655</v>
      </c>
      <c r="G167" s="1331">
        <f>+G166</f>
        <v>0.62678095238095266</v>
      </c>
      <c r="H167" s="665">
        <f>+G167/D167*1000</f>
        <v>7.6436701509872282</v>
      </c>
      <c r="I167" s="1330">
        <f>+(G167/G160-1)*100</f>
        <v>8.1065098477257624</v>
      </c>
      <c r="J167" s="132"/>
      <c r="K167" s="1340">
        <f>+L167+K160</f>
        <v>11</v>
      </c>
      <c r="L167" s="1400">
        <v>1</v>
      </c>
      <c r="M167" s="1340">
        <f>+N167+M160</f>
        <v>26</v>
      </c>
      <c r="N167" s="1400">
        <v>2</v>
      </c>
      <c r="O167" s="1328">
        <f>+K167+M167</f>
        <v>37</v>
      </c>
      <c r="P167" s="1400"/>
      <c r="Q167" s="1330">
        <f>+(K167/K160-1)*100</f>
        <v>10.000000000000009</v>
      </c>
      <c r="R167" s="1330"/>
      <c r="S167" s="1330"/>
      <c r="T167" s="664"/>
      <c r="U167" s="1340"/>
      <c r="V167" s="1400"/>
      <c r="W167" s="1330"/>
      <c r="X167" s="1330"/>
      <c r="Y167" s="1330"/>
      <c r="Z167" s="664"/>
      <c r="AA167" s="1340">
        <f>+AB167+AA160</f>
        <v>58</v>
      </c>
      <c r="AB167" s="1401">
        <v>1</v>
      </c>
      <c r="AC167" s="1330">
        <f>+(AA167/AA160-1)*100</f>
        <v>1.7543859649122862</v>
      </c>
      <c r="AD167" s="1340">
        <f>+AE167+AD160</f>
        <v>45</v>
      </c>
      <c r="AE167" s="1401">
        <v>6</v>
      </c>
      <c r="AF167" s="1330">
        <f>+(AD167/AD160-1)*100</f>
        <v>15.384615384615374</v>
      </c>
      <c r="AG167" s="1340"/>
      <c r="AH167" s="1401">
        <f>+AH166</f>
        <v>0.40424271844660187</v>
      </c>
      <c r="AI167" s="1330">
        <f>+AH167/AX167*1000</f>
        <v>2.8874479889042992</v>
      </c>
      <c r="AJ167" s="1340">
        <f>+(AH167/AH159-1)*100</f>
        <v>7.9321875729061242</v>
      </c>
      <c r="AK167" s="1401"/>
      <c r="AL167" s="1340">
        <f>+AM167+AL160</f>
        <v>38</v>
      </c>
      <c r="AM167" s="1401">
        <v>0</v>
      </c>
      <c r="AN167" s="1330">
        <f>+(AL167/AL160-1)*100</f>
        <v>0</v>
      </c>
      <c r="AO167" s="1338">
        <f>+AL167*AP167/1000</f>
        <v>6.8400000000000002E-2</v>
      </c>
      <c r="AP167" s="665">
        <f>+AP160</f>
        <v>1.8</v>
      </c>
      <c r="AQ167" s="1330">
        <f>+(AO167/AO160-1)*100</f>
        <v>0</v>
      </c>
      <c r="AR167" s="664"/>
      <c r="AS167" s="1340">
        <f>+D167+O167+AA167+AD167+AL167</f>
        <v>260</v>
      </c>
      <c r="AT167" s="683">
        <f>+AS167-AS160</f>
        <v>16</v>
      </c>
      <c r="AU167" s="1330">
        <f>+(AS167/AS160-1)*100</f>
        <v>6.5573770491803351</v>
      </c>
      <c r="AV167" s="665"/>
      <c r="AW167" s="665"/>
      <c r="AX167" s="1347">
        <f>AS167-D167-AL167</f>
        <v>140</v>
      </c>
      <c r="AY167" s="1348">
        <f>AX167-AX160</f>
        <v>10</v>
      </c>
      <c r="AZ167" s="132"/>
      <c r="BA167" s="132"/>
      <c r="BB167" s="132"/>
      <c r="BC167" s="1363">
        <f>D167/AS167</f>
        <v>0.31538461538461537</v>
      </c>
      <c r="BD167" s="1810">
        <f>(O167+AA167+AD167)/AS167</f>
        <v>0.53846153846153844</v>
      </c>
      <c r="BE167" s="1363">
        <f>AL167/AS167</f>
        <v>0.14615384615384616</v>
      </c>
    </row>
    <row r="168" spans="1:57" ht="12" hidden="1" customHeight="1" outlineLevel="1">
      <c r="A168" s="131"/>
      <c r="B168" s="131"/>
      <c r="C168" s="131"/>
      <c r="D168" s="388"/>
      <c r="E168" s="1325"/>
      <c r="F168" s="1339"/>
      <c r="G168" s="247"/>
      <c r="H168" s="388"/>
      <c r="I168" s="1330"/>
      <c r="J168" s="131"/>
      <c r="K168" s="388"/>
      <c r="L168" s="1411"/>
      <c r="M168" s="388"/>
      <c r="N168" s="1411"/>
      <c r="O168" s="388"/>
      <c r="P168" s="200"/>
      <c r="Q168" s="230"/>
      <c r="R168" s="230"/>
      <c r="S168" s="230"/>
      <c r="T168" s="643"/>
      <c r="U168" s="388"/>
      <c r="V168" s="1411"/>
      <c r="W168" s="230"/>
      <c r="X168" s="230"/>
      <c r="Y168" s="230"/>
      <c r="Z168" s="643"/>
      <c r="AA168" s="388"/>
      <c r="AB168" s="174"/>
      <c r="AC168" s="230"/>
      <c r="AD168" s="388"/>
      <c r="AE168" s="174"/>
      <c r="AF168" s="230"/>
      <c r="AG168" s="388"/>
      <c r="AH168" s="174"/>
      <c r="AI168" s="230"/>
      <c r="AJ168" s="388"/>
      <c r="AK168" s="174"/>
      <c r="AL168" s="388"/>
      <c r="AM168" s="174"/>
      <c r="AN168" s="174"/>
      <c r="AO168" s="131"/>
      <c r="AP168" s="388"/>
      <c r="AQ168" s="1339"/>
      <c r="AR168" s="643"/>
      <c r="AS168" s="133"/>
      <c r="AT168" s="132"/>
      <c r="AU168" s="132"/>
      <c r="AV168" s="132"/>
      <c r="AW168" s="132"/>
      <c r="AX168" s="1347"/>
      <c r="AY168" s="1348"/>
      <c r="AZ168" s="131"/>
      <c r="BA168" s="131"/>
      <c r="BB168" s="131"/>
      <c r="BC168" s="131"/>
      <c r="BD168" s="247"/>
      <c r="BE168" s="131"/>
    </row>
    <row r="169" spans="1:57" ht="12" hidden="1" customHeight="1" outlineLevel="1">
      <c r="A169" s="2506">
        <f>+A162+1</f>
        <v>2010</v>
      </c>
      <c r="B169" s="2506"/>
      <c r="C169" s="132"/>
      <c r="D169" s="1033"/>
      <c r="E169" s="1325"/>
      <c r="F169" s="1339"/>
      <c r="G169" s="1033"/>
      <c r="H169" s="230"/>
      <c r="I169" s="1330"/>
      <c r="J169" s="132"/>
      <c r="K169" s="1386"/>
      <c r="L169" s="1387"/>
      <c r="M169" s="1386"/>
      <c r="N169" s="1387"/>
      <c r="O169" s="1386"/>
      <c r="P169" s="200"/>
      <c r="Q169" s="230"/>
      <c r="R169" s="230"/>
      <c r="S169" s="230"/>
      <c r="T169" s="643"/>
      <c r="U169" s="1386"/>
      <c r="V169" s="1387"/>
      <c r="W169" s="230"/>
      <c r="X169" s="230"/>
      <c r="Y169" s="230"/>
      <c r="Z169" s="643"/>
      <c r="AA169" s="1386"/>
      <c r="AB169" s="174"/>
      <c r="AC169" s="230"/>
      <c r="AD169" s="1386"/>
      <c r="AE169" s="174"/>
      <c r="AF169" s="230"/>
      <c r="AG169" s="1386"/>
      <c r="AH169" s="174"/>
      <c r="AI169" s="230"/>
      <c r="AJ169" s="1386"/>
      <c r="AK169" s="174"/>
      <c r="AL169" s="1386"/>
      <c r="AM169" s="174"/>
      <c r="AN169" s="174"/>
      <c r="AO169" s="1386"/>
      <c r="AP169" s="230"/>
      <c r="AQ169" s="1339"/>
      <c r="AR169" s="643"/>
      <c r="AS169" s="1033"/>
      <c r="AT169" s="132"/>
      <c r="AU169" s="132"/>
      <c r="AV169" s="132"/>
      <c r="AW169" s="132"/>
      <c r="AX169" s="1347"/>
      <c r="AY169" s="1348"/>
      <c r="AZ169" s="132"/>
      <c r="BA169" s="132"/>
      <c r="BB169" s="132"/>
      <c r="BC169" s="132"/>
      <c r="BD169" s="256"/>
      <c r="BE169" s="132"/>
    </row>
    <row r="170" spans="1:57" ht="12" hidden="1" customHeight="1" outlineLevel="1">
      <c r="A170" s="132" t="str">
        <f>$A$30</f>
        <v>1Q</v>
      </c>
      <c r="B170" s="132" t="str">
        <f>$B$30</f>
        <v>Apr</v>
      </c>
      <c r="C170" s="132"/>
      <c r="D170" s="1328">
        <f>+D166+E170</f>
        <v>83</v>
      </c>
      <c r="E170" s="1383">
        <v>1</v>
      </c>
      <c r="F170" s="1330">
        <f>+(D170/D163-1)*100</f>
        <v>7.7922077922077948</v>
      </c>
      <c r="G170" s="1331">
        <f>+G167+(($G$153-$G$146)/$E$153)*E170</f>
        <v>0.63461428571428602</v>
      </c>
      <c r="H170" s="665"/>
      <c r="I170" s="1330">
        <f>+(G170/G163-1)*100</f>
        <v>7.9984440716699634</v>
      </c>
      <c r="J170" s="132"/>
      <c r="K170" s="1328">
        <f>+K166+L170</f>
        <v>11</v>
      </c>
      <c r="L170" s="1332">
        <v>0</v>
      </c>
      <c r="M170" s="1328">
        <f>+M166+N170</f>
        <v>26</v>
      </c>
      <c r="N170" s="1344">
        <v>0</v>
      </c>
      <c r="O170" s="1340">
        <f>+K170+M170</f>
        <v>37</v>
      </c>
      <c r="P170" s="1402"/>
      <c r="Q170" s="1330">
        <f>+(K170/K163-1)*100</f>
        <v>10.000000000000009</v>
      </c>
      <c r="R170" s="1330"/>
      <c r="S170" s="1330"/>
      <c r="T170" s="664"/>
      <c r="U170" s="1328"/>
      <c r="V170" s="1332"/>
      <c r="W170" s="1330"/>
      <c r="X170" s="1330"/>
      <c r="Y170" s="1330"/>
      <c r="Z170" s="664"/>
      <c r="AA170" s="1328">
        <f>+AA167+AB170</f>
        <v>58</v>
      </c>
      <c r="AB170" s="1390">
        <v>0</v>
      </c>
      <c r="AC170" s="1330">
        <f>+(AA170/AA163-1)*100</f>
        <v>1.7543859649122862</v>
      </c>
      <c r="AD170" s="1328">
        <f>+AD167+AE170</f>
        <v>45</v>
      </c>
      <c r="AE170" s="1390">
        <v>0</v>
      </c>
      <c r="AF170" s="1330">
        <f>+(AD170/AD163-1)*100</f>
        <v>15.384615384615374</v>
      </c>
      <c r="AG170" s="1328"/>
      <c r="AH170" s="1390">
        <f>+AH167+(AE170+AB170+N170+L170)*$AI$146/1000</f>
        <v>0.40424271844660187</v>
      </c>
      <c r="AI170" s="1330"/>
      <c r="AJ170" s="1328">
        <f>+(AH170/AH163-1)*100</f>
        <v>7.9321875729061242</v>
      </c>
      <c r="AK170" s="1390"/>
      <c r="AL170" s="1328">
        <f>+AL167+AM170</f>
        <v>38</v>
      </c>
      <c r="AM170" s="1390">
        <v>0</v>
      </c>
      <c r="AN170" s="1330">
        <f>+(AL170/AL163-1)*100</f>
        <v>0</v>
      </c>
      <c r="AO170" s="1338">
        <f>+AL170*AP$132/1000</f>
        <v>4.9399999999999999E-2</v>
      </c>
      <c r="AP170" s="665"/>
      <c r="AQ170" s="1330">
        <f>+(AO170/AO163-1)*100</f>
        <v>0</v>
      </c>
      <c r="AR170" s="664"/>
      <c r="AS170" s="1340">
        <f>+D170+O170+AA170+AD170+AL170</f>
        <v>261</v>
      </c>
      <c r="AT170" s="1341">
        <f>+AS170-AS166</f>
        <v>1</v>
      </c>
      <c r="AU170" s="1330">
        <f>+(AS170/AS163-1)*100</f>
        <v>6.5306122448979487</v>
      </c>
      <c r="AV170" s="665"/>
      <c r="AW170" s="665"/>
      <c r="AX170" s="1347">
        <f>AS170-D170-AL170</f>
        <v>140</v>
      </c>
      <c r="AY170" s="1348">
        <f>AX170-AX167</f>
        <v>0</v>
      </c>
      <c r="AZ170" s="132"/>
      <c r="BA170" s="132"/>
      <c r="BB170" s="132"/>
      <c r="BC170" s="215">
        <f>D170/AS170</f>
        <v>0.31800766283524906</v>
      </c>
      <c r="BD170" s="1492">
        <f>(O170+AA170+AD170)/AS170</f>
        <v>0.53639846743295017</v>
      </c>
      <c r="BE170" s="1343">
        <f>AL170/AS170</f>
        <v>0.14559386973180077</v>
      </c>
    </row>
    <row r="171" spans="1:57" ht="12" hidden="1" customHeight="1" outlineLevel="1">
      <c r="A171" s="132" t="str">
        <f>$A$31</f>
        <v>2Q</v>
      </c>
      <c r="B171" s="132" t="str">
        <f>$B$31</f>
        <v>Jul</v>
      </c>
      <c r="C171" s="132"/>
      <c r="D171" s="1328">
        <f>+E171+D170</f>
        <v>85</v>
      </c>
      <c r="E171" s="1383">
        <v>2</v>
      </c>
      <c r="F171" s="1330">
        <f>+(D171/D164-1)*100</f>
        <v>7.5949367088607556</v>
      </c>
      <c r="G171" s="1331">
        <f>+G170+(($G$153-$G$146)/$E$153)*E171</f>
        <v>0.65028095238095274</v>
      </c>
      <c r="H171" s="665"/>
      <c r="I171" s="1330">
        <f>+(G171/G164-1)*100</f>
        <v>7.7907316341592647</v>
      </c>
      <c r="J171" s="672"/>
      <c r="K171" s="1328">
        <f>+L171+K170</f>
        <v>11</v>
      </c>
      <c r="L171" s="1344">
        <v>0</v>
      </c>
      <c r="M171" s="1328">
        <f>+N171+M170</f>
        <v>27</v>
      </c>
      <c r="N171" s="1344">
        <v>1</v>
      </c>
      <c r="O171" s="1328">
        <f>+K171+M171</f>
        <v>38</v>
      </c>
      <c r="P171" s="1402"/>
      <c r="Q171" s="1330">
        <f>+(K171/K164-1)*100</f>
        <v>10.000000000000009</v>
      </c>
      <c r="R171" s="1330"/>
      <c r="S171" s="1330"/>
      <c r="T171" s="664"/>
      <c r="U171" s="1328"/>
      <c r="V171" s="1344"/>
      <c r="W171" s="1330"/>
      <c r="X171" s="1330"/>
      <c r="Y171" s="1330"/>
      <c r="Z171" s="664"/>
      <c r="AA171" s="1328">
        <f>+AA170+AB171</f>
        <v>59</v>
      </c>
      <c r="AB171" s="1390">
        <v>1</v>
      </c>
      <c r="AC171" s="1330">
        <f>+(AA171/AA164-1)*100</f>
        <v>1.7241379310344751</v>
      </c>
      <c r="AD171" s="1328">
        <f>+AD170+AE171</f>
        <v>46</v>
      </c>
      <c r="AE171" s="1390">
        <v>1</v>
      </c>
      <c r="AF171" s="1330">
        <f>+(AD171/AD164-1)*100</f>
        <v>14.999999999999991</v>
      </c>
      <c r="AG171" s="1328"/>
      <c r="AH171" s="1390">
        <f>+AH170+(AE171+AB171+N171+L171)*$AI$146/1000</f>
        <v>0.41315533980582519</v>
      </c>
      <c r="AI171" s="1330"/>
      <c r="AJ171" s="1328">
        <f>+(AH171/AH163-1)*100</f>
        <v>10.311843844777968</v>
      </c>
      <c r="AK171" s="1390"/>
      <c r="AL171" s="1328">
        <f>+AL170+AM171</f>
        <v>38</v>
      </c>
      <c r="AM171" s="1390">
        <v>0</v>
      </c>
      <c r="AN171" s="1330">
        <f>+(AL171/AL164-1)*100</f>
        <v>0</v>
      </c>
      <c r="AO171" s="1338">
        <f>+AL171*AP$132/1000</f>
        <v>4.9399999999999999E-2</v>
      </c>
      <c r="AP171" s="665"/>
      <c r="AQ171" s="1330">
        <f>+(AO171/AO164-1)*100</f>
        <v>0</v>
      </c>
      <c r="AR171" s="664"/>
      <c r="AS171" s="1340">
        <f>+D171+O171+AA171+AD171+AL171</f>
        <v>266</v>
      </c>
      <c r="AT171" s="1341">
        <f>+AS171-AS170</f>
        <v>5</v>
      </c>
      <c r="AU171" s="1330">
        <f>+(AS171/AS164-1)*100</f>
        <v>6.4000000000000057</v>
      </c>
      <c r="AV171" s="665"/>
      <c r="AW171" s="665"/>
      <c r="AX171" s="1347">
        <f>AS171-D171-AL171</f>
        <v>143</v>
      </c>
      <c r="AY171" s="1348">
        <f>AX171-AX170</f>
        <v>3</v>
      </c>
      <c r="AZ171" s="132"/>
      <c r="BA171" s="132"/>
      <c r="BB171" s="132"/>
      <c r="BC171" s="215">
        <f>D171/AS171</f>
        <v>0.31954887218045114</v>
      </c>
      <c r="BD171" s="1492">
        <f>(O171+AA171+AD171)/AS171</f>
        <v>0.53759398496240607</v>
      </c>
      <c r="BE171" s="1343">
        <f>AL171/AS171</f>
        <v>0.14285714285714285</v>
      </c>
    </row>
    <row r="172" spans="1:57" ht="12" hidden="1" customHeight="1" outlineLevel="1">
      <c r="A172" s="132" t="str">
        <f>$A$32</f>
        <v>3Q</v>
      </c>
      <c r="B172" s="132" t="str">
        <f>$B$32</f>
        <v>Oct</v>
      </c>
      <c r="C172" s="132"/>
      <c r="D172" s="1328">
        <f>+E172+D171</f>
        <v>87</v>
      </c>
      <c r="E172" s="1383">
        <v>2</v>
      </c>
      <c r="F172" s="1330">
        <f>+(D172/D165-1)*100</f>
        <v>7.4074074074074181</v>
      </c>
      <c r="G172" s="1331">
        <f>+G171+(($G$153-$G$146)/$E$153)*E172</f>
        <v>0.66594761904761945</v>
      </c>
      <c r="H172" s="665"/>
      <c r="I172" s="1330">
        <f>+(G172/G165-1)*100</f>
        <v>7.5935343401626554</v>
      </c>
      <c r="J172" s="132"/>
      <c r="K172" s="1328">
        <f>+L172+K171</f>
        <v>11</v>
      </c>
      <c r="L172" s="1344">
        <v>0</v>
      </c>
      <c r="M172" s="1328">
        <f>+N172+M171</f>
        <v>27</v>
      </c>
      <c r="N172" s="1344">
        <v>0</v>
      </c>
      <c r="O172" s="1328">
        <f>+K172+M172</f>
        <v>38</v>
      </c>
      <c r="P172" s="1402"/>
      <c r="Q172" s="1330">
        <f>+(K172/K165-1)*100</f>
        <v>0</v>
      </c>
      <c r="R172" s="1330"/>
      <c r="S172" s="1330"/>
      <c r="T172" s="664"/>
      <c r="U172" s="1328"/>
      <c r="V172" s="1344"/>
      <c r="W172" s="1330"/>
      <c r="X172" s="1330"/>
      <c r="Y172" s="1330"/>
      <c r="Z172" s="664"/>
      <c r="AA172" s="1328">
        <f>+AA171+AB172</f>
        <v>59</v>
      </c>
      <c r="AB172" s="1390">
        <v>0</v>
      </c>
      <c r="AC172" s="1330">
        <f>+(AA172/AA165-1)*100</f>
        <v>1.7241379310344751</v>
      </c>
      <c r="AD172" s="1328">
        <f>+AD171+AE172</f>
        <v>47</v>
      </c>
      <c r="AE172" s="1390">
        <v>1</v>
      </c>
      <c r="AF172" s="1330">
        <f>+(AD172/AD165-1)*100</f>
        <v>14.634146341463406</v>
      </c>
      <c r="AG172" s="1328"/>
      <c r="AH172" s="1390">
        <f>+AH171+(AE172+AB172+N172+L172)*$AI$146/1000</f>
        <v>0.41612621359223295</v>
      </c>
      <c r="AI172" s="1330"/>
      <c r="AJ172" s="1328">
        <f>+(AH172/AH164-1)*100</f>
        <v>8.5225977971895119</v>
      </c>
      <c r="AK172" s="1390"/>
      <c r="AL172" s="1328">
        <f>+AL171+AM172</f>
        <v>38</v>
      </c>
      <c r="AM172" s="1390">
        <v>0</v>
      </c>
      <c r="AN172" s="1330">
        <f>+(AL172/AL165-1)*100</f>
        <v>0</v>
      </c>
      <c r="AO172" s="1338">
        <f>+AL172*AP$132/1000</f>
        <v>4.9399999999999999E-2</v>
      </c>
      <c r="AP172" s="665"/>
      <c r="AQ172" s="1330">
        <f>+(AO172/AO165-1)*100</f>
        <v>0</v>
      </c>
      <c r="AR172" s="664"/>
      <c r="AS172" s="1340">
        <f>+D172+O172+AA172+AD172+AL172</f>
        <v>269</v>
      </c>
      <c r="AT172" s="1341">
        <f>+AS172-AS171</f>
        <v>3</v>
      </c>
      <c r="AU172" s="1330">
        <f>+(AS172/AS165-1)*100</f>
        <v>5.9055118110236116</v>
      </c>
      <c r="AV172" s="665"/>
      <c r="AW172" s="665"/>
      <c r="AX172" s="1347">
        <f>AS172-D172-AL172</f>
        <v>144</v>
      </c>
      <c r="AY172" s="1348">
        <f>AX172-AX171</f>
        <v>1</v>
      </c>
      <c r="AZ172" s="132"/>
      <c r="BA172" s="132"/>
      <c r="BB172" s="132"/>
      <c r="BC172" s="215">
        <f>D172/AS172</f>
        <v>0.32342007434944237</v>
      </c>
      <c r="BD172" s="1492">
        <f>(O172+AA172+AD172)/AS172</f>
        <v>0.53531598513011147</v>
      </c>
      <c r="BE172" s="1343">
        <f>AL172/AS172</f>
        <v>0.14126394052044611</v>
      </c>
    </row>
    <row r="173" spans="1:57" ht="12" hidden="1" customHeight="1" outlineLevel="1">
      <c r="A173" s="132" t="str">
        <f>$A$33</f>
        <v>4Q</v>
      </c>
      <c r="B173" s="132" t="str">
        <f>$B$33</f>
        <v>Jan</v>
      </c>
      <c r="C173" s="132"/>
      <c r="D173" s="1351">
        <f>+D174</f>
        <v>88</v>
      </c>
      <c r="E173" s="1329">
        <f>E174-SUM(E170:E172)</f>
        <v>1</v>
      </c>
      <c r="F173" s="1330">
        <f>+(D173/D166-1)*100</f>
        <v>7.3170731707317138</v>
      </c>
      <c r="G173" s="1350">
        <f>+G172+(($G$153-$G$146)/$E$153)*E173</f>
        <v>0.67378095238095281</v>
      </c>
      <c r="H173" s="665"/>
      <c r="I173" s="1330">
        <f>+(G173/G166-1)*100</f>
        <v>7.498632468242894</v>
      </c>
      <c r="J173" s="132"/>
      <c r="K173" s="1351">
        <f>+K174</f>
        <v>13</v>
      </c>
      <c r="L173" s="1328">
        <f>L174-SUM(L170:L172)</f>
        <v>2</v>
      </c>
      <c r="M173" s="1351">
        <f>+M174</f>
        <v>28</v>
      </c>
      <c r="N173" s="1328">
        <f>N174-SUM(N170:N172)</f>
        <v>1</v>
      </c>
      <c r="O173" s="1351">
        <f>+K173+M173</f>
        <v>41</v>
      </c>
      <c r="P173" s="1334">
        <f>+K173-K172</f>
        <v>2</v>
      </c>
      <c r="Q173" s="1330">
        <f>+(K173/K166-1)*100</f>
        <v>18.181818181818187</v>
      </c>
      <c r="R173" s="1330"/>
      <c r="S173" s="1330"/>
      <c r="T173" s="664"/>
      <c r="U173" s="1351"/>
      <c r="V173" s="1328"/>
      <c r="W173" s="1330"/>
      <c r="X173" s="1330"/>
      <c r="Y173" s="1330"/>
      <c r="Z173" s="664"/>
      <c r="AA173" s="1351">
        <f>+AA174</f>
        <v>59</v>
      </c>
      <c r="AB173" s="1352">
        <f>AB174-SUM(AB170:AB172)</f>
        <v>0</v>
      </c>
      <c r="AC173" s="1330">
        <f>+(AA173/AA166-1)*100</f>
        <v>1.7241379310344751</v>
      </c>
      <c r="AD173" s="1351">
        <f>+AD174</f>
        <v>50</v>
      </c>
      <c r="AE173" s="1352">
        <f>AE174-SUM(AE170:AE172)</f>
        <v>3</v>
      </c>
      <c r="AF173" s="1330">
        <f>+(AD173/AD166-1)*100</f>
        <v>11.111111111111116</v>
      </c>
      <c r="AG173" s="1351"/>
      <c r="AH173" s="1352">
        <f>+AH172+(AE173+AB173+N173+L173)*$AI$146/1000</f>
        <v>0.43395145631067955</v>
      </c>
      <c r="AI173" s="1330"/>
      <c r="AJ173" s="1351">
        <f>+(AH173/AH165-1)*100</f>
        <v>11.444386266736494</v>
      </c>
      <c r="AK173" s="1352"/>
      <c r="AL173" s="1351">
        <f>+AL174</f>
        <v>38</v>
      </c>
      <c r="AM173" s="1352">
        <f>AM174-SUM(AM170:AM172)</f>
        <v>0</v>
      </c>
      <c r="AN173" s="1330">
        <f>+(AL173/AL166-1)*100</f>
        <v>0</v>
      </c>
      <c r="AO173" s="1353">
        <f>+AL173*AP$132/1000</f>
        <v>4.9399999999999999E-2</v>
      </c>
      <c r="AP173" s="665"/>
      <c r="AQ173" s="1330">
        <f>+(AO173/AO166-1)*100</f>
        <v>0</v>
      </c>
      <c r="AR173" s="664"/>
      <c r="AS173" s="1355">
        <f>+D173+O173+AA173+AD173+AL173</f>
        <v>276</v>
      </c>
      <c r="AT173" s="1341">
        <f>+AS173-AS172</f>
        <v>7</v>
      </c>
      <c r="AU173" s="1330">
        <f>+(AS173/AS166-1)*100</f>
        <v>6.1538461538461542</v>
      </c>
      <c r="AV173" s="665"/>
      <c r="AW173" s="665"/>
      <c r="AX173" s="1347">
        <f>AS173-D173-AL173</f>
        <v>150</v>
      </c>
      <c r="AY173" s="1348">
        <f>AX173-AX172</f>
        <v>6</v>
      </c>
      <c r="AZ173" s="132"/>
      <c r="BA173" s="132"/>
      <c r="BB173" s="132"/>
      <c r="BC173" s="215">
        <f>D173/AS173</f>
        <v>0.3188405797101449</v>
      </c>
      <c r="BD173" s="1492">
        <f>(O173+AA173+AD173)/AS173</f>
        <v>0.54347826086956519</v>
      </c>
      <c r="BE173" s="1356">
        <f>AL173/AS173</f>
        <v>0.13768115942028986</v>
      </c>
    </row>
    <row r="174" spans="1:57" ht="12" hidden="1" customHeight="1" outlineLevel="1">
      <c r="A174" s="132"/>
      <c r="B174" s="132" t="str">
        <f>$B$34</f>
        <v>Year</v>
      </c>
      <c r="C174" s="132"/>
      <c r="D174" s="1340">
        <f>+D167+E174</f>
        <v>88</v>
      </c>
      <c r="E174" s="1399">
        <v>6</v>
      </c>
      <c r="F174" s="1330">
        <f>+(D174/D167-1)*100</f>
        <v>7.3170731707317138</v>
      </c>
      <c r="G174" s="1331">
        <f>+G173</f>
        <v>0.67378095238095281</v>
      </c>
      <c r="H174" s="665">
        <f>+G174/D174*1000</f>
        <v>7.6566017316017367</v>
      </c>
      <c r="I174" s="1330">
        <f>+(G174/G167-1)*100</f>
        <v>7.498632468242894</v>
      </c>
      <c r="J174" s="132"/>
      <c r="K174" s="1340">
        <f>+L174+K167</f>
        <v>13</v>
      </c>
      <c r="L174" s="1400">
        <v>2</v>
      </c>
      <c r="M174" s="1340">
        <f>+N174+M167</f>
        <v>28</v>
      </c>
      <c r="N174" s="1400">
        <v>2</v>
      </c>
      <c r="O174" s="1328">
        <f>+K174+M174</f>
        <v>41</v>
      </c>
      <c r="P174" s="1400"/>
      <c r="Q174" s="1330">
        <f>+(K174/K167-1)*100</f>
        <v>18.181818181818187</v>
      </c>
      <c r="R174" s="1330"/>
      <c r="S174" s="1330"/>
      <c r="T174" s="664"/>
      <c r="U174" s="1340"/>
      <c r="V174" s="1400"/>
      <c r="W174" s="1330"/>
      <c r="X174" s="1330"/>
      <c r="Y174" s="1330"/>
      <c r="Z174" s="664"/>
      <c r="AA174" s="1340">
        <f>+AB174+AA167</f>
        <v>59</v>
      </c>
      <c r="AB174" s="1401">
        <v>1</v>
      </c>
      <c r="AC174" s="1330">
        <f>+(AA174/AA167-1)*100</f>
        <v>1.7241379310344751</v>
      </c>
      <c r="AD174" s="1340">
        <f>+AE174+AD167</f>
        <v>50</v>
      </c>
      <c r="AE174" s="1401">
        <v>5</v>
      </c>
      <c r="AF174" s="1330">
        <f>+(AD174/AD167-1)*100</f>
        <v>11.111111111111116</v>
      </c>
      <c r="AG174" s="1340"/>
      <c r="AH174" s="1401">
        <f>+AH173</f>
        <v>0.43395145631067955</v>
      </c>
      <c r="AI174" s="1330">
        <f>+AH174/AX174*1000</f>
        <v>2.8930097087378637</v>
      </c>
      <c r="AJ174" s="1340">
        <f>+(AH174/AH166-1)*100</f>
        <v>7.3492326536493957</v>
      </c>
      <c r="AK174" s="1401"/>
      <c r="AL174" s="1340">
        <f>+AM174+AL167</f>
        <v>38</v>
      </c>
      <c r="AM174" s="1401">
        <v>0</v>
      </c>
      <c r="AN174" s="1330">
        <f>+(AL174/AL167-1)*100</f>
        <v>0</v>
      </c>
      <c r="AO174" s="1338">
        <f>+AL174*AP174/1000</f>
        <v>6.8400000000000002E-2</v>
      </c>
      <c r="AP174" s="665">
        <f>+AP167</f>
        <v>1.8</v>
      </c>
      <c r="AQ174" s="1330">
        <f>+(AO174/AO167-1)*100</f>
        <v>0</v>
      </c>
      <c r="AR174" s="664"/>
      <c r="AS174" s="1340">
        <f>+D174+O174+AA174+AD174+AL174</f>
        <v>276</v>
      </c>
      <c r="AT174" s="683">
        <f>+AS174-AS167</f>
        <v>16</v>
      </c>
      <c r="AU174" s="1330">
        <f>+(AS174/AS167-1)*100</f>
        <v>6.1538461538461542</v>
      </c>
      <c r="AV174" s="665"/>
      <c r="AW174" s="665"/>
      <c r="AX174" s="1347">
        <f>AS174-D174-AL174</f>
        <v>150</v>
      </c>
      <c r="AY174" s="1348">
        <f>AX174-AX167</f>
        <v>10</v>
      </c>
      <c r="AZ174" s="132"/>
      <c r="BA174" s="132"/>
      <c r="BB174" s="132"/>
      <c r="BC174" s="1363">
        <f>D174/AS174</f>
        <v>0.3188405797101449</v>
      </c>
      <c r="BD174" s="1810">
        <f>(O174+AA174+AD174)/AS174</f>
        <v>0.54347826086956519</v>
      </c>
      <c r="BE174" s="1363">
        <f>AL174/AS174</f>
        <v>0.13768115942028986</v>
      </c>
    </row>
    <row r="175" spans="1:57" ht="12" hidden="1" customHeight="1" outlineLevel="1">
      <c r="A175" s="131"/>
      <c r="B175" s="131"/>
      <c r="C175" s="131"/>
      <c r="D175" s="388"/>
      <c r="E175" s="1325"/>
      <c r="F175" s="1339"/>
      <c r="G175" s="247"/>
      <c r="H175" s="388"/>
      <c r="I175" s="1330"/>
      <c r="J175" s="131"/>
      <c r="K175" s="388"/>
      <c r="L175" s="1411"/>
      <c r="M175" s="388"/>
      <c r="N175" s="1411"/>
      <c r="O175" s="388"/>
      <c r="P175" s="200"/>
      <c r="Q175" s="230"/>
      <c r="R175" s="230"/>
      <c r="S175" s="230"/>
      <c r="T175" s="643"/>
      <c r="U175" s="388"/>
      <c r="V175" s="1411"/>
      <c r="W175" s="230"/>
      <c r="X175" s="230"/>
      <c r="Y175" s="230"/>
      <c r="Z175" s="643"/>
      <c r="AA175" s="388"/>
      <c r="AB175" s="174"/>
      <c r="AC175" s="230"/>
      <c r="AD175" s="388"/>
      <c r="AE175" s="174"/>
      <c r="AF175" s="230"/>
      <c r="AG175" s="388"/>
      <c r="AH175" s="174"/>
      <c r="AI175" s="230"/>
      <c r="AJ175" s="388"/>
      <c r="AK175" s="174"/>
      <c r="AL175" s="388"/>
      <c r="AM175" s="174"/>
      <c r="AN175" s="174"/>
      <c r="AO175" s="131"/>
      <c r="AP175" s="388"/>
      <c r="AQ175" s="1339"/>
      <c r="AR175" s="643"/>
      <c r="AS175" s="133"/>
      <c r="AT175" s="132"/>
      <c r="AU175" s="132"/>
      <c r="AV175" s="132"/>
      <c r="AW175" s="132"/>
      <c r="AX175" s="1347"/>
      <c r="AY175" s="1348"/>
      <c r="AZ175" s="131"/>
      <c r="BA175" s="131"/>
      <c r="BB175" s="131"/>
      <c r="BC175" s="131"/>
      <c r="BD175" s="247"/>
      <c r="BE175" s="131"/>
    </row>
    <row r="176" spans="1:57" ht="12" hidden="1" customHeight="1" outlineLevel="1">
      <c r="A176" s="2506">
        <f>+A169+1</f>
        <v>2011</v>
      </c>
      <c r="B176" s="2506"/>
      <c r="C176" s="132"/>
      <c r="D176" s="1033"/>
      <c r="E176" s="1325"/>
      <c r="F176" s="1339"/>
      <c r="G176" s="1033"/>
      <c r="H176" s="230"/>
      <c r="I176" s="1330"/>
      <c r="J176" s="132"/>
      <c r="K176" s="1386"/>
      <c r="L176" s="1387"/>
      <c r="M176" s="1386"/>
      <c r="N176" s="1387"/>
      <c r="O176" s="1386"/>
      <c r="P176" s="200"/>
      <c r="Q176" s="230"/>
      <c r="R176" s="230"/>
      <c r="S176" s="230"/>
      <c r="T176" s="643"/>
      <c r="U176" s="1386"/>
      <c r="V176" s="1387"/>
      <c r="W176" s="230"/>
      <c r="X176" s="230"/>
      <c r="Y176" s="230"/>
      <c r="Z176" s="643"/>
      <c r="AA176" s="1386"/>
      <c r="AB176" s="174"/>
      <c r="AC176" s="230"/>
      <c r="AD176" s="1386"/>
      <c r="AE176" s="174"/>
      <c r="AF176" s="230"/>
      <c r="AG176" s="1386"/>
      <c r="AH176" s="174"/>
      <c r="AI176" s="230"/>
      <c r="AJ176" s="1386"/>
      <c r="AK176" s="174"/>
      <c r="AL176" s="1386"/>
      <c r="AM176" s="174"/>
      <c r="AN176" s="174"/>
      <c r="AO176" s="1386"/>
      <c r="AP176" s="230"/>
      <c r="AQ176" s="1339"/>
      <c r="AR176" s="643"/>
      <c r="AS176" s="1033"/>
      <c r="AT176" s="132"/>
      <c r="AU176" s="132"/>
      <c r="AV176" s="132"/>
      <c r="AW176" s="132"/>
      <c r="AX176" s="1347"/>
      <c r="AY176" s="1348"/>
      <c r="AZ176" s="132"/>
      <c r="BA176" s="132"/>
      <c r="BB176" s="132"/>
      <c r="BC176" s="132"/>
      <c r="BD176" s="256"/>
      <c r="BE176" s="132"/>
    </row>
    <row r="177" spans="1:57" ht="12" hidden="1" customHeight="1" outlineLevel="1">
      <c r="A177" s="132" t="str">
        <f>$A$30</f>
        <v>1Q</v>
      </c>
      <c r="B177" s="132" t="str">
        <f>$B$30</f>
        <v>Apr</v>
      </c>
      <c r="C177" s="132"/>
      <c r="D177" s="1328">
        <f>+D173+E177</f>
        <v>89</v>
      </c>
      <c r="E177" s="1383">
        <v>1</v>
      </c>
      <c r="F177" s="1330">
        <f>+(D177/D170-1)*100</f>
        <v>7.2289156626506035</v>
      </c>
      <c r="G177" s="1331">
        <f>+G174+(($G$153-$G$146)/$E$153)*E177</f>
        <v>0.68161428571428617</v>
      </c>
      <c r="H177" s="665"/>
      <c r="I177" s="1330">
        <f>+(G177/G170-1)*100</f>
        <v>7.4060734304302045</v>
      </c>
      <c r="J177" s="132"/>
      <c r="K177" s="1328">
        <f>+K173+L177</f>
        <v>13</v>
      </c>
      <c r="L177" s="1332">
        <v>0</v>
      </c>
      <c r="M177" s="1328">
        <f>+M173+N177</f>
        <v>28</v>
      </c>
      <c r="N177" s="1344">
        <v>0</v>
      </c>
      <c r="O177" s="1340">
        <f>+K177+M177</f>
        <v>41</v>
      </c>
      <c r="P177" s="1402"/>
      <c r="Q177" s="1330">
        <f>+(K177/K170-1)*100</f>
        <v>18.181818181818187</v>
      </c>
      <c r="R177" s="1330"/>
      <c r="S177" s="1330"/>
      <c r="T177" s="664"/>
      <c r="U177" s="1328"/>
      <c r="V177" s="1332"/>
      <c r="W177" s="1330"/>
      <c r="X177" s="1330"/>
      <c r="Y177" s="1330"/>
      <c r="Z177" s="664"/>
      <c r="AA177" s="1328">
        <f>+AA174+AB177</f>
        <v>59</v>
      </c>
      <c r="AB177" s="1390">
        <v>0</v>
      </c>
      <c r="AC177" s="1330">
        <f>+(AA177/AA170-1)*100</f>
        <v>1.7241379310344751</v>
      </c>
      <c r="AD177" s="1328">
        <f>+AD174+AE177</f>
        <v>50</v>
      </c>
      <c r="AE177" s="1390">
        <v>0</v>
      </c>
      <c r="AF177" s="1330">
        <f>+(AD177/AD170-1)*100</f>
        <v>11.111111111111116</v>
      </c>
      <c r="AG177" s="1328"/>
      <c r="AH177" s="1390">
        <f>+AH174+(AE177+AB177+N177+L177)*$AI$146/1000</f>
        <v>0.43395145631067955</v>
      </c>
      <c r="AI177" s="1330"/>
      <c r="AJ177" s="1328">
        <f>+(AH177/AH170-1)*100</f>
        <v>7.3492326536493957</v>
      </c>
      <c r="AK177" s="1390"/>
      <c r="AL177" s="1328">
        <f>+AL174+AM177</f>
        <v>38</v>
      </c>
      <c r="AM177" s="1390">
        <v>0</v>
      </c>
      <c r="AN177" s="1330">
        <f>+(AL177/AL170-1)*100</f>
        <v>0</v>
      </c>
      <c r="AO177" s="1338">
        <f>+AL177*AP$132/1000</f>
        <v>4.9399999999999999E-2</v>
      </c>
      <c r="AP177" s="665"/>
      <c r="AQ177" s="1330">
        <f>+(AO177/AO170-1)*100</f>
        <v>0</v>
      </c>
      <c r="AR177" s="664"/>
      <c r="AS177" s="1340">
        <f>+D177+O177+AA177+AD177+AL177</f>
        <v>277</v>
      </c>
      <c r="AT177" s="1341">
        <f>+AS177-AS173</f>
        <v>1</v>
      </c>
      <c r="AU177" s="1330">
        <f>+(AS177/AS170-1)*100</f>
        <v>6.1302681992337238</v>
      </c>
      <c r="AV177" s="665"/>
      <c r="AW177" s="665"/>
      <c r="AX177" s="1347">
        <f>AS177-D177-AL177</f>
        <v>150</v>
      </c>
      <c r="AY177" s="1348">
        <f>AX177-AX174</f>
        <v>0</v>
      </c>
      <c r="AZ177" s="132"/>
      <c r="BA177" s="132"/>
      <c r="BB177" s="132"/>
      <c r="BC177" s="215">
        <f>D177/AS177</f>
        <v>0.32129963898916969</v>
      </c>
      <c r="BD177" s="1492">
        <f>(O177+AA177+AD177)/AS177</f>
        <v>0.54151624548736466</v>
      </c>
      <c r="BE177" s="1343">
        <f>AL177/AS177</f>
        <v>0.13718411552346571</v>
      </c>
    </row>
    <row r="178" spans="1:57" ht="12" hidden="1" customHeight="1" outlineLevel="1">
      <c r="A178" s="132" t="str">
        <f>$A$31</f>
        <v>2Q</v>
      </c>
      <c r="B178" s="132" t="str">
        <f>$B$31</f>
        <v>Jul</v>
      </c>
      <c r="C178" s="132"/>
      <c r="D178" s="1328">
        <f>+E178+D177</f>
        <v>91</v>
      </c>
      <c r="E178" s="1383">
        <v>2</v>
      </c>
      <c r="F178" s="1330">
        <f>+(D178/D171-1)*100</f>
        <v>7.0588235294117618</v>
      </c>
      <c r="G178" s="1331">
        <f>+G177+(($G$153-$G$146)/$E$153)*E178</f>
        <v>0.69728095238095289</v>
      </c>
      <c r="H178" s="665"/>
      <c r="I178" s="1330">
        <f>+(G178/G171-1)*100</f>
        <v>7.2276451936525765</v>
      </c>
      <c r="J178" s="672"/>
      <c r="K178" s="1328">
        <f>+L178+K177</f>
        <v>13</v>
      </c>
      <c r="L178" s="1344">
        <v>0</v>
      </c>
      <c r="M178" s="1328">
        <f>+N178+M177</f>
        <v>29</v>
      </c>
      <c r="N178" s="1344">
        <v>1</v>
      </c>
      <c r="O178" s="1328">
        <f>+K178+M178</f>
        <v>42</v>
      </c>
      <c r="P178" s="1402"/>
      <c r="Q178" s="1330">
        <f>+(K178/K171-1)*100</f>
        <v>18.181818181818187</v>
      </c>
      <c r="R178" s="1330"/>
      <c r="S178" s="1330"/>
      <c r="T178" s="664"/>
      <c r="U178" s="1328"/>
      <c r="V178" s="1344"/>
      <c r="W178" s="1330"/>
      <c r="X178" s="1330"/>
      <c r="Y178" s="1330"/>
      <c r="Z178" s="664"/>
      <c r="AA178" s="1328">
        <f>+AA177+AB178</f>
        <v>59</v>
      </c>
      <c r="AB178" s="1390">
        <v>0</v>
      </c>
      <c r="AC178" s="1330">
        <f>+(AA178/AA171-1)*100</f>
        <v>0</v>
      </c>
      <c r="AD178" s="1328">
        <f>+AD177+AE178</f>
        <v>51</v>
      </c>
      <c r="AE178" s="1390">
        <v>1</v>
      </c>
      <c r="AF178" s="1330">
        <f>+(AD178/AD171-1)*100</f>
        <v>10.869565217391308</v>
      </c>
      <c r="AG178" s="1328"/>
      <c r="AH178" s="1390">
        <f>+AH177+(AE178+AB178+N178+L178)*$AI$146/1000</f>
        <v>0.43989320388349507</v>
      </c>
      <c r="AI178" s="1330"/>
      <c r="AJ178" s="1328">
        <f>+(AH178/AH170-1)*100</f>
        <v>8.8190791843792748</v>
      </c>
      <c r="AK178" s="1390"/>
      <c r="AL178" s="1328">
        <f>+AL177+AM178</f>
        <v>38</v>
      </c>
      <c r="AM178" s="1390">
        <v>0</v>
      </c>
      <c r="AN178" s="1330">
        <f>+(AL178/AL171-1)*100</f>
        <v>0</v>
      </c>
      <c r="AO178" s="1338">
        <f>+AL178*AP$132/1000</f>
        <v>4.9399999999999999E-2</v>
      </c>
      <c r="AP178" s="665"/>
      <c r="AQ178" s="1330">
        <f>+(AO178/AO171-1)*100</f>
        <v>0</v>
      </c>
      <c r="AR178" s="664"/>
      <c r="AS178" s="1340">
        <f>+D178+O178+AA178+AD178+AL178</f>
        <v>281</v>
      </c>
      <c r="AT178" s="1341">
        <f>+AS178-AS177</f>
        <v>4</v>
      </c>
      <c r="AU178" s="1330">
        <f>+(AS178/AS171-1)*100</f>
        <v>5.6390977443609103</v>
      </c>
      <c r="AV178" s="665"/>
      <c r="AW178" s="665"/>
      <c r="AX178" s="1347">
        <f>AS178-D178-AL178</f>
        <v>152</v>
      </c>
      <c r="AY178" s="1348">
        <f>AX178-AX177</f>
        <v>2</v>
      </c>
      <c r="AZ178" s="132"/>
      <c r="BA178" s="132"/>
      <c r="BB178" s="132"/>
      <c r="BC178" s="215">
        <f>D178/AS178</f>
        <v>0.32384341637010677</v>
      </c>
      <c r="BD178" s="1492">
        <f>(O178+AA178+AD178)/AS178</f>
        <v>0.54092526690391463</v>
      </c>
      <c r="BE178" s="1343">
        <f>AL178/AS178</f>
        <v>0.13523131672597866</v>
      </c>
    </row>
    <row r="179" spans="1:57" ht="12" hidden="1" customHeight="1" outlineLevel="1">
      <c r="A179" s="132" t="str">
        <f>$A$32</f>
        <v>3Q</v>
      </c>
      <c r="B179" s="132" t="str">
        <f>$B$32</f>
        <v>Oct</v>
      </c>
      <c r="C179" s="132"/>
      <c r="D179" s="1328">
        <f>+E179+D178</f>
        <v>93</v>
      </c>
      <c r="E179" s="1383">
        <v>2</v>
      </c>
      <c r="F179" s="1330">
        <f>+(D179/D172-1)*100</f>
        <v>6.8965517241379226</v>
      </c>
      <c r="G179" s="1331">
        <f>+G178+(($G$153-$G$146)/$E$153)*E179</f>
        <v>0.71294761904761961</v>
      </c>
      <c r="H179" s="665"/>
      <c r="I179" s="1330">
        <f>+(G179/G172-1)*100</f>
        <v>7.057612138806868</v>
      </c>
      <c r="J179" s="132"/>
      <c r="K179" s="1328">
        <f>+L179+K178</f>
        <v>13</v>
      </c>
      <c r="L179" s="1344">
        <v>0</v>
      </c>
      <c r="M179" s="1328">
        <f>+N179+M178</f>
        <v>29</v>
      </c>
      <c r="N179" s="1344">
        <v>0</v>
      </c>
      <c r="O179" s="1328">
        <f>+K179+M179</f>
        <v>42</v>
      </c>
      <c r="P179" s="1402"/>
      <c r="Q179" s="1330">
        <f>+(K179/K172-1)*100</f>
        <v>18.181818181818187</v>
      </c>
      <c r="R179" s="1330"/>
      <c r="S179" s="1330"/>
      <c r="T179" s="664"/>
      <c r="U179" s="1328"/>
      <c r="V179" s="1344"/>
      <c r="W179" s="1330"/>
      <c r="X179" s="1330"/>
      <c r="Y179" s="1330"/>
      <c r="Z179" s="664"/>
      <c r="AA179" s="1328">
        <f>+AA178+AB179</f>
        <v>59</v>
      </c>
      <c r="AB179" s="1390">
        <v>0</v>
      </c>
      <c r="AC179" s="1330">
        <f>+(AA179/AA172-1)*100</f>
        <v>0</v>
      </c>
      <c r="AD179" s="1328">
        <f>+AD178+AE179</f>
        <v>52</v>
      </c>
      <c r="AE179" s="1390">
        <v>1</v>
      </c>
      <c r="AF179" s="1330">
        <f>+(AD179/AD172-1)*100</f>
        <v>10.638297872340431</v>
      </c>
      <c r="AG179" s="1328"/>
      <c r="AH179" s="1390">
        <f>+AH178+(AE179+AB179+N179+L179)*$AI$146/1000</f>
        <v>0.44286407766990282</v>
      </c>
      <c r="AI179" s="1330"/>
      <c r="AJ179" s="1328">
        <f>+(AH179/AH171-1)*100</f>
        <v>7.1906943954881841</v>
      </c>
      <c r="AK179" s="1390"/>
      <c r="AL179" s="1328">
        <f>+AL178+AM179</f>
        <v>38</v>
      </c>
      <c r="AM179" s="1390">
        <v>0</v>
      </c>
      <c r="AN179" s="1330">
        <f>+(AL179/AL172-1)*100</f>
        <v>0</v>
      </c>
      <c r="AO179" s="1338">
        <f>+AL179*AP$132/1000</f>
        <v>4.9399999999999999E-2</v>
      </c>
      <c r="AP179" s="665"/>
      <c r="AQ179" s="1330">
        <f>+(AO179/AO172-1)*100</f>
        <v>0</v>
      </c>
      <c r="AR179" s="664"/>
      <c r="AS179" s="1340">
        <f>+D179+O179+AA179+AD179+AL179</f>
        <v>284</v>
      </c>
      <c r="AT179" s="1341">
        <f>+AS179-AS178</f>
        <v>3</v>
      </c>
      <c r="AU179" s="1330">
        <f>+(AS179/AS172-1)*100</f>
        <v>5.5762081784386686</v>
      </c>
      <c r="AV179" s="665"/>
      <c r="AW179" s="665"/>
      <c r="AX179" s="1347">
        <f>AS179-D179-AL179</f>
        <v>153</v>
      </c>
      <c r="AY179" s="1348">
        <f>AX179-AX178</f>
        <v>1</v>
      </c>
      <c r="AZ179" s="132"/>
      <c r="BA179" s="132"/>
      <c r="BB179" s="132"/>
      <c r="BC179" s="215">
        <f>D179/AS179</f>
        <v>0.32746478873239437</v>
      </c>
      <c r="BD179" s="1492">
        <f>(O179+AA179+AD179)/AS179</f>
        <v>0.53873239436619713</v>
      </c>
      <c r="BE179" s="1343">
        <f>AL179/AS179</f>
        <v>0.13380281690140844</v>
      </c>
    </row>
    <row r="180" spans="1:57" ht="12" hidden="1" customHeight="1" outlineLevel="1">
      <c r="A180" s="132" t="str">
        <f>$A$33</f>
        <v>4Q</v>
      </c>
      <c r="B180" s="132" t="str">
        <f>$B$33</f>
        <v>Jan</v>
      </c>
      <c r="C180" s="132"/>
      <c r="D180" s="1351">
        <f>+D181</f>
        <v>94</v>
      </c>
      <c r="E180" s="1329">
        <f>E181-SUM(E177:E179)</f>
        <v>1</v>
      </c>
      <c r="F180" s="1330">
        <f>+(D180/D173-1)*100</f>
        <v>6.8181818181818121</v>
      </c>
      <c r="G180" s="1350">
        <f>+G179+(($G$153-$G$146)/$E$153)*E180</f>
        <v>0.72078095238095297</v>
      </c>
      <c r="H180" s="665"/>
      <c r="I180" s="1330">
        <f>+(G180/G173-1)*100</f>
        <v>6.9755608011647263</v>
      </c>
      <c r="J180" s="132"/>
      <c r="K180" s="1351">
        <f>+K181</f>
        <v>15</v>
      </c>
      <c r="L180" s="1328">
        <f>L181-SUM(L177:L179)</f>
        <v>2</v>
      </c>
      <c r="M180" s="1351">
        <f>+M181</f>
        <v>30</v>
      </c>
      <c r="N180" s="1328">
        <f>N181-SUM(N177:N179)</f>
        <v>1</v>
      </c>
      <c r="O180" s="1351">
        <f>+K180+M180</f>
        <v>45</v>
      </c>
      <c r="P180" s="1334">
        <f>+K180-K179</f>
        <v>2</v>
      </c>
      <c r="Q180" s="1330">
        <f>+(K180/K173-1)*100</f>
        <v>15.384615384615374</v>
      </c>
      <c r="R180" s="1330"/>
      <c r="S180" s="1330"/>
      <c r="T180" s="664"/>
      <c r="U180" s="1351"/>
      <c r="V180" s="1328"/>
      <c r="W180" s="1330"/>
      <c r="X180" s="1330"/>
      <c r="Y180" s="1330"/>
      <c r="Z180" s="664"/>
      <c r="AA180" s="1351">
        <f>+AA181</f>
        <v>59</v>
      </c>
      <c r="AB180" s="1352">
        <f>AB181-SUM(AB177:AB179)</f>
        <v>0</v>
      </c>
      <c r="AC180" s="1330">
        <f>+(AA180/AA173-1)*100</f>
        <v>0</v>
      </c>
      <c r="AD180" s="1351">
        <f>+AD181</f>
        <v>56</v>
      </c>
      <c r="AE180" s="1352">
        <f>AE181-SUM(AE177:AE179)</f>
        <v>4</v>
      </c>
      <c r="AF180" s="1330">
        <f>+(AD180/AD173-1)*100</f>
        <v>12.000000000000011</v>
      </c>
      <c r="AG180" s="1351"/>
      <c r="AH180" s="1352">
        <f>+AH179+(AE180+AB180+N180+L180)*$AI$146/1000</f>
        <v>0.46366019417475718</v>
      </c>
      <c r="AI180" s="1330"/>
      <c r="AJ180" s="1351">
        <f>+(AH180/AH172-1)*100</f>
        <v>11.42297193252606</v>
      </c>
      <c r="AK180" s="1352"/>
      <c r="AL180" s="1351">
        <f>+AL181</f>
        <v>38</v>
      </c>
      <c r="AM180" s="1352">
        <f>AM181-SUM(AM177:AM179)</f>
        <v>0</v>
      </c>
      <c r="AN180" s="1330">
        <f>+(AL180/AL173-1)*100</f>
        <v>0</v>
      </c>
      <c r="AO180" s="1353">
        <f>+AL180*AP$132/1000</f>
        <v>4.9399999999999999E-2</v>
      </c>
      <c r="AP180" s="665"/>
      <c r="AQ180" s="1330">
        <f>+(AO180/AO173-1)*100</f>
        <v>0</v>
      </c>
      <c r="AR180" s="664"/>
      <c r="AS180" s="1355">
        <f>+D180+O180+AA180+AD180+AL180</f>
        <v>292</v>
      </c>
      <c r="AT180" s="1341">
        <f>+AS180-AS179</f>
        <v>8</v>
      </c>
      <c r="AU180" s="1330">
        <f>+(AS180/AS173-1)*100</f>
        <v>5.7971014492753659</v>
      </c>
      <c r="AV180" s="665"/>
      <c r="AW180" s="665"/>
      <c r="AX180" s="1347">
        <f>AS180-D180-AL180</f>
        <v>160</v>
      </c>
      <c r="AY180" s="1348">
        <f>AX180-AX179</f>
        <v>7</v>
      </c>
      <c r="AZ180" s="132"/>
      <c r="BA180" s="132"/>
      <c r="BB180" s="132"/>
      <c r="BC180" s="215">
        <f>D180/AS180</f>
        <v>0.32191780821917809</v>
      </c>
      <c r="BD180" s="1492">
        <f>(O180+AA180+AD180)/AS180</f>
        <v>0.54794520547945202</v>
      </c>
      <c r="BE180" s="1356">
        <f>AL180/AS180</f>
        <v>0.13013698630136986</v>
      </c>
    </row>
    <row r="181" spans="1:57" ht="12" hidden="1" customHeight="1" outlineLevel="1">
      <c r="A181" s="132"/>
      <c r="B181" s="132" t="str">
        <f>$B$34</f>
        <v>Year</v>
      </c>
      <c r="C181" s="132"/>
      <c r="D181" s="1340">
        <f>+D174+E181</f>
        <v>94</v>
      </c>
      <c r="E181" s="1399">
        <v>6</v>
      </c>
      <c r="F181" s="1330">
        <f>+(D181/D174-1)*100</f>
        <v>6.8181818181818121</v>
      </c>
      <c r="G181" s="1331">
        <f>+G180</f>
        <v>0.72078095238095297</v>
      </c>
      <c r="H181" s="665">
        <f>+G181/D181*1000</f>
        <v>7.6678824721377978</v>
      </c>
      <c r="I181" s="1330">
        <f>+(G181/G174-1)*100</f>
        <v>6.9755608011647263</v>
      </c>
      <c r="J181" s="132"/>
      <c r="K181" s="1340">
        <f>+L181+K174</f>
        <v>15</v>
      </c>
      <c r="L181" s="1400">
        <v>2</v>
      </c>
      <c r="M181" s="1340">
        <f>+N181+M174</f>
        <v>30</v>
      </c>
      <c r="N181" s="1400">
        <v>2</v>
      </c>
      <c r="O181" s="1328">
        <f>+K181+M181</f>
        <v>45</v>
      </c>
      <c r="P181" s="1400"/>
      <c r="Q181" s="1330">
        <f>+(K181/K174-1)*100</f>
        <v>15.384615384615374</v>
      </c>
      <c r="R181" s="1330"/>
      <c r="S181" s="1330"/>
      <c r="T181" s="664"/>
      <c r="U181" s="1340"/>
      <c r="V181" s="1400"/>
      <c r="W181" s="1330"/>
      <c r="X181" s="1330"/>
      <c r="Y181" s="1330"/>
      <c r="Z181" s="664"/>
      <c r="AA181" s="1340">
        <f>+AB181+AA174</f>
        <v>59</v>
      </c>
      <c r="AB181" s="1401">
        <v>0</v>
      </c>
      <c r="AC181" s="1330">
        <f>+(AA181/AA174-1)*100</f>
        <v>0</v>
      </c>
      <c r="AD181" s="1340">
        <f>+AE181+AD174</f>
        <v>56</v>
      </c>
      <c r="AE181" s="1401">
        <v>6</v>
      </c>
      <c r="AF181" s="1330">
        <f>+(AD181/AD174-1)*100</f>
        <v>12.000000000000011</v>
      </c>
      <c r="AG181" s="1340"/>
      <c r="AH181" s="1401">
        <f>+AH180</f>
        <v>0.46366019417475718</v>
      </c>
      <c r="AI181" s="1330">
        <f>+AH181/AX181*1000</f>
        <v>2.897876213592232</v>
      </c>
      <c r="AJ181" s="1340">
        <f>+(AH181/AH173-1)*100</f>
        <v>6.8460970534935051</v>
      </c>
      <c r="AK181" s="1401"/>
      <c r="AL181" s="1340">
        <f>+AM181+AL174</f>
        <v>38</v>
      </c>
      <c r="AM181" s="1401">
        <v>0</v>
      </c>
      <c r="AN181" s="1330">
        <f>+(AL181/AL174-1)*100</f>
        <v>0</v>
      </c>
      <c r="AO181" s="1338">
        <f>+AL181*AP181/1000</f>
        <v>6.8400000000000002E-2</v>
      </c>
      <c r="AP181" s="665">
        <f>+AP174</f>
        <v>1.8</v>
      </c>
      <c r="AQ181" s="1330">
        <f>+(AO181/AO174-1)*100</f>
        <v>0</v>
      </c>
      <c r="AR181" s="664"/>
      <c r="AS181" s="1340">
        <f>+D181+O181+AA181+AD181+AL181</f>
        <v>292</v>
      </c>
      <c r="AT181" s="683">
        <f>+AS181-AS174</f>
        <v>16</v>
      </c>
      <c r="AU181" s="1330">
        <f>+(AS181/AS174-1)*100</f>
        <v>5.7971014492753659</v>
      </c>
      <c r="AV181" s="665"/>
      <c r="AW181" s="665"/>
      <c r="AX181" s="1347">
        <f>AS181-D181-AL181</f>
        <v>160</v>
      </c>
      <c r="AY181" s="1348">
        <f>AX181-AX174</f>
        <v>10</v>
      </c>
      <c r="AZ181" s="132"/>
      <c r="BA181" s="132"/>
      <c r="BB181" s="132"/>
      <c r="BC181" s="1363">
        <f>D181/AS181</f>
        <v>0.32191780821917809</v>
      </c>
      <c r="BD181" s="1810">
        <f>(O181+AA181+AD181)/AS181</f>
        <v>0.54794520547945202</v>
      </c>
      <c r="BE181" s="1363">
        <f>AL181/AS181</f>
        <v>0.13013698630136986</v>
      </c>
    </row>
    <row r="182" spans="1:57" ht="6" customHeight="1" collapsed="1">
      <c r="A182" s="131"/>
      <c r="B182" s="131"/>
      <c r="C182" s="131"/>
      <c r="D182" s="388"/>
      <c r="E182" s="1325"/>
      <c r="F182" s="1339"/>
      <c r="G182" s="247"/>
      <c r="H182" s="388"/>
      <c r="I182" s="1330"/>
      <c r="J182" s="131"/>
      <c r="K182" s="388"/>
      <c r="L182" s="1411"/>
      <c r="M182" s="388"/>
      <c r="N182" s="1411"/>
      <c r="O182" s="388"/>
      <c r="P182" s="200"/>
      <c r="Q182" s="230"/>
      <c r="R182" s="230"/>
      <c r="S182" s="230"/>
      <c r="T182" s="643"/>
      <c r="U182" s="388"/>
      <c r="V182" s="1411"/>
      <c r="W182" s="230"/>
      <c r="X182" s="230"/>
      <c r="Y182" s="230"/>
      <c r="Z182" s="643"/>
      <c r="AA182" s="388"/>
      <c r="AB182" s="174"/>
      <c r="AC182" s="230"/>
      <c r="AD182" s="388"/>
      <c r="AE182" s="174"/>
      <c r="AF182" s="230"/>
      <c r="AG182" s="388"/>
      <c r="AH182" s="174"/>
      <c r="AI182" s="230"/>
      <c r="AJ182" s="388"/>
      <c r="AK182" s="174"/>
      <c r="AL182" s="388"/>
      <c r="AM182" s="174"/>
      <c r="AN182" s="174"/>
      <c r="AO182" s="131"/>
      <c r="AP182" s="388"/>
      <c r="AQ182" s="1339"/>
      <c r="AR182" s="643"/>
      <c r="AS182" s="133"/>
      <c r="AT182" s="132"/>
      <c r="AU182" s="132"/>
      <c r="AV182" s="132"/>
      <c r="AW182" s="132"/>
      <c r="AX182" s="132"/>
      <c r="AY182" s="177"/>
      <c r="AZ182" s="131"/>
      <c r="BA182" s="131"/>
      <c r="BB182" s="131"/>
      <c r="BC182" s="131"/>
      <c r="BD182" s="247"/>
      <c r="BE182" s="131"/>
    </row>
    <row r="183" spans="1:57" ht="12" hidden="1" customHeight="1" outlineLevel="1">
      <c r="A183" s="2506">
        <v>2000</v>
      </c>
      <c r="B183" s="2506"/>
      <c r="C183" s="132"/>
      <c r="D183" s="1033"/>
      <c r="E183" s="1325"/>
      <c r="F183" s="1339"/>
      <c r="G183" s="1396"/>
      <c r="H183" s="1409"/>
      <c r="I183" s="1330"/>
      <c r="J183" s="132"/>
      <c r="K183" s="1386"/>
      <c r="L183" s="1387"/>
      <c r="M183" s="1386"/>
      <c r="N183" s="1387"/>
      <c r="O183" s="1386"/>
      <c r="P183" s="200"/>
      <c r="Q183" s="230"/>
      <c r="R183" s="230"/>
      <c r="S183" s="230"/>
      <c r="T183" s="643"/>
      <c r="U183" s="1386"/>
      <c r="V183" s="1387"/>
      <c r="W183" s="230"/>
      <c r="X183" s="230"/>
      <c r="Y183" s="230"/>
      <c r="Z183" s="643"/>
      <c r="AA183" s="1386"/>
      <c r="AB183" s="174"/>
      <c r="AC183" s="230"/>
      <c r="AD183" s="1386"/>
      <c r="AE183" s="174"/>
      <c r="AF183" s="230"/>
      <c r="AG183" s="1386"/>
      <c r="AH183" s="174"/>
      <c r="AI183" s="230"/>
      <c r="AJ183" s="1386"/>
      <c r="AK183" s="174"/>
      <c r="AL183" s="1386"/>
      <c r="AM183" s="174"/>
      <c r="AN183" s="174"/>
      <c r="AO183" s="1386"/>
      <c r="AP183" s="230"/>
      <c r="AQ183" s="1339"/>
      <c r="AR183" s="643"/>
      <c r="AS183" s="929"/>
      <c r="AT183" s="132"/>
      <c r="AU183" s="132"/>
      <c r="AV183" s="132"/>
      <c r="AW183" s="132"/>
      <c r="AX183" s="1347"/>
      <c r="AY183" s="1348"/>
      <c r="AZ183" s="132"/>
      <c r="BA183" s="132"/>
      <c r="BB183" s="132"/>
      <c r="BC183" s="132"/>
      <c r="BD183" s="256"/>
      <c r="BE183" s="132"/>
    </row>
    <row r="184" spans="1:57" ht="12" hidden="1" customHeight="1" outlineLevel="1">
      <c r="A184" s="132" t="str">
        <f>$A$30</f>
        <v>1Q</v>
      </c>
      <c r="B184" s="132" t="str">
        <f>$B$30</f>
        <v>Apr</v>
      </c>
      <c r="C184" s="132"/>
      <c r="D184" s="1328">
        <f t="shared" ref="D184:E187" si="0">D100+K100</f>
        <v>41</v>
      </c>
      <c r="E184" s="1329">
        <f t="shared" si="0"/>
        <v>0</v>
      </c>
      <c r="F184" s="1330"/>
      <c r="G184" s="1331"/>
      <c r="H184" s="665"/>
      <c r="I184" s="1330"/>
      <c r="J184" s="132"/>
      <c r="K184" s="1328">
        <f t="shared" ref="K184:L187" si="1">AA100+AD100</f>
        <v>63</v>
      </c>
      <c r="L184" s="1412">
        <f t="shared" si="1"/>
        <v>2</v>
      </c>
      <c r="M184" s="1328"/>
      <c r="N184" s="1344"/>
      <c r="O184" s="1340"/>
      <c r="P184" s="1402"/>
      <c r="Q184" s="1330"/>
      <c r="R184" s="1330"/>
      <c r="S184" s="1330"/>
      <c r="T184" s="664"/>
      <c r="U184" s="1328"/>
      <c r="V184" s="1412"/>
      <c r="W184" s="1330"/>
      <c r="X184" s="1330"/>
      <c r="Y184" s="1330"/>
      <c r="Z184" s="664"/>
      <c r="AA184" s="1328">
        <f t="shared" ref="AA184:AB187" si="2">M100</f>
        <v>8</v>
      </c>
      <c r="AB184" s="1335">
        <f t="shared" si="2"/>
        <v>0</v>
      </c>
      <c r="AC184" s="1330"/>
      <c r="AD184" s="1328"/>
      <c r="AE184" s="1390"/>
      <c r="AF184" s="1330"/>
      <c r="AG184" s="1328"/>
      <c r="AH184" s="1335"/>
      <c r="AI184" s="1330"/>
      <c r="AJ184" s="1328"/>
      <c r="AK184" s="1390"/>
      <c r="AL184" s="1328"/>
      <c r="AM184" s="1390"/>
      <c r="AN184" s="1330"/>
      <c r="AO184" s="1338"/>
      <c r="AP184" s="665"/>
      <c r="AQ184" s="1330"/>
      <c r="AR184" s="664"/>
      <c r="AS184" s="1340">
        <f>AA184+K184+D184</f>
        <v>112</v>
      </c>
      <c r="AT184" s="1413"/>
      <c r="AU184" s="1414"/>
      <c r="AV184" s="665"/>
      <c r="AW184" s="665"/>
      <c r="AX184" s="1347">
        <f>AS184-D184-AL184</f>
        <v>71</v>
      </c>
      <c r="AY184" s="1348">
        <f>AX184-AX134</f>
        <v>71</v>
      </c>
      <c r="AZ184" s="132"/>
      <c r="BA184" s="132"/>
      <c r="BB184" s="132"/>
      <c r="BC184" s="215">
        <f>D184/AS184</f>
        <v>0.36607142857142855</v>
      </c>
      <c r="BD184" s="1492">
        <f>(O184+AA184+AD184)/AS184</f>
        <v>7.1428571428571425E-2</v>
      </c>
      <c r="BE184" s="1343">
        <f>AL184/AS184</f>
        <v>0</v>
      </c>
    </row>
    <row r="185" spans="1:57" ht="12" hidden="1" customHeight="1" outlineLevel="1">
      <c r="A185" s="132" t="str">
        <f>$A$31</f>
        <v>2Q</v>
      </c>
      <c r="B185" s="132" t="str">
        <f>$B$31</f>
        <v>Jul</v>
      </c>
      <c r="C185" s="132"/>
      <c r="D185" s="1328">
        <f t="shared" si="0"/>
        <v>42</v>
      </c>
      <c r="E185" s="1329">
        <f t="shared" si="0"/>
        <v>1</v>
      </c>
      <c r="F185" s="1330"/>
      <c r="G185" s="1331"/>
      <c r="H185" s="665"/>
      <c r="I185" s="1330"/>
      <c r="J185" s="672"/>
      <c r="K185" s="1328">
        <f t="shared" si="1"/>
        <v>63</v>
      </c>
      <c r="L185" s="1415">
        <f t="shared" si="1"/>
        <v>0</v>
      </c>
      <c r="M185" s="1328"/>
      <c r="N185" s="1344"/>
      <c r="O185" s="1328"/>
      <c r="P185" s="1402"/>
      <c r="Q185" s="1330"/>
      <c r="R185" s="1330"/>
      <c r="S185" s="1330"/>
      <c r="T185" s="664"/>
      <c r="U185" s="1328"/>
      <c r="V185" s="1415"/>
      <c r="W185" s="1330"/>
      <c r="X185" s="1330"/>
      <c r="Y185" s="1330"/>
      <c r="Z185" s="664"/>
      <c r="AA185" s="1328">
        <f t="shared" si="2"/>
        <v>8</v>
      </c>
      <c r="AB185" s="1335">
        <f t="shared" si="2"/>
        <v>0</v>
      </c>
      <c r="AC185" s="1330"/>
      <c r="AD185" s="1328"/>
      <c r="AE185" s="1390"/>
      <c r="AF185" s="1330"/>
      <c r="AG185" s="1328"/>
      <c r="AH185" s="1335"/>
      <c r="AI185" s="1330"/>
      <c r="AJ185" s="1328"/>
      <c r="AK185" s="1390"/>
      <c r="AL185" s="1328"/>
      <c r="AM185" s="1390"/>
      <c r="AN185" s="1330"/>
      <c r="AO185" s="1338"/>
      <c r="AP185" s="665"/>
      <c r="AQ185" s="1330"/>
      <c r="AR185" s="664"/>
      <c r="AS185" s="1340">
        <f>AA185+K185+D185</f>
        <v>113</v>
      </c>
      <c r="AT185" s="1413">
        <f>+AS185-AS184</f>
        <v>1</v>
      </c>
      <c r="AU185" s="1414"/>
      <c r="AV185" s="665"/>
      <c r="AW185" s="665"/>
      <c r="AX185" s="1347">
        <f>AS185-D185-AL185</f>
        <v>71</v>
      </c>
      <c r="AY185" s="1348">
        <f>AX185-AX184</f>
        <v>0</v>
      </c>
      <c r="AZ185" s="132"/>
      <c r="BA185" s="132"/>
      <c r="BB185" s="132"/>
      <c r="BC185" s="215">
        <f>D185/AS185</f>
        <v>0.37168141592920356</v>
      </c>
      <c r="BD185" s="1492">
        <f>(O185+AA185+AD185)/AS185</f>
        <v>7.0796460176991149E-2</v>
      </c>
      <c r="BE185" s="1343">
        <f>AL185/AS185</f>
        <v>0</v>
      </c>
    </row>
    <row r="186" spans="1:57" ht="12" hidden="1" customHeight="1" outlineLevel="1">
      <c r="A186" s="132" t="str">
        <f>$A$32</f>
        <v>3Q</v>
      </c>
      <c r="B186" s="132" t="str">
        <f>$B$32</f>
        <v>Oct</v>
      </c>
      <c r="C186" s="132"/>
      <c r="D186" s="1328">
        <f t="shared" si="0"/>
        <v>44</v>
      </c>
      <c r="E186" s="1329">
        <f t="shared" si="0"/>
        <v>2</v>
      </c>
      <c r="F186" s="1330"/>
      <c r="G186" s="1331"/>
      <c r="H186" s="665"/>
      <c r="I186" s="1330"/>
      <c r="J186" s="132"/>
      <c r="K186" s="1328">
        <f t="shared" si="1"/>
        <v>66</v>
      </c>
      <c r="L186" s="1415">
        <f t="shared" si="1"/>
        <v>3</v>
      </c>
      <c r="M186" s="1328"/>
      <c r="N186" s="1344"/>
      <c r="O186" s="1328"/>
      <c r="P186" s="1402"/>
      <c r="Q186" s="1330"/>
      <c r="R186" s="1330"/>
      <c r="S186" s="1330"/>
      <c r="T186" s="664"/>
      <c r="U186" s="1328"/>
      <c r="V186" s="1415"/>
      <c r="W186" s="1330"/>
      <c r="X186" s="1330"/>
      <c r="Y186" s="1330"/>
      <c r="Z186" s="664"/>
      <c r="AA186" s="1328">
        <f t="shared" si="2"/>
        <v>8</v>
      </c>
      <c r="AB186" s="1335">
        <f t="shared" si="2"/>
        <v>0</v>
      </c>
      <c r="AC186" s="1330"/>
      <c r="AD186" s="1328"/>
      <c r="AE186" s="1390"/>
      <c r="AF186" s="1330"/>
      <c r="AG186" s="1328"/>
      <c r="AH186" s="1335"/>
      <c r="AI186" s="1330"/>
      <c r="AJ186" s="1328"/>
      <c r="AK186" s="1390"/>
      <c r="AL186" s="1328"/>
      <c r="AM186" s="1390"/>
      <c r="AN186" s="1330"/>
      <c r="AO186" s="1338"/>
      <c r="AP186" s="665"/>
      <c r="AQ186" s="1330"/>
      <c r="AR186" s="664"/>
      <c r="AS186" s="1340">
        <f>AA186+K186+D186</f>
        <v>118</v>
      </c>
      <c r="AT186" s="1413">
        <f>+AS186-AS185</f>
        <v>5</v>
      </c>
      <c r="AU186" s="1414"/>
      <c r="AV186" s="665"/>
      <c r="AW186" s="665"/>
      <c r="AX186" s="1347">
        <f>AS186-D186-AL186</f>
        <v>74</v>
      </c>
      <c r="AY186" s="1348">
        <f>AX186-AX185</f>
        <v>3</v>
      </c>
      <c r="AZ186" s="132"/>
      <c r="BA186" s="132"/>
      <c r="BB186" s="132"/>
      <c r="BC186" s="215">
        <f>D186/AS186</f>
        <v>0.3728813559322034</v>
      </c>
      <c r="BD186" s="1492">
        <f>(O186+AA186+AD186)/AS186</f>
        <v>6.7796610169491525E-2</v>
      </c>
      <c r="BE186" s="1343">
        <f>AL186/AS186</f>
        <v>0</v>
      </c>
    </row>
    <row r="187" spans="1:57" ht="12" hidden="1" customHeight="1" outlineLevel="1">
      <c r="A187" s="132" t="str">
        <f>$A$33</f>
        <v>4Q</v>
      </c>
      <c r="B187" s="132" t="str">
        <f>$B$33</f>
        <v>Jan</v>
      </c>
      <c r="C187" s="132"/>
      <c r="D187" s="1351">
        <f t="shared" si="0"/>
        <v>46</v>
      </c>
      <c r="E187" s="1329">
        <f t="shared" si="0"/>
        <v>2</v>
      </c>
      <c r="F187" s="1330"/>
      <c r="G187" s="1350"/>
      <c r="H187" s="665"/>
      <c r="I187" s="1330"/>
      <c r="J187" s="132"/>
      <c r="K187" s="1351">
        <f t="shared" si="1"/>
        <v>65</v>
      </c>
      <c r="L187" s="1415">
        <f t="shared" si="1"/>
        <v>-1</v>
      </c>
      <c r="M187" s="1351"/>
      <c r="N187" s="1328"/>
      <c r="O187" s="1351"/>
      <c r="P187" s="1334"/>
      <c r="Q187" s="1330"/>
      <c r="R187" s="1330"/>
      <c r="S187" s="1330"/>
      <c r="T187" s="664"/>
      <c r="U187" s="1351"/>
      <c r="V187" s="1415"/>
      <c r="W187" s="1330"/>
      <c r="X187" s="1330"/>
      <c r="Y187" s="1330"/>
      <c r="Z187" s="664"/>
      <c r="AA187" s="1351">
        <f t="shared" si="2"/>
        <v>8</v>
      </c>
      <c r="AB187" s="1416">
        <f t="shared" si="2"/>
        <v>0</v>
      </c>
      <c r="AC187" s="1330"/>
      <c r="AD187" s="1351"/>
      <c r="AE187" s="1352"/>
      <c r="AF187" s="1330"/>
      <c r="AG187" s="1351"/>
      <c r="AH187" s="1416"/>
      <c r="AI187" s="1330"/>
      <c r="AJ187" s="1351"/>
      <c r="AK187" s="1352"/>
      <c r="AL187" s="1351"/>
      <c r="AM187" s="1352"/>
      <c r="AN187" s="1330"/>
      <c r="AO187" s="1353"/>
      <c r="AP187" s="665"/>
      <c r="AQ187" s="1330"/>
      <c r="AR187" s="664"/>
      <c r="AS187" s="1355">
        <f>AA187+K187+D187</f>
        <v>119</v>
      </c>
      <c r="AT187" s="1413">
        <f>+AS187-AS186</f>
        <v>1</v>
      </c>
      <c r="AU187" s="1414"/>
      <c r="AV187" s="665"/>
      <c r="AW187" s="665"/>
      <c r="AX187" s="1347">
        <f>AS187-D187-AL187</f>
        <v>73</v>
      </c>
      <c r="AY187" s="1348">
        <f>AX187-AX186</f>
        <v>-1</v>
      </c>
      <c r="AZ187" s="132"/>
      <c r="BA187" s="132"/>
      <c r="BB187" s="132"/>
      <c r="BC187" s="215">
        <f>D187/AS187</f>
        <v>0.38655462184873951</v>
      </c>
      <c r="BD187" s="1492">
        <f>(O187+AA187+AD187)/AS187</f>
        <v>6.7226890756302518E-2</v>
      </c>
      <c r="BE187" s="1356">
        <f>AL187/AS187</f>
        <v>0</v>
      </c>
    </row>
    <row r="188" spans="1:57" ht="12" hidden="1" customHeight="1" outlineLevel="1">
      <c r="A188" s="132"/>
      <c r="B188" s="132" t="str">
        <f>$B$34</f>
        <v>Year</v>
      </c>
      <c r="C188" s="132"/>
      <c r="D188" s="1340">
        <f>D187</f>
        <v>46</v>
      </c>
      <c r="E188" s="1357">
        <f>E104+L104</f>
        <v>5</v>
      </c>
      <c r="F188" s="1330"/>
      <c r="G188" s="1331"/>
      <c r="H188" s="665"/>
      <c r="I188" s="1330"/>
      <c r="J188" s="132"/>
      <c r="K188" s="1340">
        <f>K187</f>
        <v>65</v>
      </c>
      <c r="L188" s="683">
        <f>AB104+AE104</f>
        <v>4</v>
      </c>
      <c r="M188" s="1340"/>
      <c r="N188" s="1400"/>
      <c r="O188" s="1328"/>
      <c r="P188" s="1400"/>
      <c r="Q188" s="1330"/>
      <c r="R188" s="1330"/>
      <c r="S188" s="1330"/>
      <c r="T188" s="664"/>
      <c r="U188" s="1340"/>
      <c r="V188" s="683"/>
      <c r="W188" s="1330"/>
      <c r="X188" s="1330"/>
      <c r="Y188" s="1330"/>
      <c r="Z188" s="664"/>
      <c r="AA188" s="1340">
        <f>AA187</f>
        <v>8</v>
      </c>
      <c r="AB188" s="1372">
        <v>3</v>
      </c>
      <c r="AC188" s="1330"/>
      <c r="AD188" s="1340"/>
      <c r="AE188" s="1401"/>
      <c r="AF188" s="1330"/>
      <c r="AG188" s="1340"/>
      <c r="AH188" s="1372"/>
      <c r="AI188" s="1330"/>
      <c r="AJ188" s="1340"/>
      <c r="AK188" s="1401"/>
      <c r="AL188" s="1340"/>
      <c r="AM188" s="1401"/>
      <c r="AN188" s="1330"/>
      <c r="AO188" s="1338"/>
      <c r="AP188" s="665"/>
      <c r="AQ188" s="1330"/>
      <c r="AR188" s="664"/>
      <c r="AS188" s="1340">
        <f>AA188+K188+D188</f>
        <v>119</v>
      </c>
      <c r="AT188" s="1417"/>
      <c r="AU188" s="1414"/>
      <c r="AV188" s="665"/>
      <c r="AW188" s="665"/>
      <c r="AX188" s="1347">
        <f>AS188-D188-AL188</f>
        <v>73</v>
      </c>
      <c r="AY188" s="1348">
        <f>AX188-AX134</f>
        <v>73</v>
      </c>
      <c r="AZ188" s="132"/>
      <c r="BA188" s="132"/>
      <c r="BB188" s="132"/>
      <c r="BC188" s="1363">
        <f>D188/AS188</f>
        <v>0.38655462184873951</v>
      </c>
      <c r="BD188" s="1810">
        <f>(O188+AA188+AD188)/AS188</f>
        <v>6.7226890756302518E-2</v>
      </c>
      <c r="BE188" s="1363">
        <f>AL188/AS188</f>
        <v>0</v>
      </c>
    </row>
    <row r="189" spans="1:57" ht="12" hidden="1" customHeight="1" outlineLevel="1">
      <c r="A189" s="131"/>
      <c r="B189" s="131"/>
      <c r="C189" s="131"/>
      <c r="D189" s="388"/>
      <c r="E189" s="1325"/>
      <c r="F189" s="1339"/>
      <c r="G189" s="247"/>
      <c r="H189" s="388"/>
      <c r="I189" s="1330"/>
      <c r="J189" s="131"/>
      <c r="K189" s="388"/>
      <c r="L189" s="1411"/>
      <c r="M189" s="388"/>
      <c r="N189" s="1411"/>
      <c r="O189" s="388"/>
      <c r="P189" s="200"/>
      <c r="Q189" s="230"/>
      <c r="R189" s="230"/>
      <c r="S189" s="230"/>
      <c r="T189" s="643"/>
      <c r="U189" s="388"/>
      <c r="V189" s="1411"/>
      <c r="W189" s="230"/>
      <c r="X189" s="230"/>
      <c r="Y189" s="230"/>
      <c r="Z189" s="643"/>
      <c r="AA189" s="388"/>
      <c r="AB189" s="174"/>
      <c r="AC189" s="230"/>
      <c r="AD189" s="388"/>
      <c r="AE189" s="174"/>
      <c r="AF189" s="230"/>
      <c r="AG189" s="388"/>
      <c r="AH189" s="174"/>
      <c r="AI189" s="230"/>
      <c r="AJ189" s="388"/>
      <c r="AK189" s="174"/>
      <c r="AL189" s="388"/>
      <c r="AM189" s="174"/>
      <c r="AN189" s="174"/>
      <c r="AO189" s="131"/>
      <c r="AP189" s="388"/>
      <c r="AQ189" s="1339"/>
      <c r="AR189" s="643"/>
      <c r="AS189" s="133"/>
      <c r="AT189" s="132"/>
      <c r="AU189" s="132"/>
      <c r="AV189" s="132"/>
      <c r="AW189" s="132"/>
      <c r="AX189" s="132"/>
      <c r="AY189" s="177"/>
      <c r="AZ189" s="131"/>
      <c r="BA189" s="131"/>
      <c r="BB189" s="131"/>
      <c r="BC189" s="131"/>
      <c r="BD189" s="247"/>
      <c r="BE189" s="131"/>
    </row>
    <row r="190" spans="1:57" ht="12" hidden="1" customHeight="1" outlineLevel="1">
      <c r="A190" s="2506">
        <v>2001</v>
      </c>
      <c r="B190" s="2506"/>
      <c r="C190" s="132"/>
      <c r="D190" s="1033"/>
      <c r="E190" s="1325"/>
      <c r="F190" s="1339"/>
      <c r="G190" s="1396"/>
      <c r="H190" s="1409"/>
      <c r="I190" s="1330"/>
      <c r="J190" s="132"/>
      <c r="K190" s="1386"/>
      <c r="L190" s="1387"/>
      <c r="M190" s="1386"/>
      <c r="N190" s="1387"/>
      <c r="O190" s="1386"/>
      <c r="P190" s="200"/>
      <c r="Q190" s="230"/>
      <c r="R190" s="230"/>
      <c r="S190" s="230"/>
      <c r="T190" s="643"/>
      <c r="U190" s="1386"/>
      <c r="V190" s="1387"/>
      <c r="W190" s="230"/>
      <c r="X190" s="230"/>
      <c r="Y190" s="230"/>
      <c r="Z190" s="643"/>
      <c r="AA190" s="1386"/>
      <c r="AB190" s="174"/>
      <c r="AC190" s="230"/>
      <c r="AD190" s="1386"/>
      <c r="AE190" s="174"/>
      <c r="AF190" s="230"/>
      <c r="AG190" s="1386"/>
      <c r="AH190" s="174"/>
      <c r="AI190" s="230"/>
      <c r="AJ190" s="1386"/>
      <c r="AK190" s="174"/>
      <c r="AL190" s="1386"/>
      <c r="AM190" s="174"/>
      <c r="AN190" s="174"/>
      <c r="AO190" s="1386"/>
      <c r="AP190" s="230"/>
      <c r="AQ190" s="1339"/>
      <c r="AR190" s="643"/>
      <c r="AS190" s="929"/>
      <c r="AT190" s="132"/>
      <c r="AU190" s="132"/>
      <c r="AV190" s="132"/>
      <c r="AW190" s="132"/>
      <c r="AX190" s="1347"/>
      <c r="AY190" s="1348"/>
      <c r="AZ190" s="132"/>
      <c r="BA190" s="132"/>
      <c r="BB190" s="132"/>
      <c r="BC190" s="132"/>
      <c r="BD190" s="256"/>
      <c r="BE190" s="132"/>
    </row>
    <row r="191" spans="1:57" ht="12" hidden="1" customHeight="1" outlineLevel="1">
      <c r="A191" s="132" t="str">
        <f>$A$30</f>
        <v>1Q</v>
      </c>
      <c r="B191" s="132" t="str">
        <f>$B$30</f>
        <v>Apr</v>
      </c>
      <c r="C191" s="132"/>
      <c r="D191" s="1418">
        <f t="shared" ref="D191:E194" si="3">D107+K107</f>
        <v>47</v>
      </c>
      <c r="E191" s="1419">
        <f t="shared" si="3"/>
        <v>1</v>
      </c>
      <c r="F191" s="1420">
        <f>+(D191/D184-1)*100</f>
        <v>14.634146341463406</v>
      </c>
      <c r="G191" s="1421"/>
      <c r="H191" s="1422"/>
      <c r="I191" s="1420"/>
      <c r="J191" s="330"/>
      <c r="K191" s="1418">
        <f t="shared" ref="K191:L194" si="4">AA107+AD107</f>
        <v>68</v>
      </c>
      <c r="L191" s="1423">
        <f t="shared" si="4"/>
        <v>3</v>
      </c>
      <c r="M191" s="1418"/>
      <c r="N191" s="1424"/>
      <c r="O191" s="1425"/>
      <c r="P191" s="1426"/>
      <c r="Q191" s="1420">
        <f>+(K191/K184-1)*100</f>
        <v>7.9365079365079305</v>
      </c>
      <c r="R191" s="1420"/>
      <c r="S191" s="1420"/>
      <c r="T191" s="1427"/>
      <c r="U191" s="1418"/>
      <c r="V191" s="1423"/>
      <c r="W191" s="1420"/>
      <c r="X191" s="1420"/>
      <c r="Y191" s="1420"/>
      <c r="Z191" s="1427"/>
      <c r="AA191" s="1418">
        <f t="shared" ref="AA191:AB194" si="5">M107</f>
        <v>8</v>
      </c>
      <c r="AB191" s="1428">
        <f t="shared" si="5"/>
        <v>0</v>
      </c>
      <c r="AC191" s="1420">
        <f>+(AA191/AA184-1)*100</f>
        <v>0</v>
      </c>
      <c r="AD191" s="1418"/>
      <c r="AE191" s="1429"/>
      <c r="AF191" s="1420"/>
      <c r="AG191" s="1418"/>
      <c r="AH191" s="1428"/>
      <c r="AI191" s="1420"/>
      <c r="AJ191" s="1418"/>
      <c r="AK191" s="1429"/>
      <c r="AL191" s="1418"/>
      <c r="AM191" s="1429"/>
      <c r="AN191" s="1420"/>
      <c r="AO191" s="1430"/>
      <c r="AP191" s="1422"/>
      <c r="AQ191" s="1420"/>
      <c r="AR191" s="1427"/>
      <c r="AS191" s="1425">
        <f>AA191+K191+D191+U191</f>
        <v>123</v>
      </c>
      <c r="AT191" s="1431">
        <f>AS191-AS188</f>
        <v>4</v>
      </c>
      <c r="AU191" s="1432">
        <f>+(AS191/AS184-1)*100</f>
        <v>9.8214285714285801</v>
      </c>
      <c r="AV191" s="1422"/>
      <c r="AW191" s="1422"/>
      <c r="AX191" s="1433">
        <f>AS191-D191-AL191</f>
        <v>76</v>
      </c>
      <c r="AY191" s="1434">
        <f>AX191-AX188</f>
        <v>3</v>
      </c>
      <c r="AZ191" s="330"/>
      <c r="BA191" s="330"/>
      <c r="BB191" s="330"/>
      <c r="BC191" s="371">
        <f>D191/AS191</f>
        <v>0.38211382113821141</v>
      </c>
      <c r="BD191" s="1811">
        <f>(K191+AA191)/AS191</f>
        <v>0.61788617886178865</v>
      </c>
      <c r="BE191" s="1435">
        <f>AL191/AS191</f>
        <v>0</v>
      </c>
    </row>
    <row r="192" spans="1:57" ht="12" hidden="1" customHeight="1" outlineLevel="1">
      <c r="A192" s="132" t="str">
        <f>$A$31</f>
        <v>2Q</v>
      </c>
      <c r="B192" s="132" t="str">
        <f>$B$31</f>
        <v>Jul</v>
      </c>
      <c r="C192" s="132"/>
      <c r="D192" s="1418">
        <f t="shared" si="3"/>
        <v>48</v>
      </c>
      <c r="E192" s="1419">
        <f t="shared" si="3"/>
        <v>1</v>
      </c>
      <c r="F192" s="1420">
        <f>+(D192/D185-1)*100</f>
        <v>14.285714285714279</v>
      </c>
      <c r="G192" s="1421"/>
      <c r="H192" s="1422"/>
      <c r="I192" s="1420"/>
      <c r="J192" s="1436"/>
      <c r="K192" s="1418">
        <f t="shared" si="4"/>
        <v>67</v>
      </c>
      <c r="L192" s="1437">
        <f t="shared" si="4"/>
        <v>-1</v>
      </c>
      <c r="M192" s="1418"/>
      <c r="N192" s="1424"/>
      <c r="O192" s="1418"/>
      <c r="P192" s="1426"/>
      <c r="Q192" s="1420">
        <f>+(K192/K185-1)*100</f>
        <v>6.3492063492063489</v>
      </c>
      <c r="R192" s="1420"/>
      <c r="S192" s="1420"/>
      <c r="T192" s="1427"/>
      <c r="U192" s="1418"/>
      <c r="V192" s="1437"/>
      <c r="W192" s="1420"/>
      <c r="X192" s="1420"/>
      <c r="Y192" s="1420"/>
      <c r="Z192" s="1427"/>
      <c r="AA192" s="1418">
        <f t="shared" si="5"/>
        <v>8</v>
      </c>
      <c r="AB192" s="1428">
        <f t="shared" si="5"/>
        <v>0</v>
      </c>
      <c r="AC192" s="1420">
        <f>+(AA192/AA185-1)*100</f>
        <v>0</v>
      </c>
      <c r="AD192" s="1418"/>
      <c r="AE192" s="1429"/>
      <c r="AF192" s="1420"/>
      <c r="AG192" s="1418"/>
      <c r="AH192" s="1428"/>
      <c r="AI192" s="1420"/>
      <c r="AJ192" s="1418"/>
      <c r="AK192" s="1429"/>
      <c r="AL192" s="1418"/>
      <c r="AM192" s="1429"/>
      <c r="AN192" s="1420"/>
      <c r="AO192" s="1430"/>
      <c r="AP192" s="1422"/>
      <c r="AQ192" s="1420"/>
      <c r="AR192" s="1427"/>
      <c r="AS192" s="1425">
        <f>AA192+K192+D192+U192</f>
        <v>123</v>
      </c>
      <c r="AT192" s="1431">
        <f>AS192-AS191</f>
        <v>0</v>
      </c>
      <c r="AU192" s="1432">
        <f>+(AS192/AS185-1)*100</f>
        <v>8.8495575221238845</v>
      </c>
      <c r="AV192" s="1422"/>
      <c r="AW192" s="1422"/>
      <c r="AX192" s="1433">
        <f>AS192-D192-AL192</f>
        <v>75</v>
      </c>
      <c r="AY192" s="1434">
        <f>AX192-AX191</f>
        <v>-1</v>
      </c>
      <c r="AZ192" s="330"/>
      <c r="BA192" s="330"/>
      <c r="BB192" s="330"/>
      <c r="BC192" s="371">
        <f>D192/AS192</f>
        <v>0.3902439024390244</v>
      </c>
      <c r="BD192" s="1811">
        <f>(K192+AA192)/AS192</f>
        <v>0.6097560975609756</v>
      </c>
      <c r="BE192" s="1435">
        <f>AL192/AS192</f>
        <v>0</v>
      </c>
    </row>
    <row r="193" spans="1:57" ht="12" hidden="1" customHeight="1" outlineLevel="1">
      <c r="A193" s="132" t="str">
        <f>$A$32</f>
        <v>3Q</v>
      </c>
      <c r="B193" s="132" t="str">
        <f>$B$32</f>
        <v>Oct</v>
      </c>
      <c r="C193" s="132"/>
      <c r="D193" s="1418">
        <f t="shared" si="3"/>
        <v>49</v>
      </c>
      <c r="E193" s="1419">
        <f t="shared" si="3"/>
        <v>1</v>
      </c>
      <c r="F193" s="1420">
        <f>+(D193/D186-1)*100</f>
        <v>11.363636363636353</v>
      </c>
      <c r="G193" s="1421"/>
      <c r="H193" s="1422"/>
      <c r="I193" s="1420"/>
      <c r="J193" s="330"/>
      <c r="K193" s="1418">
        <f t="shared" si="4"/>
        <v>67</v>
      </c>
      <c r="L193" s="1437">
        <f t="shared" si="4"/>
        <v>0</v>
      </c>
      <c r="M193" s="1418"/>
      <c r="N193" s="1424"/>
      <c r="O193" s="1418"/>
      <c r="P193" s="1426"/>
      <c r="Q193" s="1420">
        <f>+(K193/K186-1)*100</f>
        <v>1.5151515151515138</v>
      </c>
      <c r="R193" s="1420"/>
      <c r="S193" s="1420"/>
      <c r="T193" s="1427"/>
      <c r="U193" s="1418"/>
      <c r="V193" s="1437"/>
      <c r="W193" s="1420"/>
      <c r="X193" s="1420"/>
      <c r="Y193" s="1420"/>
      <c r="Z193" s="1427"/>
      <c r="AA193" s="1418">
        <f t="shared" si="5"/>
        <v>8</v>
      </c>
      <c r="AB193" s="1428">
        <f t="shared" si="5"/>
        <v>0</v>
      </c>
      <c r="AC193" s="1420">
        <f>+(AA193/AA186-1)*100</f>
        <v>0</v>
      </c>
      <c r="AD193" s="1418"/>
      <c r="AE193" s="1429"/>
      <c r="AF193" s="1420"/>
      <c r="AG193" s="1418"/>
      <c r="AH193" s="1428"/>
      <c r="AI193" s="1420"/>
      <c r="AJ193" s="1418"/>
      <c r="AK193" s="1429"/>
      <c r="AL193" s="1418"/>
      <c r="AM193" s="1429"/>
      <c r="AN193" s="1420"/>
      <c r="AO193" s="1430"/>
      <c r="AP193" s="1422"/>
      <c r="AQ193" s="1420"/>
      <c r="AR193" s="1427"/>
      <c r="AS193" s="1425">
        <f>AA193+K193+D193+U193</f>
        <v>124</v>
      </c>
      <c r="AT193" s="1431">
        <f>AS193-AS192</f>
        <v>1</v>
      </c>
      <c r="AU193" s="1432">
        <f>+(AS193/AS186-1)*100</f>
        <v>5.0847457627118731</v>
      </c>
      <c r="AV193" s="1422"/>
      <c r="AW193" s="1422"/>
      <c r="AX193" s="1433">
        <f>AS193-D193-AL193</f>
        <v>75</v>
      </c>
      <c r="AY193" s="1434">
        <f>AX193-AX192</f>
        <v>0</v>
      </c>
      <c r="AZ193" s="330"/>
      <c r="BA193" s="330"/>
      <c r="BB193" s="330"/>
      <c r="BC193" s="371">
        <f>D193/AS193</f>
        <v>0.39516129032258063</v>
      </c>
      <c r="BD193" s="1811">
        <f>(K193+AA193)/AS193</f>
        <v>0.60483870967741937</v>
      </c>
      <c r="BE193" s="1435">
        <f>AL193/AS193</f>
        <v>0</v>
      </c>
    </row>
    <row r="194" spans="1:57" ht="12" hidden="1" customHeight="1" outlineLevel="1">
      <c r="A194" s="132" t="str">
        <f>$A$33</f>
        <v>4Q</v>
      </c>
      <c r="B194" s="132" t="str">
        <f>$B$33</f>
        <v>Jan</v>
      </c>
      <c r="C194" s="132"/>
      <c r="D194" s="1438">
        <f t="shared" si="3"/>
        <v>49</v>
      </c>
      <c r="E194" s="1419">
        <f t="shared" si="3"/>
        <v>0</v>
      </c>
      <c r="F194" s="1420">
        <f>+(D194/D187-1)*100</f>
        <v>6.5217391304347894</v>
      </c>
      <c r="G194" s="1439"/>
      <c r="H194" s="1422"/>
      <c r="I194" s="1420"/>
      <c r="J194" s="330"/>
      <c r="K194" s="1438">
        <f t="shared" si="4"/>
        <v>67</v>
      </c>
      <c r="L194" s="1437">
        <f t="shared" si="4"/>
        <v>0</v>
      </c>
      <c r="M194" s="1438"/>
      <c r="N194" s="1418"/>
      <c r="O194" s="1438"/>
      <c r="P194" s="1440"/>
      <c r="Q194" s="1420">
        <f>+(K194/K187-1)*100</f>
        <v>3.076923076923066</v>
      </c>
      <c r="R194" s="1420"/>
      <c r="S194" s="1420"/>
      <c r="T194" s="1427"/>
      <c r="U194" s="1464">
        <v>47</v>
      </c>
      <c r="V194" s="1437"/>
      <c r="W194" s="1420"/>
      <c r="X194" s="1420"/>
      <c r="Y194" s="1420"/>
      <c r="Z194" s="1427"/>
      <c r="AA194" s="1438">
        <f t="shared" si="5"/>
        <v>10</v>
      </c>
      <c r="AB194" s="1441">
        <f t="shared" si="5"/>
        <v>2</v>
      </c>
      <c r="AC194" s="1420">
        <f>+(AA194/AA187-1)*100</f>
        <v>25</v>
      </c>
      <c r="AD194" s="1438"/>
      <c r="AE194" s="1442"/>
      <c r="AF194" s="1420"/>
      <c r="AG194" s="1438"/>
      <c r="AH194" s="1441"/>
      <c r="AI194" s="1420"/>
      <c r="AJ194" s="1438"/>
      <c r="AK194" s="1442"/>
      <c r="AL194" s="1438"/>
      <c r="AM194" s="1442"/>
      <c r="AN194" s="1420"/>
      <c r="AO194" s="1443"/>
      <c r="AP194" s="1422"/>
      <c r="AQ194" s="1420"/>
      <c r="AR194" s="1427"/>
      <c r="AS194" s="1425">
        <f>AA194+K194+D194+U194</f>
        <v>173</v>
      </c>
      <c r="AT194" s="1431">
        <f>AS194-AS193</f>
        <v>49</v>
      </c>
      <c r="AU194" s="1432">
        <f>+(AS194/AS187-1)*100</f>
        <v>45.378151260504197</v>
      </c>
      <c r="AV194" s="1422"/>
      <c r="AW194" s="1422"/>
      <c r="AX194" s="1433">
        <f>AS194-D194-AL194</f>
        <v>124</v>
      </c>
      <c r="AY194" s="1434">
        <f>AX194-AX193</f>
        <v>49</v>
      </c>
      <c r="AZ194" s="330"/>
      <c r="BA194" s="330"/>
      <c r="BB194" s="330"/>
      <c r="BC194" s="371">
        <f>D194/AS194</f>
        <v>0.2832369942196532</v>
      </c>
      <c r="BD194" s="1812">
        <f>(K194+AA194)/AS194</f>
        <v>0.44508670520231214</v>
      </c>
      <c r="BE194" s="1445">
        <f>AL194/AS194</f>
        <v>0</v>
      </c>
    </row>
    <row r="195" spans="1:57" ht="12" hidden="1" customHeight="1" outlineLevel="1">
      <c r="A195" s="132"/>
      <c r="B195" s="132" t="str">
        <f>$B$34</f>
        <v>Year</v>
      </c>
      <c r="C195" s="132"/>
      <c r="D195" s="1425">
        <f>D194</f>
        <v>49</v>
      </c>
      <c r="E195" s="1446">
        <f>E111+L111</f>
        <v>3</v>
      </c>
      <c r="F195" s="1420">
        <f>+(D195/D188-1)*100</f>
        <v>6.5217391304347894</v>
      </c>
      <c r="G195" s="1421"/>
      <c r="H195" s="1422"/>
      <c r="I195" s="1420"/>
      <c r="J195" s="330"/>
      <c r="K195" s="1425">
        <f>K194</f>
        <v>67</v>
      </c>
      <c r="L195" s="1447">
        <f>AB111+AE111</f>
        <v>2</v>
      </c>
      <c r="M195" s="1425"/>
      <c r="N195" s="1448"/>
      <c r="O195" s="1418"/>
      <c r="P195" s="1448"/>
      <c r="Q195" s="1420">
        <f>+(K195/K188-1)*100</f>
        <v>3.076923076923066</v>
      </c>
      <c r="R195" s="1420"/>
      <c r="S195" s="1420"/>
      <c r="T195" s="1427"/>
      <c r="U195" s="1425"/>
      <c r="V195" s="1447"/>
      <c r="W195" s="1420"/>
      <c r="X195" s="1420"/>
      <c r="Y195" s="1420"/>
      <c r="Z195" s="1427"/>
      <c r="AA195" s="1425">
        <f>AA194</f>
        <v>10</v>
      </c>
      <c r="AB195" s="1449">
        <v>3</v>
      </c>
      <c r="AC195" s="1420">
        <f>+(AA195/AA188-1)*100</f>
        <v>25</v>
      </c>
      <c r="AD195" s="1425"/>
      <c r="AE195" s="1450"/>
      <c r="AF195" s="1420"/>
      <c r="AG195" s="1425"/>
      <c r="AH195" s="1449"/>
      <c r="AI195" s="1420"/>
      <c r="AJ195" s="1425"/>
      <c r="AK195" s="1450"/>
      <c r="AL195" s="1425"/>
      <c r="AM195" s="1450"/>
      <c r="AN195" s="1420"/>
      <c r="AO195" s="1430"/>
      <c r="AP195" s="1422"/>
      <c r="AQ195" s="1420"/>
      <c r="AR195" s="1427"/>
      <c r="AS195" s="1425">
        <f>AA195+K195+D195+U195</f>
        <v>126</v>
      </c>
      <c r="AT195" s="1451">
        <f>AS195-AS188</f>
        <v>7</v>
      </c>
      <c r="AU195" s="1432">
        <f>+(AS195/AS188-1)*100</f>
        <v>5.8823529411764719</v>
      </c>
      <c r="AV195" s="1422"/>
      <c r="AW195" s="1422"/>
      <c r="AX195" s="1433">
        <f>AS195-D195-AL195</f>
        <v>77</v>
      </c>
      <c r="AY195" s="1434">
        <f>AX195-AX188</f>
        <v>4</v>
      </c>
      <c r="AZ195" s="330"/>
      <c r="BA195" s="330"/>
      <c r="BB195" s="330"/>
      <c r="BC195" s="1452">
        <f>D195/AS195</f>
        <v>0.3888888888888889</v>
      </c>
      <c r="BD195" s="1811">
        <f>(K195+AA195)/AS195</f>
        <v>0.61111111111111116</v>
      </c>
      <c r="BE195" s="1452">
        <f>AL195/AS195</f>
        <v>0</v>
      </c>
    </row>
    <row r="196" spans="1:57" ht="12" hidden="1" customHeight="1" outlineLevel="1">
      <c r="A196" s="131"/>
      <c r="B196" s="131"/>
      <c r="C196" s="131"/>
      <c r="D196" s="367"/>
      <c r="E196" s="1453"/>
      <c r="F196" s="1454"/>
      <c r="G196" s="405"/>
      <c r="H196" s="367"/>
      <c r="I196" s="1420"/>
      <c r="J196" s="330"/>
      <c r="K196" s="367"/>
      <c r="L196" s="579"/>
      <c r="M196" s="367"/>
      <c r="N196" s="579"/>
      <c r="O196" s="367"/>
      <c r="P196" s="1455"/>
      <c r="Q196" s="367"/>
      <c r="R196" s="367"/>
      <c r="S196" s="367"/>
      <c r="T196" s="580"/>
      <c r="U196" s="367"/>
      <c r="V196" s="579"/>
      <c r="W196" s="367"/>
      <c r="X196" s="367"/>
      <c r="Y196" s="367"/>
      <c r="Z196" s="580"/>
      <c r="AA196" s="367"/>
      <c r="AB196" s="579"/>
      <c r="AC196" s="367"/>
      <c r="AD196" s="367"/>
      <c r="AE196" s="579"/>
      <c r="AF196" s="367"/>
      <c r="AG196" s="367"/>
      <c r="AH196" s="579"/>
      <c r="AI196" s="367"/>
      <c r="AJ196" s="367"/>
      <c r="AK196" s="579"/>
      <c r="AL196" s="367"/>
      <c r="AM196" s="579"/>
      <c r="AN196" s="579"/>
      <c r="AO196" s="330"/>
      <c r="AP196" s="367"/>
      <c r="AQ196" s="1454"/>
      <c r="AR196" s="580"/>
      <c r="AS196" s="339"/>
      <c r="AT196" s="330"/>
      <c r="AU196" s="330"/>
      <c r="AV196" s="330"/>
      <c r="AW196" s="330"/>
      <c r="AX196" s="330"/>
      <c r="AY196" s="1456"/>
      <c r="AZ196" s="330"/>
      <c r="BA196" s="330"/>
      <c r="BB196" s="330"/>
      <c r="BC196" s="330"/>
      <c r="BD196" s="405"/>
      <c r="BE196" s="330"/>
    </row>
    <row r="197" spans="1:57" ht="12" hidden="1" customHeight="1" outlineLevel="1">
      <c r="A197" s="2506">
        <v>2002</v>
      </c>
      <c r="B197" s="2506"/>
      <c r="C197" s="132"/>
      <c r="D197" s="1457"/>
      <c r="E197" s="1453"/>
      <c r="F197" s="1454"/>
      <c r="G197" s="1458"/>
      <c r="H197" s="1459"/>
      <c r="I197" s="1420"/>
      <c r="J197" s="330"/>
      <c r="K197" s="1460"/>
      <c r="L197" s="1461"/>
      <c r="M197" s="1460"/>
      <c r="N197" s="1461"/>
      <c r="O197" s="1460"/>
      <c r="P197" s="1455"/>
      <c r="Q197" s="367"/>
      <c r="R197" s="367"/>
      <c r="S197" s="367"/>
      <c r="T197" s="580"/>
      <c r="U197" s="1460"/>
      <c r="V197" s="1461"/>
      <c r="W197" s="367"/>
      <c r="X197" s="367"/>
      <c r="Y197" s="367"/>
      <c r="Z197" s="580"/>
      <c r="AA197" s="1460"/>
      <c r="AB197" s="579"/>
      <c r="AC197" s="367"/>
      <c r="AD197" s="1460"/>
      <c r="AE197" s="579"/>
      <c r="AF197" s="367"/>
      <c r="AG197" s="1460"/>
      <c r="AH197" s="579"/>
      <c r="AI197" s="367"/>
      <c r="AJ197" s="1460"/>
      <c r="AK197" s="579"/>
      <c r="AL197" s="1460"/>
      <c r="AM197" s="579"/>
      <c r="AN197" s="579"/>
      <c r="AO197" s="1460"/>
      <c r="AP197" s="367"/>
      <c r="AQ197" s="1454"/>
      <c r="AR197" s="580"/>
      <c r="AS197" s="1462"/>
      <c r="AT197" s="330"/>
      <c r="AU197" s="330"/>
      <c r="AV197" s="330"/>
      <c r="AW197" s="330"/>
      <c r="AX197" s="1433"/>
      <c r="AY197" s="1434"/>
      <c r="AZ197" s="330"/>
      <c r="BA197" s="330"/>
      <c r="BB197" s="330"/>
      <c r="BC197" s="330"/>
      <c r="BD197" s="405"/>
      <c r="BE197" s="330"/>
    </row>
    <row r="198" spans="1:57" ht="12" hidden="1" customHeight="1" outlineLevel="1">
      <c r="A198" s="132" t="str">
        <f>$A$30</f>
        <v>1Q</v>
      </c>
      <c r="B198" s="132" t="str">
        <f>$B$30</f>
        <v>Apr</v>
      </c>
      <c r="C198" s="132"/>
      <c r="D198" s="1418">
        <f t="shared" ref="D198:E201" si="6">D114+K114</f>
        <v>49</v>
      </c>
      <c r="E198" s="1419">
        <f t="shared" si="6"/>
        <v>0</v>
      </c>
      <c r="F198" s="1420">
        <f>+(D198/D191-1)*100</f>
        <v>4.2553191489361764</v>
      </c>
      <c r="G198" s="1421"/>
      <c r="H198" s="1422"/>
      <c r="I198" s="1420"/>
      <c r="J198" s="330"/>
      <c r="K198" s="1418">
        <f t="shared" ref="K198:L201" si="7">AA114+AD114</f>
        <v>69</v>
      </c>
      <c r="L198" s="1423">
        <f t="shared" si="7"/>
        <v>2</v>
      </c>
      <c r="M198" s="1418"/>
      <c r="N198" s="1424"/>
      <c r="O198" s="1425"/>
      <c r="P198" s="1426"/>
      <c r="Q198" s="1420">
        <f>+(K198/K191-1)*100</f>
        <v>1.4705882352941124</v>
      </c>
      <c r="R198" s="1420"/>
      <c r="S198" s="1420"/>
      <c r="T198" s="1427"/>
      <c r="U198" s="1418"/>
      <c r="V198" s="1423"/>
      <c r="W198" s="1420"/>
      <c r="X198" s="1420"/>
      <c r="Y198" s="1420"/>
      <c r="Z198" s="1427"/>
      <c r="AA198" s="1418">
        <f t="shared" ref="AA198:AB201" si="8">M114</f>
        <v>10</v>
      </c>
      <c r="AB198" s="1428">
        <f t="shared" si="8"/>
        <v>0</v>
      </c>
      <c r="AC198" s="1420">
        <f>+(AA198/AA191-1)*100</f>
        <v>25</v>
      </c>
      <c r="AD198" s="1418"/>
      <c r="AE198" s="1429"/>
      <c r="AF198" s="1420"/>
      <c r="AG198" s="1418"/>
      <c r="AH198" s="1428"/>
      <c r="AI198" s="1420"/>
      <c r="AJ198" s="1418"/>
      <c r="AK198" s="1429"/>
      <c r="AL198" s="1418"/>
      <c r="AM198" s="1429"/>
      <c r="AN198" s="1420"/>
      <c r="AO198" s="1430"/>
      <c r="AP198" s="1422"/>
      <c r="AQ198" s="1420"/>
      <c r="AR198" s="1427"/>
      <c r="AS198" s="1425">
        <f>AA198+K198+D198</f>
        <v>128</v>
      </c>
      <c r="AT198" s="1431">
        <f>AS198-AS195</f>
        <v>2</v>
      </c>
      <c r="AU198" s="1432">
        <f>+(AS198/AS191-1)*100</f>
        <v>4.0650406504065151</v>
      </c>
      <c r="AV198" s="1422"/>
      <c r="AW198" s="1422"/>
      <c r="AX198" s="1433">
        <f>AS198-D198-AL198</f>
        <v>79</v>
      </c>
      <c r="AY198" s="1434">
        <f>AX198-AX195</f>
        <v>2</v>
      </c>
      <c r="AZ198" s="330"/>
      <c r="BA198" s="330"/>
      <c r="BB198" s="330"/>
      <c r="BC198" s="371">
        <f>D198/AS198</f>
        <v>0.3828125</v>
      </c>
      <c r="BD198" s="1811">
        <f>(K198+AA198)/AS198</f>
        <v>0.6171875</v>
      </c>
      <c r="BE198" s="1435">
        <f>AL198/AS198</f>
        <v>0</v>
      </c>
    </row>
    <row r="199" spans="1:57" ht="12" hidden="1" customHeight="1" outlineLevel="1">
      <c r="A199" s="132" t="str">
        <f>$A$31</f>
        <v>2Q</v>
      </c>
      <c r="B199" s="132" t="str">
        <f>$B$31</f>
        <v>Jul</v>
      </c>
      <c r="C199" s="132"/>
      <c r="D199" s="1418">
        <f t="shared" si="6"/>
        <v>51</v>
      </c>
      <c r="E199" s="1419">
        <f t="shared" si="6"/>
        <v>2</v>
      </c>
      <c r="F199" s="1420">
        <f>+(D199/D192-1)*100</f>
        <v>6.25</v>
      </c>
      <c r="G199" s="1421"/>
      <c r="H199" s="1422"/>
      <c r="I199" s="1420"/>
      <c r="J199" s="1436"/>
      <c r="K199" s="1418">
        <f t="shared" si="7"/>
        <v>71</v>
      </c>
      <c r="L199" s="1437">
        <f t="shared" si="7"/>
        <v>2</v>
      </c>
      <c r="M199" s="1418"/>
      <c r="N199" s="1424"/>
      <c r="O199" s="1418"/>
      <c r="P199" s="1426"/>
      <c r="Q199" s="1420">
        <f>+(K199/K192-1)*100</f>
        <v>5.9701492537313383</v>
      </c>
      <c r="R199" s="1420"/>
      <c r="S199" s="1420"/>
      <c r="T199" s="1427"/>
      <c r="U199" s="1418"/>
      <c r="V199" s="1437"/>
      <c r="W199" s="1420"/>
      <c r="X199" s="1420"/>
      <c r="Y199" s="1420"/>
      <c r="Z199" s="1427"/>
      <c r="AA199" s="1418">
        <f t="shared" si="8"/>
        <v>10</v>
      </c>
      <c r="AB199" s="1428">
        <f t="shared" si="8"/>
        <v>0</v>
      </c>
      <c r="AC199" s="1420">
        <f>+(AA199/AA192-1)*100</f>
        <v>25</v>
      </c>
      <c r="AD199" s="1418"/>
      <c r="AE199" s="1429"/>
      <c r="AF199" s="1420"/>
      <c r="AG199" s="1418"/>
      <c r="AH199" s="1428"/>
      <c r="AI199" s="1420"/>
      <c r="AJ199" s="1418"/>
      <c r="AK199" s="1429"/>
      <c r="AL199" s="1418"/>
      <c r="AM199" s="1429"/>
      <c r="AN199" s="1420"/>
      <c r="AO199" s="1430"/>
      <c r="AP199" s="1422"/>
      <c r="AQ199" s="1420"/>
      <c r="AR199" s="1427"/>
      <c r="AS199" s="1425">
        <f>AA199+K199+D199</f>
        <v>132</v>
      </c>
      <c r="AT199" s="1431">
        <f>AS199-AS198</f>
        <v>4</v>
      </c>
      <c r="AU199" s="1432">
        <f>+(AS199/AS192-1)*100</f>
        <v>7.3170731707317138</v>
      </c>
      <c r="AV199" s="1422"/>
      <c r="AW199" s="1422"/>
      <c r="AX199" s="1433">
        <f>AS199-D199-AL199</f>
        <v>81</v>
      </c>
      <c r="AY199" s="1434">
        <f>AX199-AX198</f>
        <v>2</v>
      </c>
      <c r="AZ199" s="330"/>
      <c r="BA199" s="330"/>
      <c r="BB199" s="330"/>
      <c r="BC199" s="371">
        <f>D199/AS199</f>
        <v>0.38636363636363635</v>
      </c>
      <c r="BD199" s="1811">
        <f>(K199+AA199)/AS199</f>
        <v>0.61363636363636365</v>
      </c>
      <c r="BE199" s="1435">
        <f>AL199/AS199</f>
        <v>0</v>
      </c>
    </row>
    <row r="200" spans="1:57" ht="12" hidden="1" customHeight="1" outlineLevel="1">
      <c r="A200" s="132" t="str">
        <f>$A$32</f>
        <v>3Q</v>
      </c>
      <c r="B200" s="132" t="str">
        <f>$B$32</f>
        <v>Oct</v>
      </c>
      <c r="C200" s="132"/>
      <c r="D200" s="1418">
        <f t="shared" si="6"/>
        <v>53</v>
      </c>
      <c r="E200" s="1419">
        <f t="shared" si="6"/>
        <v>2</v>
      </c>
      <c r="F200" s="1420">
        <f>+(D200/D193-1)*100</f>
        <v>8.163265306122458</v>
      </c>
      <c r="G200" s="1421"/>
      <c r="H200" s="1422"/>
      <c r="I200" s="1420"/>
      <c r="J200" s="330"/>
      <c r="K200" s="1418">
        <f t="shared" si="7"/>
        <v>71</v>
      </c>
      <c r="L200" s="1437">
        <f t="shared" si="7"/>
        <v>0</v>
      </c>
      <c r="M200" s="1418"/>
      <c r="N200" s="1424"/>
      <c r="O200" s="1418"/>
      <c r="P200" s="1426"/>
      <c r="Q200" s="1420">
        <f>+(K200/K193-1)*100</f>
        <v>5.9701492537313383</v>
      </c>
      <c r="R200" s="1420"/>
      <c r="S200" s="1420"/>
      <c r="T200" s="1427"/>
      <c r="U200" s="1418"/>
      <c r="V200" s="1437"/>
      <c r="W200" s="1420"/>
      <c r="X200" s="1420"/>
      <c r="Y200" s="1420"/>
      <c r="Z200" s="1427"/>
      <c r="AA200" s="1418">
        <f t="shared" si="8"/>
        <v>10</v>
      </c>
      <c r="AB200" s="1428">
        <f t="shared" si="8"/>
        <v>0</v>
      </c>
      <c r="AC200" s="1420">
        <f>+(AA200/AA193-1)*100</f>
        <v>25</v>
      </c>
      <c r="AD200" s="1418"/>
      <c r="AE200" s="1429"/>
      <c r="AF200" s="1420"/>
      <c r="AG200" s="1418"/>
      <c r="AH200" s="1428"/>
      <c r="AI200" s="1420"/>
      <c r="AJ200" s="1418"/>
      <c r="AK200" s="1429"/>
      <c r="AL200" s="1418"/>
      <c r="AM200" s="1429"/>
      <c r="AN200" s="1420"/>
      <c r="AO200" s="1430"/>
      <c r="AP200" s="1422"/>
      <c r="AQ200" s="1420"/>
      <c r="AR200" s="1427"/>
      <c r="AS200" s="1425">
        <f>AA200+K200+D200</f>
        <v>134</v>
      </c>
      <c r="AT200" s="1431">
        <f>AS200-AS199</f>
        <v>2</v>
      </c>
      <c r="AU200" s="1432">
        <f>+(AS200/AS193-1)*100</f>
        <v>8.0645161290322509</v>
      </c>
      <c r="AV200" s="1422"/>
      <c r="AW200" s="1422"/>
      <c r="AX200" s="1433">
        <f>AS200-D200-AL200</f>
        <v>81</v>
      </c>
      <c r="AY200" s="1434">
        <f>AX200-AX199</f>
        <v>0</v>
      </c>
      <c r="AZ200" s="330"/>
      <c r="BA200" s="330"/>
      <c r="BB200" s="330"/>
      <c r="BC200" s="371">
        <f>D200/AS200</f>
        <v>0.39552238805970147</v>
      </c>
      <c r="BD200" s="1811">
        <f>(K200+AA200)/AS200</f>
        <v>0.60447761194029848</v>
      </c>
      <c r="BE200" s="1435">
        <f>AL200/AS200</f>
        <v>0</v>
      </c>
    </row>
    <row r="201" spans="1:57" ht="12" hidden="1" customHeight="1" outlineLevel="1">
      <c r="A201" s="132" t="str">
        <f>$A$33</f>
        <v>4Q</v>
      </c>
      <c r="B201" s="132" t="str">
        <f>$B$33</f>
        <v>Jan</v>
      </c>
      <c r="C201" s="132"/>
      <c r="D201" s="1438">
        <f t="shared" si="6"/>
        <v>52</v>
      </c>
      <c r="E201" s="1419">
        <f t="shared" si="6"/>
        <v>-1</v>
      </c>
      <c r="F201" s="1420">
        <f>+(D201/D194-1)*100</f>
        <v>6.1224489795918435</v>
      </c>
      <c r="G201" s="1439"/>
      <c r="H201" s="1422"/>
      <c r="I201" s="1420"/>
      <c r="J201" s="330"/>
      <c r="K201" s="1438">
        <f t="shared" si="7"/>
        <v>68</v>
      </c>
      <c r="L201" s="1437">
        <f t="shared" si="7"/>
        <v>-3</v>
      </c>
      <c r="M201" s="1438"/>
      <c r="N201" s="1418"/>
      <c r="O201" s="1438"/>
      <c r="P201" s="1440"/>
      <c r="Q201" s="1420">
        <f>+(K201/K194-1)*100</f>
        <v>1.4925373134328401</v>
      </c>
      <c r="R201" s="1420"/>
      <c r="S201" s="1420"/>
      <c r="T201" s="1427"/>
      <c r="U201" s="1464">
        <v>48</v>
      </c>
      <c r="V201" s="1437"/>
      <c r="W201" s="1420"/>
      <c r="X201" s="1420"/>
      <c r="Y201" s="1420"/>
      <c r="Z201" s="1427"/>
      <c r="AA201" s="1438">
        <f t="shared" si="8"/>
        <v>11</v>
      </c>
      <c r="AB201" s="1441">
        <f t="shared" si="8"/>
        <v>1</v>
      </c>
      <c r="AC201" s="1420">
        <f>+(AA201/AA194-1)*100</f>
        <v>10.000000000000009</v>
      </c>
      <c r="AD201" s="1438"/>
      <c r="AE201" s="1442"/>
      <c r="AF201" s="1420"/>
      <c r="AG201" s="1438"/>
      <c r="AH201" s="1441"/>
      <c r="AI201" s="1420"/>
      <c r="AJ201" s="1438"/>
      <c r="AK201" s="1442"/>
      <c r="AL201" s="1438"/>
      <c r="AM201" s="1442"/>
      <c r="AN201" s="1420"/>
      <c r="AO201" s="1443"/>
      <c r="AP201" s="1422"/>
      <c r="AQ201" s="1420"/>
      <c r="AR201" s="1427"/>
      <c r="AS201" s="1444">
        <f>AA201+K201+D201</f>
        <v>131</v>
      </c>
      <c r="AT201" s="1431">
        <f>AS201-AS200</f>
        <v>-3</v>
      </c>
      <c r="AU201" s="1432">
        <f>+(AS201/AS194-1)*100</f>
        <v>-24.277456647398843</v>
      </c>
      <c r="AV201" s="1422"/>
      <c r="AW201" s="1422"/>
      <c r="AX201" s="1433">
        <f>AS201-D201-AL201</f>
        <v>79</v>
      </c>
      <c r="AY201" s="1434">
        <f>AX201-AX200</f>
        <v>-2</v>
      </c>
      <c r="AZ201" s="330"/>
      <c r="BA201" s="330"/>
      <c r="BB201" s="330"/>
      <c r="BC201" s="371">
        <f>D201/AS201</f>
        <v>0.39694656488549618</v>
      </c>
      <c r="BD201" s="1812">
        <f>(K201+AA201)/AS201</f>
        <v>0.60305343511450382</v>
      </c>
      <c r="BE201" s="1445">
        <f>AL201/AS201</f>
        <v>0</v>
      </c>
    </row>
    <row r="202" spans="1:57" ht="12" hidden="1" customHeight="1" outlineLevel="1">
      <c r="A202" s="132"/>
      <c r="B202" s="132" t="str">
        <f>$B$34</f>
        <v>Year</v>
      </c>
      <c r="C202" s="132"/>
      <c r="D202" s="1425">
        <f>D201</f>
        <v>52</v>
      </c>
      <c r="E202" s="1446">
        <f>E118+L118</f>
        <v>3</v>
      </c>
      <c r="F202" s="1420">
        <f>+(D202/D195-1)*100</f>
        <v>6.1224489795918435</v>
      </c>
      <c r="G202" s="1421"/>
      <c r="H202" s="1422"/>
      <c r="I202" s="1420"/>
      <c r="J202" s="330"/>
      <c r="K202" s="1425">
        <f>K201</f>
        <v>68</v>
      </c>
      <c r="L202" s="1447">
        <f>AB118+AE118</f>
        <v>1</v>
      </c>
      <c r="M202" s="1425"/>
      <c r="N202" s="1448"/>
      <c r="O202" s="1418"/>
      <c r="P202" s="1448"/>
      <c r="Q202" s="1420">
        <f>+(K202/K195-1)*100</f>
        <v>1.4925373134328401</v>
      </c>
      <c r="R202" s="1420"/>
      <c r="S202" s="1420"/>
      <c r="T202" s="1427"/>
      <c r="U202" s="1425"/>
      <c r="V202" s="1447"/>
      <c r="W202" s="1420"/>
      <c r="X202" s="1420"/>
      <c r="Y202" s="1420"/>
      <c r="Z202" s="1427"/>
      <c r="AA202" s="1425">
        <f>AA201</f>
        <v>11</v>
      </c>
      <c r="AB202" s="1449">
        <v>3</v>
      </c>
      <c r="AC202" s="1420">
        <f>+(AA202/AA195-1)*100</f>
        <v>10.000000000000009</v>
      </c>
      <c r="AD202" s="1425"/>
      <c r="AE202" s="1450"/>
      <c r="AF202" s="1420"/>
      <c r="AG202" s="1425"/>
      <c r="AH202" s="1449"/>
      <c r="AI202" s="1420"/>
      <c r="AJ202" s="1425"/>
      <c r="AK202" s="1450"/>
      <c r="AL202" s="1425"/>
      <c r="AM202" s="1450"/>
      <c r="AN202" s="1420"/>
      <c r="AO202" s="1430"/>
      <c r="AP202" s="1422"/>
      <c r="AQ202" s="1420"/>
      <c r="AR202" s="1427"/>
      <c r="AS202" s="1425">
        <f>AA202+K202+D202</f>
        <v>131</v>
      </c>
      <c r="AT202" s="1451">
        <f>AS202-AS195</f>
        <v>5</v>
      </c>
      <c r="AU202" s="1432">
        <f>+(AS202/AS195-1)*100</f>
        <v>3.9682539682539764</v>
      </c>
      <c r="AV202" s="1422"/>
      <c r="AW202" s="1422"/>
      <c r="AX202" s="1433">
        <f>AS202-D202-AL202</f>
        <v>79</v>
      </c>
      <c r="AY202" s="1434">
        <f>AX202-AX195</f>
        <v>2</v>
      </c>
      <c r="AZ202" s="330"/>
      <c r="BA202" s="330"/>
      <c r="BB202" s="330"/>
      <c r="BC202" s="1452">
        <f>D202/AS202</f>
        <v>0.39694656488549618</v>
      </c>
      <c r="BD202" s="1811">
        <f>(K202+AA202)/AS202</f>
        <v>0.60305343511450382</v>
      </c>
      <c r="BE202" s="1452">
        <f>AL202/AS202</f>
        <v>0</v>
      </c>
    </row>
    <row r="203" spans="1:57" ht="12" hidden="1" customHeight="1" outlineLevel="1">
      <c r="A203" s="131"/>
      <c r="B203" s="131"/>
      <c r="C203" s="131"/>
      <c r="D203" s="367"/>
      <c r="E203" s="1453"/>
      <c r="F203" s="1454"/>
      <c r="G203" s="405"/>
      <c r="H203" s="367"/>
      <c r="I203" s="1420"/>
      <c r="J203" s="330"/>
      <c r="K203" s="367"/>
      <c r="L203" s="579"/>
      <c r="M203" s="367"/>
      <c r="N203" s="579"/>
      <c r="O203" s="367"/>
      <c r="P203" s="1455"/>
      <c r="Q203" s="367"/>
      <c r="R203" s="367"/>
      <c r="S203" s="367"/>
      <c r="T203" s="580"/>
      <c r="U203" s="367"/>
      <c r="V203" s="579"/>
      <c r="W203" s="367"/>
      <c r="X203" s="367"/>
      <c r="Y203" s="367"/>
      <c r="Z203" s="580"/>
      <c r="AA203" s="367"/>
      <c r="AB203" s="579"/>
      <c r="AC203" s="367"/>
      <c r="AD203" s="367"/>
      <c r="AE203" s="579"/>
      <c r="AF203" s="367"/>
      <c r="AG203" s="367"/>
      <c r="AH203" s="579"/>
      <c r="AI203" s="367"/>
      <c r="AJ203" s="367"/>
      <c r="AK203" s="579"/>
      <c r="AL203" s="367"/>
      <c r="AM203" s="579"/>
      <c r="AN203" s="579"/>
      <c r="AO203" s="330"/>
      <c r="AP203" s="367"/>
      <c r="AQ203" s="1454"/>
      <c r="AR203" s="580"/>
      <c r="AS203" s="339"/>
      <c r="AT203" s="330"/>
      <c r="AU203" s="330"/>
      <c r="AV203" s="330"/>
      <c r="AW203" s="330"/>
      <c r="AX203" s="330"/>
      <c r="AY203" s="1456"/>
      <c r="AZ203" s="330"/>
      <c r="BA203" s="330"/>
      <c r="BB203" s="330"/>
      <c r="BC203" s="330"/>
      <c r="BD203" s="405"/>
      <c r="BE203" s="330"/>
    </row>
    <row r="204" spans="1:57" ht="12" hidden="1" customHeight="1" outlineLevel="1">
      <c r="A204" s="2506">
        <v>2003</v>
      </c>
      <c r="B204" s="2506"/>
      <c r="C204" s="132"/>
      <c r="D204" s="1457"/>
      <c r="E204" s="1453"/>
      <c r="F204" s="1454"/>
      <c r="G204" s="1458"/>
      <c r="H204" s="1459"/>
      <c r="I204" s="1420"/>
      <c r="J204" s="330"/>
      <c r="K204" s="1460"/>
      <c r="L204" s="1461"/>
      <c r="M204" s="1460"/>
      <c r="N204" s="1461"/>
      <c r="O204" s="1460"/>
      <c r="P204" s="1455"/>
      <c r="Q204" s="367"/>
      <c r="R204" s="367"/>
      <c r="S204" s="367"/>
      <c r="T204" s="580"/>
      <c r="U204" s="1460"/>
      <c r="V204" s="1461"/>
      <c r="W204" s="367"/>
      <c r="X204" s="367"/>
      <c r="Y204" s="367"/>
      <c r="Z204" s="580"/>
      <c r="AA204" s="1460"/>
      <c r="AB204" s="579"/>
      <c r="AC204" s="367"/>
      <c r="AD204" s="1460"/>
      <c r="AE204" s="579"/>
      <c r="AF204" s="367"/>
      <c r="AG204" s="1460"/>
      <c r="AH204" s="579"/>
      <c r="AI204" s="367"/>
      <c r="AJ204" s="1460"/>
      <c r="AK204" s="579"/>
      <c r="AL204" s="1460"/>
      <c r="AM204" s="579"/>
      <c r="AN204" s="579"/>
      <c r="AO204" s="1460"/>
      <c r="AP204" s="367"/>
      <c r="AQ204" s="1454"/>
      <c r="AR204" s="580"/>
      <c r="AS204" s="1462"/>
      <c r="AT204" s="330"/>
      <c r="AU204" s="330"/>
      <c r="AV204" s="330"/>
      <c r="AW204" s="330"/>
      <c r="AX204" s="1433"/>
      <c r="AY204" s="1434"/>
      <c r="AZ204" s="330"/>
      <c r="BA204" s="330"/>
      <c r="BB204" s="330"/>
      <c r="BC204" s="330"/>
      <c r="BD204" s="405"/>
      <c r="BE204" s="330"/>
    </row>
    <row r="205" spans="1:57" ht="12" hidden="1" customHeight="1" outlineLevel="1">
      <c r="A205" s="132" t="str">
        <f>$A$30</f>
        <v>1Q</v>
      </c>
      <c r="B205" s="132" t="str">
        <f>$B$30</f>
        <v>Apr</v>
      </c>
      <c r="C205" s="132"/>
      <c r="D205" s="1418">
        <f t="shared" ref="D205:E208" si="9">D121+K121</f>
        <v>54</v>
      </c>
      <c r="E205" s="1419">
        <f t="shared" si="9"/>
        <v>2</v>
      </c>
      <c r="F205" s="1420">
        <f>+(D205/D198-1)*100</f>
        <v>10.20408163265305</v>
      </c>
      <c r="G205" s="1421"/>
      <c r="H205" s="1422"/>
      <c r="I205" s="1420"/>
      <c r="J205" s="330"/>
      <c r="K205" s="1418">
        <f t="shared" ref="K205:L208" si="10">AA121+AD121</f>
        <v>71</v>
      </c>
      <c r="L205" s="1423">
        <f t="shared" si="10"/>
        <v>3</v>
      </c>
      <c r="M205" s="1418"/>
      <c r="N205" s="1424"/>
      <c r="O205" s="1425"/>
      <c r="P205" s="1426"/>
      <c r="Q205" s="1420">
        <f>+(K205/K198-1)*100</f>
        <v>2.8985507246376718</v>
      </c>
      <c r="R205" s="1420"/>
      <c r="S205" s="1420"/>
      <c r="T205" s="1427"/>
      <c r="U205" s="1418"/>
      <c r="V205" s="1423"/>
      <c r="W205" s="1420"/>
      <c r="X205" s="1420"/>
      <c r="Y205" s="1420"/>
      <c r="Z205" s="1427"/>
      <c r="AA205" s="1418">
        <f t="shared" ref="AA205:AB208" si="11">M121</f>
        <v>11</v>
      </c>
      <c r="AB205" s="1428">
        <f t="shared" si="11"/>
        <v>0</v>
      </c>
      <c r="AC205" s="1420">
        <f>+(AA205/AA198-1)*100</f>
        <v>10.000000000000009</v>
      </c>
      <c r="AD205" s="1418"/>
      <c r="AE205" s="1429"/>
      <c r="AF205" s="1420"/>
      <c r="AG205" s="1418"/>
      <c r="AH205" s="1428"/>
      <c r="AI205" s="1420"/>
      <c r="AJ205" s="1418"/>
      <c r="AK205" s="1429"/>
      <c r="AL205" s="1418"/>
      <c r="AM205" s="1429"/>
      <c r="AN205" s="1420"/>
      <c r="AO205" s="1430"/>
      <c r="AP205" s="1422"/>
      <c r="AQ205" s="1420"/>
      <c r="AR205" s="1427"/>
      <c r="AS205" s="1425">
        <f>AA205+K205+D205</f>
        <v>136</v>
      </c>
      <c r="AT205" s="1431">
        <f>AS205-AS202</f>
        <v>5</v>
      </c>
      <c r="AU205" s="1432">
        <f>+(AS205/AS198-1)*100</f>
        <v>6.25</v>
      </c>
      <c r="AV205" s="1422"/>
      <c r="AW205" s="1422"/>
      <c r="AX205" s="1433">
        <f>AS205-D205-AL205</f>
        <v>82</v>
      </c>
      <c r="AY205" s="1434">
        <f>AX205-AX202</f>
        <v>3</v>
      </c>
      <c r="AZ205" s="330"/>
      <c r="BA205" s="330"/>
      <c r="BB205" s="330"/>
      <c r="BC205" s="371">
        <f>D205/AS205</f>
        <v>0.39705882352941174</v>
      </c>
      <c r="BD205" s="1811">
        <f>(K205+AA205)/AS205</f>
        <v>0.6029411764705882</v>
      </c>
      <c r="BE205" s="1435">
        <f>AL205/AS205</f>
        <v>0</v>
      </c>
    </row>
    <row r="206" spans="1:57" ht="12" hidden="1" customHeight="1" outlineLevel="1">
      <c r="A206" s="132" t="str">
        <f>$A$31</f>
        <v>2Q</v>
      </c>
      <c r="B206" s="132" t="str">
        <f>$B$31</f>
        <v>Jul</v>
      </c>
      <c r="C206" s="132"/>
      <c r="D206" s="1418">
        <f t="shared" si="9"/>
        <v>55</v>
      </c>
      <c r="E206" s="1419">
        <f t="shared" si="9"/>
        <v>1</v>
      </c>
      <c r="F206" s="1420">
        <f>+(D206/D199-1)*100</f>
        <v>7.8431372549019551</v>
      </c>
      <c r="G206" s="1421"/>
      <c r="H206" s="1422"/>
      <c r="I206" s="1420"/>
      <c r="J206" s="1436"/>
      <c r="K206" s="1418">
        <f t="shared" si="10"/>
        <v>71</v>
      </c>
      <c r="L206" s="1437">
        <f t="shared" si="10"/>
        <v>0</v>
      </c>
      <c r="M206" s="1418"/>
      <c r="N206" s="1424"/>
      <c r="O206" s="1418"/>
      <c r="P206" s="1426"/>
      <c r="Q206" s="1420">
        <f>+(K206/K199-1)*100</f>
        <v>0</v>
      </c>
      <c r="R206" s="1420"/>
      <c r="S206" s="1420"/>
      <c r="T206" s="1427"/>
      <c r="U206" s="1418"/>
      <c r="V206" s="1437"/>
      <c r="W206" s="1420"/>
      <c r="X206" s="1420"/>
      <c r="Y206" s="1420"/>
      <c r="Z206" s="1427"/>
      <c r="AA206" s="1418">
        <f t="shared" si="11"/>
        <v>11</v>
      </c>
      <c r="AB206" s="1428">
        <f t="shared" si="11"/>
        <v>0</v>
      </c>
      <c r="AC206" s="1420">
        <f>+(AA206/AA199-1)*100</f>
        <v>10.000000000000009</v>
      </c>
      <c r="AD206" s="1418"/>
      <c r="AE206" s="1429"/>
      <c r="AF206" s="1420"/>
      <c r="AG206" s="1418"/>
      <c r="AH206" s="1428"/>
      <c r="AI206" s="1420"/>
      <c r="AJ206" s="1418"/>
      <c r="AK206" s="1429"/>
      <c r="AL206" s="1418"/>
      <c r="AM206" s="1429"/>
      <c r="AN206" s="1420"/>
      <c r="AO206" s="1430"/>
      <c r="AP206" s="1422"/>
      <c r="AQ206" s="1420"/>
      <c r="AR206" s="1427"/>
      <c r="AS206" s="1425">
        <f>AA206+K206+D206</f>
        <v>137</v>
      </c>
      <c r="AT206" s="1431">
        <f>AS206-AS205</f>
        <v>1</v>
      </c>
      <c r="AU206" s="1432">
        <f>+(AS206/AS199-1)*100</f>
        <v>3.7878787878787845</v>
      </c>
      <c r="AV206" s="1422"/>
      <c r="AW206" s="1422"/>
      <c r="AX206" s="1433">
        <f>AS206-D206-AL206</f>
        <v>82</v>
      </c>
      <c r="AY206" s="1434">
        <f>AX206-AX205</f>
        <v>0</v>
      </c>
      <c r="AZ206" s="330"/>
      <c r="BA206" s="330"/>
      <c r="BB206" s="330"/>
      <c r="BC206" s="371">
        <f>D206/AS206</f>
        <v>0.40145985401459855</v>
      </c>
      <c r="BD206" s="1811">
        <f>(K206+AA206)/AS206</f>
        <v>0.59854014598540151</v>
      </c>
      <c r="BE206" s="1435">
        <f>AL206/AS206</f>
        <v>0</v>
      </c>
    </row>
    <row r="207" spans="1:57" ht="12" hidden="1" customHeight="1" outlineLevel="1">
      <c r="A207" s="132" t="str">
        <f>$A$32</f>
        <v>3Q</v>
      </c>
      <c r="B207" s="132" t="str">
        <f>$B$32</f>
        <v>Oct</v>
      </c>
      <c r="C207" s="132"/>
      <c r="D207" s="1418">
        <f t="shared" si="9"/>
        <v>58</v>
      </c>
      <c r="E207" s="1419">
        <f t="shared" si="9"/>
        <v>3</v>
      </c>
      <c r="F207" s="1420">
        <f>+(D207/D200-1)*100</f>
        <v>9.4339622641509422</v>
      </c>
      <c r="G207" s="1421"/>
      <c r="H207" s="1422"/>
      <c r="I207" s="1420"/>
      <c r="J207" s="330"/>
      <c r="K207" s="1418">
        <f t="shared" si="10"/>
        <v>71</v>
      </c>
      <c r="L207" s="1437">
        <f t="shared" si="10"/>
        <v>0</v>
      </c>
      <c r="M207" s="1418"/>
      <c r="N207" s="1424"/>
      <c r="O207" s="1418"/>
      <c r="P207" s="1426"/>
      <c r="Q207" s="1420">
        <f>+(K207/K200-1)*100</f>
        <v>0</v>
      </c>
      <c r="R207" s="1420"/>
      <c r="S207" s="1420"/>
      <c r="T207" s="1427"/>
      <c r="U207" s="1418"/>
      <c r="V207" s="1437"/>
      <c r="W207" s="1420"/>
      <c r="X207" s="1420"/>
      <c r="Y207" s="1420"/>
      <c r="Z207" s="1427"/>
      <c r="AA207" s="1418">
        <f t="shared" si="11"/>
        <v>11</v>
      </c>
      <c r="AB207" s="1428">
        <f t="shared" si="11"/>
        <v>0</v>
      </c>
      <c r="AC207" s="1420">
        <f>+(AA207/AA200-1)*100</f>
        <v>10.000000000000009</v>
      </c>
      <c r="AD207" s="1418"/>
      <c r="AE207" s="1429"/>
      <c r="AF207" s="1420"/>
      <c r="AG207" s="1418"/>
      <c r="AH207" s="1428"/>
      <c r="AI207" s="1420"/>
      <c r="AJ207" s="1418"/>
      <c r="AK207" s="1429"/>
      <c r="AL207" s="1418"/>
      <c r="AM207" s="1429"/>
      <c r="AN207" s="1420"/>
      <c r="AO207" s="1430"/>
      <c r="AP207" s="1422"/>
      <c r="AQ207" s="1420"/>
      <c r="AR207" s="1427"/>
      <c r="AS207" s="1425">
        <f>AA207+K207+D207</f>
        <v>140</v>
      </c>
      <c r="AT207" s="1431">
        <f>AS207-AS206</f>
        <v>3</v>
      </c>
      <c r="AU207" s="1432">
        <f>+(AS207/AS200-1)*100</f>
        <v>4.4776119402984982</v>
      </c>
      <c r="AV207" s="1422"/>
      <c r="AW207" s="1422"/>
      <c r="AX207" s="1433">
        <f>AS207-D207-AL207</f>
        <v>82</v>
      </c>
      <c r="AY207" s="1434">
        <f>AX207-AX206</f>
        <v>0</v>
      </c>
      <c r="AZ207" s="330"/>
      <c r="BA207" s="330"/>
      <c r="BB207" s="330"/>
      <c r="BC207" s="371">
        <f>D207/AS207</f>
        <v>0.41428571428571431</v>
      </c>
      <c r="BD207" s="1811">
        <f>(K207+AA207)/AS207</f>
        <v>0.58571428571428574</v>
      </c>
      <c r="BE207" s="1435">
        <f>AL207/AS207</f>
        <v>0</v>
      </c>
    </row>
    <row r="208" spans="1:57" ht="12" hidden="1" customHeight="1" outlineLevel="1">
      <c r="A208" s="132" t="str">
        <f>$A$33</f>
        <v>4Q</v>
      </c>
      <c r="B208" s="132" t="str">
        <f>$B$33</f>
        <v>Jan</v>
      </c>
      <c r="C208" s="132"/>
      <c r="D208" s="1438">
        <f t="shared" si="9"/>
        <v>58</v>
      </c>
      <c r="E208" s="1419">
        <f t="shared" si="9"/>
        <v>0</v>
      </c>
      <c r="F208" s="1420">
        <f>+(D208/D201-1)*100</f>
        <v>11.538461538461542</v>
      </c>
      <c r="G208" s="1439"/>
      <c r="H208" s="1422"/>
      <c r="I208" s="1420"/>
      <c r="J208" s="330"/>
      <c r="K208" s="1438">
        <f t="shared" si="10"/>
        <v>72</v>
      </c>
      <c r="L208" s="1437">
        <f t="shared" si="10"/>
        <v>1</v>
      </c>
      <c r="M208" s="1438"/>
      <c r="N208" s="1418"/>
      <c r="O208" s="1438"/>
      <c r="P208" s="1440"/>
      <c r="Q208" s="1420">
        <f>+(K208/K201-1)*100</f>
        <v>5.8823529411764719</v>
      </c>
      <c r="R208" s="1420"/>
      <c r="S208" s="1420"/>
      <c r="T208" s="1427"/>
      <c r="U208" s="1464">
        <v>50</v>
      </c>
      <c r="V208" s="1437"/>
      <c r="W208" s="1420"/>
      <c r="X208" s="1420"/>
      <c r="Y208" s="1420"/>
      <c r="Z208" s="1427"/>
      <c r="AA208" s="1438">
        <f t="shared" si="11"/>
        <v>11</v>
      </c>
      <c r="AB208" s="1441">
        <f t="shared" si="11"/>
        <v>0</v>
      </c>
      <c r="AC208" s="1420">
        <f>+(AA208/AA201-1)*100</f>
        <v>0</v>
      </c>
      <c r="AD208" s="1438"/>
      <c r="AE208" s="1442"/>
      <c r="AF208" s="1420"/>
      <c r="AG208" s="1438"/>
      <c r="AH208" s="1441"/>
      <c r="AI208" s="1420"/>
      <c r="AJ208" s="1438"/>
      <c r="AK208" s="1442"/>
      <c r="AL208" s="1438"/>
      <c r="AM208" s="1442"/>
      <c r="AN208" s="1420"/>
      <c r="AO208" s="1443"/>
      <c r="AP208" s="1422"/>
      <c r="AQ208" s="1420"/>
      <c r="AR208" s="1427"/>
      <c r="AS208" s="1444">
        <f>AA208+K208+D208</f>
        <v>141</v>
      </c>
      <c r="AT208" s="1431">
        <f>AS208-AS207</f>
        <v>1</v>
      </c>
      <c r="AU208" s="1432">
        <f>+(AS208/AS201-1)*100</f>
        <v>7.6335877862595325</v>
      </c>
      <c r="AV208" s="1422"/>
      <c r="AW208" s="1422"/>
      <c r="AX208" s="1433">
        <f>AS208-D208-AL208</f>
        <v>83</v>
      </c>
      <c r="AY208" s="1434">
        <f>AX208-AX207</f>
        <v>1</v>
      </c>
      <c r="AZ208" s="330"/>
      <c r="BA208" s="330"/>
      <c r="BB208" s="330"/>
      <c r="BC208" s="371">
        <f>D208/AS208</f>
        <v>0.41134751773049644</v>
      </c>
      <c r="BD208" s="1812">
        <f>(K208+AA208)/AS208</f>
        <v>0.58865248226950351</v>
      </c>
      <c r="BE208" s="1445">
        <f>AL208/AS208</f>
        <v>0</v>
      </c>
    </row>
    <row r="209" spans="1:57" ht="12" hidden="1" customHeight="1" outlineLevel="1">
      <c r="A209" s="132"/>
      <c r="B209" s="132" t="str">
        <f>$B$34</f>
        <v>Year</v>
      </c>
      <c r="C209" s="132"/>
      <c r="D209" s="1425">
        <f>D208</f>
        <v>58</v>
      </c>
      <c r="E209" s="1446">
        <f>E125+L125</f>
        <v>6</v>
      </c>
      <c r="F209" s="1420">
        <f>+(D209/D202-1)*100</f>
        <v>11.538461538461542</v>
      </c>
      <c r="G209" s="1421"/>
      <c r="H209" s="1422"/>
      <c r="I209" s="1420"/>
      <c r="J209" s="330"/>
      <c r="K209" s="1425">
        <f>K208</f>
        <v>72</v>
      </c>
      <c r="L209" s="1447">
        <f>AB125+AE125</f>
        <v>4</v>
      </c>
      <c r="M209" s="1425"/>
      <c r="N209" s="1448"/>
      <c r="O209" s="1418"/>
      <c r="P209" s="1448"/>
      <c r="Q209" s="1420">
        <f>+(K209/K202-1)*100</f>
        <v>5.8823529411764719</v>
      </c>
      <c r="R209" s="1420"/>
      <c r="S209" s="1420"/>
      <c r="T209" s="1427"/>
      <c r="U209" s="1425"/>
      <c r="V209" s="1447"/>
      <c r="W209" s="1420"/>
      <c r="X209" s="1420"/>
      <c r="Y209" s="1420"/>
      <c r="Z209" s="1427"/>
      <c r="AA209" s="1425">
        <f>AA208</f>
        <v>11</v>
      </c>
      <c r="AB209" s="1449">
        <v>3</v>
      </c>
      <c r="AC209" s="1420">
        <f>+(AA209/AA202-1)*100</f>
        <v>0</v>
      </c>
      <c r="AD209" s="1425"/>
      <c r="AE209" s="1450"/>
      <c r="AF209" s="1420"/>
      <c r="AG209" s="1425"/>
      <c r="AH209" s="1449"/>
      <c r="AI209" s="1420"/>
      <c r="AJ209" s="1425"/>
      <c r="AK209" s="1450"/>
      <c r="AL209" s="1425"/>
      <c r="AM209" s="1450"/>
      <c r="AN209" s="1420"/>
      <c r="AO209" s="1430"/>
      <c r="AP209" s="1422"/>
      <c r="AQ209" s="1420"/>
      <c r="AR209" s="1427"/>
      <c r="AS209" s="1425">
        <f>AA209+K209+D209</f>
        <v>141</v>
      </c>
      <c r="AT209" s="1451">
        <f>AS209-AS202</f>
        <v>10</v>
      </c>
      <c r="AU209" s="1432">
        <f>+(AS209/AS202-1)*100</f>
        <v>7.6335877862595325</v>
      </c>
      <c r="AV209" s="1422"/>
      <c r="AW209" s="1422"/>
      <c r="AX209" s="1433">
        <f>AS209-D209-AL209</f>
        <v>83</v>
      </c>
      <c r="AY209" s="1434">
        <f>AX209-AX202</f>
        <v>4</v>
      </c>
      <c r="AZ209" s="330"/>
      <c r="BA209" s="330"/>
      <c r="BB209" s="330"/>
      <c r="BC209" s="1452">
        <f>D209/AS209</f>
        <v>0.41134751773049644</v>
      </c>
      <c r="BD209" s="1811">
        <f>(K209+AA209)/AS209</f>
        <v>0.58865248226950351</v>
      </c>
      <c r="BE209" s="1452">
        <f>AL209/AS209</f>
        <v>0</v>
      </c>
    </row>
    <row r="210" spans="1:57" ht="12" hidden="1" customHeight="1" outlineLevel="1">
      <c r="A210" s="131"/>
      <c r="B210" s="131"/>
      <c r="C210" s="131"/>
      <c r="D210" s="367"/>
      <c r="E210" s="1453"/>
      <c r="F210" s="1454"/>
      <c r="G210" s="405"/>
      <c r="H210" s="367"/>
      <c r="I210" s="1420"/>
      <c r="J210" s="330"/>
      <c r="K210" s="367"/>
      <c r="L210" s="579"/>
      <c r="M210" s="367"/>
      <c r="N210" s="579"/>
      <c r="O210" s="367"/>
      <c r="P210" s="1455"/>
      <c r="Q210" s="367"/>
      <c r="R210" s="367"/>
      <c r="S210" s="367"/>
      <c r="T210" s="580"/>
      <c r="U210" s="367"/>
      <c r="V210" s="579"/>
      <c r="W210" s="367"/>
      <c r="X210" s="367"/>
      <c r="Y210" s="367"/>
      <c r="Z210" s="580"/>
      <c r="AA210" s="367"/>
      <c r="AB210" s="579"/>
      <c r="AC210" s="367"/>
      <c r="AD210" s="367"/>
      <c r="AE210" s="579"/>
      <c r="AF210" s="367"/>
      <c r="AG210" s="367"/>
      <c r="AH210" s="579"/>
      <c r="AI210" s="367"/>
      <c r="AJ210" s="367"/>
      <c r="AK210" s="579"/>
      <c r="AL210" s="367"/>
      <c r="AM210" s="579"/>
      <c r="AN210" s="579"/>
      <c r="AO210" s="330"/>
      <c r="AP210" s="367"/>
      <c r="AQ210" s="1454"/>
      <c r="AR210" s="580"/>
      <c r="AS210" s="339"/>
      <c r="AT210" s="330"/>
      <c r="AU210" s="330"/>
      <c r="AV210" s="330"/>
      <c r="AW210" s="330"/>
      <c r="AX210" s="330"/>
      <c r="AY210" s="1456"/>
      <c r="AZ210" s="330"/>
      <c r="BA210" s="330"/>
      <c r="BB210" s="330"/>
      <c r="BC210" s="330"/>
      <c r="BD210" s="405"/>
      <c r="BE210" s="330"/>
    </row>
    <row r="211" spans="1:57" ht="12" hidden="1" customHeight="1" outlineLevel="1">
      <c r="A211" s="2506">
        <v>2004</v>
      </c>
      <c r="B211" s="2506"/>
      <c r="C211" s="132"/>
      <c r="D211" s="1457"/>
      <c r="E211" s="1453"/>
      <c r="F211" s="1454"/>
      <c r="G211" s="1458"/>
      <c r="H211" s="1459"/>
      <c r="I211" s="1420"/>
      <c r="J211" s="330"/>
      <c r="K211" s="1460"/>
      <c r="L211" s="1461"/>
      <c r="M211" s="1460"/>
      <c r="N211" s="1461"/>
      <c r="O211" s="1460"/>
      <c r="P211" s="1455"/>
      <c r="Q211" s="367"/>
      <c r="R211" s="367"/>
      <c r="S211" s="367"/>
      <c r="T211" s="580"/>
      <c r="U211" s="1460"/>
      <c r="V211" s="1461"/>
      <c r="W211" s="367"/>
      <c r="X211" s="367"/>
      <c r="Y211" s="367"/>
      <c r="Z211" s="580"/>
      <c r="AA211" s="1460"/>
      <c r="AB211" s="579"/>
      <c r="AC211" s="367"/>
      <c r="AD211" s="1460"/>
      <c r="AE211" s="579"/>
      <c r="AF211" s="367"/>
      <c r="AG211" s="1460"/>
      <c r="AH211" s="579"/>
      <c r="AI211" s="367"/>
      <c r="AJ211" s="1460"/>
      <c r="AK211" s="579"/>
      <c r="AL211" s="1460"/>
      <c r="AM211" s="579"/>
      <c r="AN211" s="579"/>
      <c r="AO211" s="1460"/>
      <c r="AP211" s="367"/>
      <c r="AQ211" s="1454"/>
      <c r="AR211" s="580"/>
      <c r="AS211" s="1462"/>
      <c r="AT211" s="330"/>
      <c r="AU211" s="330"/>
      <c r="AV211" s="330"/>
      <c r="AW211" s="330"/>
      <c r="AX211" s="1433"/>
      <c r="AY211" s="1434"/>
      <c r="AZ211" s="330"/>
      <c r="BA211" s="330"/>
      <c r="BB211" s="330"/>
      <c r="BC211" s="330"/>
      <c r="BD211" s="405"/>
      <c r="BE211" s="330"/>
    </row>
    <row r="212" spans="1:57" ht="12" hidden="1" customHeight="1" outlineLevel="1">
      <c r="A212" s="132" t="str">
        <f>$A$30</f>
        <v>1Q</v>
      </c>
      <c r="B212" s="132" t="str">
        <f>$B$30</f>
        <v>Apr</v>
      </c>
      <c r="C212" s="132"/>
      <c r="D212" s="1418">
        <f t="shared" ref="D212:E215" si="12">D128+K128</f>
        <v>58</v>
      </c>
      <c r="E212" s="1419">
        <f t="shared" si="12"/>
        <v>0</v>
      </c>
      <c r="F212" s="1420">
        <f>+(D212/D205-1)*100</f>
        <v>7.4074074074074181</v>
      </c>
      <c r="G212" s="1421"/>
      <c r="H212" s="1422"/>
      <c r="I212" s="1420"/>
      <c r="J212" s="330"/>
      <c r="K212" s="1418">
        <f t="shared" ref="K212:L215" si="13">AA128+AD128</f>
        <v>72</v>
      </c>
      <c r="L212" s="1423">
        <f t="shared" si="13"/>
        <v>0</v>
      </c>
      <c r="M212" s="1418"/>
      <c r="N212" s="1424"/>
      <c r="O212" s="1425"/>
      <c r="P212" s="1426"/>
      <c r="Q212" s="1420">
        <f>+(K212/K205-1)*100</f>
        <v>1.4084507042253502</v>
      </c>
      <c r="R212" s="1420"/>
      <c r="S212" s="1420"/>
      <c r="T212" s="1427"/>
      <c r="U212" s="1418"/>
      <c r="V212" s="1423"/>
      <c r="W212" s="1420"/>
      <c r="X212" s="1420"/>
      <c r="Y212" s="1420"/>
      <c r="Z212" s="1427"/>
      <c r="AA212" s="1418">
        <f t="shared" ref="AA212:AB215" si="14">M128</f>
        <v>12</v>
      </c>
      <c r="AB212" s="1428">
        <f t="shared" si="14"/>
        <v>1</v>
      </c>
      <c r="AC212" s="1420">
        <f>+(AA212/AA205-1)*100</f>
        <v>9.0909090909090828</v>
      </c>
      <c r="AD212" s="1418"/>
      <c r="AE212" s="1429"/>
      <c r="AF212" s="1420"/>
      <c r="AG212" s="1418"/>
      <c r="AH212" s="1428"/>
      <c r="AI212" s="1420"/>
      <c r="AJ212" s="1418"/>
      <c r="AK212" s="1429"/>
      <c r="AL212" s="1418"/>
      <c r="AM212" s="1429"/>
      <c r="AN212" s="1420"/>
      <c r="AO212" s="1430"/>
      <c r="AP212" s="1422"/>
      <c r="AQ212" s="1420"/>
      <c r="AR212" s="1427"/>
      <c r="AS212" s="1425">
        <f>AA212+K212+D212</f>
        <v>142</v>
      </c>
      <c r="AT212" s="1431">
        <f>AS212-AS209</f>
        <v>1</v>
      </c>
      <c r="AU212" s="1432">
        <f>+(AS212/AS205-1)*100</f>
        <v>4.4117647058823595</v>
      </c>
      <c r="AV212" s="1422"/>
      <c r="AW212" s="1422"/>
      <c r="AX212" s="1433">
        <f>AS212-D212-AL212</f>
        <v>84</v>
      </c>
      <c r="AY212" s="1434">
        <f>AX212-AX209</f>
        <v>1</v>
      </c>
      <c r="AZ212" s="330"/>
      <c r="BA212" s="330"/>
      <c r="BB212" s="330"/>
      <c r="BC212" s="371">
        <f>D212/AS212</f>
        <v>0.40845070422535212</v>
      </c>
      <c r="BD212" s="1811">
        <f>(K212+AA212)/AS212</f>
        <v>0.59154929577464788</v>
      </c>
      <c r="BE212" s="1435">
        <f>AL212/AS212</f>
        <v>0</v>
      </c>
    </row>
    <row r="213" spans="1:57" ht="12" hidden="1" customHeight="1" outlineLevel="1">
      <c r="A213" s="132" t="str">
        <f>$A$31</f>
        <v>2Q</v>
      </c>
      <c r="B213" s="132" t="str">
        <f>$B$31</f>
        <v>Jul</v>
      </c>
      <c r="C213" s="132"/>
      <c r="D213" s="1418">
        <f t="shared" si="12"/>
        <v>60</v>
      </c>
      <c r="E213" s="1419">
        <f t="shared" si="12"/>
        <v>2</v>
      </c>
      <c r="F213" s="1420">
        <f>+(D213/D206-1)*100</f>
        <v>9.0909090909090828</v>
      </c>
      <c r="G213" s="1421"/>
      <c r="H213" s="1422"/>
      <c r="I213" s="1420"/>
      <c r="J213" s="1436"/>
      <c r="K213" s="1418">
        <f t="shared" si="13"/>
        <v>73</v>
      </c>
      <c r="L213" s="1437">
        <f t="shared" si="13"/>
        <v>1</v>
      </c>
      <c r="M213" s="1418"/>
      <c r="N213" s="1424"/>
      <c r="O213" s="1418"/>
      <c r="P213" s="1426"/>
      <c r="Q213" s="1420">
        <f>+(K213/K206-1)*100</f>
        <v>2.8169014084507005</v>
      </c>
      <c r="R213" s="1420"/>
      <c r="S213" s="1420"/>
      <c r="T213" s="1427"/>
      <c r="U213" s="1418"/>
      <c r="V213" s="1437"/>
      <c r="W213" s="1420"/>
      <c r="X213" s="1420"/>
      <c r="Y213" s="1420"/>
      <c r="Z213" s="1427"/>
      <c r="AA213" s="1418">
        <f t="shared" si="14"/>
        <v>12</v>
      </c>
      <c r="AB213" s="1428">
        <f t="shared" si="14"/>
        <v>0</v>
      </c>
      <c r="AC213" s="1420">
        <f>+(AA213/AA206-1)*100</f>
        <v>9.0909090909090828</v>
      </c>
      <c r="AD213" s="1418"/>
      <c r="AE213" s="1429"/>
      <c r="AF213" s="1420"/>
      <c r="AG213" s="1418"/>
      <c r="AH213" s="1428"/>
      <c r="AI213" s="1420"/>
      <c r="AJ213" s="1418"/>
      <c r="AK213" s="1429"/>
      <c r="AL213" s="1418"/>
      <c r="AM213" s="1429"/>
      <c r="AN213" s="1420"/>
      <c r="AO213" s="1430"/>
      <c r="AP213" s="1422"/>
      <c r="AQ213" s="1420"/>
      <c r="AR213" s="1427"/>
      <c r="AS213" s="1425">
        <f>AA213+K213+D213</f>
        <v>145</v>
      </c>
      <c r="AT213" s="1431">
        <f>AS213-AS212</f>
        <v>3</v>
      </c>
      <c r="AU213" s="1432">
        <f>+(AS213/AS206-1)*100</f>
        <v>5.8394160583941535</v>
      </c>
      <c r="AV213" s="1422"/>
      <c r="AW213" s="1422"/>
      <c r="AX213" s="1433">
        <f>AS213-D213-AL213</f>
        <v>85</v>
      </c>
      <c r="AY213" s="1434">
        <f>AX213-AX212</f>
        <v>1</v>
      </c>
      <c r="AZ213" s="330"/>
      <c r="BA213" s="330"/>
      <c r="BB213" s="330"/>
      <c r="BC213" s="371">
        <f>D213/AS213</f>
        <v>0.41379310344827586</v>
      </c>
      <c r="BD213" s="1811">
        <f>(K213+AA213)/AS213</f>
        <v>0.58620689655172409</v>
      </c>
      <c r="BE213" s="1435">
        <f>AL213/AS213</f>
        <v>0</v>
      </c>
    </row>
    <row r="214" spans="1:57" ht="12" hidden="1" customHeight="1" outlineLevel="1">
      <c r="A214" s="132" t="str">
        <f>$A$32</f>
        <v>3Q</v>
      </c>
      <c r="B214" s="132" t="str">
        <f>$B$32</f>
        <v>Oct</v>
      </c>
      <c r="C214" s="132"/>
      <c r="D214" s="1418">
        <f t="shared" si="12"/>
        <v>61</v>
      </c>
      <c r="E214" s="1419">
        <f t="shared" si="12"/>
        <v>1</v>
      </c>
      <c r="F214" s="1420">
        <f>+(D214/D207-1)*100</f>
        <v>5.1724137931034475</v>
      </c>
      <c r="G214" s="1421"/>
      <c r="H214" s="1422"/>
      <c r="I214" s="1420"/>
      <c r="J214" s="330"/>
      <c r="K214" s="1418">
        <f t="shared" si="13"/>
        <v>75</v>
      </c>
      <c r="L214" s="1437">
        <f t="shared" si="13"/>
        <v>2</v>
      </c>
      <c r="M214" s="1418"/>
      <c r="N214" s="1424"/>
      <c r="O214" s="1418"/>
      <c r="P214" s="1426"/>
      <c r="Q214" s="1420">
        <f>+(K214/K207-1)*100</f>
        <v>5.6338028169014009</v>
      </c>
      <c r="R214" s="1420"/>
      <c r="S214" s="1420"/>
      <c r="T214" s="1427"/>
      <c r="U214" s="1418"/>
      <c r="V214" s="1437"/>
      <c r="W214" s="1420"/>
      <c r="X214" s="1420"/>
      <c r="Y214" s="1420"/>
      <c r="Z214" s="1427"/>
      <c r="AA214" s="1418">
        <f t="shared" si="14"/>
        <v>12</v>
      </c>
      <c r="AB214" s="1428">
        <f t="shared" si="14"/>
        <v>0</v>
      </c>
      <c r="AC214" s="1420">
        <f>+(AA214/AA207-1)*100</f>
        <v>9.0909090909090828</v>
      </c>
      <c r="AD214" s="1418"/>
      <c r="AE214" s="1429"/>
      <c r="AF214" s="1420"/>
      <c r="AG214" s="1418"/>
      <c r="AH214" s="1428"/>
      <c r="AI214" s="1420"/>
      <c r="AJ214" s="1418"/>
      <c r="AK214" s="1429"/>
      <c r="AL214" s="1418"/>
      <c r="AM214" s="1429"/>
      <c r="AN214" s="1420"/>
      <c r="AO214" s="1430"/>
      <c r="AP214" s="1422"/>
      <c r="AQ214" s="1420"/>
      <c r="AR214" s="1427"/>
      <c r="AS214" s="1425">
        <f>AA214+K214+D214</f>
        <v>148</v>
      </c>
      <c r="AT214" s="1431">
        <f>AS214-AS213</f>
        <v>3</v>
      </c>
      <c r="AU214" s="1432">
        <f>+(AS214/AS207-1)*100</f>
        <v>5.7142857142857162</v>
      </c>
      <c r="AV214" s="1422"/>
      <c r="AW214" s="1422"/>
      <c r="AX214" s="1433">
        <f>AS214-D214-AL214</f>
        <v>87</v>
      </c>
      <c r="AY214" s="1434">
        <f>AX214-AX213</f>
        <v>2</v>
      </c>
      <c r="AZ214" s="330"/>
      <c r="BA214" s="330"/>
      <c r="BB214" s="330"/>
      <c r="BC214" s="371">
        <f>D214/AS214</f>
        <v>0.41216216216216217</v>
      </c>
      <c r="BD214" s="1811">
        <f>(K214+AA214)/AS214</f>
        <v>0.58783783783783783</v>
      </c>
      <c r="BE214" s="1435">
        <f>AL214/AS214</f>
        <v>0</v>
      </c>
    </row>
    <row r="215" spans="1:57" ht="12" hidden="1" customHeight="1" outlineLevel="1">
      <c r="A215" s="132" t="str">
        <f>$A$33</f>
        <v>4Q</v>
      </c>
      <c r="B215" s="132" t="str">
        <f>$B$33</f>
        <v>Jan</v>
      </c>
      <c r="C215" s="132"/>
      <c r="D215" s="1438">
        <f t="shared" si="12"/>
        <v>62</v>
      </c>
      <c r="E215" s="1419">
        <f t="shared" si="12"/>
        <v>1</v>
      </c>
      <c r="F215" s="1420">
        <f>+(D215/D208-1)*100</f>
        <v>6.8965517241379226</v>
      </c>
      <c r="G215" s="1439"/>
      <c r="H215" s="1422"/>
      <c r="I215" s="1420"/>
      <c r="J215" s="330"/>
      <c r="K215" s="1438">
        <f t="shared" si="13"/>
        <v>77</v>
      </c>
      <c r="L215" s="1437">
        <f t="shared" si="13"/>
        <v>2</v>
      </c>
      <c r="M215" s="1438"/>
      <c r="N215" s="1418"/>
      <c r="O215" s="1438"/>
      <c r="P215" s="1440"/>
      <c r="Q215" s="1420">
        <f>+(K215/K208-1)*100</f>
        <v>6.944444444444442</v>
      </c>
      <c r="R215" s="1420"/>
      <c r="S215" s="1420"/>
      <c r="T215" s="1427"/>
      <c r="U215" s="1464">
        <v>53</v>
      </c>
      <c r="V215" s="1437"/>
      <c r="W215" s="1420"/>
      <c r="X215" s="1420"/>
      <c r="Y215" s="1420"/>
      <c r="Z215" s="1427"/>
      <c r="AA215" s="1438">
        <f t="shared" si="14"/>
        <v>12</v>
      </c>
      <c r="AB215" s="1441">
        <f t="shared" si="14"/>
        <v>0</v>
      </c>
      <c r="AC215" s="1420">
        <f>+(AA215/AA208-1)*100</f>
        <v>9.0909090909090828</v>
      </c>
      <c r="AD215" s="1438"/>
      <c r="AE215" s="1442"/>
      <c r="AF215" s="1420"/>
      <c r="AG215" s="1438"/>
      <c r="AH215" s="1441"/>
      <c r="AI215" s="1420"/>
      <c r="AJ215" s="1438"/>
      <c r="AK215" s="1442"/>
      <c r="AL215" s="1438"/>
      <c r="AM215" s="1442"/>
      <c r="AN215" s="1420"/>
      <c r="AO215" s="1443"/>
      <c r="AP215" s="1422"/>
      <c r="AQ215" s="1420"/>
      <c r="AR215" s="1427"/>
      <c r="AS215" s="1444">
        <f>AA215+K215+D215</f>
        <v>151</v>
      </c>
      <c r="AT215" s="1431">
        <f>AS215-AS214</f>
        <v>3</v>
      </c>
      <c r="AU215" s="1432">
        <f>+(AS215/AS208-1)*100</f>
        <v>7.0921985815602939</v>
      </c>
      <c r="AV215" s="1422"/>
      <c r="AW215" s="1422"/>
      <c r="AX215" s="1433">
        <f>AS215-D215-AL215</f>
        <v>89</v>
      </c>
      <c r="AY215" s="1434">
        <f>AX215-AX214</f>
        <v>2</v>
      </c>
      <c r="AZ215" s="330"/>
      <c r="BA215" s="330"/>
      <c r="BB215" s="330"/>
      <c r="BC215" s="371">
        <f>D215/AS215</f>
        <v>0.41059602649006621</v>
      </c>
      <c r="BD215" s="1812">
        <f>(K215+AA215)/AS215</f>
        <v>0.58940397350993379</v>
      </c>
      <c r="BE215" s="1445">
        <f>AL215/AS215</f>
        <v>0</v>
      </c>
    </row>
    <row r="216" spans="1:57" ht="12" hidden="1" customHeight="1" outlineLevel="1">
      <c r="A216" s="132"/>
      <c r="B216" s="132" t="str">
        <f>$B$34</f>
        <v>Year</v>
      </c>
      <c r="C216" s="132"/>
      <c r="D216" s="1425">
        <f>D215</f>
        <v>62</v>
      </c>
      <c r="E216" s="1446">
        <f>E132+L132</f>
        <v>4</v>
      </c>
      <c r="F216" s="1420">
        <f>+(D216/D209-1)*100</f>
        <v>6.8965517241379226</v>
      </c>
      <c r="G216" s="1421"/>
      <c r="H216" s="1422"/>
      <c r="I216" s="1420"/>
      <c r="J216" s="330"/>
      <c r="K216" s="1425">
        <f>K215</f>
        <v>77</v>
      </c>
      <c r="L216" s="1447">
        <f>AB132+AE132</f>
        <v>5</v>
      </c>
      <c r="M216" s="1425"/>
      <c r="N216" s="1448"/>
      <c r="O216" s="1418"/>
      <c r="P216" s="1448"/>
      <c r="Q216" s="1420">
        <f>+(K216/K209-1)*100</f>
        <v>6.944444444444442</v>
      </c>
      <c r="R216" s="1420"/>
      <c r="S216" s="1420"/>
      <c r="T216" s="1427"/>
      <c r="U216" s="1425"/>
      <c r="V216" s="1447"/>
      <c r="W216" s="1420"/>
      <c r="X216" s="1420"/>
      <c r="Y216" s="1420"/>
      <c r="Z216" s="1427"/>
      <c r="AA216" s="1425">
        <f>AA215</f>
        <v>12</v>
      </c>
      <c r="AB216" s="1449">
        <v>3</v>
      </c>
      <c r="AC216" s="1420">
        <f>+(AA216/AA209-1)*100</f>
        <v>9.0909090909090828</v>
      </c>
      <c r="AD216" s="1425"/>
      <c r="AE216" s="1450"/>
      <c r="AF216" s="1420"/>
      <c r="AG216" s="1425"/>
      <c r="AH216" s="1449"/>
      <c r="AI216" s="1420"/>
      <c r="AJ216" s="1425"/>
      <c r="AK216" s="1450"/>
      <c r="AL216" s="1425"/>
      <c r="AM216" s="1450"/>
      <c r="AN216" s="1420"/>
      <c r="AO216" s="1430"/>
      <c r="AP216" s="1422"/>
      <c r="AQ216" s="1420"/>
      <c r="AR216" s="1427"/>
      <c r="AS216" s="1425">
        <f>AA216+K216+D216</f>
        <v>151</v>
      </c>
      <c r="AT216" s="1451">
        <f>AS216-AS209</f>
        <v>10</v>
      </c>
      <c r="AU216" s="1432">
        <f>+(AS216/AS209-1)*100</f>
        <v>7.0921985815602939</v>
      </c>
      <c r="AV216" s="1422"/>
      <c r="AW216" s="1422"/>
      <c r="AX216" s="1433">
        <f>AS216-D216-AL216</f>
        <v>89</v>
      </c>
      <c r="AY216" s="1434">
        <f>AX216-AX209</f>
        <v>6</v>
      </c>
      <c r="AZ216" s="330"/>
      <c r="BA216" s="330"/>
      <c r="BB216" s="330"/>
      <c r="BC216" s="1452">
        <f>D216/AS216</f>
        <v>0.41059602649006621</v>
      </c>
      <c r="BD216" s="1811">
        <f>(K216+AA216)/AS216</f>
        <v>0.58940397350993379</v>
      </c>
      <c r="BE216" s="1452">
        <f>AL216/AS216</f>
        <v>0</v>
      </c>
    </row>
    <row r="217" spans="1:57" ht="12" hidden="1" customHeight="1" outlineLevel="1">
      <c r="A217" s="131"/>
      <c r="B217" s="131"/>
      <c r="C217" s="131"/>
      <c r="D217" s="367"/>
      <c r="E217" s="1453"/>
      <c r="F217" s="1454"/>
      <c r="G217" s="405"/>
      <c r="H217" s="367"/>
      <c r="I217" s="1420"/>
      <c r="J217" s="330"/>
      <c r="K217" s="367"/>
      <c r="L217" s="579"/>
      <c r="M217" s="367"/>
      <c r="N217" s="579"/>
      <c r="O217" s="367"/>
      <c r="P217" s="1455"/>
      <c r="Q217" s="367"/>
      <c r="R217" s="367"/>
      <c r="S217" s="367"/>
      <c r="T217" s="580"/>
      <c r="U217" s="367"/>
      <c r="V217" s="579"/>
      <c r="W217" s="367"/>
      <c r="X217" s="367"/>
      <c r="Y217" s="367"/>
      <c r="Z217" s="580"/>
      <c r="AA217" s="367"/>
      <c r="AB217" s="579"/>
      <c r="AC217" s="367"/>
      <c r="AD217" s="367"/>
      <c r="AE217" s="579"/>
      <c r="AF217" s="367"/>
      <c r="AG217" s="367"/>
      <c r="AH217" s="579"/>
      <c r="AI217" s="367"/>
      <c r="AJ217" s="367"/>
      <c r="AK217" s="579"/>
      <c r="AL217" s="367"/>
      <c r="AM217" s="579"/>
      <c r="AN217" s="579"/>
      <c r="AO217" s="330"/>
      <c r="AP217" s="367"/>
      <c r="AQ217" s="1454"/>
      <c r="AR217" s="580"/>
      <c r="AS217" s="339"/>
      <c r="AT217" s="330"/>
      <c r="AU217" s="330"/>
      <c r="AV217" s="330"/>
      <c r="AW217" s="330"/>
      <c r="AX217" s="330"/>
      <c r="AY217" s="1456"/>
      <c r="AZ217" s="330"/>
      <c r="BA217" s="330"/>
      <c r="BB217" s="330"/>
      <c r="BC217" s="330"/>
      <c r="BD217" s="405"/>
      <c r="BE217" s="330"/>
    </row>
    <row r="218" spans="1:57" ht="12" hidden="1" customHeight="1" outlineLevel="1">
      <c r="A218" s="2506">
        <v>2005</v>
      </c>
      <c r="B218" s="2506"/>
      <c r="C218" s="132"/>
      <c r="D218" s="1457"/>
      <c r="E218" s="1453"/>
      <c r="F218" s="1454"/>
      <c r="G218" s="1458"/>
      <c r="H218" s="1459"/>
      <c r="I218" s="1420"/>
      <c r="J218" s="330"/>
      <c r="K218" s="1460"/>
      <c r="L218" s="1461"/>
      <c r="M218" s="1460"/>
      <c r="N218" s="1461"/>
      <c r="O218" s="1460"/>
      <c r="P218" s="1455"/>
      <c r="Q218" s="367"/>
      <c r="R218" s="367"/>
      <c r="S218" s="367"/>
      <c r="T218" s="580"/>
      <c r="U218" s="1460"/>
      <c r="V218" s="1461"/>
      <c r="W218" s="367"/>
      <c r="X218" s="367"/>
      <c r="Y218" s="367"/>
      <c r="Z218" s="580"/>
      <c r="AA218" s="1460"/>
      <c r="AB218" s="579"/>
      <c r="AC218" s="367"/>
      <c r="AD218" s="1460"/>
      <c r="AE218" s="579"/>
      <c r="AF218" s="367"/>
      <c r="AG218" s="1460"/>
      <c r="AH218" s="579"/>
      <c r="AI218" s="367"/>
      <c r="AJ218" s="1460"/>
      <c r="AK218" s="579"/>
      <c r="AL218" s="1460"/>
      <c r="AM218" s="579"/>
      <c r="AN218" s="579"/>
      <c r="AO218" s="1460"/>
      <c r="AP218" s="367"/>
      <c r="AQ218" s="1454"/>
      <c r="AR218" s="580"/>
      <c r="AS218" s="1462"/>
      <c r="AT218" s="330"/>
      <c r="AU218" s="330"/>
      <c r="AV218" s="330"/>
      <c r="AW218" s="330"/>
      <c r="AX218" s="1433"/>
      <c r="AY218" s="1434"/>
      <c r="AZ218" s="330"/>
      <c r="BA218" s="330"/>
      <c r="BB218" s="330"/>
      <c r="BC218" s="330"/>
      <c r="BD218" s="405"/>
      <c r="BE218" s="330"/>
    </row>
    <row r="219" spans="1:57" ht="12" hidden="1" customHeight="1" outlineLevel="1">
      <c r="A219" s="132" t="str">
        <f>$A$30</f>
        <v>1Q</v>
      </c>
      <c r="B219" s="132" t="str">
        <f>$B$30</f>
        <v>Apr</v>
      </c>
      <c r="C219" s="132"/>
      <c r="D219" s="1418">
        <f t="shared" ref="D219:E222" si="15">D135+K135</f>
        <v>63</v>
      </c>
      <c r="E219" s="1419">
        <f t="shared" si="15"/>
        <v>1</v>
      </c>
      <c r="F219" s="1420">
        <f>+(D219/D212-1)*100</f>
        <v>8.6206896551724199</v>
      </c>
      <c r="G219" s="1421"/>
      <c r="H219" s="1422"/>
      <c r="I219" s="1420"/>
      <c r="J219" s="1463"/>
      <c r="K219" s="1418">
        <f t="shared" ref="K219:L222" si="16">AA135+AD135</f>
        <v>77</v>
      </c>
      <c r="L219" s="1423">
        <f t="shared" si="16"/>
        <v>0</v>
      </c>
      <c r="M219" s="1418"/>
      <c r="N219" s="1424"/>
      <c r="O219" s="1425"/>
      <c r="P219" s="1426"/>
      <c r="Q219" s="1420">
        <f>+(K219/K212-1)*100</f>
        <v>6.944444444444442</v>
      </c>
      <c r="R219" s="1420"/>
      <c r="S219" s="1420"/>
      <c r="T219" s="1427"/>
      <c r="U219" s="1418"/>
      <c r="V219" s="1423"/>
      <c r="W219" s="1420"/>
      <c r="X219" s="1420"/>
      <c r="Y219" s="1420"/>
      <c r="Z219" s="1427"/>
      <c r="AA219" s="1418">
        <f t="shared" ref="AA219:AB222" si="17">M135</f>
        <v>12</v>
      </c>
      <c r="AB219" s="1428">
        <f t="shared" si="17"/>
        <v>0</v>
      </c>
      <c r="AC219" s="1420">
        <f>+(AA219/AA212-1)*100</f>
        <v>0</v>
      </c>
      <c r="AD219" s="1418"/>
      <c r="AE219" s="1429"/>
      <c r="AF219" s="1420"/>
      <c r="AG219" s="1418"/>
      <c r="AH219" s="1428"/>
      <c r="AI219" s="1420"/>
      <c r="AJ219" s="1418"/>
      <c r="AK219" s="1429"/>
      <c r="AL219" s="1418"/>
      <c r="AM219" s="1429"/>
      <c r="AN219" s="1420"/>
      <c r="AO219" s="1430"/>
      <c r="AP219" s="1422"/>
      <c r="AQ219" s="1420"/>
      <c r="AR219" s="1427"/>
      <c r="AS219" s="1425">
        <f>AA219+K219+D219</f>
        <v>152</v>
      </c>
      <c r="AT219" s="1431">
        <f>AS219-AS216</f>
        <v>1</v>
      </c>
      <c r="AU219" s="1432">
        <f>+(AS219/AS212-1)*100</f>
        <v>7.0422535211267512</v>
      </c>
      <c r="AV219" s="1422"/>
      <c r="AW219" s="1422"/>
      <c r="AX219" s="1433">
        <f>AS219-D219-AL219</f>
        <v>89</v>
      </c>
      <c r="AY219" s="1434">
        <f>AX219-AX216</f>
        <v>0</v>
      </c>
      <c r="AZ219" s="330"/>
      <c r="BA219" s="330"/>
      <c r="BB219" s="330"/>
      <c r="BC219" s="371">
        <f>D219/AS219</f>
        <v>0.41447368421052633</v>
      </c>
      <c r="BD219" s="1811">
        <f>(K219+AA219)/AS219</f>
        <v>0.58552631578947367</v>
      </c>
      <c r="BE219" s="1435">
        <f>AL219/AS219</f>
        <v>0</v>
      </c>
    </row>
    <row r="220" spans="1:57" ht="12" hidden="1" customHeight="1" outlineLevel="1">
      <c r="A220" s="132" t="str">
        <f>$A$31</f>
        <v>2Q</v>
      </c>
      <c r="B220" s="132" t="str">
        <f>$B$31</f>
        <v>Jul</v>
      </c>
      <c r="C220" s="132"/>
      <c r="D220" s="1418">
        <f t="shared" si="15"/>
        <v>64</v>
      </c>
      <c r="E220" s="1419">
        <f t="shared" si="15"/>
        <v>1</v>
      </c>
      <c r="F220" s="1420">
        <f>+(D220/D213-1)*100</f>
        <v>6.6666666666666652</v>
      </c>
      <c r="G220" s="1421"/>
      <c r="H220" s="1422"/>
      <c r="I220" s="1420"/>
      <c r="J220" s="1463"/>
      <c r="K220" s="1418">
        <f t="shared" si="16"/>
        <v>79</v>
      </c>
      <c r="L220" s="1437">
        <f t="shared" si="16"/>
        <v>2</v>
      </c>
      <c r="M220" s="1418"/>
      <c r="N220" s="1424"/>
      <c r="O220" s="1418"/>
      <c r="P220" s="1426"/>
      <c r="Q220" s="1420">
        <f>+(K220/K213-1)*100</f>
        <v>8.2191780821917924</v>
      </c>
      <c r="R220" s="1420"/>
      <c r="S220" s="1420"/>
      <c r="T220" s="1427"/>
      <c r="U220" s="1418"/>
      <c r="V220" s="1437"/>
      <c r="W220" s="1420"/>
      <c r="X220" s="1420"/>
      <c r="Y220" s="1420"/>
      <c r="Z220" s="1427"/>
      <c r="AA220" s="1418">
        <f t="shared" si="17"/>
        <v>12</v>
      </c>
      <c r="AB220" s="1428">
        <f t="shared" si="17"/>
        <v>0</v>
      </c>
      <c r="AC220" s="1420">
        <f>+(AA220/AA213-1)*100</f>
        <v>0</v>
      </c>
      <c r="AD220" s="1418"/>
      <c r="AE220" s="1429"/>
      <c r="AF220" s="1420"/>
      <c r="AG220" s="1418"/>
      <c r="AH220" s="1428"/>
      <c r="AI220" s="1420"/>
      <c r="AJ220" s="1418"/>
      <c r="AK220" s="1429"/>
      <c r="AL220" s="1418"/>
      <c r="AM220" s="1429"/>
      <c r="AN220" s="1420"/>
      <c r="AO220" s="1430"/>
      <c r="AP220" s="1422"/>
      <c r="AQ220" s="1420"/>
      <c r="AR220" s="1427"/>
      <c r="AS220" s="1425">
        <f>AA220+K220+D220</f>
        <v>155</v>
      </c>
      <c r="AT220" s="1431">
        <f>AS220-AS219</f>
        <v>3</v>
      </c>
      <c r="AU220" s="1432">
        <f>+(AS220/AS213-1)*100</f>
        <v>6.8965517241379226</v>
      </c>
      <c r="AV220" s="1422"/>
      <c r="AW220" s="1422"/>
      <c r="AX220" s="1433">
        <f>AS220-D220-AL220</f>
        <v>91</v>
      </c>
      <c r="AY220" s="1434">
        <f>AX220-AX219</f>
        <v>2</v>
      </c>
      <c r="AZ220" s="330"/>
      <c r="BA220" s="330"/>
      <c r="BB220" s="330"/>
      <c r="BC220" s="371">
        <f>D220/AS220</f>
        <v>0.41290322580645161</v>
      </c>
      <c r="BD220" s="1811">
        <f>(K220+AA220)/AS220</f>
        <v>0.58709677419354833</v>
      </c>
      <c r="BE220" s="1435">
        <f>AL220/AS220</f>
        <v>0</v>
      </c>
    </row>
    <row r="221" spans="1:57" ht="12" hidden="1" customHeight="1" outlineLevel="1">
      <c r="A221" s="132" t="str">
        <f>$A$32</f>
        <v>3Q</v>
      </c>
      <c r="B221" s="132" t="str">
        <f>$B$32</f>
        <v>Oct</v>
      </c>
      <c r="C221" s="132"/>
      <c r="D221" s="1418">
        <f t="shared" si="15"/>
        <v>65</v>
      </c>
      <c r="E221" s="1419">
        <f t="shared" si="15"/>
        <v>1</v>
      </c>
      <c r="F221" s="1420">
        <f>+(D221/D214-1)*100</f>
        <v>6.5573770491803351</v>
      </c>
      <c r="G221" s="1421"/>
      <c r="H221" s="1422"/>
      <c r="I221" s="1420"/>
      <c r="J221" s="1463"/>
      <c r="K221" s="1418">
        <f t="shared" si="16"/>
        <v>80</v>
      </c>
      <c r="L221" s="1437">
        <f t="shared" si="16"/>
        <v>1</v>
      </c>
      <c r="M221" s="1418"/>
      <c r="N221" s="1424"/>
      <c r="O221" s="1418"/>
      <c r="P221" s="1426"/>
      <c r="Q221" s="1420">
        <f>+(K221/K214-1)*100</f>
        <v>6.6666666666666652</v>
      </c>
      <c r="R221" s="1420"/>
      <c r="S221" s="1420"/>
      <c r="T221" s="1427"/>
      <c r="U221" s="1418"/>
      <c r="V221" s="1437"/>
      <c r="W221" s="1420"/>
      <c r="X221" s="1420"/>
      <c r="Y221" s="1420"/>
      <c r="Z221" s="1427"/>
      <c r="AA221" s="1418">
        <f t="shared" si="17"/>
        <v>13</v>
      </c>
      <c r="AB221" s="1428">
        <f t="shared" si="17"/>
        <v>1</v>
      </c>
      <c r="AC221" s="1420">
        <f>+(AA221/AA214-1)*100</f>
        <v>8.333333333333325</v>
      </c>
      <c r="AD221" s="1418"/>
      <c r="AE221" s="1429"/>
      <c r="AF221" s="1420"/>
      <c r="AG221" s="1418"/>
      <c r="AH221" s="1428"/>
      <c r="AI221" s="1420"/>
      <c r="AJ221" s="1418"/>
      <c r="AK221" s="1429"/>
      <c r="AL221" s="1418"/>
      <c r="AM221" s="1429"/>
      <c r="AN221" s="1420"/>
      <c r="AO221" s="1430"/>
      <c r="AP221" s="1422"/>
      <c r="AQ221" s="1420"/>
      <c r="AR221" s="1427"/>
      <c r="AS221" s="1425">
        <f>AA221+K221+D221</f>
        <v>158</v>
      </c>
      <c r="AT221" s="1431">
        <f>AS221-AS220</f>
        <v>3</v>
      </c>
      <c r="AU221" s="1432">
        <f>+(AS221/AS214-1)*100</f>
        <v>6.7567567567567544</v>
      </c>
      <c r="AV221" s="1422"/>
      <c r="AW221" s="1422"/>
      <c r="AX221" s="1433">
        <f>AS221-D221-AL221</f>
        <v>93</v>
      </c>
      <c r="AY221" s="1434">
        <f>AX221-AX220</f>
        <v>2</v>
      </c>
      <c r="AZ221" s="330"/>
      <c r="BA221" s="330"/>
      <c r="BB221" s="330"/>
      <c r="BC221" s="371">
        <f>D221/AS221</f>
        <v>0.41139240506329117</v>
      </c>
      <c r="BD221" s="1811">
        <f>(K221+AA221)/AS221</f>
        <v>0.58860759493670889</v>
      </c>
      <c r="BE221" s="1435">
        <f>AL221/AS221</f>
        <v>0</v>
      </c>
    </row>
    <row r="222" spans="1:57" ht="12" hidden="1" customHeight="1" outlineLevel="1">
      <c r="A222" s="132" t="str">
        <f>$A$33</f>
        <v>4Q</v>
      </c>
      <c r="B222" s="132" t="str">
        <f>$B$33</f>
        <v>Jan</v>
      </c>
      <c r="C222" s="132"/>
      <c r="D222" s="1438">
        <f t="shared" si="15"/>
        <v>66</v>
      </c>
      <c r="E222" s="1419">
        <f t="shared" si="15"/>
        <v>1</v>
      </c>
      <c r="F222" s="1420">
        <f>+(D222/D215-1)*100</f>
        <v>6.4516129032258007</v>
      </c>
      <c r="G222" s="1439"/>
      <c r="H222" s="1422"/>
      <c r="I222" s="1420"/>
      <c r="J222" s="1463"/>
      <c r="K222" s="1438">
        <f t="shared" si="16"/>
        <v>75</v>
      </c>
      <c r="L222" s="1437">
        <f t="shared" si="16"/>
        <v>-5</v>
      </c>
      <c r="M222" s="1438"/>
      <c r="N222" s="1418"/>
      <c r="O222" s="1438"/>
      <c r="P222" s="1440"/>
      <c r="Q222" s="1420">
        <f>+(K222/K215-1)*100</f>
        <v>-2.5974025974025983</v>
      </c>
      <c r="R222" s="1420"/>
      <c r="S222" s="1420"/>
      <c r="T222" s="1427"/>
      <c r="U222" s="1464">
        <v>50</v>
      </c>
      <c r="V222" s="1437"/>
      <c r="W222" s="1420"/>
      <c r="X222" s="1420"/>
      <c r="Y222" s="1420"/>
      <c r="Z222" s="1427"/>
      <c r="AA222" s="1438">
        <f t="shared" si="17"/>
        <v>13</v>
      </c>
      <c r="AB222" s="1441">
        <f t="shared" si="17"/>
        <v>0</v>
      </c>
      <c r="AC222" s="1420">
        <f>+(AA222/AA215-1)*100</f>
        <v>8.333333333333325</v>
      </c>
      <c r="AD222" s="1438"/>
      <c r="AE222" s="1442"/>
      <c r="AF222" s="1420"/>
      <c r="AG222" s="1438"/>
      <c r="AH222" s="1441"/>
      <c r="AI222" s="1420"/>
      <c r="AJ222" s="1438"/>
      <c r="AK222" s="1442"/>
      <c r="AL222" s="1438"/>
      <c r="AM222" s="1442"/>
      <c r="AN222" s="1420"/>
      <c r="AO222" s="1443"/>
      <c r="AP222" s="1422"/>
      <c r="AQ222" s="1420"/>
      <c r="AR222" s="1427"/>
      <c r="AS222" s="1444">
        <f>AA222+K222+D222</f>
        <v>154</v>
      </c>
      <c r="AT222" s="1431">
        <f>AS222-AS221</f>
        <v>-4</v>
      </c>
      <c r="AU222" s="1432">
        <f>+(AS222/AS215-1)*100</f>
        <v>1.9867549668874274</v>
      </c>
      <c r="AV222" s="1422"/>
      <c r="AW222" s="1422"/>
      <c r="AX222" s="1433">
        <f>AS222-D222-AL222</f>
        <v>88</v>
      </c>
      <c r="AY222" s="1434">
        <f>AX222-AX221</f>
        <v>-5</v>
      </c>
      <c r="AZ222" s="330"/>
      <c r="BA222" s="330"/>
      <c r="BB222" s="330"/>
      <c r="BC222" s="371">
        <f>D222/AS222</f>
        <v>0.42857142857142855</v>
      </c>
      <c r="BD222" s="1812">
        <f>(K222+AA222)/AS222</f>
        <v>0.5714285714285714</v>
      </c>
      <c r="BE222" s="1445">
        <f>AL222/AS222</f>
        <v>0</v>
      </c>
    </row>
    <row r="223" spans="1:57" ht="12" hidden="1" customHeight="1" outlineLevel="1">
      <c r="A223" s="132"/>
      <c r="B223" s="132" t="str">
        <f>$B$34</f>
        <v>Year</v>
      </c>
      <c r="C223" s="132"/>
      <c r="D223" s="1425">
        <f>D222</f>
        <v>66</v>
      </c>
      <c r="E223" s="1446">
        <f>E139+L139</f>
        <v>4</v>
      </c>
      <c r="F223" s="1420">
        <f>+(D223/D216-1)*100</f>
        <v>6.4516129032258007</v>
      </c>
      <c r="G223" s="1421"/>
      <c r="H223" s="1422"/>
      <c r="I223" s="1420"/>
      <c r="J223" s="1463"/>
      <c r="K223" s="1425">
        <f>K222</f>
        <v>75</v>
      </c>
      <c r="L223" s="1447">
        <f>AB139+AE139</f>
        <v>-2</v>
      </c>
      <c r="M223" s="1425"/>
      <c r="N223" s="1448"/>
      <c r="O223" s="1418"/>
      <c r="P223" s="1448"/>
      <c r="Q223" s="1420">
        <f>+(K223/K216-1)*100</f>
        <v>-2.5974025974025983</v>
      </c>
      <c r="R223" s="1420"/>
      <c r="S223" s="1420"/>
      <c r="T223" s="1427"/>
      <c r="U223" s="1425"/>
      <c r="V223" s="1447"/>
      <c r="W223" s="1420"/>
      <c r="X223" s="1420"/>
      <c r="Y223" s="1420"/>
      <c r="Z223" s="1427"/>
      <c r="AA223" s="1425">
        <f>AA222</f>
        <v>13</v>
      </c>
      <c r="AB223" s="1449">
        <v>3</v>
      </c>
      <c r="AC223" s="1420">
        <f>+(AA223/AA216-1)*100</f>
        <v>8.333333333333325</v>
      </c>
      <c r="AD223" s="1425"/>
      <c r="AE223" s="1450"/>
      <c r="AF223" s="1420"/>
      <c r="AG223" s="1425"/>
      <c r="AH223" s="1449"/>
      <c r="AI223" s="1420"/>
      <c r="AJ223" s="1425"/>
      <c r="AK223" s="1450"/>
      <c r="AL223" s="1425"/>
      <c r="AM223" s="1450"/>
      <c r="AN223" s="1420"/>
      <c r="AO223" s="1430"/>
      <c r="AP223" s="1422"/>
      <c r="AQ223" s="1420"/>
      <c r="AR223" s="1427"/>
      <c r="AS223" s="1425">
        <f>AA223+K223+D223</f>
        <v>154</v>
      </c>
      <c r="AT223" s="1451">
        <f>AS223-AS216</f>
        <v>3</v>
      </c>
      <c r="AU223" s="1432">
        <f>+(AS223/AS216-1)*100</f>
        <v>1.9867549668874274</v>
      </c>
      <c r="AV223" s="1422"/>
      <c r="AW223" s="1422"/>
      <c r="AX223" s="1433">
        <f>AS223-D223-AL223</f>
        <v>88</v>
      </c>
      <c r="AY223" s="1434">
        <f>AX223-AX216</f>
        <v>-1</v>
      </c>
      <c r="AZ223" s="330"/>
      <c r="BA223" s="330"/>
      <c r="BB223" s="330"/>
      <c r="BC223" s="1452">
        <f>D223/AS223</f>
        <v>0.42857142857142855</v>
      </c>
      <c r="BD223" s="1811">
        <f>(K223+AA223)/AS223</f>
        <v>0.5714285714285714</v>
      </c>
      <c r="BE223" s="1452">
        <f>AL223/AS223</f>
        <v>0</v>
      </c>
    </row>
    <row r="224" spans="1:57" ht="12" hidden="1" customHeight="1" outlineLevel="1">
      <c r="A224" s="131"/>
      <c r="B224" s="131"/>
      <c r="C224" s="131"/>
      <c r="D224" s="367"/>
      <c r="E224" s="1453"/>
      <c r="F224" s="1454"/>
      <c r="G224" s="405"/>
      <c r="H224" s="367"/>
      <c r="I224" s="1420"/>
      <c r="J224" s="330"/>
      <c r="K224" s="367"/>
      <c r="L224" s="579"/>
      <c r="M224" s="367"/>
      <c r="N224" s="579"/>
      <c r="O224" s="367"/>
      <c r="P224" s="1455"/>
      <c r="Q224" s="367"/>
      <c r="R224" s="367"/>
      <c r="S224" s="367"/>
      <c r="T224" s="580"/>
      <c r="U224" s="367"/>
      <c r="V224" s="579"/>
      <c r="W224" s="367"/>
      <c r="X224" s="367"/>
      <c r="Y224" s="367"/>
      <c r="Z224" s="580"/>
      <c r="AA224" s="367"/>
      <c r="AB224" s="579"/>
      <c r="AC224" s="367"/>
      <c r="AD224" s="367"/>
      <c r="AE224" s="579"/>
      <c r="AF224" s="367"/>
      <c r="AG224" s="367"/>
      <c r="AH224" s="579"/>
      <c r="AI224" s="367"/>
      <c r="AJ224" s="367"/>
      <c r="AK224" s="579"/>
      <c r="AL224" s="367"/>
      <c r="AM224" s="579"/>
      <c r="AN224" s="579"/>
      <c r="AO224" s="330"/>
      <c r="AP224" s="367"/>
      <c r="AQ224" s="1454"/>
      <c r="AR224" s="580"/>
      <c r="AS224" s="339"/>
      <c r="AT224" s="330"/>
      <c r="AU224" s="330"/>
      <c r="AV224" s="330"/>
      <c r="AW224" s="330"/>
      <c r="AX224" s="330"/>
      <c r="AY224" s="1456"/>
      <c r="AZ224" s="330"/>
      <c r="BA224" s="330"/>
      <c r="BB224" s="330"/>
      <c r="BC224" s="330"/>
      <c r="BD224" s="405"/>
      <c r="BE224" s="330"/>
    </row>
    <row r="225" spans="1:57" ht="12" hidden="1" customHeight="1" outlineLevel="1">
      <c r="A225" s="2506">
        <v>2006</v>
      </c>
      <c r="B225" s="2506"/>
      <c r="C225" s="132"/>
      <c r="D225" s="1457"/>
      <c r="E225" s="1453"/>
      <c r="F225" s="1454"/>
      <c r="G225" s="1458"/>
      <c r="H225" s="1459"/>
      <c r="I225" s="1420"/>
      <c r="J225" s="330"/>
      <c r="K225" s="1460"/>
      <c r="L225" s="1461"/>
      <c r="M225" s="1460"/>
      <c r="N225" s="1461"/>
      <c r="O225" s="1460"/>
      <c r="P225" s="1455"/>
      <c r="Q225" s="367"/>
      <c r="R225" s="367"/>
      <c r="S225" s="367"/>
      <c r="T225" s="580"/>
      <c r="U225" s="1460"/>
      <c r="V225" s="1461"/>
      <c r="W225" s="367"/>
      <c r="X225" s="367"/>
      <c r="Y225" s="367"/>
      <c r="Z225" s="580"/>
      <c r="AA225" s="1460"/>
      <c r="AB225" s="579"/>
      <c r="AC225" s="367"/>
      <c r="AD225" s="1460"/>
      <c r="AE225" s="579"/>
      <c r="AF225" s="367"/>
      <c r="AG225" s="1460"/>
      <c r="AH225" s="579"/>
      <c r="AI225" s="367"/>
      <c r="AJ225" s="1460"/>
      <c r="AK225" s="579"/>
      <c r="AL225" s="1460"/>
      <c r="AM225" s="579"/>
      <c r="AN225" s="579"/>
      <c r="AO225" s="1460"/>
      <c r="AP225" s="367"/>
      <c r="AQ225" s="1454"/>
      <c r="AR225" s="580"/>
      <c r="AS225" s="1462"/>
      <c r="AT225" s="330"/>
      <c r="AU225" s="330"/>
      <c r="AV225" s="330"/>
      <c r="AW225" s="330"/>
      <c r="AX225" s="1433"/>
      <c r="AY225" s="1434"/>
      <c r="AZ225" s="330"/>
      <c r="BA225" s="330"/>
      <c r="BB225" s="330"/>
      <c r="BC225" s="330"/>
      <c r="BD225" s="405"/>
      <c r="BE225" s="330"/>
    </row>
    <row r="226" spans="1:57" ht="12" hidden="1" customHeight="1" outlineLevel="1">
      <c r="A226" s="132" t="str">
        <f>$A$30</f>
        <v>1Q</v>
      </c>
      <c r="B226" s="132" t="str">
        <f>$B$30</f>
        <v>Apr</v>
      </c>
      <c r="C226" s="132"/>
      <c r="D226" s="1418">
        <f t="shared" ref="D226:E229" si="18">D142+K142</f>
        <v>67</v>
      </c>
      <c r="E226" s="1419">
        <f t="shared" si="18"/>
        <v>1</v>
      </c>
      <c r="F226" s="1420">
        <f>+(D226/D219-1)*100</f>
        <v>6.3492063492063489</v>
      </c>
      <c r="G226" s="1421"/>
      <c r="H226" s="1422"/>
      <c r="I226" s="1420"/>
      <c r="J226" s="330"/>
      <c r="K226" s="1418">
        <f t="shared" ref="K226:L229" si="19">AA142+AD142</f>
        <v>76</v>
      </c>
      <c r="L226" s="1423">
        <f t="shared" si="19"/>
        <v>1</v>
      </c>
      <c r="M226" s="1418"/>
      <c r="N226" s="1424"/>
      <c r="O226" s="1425"/>
      <c r="P226" s="1426"/>
      <c r="Q226" s="1420">
        <f>+(K226/K219-1)*100</f>
        <v>-1.2987012987012991</v>
      </c>
      <c r="R226" s="1420"/>
      <c r="S226" s="1420"/>
      <c r="T226" s="1427"/>
      <c r="U226" s="1424">
        <f>+U222+2</f>
        <v>52</v>
      </c>
      <c r="V226" s="1423"/>
      <c r="W226" s="1420"/>
      <c r="X226" s="1420"/>
      <c r="Y226" s="1420"/>
      <c r="Z226" s="1427"/>
      <c r="AA226" s="1418">
        <f t="shared" ref="AA226:AB229" si="20">M142</f>
        <v>13</v>
      </c>
      <c r="AB226" s="1428">
        <f t="shared" si="20"/>
        <v>0</v>
      </c>
      <c r="AC226" s="1420">
        <f>+(AA226/AA219-1)*100</f>
        <v>8.333333333333325</v>
      </c>
      <c r="AD226" s="1418"/>
      <c r="AE226" s="1429"/>
      <c r="AF226" s="1420"/>
      <c r="AG226" s="1418"/>
      <c r="AH226" s="1428"/>
      <c r="AI226" s="1420"/>
      <c r="AJ226" s="1418"/>
      <c r="AK226" s="1429"/>
      <c r="AL226" s="1418"/>
      <c r="AM226" s="1429"/>
      <c r="AN226" s="1420"/>
      <c r="AO226" s="1430"/>
      <c r="AP226" s="1422"/>
      <c r="AQ226" s="1420"/>
      <c r="AR226" s="1427"/>
      <c r="AS226" s="1425">
        <f>AA226+K226+D226</f>
        <v>156</v>
      </c>
      <c r="AT226" s="1431">
        <f>AS226-AS223</f>
        <v>2</v>
      </c>
      <c r="AU226" s="1432">
        <f>+(AS226/AS219-1)*100</f>
        <v>2.6315789473684292</v>
      </c>
      <c r="AV226" s="1422"/>
      <c r="AW226" s="1422"/>
      <c r="AX226" s="1433">
        <f>AS226-D226-AL226</f>
        <v>89</v>
      </c>
      <c r="AY226" s="1434">
        <f>AX226-AX223</f>
        <v>1</v>
      </c>
      <c r="AZ226" s="330"/>
      <c r="BA226" s="330"/>
      <c r="BB226" s="330"/>
      <c r="BC226" s="371">
        <f>D226/AS226</f>
        <v>0.42948717948717946</v>
      </c>
      <c r="BD226" s="1811">
        <f>(K226+AA226)/AS226</f>
        <v>0.57051282051282048</v>
      </c>
      <c r="BE226" s="1435">
        <f>AL226/AS226</f>
        <v>0</v>
      </c>
    </row>
    <row r="227" spans="1:57" ht="12" hidden="1" customHeight="1" outlineLevel="1">
      <c r="A227" s="132" t="str">
        <f>$A$31</f>
        <v>2Q</v>
      </c>
      <c r="B227" s="132" t="str">
        <f>$B$31</f>
        <v>Jul</v>
      </c>
      <c r="C227" s="132"/>
      <c r="D227" s="1418">
        <f t="shared" si="18"/>
        <v>68</v>
      </c>
      <c r="E227" s="1419">
        <f t="shared" si="18"/>
        <v>1</v>
      </c>
      <c r="F227" s="1420">
        <f>+(D227/D220-1)*100</f>
        <v>6.25</v>
      </c>
      <c r="G227" s="1421"/>
      <c r="H227" s="1422"/>
      <c r="I227" s="1420"/>
      <c r="J227" s="1436"/>
      <c r="K227" s="1418">
        <f t="shared" si="19"/>
        <v>76</v>
      </c>
      <c r="L227" s="1437">
        <f t="shared" si="19"/>
        <v>0</v>
      </c>
      <c r="M227" s="1418"/>
      <c r="N227" s="1424"/>
      <c r="O227" s="1418"/>
      <c r="P227" s="1426"/>
      <c r="Q227" s="1420">
        <f>+(K227/K220-1)*100</f>
        <v>-3.7974683544303778</v>
      </c>
      <c r="R227" s="1420"/>
      <c r="S227" s="1420"/>
      <c r="T227" s="1427"/>
      <c r="U227" s="1424">
        <f>U226-1</f>
        <v>51</v>
      </c>
      <c r="V227" s="1437"/>
      <c r="W227" s="1420"/>
      <c r="X227" s="1420"/>
      <c r="Y227" s="1420"/>
      <c r="Z227" s="1427"/>
      <c r="AA227" s="1418">
        <f t="shared" si="20"/>
        <v>13</v>
      </c>
      <c r="AB227" s="1428">
        <f t="shared" si="20"/>
        <v>0</v>
      </c>
      <c r="AC227" s="1420">
        <f>+(AA227/AA220-1)*100</f>
        <v>8.333333333333325</v>
      </c>
      <c r="AD227" s="1418"/>
      <c r="AE227" s="1429"/>
      <c r="AF227" s="1420"/>
      <c r="AG227" s="1418"/>
      <c r="AH227" s="1428"/>
      <c r="AI227" s="1420"/>
      <c r="AJ227" s="1418"/>
      <c r="AK227" s="1429"/>
      <c r="AL227" s="1418"/>
      <c r="AM227" s="1429"/>
      <c r="AN227" s="1420"/>
      <c r="AO227" s="1430"/>
      <c r="AP227" s="1422"/>
      <c r="AQ227" s="1420"/>
      <c r="AR227" s="1427"/>
      <c r="AS227" s="1425">
        <f>AA227+K227+D227</f>
        <v>157</v>
      </c>
      <c r="AT227" s="1431">
        <f>AS227-AS226</f>
        <v>1</v>
      </c>
      <c r="AU227" s="1432">
        <f>+(AS227/AS220-1)*100</f>
        <v>1.2903225806451646</v>
      </c>
      <c r="AV227" s="1422"/>
      <c r="AW227" s="1422"/>
      <c r="AX227" s="1433">
        <f>AS227-D227-AL227</f>
        <v>89</v>
      </c>
      <c r="AY227" s="1434">
        <f>AX227-AX226</f>
        <v>0</v>
      </c>
      <c r="AZ227" s="330"/>
      <c r="BA227" s="330"/>
      <c r="BB227" s="330"/>
      <c r="BC227" s="371">
        <f>D227/AS227</f>
        <v>0.43312101910828027</v>
      </c>
      <c r="BD227" s="1811">
        <f>(K227+AA227)/AS227</f>
        <v>0.56687898089171973</v>
      </c>
      <c r="BE227" s="1435">
        <f>AL227/AS227</f>
        <v>0</v>
      </c>
    </row>
    <row r="228" spans="1:57" ht="12" hidden="1" customHeight="1" outlineLevel="1">
      <c r="A228" s="132" t="str">
        <f>$A$32</f>
        <v>3Q</v>
      </c>
      <c r="B228" s="132" t="str">
        <f>$B$32</f>
        <v>Oct</v>
      </c>
      <c r="C228" s="132"/>
      <c r="D228" s="1418">
        <f t="shared" si="18"/>
        <v>71</v>
      </c>
      <c r="E228" s="1419">
        <f t="shared" si="18"/>
        <v>3</v>
      </c>
      <c r="F228" s="1420">
        <f>+(D228/D221-1)*100</f>
        <v>9.2307692307692193</v>
      </c>
      <c r="G228" s="1421"/>
      <c r="H228" s="1422"/>
      <c r="I228" s="1420"/>
      <c r="J228" s="330"/>
      <c r="K228" s="1418">
        <f t="shared" si="19"/>
        <v>79</v>
      </c>
      <c r="L228" s="1437">
        <f t="shared" si="19"/>
        <v>3</v>
      </c>
      <c r="M228" s="1418"/>
      <c r="N228" s="1424"/>
      <c r="O228" s="1418"/>
      <c r="P228" s="1426"/>
      <c r="Q228" s="1420">
        <f>+(K228/K221-1)*100</f>
        <v>-1.2499999999999956</v>
      </c>
      <c r="R228" s="1420"/>
      <c r="S228" s="1420"/>
      <c r="T228" s="1427"/>
      <c r="U228" s="1424">
        <f>+U227+1</f>
        <v>52</v>
      </c>
      <c r="V228" s="1437"/>
      <c r="W228" s="1420"/>
      <c r="X228" s="1420"/>
      <c r="Y228" s="1420"/>
      <c r="Z228" s="1427"/>
      <c r="AA228" s="1418">
        <f t="shared" si="20"/>
        <v>14</v>
      </c>
      <c r="AB228" s="1428">
        <f t="shared" si="20"/>
        <v>1</v>
      </c>
      <c r="AC228" s="1420">
        <f>+(AA228/AA221-1)*100</f>
        <v>7.6923076923076872</v>
      </c>
      <c r="AD228" s="1418"/>
      <c r="AE228" s="1429"/>
      <c r="AF228" s="1420"/>
      <c r="AG228" s="1418"/>
      <c r="AH228" s="1428"/>
      <c r="AI228" s="1420"/>
      <c r="AJ228" s="1418"/>
      <c r="AK228" s="1429"/>
      <c r="AL228" s="1418"/>
      <c r="AM228" s="1429"/>
      <c r="AN228" s="1420"/>
      <c r="AO228" s="1430"/>
      <c r="AP228" s="1422"/>
      <c r="AQ228" s="1420"/>
      <c r="AR228" s="1427"/>
      <c r="AS228" s="1425">
        <f>AA228+K228+D228</f>
        <v>164</v>
      </c>
      <c r="AT228" s="1431">
        <f>AS228-AS227</f>
        <v>7</v>
      </c>
      <c r="AU228" s="1432">
        <f>+(AS228/AS221-1)*100</f>
        <v>3.7974683544303778</v>
      </c>
      <c r="AV228" s="1422"/>
      <c r="AW228" s="1422"/>
      <c r="AX228" s="1433">
        <f>AS228-D228-AL228</f>
        <v>93</v>
      </c>
      <c r="AY228" s="1434">
        <f>AX228-AX227</f>
        <v>4</v>
      </c>
      <c r="AZ228" s="330"/>
      <c r="BA228" s="330"/>
      <c r="BB228" s="330"/>
      <c r="BC228" s="371">
        <f>D228/AS228</f>
        <v>0.43292682926829268</v>
      </c>
      <c r="BD228" s="1811">
        <f>(K228+AA228)/AS228</f>
        <v>0.56707317073170727</v>
      </c>
      <c r="BE228" s="1435">
        <f>AL228/AS228</f>
        <v>0</v>
      </c>
    </row>
    <row r="229" spans="1:57" ht="12" hidden="1" customHeight="1" outlineLevel="1">
      <c r="A229" s="132" t="str">
        <f>$A$33</f>
        <v>4Q</v>
      </c>
      <c r="B229" s="132" t="str">
        <f>$B$33</f>
        <v>Jan</v>
      </c>
      <c r="C229" s="132"/>
      <c r="D229" s="1438">
        <f t="shared" si="18"/>
        <v>73</v>
      </c>
      <c r="E229" s="1419">
        <f t="shared" si="18"/>
        <v>2</v>
      </c>
      <c r="F229" s="1420">
        <f>+(D229/D222-1)*100</f>
        <v>10.606060606060597</v>
      </c>
      <c r="G229" s="1439"/>
      <c r="H229" s="1422"/>
      <c r="I229" s="1420"/>
      <c r="J229" s="330"/>
      <c r="K229" s="1438">
        <f t="shared" si="19"/>
        <v>80</v>
      </c>
      <c r="L229" s="1437">
        <f t="shared" si="19"/>
        <v>1</v>
      </c>
      <c r="M229" s="1438"/>
      <c r="N229" s="1418"/>
      <c r="O229" s="1438"/>
      <c r="P229" s="1440"/>
      <c r="Q229" s="1420">
        <f>+(K229/K222-1)*100</f>
        <v>6.6666666666666652</v>
      </c>
      <c r="R229" s="1420"/>
      <c r="S229" s="1420"/>
      <c r="T229" s="1427"/>
      <c r="U229" s="1464">
        <v>52</v>
      </c>
      <c r="V229" s="1437"/>
      <c r="W229" s="1420"/>
      <c r="X229" s="1420"/>
      <c r="Y229" s="1420"/>
      <c r="Z229" s="1427"/>
      <c r="AA229" s="1438">
        <f t="shared" si="20"/>
        <v>14</v>
      </c>
      <c r="AB229" s="1441">
        <f t="shared" si="20"/>
        <v>0</v>
      </c>
      <c r="AC229" s="1420">
        <f>+(AA229/AA222-1)*100</f>
        <v>7.6923076923076872</v>
      </c>
      <c r="AD229" s="1438"/>
      <c r="AE229" s="1442"/>
      <c r="AF229" s="1420"/>
      <c r="AG229" s="1438"/>
      <c r="AH229" s="1441"/>
      <c r="AI229" s="1420"/>
      <c r="AJ229" s="1438"/>
      <c r="AK229" s="1442"/>
      <c r="AL229" s="1438"/>
      <c r="AM229" s="1442"/>
      <c r="AN229" s="1420"/>
      <c r="AO229" s="1443"/>
      <c r="AP229" s="1422"/>
      <c r="AQ229" s="1420"/>
      <c r="AR229" s="1427"/>
      <c r="AS229" s="1444">
        <f>AA229+K229+D229</f>
        <v>167</v>
      </c>
      <c r="AT229" s="1431">
        <f>AS229-AS228</f>
        <v>3</v>
      </c>
      <c r="AU229" s="1432">
        <f>+(AS229/AS222-1)*100</f>
        <v>8.441558441558449</v>
      </c>
      <c r="AV229" s="1422"/>
      <c r="AW229" s="1422"/>
      <c r="AX229" s="1433">
        <f>AS229-D229-AL229</f>
        <v>94</v>
      </c>
      <c r="AY229" s="1434">
        <f>AX229-AX228</f>
        <v>1</v>
      </c>
      <c r="AZ229" s="330"/>
      <c r="BA229" s="330"/>
      <c r="BB229" s="330"/>
      <c r="BC229" s="371">
        <f>D229/AS229</f>
        <v>0.43712574850299402</v>
      </c>
      <c r="BD229" s="1812">
        <f>(K229+AA229)/AS229</f>
        <v>0.56287425149700598</v>
      </c>
      <c r="BE229" s="1445">
        <f>AL229/AS229</f>
        <v>0</v>
      </c>
    </row>
    <row r="230" spans="1:57" ht="12" hidden="1" customHeight="1" outlineLevel="1">
      <c r="A230" s="132"/>
      <c r="B230" s="132" t="str">
        <f>$B$34</f>
        <v>Year</v>
      </c>
      <c r="C230" s="132"/>
      <c r="D230" s="1425">
        <f>D229</f>
        <v>73</v>
      </c>
      <c r="E230" s="1446">
        <f>E146+L146</f>
        <v>7</v>
      </c>
      <c r="F230" s="1420">
        <f>+(D230/D223-1)*100</f>
        <v>10.606060606060597</v>
      </c>
      <c r="G230" s="1421"/>
      <c r="H230" s="1422"/>
      <c r="I230" s="1420"/>
      <c r="J230" s="330"/>
      <c r="K230" s="1425">
        <f>K229</f>
        <v>80</v>
      </c>
      <c r="L230" s="1447">
        <f>AB146+AE146</f>
        <v>5</v>
      </c>
      <c r="M230" s="1425"/>
      <c r="N230" s="1448"/>
      <c r="O230" s="1418"/>
      <c r="P230" s="1448"/>
      <c r="Q230" s="1420">
        <f>+(K230/K223-1)*100</f>
        <v>6.6666666666666652</v>
      </c>
      <c r="R230" s="1420"/>
      <c r="S230" s="1420"/>
      <c r="T230" s="1427"/>
      <c r="U230" s="1425">
        <f>U229</f>
        <v>52</v>
      </c>
      <c r="V230" s="1447"/>
      <c r="W230" s="1420"/>
      <c r="X230" s="1420"/>
      <c r="Y230" s="1420"/>
      <c r="Z230" s="1427"/>
      <c r="AA230" s="1425">
        <f>AA229</f>
        <v>14</v>
      </c>
      <c r="AB230" s="1449">
        <v>3</v>
      </c>
      <c r="AC230" s="1420">
        <f>+(AA230/AA223-1)*100</f>
        <v>7.6923076923076872</v>
      </c>
      <c r="AD230" s="1425"/>
      <c r="AE230" s="1450"/>
      <c r="AF230" s="1420"/>
      <c r="AG230" s="1425"/>
      <c r="AH230" s="1449"/>
      <c r="AI230" s="1420"/>
      <c r="AJ230" s="1425"/>
      <c r="AK230" s="1450"/>
      <c r="AL230" s="1425"/>
      <c r="AM230" s="1450"/>
      <c r="AN230" s="1420"/>
      <c r="AO230" s="1430"/>
      <c r="AP230" s="1422"/>
      <c r="AQ230" s="1420"/>
      <c r="AR230" s="1427"/>
      <c r="AS230" s="1425">
        <f>AA230+K230+D230</f>
        <v>167</v>
      </c>
      <c r="AT230" s="1451">
        <f>AS230-AS223</f>
        <v>13</v>
      </c>
      <c r="AU230" s="1432">
        <f>+(AS230/AS223-1)*100</f>
        <v>8.441558441558449</v>
      </c>
      <c r="AV230" s="1422"/>
      <c r="AW230" s="1422"/>
      <c r="AX230" s="1433">
        <f>AS230-D230-AL230</f>
        <v>94</v>
      </c>
      <c r="AY230" s="1434">
        <f>AX230-AX223</f>
        <v>6</v>
      </c>
      <c r="AZ230" s="330"/>
      <c r="BA230" s="330"/>
      <c r="BB230" s="330"/>
      <c r="BC230" s="1452">
        <f>D230/AS230</f>
        <v>0.43712574850299402</v>
      </c>
      <c r="BD230" s="1811">
        <f>(K230+AA230)/AS230</f>
        <v>0.56287425149700598</v>
      </c>
      <c r="BE230" s="1452">
        <f>AL230/AS230</f>
        <v>0</v>
      </c>
    </row>
    <row r="231" spans="1:57" ht="12" hidden="1" customHeight="1" outlineLevel="1">
      <c r="A231" s="131"/>
      <c r="B231" s="131"/>
      <c r="C231" s="131"/>
      <c r="D231" s="367"/>
      <c r="E231" s="1453"/>
      <c r="F231" s="1454"/>
      <c r="G231" s="405"/>
      <c r="H231" s="367"/>
      <c r="I231" s="1420"/>
      <c r="J231" s="330"/>
      <c r="K231" s="367"/>
      <c r="L231" s="579"/>
      <c r="M231" s="367"/>
      <c r="N231" s="579"/>
      <c r="O231" s="367"/>
      <c r="P231" s="1455"/>
      <c r="Q231" s="367"/>
      <c r="R231" s="367"/>
      <c r="S231" s="367"/>
      <c r="T231" s="580"/>
      <c r="U231" s="367"/>
      <c r="V231" s="579"/>
      <c r="W231" s="367"/>
      <c r="X231" s="367"/>
      <c r="Y231" s="367"/>
      <c r="Z231" s="580"/>
      <c r="AA231" s="367"/>
      <c r="AB231" s="579"/>
      <c r="AC231" s="367"/>
      <c r="AD231" s="367"/>
      <c r="AE231" s="579"/>
      <c r="AF231" s="367"/>
      <c r="AG231" s="367"/>
      <c r="AH231" s="579"/>
      <c r="AI231" s="367"/>
      <c r="AJ231" s="367"/>
      <c r="AK231" s="579"/>
      <c r="AL231" s="367"/>
      <c r="AM231" s="579"/>
      <c r="AN231" s="579"/>
      <c r="AO231" s="330"/>
      <c r="AP231" s="367"/>
      <c r="AQ231" s="1454"/>
      <c r="AR231" s="580"/>
      <c r="AS231" s="339"/>
      <c r="AT231" s="330"/>
      <c r="AU231" s="330"/>
      <c r="AV231" s="330"/>
      <c r="AW231" s="330"/>
      <c r="AX231" s="330"/>
      <c r="AY231" s="1456"/>
      <c r="AZ231" s="330"/>
      <c r="BA231" s="330"/>
      <c r="BB231" s="330"/>
      <c r="BC231" s="330"/>
      <c r="BD231" s="405"/>
      <c r="BE231" s="330"/>
    </row>
    <row r="232" spans="1:57" ht="12" hidden="1" customHeight="1" outlineLevel="1">
      <c r="A232" s="2506">
        <v>2007</v>
      </c>
      <c r="B232" s="2506"/>
      <c r="C232" s="132"/>
      <c r="D232" s="1457"/>
      <c r="E232" s="1453"/>
      <c r="F232" s="1454"/>
      <c r="G232" s="1458"/>
      <c r="H232" s="1459"/>
      <c r="I232" s="1420"/>
      <c r="J232" s="330"/>
      <c r="K232" s="1460"/>
      <c r="L232" s="1461"/>
      <c r="M232" s="1460"/>
      <c r="N232" s="1461"/>
      <c r="O232" s="1460"/>
      <c r="P232" s="1455"/>
      <c r="Q232" s="367"/>
      <c r="R232" s="367"/>
      <c r="S232" s="367"/>
      <c r="T232" s="580"/>
      <c r="U232" s="1460"/>
      <c r="V232" s="1461"/>
      <c r="W232" s="367"/>
      <c r="X232" s="367"/>
      <c r="Y232" s="367"/>
      <c r="Z232" s="580"/>
      <c r="AA232" s="1460"/>
      <c r="AB232" s="579"/>
      <c r="AC232" s="367"/>
      <c r="AD232" s="1460"/>
      <c r="AE232" s="579"/>
      <c r="AF232" s="367"/>
      <c r="AG232" s="1460"/>
      <c r="AH232" s="579"/>
      <c r="AI232" s="367"/>
      <c r="AJ232" s="1460"/>
      <c r="AK232" s="579"/>
      <c r="AL232" s="1460"/>
      <c r="AM232" s="579"/>
      <c r="AN232" s="579"/>
      <c r="AO232" s="1460"/>
      <c r="AP232" s="367"/>
      <c r="AQ232" s="1454"/>
      <c r="AR232" s="580"/>
      <c r="AS232" s="1462"/>
      <c r="AT232" s="330"/>
      <c r="AU232" s="330"/>
      <c r="AV232" s="330"/>
      <c r="AW232" s="330"/>
      <c r="AX232" s="1433"/>
      <c r="AY232" s="1434"/>
      <c r="AZ232" s="330"/>
      <c r="BA232" s="330"/>
      <c r="BB232" s="330"/>
      <c r="BC232" s="330"/>
      <c r="BD232" s="405"/>
      <c r="BE232" s="330"/>
    </row>
    <row r="233" spans="1:57" ht="12" hidden="1" customHeight="1" outlineLevel="1">
      <c r="A233" s="132" t="str">
        <f>$A$30</f>
        <v>1Q</v>
      </c>
      <c r="B233" s="132" t="str">
        <f>$B$30</f>
        <v>Apr</v>
      </c>
      <c r="C233" s="132"/>
      <c r="D233" s="1418">
        <f t="shared" ref="D233:E235" si="21">D149+K149</f>
        <v>74</v>
      </c>
      <c r="E233" s="1419">
        <f t="shared" si="21"/>
        <v>1</v>
      </c>
      <c r="F233" s="1420">
        <f>+(D233/D226-1)*100</f>
        <v>10.447761194029859</v>
      </c>
      <c r="G233" s="1421"/>
      <c r="H233" s="1422"/>
      <c r="I233" s="1420"/>
      <c r="J233" s="330"/>
      <c r="K233" s="1424">
        <v>83</v>
      </c>
      <c r="L233" s="1423">
        <f>K233-K230</f>
        <v>3</v>
      </c>
      <c r="M233" s="1418"/>
      <c r="N233" s="1424"/>
      <c r="O233" s="1425"/>
      <c r="P233" s="1426"/>
      <c r="Q233" s="1420">
        <f>+(K233/K226-1)*100</f>
        <v>9.210526315789469</v>
      </c>
      <c r="R233" s="1420"/>
      <c r="S233" s="1420"/>
      <c r="T233" s="1427"/>
      <c r="U233" s="1424">
        <f>+U229+3-2</f>
        <v>53</v>
      </c>
      <c r="V233" s="1423"/>
      <c r="W233" s="1420"/>
      <c r="X233" s="1420"/>
      <c r="Y233" s="1420"/>
      <c r="Z233" s="1427"/>
      <c r="AA233" s="1424">
        <f>M149</f>
        <v>14</v>
      </c>
      <c r="AB233" s="1429">
        <v>0</v>
      </c>
      <c r="AC233" s="1420">
        <f>+(AA233/AA226-1)*100</f>
        <v>7.6923076923076872</v>
      </c>
      <c r="AD233" s="1418"/>
      <c r="AE233" s="1429"/>
      <c r="AF233" s="1420"/>
      <c r="AG233" s="1424"/>
      <c r="AH233" s="1429"/>
      <c r="AI233" s="1420"/>
      <c r="AJ233" s="1418"/>
      <c r="AK233" s="1429"/>
      <c r="AL233" s="1418"/>
      <c r="AM233" s="1429"/>
      <c r="AN233" s="1420"/>
      <c r="AO233" s="1430"/>
      <c r="AP233" s="1422"/>
      <c r="AQ233" s="1420"/>
      <c r="AR233" s="1427"/>
      <c r="AS233" s="1425">
        <f>AA233+K233+D233</f>
        <v>171</v>
      </c>
      <c r="AT233" s="1431">
        <f>AS233-AS230</f>
        <v>4</v>
      </c>
      <c r="AU233" s="1432">
        <f>+(AS233/AS226-1)*100</f>
        <v>9.6153846153846256</v>
      </c>
      <c r="AV233" s="1422"/>
      <c r="AW233" s="1422"/>
      <c r="AX233" s="1433">
        <f>AS233-D233-AL233</f>
        <v>97</v>
      </c>
      <c r="AY233" s="1434">
        <f>AX233-AX230</f>
        <v>3</v>
      </c>
      <c r="AZ233" s="330"/>
      <c r="BA233" s="330"/>
      <c r="BB233" s="330"/>
      <c r="BC233" s="371">
        <f>D233/AS233</f>
        <v>0.43274853801169588</v>
      </c>
      <c r="BD233" s="1811">
        <f>(K233+AA233)/AS233</f>
        <v>0.56725146198830412</v>
      </c>
      <c r="BE233" s="1435">
        <f>AL233/AS233</f>
        <v>0</v>
      </c>
    </row>
    <row r="234" spans="1:57" ht="12" hidden="1" customHeight="1" outlineLevel="1">
      <c r="A234" s="132" t="str">
        <f>$A$31</f>
        <v>2Q</v>
      </c>
      <c r="B234" s="132" t="str">
        <f>$B$31</f>
        <v>Jul</v>
      </c>
      <c r="C234" s="132"/>
      <c r="D234" s="1418">
        <f t="shared" si="21"/>
        <v>74</v>
      </c>
      <c r="E234" s="1419">
        <f t="shared" si="21"/>
        <v>0</v>
      </c>
      <c r="F234" s="1420">
        <f>+(D234/D227-1)*100</f>
        <v>8.8235294117646959</v>
      </c>
      <c r="G234" s="1421"/>
      <c r="H234" s="1422"/>
      <c r="I234" s="1420"/>
      <c r="J234" s="1436"/>
      <c r="K234" s="1424">
        <v>83</v>
      </c>
      <c r="L234" s="1437">
        <f>+K234-K233</f>
        <v>0</v>
      </c>
      <c r="M234" s="1418"/>
      <c r="N234" s="1424"/>
      <c r="O234" s="1418"/>
      <c r="P234" s="1426"/>
      <c r="Q234" s="1420">
        <f>+(K234/K227-1)*100</f>
        <v>9.210526315789469</v>
      </c>
      <c r="R234" s="1420"/>
      <c r="S234" s="1420"/>
      <c r="T234" s="1427"/>
      <c r="U234" s="1424">
        <f>+U233+0</f>
        <v>53</v>
      </c>
      <c r="V234" s="1437"/>
      <c r="W234" s="1420"/>
      <c r="X234" s="1420"/>
      <c r="Y234" s="1420"/>
      <c r="Z234" s="1427"/>
      <c r="AA234" s="1424">
        <v>15</v>
      </c>
      <c r="AB234" s="1429">
        <v>1</v>
      </c>
      <c r="AC234" s="1420">
        <f>+(AA234/AA227-1)*100</f>
        <v>15.384615384615374</v>
      </c>
      <c r="AD234" s="1418"/>
      <c r="AE234" s="1429"/>
      <c r="AF234" s="1420"/>
      <c r="AG234" s="1424"/>
      <c r="AH234" s="1429"/>
      <c r="AI234" s="1420"/>
      <c r="AJ234" s="1418"/>
      <c r="AK234" s="1429"/>
      <c r="AL234" s="1418"/>
      <c r="AM234" s="1429"/>
      <c r="AN234" s="1420"/>
      <c r="AO234" s="1430"/>
      <c r="AP234" s="1422"/>
      <c r="AQ234" s="1420"/>
      <c r="AR234" s="1427"/>
      <c r="AS234" s="1425">
        <f>AA234+K234+D234</f>
        <v>172</v>
      </c>
      <c r="AT234" s="1431">
        <f>AS234-AS233</f>
        <v>1</v>
      </c>
      <c r="AU234" s="1432">
        <f>+(AS234/AS227-1)*100</f>
        <v>9.554140127388532</v>
      </c>
      <c r="AV234" s="1422"/>
      <c r="AW234" s="1422"/>
      <c r="AX234" s="1433">
        <f>AS234-D234-AL234</f>
        <v>98</v>
      </c>
      <c r="AY234" s="1434">
        <f>AX234-AX233</f>
        <v>1</v>
      </c>
      <c r="AZ234" s="330"/>
      <c r="BA234" s="330"/>
      <c r="BB234" s="330"/>
      <c r="BC234" s="371">
        <f>D234/AS234</f>
        <v>0.43023255813953487</v>
      </c>
      <c r="BD234" s="1811">
        <f>(K234+AA234)/AS234</f>
        <v>0.56976744186046513</v>
      </c>
      <c r="BE234" s="1435">
        <f>AL234/AS234</f>
        <v>0</v>
      </c>
    </row>
    <row r="235" spans="1:57" ht="12" hidden="1" customHeight="1" outlineLevel="1">
      <c r="A235" s="132" t="str">
        <f>$A$32</f>
        <v>3Q</v>
      </c>
      <c r="B235" s="132" t="str">
        <f>$B$32</f>
        <v>Oct</v>
      </c>
      <c r="C235" s="132"/>
      <c r="D235" s="1418">
        <f t="shared" si="21"/>
        <v>78</v>
      </c>
      <c r="E235" s="1419">
        <f t="shared" si="21"/>
        <v>4</v>
      </c>
      <c r="F235" s="1420">
        <f>+(D235/D228-1)*100</f>
        <v>9.8591549295774747</v>
      </c>
      <c r="G235" s="1421"/>
      <c r="H235" s="1422"/>
      <c r="I235" s="1420"/>
      <c r="J235" s="330"/>
      <c r="K235" s="1424">
        <v>87</v>
      </c>
      <c r="L235" s="1437">
        <f>+K235-K234</f>
        <v>4</v>
      </c>
      <c r="M235" s="1418"/>
      <c r="N235" s="1424"/>
      <c r="O235" s="1418"/>
      <c r="P235" s="1426"/>
      <c r="Q235" s="1420">
        <f>+(K235/K228-1)*100</f>
        <v>10.126582278481022</v>
      </c>
      <c r="R235" s="1420"/>
      <c r="S235" s="1420"/>
      <c r="T235" s="1427"/>
      <c r="U235" s="1424">
        <f>+U234+0</f>
        <v>53</v>
      </c>
      <c r="V235" s="1437"/>
      <c r="W235" s="1420"/>
      <c r="X235" s="1420"/>
      <c r="Y235" s="1420"/>
      <c r="Z235" s="1427"/>
      <c r="AA235" s="1418">
        <f>+AA234+AB235</f>
        <v>16</v>
      </c>
      <c r="AB235" s="1429">
        <v>1</v>
      </c>
      <c r="AC235" s="1420">
        <f>+(AA235/AA228-1)*100</f>
        <v>14.285714285714279</v>
      </c>
      <c r="AD235" s="1418"/>
      <c r="AE235" s="1429"/>
      <c r="AF235" s="1420"/>
      <c r="AG235" s="1418"/>
      <c r="AH235" s="1429"/>
      <c r="AI235" s="1420"/>
      <c r="AJ235" s="1418"/>
      <c r="AK235" s="1429"/>
      <c r="AL235" s="1418"/>
      <c r="AM235" s="1429"/>
      <c r="AN235" s="1420"/>
      <c r="AO235" s="1430"/>
      <c r="AP235" s="1422"/>
      <c r="AQ235" s="1420"/>
      <c r="AR235" s="1427"/>
      <c r="AS235" s="1425">
        <f>AA235+K235+D235</f>
        <v>181</v>
      </c>
      <c r="AT235" s="1431">
        <f>AS235-AS234</f>
        <v>9</v>
      </c>
      <c r="AU235" s="1432">
        <f>+(AS235/AS228-1)*100</f>
        <v>10.365853658536594</v>
      </c>
      <c r="AV235" s="1422"/>
      <c r="AW235" s="1422"/>
      <c r="AX235" s="1433">
        <f>AS235-D235-AL235</f>
        <v>103</v>
      </c>
      <c r="AY235" s="1434">
        <f>AX235-AX234</f>
        <v>5</v>
      </c>
      <c r="AZ235" s="330"/>
      <c r="BA235" s="330"/>
      <c r="BB235" s="330"/>
      <c r="BC235" s="371">
        <f>D235/AS235</f>
        <v>0.43093922651933703</v>
      </c>
      <c r="BD235" s="1811">
        <f>(K235+AA235)/AS235</f>
        <v>0.56906077348066297</v>
      </c>
      <c r="BE235" s="1435">
        <f>AL235/AS235</f>
        <v>0</v>
      </c>
    </row>
    <row r="236" spans="1:57" ht="12" hidden="1" customHeight="1" outlineLevel="1">
      <c r="A236" s="132" t="str">
        <f>$A$33</f>
        <v>4Q</v>
      </c>
      <c r="B236" s="132" t="str">
        <f>$B$33</f>
        <v>Jan</v>
      </c>
      <c r="C236" s="132"/>
      <c r="D236" s="1464">
        <v>80</v>
      </c>
      <c r="E236" s="1419">
        <f>E152+L152</f>
        <v>2</v>
      </c>
      <c r="F236" s="1420">
        <f>+(D236/D229-1)*100</f>
        <v>9.5890410958904049</v>
      </c>
      <c r="G236" s="1439"/>
      <c r="H236" s="1422"/>
      <c r="I236" s="1420"/>
      <c r="J236" s="330"/>
      <c r="K236" s="1464">
        <v>87</v>
      </c>
      <c r="L236" s="1437">
        <f>L237-SUM(L233:L235)</f>
        <v>0</v>
      </c>
      <c r="M236" s="1438"/>
      <c r="N236" s="1418"/>
      <c r="O236" s="1438"/>
      <c r="P236" s="1440"/>
      <c r="Q236" s="1420">
        <f>+(K236/K229-1)*100</f>
        <v>8.7499999999999911</v>
      </c>
      <c r="R236" s="1420"/>
      <c r="S236" s="1420"/>
      <c r="T236" s="1427"/>
      <c r="U236" s="1464">
        <v>53</v>
      </c>
      <c r="V236" s="1437"/>
      <c r="W236" s="1420"/>
      <c r="X236" s="1420"/>
      <c r="Y236" s="1420"/>
      <c r="Z236" s="1427"/>
      <c r="AA236" s="1438">
        <f>AA235+AB236</f>
        <v>17</v>
      </c>
      <c r="AB236" s="1441">
        <f>AB237-SUM(AB233:AB235)</f>
        <v>1</v>
      </c>
      <c r="AC236" s="1420">
        <f>+(AA236/AA229-1)*100</f>
        <v>21.42857142857142</v>
      </c>
      <c r="AD236" s="1439"/>
      <c r="AE236" s="1442"/>
      <c r="AF236" s="1420"/>
      <c r="AG236" s="1438"/>
      <c r="AH236" s="1441"/>
      <c r="AI236" s="1420"/>
      <c r="AJ236" s="1439"/>
      <c r="AK236" s="1442"/>
      <c r="AL236" s="1438"/>
      <c r="AM236" s="1442"/>
      <c r="AN236" s="1420"/>
      <c r="AO236" s="1443"/>
      <c r="AP236" s="1422"/>
      <c r="AQ236" s="1420"/>
      <c r="AR236" s="1427"/>
      <c r="AS236" s="1444">
        <f>AA236+K236+D236</f>
        <v>184</v>
      </c>
      <c r="AT236" s="1431">
        <f>AS236-AS235</f>
        <v>3</v>
      </c>
      <c r="AU236" s="1432">
        <f>+(AS236/AS229-1)*100</f>
        <v>10.179640718562876</v>
      </c>
      <c r="AV236" s="1422"/>
      <c r="AW236" s="1422"/>
      <c r="AX236" s="1433">
        <f>AS236-D236-AL236</f>
        <v>104</v>
      </c>
      <c r="AY236" s="1434">
        <f>AX236-AX235</f>
        <v>1</v>
      </c>
      <c r="AZ236" s="424">
        <v>0.86</v>
      </c>
      <c r="BA236" s="330"/>
      <c r="BB236" s="330"/>
      <c r="BC236" s="371">
        <f>D236/AS236</f>
        <v>0.43478260869565216</v>
      </c>
      <c r="BD236" s="1812">
        <f>(K236+AA236)/AS236</f>
        <v>0.56521739130434778</v>
      </c>
      <c r="BE236" s="1445">
        <f>AL236/AS236</f>
        <v>0</v>
      </c>
    </row>
    <row r="237" spans="1:57" ht="12" hidden="1" customHeight="1" outlineLevel="1">
      <c r="A237" s="132"/>
      <c r="B237" s="132" t="str">
        <f>$B$34</f>
        <v>Year</v>
      </c>
      <c r="C237" s="132"/>
      <c r="D237" s="1425">
        <f>D236</f>
        <v>80</v>
      </c>
      <c r="E237" s="1446">
        <f>E153+L153</f>
        <v>7</v>
      </c>
      <c r="F237" s="1420">
        <f>+(D237/D230-1)*100</f>
        <v>9.5890410958904049</v>
      </c>
      <c r="G237" s="1421"/>
      <c r="H237" s="1422"/>
      <c r="I237" s="1420"/>
      <c r="J237" s="330"/>
      <c r="K237" s="1425">
        <f>K236</f>
        <v>87</v>
      </c>
      <c r="L237" s="1448">
        <v>7</v>
      </c>
      <c r="M237" s="1425"/>
      <c r="N237" s="1448"/>
      <c r="O237" s="1418"/>
      <c r="P237" s="1448"/>
      <c r="Q237" s="1420">
        <f>+(K237/K230-1)*100</f>
        <v>8.7499999999999911</v>
      </c>
      <c r="R237" s="1420"/>
      <c r="S237" s="1420"/>
      <c r="T237" s="1427"/>
      <c r="U237" s="1425">
        <f>U236</f>
        <v>53</v>
      </c>
      <c r="V237" s="1448"/>
      <c r="W237" s="1420"/>
      <c r="X237" s="1420"/>
      <c r="Y237" s="1420"/>
      <c r="Z237" s="1427"/>
      <c r="AA237" s="1425">
        <f>AA236</f>
        <v>17</v>
      </c>
      <c r="AB237" s="1450">
        <v>3</v>
      </c>
      <c r="AC237" s="1420">
        <f>+(AA237/AA230-1)*100</f>
        <v>21.42857142857142</v>
      </c>
      <c r="AD237" s="1421"/>
      <c r="AE237" s="1450"/>
      <c r="AF237" s="1420"/>
      <c r="AG237" s="1425"/>
      <c r="AH237" s="1450"/>
      <c r="AI237" s="1420"/>
      <c r="AJ237" s="1421"/>
      <c r="AK237" s="1450"/>
      <c r="AL237" s="1425"/>
      <c r="AM237" s="1450"/>
      <c r="AN237" s="1420"/>
      <c r="AO237" s="1430"/>
      <c r="AP237" s="1422"/>
      <c r="AQ237" s="1420"/>
      <c r="AR237" s="1427"/>
      <c r="AS237" s="1425">
        <f>AA237+K237+D237</f>
        <v>184</v>
      </c>
      <c r="AT237" s="1451">
        <f>AS237-AS230</f>
        <v>17</v>
      </c>
      <c r="AU237" s="1432">
        <f>+(AS237/AS230-1)*100</f>
        <v>10.179640718562876</v>
      </c>
      <c r="AV237" s="1422"/>
      <c r="AW237" s="1422"/>
      <c r="AX237" s="1433">
        <f>AS237-D237-AL237</f>
        <v>104</v>
      </c>
      <c r="AY237" s="1434">
        <f>AX237-AX230</f>
        <v>10</v>
      </c>
      <c r="AZ237" s="1421">
        <f>AZ236</f>
        <v>0.86</v>
      </c>
      <c r="BA237" s="330"/>
      <c r="BB237" s="330"/>
      <c r="BC237" s="1452">
        <f>D237/AS237</f>
        <v>0.43478260869565216</v>
      </c>
      <c r="BD237" s="1811">
        <f>(K237+AA237)/AS237</f>
        <v>0.56521739130434778</v>
      </c>
      <c r="BE237" s="1452">
        <f>AL237/AS237</f>
        <v>0</v>
      </c>
    </row>
    <row r="238" spans="1:57" ht="12" hidden="1" customHeight="1" outlineLevel="1">
      <c r="A238" s="132"/>
      <c r="B238" s="132"/>
      <c r="C238" s="132"/>
      <c r="D238" s="367"/>
      <c r="E238" s="1453"/>
      <c r="F238" s="1454"/>
      <c r="G238" s="1512"/>
      <c r="H238" s="367"/>
      <c r="I238" s="1420"/>
      <c r="J238" s="330"/>
      <c r="K238" s="367"/>
      <c r="L238" s="579"/>
      <c r="M238" s="367"/>
      <c r="N238" s="579"/>
      <c r="O238" s="367"/>
      <c r="P238" s="1455"/>
      <c r="Q238" s="367"/>
      <c r="R238" s="367"/>
      <c r="S238" s="367"/>
      <c r="T238" s="580"/>
      <c r="U238" s="367"/>
      <c r="V238" s="579"/>
      <c r="W238" s="367"/>
      <c r="X238" s="367"/>
      <c r="Y238" s="367"/>
      <c r="Z238" s="580"/>
      <c r="AA238" s="367"/>
      <c r="AB238" s="579"/>
      <c r="AC238" s="367"/>
      <c r="AD238" s="367"/>
      <c r="AE238" s="579"/>
      <c r="AF238" s="367"/>
      <c r="AG238" s="367"/>
      <c r="AH238" s="579"/>
      <c r="AI238" s="367"/>
      <c r="AJ238" s="367"/>
      <c r="AK238" s="579"/>
      <c r="AL238" s="367"/>
      <c r="AM238" s="579"/>
      <c r="AN238" s="579"/>
      <c r="AO238" s="330"/>
      <c r="AP238" s="367"/>
      <c r="AQ238" s="1454"/>
      <c r="AR238" s="580"/>
      <c r="AS238" s="1465"/>
      <c r="AT238" s="405"/>
      <c r="AU238" s="405"/>
      <c r="AV238" s="330"/>
      <c r="AW238" s="330"/>
      <c r="AX238" s="1433"/>
      <c r="AY238" s="1434"/>
      <c r="AZ238" s="330"/>
      <c r="BA238" s="330"/>
      <c r="BB238" s="330"/>
      <c r="BC238" s="330"/>
      <c r="BD238" s="405"/>
      <c r="BE238" s="330"/>
    </row>
    <row r="239" spans="1:57" ht="12" hidden="1" customHeight="1" outlineLevel="1">
      <c r="A239" s="2506">
        <f>+A232+1</f>
        <v>2008</v>
      </c>
      <c r="B239" s="2506"/>
      <c r="C239" s="132"/>
      <c r="D239" s="1457"/>
      <c r="E239" s="1453"/>
      <c r="F239" s="1454"/>
      <c r="G239" s="1457"/>
      <c r="H239" s="367"/>
      <c r="I239" s="1420"/>
      <c r="J239" s="330"/>
      <c r="K239" s="1460" t="s">
        <v>655</v>
      </c>
      <c r="L239" s="1461"/>
      <c r="M239" s="1460"/>
      <c r="N239" s="1461"/>
      <c r="O239" s="1460"/>
      <c r="P239" s="1455"/>
      <c r="Q239" s="367"/>
      <c r="R239" s="367"/>
      <c r="S239" s="367"/>
      <c r="T239" s="580"/>
      <c r="U239" s="1460"/>
      <c r="V239" s="1461"/>
      <c r="W239" s="367"/>
      <c r="X239" s="367"/>
      <c r="Y239" s="367"/>
      <c r="Z239" s="580"/>
      <c r="AA239" s="1460"/>
      <c r="AB239" s="579"/>
      <c r="AC239" s="367"/>
      <c r="AD239" s="1460"/>
      <c r="AE239" s="579"/>
      <c r="AF239" s="367"/>
      <c r="AG239" s="1460"/>
      <c r="AH239" s="579"/>
      <c r="AI239" s="367"/>
      <c r="AJ239" s="1460"/>
      <c r="AK239" s="579"/>
      <c r="AL239" s="1460"/>
      <c r="AM239" s="579"/>
      <c r="AN239" s="579"/>
      <c r="AO239" s="1460"/>
      <c r="AP239" s="367"/>
      <c r="AQ239" s="1454"/>
      <c r="AR239" s="580"/>
      <c r="AS239" s="1457"/>
      <c r="AT239" s="405"/>
      <c r="AU239" s="405"/>
      <c r="AV239" s="330"/>
      <c r="AW239" s="330"/>
      <c r="AX239" s="1433"/>
      <c r="AY239" s="1434"/>
      <c r="AZ239" s="330"/>
      <c r="BA239" s="330"/>
      <c r="BB239" s="330"/>
      <c r="BC239" s="330"/>
      <c r="BD239" s="405"/>
      <c r="BE239" s="330"/>
    </row>
    <row r="240" spans="1:57" ht="12" hidden="1" customHeight="1" outlineLevel="1">
      <c r="A240" s="132" t="str">
        <f>$A$30</f>
        <v>1Q</v>
      </c>
      <c r="B240" s="132" t="str">
        <f>$B$30</f>
        <v>Apr</v>
      </c>
      <c r="C240" s="132"/>
      <c r="D240" s="1424">
        <v>81</v>
      </c>
      <c r="E240" s="1419">
        <f>D240-D237</f>
        <v>1</v>
      </c>
      <c r="F240" s="1420">
        <f>+(D240/D233-1)*100</f>
        <v>9.4594594594594525</v>
      </c>
      <c r="G240" s="1421"/>
      <c r="H240" s="1422"/>
      <c r="I240" s="1420"/>
      <c r="J240" s="330"/>
      <c r="K240" s="1424">
        <f>93-U240</f>
        <v>36</v>
      </c>
      <c r="L240" s="1423">
        <f>K240-(K237-U237)</f>
        <v>2</v>
      </c>
      <c r="M240" s="1418"/>
      <c r="N240" s="1424"/>
      <c r="O240" s="1425"/>
      <c r="P240" s="1426"/>
      <c r="Q240" s="1420">
        <f>+(K240/(K233-U233)-1)*100</f>
        <v>19.999999999999996</v>
      </c>
      <c r="R240" s="1420"/>
      <c r="S240" s="1420"/>
      <c r="T240" s="1427"/>
      <c r="U240" s="1424">
        <f>+U236+4</f>
        <v>57</v>
      </c>
      <c r="V240" s="1423"/>
      <c r="W240" s="1420"/>
      <c r="X240" s="1421">
        <f>SeqQtrSales!AC517</f>
        <v>0.15390000000000001</v>
      </c>
      <c r="Y240" s="1420"/>
      <c r="Z240" s="1427"/>
      <c r="AA240" s="1424">
        <v>18</v>
      </c>
      <c r="AB240" s="1429">
        <v>1</v>
      </c>
      <c r="AC240" s="1420">
        <f>+(AA240/AA233-1)*100</f>
        <v>28.57142857142858</v>
      </c>
      <c r="AD240" s="1418"/>
      <c r="AE240" s="1429"/>
      <c r="AF240" s="1420"/>
      <c r="AG240" s="1424"/>
      <c r="AH240" s="1429"/>
      <c r="AI240" s="1420"/>
      <c r="AJ240" s="1418"/>
      <c r="AK240" s="1429"/>
      <c r="AL240" s="1418"/>
      <c r="AM240" s="1429"/>
      <c r="AN240" s="1420"/>
      <c r="AO240" s="1430"/>
      <c r="AP240" s="1422"/>
      <c r="AQ240" s="1420"/>
      <c r="AR240" s="1427"/>
      <c r="AS240" s="1425">
        <f>AA240+K240+U240+D240</f>
        <v>192</v>
      </c>
      <c r="AT240" s="1431">
        <f>AS240-AS237</f>
        <v>8</v>
      </c>
      <c r="AU240" s="1432">
        <f>+(AS240/AS233-1)*100</f>
        <v>12.280701754385959</v>
      </c>
      <c r="AV240" s="1422"/>
      <c r="AW240" s="1422"/>
      <c r="AX240" s="1433">
        <f>AS240-D240-AL240</f>
        <v>111</v>
      </c>
      <c r="AY240" s="1434">
        <f>AX240-AX237</f>
        <v>7</v>
      </c>
      <c r="AZ240" s="330">
        <f>AZ237+E240*5000/1000000+L240*yrSales!$T$162/1000000+Stores!AB240*yrSales!$T$200/1000000</f>
        <v>0.87290000000000001</v>
      </c>
      <c r="BA240" s="330"/>
      <c r="BB240" s="330"/>
      <c r="BC240" s="371">
        <f>D240/AS240</f>
        <v>0.421875</v>
      </c>
      <c r="BD240" s="1811">
        <f>(K240+AA240+U240)/AS240</f>
        <v>0.578125</v>
      </c>
      <c r="BE240" s="1435">
        <f>AL240/AS240</f>
        <v>0</v>
      </c>
    </row>
    <row r="241" spans="1:57" ht="12" hidden="1" customHeight="1" outlineLevel="1">
      <c r="A241" s="132" t="str">
        <f>$A$31</f>
        <v>2Q</v>
      </c>
      <c r="B241" s="132" t="str">
        <f>$B$31</f>
        <v>Jul</v>
      </c>
      <c r="C241" s="132"/>
      <c r="D241" s="1424">
        <v>82</v>
      </c>
      <c r="E241" s="1419">
        <f>D241-D240</f>
        <v>1</v>
      </c>
      <c r="F241" s="1420">
        <f>+(D241/D234-1)*100</f>
        <v>10.810810810810811</v>
      </c>
      <c r="G241" s="1421"/>
      <c r="H241" s="1422"/>
      <c r="I241" s="1420"/>
      <c r="J241" s="1436"/>
      <c r="K241" s="1424">
        <f>95-U241</f>
        <v>38</v>
      </c>
      <c r="L241" s="1437">
        <f>K241-K240</f>
        <v>2</v>
      </c>
      <c r="M241" s="1418"/>
      <c r="N241" s="1424"/>
      <c r="O241" s="1418"/>
      <c r="P241" s="1426"/>
      <c r="Q241" s="1420">
        <f>+(K241/(K234-U234)-1)*100</f>
        <v>26.666666666666661</v>
      </c>
      <c r="R241" s="1420"/>
      <c r="S241" s="1420"/>
      <c r="T241" s="1427"/>
      <c r="U241" s="1424">
        <f>+U240+0</f>
        <v>57</v>
      </c>
      <c r="V241" s="1437"/>
      <c r="W241" s="1420"/>
      <c r="X241" s="1421">
        <f>SeqQtrSales!AC518</f>
        <v>0.15390000000000001</v>
      </c>
      <c r="Y241" s="1420"/>
      <c r="Z241" s="1427"/>
      <c r="AA241" s="1424">
        <v>19</v>
      </c>
      <c r="AB241" s="1429">
        <v>1</v>
      </c>
      <c r="AC241" s="1420">
        <f>+(AA241/AA234-1)*100</f>
        <v>26.666666666666661</v>
      </c>
      <c r="AD241" s="1418"/>
      <c r="AE241" s="1429"/>
      <c r="AF241" s="1420"/>
      <c r="AG241" s="1424"/>
      <c r="AH241" s="1429"/>
      <c r="AI241" s="1420"/>
      <c r="AJ241" s="1418"/>
      <c r="AK241" s="1429"/>
      <c r="AL241" s="1418"/>
      <c r="AM241" s="1429"/>
      <c r="AN241" s="1420"/>
      <c r="AO241" s="1430"/>
      <c r="AP241" s="1422"/>
      <c r="AQ241" s="1420"/>
      <c r="AR241" s="1427"/>
      <c r="AS241" s="1425">
        <f>AA241+K241+U241+D241</f>
        <v>196</v>
      </c>
      <c r="AT241" s="1431">
        <f>AS241-AS240</f>
        <v>4</v>
      </c>
      <c r="AU241" s="1432">
        <f>+(AS241/AS234-1)*100</f>
        <v>13.953488372093027</v>
      </c>
      <c r="AV241" s="1422"/>
      <c r="AW241" s="1422"/>
      <c r="AX241" s="1433">
        <f>AS241-D241-AL241</f>
        <v>114</v>
      </c>
      <c r="AY241" s="1434">
        <f>AX241-AX240</f>
        <v>3</v>
      </c>
      <c r="AZ241" s="330">
        <f>AZ240+E241*5000/1000000+L241*yrSales!$T$162/1000000+Stores!AB241*yrSales!$T$200/1000000</f>
        <v>0.88580000000000003</v>
      </c>
      <c r="BA241" s="330"/>
      <c r="BB241" s="330"/>
      <c r="BC241" s="371">
        <f>D241/AS241</f>
        <v>0.41836734693877553</v>
      </c>
      <c r="BD241" s="1811">
        <f>(K241+AA241+U241)/AS241</f>
        <v>0.58163265306122447</v>
      </c>
      <c r="BE241" s="1435">
        <f>AL241/AS241</f>
        <v>0</v>
      </c>
    </row>
    <row r="242" spans="1:57" ht="12" hidden="1" customHeight="1" outlineLevel="1">
      <c r="A242" s="132" t="str">
        <f>$A$32</f>
        <v>3Q</v>
      </c>
      <c r="B242" s="132" t="str">
        <f>$B$32</f>
        <v>Oct</v>
      </c>
      <c r="C242" s="132"/>
      <c r="D242" s="1424">
        <v>85</v>
      </c>
      <c r="E242" s="1419">
        <f>D242-D241</f>
        <v>3</v>
      </c>
      <c r="F242" s="1420">
        <f>+(D242/D235-1)*100</f>
        <v>8.9743589743589638</v>
      </c>
      <c r="G242" s="1421"/>
      <c r="H242" s="1422"/>
      <c r="I242" s="1420"/>
      <c r="J242" s="330"/>
      <c r="K242" s="1424">
        <f>96-U242</f>
        <v>39</v>
      </c>
      <c r="L242" s="1437">
        <f>K242-K241</f>
        <v>1</v>
      </c>
      <c r="M242" s="1418"/>
      <c r="N242" s="1424"/>
      <c r="O242" s="1418"/>
      <c r="P242" s="1426"/>
      <c r="Q242" s="1420">
        <f>+(K242/(K235-U235)-1)*100</f>
        <v>14.705882352941169</v>
      </c>
      <c r="R242" s="1420"/>
      <c r="S242" s="1420"/>
      <c r="T242" s="1427"/>
      <c r="U242" s="1424">
        <f>+U241+0</f>
        <v>57</v>
      </c>
      <c r="V242" s="1437"/>
      <c r="W242" s="1420"/>
      <c r="X242" s="1421">
        <f>SeqQtrSales!AC519</f>
        <v>0.15390000000000001</v>
      </c>
      <c r="Y242" s="1420"/>
      <c r="Z242" s="1427"/>
      <c r="AA242" s="1424">
        <v>23</v>
      </c>
      <c r="AB242" s="1429">
        <v>4</v>
      </c>
      <c r="AC242" s="1420">
        <f>+(AA242/AA235-1)*100</f>
        <v>43.75</v>
      </c>
      <c r="AD242" s="1418"/>
      <c r="AE242" s="1429"/>
      <c r="AF242" s="1420"/>
      <c r="AG242" s="1424"/>
      <c r="AH242" s="1429"/>
      <c r="AI242" s="1420"/>
      <c r="AJ242" s="1418"/>
      <c r="AK242" s="1429"/>
      <c r="AL242" s="1418"/>
      <c r="AM242" s="1429"/>
      <c r="AN242" s="1420"/>
      <c r="AO242" s="1430"/>
      <c r="AP242" s="1422"/>
      <c r="AQ242" s="1420"/>
      <c r="AR242" s="1427"/>
      <c r="AS242" s="1425">
        <f>AA242+K242+U242+D242</f>
        <v>204</v>
      </c>
      <c r="AT242" s="1431">
        <f>AS242-AS241</f>
        <v>8</v>
      </c>
      <c r="AU242" s="1432">
        <f>+(AS242/AS235-1)*100</f>
        <v>12.707182320441991</v>
      </c>
      <c r="AV242" s="1422"/>
      <c r="AW242" s="1422"/>
      <c r="AX242" s="1433">
        <f>AS242-D242-AL242</f>
        <v>119</v>
      </c>
      <c r="AY242" s="1434">
        <f>AX242-AX241</f>
        <v>5</v>
      </c>
      <c r="AZ242" s="330">
        <f>AZ241+E242*5000/1000000+L242*yrSales!$T$162/1000000+Stores!AB242*yrSales!$T$200/1000000</f>
        <v>0.91559999999999997</v>
      </c>
      <c r="BA242" s="330"/>
      <c r="BB242" s="330"/>
      <c r="BC242" s="371">
        <f>D242/AS242</f>
        <v>0.41666666666666669</v>
      </c>
      <c r="BD242" s="1811">
        <f>(K242+AA242+U242)/AS242</f>
        <v>0.58333333333333337</v>
      </c>
      <c r="BE242" s="1435">
        <f>AL242/AS242</f>
        <v>0</v>
      </c>
    </row>
    <row r="243" spans="1:57" ht="12" hidden="1" customHeight="1" outlineLevel="1">
      <c r="A243" s="132" t="str">
        <f>$A$33</f>
        <v>4Q</v>
      </c>
      <c r="B243" s="132" t="str">
        <f>$B$33</f>
        <v>Jan</v>
      </c>
      <c r="C243" s="132"/>
      <c r="D243" s="1464">
        <v>86</v>
      </c>
      <c r="E243" s="1419">
        <f>E244-SUM(E240:E242)</f>
        <v>1</v>
      </c>
      <c r="F243" s="1420">
        <f>+(D243/D236-1)*100</f>
        <v>7.4999999999999956</v>
      </c>
      <c r="G243" s="1466">
        <f>0.558+0.042</f>
        <v>0.60000000000000009</v>
      </c>
      <c r="H243" s="1422"/>
      <c r="I243" s="1420"/>
      <c r="J243" s="330"/>
      <c r="K243" s="1464">
        <f>96-U243</f>
        <v>39</v>
      </c>
      <c r="L243" s="1437">
        <f>L244-SUM(L240:L242)</f>
        <v>0</v>
      </c>
      <c r="M243" s="1438"/>
      <c r="N243" s="1418"/>
      <c r="O243" s="1438"/>
      <c r="P243" s="1440"/>
      <c r="Q243" s="1420">
        <f>+(K243/(K236-U236)-1)*100</f>
        <v>14.705882352941169</v>
      </c>
      <c r="R243" s="1466">
        <f>0.23+0.012-0.1545</f>
        <v>8.7500000000000022E-2</v>
      </c>
      <c r="S243" s="1420"/>
      <c r="T243" s="1427"/>
      <c r="U243" s="1464">
        <v>57</v>
      </c>
      <c r="V243" s="1437"/>
      <c r="W243" s="1420"/>
      <c r="X243" s="1466">
        <v>0.1545</v>
      </c>
      <c r="Y243" s="1420"/>
      <c r="Z243" s="1427"/>
      <c r="AA243" s="1438">
        <v>24</v>
      </c>
      <c r="AB243" s="1441">
        <f>AB244-SUM(AB240:AB242)</f>
        <v>1</v>
      </c>
      <c r="AC243" s="1420">
        <f>+(AA243/AA236-1)*100</f>
        <v>41.176470588235304</v>
      </c>
      <c r="AD243" s="1439">
        <f>0.0224+0.0706</f>
        <v>9.2999999999999999E-2</v>
      </c>
      <c r="AE243" s="1442"/>
      <c r="AF243" s="1420"/>
      <c r="AG243" s="1438"/>
      <c r="AH243" s="1441"/>
      <c r="AI243" s="1420"/>
      <c r="AJ243" s="1439"/>
      <c r="AK243" s="1442"/>
      <c r="AL243" s="1438"/>
      <c r="AM243" s="1442"/>
      <c r="AN243" s="1420"/>
      <c r="AO243" s="1443"/>
      <c r="AP243" s="1422"/>
      <c r="AQ243" s="1420"/>
      <c r="AR243" s="1427"/>
      <c r="AS243" s="1444">
        <f>AA243+K243+U243+D243</f>
        <v>206</v>
      </c>
      <c r="AT243" s="1431">
        <f>AS243-AS242</f>
        <v>2</v>
      </c>
      <c r="AU243" s="1432">
        <f>+(AS243/AS236-1)*100</f>
        <v>11.956521739130444</v>
      </c>
      <c r="AV243" s="1422"/>
      <c r="AW243" s="1422"/>
      <c r="AX243" s="1433">
        <f>AS243-D243-AL243</f>
        <v>120</v>
      </c>
      <c r="AY243" s="1434">
        <f>AX243-AX242</f>
        <v>1</v>
      </c>
      <c r="AZ243" s="424">
        <f>SUM(AD243,R243,G243,X243)</f>
        <v>0.93500000000000005</v>
      </c>
      <c r="BA243" s="1467"/>
      <c r="BB243" s="1467"/>
      <c r="BC243" s="371">
        <f>D243/AS243</f>
        <v>0.41747572815533979</v>
      </c>
      <c r="BD243" s="1812">
        <f>(K243+AA243+U243)/AS243</f>
        <v>0.58252427184466016</v>
      </c>
      <c r="BE243" s="1445">
        <f>AL243/AS243</f>
        <v>0</v>
      </c>
    </row>
    <row r="244" spans="1:57" ht="12" hidden="1" customHeight="1" outlineLevel="1">
      <c r="A244" s="132"/>
      <c r="B244" s="132" t="str">
        <f>$B$34</f>
        <v>Year</v>
      </c>
      <c r="C244" s="132"/>
      <c r="D244" s="1425">
        <f>+D237+E244</f>
        <v>86</v>
      </c>
      <c r="E244" s="1468">
        <v>6</v>
      </c>
      <c r="F244" s="1420">
        <f>+(D244/D237-1)*100</f>
        <v>7.4999999999999956</v>
      </c>
      <c r="G244" s="1421">
        <f>G243</f>
        <v>0.60000000000000009</v>
      </c>
      <c r="H244" s="1422"/>
      <c r="I244" s="1420"/>
      <c r="J244" s="330"/>
      <c r="K244" s="1425">
        <f>+L244+(K237-U237)</f>
        <v>39</v>
      </c>
      <c r="L244" s="1448">
        <v>5</v>
      </c>
      <c r="M244" s="1425"/>
      <c r="N244" s="1448"/>
      <c r="O244" s="1418"/>
      <c r="P244" s="1448"/>
      <c r="Q244" s="1420">
        <f>+(K244/(K237-U237)-1)*100</f>
        <v>14.705882352941169</v>
      </c>
      <c r="R244" s="1421">
        <f>R243</f>
        <v>8.7500000000000022E-2</v>
      </c>
      <c r="S244" s="1420"/>
      <c r="T244" s="1427"/>
      <c r="U244" s="1425">
        <f>U243</f>
        <v>57</v>
      </c>
      <c r="V244" s="1448"/>
      <c r="W244" s="1420"/>
      <c r="X244" s="1421"/>
      <c r="Y244" s="1420"/>
      <c r="Z244" s="1427"/>
      <c r="AA244" s="1425">
        <f>+AB244+AA237</f>
        <v>24</v>
      </c>
      <c r="AB244" s="1450">
        <v>7</v>
      </c>
      <c r="AC244" s="1420">
        <f>+(AA244/AA237-1)*100</f>
        <v>41.176470588235304</v>
      </c>
      <c r="AD244" s="1421">
        <f>AD243</f>
        <v>9.2999999999999999E-2</v>
      </c>
      <c r="AE244" s="1469"/>
      <c r="AF244" s="1420"/>
      <c r="AG244" s="1425"/>
      <c r="AH244" s="1450"/>
      <c r="AI244" s="1420"/>
      <c r="AJ244" s="1421"/>
      <c r="AK244" s="1469"/>
      <c r="AL244" s="1425"/>
      <c r="AM244" s="1450"/>
      <c r="AN244" s="1420"/>
      <c r="AO244" s="1430"/>
      <c r="AP244" s="1422"/>
      <c r="AQ244" s="1420"/>
      <c r="AR244" s="1427"/>
      <c r="AS244" s="1425">
        <f>AA244+K244+U244+D244</f>
        <v>206</v>
      </c>
      <c r="AT244" s="1451">
        <f>AS244-AS237</f>
        <v>22</v>
      </c>
      <c r="AU244" s="1432">
        <f>+(AS244/AS237-1)*100</f>
        <v>11.956521739130444</v>
      </c>
      <c r="AV244" s="1422"/>
      <c r="AW244" s="1422"/>
      <c r="AX244" s="1433">
        <f>AS244-D244-AL244</f>
        <v>120</v>
      </c>
      <c r="AY244" s="1434">
        <f>AX244-AX237</f>
        <v>16</v>
      </c>
      <c r="AZ244" s="1421">
        <f>AZ243</f>
        <v>0.93500000000000005</v>
      </c>
      <c r="BA244" s="1470">
        <f>AZ244/AZ237-1</f>
        <v>8.720930232558155E-2</v>
      </c>
      <c r="BB244" s="1470"/>
      <c r="BC244" s="1452">
        <f>D244/AS244</f>
        <v>0.41747572815533979</v>
      </c>
      <c r="BD244" s="1811">
        <f>(K244+AA244+U244)/AS244</f>
        <v>0.58252427184466016</v>
      </c>
      <c r="BE244" s="1452">
        <f>AL244/AS244</f>
        <v>0</v>
      </c>
    </row>
    <row r="245" spans="1:57" ht="12" hidden="1" customHeight="1" outlineLevel="1">
      <c r="A245" s="131"/>
      <c r="B245" s="131"/>
      <c r="C245" s="131"/>
      <c r="D245" s="1471"/>
      <c r="E245" s="1453"/>
      <c r="F245" s="1454"/>
      <c r="G245" s="405"/>
      <c r="H245" s="367"/>
      <c r="I245" s="1420"/>
      <c r="J245" s="330"/>
      <c r="K245" s="367"/>
      <c r="L245" s="579"/>
      <c r="M245" s="367"/>
      <c r="N245" s="579"/>
      <c r="O245" s="367"/>
      <c r="P245" s="1455"/>
      <c r="Q245" s="367"/>
      <c r="R245" s="367"/>
      <c r="S245" s="367"/>
      <c r="T245" s="580"/>
      <c r="U245" s="367"/>
      <c r="V245" s="579"/>
      <c r="W245" s="367"/>
      <c r="X245" s="367"/>
      <c r="Y245" s="367"/>
      <c r="Z245" s="580"/>
      <c r="AA245" s="367"/>
      <c r="AB245" s="579"/>
      <c r="AC245" s="367"/>
      <c r="AD245" s="367"/>
      <c r="AE245" s="579"/>
      <c r="AF245" s="367"/>
      <c r="AG245" s="367"/>
      <c r="AH245" s="579"/>
      <c r="AI245" s="367"/>
      <c r="AJ245" s="367"/>
      <c r="AK245" s="579"/>
      <c r="AL245" s="367"/>
      <c r="AM245" s="579"/>
      <c r="AN245" s="579"/>
      <c r="AO245" s="330"/>
      <c r="AP245" s="367"/>
      <c r="AQ245" s="1454"/>
      <c r="AR245" s="580"/>
      <c r="AS245" s="339"/>
      <c r="AT245" s="330"/>
      <c r="AU245" s="330"/>
      <c r="AV245" s="330"/>
      <c r="AW245" s="330"/>
      <c r="AX245" s="330"/>
      <c r="AY245" s="1456"/>
      <c r="AZ245" s="330"/>
      <c r="BA245" s="330"/>
      <c r="BB245" s="330"/>
      <c r="BC245" s="330"/>
      <c r="BD245" s="405"/>
      <c r="BE245" s="330"/>
    </row>
    <row r="246" spans="1:57" ht="12" hidden="1" customHeight="1" outlineLevel="1">
      <c r="A246" s="2506">
        <f>+A239+1</f>
        <v>2009</v>
      </c>
      <c r="B246" s="2506"/>
      <c r="C246" s="132"/>
      <c r="D246" s="1462"/>
      <c r="E246" s="1453"/>
      <c r="F246" s="1454"/>
      <c r="G246" s="1457"/>
      <c r="H246" s="367"/>
      <c r="I246" s="1420"/>
      <c r="J246" s="330"/>
      <c r="K246" s="1460"/>
      <c r="L246" s="1461"/>
      <c r="M246" s="1460"/>
      <c r="N246" s="1461"/>
      <c r="O246" s="1460"/>
      <c r="P246" s="1455"/>
      <c r="Q246" s="367"/>
      <c r="R246" s="367"/>
      <c r="S246" s="367"/>
      <c r="T246" s="580"/>
      <c r="U246" s="1460"/>
      <c r="V246" s="1461"/>
      <c r="W246" s="367"/>
      <c r="X246" s="367"/>
      <c r="Y246" s="367"/>
      <c r="Z246" s="580"/>
      <c r="AA246" s="1460"/>
      <c r="AB246" s="579"/>
      <c r="AC246" s="367"/>
      <c r="AD246" s="1460"/>
      <c r="AE246" s="579"/>
      <c r="AF246" s="367"/>
      <c r="AG246" s="1460"/>
      <c r="AH246" s="579"/>
      <c r="AI246" s="367"/>
      <c r="AJ246" s="1460"/>
      <c r="AK246" s="579"/>
      <c r="AL246" s="1460"/>
      <c r="AM246" s="579"/>
      <c r="AN246" s="579"/>
      <c r="AO246" s="1460"/>
      <c r="AP246" s="367"/>
      <c r="AQ246" s="1454"/>
      <c r="AR246" s="580"/>
      <c r="AS246" s="1457"/>
      <c r="AT246" s="405"/>
      <c r="AU246" s="405"/>
      <c r="AV246" s="330"/>
      <c r="AW246" s="330"/>
      <c r="AX246" s="1433"/>
      <c r="AY246" s="1434"/>
      <c r="AZ246" s="330"/>
      <c r="BA246" s="330"/>
      <c r="BB246" s="330"/>
      <c r="BC246" s="330"/>
      <c r="BD246" s="405"/>
      <c r="BE246" s="330"/>
    </row>
    <row r="247" spans="1:57" ht="12" hidden="1" customHeight="1" outlineLevel="1">
      <c r="A247" s="132" t="str">
        <f>$A$30</f>
        <v>1Q</v>
      </c>
      <c r="B247" s="132" t="str">
        <f>$B$30</f>
        <v>Apr</v>
      </c>
      <c r="C247" s="132"/>
      <c r="D247" s="1424">
        <v>88</v>
      </c>
      <c r="E247" s="1419">
        <f>D247-D244</f>
        <v>2</v>
      </c>
      <c r="F247" s="1420">
        <f>+(D247/D240-1)*100</f>
        <v>8.6419753086419693</v>
      </c>
      <c r="G247" s="1421">
        <f>SeqQtrSales!AC163</f>
        <v>0.6105600000000001</v>
      </c>
      <c r="H247" s="1422"/>
      <c r="I247" s="1420"/>
      <c r="J247" s="330"/>
      <c r="K247" s="1424">
        <f>97-U247</f>
        <v>41</v>
      </c>
      <c r="L247" s="1423">
        <f>K247-K244</f>
        <v>2</v>
      </c>
      <c r="M247" s="1418"/>
      <c r="N247" s="1424"/>
      <c r="O247" s="1425"/>
      <c r="P247" s="1426"/>
      <c r="Q247" s="1420">
        <f>+(K247/K240-1)*100</f>
        <v>13.888888888888884</v>
      </c>
      <c r="R247" s="1421">
        <f>SeqQtrSales!AC444</f>
        <v>9.2999999999999999E-2</v>
      </c>
      <c r="S247" s="1420"/>
      <c r="T247" s="1427"/>
      <c r="U247" s="1424">
        <v>56</v>
      </c>
      <c r="V247" s="1423"/>
      <c r="W247" s="1420"/>
      <c r="X247" s="1421">
        <f>SeqQtrSales!AC524</f>
        <v>0.1512</v>
      </c>
      <c r="Y247" s="1420"/>
      <c r="Z247" s="1427"/>
      <c r="AA247" s="1424">
        <v>24</v>
      </c>
      <c r="AB247" s="1428">
        <f>AA247-AA244</f>
        <v>0</v>
      </c>
      <c r="AC247" s="1420">
        <f>+(AA247/AA240-1)*100</f>
        <v>33.333333333333329</v>
      </c>
      <c r="AD247" s="1421">
        <f>SeqQtrSales!AC444</f>
        <v>9.2999999999999999E-2</v>
      </c>
      <c r="AE247" s="1429"/>
      <c r="AF247" s="1420"/>
      <c r="AG247" s="1424"/>
      <c r="AH247" s="1428"/>
      <c r="AI247" s="1420"/>
      <c r="AJ247" s="1421"/>
      <c r="AK247" s="1429"/>
      <c r="AL247" s="1418"/>
      <c r="AM247" s="1429"/>
      <c r="AN247" s="1420"/>
      <c r="AO247" s="1430"/>
      <c r="AP247" s="1422"/>
      <c r="AQ247" s="1420"/>
      <c r="AR247" s="1427"/>
      <c r="AS247" s="1425">
        <f>AA247+K247+U247+D247</f>
        <v>209</v>
      </c>
      <c r="AT247" s="1431">
        <f>AS247-AS244</f>
        <v>3</v>
      </c>
      <c r="AU247" s="1432">
        <f>+(AS247/AS240-1)*100</f>
        <v>8.854166666666675</v>
      </c>
      <c r="AV247" s="1422"/>
      <c r="AW247" s="1422"/>
      <c r="AX247" s="1433">
        <f>AS247-D247-AL247</f>
        <v>121</v>
      </c>
      <c r="AY247" s="1434">
        <f>AX247-AX244</f>
        <v>1</v>
      </c>
      <c r="AZ247" s="1421">
        <f>SUM(AD247,R247,G247,X247)</f>
        <v>0.94776000000000016</v>
      </c>
      <c r="BA247" s="371">
        <f>AZ247/AZ240-1</f>
        <v>8.576010997823369E-2</v>
      </c>
      <c r="BB247" s="330"/>
      <c r="BC247" s="371">
        <f>D247/AS247</f>
        <v>0.42105263157894735</v>
      </c>
      <c r="BD247" s="1811">
        <f>(K247+AA247+U247)/AS247</f>
        <v>0.57894736842105265</v>
      </c>
      <c r="BE247" s="1435">
        <f>AL247/AS247</f>
        <v>0</v>
      </c>
    </row>
    <row r="248" spans="1:57" ht="12" hidden="1" customHeight="1" outlineLevel="1">
      <c r="A248" s="132" t="str">
        <f>$A$31</f>
        <v>2Q</v>
      </c>
      <c r="B248" s="132" t="str">
        <f>$B$31</f>
        <v>Jul</v>
      </c>
      <c r="C248" s="132"/>
      <c r="D248" s="1424">
        <v>88</v>
      </c>
      <c r="E248" s="1419">
        <f>D248-D247</f>
        <v>0</v>
      </c>
      <c r="F248" s="1420">
        <f>+(D248/D241-1)*100</f>
        <v>7.3170731707317138</v>
      </c>
      <c r="G248" s="1421">
        <f>SeqQtrSales!AC164</f>
        <v>0.6105600000000001</v>
      </c>
      <c r="H248" s="1422"/>
      <c r="I248" s="1420"/>
      <c r="J248" s="1436"/>
      <c r="K248" s="1424">
        <f>99-U248</f>
        <v>42</v>
      </c>
      <c r="L248" s="1437">
        <f>K248-K247</f>
        <v>1</v>
      </c>
      <c r="M248" s="1418"/>
      <c r="N248" s="1424"/>
      <c r="O248" s="1418"/>
      <c r="P248" s="1426"/>
      <c r="Q248" s="1420">
        <f>+(K248/K241-1)*100</f>
        <v>10.526315789473696</v>
      </c>
      <c r="R248" s="1421">
        <f>SeqQtrSales!AC445</f>
        <v>9.2999999999999999E-2</v>
      </c>
      <c r="S248" s="1420"/>
      <c r="T248" s="1427"/>
      <c r="U248" s="1424">
        <f>U247+2-1</f>
        <v>57</v>
      </c>
      <c r="V248" s="1437"/>
      <c r="W248" s="1420"/>
      <c r="X248" s="1421">
        <f>SeqQtrSales!AC525</f>
        <v>0.15390000000000001</v>
      </c>
      <c r="Y248" s="1420"/>
      <c r="Z248" s="1427"/>
      <c r="AA248" s="1424">
        <v>24</v>
      </c>
      <c r="AB248" s="1428">
        <f>AA248-AA247</f>
        <v>0</v>
      </c>
      <c r="AC248" s="1420">
        <f>+(AA248/AA241-1)*100</f>
        <v>26.315789473684205</v>
      </c>
      <c r="AD248" s="1421">
        <f>SeqQtrSales!AC445</f>
        <v>9.2999999999999999E-2</v>
      </c>
      <c r="AE248" s="1429"/>
      <c r="AF248" s="1420"/>
      <c r="AG248" s="1424"/>
      <c r="AH248" s="1428"/>
      <c r="AI248" s="1420"/>
      <c r="AJ248" s="1421"/>
      <c r="AK248" s="1429"/>
      <c r="AL248" s="1418"/>
      <c r="AM248" s="1429"/>
      <c r="AN248" s="1420"/>
      <c r="AO248" s="1430"/>
      <c r="AP248" s="1422"/>
      <c r="AQ248" s="1420"/>
      <c r="AR248" s="1427"/>
      <c r="AS248" s="1425">
        <f>AA248+K248+U248+D248</f>
        <v>211</v>
      </c>
      <c r="AT248" s="1431">
        <f>AS248-AS247</f>
        <v>2</v>
      </c>
      <c r="AU248" s="1432">
        <f>+(AS248/AS241-1)*100</f>
        <v>7.6530612244897878</v>
      </c>
      <c r="AV248" s="1422"/>
      <c r="AW248" s="1422"/>
      <c r="AX248" s="1433">
        <f>AS248-D248-AL248</f>
        <v>123</v>
      </c>
      <c r="AY248" s="1434">
        <f>AX248-AX247</f>
        <v>2</v>
      </c>
      <c r="AZ248" s="1421">
        <f>SUM(AD248,R248,G248,X248)</f>
        <v>0.95046000000000019</v>
      </c>
      <c r="BA248" s="371">
        <f>AZ248/AZ241-1</f>
        <v>7.2996161661774916E-2</v>
      </c>
      <c r="BB248" s="330"/>
      <c r="BC248" s="371">
        <f>D248/AS248</f>
        <v>0.41706161137440756</v>
      </c>
      <c r="BD248" s="1811">
        <f>(K248+AA248+U248)/AS248</f>
        <v>0.58293838862559244</v>
      </c>
      <c r="BE248" s="1435">
        <f>AL248/AS248</f>
        <v>0</v>
      </c>
    </row>
    <row r="249" spans="1:57" ht="12" hidden="1" customHeight="1" outlineLevel="1">
      <c r="A249" s="132" t="str">
        <f>$A$32</f>
        <v>3Q</v>
      </c>
      <c r="B249" s="132" t="str">
        <f>$B$32</f>
        <v>Oct</v>
      </c>
      <c r="C249" s="132"/>
      <c r="D249" s="1424">
        <v>90</v>
      </c>
      <c r="E249" s="1419">
        <f>D249-D248</f>
        <v>2</v>
      </c>
      <c r="F249" s="1420">
        <f>+(D249/D242-1)*100</f>
        <v>5.8823529411764719</v>
      </c>
      <c r="G249" s="1421">
        <f>SeqQtrSales!AC165</f>
        <v>0.62112000000000012</v>
      </c>
      <c r="H249" s="1422"/>
      <c r="I249" s="1420"/>
      <c r="J249" s="330"/>
      <c r="K249" s="1424">
        <f>100-U249</f>
        <v>43</v>
      </c>
      <c r="L249" s="1437">
        <f>K249-K248</f>
        <v>1</v>
      </c>
      <c r="M249" s="1418"/>
      <c r="N249" s="1424"/>
      <c r="O249" s="1418"/>
      <c r="P249" s="1426"/>
      <c r="Q249" s="1420">
        <f>+(K249/K242-1)*100</f>
        <v>10.256410256410264</v>
      </c>
      <c r="R249" s="1421">
        <f>SeqQtrSales!AC446</f>
        <v>9.5666666666666664E-2</v>
      </c>
      <c r="S249" s="1420"/>
      <c r="T249" s="1427"/>
      <c r="U249" s="1424">
        <f>+U248+0</f>
        <v>57</v>
      </c>
      <c r="V249" s="1437"/>
      <c r="W249" s="1420"/>
      <c r="X249" s="1421">
        <f>SeqQtrSales!AC526</f>
        <v>0.15390000000000001</v>
      </c>
      <c r="Y249" s="1420"/>
      <c r="Z249" s="1427"/>
      <c r="AA249" s="1424">
        <v>25</v>
      </c>
      <c r="AB249" s="1428">
        <f>AA249-AA248</f>
        <v>1</v>
      </c>
      <c r="AC249" s="1420">
        <f>+(AA249/AA242-1)*100</f>
        <v>8.6956521739130377</v>
      </c>
      <c r="AD249" s="1421">
        <f>SeqQtrSales!AC446</f>
        <v>9.5666666666666664E-2</v>
      </c>
      <c r="AE249" s="1429"/>
      <c r="AF249" s="1420"/>
      <c r="AG249" s="1424"/>
      <c r="AH249" s="1428"/>
      <c r="AI249" s="1420"/>
      <c r="AJ249" s="1421"/>
      <c r="AK249" s="1429"/>
      <c r="AL249" s="1418"/>
      <c r="AM249" s="1429"/>
      <c r="AN249" s="1420"/>
      <c r="AO249" s="1430"/>
      <c r="AP249" s="1422"/>
      <c r="AQ249" s="1420"/>
      <c r="AR249" s="1427"/>
      <c r="AS249" s="1425">
        <f>AA249+K249+U249+D249</f>
        <v>215</v>
      </c>
      <c r="AT249" s="1431">
        <f>AS249-AS248</f>
        <v>4</v>
      </c>
      <c r="AU249" s="1432">
        <f>+(AS249/AS242-1)*100</f>
        <v>5.3921568627451011</v>
      </c>
      <c r="AV249" s="1422"/>
      <c r="AW249" s="1422"/>
      <c r="AX249" s="1433">
        <f>AS249-D249-AL249</f>
        <v>125</v>
      </c>
      <c r="AY249" s="1434">
        <f>AX249-AX248</f>
        <v>2</v>
      </c>
      <c r="AZ249" s="1421">
        <f>SUM(AD249,R249,G249,X249)</f>
        <v>0.96635333333333351</v>
      </c>
      <c r="BA249" s="371">
        <f>AZ249/AZ242-1</f>
        <v>5.543177515654607E-2</v>
      </c>
      <c r="BB249" s="330"/>
      <c r="BC249" s="371">
        <f>D249/AS249</f>
        <v>0.41860465116279072</v>
      </c>
      <c r="BD249" s="1811">
        <f>(K249+AA249+U249)/AS249</f>
        <v>0.58139534883720934</v>
      </c>
      <c r="BE249" s="1435">
        <f>AL249/AS249</f>
        <v>0</v>
      </c>
    </row>
    <row r="250" spans="1:57" ht="12" hidden="1" customHeight="1" outlineLevel="1">
      <c r="A250" s="132" t="str">
        <f>$A$33</f>
        <v>4Q</v>
      </c>
      <c r="B250" s="132" t="str">
        <f>$B$33</f>
        <v>Jan</v>
      </c>
      <c r="C250" s="132"/>
      <c r="D250" s="1438">
        <f>D249+E250</f>
        <v>91</v>
      </c>
      <c r="E250" s="1419">
        <f>E251-SUM(E247:E249)</f>
        <v>1</v>
      </c>
      <c r="F250" s="1420">
        <f>+(D250/D243-1)*100</f>
        <v>5.8139534883721034</v>
      </c>
      <c r="G250" s="1466">
        <f>0.042+0.5844</f>
        <v>0.62640000000000007</v>
      </c>
      <c r="H250" s="1422"/>
      <c r="I250" s="1420"/>
      <c r="J250" s="330"/>
      <c r="K250" s="1438">
        <f>K249+L250</f>
        <v>45</v>
      </c>
      <c r="L250" s="1437">
        <f>L251-SUM(L247:L249)</f>
        <v>2</v>
      </c>
      <c r="M250" s="1438"/>
      <c r="N250" s="1418"/>
      <c r="O250" s="1438"/>
      <c r="P250" s="1440"/>
      <c r="Q250" s="1420">
        <f>+(K250/K243-1)*100</f>
        <v>15.384615384615374</v>
      </c>
      <c r="R250" s="1466">
        <f>0.2548-0.1545</f>
        <v>0.10030000000000003</v>
      </c>
      <c r="S250" s="1420"/>
      <c r="T250" s="1427"/>
      <c r="U250" s="1464">
        <v>57</v>
      </c>
      <c r="V250" s="1437"/>
      <c r="W250" s="1420"/>
      <c r="X250" s="1466">
        <v>0.1545</v>
      </c>
      <c r="Y250" s="1420"/>
      <c r="Z250" s="1427"/>
      <c r="AA250" s="1438">
        <f>AA249+AB250</f>
        <v>27</v>
      </c>
      <c r="AB250" s="1441">
        <f>AB251-SUM(AB247:AB249)</f>
        <v>2</v>
      </c>
      <c r="AC250" s="1420">
        <f>+(AA250/AA243-1)*100</f>
        <v>12.5</v>
      </c>
      <c r="AD250" s="1466">
        <v>0.10100000000000001</v>
      </c>
      <c r="AE250" s="1442"/>
      <c r="AF250" s="1420"/>
      <c r="AG250" s="1438"/>
      <c r="AH250" s="1441"/>
      <c r="AI250" s="1420"/>
      <c r="AJ250" s="1466"/>
      <c r="AK250" s="1442"/>
      <c r="AL250" s="1438"/>
      <c r="AM250" s="1442"/>
      <c r="AN250" s="1420"/>
      <c r="AO250" s="1443"/>
      <c r="AP250" s="1422"/>
      <c r="AQ250" s="1420"/>
      <c r="AR250" s="1427"/>
      <c r="AS250" s="1444">
        <f>AA250+K250+U250+D250</f>
        <v>220</v>
      </c>
      <c r="AT250" s="1431">
        <f>AS250-AS249</f>
        <v>5</v>
      </c>
      <c r="AU250" s="1432">
        <f>+(AS250/AS243-1)*100</f>
        <v>6.7961165048543659</v>
      </c>
      <c r="AV250" s="1422"/>
      <c r="AW250" s="1422"/>
      <c r="AX250" s="1433">
        <f>AS250-D250-AL250</f>
        <v>129</v>
      </c>
      <c r="AY250" s="1434">
        <f>AX250-AX249</f>
        <v>4</v>
      </c>
      <c r="AZ250" s="1466">
        <f>SUM(AD250,R250,G250,X250)</f>
        <v>0.98220000000000007</v>
      </c>
      <c r="BA250" s="371">
        <f>AZ250/AZ243-1</f>
        <v>5.0481283422459944E-2</v>
      </c>
      <c r="BB250" s="330"/>
      <c r="BC250" s="371">
        <f>D250/AS250</f>
        <v>0.41363636363636364</v>
      </c>
      <c r="BD250" s="1812">
        <f>(K250+AA250+U250)/AS250</f>
        <v>0.58636363636363631</v>
      </c>
      <c r="BE250" s="1445">
        <f>AL250/AS250</f>
        <v>0</v>
      </c>
    </row>
    <row r="251" spans="1:57" ht="12" hidden="1" customHeight="1" outlineLevel="1">
      <c r="A251" s="132"/>
      <c r="B251" s="132" t="str">
        <f>$B$34</f>
        <v>Year</v>
      </c>
      <c r="C251" s="132"/>
      <c r="D251" s="1425">
        <f>D250</f>
        <v>91</v>
      </c>
      <c r="E251" s="1468">
        <v>5</v>
      </c>
      <c r="F251" s="1420">
        <f>+(D251/D244-1)*100</f>
        <v>5.8139534883721034</v>
      </c>
      <c r="G251" s="1421">
        <f>G250</f>
        <v>0.62640000000000007</v>
      </c>
      <c r="H251" s="1422"/>
      <c r="I251" s="1420"/>
      <c r="J251" s="330"/>
      <c r="K251" s="1425">
        <f>K250</f>
        <v>45</v>
      </c>
      <c r="L251" s="1448">
        <v>6</v>
      </c>
      <c r="M251" s="1425"/>
      <c r="N251" s="1448"/>
      <c r="O251" s="1418"/>
      <c r="P251" s="1448"/>
      <c r="Q251" s="1420">
        <f>+(K251/K244-1)*100</f>
        <v>15.384615384615374</v>
      </c>
      <c r="R251" s="1421">
        <f>R250</f>
        <v>0.10030000000000003</v>
      </c>
      <c r="S251" s="1420"/>
      <c r="T251" s="1427"/>
      <c r="U251" s="1425">
        <f>U250</f>
        <v>57</v>
      </c>
      <c r="V251" s="1448"/>
      <c r="W251" s="1420"/>
      <c r="X251" s="1421">
        <f>X250</f>
        <v>0.1545</v>
      </c>
      <c r="Y251" s="1420"/>
      <c r="Z251" s="1427"/>
      <c r="AA251" s="1425">
        <f>AA250</f>
        <v>27</v>
      </c>
      <c r="AB251" s="1450">
        <v>3</v>
      </c>
      <c r="AC251" s="1420">
        <f>+(AA251/AA244-1)*100</f>
        <v>12.5</v>
      </c>
      <c r="AD251" s="1421">
        <f>+AD250</f>
        <v>0.10100000000000001</v>
      </c>
      <c r="AE251" s="1450"/>
      <c r="AF251" s="1420"/>
      <c r="AG251" s="1425"/>
      <c r="AH251" s="1450"/>
      <c r="AI251" s="1420"/>
      <c r="AJ251" s="1421"/>
      <c r="AK251" s="1450"/>
      <c r="AL251" s="1425"/>
      <c r="AM251" s="1450"/>
      <c r="AN251" s="1420"/>
      <c r="AO251" s="1430"/>
      <c r="AP251" s="1422"/>
      <c r="AQ251" s="1420"/>
      <c r="AR251" s="1427"/>
      <c r="AS251" s="1425">
        <f>AA251+K251+U251+D251</f>
        <v>220</v>
      </c>
      <c r="AT251" s="1451">
        <f>AS251-AS244</f>
        <v>14</v>
      </c>
      <c r="AU251" s="1432">
        <f>+(AS251/AS244-1)*100</f>
        <v>6.7961165048543659</v>
      </c>
      <c r="AV251" s="1422"/>
      <c r="AW251" s="1422"/>
      <c r="AX251" s="1433">
        <f>AS251-D251-AL251</f>
        <v>129</v>
      </c>
      <c r="AY251" s="1434">
        <f>AX251-AX244</f>
        <v>9</v>
      </c>
      <c r="AZ251" s="1421">
        <f>+AZ250</f>
        <v>0.98220000000000007</v>
      </c>
      <c r="BA251" s="1470">
        <f>AZ251/AZ244-1</f>
        <v>5.0481283422459944E-2</v>
      </c>
      <c r="BB251" s="330"/>
      <c r="BC251" s="1452">
        <f>D251/AS251</f>
        <v>0.41363636363636364</v>
      </c>
      <c r="BD251" s="1811">
        <f>(K251+AA251+U251)/AS251</f>
        <v>0.58636363636363631</v>
      </c>
      <c r="BE251" s="1452">
        <f>AL251/AS251</f>
        <v>0</v>
      </c>
    </row>
    <row r="252" spans="1:57" ht="12" hidden="1" customHeight="1" outlineLevel="1">
      <c r="A252" s="131"/>
      <c r="B252" s="131"/>
      <c r="C252" s="131"/>
      <c r="D252" s="1471"/>
      <c r="E252" s="1453"/>
      <c r="F252" s="1454"/>
      <c r="G252" s="405"/>
      <c r="H252" s="367"/>
      <c r="I252" s="1420"/>
      <c r="J252" s="330"/>
      <c r="K252" s="1489">
        <f>+K251-U251</f>
        <v>-12</v>
      </c>
      <c r="L252" s="579"/>
      <c r="M252" s="367"/>
      <c r="N252" s="579"/>
      <c r="O252" s="367"/>
      <c r="P252" s="1455"/>
      <c r="Q252" s="367"/>
      <c r="R252" s="367"/>
      <c r="S252" s="367"/>
      <c r="T252" s="580"/>
      <c r="U252" s="367"/>
      <c r="V252" s="579"/>
      <c r="W252" s="367"/>
      <c r="X252" s="367"/>
      <c r="Y252" s="367"/>
      <c r="Z252" s="580"/>
      <c r="AA252" s="367"/>
      <c r="AB252" s="579"/>
      <c r="AC252" s="367"/>
      <c r="AD252" s="367"/>
      <c r="AE252" s="579"/>
      <c r="AF252" s="367"/>
      <c r="AG252" s="367"/>
      <c r="AH252" s="579"/>
      <c r="AI252" s="367"/>
      <c r="AJ252" s="367"/>
      <c r="AK252" s="579"/>
      <c r="AL252" s="367"/>
      <c r="AM252" s="579"/>
      <c r="AN252" s="579"/>
      <c r="AO252" s="330"/>
      <c r="AP252" s="367"/>
      <c r="AQ252" s="1454"/>
      <c r="AR252" s="580"/>
      <c r="AS252" s="339"/>
      <c r="AT252" s="330"/>
      <c r="AU252" s="330"/>
      <c r="AV252" s="330"/>
      <c r="AW252" s="330"/>
      <c r="AX252" s="330"/>
      <c r="AY252" s="1456"/>
      <c r="AZ252" s="330"/>
      <c r="BA252" s="330"/>
      <c r="BB252" s="330"/>
      <c r="BC252" s="330"/>
      <c r="BD252" s="405"/>
      <c r="BE252" s="330"/>
    </row>
    <row r="253" spans="1:57" ht="12" hidden="1" customHeight="1" outlineLevel="1">
      <c r="A253" s="2507">
        <f>+A246+1</f>
        <v>2010</v>
      </c>
      <c r="B253" s="2507"/>
      <c r="C253" s="132"/>
      <c r="D253" s="1462"/>
      <c r="E253" s="1453"/>
      <c r="F253" s="1454"/>
      <c r="G253" s="1457"/>
      <c r="H253" s="367"/>
      <c r="I253" s="1420"/>
      <c r="J253" s="330"/>
      <c r="K253" s="1460"/>
      <c r="L253" s="1461"/>
      <c r="M253" s="1460"/>
      <c r="N253" s="1461"/>
      <c r="O253" s="1460"/>
      <c r="P253" s="1455"/>
      <c r="Q253" s="367"/>
      <c r="R253" s="367"/>
      <c r="S253" s="367"/>
      <c r="T253" s="580"/>
      <c r="U253" s="1460"/>
      <c r="V253" s="1461"/>
      <c r="W253" s="367"/>
      <c r="X253" s="367"/>
      <c r="Y253" s="367"/>
      <c r="Z253" s="580"/>
      <c r="AA253" s="1460"/>
      <c r="AB253" s="579"/>
      <c r="AC253" s="367"/>
      <c r="AD253" s="1460"/>
      <c r="AE253" s="579"/>
      <c r="AF253" s="367"/>
      <c r="AG253" s="1460"/>
      <c r="AH253" s="579"/>
      <c r="AI253" s="367"/>
      <c r="AJ253" s="1460"/>
      <c r="AK253" s="579"/>
      <c r="AL253" s="1460"/>
      <c r="AM253" s="579"/>
      <c r="AN253" s="579"/>
      <c r="AO253" s="1460"/>
      <c r="AP253" s="367"/>
      <c r="AQ253" s="1454"/>
      <c r="AR253" s="580"/>
      <c r="AS253" s="1457"/>
      <c r="AT253" s="405"/>
      <c r="AU253" s="405"/>
      <c r="AV253" s="330"/>
      <c r="AW253" s="330"/>
      <c r="AX253" s="1433"/>
      <c r="AY253" s="1434"/>
      <c r="AZ253" s="330"/>
      <c r="BA253" s="330"/>
      <c r="BB253" s="330"/>
      <c r="BC253" s="330"/>
      <c r="BD253" s="405"/>
      <c r="BE253" s="330"/>
    </row>
    <row r="254" spans="1:57" ht="12" hidden="1" customHeight="1" outlineLevel="1">
      <c r="A254" s="132" t="str">
        <f>$A$30</f>
        <v>1Q</v>
      </c>
      <c r="B254" s="132" t="str">
        <f>$B$30</f>
        <v>Apr</v>
      </c>
      <c r="C254" s="132"/>
      <c r="D254" s="1424">
        <v>91</v>
      </c>
      <c r="E254" s="1419">
        <f>D254-D251</f>
        <v>0</v>
      </c>
      <c r="F254" s="1420">
        <f>+(D254/D247-1)*100</f>
        <v>3.4090909090909172</v>
      </c>
      <c r="G254" s="1421">
        <f>SeqQtrSales!AC170</f>
        <v>0.62640000000000007</v>
      </c>
      <c r="H254" s="1422"/>
      <c r="I254" s="1420"/>
      <c r="J254" s="330"/>
      <c r="K254" s="1424">
        <f>46</f>
        <v>46</v>
      </c>
      <c r="L254" s="1423">
        <f>K254-K251</f>
        <v>1</v>
      </c>
      <c r="M254" s="1418"/>
      <c r="N254" s="1424"/>
      <c r="O254" s="1425"/>
      <c r="P254" s="1426"/>
      <c r="Q254" s="1420">
        <f>+(K254/K247-1)*100</f>
        <v>12.195121951219523</v>
      </c>
      <c r="R254" s="1421">
        <f>SeqQtrSales!AC357</f>
        <v>0.10670000000000003</v>
      </c>
      <c r="S254" s="1420"/>
      <c r="T254" s="1427"/>
      <c r="U254" s="1424">
        <v>57</v>
      </c>
      <c r="V254" s="1423">
        <f>U254-U251</f>
        <v>0</v>
      </c>
      <c r="W254" s="1420">
        <f>+(U254/U247-1)*100</f>
        <v>1.7857142857142794</v>
      </c>
      <c r="X254" s="1421">
        <f>SeqQtrSales!AC531</f>
        <v>0.1495232142857143</v>
      </c>
      <c r="Y254" s="1420"/>
      <c r="Z254" s="1427"/>
      <c r="AA254" s="1424">
        <v>27</v>
      </c>
      <c r="AB254" s="1428">
        <f>AA254-AA251</f>
        <v>0</v>
      </c>
      <c r="AC254" s="1420">
        <f>+(AA254/AA247-1)*100</f>
        <v>12.5</v>
      </c>
      <c r="AD254" s="1421">
        <f>SeqQtrSales!AC451</f>
        <v>0.10100000000000001</v>
      </c>
      <c r="AE254" s="1429"/>
      <c r="AF254" s="1420"/>
      <c r="AG254" s="1424"/>
      <c r="AH254" s="1428"/>
      <c r="AI254" s="1420"/>
      <c r="AJ254" s="1421"/>
      <c r="AK254" s="1429"/>
      <c r="AL254" s="1418"/>
      <c r="AM254" s="1429"/>
      <c r="AN254" s="1420"/>
      <c r="AO254" s="1430"/>
      <c r="AP254" s="1422"/>
      <c r="AQ254" s="1420"/>
      <c r="AR254" s="1427"/>
      <c r="AS254" s="1425">
        <f>AA254+K254+U254+D254</f>
        <v>221</v>
      </c>
      <c r="AT254" s="1431">
        <f>AS254-AS251</f>
        <v>1</v>
      </c>
      <c r="AU254" s="1432">
        <f>+(AS254/AS247-1)*100</f>
        <v>5.741626794258381</v>
      </c>
      <c r="AV254" s="1422"/>
      <c r="AW254" s="1422"/>
      <c r="AX254" s="1433">
        <f>AS254-D254-AL254</f>
        <v>130</v>
      </c>
      <c r="AY254" s="1434">
        <f>AX254-AX251</f>
        <v>1</v>
      </c>
      <c r="AZ254" s="1421">
        <f>SUM(AD254,R254,G254,X254)</f>
        <v>0.98362321428571442</v>
      </c>
      <c r="BA254" s="371">
        <f>AZ254/AZ247-1</f>
        <v>3.7839974556548306E-2</v>
      </c>
      <c r="BB254" s="330"/>
      <c r="BC254" s="371">
        <f>D254/AS254</f>
        <v>0.41176470588235292</v>
      </c>
      <c r="BD254" s="1811">
        <f>(K254+AA254+U254)/AS254</f>
        <v>0.58823529411764708</v>
      </c>
      <c r="BE254" s="1435">
        <f>AL254/AS254</f>
        <v>0</v>
      </c>
    </row>
    <row r="255" spans="1:57" ht="12" hidden="1" customHeight="1" outlineLevel="1">
      <c r="A255" s="132" t="str">
        <f>$A$31</f>
        <v>2Q</v>
      </c>
      <c r="B255" s="132" t="str">
        <f>$B$31</f>
        <v>Jul</v>
      </c>
      <c r="C255" s="132"/>
      <c r="D255" s="1424">
        <v>91</v>
      </c>
      <c r="E255" s="1419">
        <f>D255-D254</f>
        <v>0</v>
      </c>
      <c r="F255" s="1420">
        <f>+(D255/D248-1)*100</f>
        <v>3.4090909090909172</v>
      </c>
      <c r="G255" s="1421">
        <f>SeqQtrSales!AC171</f>
        <v>0.62640000000000007</v>
      </c>
      <c r="H255" s="1422"/>
      <c r="I255" s="1420"/>
      <c r="J255" s="1436"/>
      <c r="K255" s="1424">
        <f>48</f>
        <v>48</v>
      </c>
      <c r="L255" s="1437">
        <f>K255-K254</f>
        <v>2</v>
      </c>
      <c r="M255" s="1418"/>
      <c r="N255" s="1424"/>
      <c r="O255" s="1418"/>
      <c r="P255" s="1426"/>
      <c r="Q255" s="1420">
        <f>+(K255/K248-1)*100</f>
        <v>14.285714285714279</v>
      </c>
      <c r="R255" s="1421">
        <f>SeqQtrSales!AC358</f>
        <v>0.11150000000000003</v>
      </c>
      <c r="S255" s="1420"/>
      <c r="T255" s="1427"/>
      <c r="U255" s="1424">
        <v>57</v>
      </c>
      <c r="V255" s="1423">
        <f>U255-U254</f>
        <v>0</v>
      </c>
      <c r="W255" s="1420">
        <f>+(U255/U248-1)*100</f>
        <v>0</v>
      </c>
      <c r="X255" s="1421">
        <f>SeqQtrSales!AC532</f>
        <v>0.1495232142857143</v>
      </c>
      <c r="Y255" s="1420"/>
      <c r="Z255" s="1427"/>
      <c r="AA255" s="1424">
        <v>27</v>
      </c>
      <c r="AB255" s="1428">
        <f>AA255-AA254</f>
        <v>0</v>
      </c>
      <c r="AC255" s="1420">
        <f>+(AA255/AA248-1)*100</f>
        <v>12.5</v>
      </c>
      <c r="AD255" s="1421">
        <f>SeqQtrSales!AC452</f>
        <v>0.10100000000000001</v>
      </c>
      <c r="AE255" s="1429"/>
      <c r="AF255" s="1420"/>
      <c r="AG255" s="1424"/>
      <c r="AH255" s="1428"/>
      <c r="AI255" s="1420"/>
      <c r="AJ255" s="1421"/>
      <c r="AK255" s="1429"/>
      <c r="AL255" s="1418"/>
      <c r="AM255" s="1429"/>
      <c r="AN255" s="1420"/>
      <c r="AO255" s="1430"/>
      <c r="AP255" s="1422"/>
      <c r="AQ255" s="1420"/>
      <c r="AR255" s="1427"/>
      <c r="AS255" s="1425">
        <f>AA255+K255+U255+D255</f>
        <v>223</v>
      </c>
      <c r="AT255" s="1431">
        <f>AS255-AS254</f>
        <v>2</v>
      </c>
      <c r="AU255" s="1432">
        <f>+(AS255/AS248-1)*100</f>
        <v>5.6872037914691864</v>
      </c>
      <c r="AV255" s="1422"/>
      <c r="AW255" s="1422"/>
      <c r="AX255" s="1433">
        <f>AS255-D255-AL255</f>
        <v>132</v>
      </c>
      <c r="AY255" s="1434">
        <f>AX255-AX254</f>
        <v>2</v>
      </c>
      <c r="AZ255" s="1421">
        <f>SUM(AD255,R255,G255,X255)</f>
        <v>0.98842321428571434</v>
      </c>
      <c r="BA255" s="371">
        <f>AZ255/AZ248-1</f>
        <v>3.9941937888721357E-2</v>
      </c>
      <c r="BB255" s="330"/>
      <c r="BC255" s="371">
        <f>D255/AS255</f>
        <v>0.40807174887892378</v>
      </c>
      <c r="BD255" s="1811">
        <f>(K255+AA255+U255)/AS255</f>
        <v>0.59192825112107628</v>
      </c>
      <c r="BE255" s="1435">
        <f>AL255/AS255</f>
        <v>0</v>
      </c>
    </row>
    <row r="256" spans="1:57" ht="12" hidden="1" customHeight="1" outlineLevel="1">
      <c r="A256" s="132" t="str">
        <f>$A$32</f>
        <v>3Q</v>
      </c>
      <c r="B256" s="132" t="str">
        <f>$B$32</f>
        <v>Oct</v>
      </c>
      <c r="C256" s="132"/>
      <c r="D256" s="1424">
        <v>93</v>
      </c>
      <c r="E256" s="1419">
        <f>D256-D255</f>
        <v>2</v>
      </c>
      <c r="F256" s="1420">
        <f>+(D256/D249-1)*100</f>
        <v>3.3333333333333437</v>
      </c>
      <c r="G256" s="1421">
        <f>SeqQtrSales!AC172</f>
        <v>0.63328000000000007</v>
      </c>
      <c r="H256" s="1422"/>
      <c r="I256" s="1420"/>
      <c r="J256" s="330"/>
      <c r="K256" s="1424">
        <f>49</f>
        <v>49</v>
      </c>
      <c r="L256" s="1437">
        <v>1</v>
      </c>
      <c r="M256" s="1418"/>
      <c r="N256" s="1424"/>
      <c r="O256" s="1418"/>
      <c r="P256" s="1426"/>
      <c r="Q256" s="1420">
        <f>+(K256/K249-1)*100</f>
        <v>13.953488372093027</v>
      </c>
      <c r="R256" s="1421">
        <f>SeqQtrSales!AC359</f>
        <v>0.11390000000000003</v>
      </c>
      <c r="S256" s="1420"/>
      <c r="T256" s="1427"/>
      <c r="U256" s="1424">
        <v>56</v>
      </c>
      <c r="V256" s="1423">
        <f>U256-U255</f>
        <v>-1</v>
      </c>
      <c r="W256" s="1420">
        <f>+(U256/U249-1)*100</f>
        <v>-1.7543859649122862</v>
      </c>
      <c r="X256" s="1421">
        <f>SeqQtrSales!AC533</f>
        <v>0.1469</v>
      </c>
      <c r="Y256" s="1420"/>
      <c r="Z256" s="1427"/>
      <c r="AA256" s="1424">
        <v>27</v>
      </c>
      <c r="AB256" s="1428">
        <f>AA256-AA255</f>
        <v>0</v>
      </c>
      <c r="AC256" s="1420">
        <f>+(AA256/AA249-1)*100</f>
        <v>8.0000000000000071</v>
      </c>
      <c r="AD256" s="1421">
        <f>SeqQtrSales!AC453</f>
        <v>0.10100000000000001</v>
      </c>
      <c r="AE256" s="1429"/>
      <c r="AF256" s="1420"/>
      <c r="AG256" s="1424"/>
      <c r="AH256" s="1428"/>
      <c r="AI256" s="1420"/>
      <c r="AJ256" s="1421"/>
      <c r="AK256" s="1429"/>
      <c r="AL256" s="1418"/>
      <c r="AM256" s="1429"/>
      <c r="AN256" s="1420"/>
      <c r="AO256" s="1430"/>
      <c r="AP256" s="1422"/>
      <c r="AQ256" s="1420"/>
      <c r="AR256" s="1427"/>
      <c r="AS256" s="1425">
        <f>AA256+K256+U256+D256</f>
        <v>225</v>
      </c>
      <c r="AT256" s="1431">
        <f>AS256-AS255</f>
        <v>2</v>
      </c>
      <c r="AU256" s="1432">
        <f>+(AS256/AS249-1)*100</f>
        <v>4.6511627906976827</v>
      </c>
      <c r="AV256" s="1422"/>
      <c r="AW256" s="1422"/>
      <c r="AX256" s="1433">
        <f>AS256-D256-AL256</f>
        <v>132</v>
      </c>
      <c r="AY256" s="1434">
        <f>AX256-AX255</f>
        <v>0</v>
      </c>
      <c r="AZ256" s="1421">
        <f>SUM(AD256,R256,G256,X256)</f>
        <v>0.99508000000000019</v>
      </c>
      <c r="BA256" s="371">
        <f>AZ256/AZ249-1</f>
        <v>2.9726876987713258E-2</v>
      </c>
      <c r="BB256" s="330"/>
      <c r="BC256" s="371">
        <f>D256/AS256</f>
        <v>0.41333333333333333</v>
      </c>
      <c r="BD256" s="1811">
        <f>(K256+AA256+U256)/AS256</f>
        <v>0.58666666666666667</v>
      </c>
      <c r="BE256" s="1435">
        <f>AL256/AS256</f>
        <v>0</v>
      </c>
    </row>
    <row r="257" spans="1:57" ht="12" hidden="1" customHeight="1" outlineLevel="1">
      <c r="A257" s="132" t="str">
        <f>$A$33</f>
        <v>4Q</v>
      </c>
      <c r="B257" s="132" t="str">
        <f>$B$33</f>
        <v>Jan</v>
      </c>
      <c r="C257" s="132"/>
      <c r="D257" s="1438">
        <f>D256+E257</f>
        <v>96</v>
      </c>
      <c r="E257" s="1419">
        <f>E258-SUM(E254:E256)</f>
        <v>3</v>
      </c>
      <c r="F257" s="1420">
        <f>+(D257/D250-1)*100</f>
        <v>5.4945054945054972</v>
      </c>
      <c r="G257" s="1466">
        <f>0.5981+0.0455</f>
        <v>0.64359999999999995</v>
      </c>
      <c r="H257" s="1422"/>
      <c r="I257" s="1420"/>
      <c r="J257" s="330"/>
      <c r="K257" s="1438">
        <f>52</f>
        <v>52</v>
      </c>
      <c r="L257" s="1437">
        <v>3</v>
      </c>
      <c r="M257" s="1438"/>
      <c r="N257" s="1418"/>
      <c r="O257" s="1438"/>
      <c r="P257" s="1440"/>
      <c r="Q257" s="1420">
        <f>+(K257/K250-1)*100</f>
        <v>15.555555555555545</v>
      </c>
      <c r="R257" s="1466">
        <f>0.1287+0.012</f>
        <v>0.14070000000000002</v>
      </c>
      <c r="S257" s="1420"/>
      <c r="T257" s="1427"/>
      <c r="U257" s="1464">
        <f>1+55</f>
        <v>56</v>
      </c>
      <c r="V257" s="1423">
        <v>0</v>
      </c>
      <c r="W257" s="1420">
        <f>+(U257/U250-1)*100</f>
        <v>-1.7543859649122862</v>
      </c>
      <c r="X257" s="1466">
        <f>0.012+0.1349</f>
        <v>0.1469</v>
      </c>
      <c r="Y257" s="1420"/>
      <c r="Z257" s="1427"/>
      <c r="AA257" s="1438">
        <f>AA256+AB257</f>
        <v>29</v>
      </c>
      <c r="AB257" s="1441">
        <f>AB258-SUM(AB254:AB256)</f>
        <v>2</v>
      </c>
      <c r="AC257" s="1420">
        <f>+(AA257/AA250-1)*100</f>
        <v>7.4074074074074181</v>
      </c>
      <c r="AD257" s="1466">
        <f>0.0224+0.0855</f>
        <v>0.10790000000000001</v>
      </c>
      <c r="AE257" s="1442"/>
      <c r="AF257" s="1420"/>
      <c r="AG257" s="1438"/>
      <c r="AH257" s="1441"/>
      <c r="AI257" s="1420"/>
      <c r="AJ257" s="1466"/>
      <c r="AK257" s="1442"/>
      <c r="AL257" s="1438"/>
      <c r="AM257" s="1442"/>
      <c r="AN257" s="1420"/>
      <c r="AO257" s="1443"/>
      <c r="AP257" s="1422"/>
      <c r="AQ257" s="1420"/>
      <c r="AR257" s="1427"/>
      <c r="AS257" s="1444">
        <f>AA257+K257+U257+D257</f>
        <v>233</v>
      </c>
      <c r="AT257" s="1431">
        <f>AS257-AS256</f>
        <v>8</v>
      </c>
      <c r="AU257" s="1432">
        <f>+(AS257/AS250-1)*100</f>
        <v>5.9090909090909083</v>
      </c>
      <c r="AV257" s="1422"/>
      <c r="AW257" s="1422"/>
      <c r="AX257" s="1433">
        <f>AS257-D257-AL257</f>
        <v>137</v>
      </c>
      <c r="AY257" s="1434">
        <f>AX257-AX256</f>
        <v>5</v>
      </c>
      <c r="AZ257" s="1439">
        <f>SUM(AD257,R257,G257,X257)</f>
        <v>1.0390999999999999</v>
      </c>
      <c r="BA257" s="371">
        <f>AZ257/AZ250-1</f>
        <v>5.7931174913459449E-2</v>
      </c>
      <c r="BB257" s="330"/>
      <c r="BC257" s="371">
        <f>D257/AS257</f>
        <v>0.41201716738197425</v>
      </c>
      <c r="BD257" s="1812">
        <f>(K257+AA257+U257)/AS257</f>
        <v>0.58798283261802575</v>
      </c>
      <c r="BE257" s="1445">
        <f>AL257/AS257</f>
        <v>0</v>
      </c>
    </row>
    <row r="258" spans="1:57" ht="12" hidden="1" customHeight="1" outlineLevel="1">
      <c r="A258" s="132"/>
      <c r="B258" s="132" t="str">
        <f>$B$34</f>
        <v>Year</v>
      </c>
      <c r="C258" s="132"/>
      <c r="D258" s="1425">
        <f>D257</f>
        <v>96</v>
      </c>
      <c r="E258" s="1468">
        <v>5</v>
      </c>
      <c r="F258" s="1420">
        <f>+(D258/D251-1)*100</f>
        <v>5.4945054945054972</v>
      </c>
      <c r="G258" s="1421">
        <f>G257</f>
        <v>0.64359999999999995</v>
      </c>
      <c r="H258" s="1422"/>
      <c r="I258" s="1420"/>
      <c r="J258" s="330"/>
      <c r="K258" s="1425">
        <f>K257</f>
        <v>52</v>
      </c>
      <c r="L258" s="1448">
        <v>7</v>
      </c>
      <c r="M258" s="1425"/>
      <c r="N258" s="1448"/>
      <c r="O258" s="1418"/>
      <c r="P258" s="1448"/>
      <c r="Q258" s="1420">
        <f>+(K258/K251-1)*100</f>
        <v>15.555555555555545</v>
      </c>
      <c r="R258" s="1421">
        <f>R257</f>
        <v>0.14070000000000002</v>
      </c>
      <c r="S258" s="1420"/>
      <c r="T258" s="1427"/>
      <c r="U258" s="1425">
        <f>U257</f>
        <v>56</v>
      </c>
      <c r="V258" s="1448">
        <f>U258-U251</f>
        <v>-1</v>
      </c>
      <c r="W258" s="1420">
        <f>+(U258/U251-1)*100</f>
        <v>-1.7543859649122862</v>
      </c>
      <c r="X258" s="1421">
        <f>X257</f>
        <v>0.1469</v>
      </c>
      <c r="Y258" s="1420"/>
      <c r="Z258" s="1427"/>
      <c r="AA258" s="1425">
        <f>AA257</f>
        <v>29</v>
      </c>
      <c r="AB258" s="1450">
        <v>2</v>
      </c>
      <c r="AC258" s="1420">
        <f>+(AA258/AA251-1)*100</f>
        <v>7.4074074074074181</v>
      </c>
      <c r="AD258" s="1421">
        <f>+AD257</f>
        <v>0.10790000000000001</v>
      </c>
      <c r="AE258" s="1450"/>
      <c r="AF258" s="1420"/>
      <c r="AG258" s="1425"/>
      <c r="AH258" s="1450"/>
      <c r="AI258" s="1420"/>
      <c r="AJ258" s="1421"/>
      <c r="AK258" s="1450"/>
      <c r="AL258" s="1425"/>
      <c r="AM258" s="1450"/>
      <c r="AN258" s="1420"/>
      <c r="AO258" s="1430"/>
      <c r="AP258" s="1422"/>
      <c r="AQ258" s="1420"/>
      <c r="AR258" s="1427"/>
      <c r="AS258" s="1425">
        <f>AA258+K258+U258+D258</f>
        <v>233</v>
      </c>
      <c r="AT258" s="1451">
        <f>AS258-AS251</f>
        <v>13</v>
      </c>
      <c r="AU258" s="1432">
        <f>+(AS258/AS251-1)*100</f>
        <v>5.9090909090909083</v>
      </c>
      <c r="AV258" s="1422"/>
      <c r="AW258" s="1422"/>
      <c r="AX258" s="1433">
        <f>AS258-D258-AL258</f>
        <v>137</v>
      </c>
      <c r="AY258" s="1434">
        <f>AX258-AX251</f>
        <v>8</v>
      </c>
      <c r="AZ258" s="1421">
        <f>+AZ257</f>
        <v>1.0390999999999999</v>
      </c>
      <c r="BA258" s="1470">
        <f>AZ258/AZ251-1</f>
        <v>5.7931174913459449E-2</v>
      </c>
      <c r="BB258" s="330"/>
      <c r="BC258" s="1452">
        <f>D258/AS258</f>
        <v>0.41201716738197425</v>
      </c>
      <c r="BD258" s="1811">
        <f>(K258+AA258+U258)/AS258</f>
        <v>0.58798283261802575</v>
      </c>
      <c r="BE258" s="1452">
        <f>AL258/AS258</f>
        <v>0</v>
      </c>
    </row>
    <row r="259" spans="1:57" ht="12" customHeight="1" collapsed="1">
      <c r="A259" s="131"/>
      <c r="B259" s="131"/>
      <c r="C259" s="131"/>
      <c r="D259" s="367"/>
      <c r="E259" s="1453"/>
      <c r="F259" s="1454"/>
      <c r="G259" s="405"/>
      <c r="H259" s="367"/>
      <c r="I259" s="1420"/>
      <c r="J259" s="330"/>
      <c r="K259" s="1489"/>
      <c r="L259" s="579"/>
      <c r="M259" s="367"/>
      <c r="N259" s="579"/>
      <c r="O259" s="367"/>
      <c r="P259" s="1455"/>
      <c r="Q259" s="367"/>
      <c r="R259" s="367"/>
      <c r="S259" s="367"/>
      <c r="T259" s="580"/>
      <c r="U259" s="367"/>
      <c r="V259" s="579"/>
      <c r="W259" s="367"/>
      <c r="X259" s="367"/>
      <c r="Y259" s="367"/>
      <c r="Z259" s="580"/>
      <c r="AA259" s="367"/>
      <c r="AB259" s="579"/>
      <c r="AC259" s="367"/>
      <c r="AD259" s="367"/>
      <c r="AE259" s="579"/>
      <c r="AF259" s="367"/>
      <c r="AG259" s="367"/>
      <c r="AH259" s="579"/>
      <c r="AI259" s="367"/>
      <c r="AJ259" s="367"/>
      <c r="AK259" s="579"/>
      <c r="AL259" s="367"/>
      <c r="AM259" s="579"/>
      <c r="AN259" s="579"/>
      <c r="AO259" s="330"/>
      <c r="AP259" s="367"/>
      <c r="AQ259" s="1454"/>
      <c r="AR259" s="580"/>
      <c r="AS259" s="339"/>
      <c r="AT259" s="330"/>
      <c r="AU259" s="330"/>
      <c r="AV259" s="330"/>
      <c r="AW259" s="330"/>
      <c r="AX259" s="330"/>
      <c r="AY259" s="1456"/>
      <c r="AZ259" s="330"/>
      <c r="BA259" s="330"/>
      <c r="BB259" s="330"/>
      <c r="BC259" s="330"/>
      <c r="BD259" s="405"/>
      <c r="BE259" s="330"/>
    </row>
    <row r="260" spans="1:57" ht="12" hidden="1" customHeight="1" outlineLevel="1">
      <c r="A260" s="2507">
        <f>+A253+1</f>
        <v>2011</v>
      </c>
      <c r="B260" s="2507"/>
      <c r="C260" s="132"/>
      <c r="D260" s="1462"/>
      <c r="E260" s="1453"/>
      <c r="F260" s="1454"/>
      <c r="G260" s="1457"/>
      <c r="H260" s="367"/>
      <c r="I260" s="1420"/>
      <c r="J260" s="330"/>
      <c r="K260" s="1460"/>
      <c r="L260" s="1461"/>
      <c r="M260" s="1460"/>
      <c r="N260" s="1461"/>
      <c r="O260" s="1460"/>
      <c r="P260" s="1455"/>
      <c r="Q260" s="367"/>
      <c r="R260" s="367"/>
      <c r="S260" s="367"/>
      <c r="T260" s="580"/>
      <c r="U260" s="1460"/>
      <c r="V260" s="1461"/>
      <c r="W260" s="367"/>
      <c r="X260" s="367"/>
      <c r="Y260" s="367"/>
      <c r="Z260" s="580"/>
      <c r="AA260" s="1460"/>
      <c r="AB260" s="579"/>
      <c r="AC260" s="367"/>
      <c r="AD260" s="1460"/>
      <c r="AE260" s="579"/>
      <c r="AF260" s="367"/>
      <c r="AG260" s="1460"/>
      <c r="AH260" s="579"/>
      <c r="AI260" s="367"/>
      <c r="AJ260" s="1460"/>
      <c r="AK260" s="579"/>
      <c r="AL260" s="1460"/>
      <c r="AM260" s="579"/>
      <c r="AN260" s="579"/>
      <c r="AO260" s="1460"/>
      <c r="AP260" s="367"/>
      <c r="AQ260" s="1454"/>
      <c r="AR260" s="580"/>
      <c r="AS260" s="1457"/>
      <c r="AT260" s="405"/>
      <c r="AU260" s="405"/>
      <c r="AV260" s="330"/>
      <c r="AW260" s="330"/>
      <c r="AX260" s="1433"/>
      <c r="AY260" s="1434"/>
      <c r="AZ260" s="330"/>
      <c r="BA260" s="330"/>
      <c r="BB260" s="330"/>
      <c r="BC260" s="330"/>
      <c r="BD260" s="405"/>
      <c r="BE260" s="330"/>
    </row>
    <row r="261" spans="1:57" ht="12" hidden="1" customHeight="1" outlineLevel="1">
      <c r="A261" s="132" t="str">
        <f>$A$30</f>
        <v>1Q</v>
      </c>
      <c r="B261" s="132" t="str">
        <f>$B$30</f>
        <v>Apr</v>
      </c>
      <c r="C261" s="132"/>
      <c r="D261" s="1424">
        <v>96</v>
      </c>
      <c r="E261" s="1419">
        <f>D261-D258</f>
        <v>0</v>
      </c>
      <c r="F261" s="1420">
        <f>+(D261/D254-1)*100</f>
        <v>5.4945054945054972</v>
      </c>
      <c r="G261" s="1421">
        <f>SeqQtrSales!AC177</f>
        <v>0.64359999999999995</v>
      </c>
      <c r="H261" s="1422"/>
      <c r="I261" s="1420"/>
      <c r="J261" s="330"/>
      <c r="K261" s="1424">
        <f>K257+L261</f>
        <v>53</v>
      </c>
      <c r="L261" s="1423">
        <v>1</v>
      </c>
      <c r="M261" s="1418"/>
      <c r="N261" s="1424"/>
      <c r="O261" s="1425"/>
      <c r="P261" s="1426"/>
      <c r="Q261" s="1420">
        <f>+(K261/K254-1)*100</f>
        <v>15.217391304347828</v>
      </c>
      <c r="R261" s="1421">
        <f>SeqQtrSales!AC364</f>
        <v>0.1351</v>
      </c>
      <c r="S261" s="1420"/>
      <c r="T261" s="1427"/>
      <c r="U261" s="1424">
        <v>55</v>
      </c>
      <c r="V261" s="1423">
        <f>U261-U258</f>
        <v>-1</v>
      </c>
      <c r="W261" s="1420">
        <f>+(U261/U254-1)*100</f>
        <v>-3.5087719298245612</v>
      </c>
      <c r="X261" s="1421">
        <f>SeqQtrSales!AC538</f>
        <v>0.14360000000000001</v>
      </c>
      <c r="Y261" s="1420"/>
      <c r="Z261" s="1427"/>
      <c r="AA261" s="1424">
        <v>29</v>
      </c>
      <c r="AB261" s="1428">
        <f>AA261-AA258</f>
        <v>0</v>
      </c>
      <c r="AC261" s="1420">
        <f>+(AA261/AA254-1)*100</f>
        <v>7.4074074074074181</v>
      </c>
      <c r="AD261" s="1421">
        <f>SeqQtrSales!AC458</f>
        <v>0.10790000000000001</v>
      </c>
      <c r="AE261" s="1429"/>
      <c r="AF261" s="1420"/>
      <c r="AG261" s="1424"/>
      <c r="AH261" s="1428"/>
      <c r="AI261" s="1420"/>
      <c r="AJ261" s="1421"/>
      <c r="AK261" s="1429"/>
      <c r="AL261" s="1418"/>
      <c r="AM261" s="1429"/>
      <c r="AN261" s="1420"/>
      <c r="AO261" s="1430"/>
      <c r="AP261" s="1422"/>
      <c r="AQ261" s="1420"/>
      <c r="AR261" s="1427"/>
      <c r="AS261" s="1425">
        <f>AA261+K261+U261+D261</f>
        <v>233</v>
      </c>
      <c r="AT261" s="1431">
        <f>AS261-AS258</f>
        <v>0</v>
      </c>
      <c r="AU261" s="1432">
        <f>+(AS261/AS254-1)*100</f>
        <v>5.4298642533936681</v>
      </c>
      <c r="AV261" s="1422"/>
      <c r="AW261" s="1422"/>
      <c r="AX261" s="1433">
        <f>AS261-D261-AL261</f>
        <v>137</v>
      </c>
      <c r="AY261" s="1434">
        <f>AX261-AX258</f>
        <v>0</v>
      </c>
      <c r="AZ261" s="1421">
        <f>SUM(AD261,R261,G261,X261)</f>
        <v>1.0302</v>
      </c>
      <c r="BA261" s="371">
        <f>AZ261/AZ254-1</f>
        <v>4.7352263588155141E-2</v>
      </c>
      <c r="BB261" s="330"/>
      <c r="BC261" s="371">
        <f>D261/AS261</f>
        <v>0.41201716738197425</v>
      </c>
      <c r="BD261" s="1811">
        <f>(K261+AA261+U261)/AS261</f>
        <v>0.58798283261802575</v>
      </c>
      <c r="BE261" s="1435">
        <f>AL261/AS261</f>
        <v>0</v>
      </c>
    </row>
    <row r="262" spans="1:57" ht="12" hidden="1" customHeight="1" outlineLevel="1">
      <c r="A262" s="132" t="str">
        <f>$A$31</f>
        <v>2Q</v>
      </c>
      <c r="B262" s="132" t="str">
        <f>$B$31</f>
        <v>Jul</v>
      </c>
      <c r="C262" s="132"/>
      <c r="D262" s="1424">
        <v>98</v>
      </c>
      <c r="E262" s="1419">
        <f>+D262-D261</f>
        <v>2</v>
      </c>
      <c r="F262" s="1420">
        <f>+(D262/D255-1)*100</f>
        <v>7.6923076923076872</v>
      </c>
      <c r="G262" s="1421">
        <f>SeqQtrSales!AC178</f>
        <v>0.64929999999999999</v>
      </c>
      <c r="H262" s="1422"/>
      <c r="I262" s="1420"/>
      <c r="J262" s="1436"/>
      <c r="K262" s="1424">
        <f>K261+L262</f>
        <v>53</v>
      </c>
      <c r="L262" s="1423">
        <v>0</v>
      </c>
      <c r="M262" s="1418"/>
      <c r="N262" s="1424"/>
      <c r="O262" s="1418"/>
      <c r="P262" s="1426"/>
      <c r="Q262" s="1420">
        <f>+(K262/K255-1)*100</f>
        <v>10.416666666666675</v>
      </c>
      <c r="R262" s="1421">
        <f>SeqQtrSales!AC365</f>
        <v>0.1351</v>
      </c>
      <c r="S262" s="1420"/>
      <c r="T262" s="1427"/>
      <c r="U262" s="1424">
        <v>55</v>
      </c>
      <c r="V262" s="1423">
        <f>+U262-U261</f>
        <v>0</v>
      </c>
      <c r="W262" s="1420">
        <f>+(U262/U255-1)*100</f>
        <v>-3.5087719298245612</v>
      </c>
      <c r="X262" s="1421">
        <f>SeqQtrSales!AC539</f>
        <v>0.14360000000000001</v>
      </c>
      <c r="Y262" s="1420"/>
      <c r="Z262" s="1427"/>
      <c r="AA262" s="1424">
        <v>31</v>
      </c>
      <c r="AB262" s="1428">
        <f>+AA262-AA261</f>
        <v>2</v>
      </c>
      <c r="AC262" s="1420">
        <f>+(AA262/AA255-1)*100</f>
        <v>14.814814814814813</v>
      </c>
      <c r="AD262" s="1421">
        <f>SeqQtrSales!AC459</f>
        <v>0.11480000000000001</v>
      </c>
      <c r="AE262" s="1429"/>
      <c r="AF262" s="1420"/>
      <c r="AG262" s="1424"/>
      <c r="AH262" s="1428"/>
      <c r="AI262" s="1420"/>
      <c r="AJ262" s="1421"/>
      <c r="AK262" s="1429"/>
      <c r="AL262" s="1418"/>
      <c r="AM262" s="1429"/>
      <c r="AN262" s="1420"/>
      <c r="AO262" s="1430"/>
      <c r="AP262" s="1422"/>
      <c r="AQ262" s="1420"/>
      <c r="AR262" s="1427"/>
      <c r="AS262" s="1425">
        <f>AA262+K262+U262+D262</f>
        <v>237</v>
      </c>
      <c r="AT262" s="1431">
        <f>AS262-AS261</f>
        <v>4</v>
      </c>
      <c r="AU262" s="1432">
        <f>+(AS262/AS255-1)*100</f>
        <v>6.2780269058295923</v>
      </c>
      <c r="AV262" s="1422"/>
      <c r="AW262" s="1422"/>
      <c r="AX262" s="1433">
        <f>AS262-D262-AL262</f>
        <v>139</v>
      </c>
      <c r="AY262" s="1434">
        <f>AX262-AX261</f>
        <v>2</v>
      </c>
      <c r="AZ262" s="1421">
        <f>SUM(AD262,R262,G262,X262)</f>
        <v>1.0427999999999999</v>
      </c>
      <c r="BA262" s="371">
        <f>AZ262/AZ255-1</f>
        <v>5.501366715024103E-2</v>
      </c>
      <c r="BB262" s="330"/>
      <c r="BC262" s="371">
        <f>D262/AS262</f>
        <v>0.41350210970464135</v>
      </c>
      <c r="BD262" s="1811">
        <f>(K262+AA262+U262)/AS262</f>
        <v>0.5864978902953587</v>
      </c>
      <c r="BE262" s="1435">
        <f>AL262/AS262</f>
        <v>0</v>
      </c>
    </row>
    <row r="263" spans="1:57" ht="12" hidden="1" customHeight="1" outlineLevel="1">
      <c r="A263" s="132" t="str">
        <f>$A$32</f>
        <v>3Q</v>
      </c>
      <c r="B263" s="132" t="str">
        <f>$B$32</f>
        <v>Oct</v>
      </c>
      <c r="C263" s="132"/>
      <c r="D263" s="1424">
        <v>101</v>
      </c>
      <c r="E263" s="1419">
        <f>+D263-D262</f>
        <v>3</v>
      </c>
      <c r="F263" s="1420">
        <f>+(D263/D256-1)*100</f>
        <v>8.602150537634401</v>
      </c>
      <c r="G263" s="1421">
        <f>SeqQtrSales!AC179</f>
        <v>0.65785000000000005</v>
      </c>
      <c r="H263" s="1422"/>
      <c r="I263" s="1420"/>
      <c r="J263" s="330"/>
      <c r="K263" s="1424">
        <f>K262+L263</f>
        <v>55</v>
      </c>
      <c r="L263" s="1423">
        <v>2</v>
      </c>
      <c r="M263" s="1418"/>
      <c r="N263" s="1424"/>
      <c r="O263" s="1418"/>
      <c r="P263" s="1426"/>
      <c r="Q263" s="1420">
        <f>+(K263/K256-1)*100</f>
        <v>12.244897959183664</v>
      </c>
      <c r="R263" s="1421">
        <f>SeqQtrSales!AC366</f>
        <v>0.13792857142857143</v>
      </c>
      <c r="S263" s="1420"/>
      <c r="T263" s="1427"/>
      <c r="U263" s="1424">
        <v>55</v>
      </c>
      <c r="V263" s="1423">
        <f>+U263-U262</f>
        <v>0</v>
      </c>
      <c r="W263" s="1420">
        <f>+(U263/U256-1)*100</f>
        <v>-1.7857142857142905</v>
      </c>
      <c r="X263" s="1421">
        <f>SeqQtrSales!AC540</f>
        <v>0.14360000000000001</v>
      </c>
      <c r="Y263" s="1420"/>
      <c r="Z263" s="1427"/>
      <c r="AA263" s="1424">
        <v>32</v>
      </c>
      <c r="AB263" s="1428">
        <f>+AA263-AA262</f>
        <v>1</v>
      </c>
      <c r="AC263" s="1420">
        <f>+(AA263/AA256-1)*100</f>
        <v>18.518518518518512</v>
      </c>
      <c r="AD263" s="1421">
        <f>SeqQtrSales!AC460</f>
        <v>0.11825000000000002</v>
      </c>
      <c r="AE263" s="1429"/>
      <c r="AF263" s="1420"/>
      <c r="AG263" s="1424"/>
      <c r="AH263" s="1428"/>
      <c r="AI263" s="1420"/>
      <c r="AJ263" s="1421"/>
      <c r="AK263" s="1429"/>
      <c r="AL263" s="1418"/>
      <c r="AM263" s="1429"/>
      <c r="AN263" s="1420"/>
      <c r="AO263" s="1430"/>
      <c r="AP263" s="1422"/>
      <c r="AQ263" s="1420"/>
      <c r="AR263" s="1427"/>
      <c r="AS263" s="1425">
        <f>AA263+K263+U263+D263</f>
        <v>243</v>
      </c>
      <c r="AT263" s="1431">
        <f>AS263-AS262</f>
        <v>6</v>
      </c>
      <c r="AU263" s="1432">
        <f>+(AS263/AS256-1)*100</f>
        <v>8.0000000000000071</v>
      </c>
      <c r="AV263" s="1422"/>
      <c r="AW263" s="1422"/>
      <c r="AX263" s="1433">
        <f>AS263-D263-AL263</f>
        <v>142</v>
      </c>
      <c r="AY263" s="1434">
        <f>AX263-AX262</f>
        <v>3</v>
      </c>
      <c r="AZ263" s="1421">
        <f>SUM(AD263,R263,G263,X263)</f>
        <v>1.0576285714285716</v>
      </c>
      <c r="BA263" s="371">
        <f>AZ263/AZ256-1</f>
        <v>6.2857831961823596E-2</v>
      </c>
      <c r="BB263" s="330"/>
      <c r="BC263" s="371">
        <f>D263/AS263</f>
        <v>0.41563786008230452</v>
      </c>
      <c r="BD263" s="1811">
        <f>(K263+AA263+U263)/AS263</f>
        <v>0.58436213991769548</v>
      </c>
      <c r="BE263" s="1435">
        <f>AL263/AS263</f>
        <v>0</v>
      </c>
    </row>
    <row r="264" spans="1:57" ht="12" hidden="1" customHeight="1" outlineLevel="1">
      <c r="A264" s="132" t="str">
        <f>$A$33</f>
        <v>4Q</v>
      </c>
      <c r="B264" s="132" t="str">
        <f>$B$33</f>
        <v>Jan</v>
      </c>
      <c r="C264" s="132"/>
      <c r="D264" s="1438">
        <f>D263+E264</f>
        <v>102</v>
      </c>
      <c r="E264" s="1419">
        <f>E265-SUM(E261:E263)</f>
        <v>1</v>
      </c>
      <c r="F264" s="1420">
        <f>+(D264/D257-1)*100</f>
        <v>6.25</v>
      </c>
      <c r="G264" s="1466">
        <f>0.6152+0.0455</f>
        <v>0.66069999999999995</v>
      </c>
      <c r="H264" s="1422"/>
      <c r="I264" s="1420"/>
      <c r="J264" s="330"/>
      <c r="K264" s="1438">
        <f>K263+L264</f>
        <v>59</v>
      </c>
      <c r="L264" s="1423">
        <f>L265-SUM(L261:L263)</f>
        <v>4</v>
      </c>
      <c r="M264" s="1438"/>
      <c r="N264" s="1418"/>
      <c r="O264" s="1438"/>
      <c r="P264" s="1440"/>
      <c r="Q264" s="1420">
        <f>+(K264/K257-1)*100</f>
        <v>13.461538461538458</v>
      </c>
      <c r="R264" s="1466">
        <f>0.1506</f>
        <v>0.15060000000000001</v>
      </c>
      <c r="S264" s="1420"/>
      <c r="T264" s="1427"/>
      <c r="U264" s="1438">
        <f>U263+V264</f>
        <v>55</v>
      </c>
      <c r="V264" s="1423">
        <f>V265-SUM(V261:V263)</f>
        <v>0</v>
      </c>
      <c r="W264" s="1420">
        <f>+(U264/U257-1)*100</f>
        <v>-1.7857142857142905</v>
      </c>
      <c r="X264" s="1466">
        <f>0.1316+0.012</f>
        <v>0.14360000000000001</v>
      </c>
      <c r="Y264" s="1420"/>
      <c r="Z264" s="1427"/>
      <c r="AA264" s="1438">
        <f>AA263+AB264</f>
        <v>32</v>
      </c>
      <c r="AB264" s="1428">
        <f>AB265-SUM(AB261:AB263)</f>
        <v>0</v>
      </c>
      <c r="AC264" s="1420">
        <f>+(AA264/AA257-1)*100</f>
        <v>10.344827586206895</v>
      </c>
      <c r="AD264" s="1466">
        <f>0.0224+0.0894</f>
        <v>0.1118</v>
      </c>
      <c r="AE264" s="1442"/>
      <c r="AF264" s="1420"/>
      <c r="AG264" s="1438"/>
      <c r="AH264" s="1419"/>
      <c r="AI264" s="1420"/>
      <c r="AJ264" s="1439"/>
      <c r="AK264" s="1442"/>
      <c r="AL264" s="1438"/>
      <c r="AM264" s="1442"/>
      <c r="AN264" s="1420"/>
      <c r="AO264" s="1443"/>
      <c r="AP264" s="1422"/>
      <c r="AQ264" s="1420"/>
      <c r="AR264" s="1427"/>
      <c r="AS264" s="1444">
        <f>AA264+K264+U264+D264</f>
        <v>248</v>
      </c>
      <c r="AT264" s="1431">
        <f>AS264-AS263</f>
        <v>5</v>
      </c>
      <c r="AU264" s="1432">
        <f>+(AS264/AS257-1)*100</f>
        <v>6.4377682403433445</v>
      </c>
      <c r="AV264" s="1422"/>
      <c r="AW264" s="1422"/>
      <c r="AX264" s="1433">
        <f>AS264-D264-AL264</f>
        <v>146</v>
      </c>
      <c r="AY264" s="1434">
        <f>AX264-AX263</f>
        <v>4</v>
      </c>
      <c r="AZ264" s="1439">
        <f>SUM(AD264,R264,G264,X264)</f>
        <v>1.0667</v>
      </c>
      <c r="BA264" s="371">
        <f>AZ264/AZ257-1</f>
        <v>2.6561447406409533E-2</v>
      </c>
      <c r="BB264" s="330"/>
      <c r="BC264" s="371">
        <f>D264/AS264</f>
        <v>0.41129032258064518</v>
      </c>
      <c r="BD264" s="1812">
        <f>(K264+AA264+U264)/AS264</f>
        <v>0.58870967741935487</v>
      </c>
      <c r="BE264" s="1445">
        <f>AL264/AS264</f>
        <v>0</v>
      </c>
    </row>
    <row r="265" spans="1:57" ht="12" hidden="1" customHeight="1" outlineLevel="1">
      <c r="A265" s="132"/>
      <c r="B265" s="132" t="str">
        <f>$B$34</f>
        <v>Year</v>
      </c>
      <c r="C265" s="132"/>
      <c r="D265" s="1425">
        <f>D264</f>
        <v>102</v>
      </c>
      <c r="E265" s="1468">
        <v>6</v>
      </c>
      <c r="F265" s="1420">
        <f>+(D265/D258-1)*100</f>
        <v>6.25</v>
      </c>
      <c r="G265" s="1421">
        <f>G264</f>
        <v>0.66069999999999995</v>
      </c>
      <c r="H265" s="1422"/>
      <c r="I265" s="1420"/>
      <c r="J265" s="330"/>
      <c r="K265" s="1425">
        <f>K264</f>
        <v>59</v>
      </c>
      <c r="L265" s="1468">
        <v>7</v>
      </c>
      <c r="M265" s="1425"/>
      <c r="N265" s="1448"/>
      <c r="O265" s="1418"/>
      <c r="P265" s="1448"/>
      <c r="Q265" s="1420">
        <f>+(K265/K258-1)*100</f>
        <v>13.461538461538458</v>
      </c>
      <c r="R265" s="1421">
        <f>R264</f>
        <v>0.15060000000000001</v>
      </c>
      <c r="S265" s="1420"/>
      <c r="T265" s="1427"/>
      <c r="U265" s="1425">
        <f>U264</f>
        <v>55</v>
      </c>
      <c r="V265" s="1448">
        <v>-1</v>
      </c>
      <c r="W265" s="1420">
        <f>+(U265/U258-1)*100</f>
        <v>-1.7857142857142905</v>
      </c>
      <c r="X265" s="1421">
        <f>X264</f>
        <v>0.14360000000000001</v>
      </c>
      <c r="Y265" s="1420"/>
      <c r="Z265" s="1427"/>
      <c r="AA265" s="1425">
        <f>AA264</f>
        <v>32</v>
      </c>
      <c r="AB265" s="1450">
        <v>3</v>
      </c>
      <c r="AC265" s="1420">
        <f>+(AA265/AA258-1)*100</f>
        <v>10.344827586206895</v>
      </c>
      <c r="AD265" s="1421">
        <f>+AD264</f>
        <v>0.1118</v>
      </c>
      <c r="AE265" s="1450"/>
      <c r="AF265" s="1420"/>
      <c r="AG265" s="1425"/>
      <c r="AH265" s="1448"/>
      <c r="AI265" s="1420"/>
      <c r="AJ265" s="1421"/>
      <c r="AK265" s="1450"/>
      <c r="AL265" s="1425"/>
      <c r="AM265" s="1450"/>
      <c r="AN265" s="1420"/>
      <c r="AO265" s="1430"/>
      <c r="AP265" s="1422"/>
      <c r="AQ265" s="1420"/>
      <c r="AR265" s="1427"/>
      <c r="AS265" s="1425">
        <f>AA265+K265+U265+D265</f>
        <v>248</v>
      </c>
      <c r="AT265" s="1451">
        <f>AS265-AS258</f>
        <v>15</v>
      </c>
      <c r="AU265" s="1432">
        <f>+(AS265/AS258-1)*100</f>
        <v>6.4377682403433445</v>
      </c>
      <c r="AV265" s="1422"/>
      <c r="AW265" s="1422"/>
      <c r="AX265" s="1433">
        <f>AS265-D265-AL265</f>
        <v>146</v>
      </c>
      <c r="AY265" s="1434">
        <f>AX265-AX258</f>
        <v>9</v>
      </c>
      <c r="AZ265" s="1421">
        <f>+AZ264</f>
        <v>1.0667</v>
      </c>
      <c r="BA265" s="1470">
        <f>AZ265/AZ258-1</f>
        <v>2.6561447406409533E-2</v>
      </c>
      <c r="BB265" s="330"/>
      <c r="BC265" s="1452">
        <f>D265/AS265</f>
        <v>0.41129032258064518</v>
      </c>
      <c r="BD265" s="1811">
        <f>(K265+AA265+U265)/AS265</f>
        <v>0.58870967741935487</v>
      </c>
      <c r="BE265" s="1452">
        <f>AL265/AS265</f>
        <v>0</v>
      </c>
    </row>
    <row r="266" spans="1:57" ht="12" hidden="1" customHeight="1" outlineLevel="1">
      <c r="A266" s="131"/>
      <c r="B266" s="131"/>
      <c r="C266" s="131"/>
      <c r="D266" s="367"/>
      <c r="E266" s="1453"/>
      <c r="F266" s="1454"/>
      <c r="G266" s="405"/>
      <c r="H266" s="367"/>
      <c r="I266" s="1420"/>
      <c r="J266" s="330"/>
      <c r="K266" s="1489"/>
      <c r="L266" s="579"/>
      <c r="M266" s="367"/>
      <c r="N266" s="579"/>
      <c r="O266" s="367"/>
      <c r="P266" s="1455"/>
      <c r="Q266" s="367"/>
      <c r="R266" s="367"/>
      <c r="S266" s="367"/>
      <c r="T266" s="580"/>
      <c r="U266" s="367"/>
      <c r="V266" s="579"/>
      <c r="W266" s="367"/>
      <c r="X266" s="367"/>
      <c r="Y266" s="367"/>
      <c r="Z266" s="580"/>
      <c r="AA266" s="367"/>
      <c r="AB266" s="579"/>
      <c r="AC266" s="367"/>
      <c r="AD266" s="367"/>
      <c r="AE266" s="579"/>
      <c r="AF266" s="367"/>
      <c r="AG266" s="367"/>
      <c r="AH266" s="579"/>
      <c r="AI266" s="367"/>
      <c r="AJ266" s="367"/>
      <c r="AK266" s="579"/>
      <c r="AL266" s="367"/>
      <c r="AM266" s="579"/>
      <c r="AN266" s="579"/>
      <c r="AO266" s="330"/>
      <c r="AP266" s="367"/>
      <c r="AQ266" s="1454"/>
      <c r="AR266" s="580"/>
      <c r="AS266" s="339"/>
      <c r="AT266" s="330"/>
      <c r="AU266" s="330"/>
      <c r="AV266" s="330"/>
      <c r="AW266" s="330"/>
      <c r="AX266" s="330"/>
      <c r="AY266" s="1456"/>
      <c r="AZ266" s="330"/>
      <c r="BA266" s="330"/>
      <c r="BB266" s="330"/>
      <c r="BC266" s="330"/>
      <c r="BD266" s="405"/>
      <c r="BE266" s="330"/>
    </row>
    <row r="267" spans="1:57" ht="12" hidden="1" customHeight="1" outlineLevel="1">
      <c r="A267" s="2507">
        <f>+A260+1</f>
        <v>2012</v>
      </c>
      <c r="B267" s="2507"/>
      <c r="C267" s="132"/>
      <c r="D267" s="1462"/>
      <c r="E267" s="1453"/>
      <c r="F267" s="1454"/>
      <c r="G267" s="1457"/>
      <c r="H267" s="367"/>
      <c r="I267" s="1420"/>
      <c r="J267" s="330"/>
      <c r="K267" s="1460"/>
      <c r="L267" s="1461"/>
      <c r="M267" s="1460"/>
      <c r="N267" s="1461"/>
      <c r="O267" s="1460"/>
      <c r="P267" s="1455"/>
      <c r="Q267" s="367"/>
      <c r="R267" s="367"/>
      <c r="S267" s="367"/>
      <c r="T267" s="580"/>
      <c r="U267" s="1460"/>
      <c r="V267" s="1461"/>
      <c r="W267" s="367"/>
      <c r="X267" s="367"/>
      <c r="Y267" s="367"/>
      <c r="Z267" s="580"/>
      <c r="AA267" s="1460"/>
      <c r="AB267" s="579"/>
      <c r="AC267" s="367"/>
      <c r="AD267" s="1460"/>
      <c r="AE267" s="579"/>
      <c r="AF267" s="367"/>
      <c r="AG267" s="1460"/>
      <c r="AH267" s="579"/>
      <c r="AI267" s="367"/>
      <c r="AJ267" s="1460"/>
      <c r="AK267" s="579"/>
      <c r="AL267" s="1460"/>
      <c r="AM267" s="579"/>
      <c r="AN267" s="579"/>
      <c r="AO267" s="1460"/>
      <c r="AP267" s="367"/>
      <c r="AQ267" s="1454"/>
      <c r="AR267" s="580"/>
      <c r="AS267" s="1457"/>
      <c r="AT267" s="405"/>
      <c r="AU267" s="405"/>
      <c r="AV267" s="330"/>
      <c r="AW267" s="330"/>
      <c r="AX267" s="1433"/>
      <c r="AY267" s="1434"/>
      <c r="AZ267" s="330"/>
      <c r="BA267" s="330"/>
      <c r="BB267" s="330"/>
      <c r="BC267" s="330"/>
      <c r="BD267" s="405"/>
      <c r="BE267" s="330"/>
    </row>
    <row r="268" spans="1:57" ht="12" hidden="1" customHeight="1" outlineLevel="1">
      <c r="A268" s="132" t="str">
        <f>$A$30</f>
        <v>1Q</v>
      </c>
      <c r="B268" s="132" t="str">
        <f>$B$30</f>
        <v>Apr</v>
      </c>
      <c r="C268" s="132"/>
      <c r="D268" s="1418">
        <f>+D265+E268</f>
        <v>105</v>
      </c>
      <c r="E268" s="1472">
        <v>3</v>
      </c>
      <c r="F268" s="1420">
        <f>+(D268/D261-1)*100</f>
        <v>9.375</v>
      </c>
      <c r="G268" s="1421">
        <f>SeqQtrSales!AC184</f>
        <v>0.67120000000000002</v>
      </c>
      <c r="H268" s="1422"/>
      <c r="I268" s="1420"/>
      <c r="J268" s="330"/>
      <c r="K268" s="1418">
        <f>+K265+L268+V268</f>
        <v>60</v>
      </c>
      <c r="L268" s="1472">
        <v>1</v>
      </c>
      <c r="M268" s="1418"/>
      <c r="N268" s="1424"/>
      <c r="O268" s="1425"/>
      <c r="P268" s="1426"/>
      <c r="Q268" s="1420">
        <f>+(K268/K261-1)*100</f>
        <v>13.207547169811317</v>
      </c>
      <c r="R268" s="1421">
        <f>SeqQtrSales!AC371</f>
        <v>0.15300000000000002</v>
      </c>
      <c r="S268" s="1420"/>
      <c r="T268" s="1427"/>
      <c r="U268" s="1418">
        <f>+U265+V268</f>
        <v>55</v>
      </c>
      <c r="V268" s="1472">
        <v>0</v>
      </c>
      <c r="W268" s="1420">
        <f>+(U268/U261-1)*100</f>
        <v>0</v>
      </c>
      <c r="X268" s="1421">
        <f>SeqQtrSales!AC545</f>
        <v>0.14360000000000001</v>
      </c>
      <c r="Y268" s="1420"/>
      <c r="Z268" s="1427"/>
      <c r="AA268" s="1418">
        <f>+AA265+AB268</f>
        <v>32</v>
      </c>
      <c r="AB268" s="1429">
        <v>0</v>
      </c>
      <c r="AC268" s="1420">
        <f>+(AA268/AA261-1)*100</f>
        <v>10.344827586206895</v>
      </c>
      <c r="AD268" s="1421">
        <f>SeqQtrSales!AC465</f>
        <v>0.11825000000000002</v>
      </c>
      <c r="AE268" s="1429"/>
      <c r="AF268" s="1420"/>
      <c r="AG268" s="1418">
        <f>+AG265+AH268</f>
        <v>0</v>
      </c>
      <c r="AH268" s="1472">
        <v>0</v>
      </c>
      <c r="AI268" s="1420"/>
      <c r="AJ268" s="1421" t="str">
        <f>SeqQtrSales!AI465</f>
        <v>N/A</v>
      </c>
      <c r="AK268" s="1429"/>
      <c r="AL268" s="1418"/>
      <c r="AM268" s="1429"/>
      <c r="AN268" s="1420"/>
      <c r="AO268" s="1430"/>
      <c r="AP268" s="1422"/>
      <c r="AQ268" s="1420"/>
      <c r="AR268" s="1427"/>
      <c r="AS268" s="1425">
        <f>AA268+K268+U268+D268+AG268</f>
        <v>252</v>
      </c>
      <c r="AT268" s="1431">
        <f>AS268-AS265</f>
        <v>4</v>
      </c>
      <c r="AU268" s="1432">
        <f>+(AS268/AS261-1)*100</f>
        <v>8.1545064377682497</v>
      </c>
      <c r="AV268" s="1422"/>
      <c r="AW268" s="1422"/>
      <c r="AX268" s="1433">
        <f>AS268-D268-AL268</f>
        <v>147</v>
      </c>
      <c r="AY268" s="1434">
        <f>AX268-AX265</f>
        <v>1</v>
      </c>
      <c r="AZ268" s="1421">
        <f>SUM(AD268,R268,G268,X268)</f>
        <v>1.08605</v>
      </c>
      <c r="BA268" s="2113">
        <f>AZ268/AZ261-1</f>
        <v>5.421277421859827E-2</v>
      </c>
      <c r="BB268" s="330"/>
      <c r="BC268" s="371">
        <f>D268/AS268</f>
        <v>0.41666666666666669</v>
      </c>
      <c r="BD268" s="1811">
        <f>(K268+AA268+U268+AG268)/AS268</f>
        <v>0.58333333333333337</v>
      </c>
      <c r="BE268" s="1435">
        <f>AL268/AS268</f>
        <v>0</v>
      </c>
    </row>
    <row r="269" spans="1:57" ht="12" hidden="1" customHeight="1" outlineLevel="1">
      <c r="A269" s="132" t="str">
        <f>$A$31</f>
        <v>2Q</v>
      </c>
      <c r="B269" s="132" t="str">
        <f>$B$31</f>
        <v>Jul</v>
      </c>
      <c r="C269" s="132"/>
      <c r="D269" s="1418">
        <f>D268+E269</f>
        <v>106</v>
      </c>
      <c r="E269" s="1651">
        <v>1</v>
      </c>
      <c r="F269" s="1420">
        <f>+(D269/D262-1)*100</f>
        <v>8.163265306122458</v>
      </c>
      <c r="G269" s="1421">
        <f>SeqQtrSales!AC185</f>
        <v>0.67469999999999997</v>
      </c>
      <c r="H269" s="1422"/>
      <c r="I269" s="1420"/>
      <c r="J269" s="1436"/>
      <c r="K269" s="1418">
        <f>+K268+L269+V269</f>
        <v>62</v>
      </c>
      <c r="L269" s="1472">
        <v>2</v>
      </c>
      <c r="M269" s="1418"/>
      <c r="N269" s="1424"/>
      <c r="O269" s="1418"/>
      <c r="P269" s="1426"/>
      <c r="Q269" s="1420">
        <f>+(K269/K262-1)*100</f>
        <v>16.981132075471695</v>
      </c>
      <c r="R269" s="1421">
        <f>SeqQtrSales!AC372</f>
        <v>0.15780000000000002</v>
      </c>
      <c r="S269" s="1420"/>
      <c r="T269" s="1427"/>
      <c r="U269" s="1418">
        <f>U268+V269</f>
        <v>55</v>
      </c>
      <c r="V269" s="1472">
        <v>0</v>
      </c>
      <c r="W269" s="1420">
        <f>+(U269/U262-1)*100</f>
        <v>0</v>
      </c>
      <c r="X269" s="1421">
        <f>SeqQtrSales!AC546</f>
        <v>0.14360000000000001</v>
      </c>
      <c r="Y269" s="1420"/>
      <c r="Z269" s="1427"/>
      <c r="AA269" s="1418">
        <f>AA268+AB269</f>
        <v>33</v>
      </c>
      <c r="AB269" s="1429">
        <v>1</v>
      </c>
      <c r="AC269" s="1420">
        <f>+(AA269/AA262-1)*100</f>
        <v>6.4516129032258007</v>
      </c>
      <c r="AD269" s="1421">
        <f>SeqQtrSales!AC466</f>
        <v>0.12170000000000003</v>
      </c>
      <c r="AE269" s="1429"/>
      <c r="AF269" s="1420"/>
      <c r="AG269" s="1418">
        <f>AG268+AH269</f>
        <v>5</v>
      </c>
      <c r="AH269" s="1472">
        <v>5</v>
      </c>
      <c r="AI269" s="1420"/>
      <c r="AJ269" s="1421" t="str">
        <f>SeqQtrSales!AI466</f>
        <v>N/A</v>
      </c>
      <c r="AK269" s="1429"/>
      <c r="AL269" s="1418"/>
      <c r="AM269" s="1429"/>
      <c r="AN269" s="1420"/>
      <c r="AO269" s="1430"/>
      <c r="AP269" s="1422"/>
      <c r="AQ269" s="1420"/>
      <c r="AR269" s="1427"/>
      <c r="AS269" s="1425">
        <f>AA269+K269+U269+D269+AG269</f>
        <v>261</v>
      </c>
      <c r="AT269" s="1431">
        <f>AS269-AS268</f>
        <v>9</v>
      </c>
      <c r="AU269" s="1432">
        <f>+(AS269/AS262-1)*100</f>
        <v>10.126582278481022</v>
      </c>
      <c r="AV269" s="1422"/>
      <c r="AW269" s="1422"/>
      <c r="AX269" s="1433">
        <f>AS269-D269-AL269</f>
        <v>155</v>
      </c>
      <c r="AY269" s="1434">
        <f>AX269-AX268</f>
        <v>8</v>
      </c>
      <c r="AZ269" s="1421">
        <f>SUM(AD269,R269,G269,X269)</f>
        <v>1.0978000000000001</v>
      </c>
      <c r="BA269" s="2113">
        <f>AZ269/AZ262-1</f>
        <v>5.2742616033755407E-2</v>
      </c>
      <c r="BB269" s="330"/>
      <c r="BC269" s="371">
        <f>D269/AS269</f>
        <v>0.4061302681992337</v>
      </c>
      <c r="BD269" s="1811">
        <f>(K269+AA269+U269+AG269)/AS269</f>
        <v>0.5938697318007663</v>
      </c>
      <c r="BE269" s="1435">
        <f>AL269/AS269</f>
        <v>0</v>
      </c>
    </row>
    <row r="270" spans="1:57" ht="12" hidden="1" customHeight="1" outlineLevel="1">
      <c r="A270" s="132" t="str">
        <f>$A$32</f>
        <v>3Q</v>
      </c>
      <c r="B270" s="132" t="str">
        <f>$B$32</f>
        <v>Oct</v>
      </c>
      <c r="C270" s="132"/>
      <c r="D270" s="1418">
        <f>D269+E270</f>
        <v>113</v>
      </c>
      <c r="E270" s="1472">
        <v>7</v>
      </c>
      <c r="F270" s="1420">
        <f>+(D270/D263-1)*100</f>
        <v>11.881188118811892</v>
      </c>
      <c r="G270" s="1421">
        <f>SeqQtrSales!AC186</f>
        <v>0.69919999999999993</v>
      </c>
      <c r="H270" s="1422"/>
      <c r="I270" s="1420"/>
      <c r="J270" s="330"/>
      <c r="K270" s="1418">
        <f>+K269+L270+V270</f>
        <v>66</v>
      </c>
      <c r="L270" s="1472">
        <v>3</v>
      </c>
      <c r="M270" s="1418"/>
      <c r="N270" s="1424"/>
      <c r="O270" s="1418"/>
      <c r="P270" s="1426"/>
      <c r="Q270" s="1420">
        <f>+(K270/K263-1)*100</f>
        <v>19.999999999999996</v>
      </c>
      <c r="R270" s="1421">
        <f>SeqQtrSales!AC373</f>
        <v>0.16740000000000002</v>
      </c>
      <c r="S270" s="1420"/>
      <c r="T270" s="1427"/>
      <c r="U270" s="1418">
        <f>U269+V270</f>
        <v>56</v>
      </c>
      <c r="V270" s="1472">
        <v>1</v>
      </c>
      <c r="W270" s="1420">
        <f>+(U270/U263-1)*100</f>
        <v>1.8181818181818077</v>
      </c>
      <c r="X270" s="1421">
        <f>SeqQtrSales!AC547</f>
        <v>0.14621090909090909</v>
      </c>
      <c r="Y270" s="1420"/>
      <c r="Z270" s="1427"/>
      <c r="AA270" s="1418">
        <f>AA269+AB270</f>
        <v>34</v>
      </c>
      <c r="AB270" s="1429">
        <v>1</v>
      </c>
      <c r="AC270" s="1420">
        <f>+(AA270/AA263-1)*100</f>
        <v>6.25</v>
      </c>
      <c r="AD270" s="1421">
        <f>SeqQtrSales!AC467</f>
        <v>0.12515000000000004</v>
      </c>
      <c r="AE270" s="1429"/>
      <c r="AF270" s="1420"/>
      <c r="AG270" s="1418">
        <f>AG269+AH270</f>
        <v>5</v>
      </c>
      <c r="AH270" s="1472">
        <v>0</v>
      </c>
      <c r="AI270" s="1420"/>
      <c r="AJ270" s="1421" t="str">
        <f>SeqQtrSales!AI467</f>
        <v>N/A</v>
      </c>
      <c r="AK270" s="1429"/>
      <c r="AL270" s="1418"/>
      <c r="AM270" s="1429"/>
      <c r="AN270" s="1420"/>
      <c r="AO270" s="1430"/>
      <c r="AP270" s="1422"/>
      <c r="AQ270" s="1420"/>
      <c r="AR270" s="1427"/>
      <c r="AS270" s="1425">
        <f>AA270+K270+U270+D270+AG270</f>
        <v>274</v>
      </c>
      <c r="AT270" s="1431">
        <f>AS270-AS269</f>
        <v>13</v>
      </c>
      <c r="AU270" s="1432">
        <f>+(AS270/AS263-1)*100</f>
        <v>12.757201646090532</v>
      </c>
      <c r="AV270" s="1422"/>
      <c r="AW270" s="1422"/>
      <c r="AX270" s="1433">
        <f>AS270-D270-AL270</f>
        <v>161</v>
      </c>
      <c r="AY270" s="1434">
        <f>AX270-AX269</f>
        <v>6</v>
      </c>
      <c r="AZ270" s="1421">
        <f>SUM(AD270,R270,G270,X270)</f>
        <v>1.1379609090909091</v>
      </c>
      <c r="BA270" s="2113">
        <f>AZ270/AZ263-1</f>
        <v>7.5955150827506701E-2</v>
      </c>
      <c r="BB270" s="330"/>
      <c r="BC270" s="371">
        <f>D270/AS270</f>
        <v>0.41240875912408759</v>
      </c>
      <c r="BD270" s="1811">
        <f>(K270+AA270+U270+AG270)/AS270</f>
        <v>0.58759124087591241</v>
      </c>
      <c r="BE270" s="1435">
        <f>AL270/AS270</f>
        <v>0</v>
      </c>
    </row>
    <row r="271" spans="1:57" ht="12" hidden="1" customHeight="1" outlineLevel="1">
      <c r="A271" s="132" t="str">
        <f>$A$33</f>
        <v>4Q</v>
      </c>
      <c r="B271" s="132" t="str">
        <f>$B$33</f>
        <v>Jan</v>
      </c>
      <c r="C271" s="132"/>
      <c r="D271" s="1438">
        <f>D270+E271</f>
        <v>115</v>
      </c>
      <c r="E271" s="1472">
        <v>2</v>
      </c>
      <c r="F271" s="1420">
        <f>+(D271/D264-1)*100</f>
        <v>12.745098039215685</v>
      </c>
      <c r="G271" s="1439">
        <f>SeqQtrSales!AC187</f>
        <v>0.70619999999999994</v>
      </c>
      <c r="H271" s="1422"/>
      <c r="I271" s="1420"/>
      <c r="J271" s="330"/>
      <c r="K271" s="1438">
        <f>+K270+L271</f>
        <v>67</v>
      </c>
      <c r="L271" s="1472">
        <v>1</v>
      </c>
      <c r="M271" s="1438"/>
      <c r="N271" s="1418"/>
      <c r="O271" s="1438"/>
      <c r="P271" s="1440"/>
      <c r="Q271" s="1420">
        <f>+(K271/K264-1)*100</f>
        <v>13.559322033898313</v>
      </c>
      <c r="R271" s="1439">
        <f>SeqQtrSales!AC374</f>
        <v>0.16980000000000003</v>
      </c>
      <c r="S271" s="1420"/>
      <c r="T271" s="1427"/>
      <c r="U271" s="1438">
        <f>U270+V271</f>
        <v>55</v>
      </c>
      <c r="V271" s="1419">
        <f>V272-SUM(V268:V270)</f>
        <v>-1</v>
      </c>
      <c r="W271" s="1420">
        <f>+(U271/U264-1)*100</f>
        <v>0</v>
      </c>
      <c r="X271" s="1439">
        <f>SeqQtrSales!AC548</f>
        <v>0.14360000000000001</v>
      </c>
      <c r="Y271" s="1420"/>
      <c r="Z271" s="1427"/>
      <c r="AA271" s="1438">
        <f>AA270+AB271</f>
        <v>34</v>
      </c>
      <c r="AB271" s="1428">
        <v>0</v>
      </c>
      <c r="AC271" s="1420">
        <f>+(AA271/AA264-1)*100</f>
        <v>6.25</v>
      </c>
      <c r="AD271" s="1439">
        <f>SeqQtrSales!AC468</f>
        <v>0.12515000000000004</v>
      </c>
      <c r="AE271" s="1442"/>
      <c r="AF271" s="1420"/>
      <c r="AG271" s="1438">
        <f>AG270+AH271</f>
        <v>5</v>
      </c>
      <c r="AH271" s="1419">
        <f>AH272-SUM(AH268:AH270)</f>
        <v>0</v>
      </c>
      <c r="AI271" s="1420"/>
      <c r="AJ271" s="1439" t="str">
        <f>SeqQtrSales!AI468</f>
        <v>N/A</v>
      </c>
      <c r="AK271" s="1442"/>
      <c r="AL271" s="1438"/>
      <c r="AM271" s="1442"/>
      <c r="AN271" s="1420"/>
      <c r="AO271" s="1443"/>
      <c r="AP271" s="1422"/>
      <c r="AQ271" s="1420"/>
      <c r="AR271" s="1427"/>
      <c r="AS271" s="1444">
        <f>AA271+K271+U271+D271+AG271</f>
        <v>276</v>
      </c>
      <c r="AT271" s="1431">
        <f>AS271-AS270</f>
        <v>2</v>
      </c>
      <c r="AU271" s="1432">
        <f>+(AS271/AS264-1)*100</f>
        <v>11.290322580645151</v>
      </c>
      <c r="AV271" s="1422"/>
      <c r="AW271" s="1422"/>
      <c r="AX271" s="1433">
        <f>AS271-D271-AL271</f>
        <v>161</v>
      </c>
      <c r="AY271" s="1434">
        <f>AX271-AX270</f>
        <v>0</v>
      </c>
      <c r="AZ271" s="1439">
        <f>SUM(AD271,R271,G271,X271)</f>
        <v>1.1447499999999999</v>
      </c>
      <c r="BA271" s="2113">
        <f>AZ271/AZ264-1</f>
        <v>7.3169588450360923E-2</v>
      </c>
      <c r="BB271" s="330"/>
      <c r="BC271" s="371">
        <f>D271/AS271</f>
        <v>0.41666666666666669</v>
      </c>
      <c r="BD271" s="1812">
        <f>(K271+AA271+U271+AG271)/AS271</f>
        <v>0.58333333333333337</v>
      </c>
      <c r="BE271" s="1445">
        <f>AL271/AS271</f>
        <v>0</v>
      </c>
    </row>
    <row r="272" spans="1:57" ht="12" hidden="1" customHeight="1" outlineLevel="1">
      <c r="A272" s="132"/>
      <c r="B272" s="132" t="str">
        <f>$B$34</f>
        <v>Year</v>
      </c>
      <c r="C272" s="132"/>
      <c r="D272" s="1425">
        <f>D271</f>
        <v>115</v>
      </c>
      <c r="E272" s="1468">
        <f>SUM(E268:E271)</f>
        <v>13</v>
      </c>
      <c r="F272" s="1420">
        <f>+(D272/D265-1)*100</f>
        <v>12.745098039215685</v>
      </c>
      <c r="G272" s="1421">
        <f>G271</f>
        <v>0.70619999999999994</v>
      </c>
      <c r="H272" s="1422"/>
      <c r="I272" s="1420"/>
      <c r="J272" s="330"/>
      <c r="K272" s="1425">
        <f>K271</f>
        <v>67</v>
      </c>
      <c r="L272" s="1468">
        <v>8</v>
      </c>
      <c r="M272" s="1425"/>
      <c r="N272" s="1448"/>
      <c r="O272" s="1418"/>
      <c r="P272" s="1448"/>
      <c r="Q272" s="1420">
        <f>+(K272/K265-1)*100</f>
        <v>13.559322033898313</v>
      </c>
      <c r="R272" s="1421">
        <f>R271</f>
        <v>0.16980000000000003</v>
      </c>
      <c r="S272" s="1420"/>
      <c r="T272" s="1427"/>
      <c r="U272" s="1425">
        <f>U271</f>
        <v>55</v>
      </c>
      <c r="V272" s="1448">
        <v>0</v>
      </c>
      <c r="W272" s="1420">
        <f>+(U272/U265-1)*100</f>
        <v>0</v>
      </c>
      <c r="X272" s="1421">
        <f>X271</f>
        <v>0.14360000000000001</v>
      </c>
      <c r="Y272" s="1420"/>
      <c r="Z272" s="1427"/>
      <c r="AA272" s="1425">
        <f>AA271</f>
        <v>34</v>
      </c>
      <c r="AB272" s="1450">
        <v>2</v>
      </c>
      <c r="AC272" s="1420">
        <f>+(AA272/AA265-1)*100</f>
        <v>6.25</v>
      </c>
      <c r="AD272" s="1421">
        <f>+AD271</f>
        <v>0.12515000000000004</v>
      </c>
      <c r="AE272" s="1450"/>
      <c r="AF272" s="1420"/>
      <c r="AG272" s="1425">
        <f>AG271</f>
        <v>5</v>
      </c>
      <c r="AH272" s="1448">
        <v>5</v>
      </c>
      <c r="AI272" s="1420"/>
      <c r="AJ272" s="1421" t="str">
        <f>+AJ271</f>
        <v>N/A</v>
      </c>
      <c r="AK272" s="1450"/>
      <c r="AL272" s="1425"/>
      <c r="AM272" s="1450"/>
      <c r="AN272" s="1420"/>
      <c r="AO272" s="1430"/>
      <c r="AP272" s="1422"/>
      <c r="AQ272" s="1420"/>
      <c r="AR272" s="1427"/>
      <c r="AS272" s="1425">
        <f>AA272+K272+U272+D272+AG272</f>
        <v>276</v>
      </c>
      <c r="AT272" s="1451">
        <f>AS272-AS265</f>
        <v>28</v>
      </c>
      <c r="AU272" s="1432">
        <f>+(AS272/AS265-1)*100</f>
        <v>11.290322580645151</v>
      </c>
      <c r="AV272" s="1422"/>
      <c r="AW272" s="1422"/>
      <c r="AX272" s="1433">
        <f>AS272-D272-AL272</f>
        <v>161</v>
      </c>
      <c r="AY272" s="1434">
        <f>AX272-AX265</f>
        <v>15</v>
      </c>
      <c r="AZ272" s="1421">
        <f>+AZ271</f>
        <v>1.1447499999999999</v>
      </c>
      <c r="BA272" s="2113">
        <f>AZ272/AZ265-1</f>
        <v>7.3169588450360923E-2</v>
      </c>
      <c r="BB272" s="330"/>
      <c r="BC272" s="1452">
        <f>D272/AS272</f>
        <v>0.41666666666666669</v>
      </c>
      <c r="BD272" s="1811">
        <f>(K272+AA272+U272+AG272)/AS272</f>
        <v>0.58333333333333337</v>
      </c>
      <c r="BE272" s="1452">
        <f>AL272/AS272</f>
        <v>0</v>
      </c>
    </row>
    <row r="273" spans="1:57" ht="12" customHeight="1" collapsed="1">
      <c r="BA273" s="2114"/>
      <c r="BD273" s="621"/>
    </row>
    <row r="274" spans="1:57" ht="12" customHeight="1">
      <c r="A274" s="2507">
        <f>+A267+1</f>
        <v>2013</v>
      </c>
      <c r="B274" s="2507"/>
      <c r="C274" s="256"/>
      <c r="D274" s="1462"/>
      <c r="E274" s="1965"/>
      <c r="F274" s="1966"/>
      <c r="G274" s="1457"/>
      <c r="H274" s="580"/>
      <c r="I274" s="1432"/>
      <c r="J274" s="405"/>
      <c r="K274" s="1460"/>
      <c r="L274" s="1461"/>
      <c r="M274" s="1460"/>
      <c r="N274" s="1461"/>
      <c r="O274" s="1460"/>
      <c r="P274" s="1967"/>
      <c r="Q274" s="580"/>
      <c r="R274" s="580"/>
      <c r="S274" s="580"/>
      <c r="T274" s="580"/>
      <c r="U274" s="1460"/>
      <c r="V274" s="1461"/>
      <c r="W274" s="580"/>
      <c r="X274" s="580"/>
      <c r="Y274" s="580"/>
      <c r="Z274" s="580"/>
      <c r="AA274" s="1460"/>
      <c r="AB274" s="581"/>
      <c r="AC274" s="580"/>
      <c r="AD274" s="1460"/>
      <c r="AE274" s="581"/>
      <c r="AF274" s="580"/>
      <c r="AG274" s="1460"/>
      <c r="AH274" s="581"/>
      <c r="AI274" s="580"/>
      <c r="AJ274" s="1460"/>
      <c r="AK274" s="581"/>
      <c r="AL274" s="1460"/>
      <c r="AM274" s="581"/>
      <c r="AN274" s="581"/>
      <c r="AO274" s="1460"/>
      <c r="AP274" s="580"/>
      <c r="AQ274" s="1966"/>
      <c r="AR274" s="580"/>
      <c r="AS274" s="1457"/>
      <c r="AT274" s="405"/>
      <c r="AU274" s="405"/>
      <c r="AV274" s="405"/>
      <c r="AW274" s="405"/>
      <c r="AX274" s="1968"/>
      <c r="AY274" s="1969"/>
      <c r="AZ274" s="405"/>
      <c r="BA274" s="1965"/>
      <c r="BB274" s="405"/>
      <c r="BC274" s="405"/>
      <c r="BD274" s="405"/>
      <c r="BE274" s="405"/>
    </row>
    <row r="275" spans="1:57" ht="12" customHeight="1">
      <c r="A275" s="256" t="str">
        <f>$A$30</f>
        <v>1Q</v>
      </c>
      <c r="B275" s="256" t="str">
        <f>$B$30</f>
        <v>Apr</v>
      </c>
      <c r="C275" s="256"/>
      <c r="D275" s="1418">
        <f>+D272+E275</f>
        <v>115</v>
      </c>
      <c r="E275" s="1651">
        <v>0</v>
      </c>
      <c r="F275" s="1432">
        <f>+(D275/D268-1)*100</f>
        <v>9.5238095238095344</v>
      </c>
      <c r="G275" s="1421">
        <f>SeqQtrSales!AC191</f>
        <v>0.70619999999999994</v>
      </c>
      <c r="H275" s="1970"/>
      <c r="I275" s="1432"/>
      <c r="J275" s="405"/>
      <c r="K275" s="1418">
        <f>+K272+L275</f>
        <v>67</v>
      </c>
      <c r="L275" s="1651">
        <v>0</v>
      </c>
      <c r="M275" s="1418"/>
      <c r="N275" s="1424"/>
      <c r="O275" s="1971"/>
      <c r="P275" s="1972"/>
      <c r="Q275" s="1432">
        <f>+(K275/K268-1)*100</f>
        <v>11.66666666666667</v>
      </c>
      <c r="R275" s="1421">
        <f>SeqQtrSales!AC378</f>
        <v>0.16980000000000003</v>
      </c>
      <c r="S275" s="1432"/>
      <c r="T275" s="1427"/>
      <c r="U275" s="1418">
        <f>+U272+V275</f>
        <v>55</v>
      </c>
      <c r="V275" s="1651">
        <v>0</v>
      </c>
      <c r="W275" s="1420">
        <f>+(U275/U268-1)*100</f>
        <v>0</v>
      </c>
      <c r="X275" s="1421">
        <f>SeqQtrSales!AC552</f>
        <v>0.14299999999999999</v>
      </c>
      <c r="Y275" s="1432"/>
      <c r="Z275" s="1427"/>
      <c r="AA275" s="1418">
        <f>+AA272+AB275</f>
        <v>34</v>
      </c>
      <c r="AB275" s="1973">
        <v>0</v>
      </c>
      <c r="AC275" s="1432">
        <f>+(AA275/AA268-1)*100</f>
        <v>6.25</v>
      </c>
      <c r="AD275" s="1421">
        <f>SeqQtrSales!AC472</f>
        <v>0.12515000000000004</v>
      </c>
      <c r="AE275" s="1973"/>
      <c r="AF275" s="1432"/>
      <c r="AG275" s="1418">
        <f>+AG272+AH275</f>
        <v>5</v>
      </c>
      <c r="AH275" s="1651">
        <v>0</v>
      </c>
      <c r="AI275" s="1432"/>
      <c r="AJ275" s="1421" t="str">
        <f>SeqQtrSales!AI472</f>
        <v>N/A</v>
      </c>
      <c r="AK275" s="1973"/>
      <c r="AL275" s="1418"/>
      <c r="AM275" s="1973"/>
      <c r="AN275" s="1432"/>
      <c r="AO275" s="1421"/>
      <c r="AP275" s="1970"/>
      <c r="AQ275" s="1432"/>
      <c r="AR275" s="1427"/>
      <c r="AS275" s="1971">
        <f>AA275+K275+D275+AG275+U275</f>
        <v>276</v>
      </c>
      <c r="AT275" s="1431">
        <f>AS275-AS272</f>
        <v>0</v>
      </c>
      <c r="AU275" s="1432">
        <f>+(AS275/AS268-1)*100</f>
        <v>9.5238095238095344</v>
      </c>
      <c r="AV275" s="1970"/>
      <c r="AW275" s="1970"/>
      <c r="AX275" s="1968">
        <f>AS275-D275-AL275</f>
        <v>161</v>
      </c>
      <c r="AY275" s="1969">
        <f>AX275-AX272</f>
        <v>0</v>
      </c>
      <c r="AZ275" s="1421">
        <f>SUM(AD275,R275,G275,X275)</f>
        <v>1.14415</v>
      </c>
      <c r="BA275" s="2115">
        <f>AZ275/AZ268-1</f>
        <v>5.3496616177892475E-2</v>
      </c>
      <c r="BB275" s="405"/>
      <c r="BC275" s="1658">
        <f>D275/AS275</f>
        <v>0.41666666666666669</v>
      </c>
      <c r="BD275" s="1811">
        <f>(K275+AA275+U275+AG275)/AS275</f>
        <v>0.58333333333333337</v>
      </c>
      <c r="BE275" s="1811">
        <f>AL275/AS275</f>
        <v>0</v>
      </c>
    </row>
    <row r="276" spans="1:57" ht="12" customHeight="1">
      <c r="A276" s="256" t="str">
        <f>$A$31</f>
        <v>2Q</v>
      </c>
      <c r="B276" s="256" t="str">
        <f>$B$31</f>
        <v>Jul</v>
      </c>
      <c r="C276" s="256"/>
      <c r="D276" s="1418">
        <f>D275+E276</f>
        <v>116</v>
      </c>
      <c r="E276" s="1651">
        <v>1</v>
      </c>
      <c r="F276" s="1432">
        <f>+(D276/D269-1)*100</f>
        <v>9.4339622641509422</v>
      </c>
      <c r="G276" s="1421">
        <f>SeqQtrSales!AC192</f>
        <v>0.70969999999999989</v>
      </c>
      <c r="H276" s="1970"/>
      <c r="I276" s="1432"/>
      <c r="J276" s="1436"/>
      <c r="K276" s="1418">
        <f>+K275+L276</f>
        <v>68</v>
      </c>
      <c r="L276" s="1651">
        <v>1</v>
      </c>
      <c r="M276" s="1418"/>
      <c r="N276" s="1424"/>
      <c r="O276" s="1418"/>
      <c r="P276" s="1972"/>
      <c r="Q276" s="1432">
        <f>+(K276/K269-1)*100</f>
        <v>9.6774193548387011</v>
      </c>
      <c r="R276" s="1421">
        <f>SeqQtrSales!AC379</f>
        <v>0.17220000000000005</v>
      </c>
      <c r="S276" s="1432"/>
      <c r="T276" s="1427"/>
      <c r="U276" s="1418">
        <f>U275+V276</f>
        <v>54</v>
      </c>
      <c r="V276" s="1651">
        <v>-1</v>
      </c>
      <c r="W276" s="1420">
        <f>+(U276/U269-1)*100</f>
        <v>-1.8181818181818188</v>
      </c>
      <c r="X276" s="1421">
        <f>SeqQtrSales!AC553</f>
        <v>0.14169999999999999</v>
      </c>
      <c r="Y276" s="1432"/>
      <c r="Z276" s="1427"/>
      <c r="AA276" s="1418">
        <f>AA275+AB276</f>
        <v>35</v>
      </c>
      <c r="AB276" s="1973">
        <v>1</v>
      </c>
      <c r="AC276" s="1432">
        <f>+(AA276/AA269-1)*100</f>
        <v>6.0606060606060552</v>
      </c>
      <c r="AD276" s="1421">
        <f>SeqQtrSales!AC473</f>
        <v>0.12860000000000005</v>
      </c>
      <c r="AE276" s="1973"/>
      <c r="AF276" s="1432"/>
      <c r="AG276" s="1418">
        <f>AG275+AH276</f>
        <v>5</v>
      </c>
      <c r="AH276" s="1651">
        <v>0</v>
      </c>
      <c r="AI276" s="1432"/>
      <c r="AJ276" s="1421" t="str">
        <f>SeqQtrSales!AI473</f>
        <v>N/A</v>
      </c>
      <c r="AK276" s="1973"/>
      <c r="AL276" s="1418"/>
      <c r="AM276" s="1973"/>
      <c r="AN276" s="1432"/>
      <c r="AO276" s="1421"/>
      <c r="AP276" s="1970"/>
      <c r="AQ276" s="1432"/>
      <c r="AR276" s="1427"/>
      <c r="AS276" s="1971">
        <f>AA276+K276+D276+AG276+U276</f>
        <v>278</v>
      </c>
      <c r="AT276" s="1431">
        <f>AS276-AS275</f>
        <v>2</v>
      </c>
      <c r="AU276" s="1432">
        <f>+(AS276/AS269-1)*100</f>
        <v>6.5134099616858343</v>
      </c>
      <c r="AV276" s="1970"/>
      <c r="AW276" s="1970"/>
      <c r="AX276" s="1968">
        <f>AS276-D276-AL276</f>
        <v>162</v>
      </c>
      <c r="AY276" s="1969">
        <f>AX276-AX275</f>
        <v>1</v>
      </c>
      <c r="AZ276" s="1421">
        <f>SUM(AD276,R276,G276,X276)</f>
        <v>1.1521999999999999</v>
      </c>
      <c r="BA276" s="2115">
        <f>AZ276/AZ269-1</f>
        <v>4.9553652760065292E-2</v>
      </c>
      <c r="BB276" s="405"/>
      <c r="BC276" s="1658">
        <f>D276/AS276</f>
        <v>0.41726618705035973</v>
      </c>
      <c r="BD276" s="1811">
        <f>(K276+AA276+U276+AG276)/AS276</f>
        <v>0.58273381294964033</v>
      </c>
      <c r="BE276" s="1811">
        <f>AL276/AS276</f>
        <v>0</v>
      </c>
    </row>
    <row r="277" spans="1:57" ht="12" customHeight="1">
      <c r="A277" s="256" t="str">
        <f>$A$32</f>
        <v>3Q</v>
      </c>
      <c r="B277" s="256" t="str">
        <f>$B$32</f>
        <v>Oct</v>
      </c>
      <c r="C277" s="256"/>
      <c r="D277" s="1418">
        <f>D276+E277</f>
        <v>120</v>
      </c>
      <c r="E277" s="1651">
        <v>4</v>
      </c>
      <c r="F277" s="1432">
        <f>+(D277/D270-1)*100</f>
        <v>6.1946902654867353</v>
      </c>
      <c r="G277" s="1421">
        <f>SeqQtrSales!AC193</f>
        <v>0.7236999999999999</v>
      </c>
      <c r="H277" s="1970"/>
      <c r="I277" s="1432"/>
      <c r="J277" s="405"/>
      <c r="K277" s="1418">
        <f>+K276+L277</f>
        <v>69</v>
      </c>
      <c r="L277" s="1651">
        <v>1</v>
      </c>
      <c r="M277" s="1418"/>
      <c r="N277" s="1424"/>
      <c r="O277" s="1418"/>
      <c r="P277" s="1972"/>
      <c r="Q277" s="1432">
        <f>+(K277/K270-1)*100</f>
        <v>4.5454545454545414</v>
      </c>
      <c r="R277" s="1421">
        <f>SeqQtrSales!AC380</f>
        <v>0.17460000000000006</v>
      </c>
      <c r="S277" s="1432"/>
      <c r="T277" s="1427"/>
      <c r="U277" s="1418">
        <f>U276+V277</f>
        <v>54</v>
      </c>
      <c r="V277" s="1651">
        <v>0</v>
      </c>
      <c r="W277" s="1420">
        <f>+(U277/U270-1)*100</f>
        <v>-3.5714285714285698</v>
      </c>
      <c r="X277" s="1421">
        <f>SeqQtrSales!AC554</f>
        <v>0.1404</v>
      </c>
      <c r="Y277" s="1432"/>
      <c r="Z277" s="1427"/>
      <c r="AA277" s="1418">
        <f>AA276+AB277</f>
        <v>36</v>
      </c>
      <c r="AB277" s="1973">
        <v>1</v>
      </c>
      <c r="AC277" s="1432">
        <f>+(AA277/AA270-1)*100</f>
        <v>5.8823529411764719</v>
      </c>
      <c r="AD277" s="1421">
        <f>SeqQtrSales!AC474</f>
        <v>0.13205000000000006</v>
      </c>
      <c r="AE277" s="1973"/>
      <c r="AF277" s="1432"/>
      <c r="AG277" s="1418">
        <f>AG276+AH277</f>
        <v>5</v>
      </c>
      <c r="AH277" s="1651">
        <v>0</v>
      </c>
      <c r="AI277" s="1432"/>
      <c r="AJ277" s="1421" t="str">
        <f>SeqQtrSales!AI474</f>
        <v>N/A</v>
      </c>
      <c r="AK277" s="1973"/>
      <c r="AL277" s="1418"/>
      <c r="AM277" s="1973"/>
      <c r="AN277" s="1432"/>
      <c r="AO277" s="1421"/>
      <c r="AP277" s="1970"/>
      <c r="AQ277" s="1432"/>
      <c r="AR277" s="1427"/>
      <c r="AS277" s="1971">
        <f>AA277+K277+D277+AG277+U277</f>
        <v>284</v>
      </c>
      <c r="AT277" s="1431">
        <f>AS277-AS276</f>
        <v>6</v>
      </c>
      <c r="AU277" s="1432">
        <f>+(AS277/AS270-1)*100</f>
        <v>3.649635036496357</v>
      </c>
      <c r="AV277" s="1970"/>
      <c r="AW277" s="1970"/>
      <c r="AX277" s="1968">
        <f>AS277-D277-AL277</f>
        <v>164</v>
      </c>
      <c r="AY277" s="1969">
        <f>AX277-AX276</f>
        <v>2</v>
      </c>
      <c r="AZ277" s="1421">
        <f>SUM(AD277,R277,G277,X277)</f>
        <v>1.17075</v>
      </c>
      <c r="BA277" s="2115">
        <f>AZ277/AZ270-1</f>
        <v>2.8813899183308012E-2</v>
      </c>
      <c r="BB277" s="405"/>
      <c r="BC277" s="1658">
        <f>D277/AS277</f>
        <v>0.42253521126760563</v>
      </c>
      <c r="BD277" s="1811">
        <f>(K277+AA277+U277+AG277)/AS277</f>
        <v>0.57746478873239437</v>
      </c>
      <c r="BE277" s="1811">
        <f>AL277/AS277</f>
        <v>0</v>
      </c>
    </row>
    <row r="278" spans="1:57" ht="12" customHeight="1">
      <c r="A278" s="256" t="str">
        <f>$A$33</f>
        <v>4Q</v>
      </c>
      <c r="B278" s="256" t="str">
        <f>$B$33</f>
        <v>Jan</v>
      </c>
      <c r="C278" s="256"/>
      <c r="D278" s="1438">
        <f>D277+E278</f>
        <v>121</v>
      </c>
      <c r="E278" s="1651">
        <f>E279-SUM(E275:E277)</f>
        <v>1</v>
      </c>
      <c r="F278" s="1432">
        <f>+(D278/D271-1)*100</f>
        <v>5.2173913043478182</v>
      </c>
      <c r="G278" s="1439">
        <f>SeqQtrSales!AC194</f>
        <v>0.72719999999999985</v>
      </c>
      <c r="H278" s="1970"/>
      <c r="I278" s="1432"/>
      <c r="J278" s="405"/>
      <c r="K278" s="1438">
        <f>+K277+L278</f>
        <v>72</v>
      </c>
      <c r="L278" s="1974">
        <v>3</v>
      </c>
      <c r="M278" s="1438"/>
      <c r="N278" s="1418"/>
      <c r="O278" s="1438"/>
      <c r="P278" s="1975"/>
      <c r="Q278" s="1432">
        <f>+(K278/K271-1)*100</f>
        <v>7.4626865671641784</v>
      </c>
      <c r="R278" s="1439">
        <f>SeqQtrSales!AC381</f>
        <v>0.18180000000000007</v>
      </c>
      <c r="S278" s="1432"/>
      <c r="T278" s="1427"/>
      <c r="U278" s="1438">
        <f>U277+V278</f>
        <v>54</v>
      </c>
      <c r="V278" s="1974">
        <f>V279-SUM(V275:V277)</f>
        <v>0</v>
      </c>
      <c r="W278" s="1420">
        <f>+(U278/U271-1)*100</f>
        <v>-1.8181818181818188</v>
      </c>
      <c r="X278" s="1439">
        <f>SeqQtrSales!AC555</f>
        <v>0.1404</v>
      </c>
      <c r="Y278" s="1432"/>
      <c r="Z278" s="1427"/>
      <c r="AA278" s="1438">
        <f>AA277+AB278</f>
        <v>37</v>
      </c>
      <c r="AB278" s="1976">
        <f>AB279-SUM(AB275:AB277)</f>
        <v>1</v>
      </c>
      <c r="AC278" s="1432">
        <f>+(AA278/AA271-1)*100</f>
        <v>8.8235294117646959</v>
      </c>
      <c r="AD278" s="1439">
        <f>SeqQtrSales!AC475</f>
        <v>0.13550000000000006</v>
      </c>
      <c r="AE278" s="1442"/>
      <c r="AF278" s="1432"/>
      <c r="AG278" s="1438">
        <f>AG277+AH278</f>
        <v>5</v>
      </c>
      <c r="AH278" s="1974">
        <f>AH279-SUM(AH275:AH277)</f>
        <v>0</v>
      </c>
      <c r="AI278" s="1432"/>
      <c r="AJ278" s="1439" t="str">
        <f>SeqQtrSales!AI475</f>
        <v>N/A</v>
      </c>
      <c r="AK278" s="1442"/>
      <c r="AL278" s="1438"/>
      <c r="AM278" s="1442"/>
      <c r="AN278" s="1432"/>
      <c r="AO278" s="1439"/>
      <c r="AP278" s="1970"/>
      <c r="AQ278" s="1432"/>
      <c r="AR278" s="1427"/>
      <c r="AS278" s="1438">
        <f>AA278+K278+D278+AG278+U278</f>
        <v>289</v>
      </c>
      <c r="AT278" s="1431">
        <f>AS278-AS277</f>
        <v>5</v>
      </c>
      <c r="AU278" s="1432">
        <f>+(AS278/AS271-1)*100</f>
        <v>4.7101449275362306</v>
      </c>
      <c r="AV278" s="1970"/>
      <c r="AW278" s="1970"/>
      <c r="AX278" s="1968">
        <f>AS278-D278-AL278</f>
        <v>168</v>
      </c>
      <c r="AY278" s="1969">
        <f>AX278-AX277</f>
        <v>4</v>
      </c>
      <c r="AZ278" s="1439">
        <f>SUM(AD278,R278,G278,X278)</f>
        <v>1.1849000000000001</v>
      </c>
      <c r="BA278" s="2115">
        <f>AZ278/AZ271-1</f>
        <v>3.5073160078619825E-2</v>
      </c>
      <c r="BB278" s="405"/>
      <c r="BC278" s="1658">
        <f>D278/AS278</f>
        <v>0.41868512110726641</v>
      </c>
      <c r="BD278" s="1812">
        <f>(K278+AA278+U278+AG278)/AS278</f>
        <v>0.58131487889273359</v>
      </c>
      <c r="BE278" s="1812">
        <f>AL278/AS278</f>
        <v>0</v>
      </c>
    </row>
    <row r="279" spans="1:57" ht="12" customHeight="1">
      <c r="A279" s="256"/>
      <c r="B279" s="256" t="str">
        <f>$B$34</f>
        <v>Year</v>
      </c>
      <c r="C279" s="256"/>
      <c r="D279" s="1971">
        <f>D278</f>
        <v>121</v>
      </c>
      <c r="E279" s="1977">
        <v>6</v>
      </c>
      <c r="F279" s="1432">
        <f>+(D279/D272-1)*100</f>
        <v>5.2173913043478182</v>
      </c>
      <c r="G279" s="1421">
        <f>G278</f>
        <v>0.72719999999999985</v>
      </c>
      <c r="H279" s="1970"/>
      <c r="I279" s="1432"/>
      <c r="J279" s="405"/>
      <c r="K279" s="1971">
        <f>K278</f>
        <v>72</v>
      </c>
      <c r="L279" s="1977">
        <v>5</v>
      </c>
      <c r="M279" s="1971"/>
      <c r="N279" s="1978"/>
      <c r="O279" s="1418"/>
      <c r="P279" s="1978"/>
      <c r="Q279" s="1432">
        <f>+(K279/K272-1)*100</f>
        <v>7.4626865671641784</v>
      </c>
      <c r="R279" s="1421">
        <f>R278</f>
        <v>0.18180000000000007</v>
      </c>
      <c r="S279" s="1432"/>
      <c r="T279" s="1427"/>
      <c r="U279" s="1971">
        <f>U278</f>
        <v>54</v>
      </c>
      <c r="V279" s="1978">
        <v>-1</v>
      </c>
      <c r="W279" s="1420">
        <f>+(U279/U272-1)*100</f>
        <v>-1.8181818181818188</v>
      </c>
      <c r="X279" s="1421">
        <f>X278</f>
        <v>0.1404</v>
      </c>
      <c r="Y279" s="1432"/>
      <c r="Z279" s="1427"/>
      <c r="AA279" s="1971">
        <f>AA278</f>
        <v>37</v>
      </c>
      <c r="AB279" s="1979">
        <v>3</v>
      </c>
      <c r="AC279" s="1432">
        <f>+(AA279/AA272-1)*100</f>
        <v>8.8235294117646959</v>
      </c>
      <c r="AD279" s="1421">
        <f>+AD278</f>
        <v>0.13550000000000006</v>
      </c>
      <c r="AE279" s="1979"/>
      <c r="AF279" s="1432"/>
      <c r="AG279" s="1971">
        <f>AG278</f>
        <v>5</v>
      </c>
      <c r="AH279" s="1978">
        <v>0</v>
      </c>
      <c r="AI279" s="1432"/>
      <c r="AJ279" s="1421" t="str">
        <f>+AJ278</f>
        <v>N/A</v>
      </c>
      <c r="AK279" s="1979"/>
      <c r="AL279" s="1971"/>
      <c r="AM279" s="1979"/>
      <c r="AN279" s="1432"/>
      <c r="AO279" s="1421"/>
      <c r="AP279" s="1970"/>
      <c r="AQ279" s="1432"/>
      <c r="AR279" s="1427"/>
      <c r="AS279" s="1971">
        <f>AA279+K279+D279+AG279+U279</f>
        <v>289</v>
      </c>
      <c r="AT279" s="1451">
        <f>AS279-AS272</f>
        <v>13</v>
      </c>
      <c r="AU279" s="1432">
        <f>+(AS279/AS272-1)*100</f>
        <v>4.7101449275362306</v>
      </c>
      <c r="AV279" s="1970"/>
      <c r="AW279" s="1970"/>
      <c r="AX279" s="1968">
        <f>AS279-D279-AL279</f>
        <v>168</v>
      </c>
      <c r="AY279" s="1969">
        <f>AX279-AX272</f>
        <v>7</v>
      </c>
      <c r="AZ279" s="1421">
        <f>+AZ278</f>
        <v>1.1849000000000001</v>
      </c>
      <c r="BA279" s="2115">
        <f>AZ279/AZ272-1</f>
        <v>3.5073160078619825E-2</v>
      </c>
      <c r="BB279" s="405"/>
      <c r="BC279" s="1980">
        <f>D279/AS279</f>
        <v>0.41868512110726641</v>
      </c>
      <c r="BD279" s="1811">
        <f>(K279+AA279+U279+AG279)/AS279</f>
        <v>0.58131487889273359</v>
      </c>
      <c r="BE279" s="1980">
        <f>AL279/AS279</f>
        <v>0</v>
      </c>
    </row>
    <row r="280" spans="1:57" ht="12" customHeight="1">
      <c r="AS280" s="727"/>
      <c r="BA280" s="2114"/>
      <c r="BD280" s="621"/>
      <c r="BE280" s="1811"/>
    </row>
    <row r="281" spans="1:57" ht="12" customHeight="1">
      <c r="A281" s="2507">
        <f>+A274+1</f>
        <v>2014</v>
      </c>
      <c r="B281" s="2507"/>
      <c r="C281" s="256"/>
      <c r="D281" s="1462"/>
      <c r="E281" s="1965"/>
      <c r="F281" s="1966"/>
      <c r="G281" s="1457"/>
      <c r="H281" s="580"/>
      <c r="I281" s="1432"/>
      <c r="J281" s="405"/>
      <c r="K281" s="1460"/>
      <c r="L281" s="1461"/>
      <c r="M281" s="1460"/>
      <c r="N281" s="1461"/>
      <c r="O281" s="1460"/>
      <c r="P281" s="1967"/>
      <c r="Q281" s="580"/>
      <c r="R281" s="580"/>
      <c r="S281" s="580"/>
      <c r="T281" s="580"/>
      <c r="U281" s="1460"/>
      <c r="V281" s="1461"/>
      <c r="W281" s="580"/>
      <c r="X281" s="580"/>
      <c r="Y281" s="580"/>
      <c r="Z281" s="580"/>
      <c r="AA281" s="1460"/>
      <c r="AB281" s="581"/>
      <c r="AC281" s="580"/>
      <c r="AD281" s="1460"/>
      <c r="AE281" s="581"/>
      <c r="AF281" s="580"/>
      <c r="AG281" s="1460"/>
      <c r="AH281" s="581"/>
      <c r="AI281" s="580"/>
      <c r="AJ281" s="1460"/>
      <c r="AK281" s="581"/>
      <c r="AL281" s="1460"/>
      <c r="AM281" s="581"/>
      <c r="AN281" s="581"/>
      <c r="AO281" s="1460"/>
      <c r="AP281" s="580"/>
      <c r="AQ281" s="1966"/>
      <c r="AR281" s="580"/>
      <c r="AS281" s="1457"/>
      <c r="AT281" s="405"/>
      <c r="AU281" s="405"/>
      <c r="AV281" s="405"/>
      <c r="AW281" s="405"/>
      <c r="AX281" s="1968"/>
      <c r="AY281" s="1969"/>
      <c r="AZ281" s="405"/>
      <c r="BA281" s="1965"/>
      <c r="BB281" s="405"/>
      <c r="BC281" s="405"/>
      <c r="BD281" s="405"/>
      <c r="BE281" s="405"/>
    </row>
    <row r="282" spans="1:57" ht="12" customHeight="1">
      <c r="A282" s="256" t="str">
        <f>$A$30</f>
        <v>1Q</v>
      </c>
      <c r="B282" s="256" t="str">
        <f>$B$30</f>
        <v>Apr</v>
      </c>
      <c r="C282" s="256"/>
      <c r="D282" s="1418">
        <f>+D279+E282</f>
        <v>121</v>
      </c>
      <c r="E282" s="1651">
        <v>0</v>
      </c>
      <c r="F282" s="1432">
        <f>+(D282/D275-1)*100</f>
        <v>5.2173913043478182</v>
      </c>
      <c r="G282" s="1421">
        <f>+SeqQtrSales!AC198</f>
        <v>0.72719999999999985</v>
      </c>
      <c r="H282" s="1970"/>
      <c r="I282" s="1432"/>
      <c r="J282" s="405"/>
      <c r="K282" s="1418">
        <f>+K279+L282</f>
        <v>71</v>
      </c>
      <c r="L282" s="1651">
        <v>-1</v>
      </c>
      <c r="M282" s="1418"/>
      <c r="N282" s="1424"/>
      <c r="O282" s="1971"/>
      <c r="P282" s="1972"/>
      <c r="Q282" s="1432">
        <f>+(K282/K275-1)*100</f>
        <v>5.9701492537313383</v>
      </c>
      <c r="R282" s="1421">
        <f>+SeqQtrSales!AC385</f>
        <v>0.17920000000000008</v>
      </c>
      <c r="S282" s="1432"/>
      <c r="T282" s="1427"/>
      <c r="U282" s="1418">
        <f>+U279+V282</f>
        <v>55</v>
      </c>
      <c r="V282" s="1651">
        <v>1</v>
      </c>
      <c r="W282" s="1420">
        <f>+(U282/U275-1)*100</f>
        <v>0</v>
      </c>
      <c r="X282" s="1421">
        <f>+SeqQtrSales!AC559</f>
        <v>0.14286785714285713</v>
      </c>
      <c r="Y282" s="1432"/>
      <c r="Z282" s="1427"/>
      <c r="AA282" s="1418">
        <f>+AA279+AB282</f>
        <v>38</v>
      </c>
      <c r="AB282" s="1973">
        <v>1</v>
      </c>
      <c r="AC282" s="1432">
        <f>+(AA282/AA275-1)*100</f>
        <v>11.764705882352944</v>
      </c>
      <c r="AD282" s="1421">
        <f>+SeqQtrSales!AC479</f>
        <v>0.14550000000000007</v>
      </c>
      <c r="AE282" s="1973"/>
      <c r="AF282" s="1432"/>
      <c r="AG282" s="1418">
        <f>+AG279+AH282</f>
        <v>6</v>
      </c>
      <c r="AH282" s="1651">
        <v>1</v>
      </c>
      <c r="AI282" s="1432"/>
      <c r="AJ282" s="1421" t="str">
        <f>+SeqQtrSales!AI479</f>
        <v>N/A</v>
      </c>
      <c r="AK282" s="1973"/>
      <c r="AL282" s="1418"/>
      <c r="AM282" s="1973"/>
      <c r="AN282" s="1432"/>
      <c r="AO282" s="1421"/>
      <c r="AP282" s="1970"/>
      <c r="AQ282" s="1432"/>
      <c r="AR282" s="1427"/>
      <c r="AS282" s="1971">
        <f>AA282+K282+D282+AG282+U282</f>
        <v>291</v>
      </c>
      <c r="AT282" s="1431">
        <f>AS282-AS279</f>
        <v>2</v>
      </c>
      <c r="AU282" s="1432">
        <f>+(AS282/AS275-1)*100</f>
        <v>5.4347826086956541</v>
      </c>
      <c r="AV282" s="1970"/>
      <c r="AW282" s="1970"/>
      <c r="AX282" s="1968">
        <f>AS282-D282-AL282</f>
        <v>170</v>
      </c>
      <c r="AY282" s="1969">
        <f>AX282-AX279</f>
        <v>2</v>
      </c>
      <c r="AZ282" s="1421">
        <f>SUM(AD282,R282,G282,X282)</f>
        <v>1.1947678571428573</v>
      </c>
      <c r="BA282" s="2115">
        <f>AZ282/AZ275-1</f>
        <v>4.4240577846311524E-2</v>
      </c>
      <c r="BB282" s="405"/>
      <c r="BC282" s="1658">
        <f>D282/AS282</f>
        <v>0.41580756013745707</v>
      </c>
      <c r="BD282" s="1811">
        <f>(K282+AA282+U282+AG282)/AS282</f>
        <v>0.58419243986254299</v>
      </c>
      <c r="BE282" s="1811">
        <f>AL282/AS282</f>
        <v>0</v>
      </c>
    </row>
    <row r="283" spans="1:57" ht="12" customHeight="1">
      <c r="A283" s="256" t="str">
        <f>$A$31</f>
        <v>2Q</v>
      </c>
      <c r="B283" s="256" t="str">
        <f>$B$31</f>
        <v>Jul</v>
      </c>
      <c r="C283" s="256"/>
      <c r="D283" s="1418">
        <f>D282+E283</f>
        <v>122</v>
      </c>
      <c r="E283" s="1651">
        <v>1</v>
      </c>
      <c r="F283" s="1432">
        <f>+(D283/D276-1)*100</f>
        <v>5.1724137931034475</v>
      </c>
      <c r="G283" s="1421">
        <f>SeqQtrSales!AC199</f>
        <v>0.7326999999999998</v>
      </c>
      <c r="H283" s="1970"/>
      <c r="I283" s="1432"/>
      <c r="J283" s="1436"/>
      <c r="K283" s="1418">
        <f>+K282+L283</f>
        <v>71</v>
      </c>
      <c r="L283" s="1651">
        <v>0</v>
      </c>
      <c r="M283" s="1418"/>
      <c r="N283" s="1424"/>
      <c r="O283" s="1418"/>
      <c r="P283" s="1972"/>
      <c r="Q283" s="1432">
        <f>+(K283/K276-1)*100</f>
        <v>4.4117647058823595</v>
      </c>
      <c r="R283" s="1421">
        <f>SeqQtrSales!AC386</f>
        <v>0.17920000000000008</v>
      </c>
      <c r="S283" s="1432"/>
      <c r="T283" s="1427"/>
      <c r="U283" s="1418">
        <f>U282+V283</f>
        <v>55</v>
      </c>
      <c r="V283" s="1651">
        <v>0</v>
      </c>
      <c r="W283" s="1420">
        <f>+(U283/U276-1)*100</f>
        <v>1.8518518518518601</v>
      </c>
      <c r="X283" s="1421">
        <f>SeqQtrSales!AC560</f>
        <v>0.14417857142857143</v>
      </c>
      <c r="Y283" s="1432"/>
      <c r="Z283" s="1427"/>
      <c r="AA283" s="1418">
        <f>AA282+AB283</f>
        <v>38</v>
      </c>
      <c r="AB283" s="1973">
        <v>0</v>
      </c>
      <c r="AC283" s="1432">
        <f>+(AA283/AA276-1)*100</f>
        <v>8.5714285714285623</v>
      </c>
      <c r="AD283" s="1421">
        <f>SeqQtrSales!AC480</f>
        <v>0.14550000000000007</v>
      </c>
      <c r="AE283" s="1973"/>
      <c r="AF283" s="1432"/>
      <c r="AG283" s="1418">
        <f>AG282+AH283</f>
        <v>6</v>
      </c>
      <c r="AH283" s="1651">
        <v>0</v>
      </c>
      <c r="AI283" s="1432"/>
      <c r="AJ283" s="1421" t="str">
        <f>SeqQtrSales!AI480</f>
        <v>N/A</v>
      </c>
      <c r="AK283" s="1973"/>
      <c r="AL283" s="1418"/>
      <c r="AM283" s="1973"/>
      <c r="AN283" s="1432"/>
      <c r="AO283" s="1421"/>
      <c r="AP283" s="1970"/>
      <c r="AQ283" s="1432"/>
      <c r="AR283" s="1427"/>
      <c r="AS283" s="1971">
        <f>AA283+K283+D283+AG283+U283</f>
        <v>292</v>
      </c>
      <c r="AT283" s="1431">
        <f>AS283-AS282</f>
        <v>1</v>
      </c>
      <c r="AU283" s="1432">
        <f>+(AS283/AS276-1)*100</f>
        <v>5.0359712230215736</v>
      </c>
      <c r="AV283" s="1970"/>
      <c r="AW283" s="1970"/>
      <c r="AX283" s="1968">
        <f>AS283-D283-AL283</f>
        <v>170</v>
      </c>
      <c r="AY283" s="1969">
        <f>AX283-AX282</f>
        <v>0</v>
      </c>
      <c r="AZ283" s="1421">
        <f>SUM(AD283,R283,G283,X283)</f>
        <v>1.2015785714285714</v>
      </c>
      <c r="BA283" s="2115">
        <f>AZ283/AZ276-1</f>
        <v>4.2855902993031991E-2</v>
      </c>
      <c r="BB283" s="405"/>
      <c r="BC283" s="1658">
        <f>D283/AS283</f>
        <v>0.4178082191780822</v>
      </c>
      <c r="BD283" s="1811">
        <f>(K283+AA283+U283+AG283)/AS283</f>
        <v>0.5821917808219178</v>
      </c>
      <c r="BE283" s="1811">
        <f>AL283/AS283</f>
        <v>0</v>
      </c>
    </row>
    <row r="284" spans="1:57" ht="12" customHeight="1">
      <c r="A284" s="256" t="str">
        <f>$A$32</f>
        <v>3Q</v>
      </c>
      <c r="B284" s="256" t="str">
        <f>$B$32</f>
        <v>Oct</v>
      </c>
      <c r="C284" s="256"/>
      <c r="D284" s="1418">
        <f>D283+E284</f>
        <v>122</v>
      </c>
      <c r="E284" s="1651">
        <v>0</v>
      </c>
      <c r="F284" s="1432">
        <f>+(D284/D277-1)*100</f>
        <v>1.6666666666666607</v>
      </c>
      <c r="G284" s="1421">
        <f>SeqQtrSales!AC200</f>
        <v>0.7326999999999998</v>
      </c>
      <c r="H284" s="1970"/>
      <c r="I284" s="1432"/>
      <c r="J284" s="405"/>
      <c r="K284" s="1418">
        <f>+K283+L284</f>
        <v>72</v>
      </c>
      <c r="L284" s="1651">
        <v>1</v>
      </c>
      <c r="M284" s="1418"/>
      <c r="N284" s="1424"/>
      <c r="O284" s="1418"/>
      <c r="P284" s="1972"/>
      <c r="Q284" s="1432">
        <f>+(K284/K277-1)*100</f>
        <v>4.3478260869565188</v>
      </c>
      <c r="R284" s="1421">
        <f>SeqQtrSales!AC387</f>
        <v>0.18180000000000007</v>
      </c>
      <c r="S284" s="1432"/>
      <c r="T284" s="1427"/>
      <c r="U284" s="1418">
        <f>U283+V284</f>
        <v>56</v>
      </c>
      <c r="V284" s="1651">
        <v>1</v>
      </c>
      <c r="W284" s="1420">
        <f>+(U284/U277-1)*100</f>
        <v>3.7037037037036979</v>
      </c>
      <c r="X284" s="1421">
        <f>SeqQtrSales!AC561</f>
        <v>0.14548928571428571</v>
      </c>
      <c r="Y284" s="1432"/>
      <c r="Z284" s="1427"/>
      <c r="AA284" s="1418">
        <f>AA283+AB284</f>
        <v>38</v>
      </c>
      <c r="AB284" s="1973">
        <v>0</v>
      </c>
      <c r="AC284" s="1432">
        <f>+(AA284/AA277-1)*100</f>
        <v>5.555555555555558</v>
      </c>
      <c r="AD284" s="1421">
        <f>SeqQtrSales!AC481</f>
        <v>0.14550000000000007</v>
      </c>
      <c r="AE284" s="1973"/>
      <c r="AF284" s="1432"/>
      <c r="AG284" s="1418">
        <f>AG283+AH284</f>
        <v>6</v>
      </c>
      <c r="AH284" s="1651">
        <v>0</v>
      </c>
      <c r="AI284" s="1432"/>
      <c r="AJ284" s="1421" t="str">
        <f>SeqQtrSales!AI481</f>
        <v>N/A</v>
      </c>
      <c r="AK284" s="1973"/>
      <c r="AL284" s="1418"/>
      <c r="AM284" s="1973"/>
      <c r="AN284" s="1432"/>
      <c r="AO284" s="1421"/>
      <c r="AP284" s="1970"/>
      <c r="AQ284" s="1432"/>
      <c r="AR284" s="1427"/>
      <c r="AS284" s="1971">
        <f>AA284+K284+D284+AG284+U284</f>
        <v>294</v>
      </c>
      <c r="AT284" s="1431">
        <f>AS284-AS283</f>
        <v>2</v>
      </c>
      <c r="AU284" s="1432">
        <f>+(AS284/AS277-1)*100</f>
        <v>3.5211267605633756</v>
      </c>
      <c r="AV284" s="1970"/>
      <c r="AW284" s="1970"/>
      <c r="AX284" s="1968">
        <f>AS284-D284-AL284</f>
        <v>172</v>
      </c>
      <c r="AY284" s="1969">
        <f>AX284-AX283</f>
        <v>2</v>
      </c>
      <c r="AZ284" s="1421">
        <f>SUM(AD284,R284,G284,X284)</f>
        <v>1.2054892857142858</v>
      </c>
      <c r="BA284" s="2115">
        <f>AZ284/AZ277-1</f>
        <v>2.9672676245386276E-2</v>
      </c>
      <c r="BB284" s="405"/>
      <c r="BC284" s="1658">
        <f>D284/AS284</f>
        <v>0.41496598639455784</v>
      </c>
      <c r="BD284" s="1811">
        <f>(K284+AA284+U284+AG284)/AS284</f>
        <v>0.58503401360544216</v>
      </c>
      <c r="BE284" s="1811">
        <f>AL284/AS284</f>
        <v>0</v>
      </c>
    </row>
    <row r="285" spans="1:57" ht="12" customHeight="1">
      <c r="A285" s="256" t="str">
        <f>$A$33</f>
        <v>4Q</v>
      </c>
      <c r="B285" s="256" t="str">
        <f>$B$33</f>
        <v>Jan</v>
      </c>
      <c r="C285" s="256"/>
      <c r="D285" s="1438">
        <f>D284+E285</f>
        <v>122</v>
      </c>
      <c r="E285" s="1974">
        <f>E286-SUM(E282:E284)</f>
        <v>0</v>
      </c>
      <c r="F285" s="1432">
        <f>+(D285/D278-1)*100</f>
        <v>0.82644628099173278</v>
      </c>
      <c r="G285" s="1439">
        <f>SeqQtrSales!AC201</f>
        <v>0.7326999999999998</v>
      </c>
      <c r="H285" s="1970"/>
      <c r="I285" s="1432"/>
      <c r="J285" s="405"/>
      <c r="K285" s="1438">
        <f>+K284+L285</f>
        <v>73</v>
      </c>
      <c r="L285" s="1974">
        <v>1</v>
      </c>
      <c r="M285" s="1438"/>
      <c r="N285" s="1418"/>
      <c r="O285" s="1438"/>
      <c r="P285" s="1975"/>
      <c r="Q285" s="1432">
        <f>+(K285/K278-1)*100</f>
        <v>1.388888888888884</v>
      </c>
      <c r="R285" s="1439">
        <f>SeqQtrSales!AC388</f>
        <v>0.18440000000000006</v>
      </c>
      <c r="S285" s="1432"/>
      <c r="T285" s="1427"/>
      <c r="U285" s="1438">
        <f>U284+V285</f>
        <v>56</v>
      </c>
      <c r="V285" s="1974">
        <f>V286-SUM(V282:V284)</f>
        <v>0</v>
      </c>
      <c r="W285" s="1420">
        <f>+(U285/U278-1)*100</f>
        <v>3.7037037037036979</v>
      </c>
      <c r="X285" s="1439">
        <f>SeqQtrSales!AC562</f>
        <v>0.14679999999999996</v>
      </c>
      <c r="Y285" s="1432"/>
      <c r="Z285" s="1427"/>
      <c r="AA285" s="1438">
        <f>AA284+AB285</f>
        <v>38</v>
      </c>
      <c r="AB285" s="1976">
        <f>AB286-SUM(AB282:AB284)</f>
        <v>0</v>
      </c>
      <c r="AC285" s="1432">
        <f>+(AA285/AA278-1)*100</f>
        <v>2.7027027027026973</v>
      </c>
      <c r="AD285" s="1439">
        <f>SeqQtrSales!AC482</f>
        <v>0.14550000000000007</v>
      </c>
      <c r="AE285" s="1442"/>
      <c r="AF285" s="1432"/>
      <c r="AG285" s="1438">
        <f>AG284+AH285</f>
        <v>6</v>
      </c>
      <c r="AH285" s="1974">
        <f>AH286-SUM(AH282:AH284)</f>
        <v>0</v>
      </c>
      <c r="AI285" s="1432"/>
      <c r="AJ285" s="1439" t="str">
        <f>SeqQtrSales!AI482</f>
        <v>N/A</v>
      </c>
      <c r="AK285" s="1442"/>
      <c r="AL285" s="1438"/>
      <c r="AM285" s="1442"/>
      <c r="AN285" s="1432"/>
      <c r="AO285" s="1439"/>
      <c r="AP285" s="1970"/>
      <c r="AQ285" s="1432"/>
      <c r="AR285" s="1427"/>
      <c r="AS285" s="1438">
        <f>AA285+K285+D285+AG285+U285</f>
        <v>295</v>
      </c>
      <c r="AT285" s="1431">
        <f>AS285-AS284</f>
        <v>1</v>
      </c>
      <c r="AU285" s="1432">
        <f>+(AS285/AS278-1)*100</f>
        <v>2.076124567474058</v>
      </c>
      <c r="AV285" s="1970"/>
      <c r="AW285" s="1970"/>
      <c r="AX285" s="1968">
        <f>AS285-D285-AL285</f>
        <v>173</v>
      </c>
      <c r="AY285" s="1969">
        <f>AX285-AX284</f>
        <v>1</v>
      </c>
      <c r="AZ285" s="1439">
        <f>SUM(AD285,R285,G285,X285)</f>
        <v>1.2094</v>
      </c>
      <c r="BA285" s="2115">
        <f>AZ285/AZ278-1</f>
        <v>2.0676850367119526E-2</v>
      </c>
      <c r="BB285" s="405"/>
      <c r="BC285" s="1658">
        <f>D285/AS285</f>
        <v>0.41355932203389828</v>
      </c>
      <c r="BD285" s="1812">
        <f>(K285+AA285+U285+AG285)/AS285</f>
        <v>0.58644067796610166</v>
      </c>
      <c r="BE285" s="1812">
        <f>AL285/AS285</f>
        <v>0</v>
      </c>
    </row>
    <row r="286" spans="1:57" ht="12" customHeight="1">
      <c r="A286" s="256"/>
      <c r="B286" s="256" t="str">
        <f>$B$34</f>
        <v>Year</v>
      </c>
      <c r="C286" s="256"/>
      <c r="D286" s="1971">
        <f>D285</f>
        <v>122</v>
      </c>
      <c r="E286" s="1977">
        <v>1</v>
      </c>
      <c r="F286" s="1432">
        <f>+(D286/D279-1)*100</f>
        <v>0.82644628099173278</v>
      </c>
      <c r="G286" s="1421">
        <f>G285</f>
        <v>0.7326999999999998</v>
      </c>
      <c r="H286" s="1970"/>
      <c r="I286" s="1432"/>
      <c r="J286" s="405"/>
      <c r="K286" s="1971">
        <f>K285</f>
        <v>73</v>
      </c>
      <c r="L286" s="1977">
        <f>2-1</f>
        <v>1</v>
      </c>
      <c r="M286" s="1971"/>
      <c r="N286" s="1978"/>
      <c r="O286" s="1418"/>
      <c r="P286" s="1978"/>
      <c r="Q286" s="1432">
        <f>+(K286/K279-1)*100</f>
        <v>1.388888888888884</v>
      </c>
      <c r="R286" s="1421">
        <f>R285</f>
        <v>0.18440000000000006</v>
      </c>
      <c r="S286" s="1432"/>
      <c r="T286" s="1427"/>
      <c r="U286" s="1971">
        <f>U285</f>
        <v>56</v>
      </c>
      <c r="V286" s="1978">
        <v>2</v>
      </c>
      <c r="W286" s="1420">
        <f>+(U286/U279-1)*100</f>
        <v>3.7037037037036979</v>
      </c>
      <c r="X286" s="1421">
        <f>X285</f>
        <v>0.14679999999999996</v>
      </c>
      <c r="Y286" s="1432"/>
      <c r="Z286" s="1427"/>
      <c r="AA286" s="1971">
        <f>AA285</f>
        <v>38</v>
      </c>
      <c r="AB286" s="1979">
        <v>1</v>
      </c>
      <c r="AC286" s="1432">
        <f>+(AA286/AA279-1)*100</f>
        <v>2.7027027027026973</v>
      </c>
      <c r="AD286" s="1421">
        <f>+AD285</f>
        <v>0.14550000000000007</v>
      </c>
      <c r="AE286" s="1979"/>
      <c r="AF286" s="1432"/>
      <c r="AG286" s="1971">
        <f>AG285</f>
        <v>6</v>
      </c>
      <c r="AH286" s="1978">
        <v>1</v>
      </c>
      <c r="AI286" s="1432"/>
      <c r="AJ286" s="1421" t="str">
        <f>+AJ285</f>
        <v>N/A</v>
      </c>
      <c r="AK286" s="1979"/>
      <c r="AL286" s="1971"/>
      <c r="AM286" s="1979"/>
      <c r="AN286" s="1432"/>
      <c r="AO286" s="1421"/>
      <c r="AP286" s="1970"/>
      <c r="AQ286" s="1432"/>
      <c r="AR286" s="1427"/>
      <c r="AS286" s="1971">
        <f>AA286+K286+D286+AG286+U286</f>
        <v>295</v>
      </c>
      <c r="AT286" s="1451">
        <f>AS286-AS279</f>
        <v>6</v>
      </c>
      <c r="AU286" s="1432">
        <f>+(AS286/AS279-1)*100</f>
        <v>2.076124567474058</v>
      </c>
      <c r="AV286" s="1970"/>
      <c r="AW286" s="1970"/>
      <c r="AX286" s="1968">
        <f>AS286-D286-AL286</f>
        <v>173</v>
      </c>
      <c r="AY286" s="1969">
        <f>AX286-AX279</f>
        <v>5</v>
      </c>
      <c r="AZ286" s="1421">
        <f>+AZ285</f>
        <v>1.2094</v>
      </c>
      <c r="BA286" s="2115">
        <f>AZ286/AZ279-1</f>
        <v>2.0676850367119526E-2</v>
      </c>
      <c r="BB286" s="405"/>
      <c r="BC286" s="1980">
        <f>D286/AS286</f>
        <v>0.41355932203389828</v>
      </c>
      <c r="BD286" s="1811">
        <f>(K286+AA286+U286+AG286)/AS286</f>
        <v>0.58644067796610166</v>
      </c>
      <c r="BE286" s="1980">
        <f>AL286/AS286</f>
        <v>0</v>
      </c>
    </row>
    <row r="287" spans="1:57" ht="12" customHeight="1">
      <c r="BA287" s="2114"/>
      <c r="BD287" s="621"/>
    </row>
    <row r="288" spans="1:57" ht="12" customHeight="1">
      <c r="A288" s="2507">
        <f>+A281+1</f>
        <v>2015</v>
      </c>
      <c r="B288" s="2507"/>
      <c r="C288" s="256"/>
      <c r="D288" s="1462"/>
      <c r="E288" s="1965"/>
      <c r="F288" s="1966"/>
      <c r="G288" s="1457"/>
      <c r="H288" s="580"/>
      <c r="I288" s="1432"/>
      <c r="J288" s="405"/>
      <c r="K288" s="1460"/>
      <c r="L288" s="1461"/>
      <c r="M288" s="1460"/>
      <c r="N288" s="1461"/>
      <c r="O288" s="1460"/>
      <c r="P288" s="1967"/>
      <c r="Q288" s="580"/>
      <c r="R288" s="580"/>
      <c r="S288" s="580"/>
      <c r="T288" s="580"/>
      <c r="U288" s="1460"/>
      <c r="V288" s="1461"/>
      <c r="W288" s="580"/>
      <c r="X288" s="580"/>
      <c r="Y288" s="580"/>
      <c r="Z288" s="580"/>
      <c r="AA288" s="1460"/>
      <c r="AB288" s="581"/>
      <c r="AC288" s="580"/>
      <c r="AD288" s="1460"/>
      <c r="AE288" s="581"/>
      <c r="AF288" s="580"/>
      <c r="AG288" s="1460"/>
      <c r="AH288" s="581"/>
      <c r="AI288" s="580"/>
      <c r="AJ288" s="1460"/>
      <c r="AK288" s="581"/>
      <c r="AL288" s="1460"/>
      <c r="AM288" s="581"/>
      <c r="AN288" s="581"/>
      <c r="AO288" s="1460"/>
      <c r="AP288" s="580"/>
      <c r="AQ288" s="1966"/>
      <c r="AR288" s="580"/>
      <c r="AS288" s="1457"/>
      <c r="AT288" s="405"/>
      <c r="AU288" s="405"/>
      <c r="AV288" s="405"/>
      <c r="AW288" s="405"/>
      <c r="AX288" s="1968"/>
      <c r="AY288" s="1969"/>
      <c r="AZ288" s="405"/>
      <c r="BA288" s="1965"/>
      <c r="BB288" s="405"/>
      <c r="BC288" s="405"/>
      <c r="BD288" s="405"/>
      <c r="BE288" s="405"/>
    </row>
    <row r="289" spans="1:57" ht="12" customHeight="1">
      <c r="A289" s="256" t="str">
        <f>$A$30</f>
        <v>1Q</v>
      </c>
      <c r="B289" s="256" t="str">
        <f>$B$30</f>
        <v>Apr</v>
      </c>
      <c r="C289" s="256"/>
      <c r="D289" s="1418">
        <f>+D286+E289</f>
        <v>123</v>
      </c>
      <c r="E289" s="1651">
        <v>1</v>
      </c>
      <c r="F289" s="1432">
        <f>+(D289/D282-1)*100</f>
        <v>1.6528925619834656</v>
      </c>
      <c r="G289" s="1421">
        <f>SeqQtrSales!AC205</f>
        <v>0.73819999999999975</v>
      </c>
      <c r="H289" s="1970"/>
      <c r="I289" s="1432"/>
      <c r="J289" s="405"/>
      <c r="K289" s="1418">
        <f>+K286+L289</f>
        <v>75</v>
      </c>
      <c r="L289" s="1651">
        <v>2</v>
      </c>
      <c r="M289" s="1418"/>
      <c r="N289" s="1424"/>
      <c r="O289" s="1971"/>
      <c r="P289" s="1972"/>
      <c r="Q289" s="1432">
        <f>+(K289/K282-1)*100</f>
        <v>5.6338028169014009</v>
      </c>
      <c r="R289" s="1421">
        <f>SeqQtrSales!AC392</f>
        <v>0.18960000000000007</v>
      </c>
      <c r="S289" s="1432"/>
      <c r="T289" s="1427"/>
      <c r="U289" s="1418">
        <f>+U286+V289</f>
        <v>56</v>
      </c>
      <c r="V289" s="1651">
        <v>0</v>
      </c>
      <c r="W289" s="1420">
        <f>+(U289/U282-1)*100</f>
        <v>1.8181818181818077</v>
      </c>
      <c r="X289" s="1421">
        <f>+SeqQtrSales!AC566</f>
        <v>0.14679999999999996</v>
      </c>
      <c r="Y289" s="1432"/>
      <c r="Z289" s="1427"/>
      <c r="AA289" s="1418">
        <f>+AA286+AB289</f>
        <v>38</v>
      </c>
      <c r="AB289" s="1973">
        <v>0</v>
      </c>
      <c r="AC289" s="1432">
        <f>+(AA289/AA282-1)*100</f>
        <v>0</v>
      </c>
      <c r="AD289" s="1421">
        <f>SeqQtrSales!AC486</f>
        <v>0.14550000000000007</v>
      </c>
      <c r="AE289" s="1973"/>
      <c r="AF289" s="1432"/>
      <c r="AG289" s="1418">
        <f>+AG286+AH289</f>
        <v>6</v>
      </c>
      <c r="AH289" s="1651">
        <v>0</v>
      </c>
      <c r="AI289" s="1432"/>
      <c r="AJ289" s="1421" t="str">
        <f>SeqQtrSales!AI486</f>
        <v>N/A</v>
      </c>
      <c r="AK289" s="1973"/>
      <c r="AL289" s="1418"/>
      <c r="AM289" s="1973"/>
      <c r="AN289" s="1432"/>
      <c r="AO289" s="1421"/>
      <c r="AP289" s="1970"/>
      <c r="AQ289" s="1432"/>
      <c r="AR289" s="1427"/>
      <c r="AS289" s="1971">
        <f>AA289+K289+D289+AG289+U289</f>
        <v>298</v>
      </c>
      <c r="AT289" s="1431">
        <f>AS289-AS286</f>
        <v>3</v>
      </c>
      <c r="AU289" s="1432">
        <f>+(AS289/AS282-1)*100</f>
        <v>2.405498281786933</v>
      </c>
      <c r="AV289" s="1970"/>
      <c r="AW289" s="1970"/>
      <c r="AX289" s="1968">
        <f>AS289-D289-AL289</f>
        <v>175</v>
      </c>
      <c r="AY289" s="1969">
        <f>AX289-AX286</f>
        <v>2</v>
      </c>
      <c r="AZ289" s="1421">
        <f>SUM(AD289,R289,G289,X289)</f>
        <v>1.2201</v>
      </c>
      <c r="BA289" s="2115">
        <f>AZ289/AZ282-1</f>
        <v>2.1202564754061459E-2</v>
      </c>
      <c r="BB289" s="405"/>
      <c r="BC289" s="1658">
        <f>D289/AS289</f>
        <v>0.41275167785234901</v>
      </c>
      <c r="BD289" s="1811">
        <f>(K289+AA289+U289+AG289)/AS289</f>
        <v>0.58724832214765099</v>
      </c>
      <c r="BE289" s="1811">
        <f>AL289/AS289</f>
        <v>0</v>
      </c>
    </row>
    <row r="290" spans="1:57" ht="12" customHeight="1">
      <c r="A290" s="256" t="str">
        <f>$A$31</f>
        <v>2Q</v>
      </c>
      <c r="B290" s="256" t="str">
        <f>$B$31</f>
        <v>Jul</v>
      </c>
      <c r="C290" s="256"/>
      <c r="D290" s="1418">
        <f>D289+E290</f>
        <v>124</v>
      </c>
      <c r="E290" s="1651">
        <v>1</v>
      </c>
      <c r="F290" s="1432">
        <f>+(D290/D283-1)*100</f>
        <v>1.6393442622950838</v>
      </c>
      <c r="G290" s="1421">
        <f>SeqQtrSales!AC206</f>
        <v>0.74369999999999969</v>
      </c>
      <c r="H290" s="1970"/>
      <c r="I290" s="1432"/>
      <c r="J290" s="1436"/>
      <c r="K290" s="1418">
        <f>+K289+L290</f>
        <v>79</v>
      </c>
      <c r="L290" s="1651">
        <v>4</v>
      </c>
      <c r="M290" s="1418"/>
      <c r="N290" s="1424"/>
      <c r="O290" s="1418"/>
      <c r="P290" s="1972"/>
      <c r="Q290" s="1432">
        <f>+(K290/K283-1)*100</f>
        <v>11.267605633802823</v>
      </c>
      <c r="R290" s="2109">
        <f>SeqQtrSales!AC393</f>
        <v>0.20000000000000007</v>
      </c>
      <c r="S290" s="1432"/>
      <c r="T290" s="1427"/>
      <c r="U290" s="1418">
        <f>U289+V290</f>
        <v>56</v>
      </c>
      <c r="V290" s="1651">
        <v>0</v>
      </c>
      <c r="W290" s="1420">
        <f>+(U290/U283-1)*100</f>
        <v>1.8181818181818077</v>
      </c>
      <c r="X290" s="1421">
        <f>SeqQtrSales!AC567</f>
        <v>0.14679999999999996</v>
      </c>
      <c r="Y290" s="1432"/>
      <c r="Z290" s="1427"/>
      <c r="AA290" s="1418">
        <f>AA289+AB290</f>
        <v>39</v>
      </c>
      <c r="AB290" s="1973">
        <v>1</v>
      </c>
      <c r="AC290" s="1432">
        <f>+(AA290/AA283-1)*100</f>
        <v>2.6315789473684292</v>
      </c>
      <c r="AD290" s="1421">
        <f>SeqQtrSales!AC487</f>
        <v>0.14860000000000007</v>
      </c>
      <c r="AE290" s="1973"/>
      <c r="AF290" s="1432"/>
      <c r="AG290" s="1418">
        <f>AG289+AH290</f>
        <v>6</v>
      </c>
      <c r="AH290" s="1651">
        <v>0</v>
      </c>
      <c r="AI290" s="1432"/>
      <c r="AJ290" s="1421" t="str">
        <f>SeqQtrSales!AI487</f>
        <v>N/A</v>
      </c>
      <c r="AK290" s="1973"/>
      <c r="AL290" s="1418"/>
      <c r="AM290" s="1973"/>
      <c r="AN290" s="1432"/>
      <c r="AO290" s="1421"/>
      <c r="AP290" s="1970"/>
      <c r="AQ290" s="1432"/>
      <c r="AR290" s="1427"/>
      <c r="AS290" s="1971">
        <f>AA290+K290+D290+AG290+U290</f>
        <v>304</v>
      </c>
      <c r="AT290" s="1431">
        <f>AS290-AS289</f>
        <v>6</v>
      </c>
      <c r="AU290" s="1432">
        <f>+(AS290/AS283-1)*100</f>
        <v>4.1095890410958846</v>
      </c>
      <c r="AV290" s="1970"/>
      <c r="AW290" s="1970"/>
      <c r="AX290" s="1968">
        <f>AS290-D290-AL290</f>
        <v>180</v>
      </c>
      <c r="AY290" s="1969">
        <f>AX290-AX289</f>
        <v>5</v>
      </c>
      <c r="AZ290" s="1421">
        <f>SUM(AD290,R290,G290,X290)</f>
        <v>1.2390999999999999</v>
      </c>
      <c r="BA290" s="2115">
        <f>AZ290/AZ283-1</f>
        <v>3.1226779058500354E-2</v>
      </c>
      <c r="BB290" s="405"/>
      <c r="BC290" s="1658">
        <f>D290/AS290</f>
        <v>0.40789473684210525</v>
      </c>
      <c r="BD290" s="1811">
        <f>(K290+AA290+U290+AG290)/AS290</f>
        <v>0.59210526315789469</v>
      </c>
      <c r="BE290" s="1811">
        <f>AL290/AS290</f>
        <v>0</v>
      </c>
    </row>
    <row r="291" spans="1:57" ht="12" customHeight="1">
      <c r="A291" s="256" t="str">
        <f>$A$32</f>
        <v>3Q</v>
      </c>
      <c r="B291" s="256" t="str">
        <f>$B$32</f>
        <v>Oct</v>
      </c>
      <c r="C291" s="256"/>
      <c r="D291" s="1418">
        <f>D290+E291</f>
        <v>125</v>
      </c>
      <c r="E291" s="1651">
        <v>1</v>
      </c>
      <c r="F291" s="1432">
        <f>+(D291/D284-1)*100</f>
        <v>2.4590163934426146</v>
      </c>
      <c r="G291" s="1421">
        <f>SeqQtrSales!AC207</f>
        <v>0.74919999999999964</v>
      </c>
      <c r="H291" s="1970"/>
      <c r="I291" s="1432"/>
      <c r="J291" s="405"/>
      <c r="K291" s="1418">
        <f>+K290+L291</f>
        <v>79</v>
      </c>
      <c r="L291" s="1651">
        <v>0</v>
      </c>
      <c r="M291" s="1418"/>
      <c r="N291" s="1424"/>
      <c r="O291" s="1418"/>
      <c r="P291" s="1972"/>
      <c r="Q291" s="1432">
        <f>+(K291/K284-1)*100</f>
        <v>9.7222222222222321</v>
      </c>
      <c r="R291" s="2109">
        <f>SeqQtrSales!AC394</f>
        <v>0.20000000000000007</v>
      </c>
      <c r="S291" s="1432"/>
      <c r="T291" s="1427"/>
      <c r="U291" s="1418">
        <f>U290+V291</f>
        <v>56</v>
      </c>
      <c r="V291" s="1651">
        <v>0</v>
      </c>
      <c r="W291" s="1420">
        <f>+(U291/U284-1)*100</f>
        <v>0</v>
      </c>
      <c r="X291" s="1421">
        <f>SeqQtrSales!AC568</f>
        <v>0.14679999999999996</v>
      </c>
      <c r="Y291" s="1432"/>
      <c r="Z291" s="1427"/>
      <c r="AA291" s="1418">
        <f>AA290+AB291</f>
        <v>39</v>
      </c>
      <c r="AB291" s="1973">
        <v>0</v>
      </c>
      <c r="AC291" s="1432">
        <f>+(AA291/AA284-1)*100</f>
        <v>2.6315789473684292</v>
      </c>
      <c r="AD291" s="1421">
        <f>SeqQtrSales!AC488</f>
        <v>0.14860000000000007</v>
      </c>
      <c r="AE291" s="1973"/>
      <c r="AF291" s="1432"/>
      <c r="AG291" s="1418">
        <f>AG290+AH291</f>
        <v>6</v>
      </c>
      <c r="AH291" s="1651">
        <v>0</v>
      </c>
      <c r="AI291" s="1432"/>
      <c r="AJ291" s="1421" t="str">
        <f>SeqQtrSales!AI488</f>
        <v>N/A</v>
      </c>
      <c r="AK291" s="1973"/>
      <c r="AL291" s="1418"/>
      <c r="AM291" s="1973"/>
      <c r="AN291" s="1432"/>
      <c r="AO291" s="1421"/>
      <c r="AP291" s="1970"/>
      <c r="AQ291" s="1432"/>
      <c r="AR291" s="1427"/>
      <c r="AS291" s="1971">
        <f>AA291+K291+D291+AG291+U291</f>
        <v>305</v>
      </c>
      <c r="AT291" s="1431">
        <f>AS291-AS290</f>
        <v>1</v>
      </c>
      <c r="AU291" s="1432">
        <f>+(AS291/AS284-1)*100</f>
        <v>3.7414965986394488</v>
      </c>
      <c r="AV291" s="1970"/>
      <c r="AW291" s="1970"/>
      <c r="AX291" s="1968">
        <f>AS291-D291-AL291</f>
        <v>180</v>
      </c>
      <c r="AY291" s="1969">
        <f>AX291-AX290</f>
        <v>0</v>
      </c>
      <c r="AZ291" s="1421">
        <f>SUM(AD291,R291,G291,X291)</f>
        <v>1.2445999999999999</v>
      </c>
      <c r="BA291" s="2115">
        <f>AZ291/AZ284-1</f>
        <v>3.2443850600082147E-2</v>
      </c>
      <c r="BB291" s="405"/>
      <c r="BC291" s="1658">
        <f>D291/AS291</f>
        <v>0.4098360655737705</v>
      </c>
      <c r="BD291" s="1811">
        <f>(K291+AA291+U291+AG291)/AS291</f>
        <v>0.5901639344262295</v>
      </c>
      <c r="BE291" s="1811">
        <f>AL291/AS291</f>
        <v>0</v>
      </c>
    </row>
    <row r="292" spans="1:57" ht="12" customHeight="1">
      <c r="A292" s="256" t="str">
        <f>$A$33</f>
        <v>4Q</v>
      </c>
      <c r="B292" s="256" t="str">
        <f>$B$33</f>
        <v>Jan</v>
      </c>
      <c r="C292" s="256"/>
      <c r="D292" s="1438">
        <f>D291+E292</f>
        <v>124</v>
      </c>
      <c r="E292" s="1974">
        <v>-1</v>
      </c>
      <c r="F292" s="1432">
        <f>+(D292/D285-1)*100</f>
        <v>1.6393442622950838</v>
      </c>
      <c r="G292" s="2144">
        <f>SeqQtrSales!AC208</f>
        <v>0.74369999999999969</v>
      </c>
      <c r="H292" s="1970"/>
      <c r="I292" s="1432"/>
      <c r="J292" s="405"/>
      <c r="K292" s="1438">
        <f>+K291+L292</f>
        <v>81</v>
      </c>
      <c r="L292" s="1974">
        <v>2</v>
      </c>
      <c r="M292" s="1438"/>
      <c r="N292" s="1418"/>
      <c r="O292" s="1438"/>
      <c r="P292" s="1975"/>
      <c r="Q292" s="1432">
        <f>+(K292/K285-1)*100</f>
        <v>10.95890410958904</v>
      </c>
      <c r="R292" s="2144">
        <f>SeqQtrSales!AC395</f>
        <v>0.20520000000000008</v>
      </c>
      <c r="S292" s="1432"/>
      <c r="T292" s="1427"/>
      <c r="U292" s="1438">
        <f>U291+V292</f>
        <v>56</v>
      </c>
      <c r="V292" s="1974">
        <f>V293-SUM(V289:V291)</f>
        <v>0</v>
      </c>
      <c r="W292" s="1420">
        <f>+(U292/U285-1)*100</f>
        <v>0</v>
      </c>
      <c r="X292" s="1439">
        <f>SeqQtrSales!AC569</f>
        <v>0.14679999999999996</v>
      </c>
      <c r="Y292" s="1432"/>
      <c r="Z292" s="1427"/>
      <c r="AA292" s="1438">
        <f>AA291+AB292</f>
        <v>41</v>
      </c>
      <c r="AB292" s="1976">
        <v>2</v>
      </c>
      <c r="AC292" s="1432">
        <f>+(AA292/AA285-1)*100</f>
        <v>7.8947368421052655</v>
      </c>
      <c r="AD292" s="2144">
        <f>SeqQtrSales!AC489</f>
        <v>0.15480000000000008</v>
      </c>
      <c r="AE292" s="1442"/>
      <c r="AF292" s="1432"/>
      <c r="AG292" s="1438">
        <f>AG291+AH292</f>
        <v>5</v>
      </c>
      <c r="AH292" s="1974">
        <v>-1</v>
      </c>
      <c r="AI292" s="1432"/>
      <c r="AJ292" s="2144" t="str">
        <f>SeqQtrSales!AI489</f>
        <v>N/A</v>
      </c>
      <c r="AK292" s="1442"/>
      <c r="AL292" s="1438"/>
      <c r="AM292" s="1442"/>
      <c r="AN292" s="1432"/>
      <c r="AO292" s="1439"/>
      <c r="AP292" s="1970"/>
      <c r="AQ292" s="1432"/>
      <c r="AR292" s="1427"/>
      <c r="AS292" s="1438">
        <f>AA292+K292+D292+AG292+U292</f>
        <v>307</v>
      </c>
      <c r="AT292" s="1431">
        <f>AS292-AS291</f>
        <v>2</v>
      </c>
      <c r="AU292" s="1432">
        <f>+(AS292/AS285-1)*100</f>
        <v>4.067796610169494</v>
      </c>
      <c r="AV292" s="1970"/>
      <c r="AW292" s="1970"/>
      <c r="AX292" s="1968">
        <f>AS292-D292-AL292</f>
        <v>183</v>
      </c>
      <c r="AY292" s="1969">
        <f>AX292-AX291</f>
        <v>3</v>
      </c>
      <c r="AZ292" s="1439">
        <f>SUM(AD292,R292,G292,X292)</f>
        <v>1.2504999999999999</v>
      </c>
      <c r="BA292" s="2115">
        <f>AZ292/AZ285-1</f>
        <v>3.3983793616669367E-2</v>
      </c>
      <c r="BB292" s="405"/>
      <c r="BC292" s="1658">
        <f>D292/AS292</f>
        <v>0.40390879478827363</v>
      </c>
      <c r="BD292" s="1812">
        <f>(K292+AA292+U292+AG292)/AS292</f>
        <v>0.59609120521172643</v>
      </c>
      <c r="BE292" s="1812">
        <f>AL292/AS292</f>
        <v>0</v>
      </c>
    </row>
    <row r="293" spans="1:57" ht="12" customHeight="1">
      <c r="A293" s="256"/>
      <c r="B293" s="256" t="str">
        <f>$B$34</f>
        <v>Year</v>
      </c>
      <c r="C293" s="256"/>
      <c r="D293" s="1971">
        <f>D292</f>
        <v>124</v>
      </c>
      <c r="E293" s="1977">
        <v>2</v>
      </c>
      <c r="F293" s="1432">
        <f>+(D293/D286-1)*100</f>
        <v>1.6393442622950838</v>
      </c>
      <c r="G293" s="2109">
        <f>G292</f>
        <v>0.74369999999999969</v>
      </c>
      <c r="H293" s="1970"/>
      <c r="I293" s="1432"/>
      <c r="J293" s="405"/>
      <c r="K293" s="1971">
        <f>K292</f>
        <v>81</v>
      </c>
      <c r="L293" s="1977">
        <v>8</v>
      </c>
      <c r="M293" s="1971"/>
      <c r="N293" s="1978"/>
      <c r="O293" s="1418"/>
      <c r="P293" s="1978"/>
      <c r="Q293" s="1432">
        <f>+(K293/K286-1)*100</f>
        <v>10.95890410958904</v>
      </c>
      <c r="R293" s="2109">
        <f>R292</f>
        <v>0.20520000000000008</v>
      </c>
      <c r="S293" s="1432"/>
      <c r="T293" s="1427"/>
      <c r="U293" s="1971">
        <f>U292</f>
        <v>56</v>
      </c>
      <c r="V293" s="1978">
        <v>0</v>
      </c>
      <c r="W293" s="1420">
        <f>+(U293/U286-1)*100</f>
        <v>0</v>
      </c>
      <c r="X293" s="1421">
        <f>X292</f>
        <v>0.14679999999999996</v>
      </c>
      <c r="Y293" s="1432"/>
      <c r="Z293" s="1427"/>
      <c r="AA293" s="1971">
        <f>AA292</f>
        <v>41</v>
      </c>
      <c r="AB293" s="1979">
        <v>2</v>
      </c>
      <c r="AC293" s="1432">
        <f>+(AA293/AA286-1)*100</f>
        <v>7.8947368421052655</v>
      </c>
      <c r="AD293" s="2109">
        <f>+AD292</f>
        <v>0.15480000000000008</v>
      </c>
      <c r="AE293" s="1979"/>
      <c r="AF293" s="1432"/>
      <c r="AG293" s="1971">
        <f>AG292</f>
        <v>5</v>
      </c>
      <c r="AH293" s="1978">
        <v>0</v>
      </c>
      <c r="AI293" s="1432"/>
      <c r="AJ293" s="2109" t="str">
        <f>+AJ292</f>
        <v>N/A</v>
      </c>
      <c r="AK293" s="1979"/>
      <c r="AL293" s="1971"/>
      <c r="AM293" s="1979"/>
      <c r="AN293" s="1432"/>
      <c r="AO293" s="1421"/>
      <c r="AP293" s="1970"/>
      <c r="AQ293" s="1432"/>
      <c r="AR293" s="1427"/>
      <c r="AS293" s="1971">
        <f>AA293+K293+D293+AG293+U293</f>
        <v>307</v>
      </c>
      <c r="AT293" s="1451">
        <f>AS293-AS286</f>
        <v>12</v>
      </c>
      <c r="AU293" s="1432">
        <f>+(AS293/AS286-1)*100</f>
        <v>4.067796610169494</v>
      </c>
      <c r="AV293" s="1970">
        <v>16</v>
      </c>
      <c r="AW293" s="1970">
        <v>4</v>
      </c>
      <c r="AX293" s="1968">
        <f>AS293-D293-AL293</f>
        <v>183</v>
      </c>
      <c r="AY293" s="1969">
        <f>AX293-AX286</f>
        <v>10</v>
      </c>
      <c r="AZ293" s="2469">
        <v>1.2493000000000001</v>
      </c>
      <c r="BA293" s="2115">
        <f>AZ293/AZ286-1</f>
        <v>3.2991566065817768E-2</v>
      </c>
      <c r="BB293" s="405"/>
      <c r="BC293" s="1980">
        <f>D293/AS293</f>
        <v>0.40390879478827363</v>
      </c>
      <c r="BD293" s="1811">
        <f>(K293+AA293+U293+AG293)/AS293</f>
        <v>0.59609120521172643</v>
      </c>
      <c r="BE293" s="1980">
        <f>AL293/AS293</f>
        <v>0</v>
      </c>
    </row>
    <row r="294" spans="1:57" ht="12" customHeight="1">
      <c r="BA294" s="2114"/>
      <c r="BD294" s="621"/>
    </row>
    <row r="295" spans="1:57" ht="12" customHeight="1">
      <c r="A295" s="2507">
        <f>+A288+1</f>
        <v>2016</v>
      </c>
      <c r="B295" s="2507"/>
      <c r="C295" s="256"/>
      <c r="D295" s="1462"/>
      <c r="E295" s="1965"/>
      <c r="F295" s="1966"/>
      <c r="G295" s="1457"/>
      <c r="H295" s="580"/>
      <c r="I295" s="1432"/>
      <c r="J295" s="405"/>
      <c r="K295" s="1460"/>
      <c r="L295" s="1461"/>
      <c r="M295" s="1460"/>
      <c r="N295" s="1461"/>
      <c r="O295" s="1460"/>
      <c r="P295" s="1967"/>
      <c r="Q295" s="580"/>
      <c r="R295" s="580"/>
      <c r="S295" s="580"/>
      <c r="T295" s="580"/>
      <c r="U295" s="1460"/>
      <c r="V295" s="1461"/>
      <c r="W295" s="580"/>
      <c r="X295" s="580"/>
      <c r="Y295" s="580"/>
      <c r="Z295" s="580"/>
      <c r="AA295" s="1460"/>
      <c r="AB295" s="581"/>
      <c r="AC295" s="580"/>
      <c r="AD295" s="1460"/>
      <c r="AE295" s="581"/>
      <c r="AF295" s="580"/>
      <c r="AG295" s="1460"/>
      <c r="AH295" s="581"/>
      <c r="AI295" s="580"/>
      <c r="AJ295" s="1460"/>
      <c r="AK295" s="581"/>
      <c r="AL295" s="1460"/>
      <c r="AM295" s="581"/>
      <c r="AN295" s="581"/>
      <c r="AO295" s="1460"/>
      <c r="AP295" s="580"/>
      <c r="AQ295" s="1966"/>
      <c r="AR295" s="580"/>
      <c r="AS295" s="1457"/>
      <c r="AT295" s="405"/>
      <c r="AU295" s="405"/>
      <c r="AV295" s="405"/>
      <c r="AW295" s="405"/>
      <c r="AX295" s="1968"/>
      <c r="AY295" s="1969"/>
      <c r="AZ295" s="405"/>
      <c r="BA295" s="1965"/>
      <c r="BB295" s="405"/>
      <c r="BC295" s="405"/>
      <c r="BD295" s="405"/>
      <c r="BE295" s="405"/>
    </row>
    <row r="296" spans="1:57" ht="12" customHeight="1">
      <c r="A296" s="256" t="str">
        <f>$A$30</f>
        <v>1Q</v>
      </c>
      <c r="B296" s="256" t="str">
        <f>$B$30</f>
        <v>Apr</v>
      </c>
      <c r="C296" s="256"/>
      <c r="D296" s="1418">
        <f>+D293+E296</f>
        <v>124</v>
      </c>
      <c r="E296" s="1651">
        <v>0</v>
      </c>
      <c r="F296" s="1432">
        <f>+(D296/D289-1)*100</f>
        <v>0.81300813008129413</v>
      </c>
      <c r="G296" s="1421">
        <f>SeqQtrSales!AC212</f>
        <v>0.74369999999999969</v>
      </c>
      <c r="H296" s="1970"/>
      <c r="I296" s="1432"/>
      <c r="J296" s="405"/>
      <c r="K296" s="1418">
        <f>+K293+L296</f>
        <v>81</v>
      </c>
      <c r="L296" s="1651">
        <v>0</v>
      </c>
      <c r="M296" s="1418"/>
      <c r="N296" s="1424"/>
      <c r="O296" s="1418"/>
      <c r="P296" s="1972"/>
      <c r="Q296" s="1432">
        <f>+(K296/K289-1)*100</f>
        <v>8.0000000000000071</v>
      </c>
      <c r="R296" s="2109">
        <f>SeqQtrSales!AC399</f>
        <v>0.20520000000000008</v>
      </c>
      <c r="S296" s="1432"/>
      <c r="T296" s="1427"/>
      <c r="U296" s="1418">
        <f>+U293+V296</f>
        <v>55</v>
      </c>
      <c r="V296" s="1651">
        <v>-1</v>
      </c>
      <c r="W296" s="1420">
        <f>+(U296/U289-1)*100</f>
        <v>-1.7857142857142905</v>
      </c>
      <c r="X296" s="1421">
        <f>+SeqQtrSales!AC573</f>
        <v>0.14548928571428571</v>
      </c>
      <c r="Y296" s="1432"/>
      <c r="Z296" s="1427"/>
      <c r="AA296" s="1418">
        <f>+AA293+AB296</f>
        <v>43</v>
      </c>
      <c r="AB296" s="1973">
        <v>2</v>
      </c>
      <c r="AC296" s="1432">
        <f>+(AA296/AA289-1)*100</f>
        <v>13.157894736842103</v>
      </c>
      <c r="AD296" s="1421">
        <f>SeqQtrSales!AC493</f>
        <v>0.16440000000000007</v>
      </c>
      <c r="AE296" s="1973"/>
      <c r="AF296" s="1432"/>
      <c r="AG296" s="1418">
        <f>+AG293+AH296</f>
        <v>5</v>
      </c>
      <c r="AH296" s="1651">
        <v>0</v>
      </c>
      <c r="AI296" s="1432"/>
      <c r="AJ296" s="1421" t="str">
        <f>SeqQtrSales!AI493</f>
        <v>N/A</v>
      </c>
      <c r="AK296" s="1973"/>
      <c r="AL296" s="1418"/>
      <c r="AM296" s="1973"/>
      <c r="AN296" s="1432"/>
      <c r="AO296" s="1421"/>
      <c r="AP296" s="1970"/>
      <c r="AQ296" s="1432"/>
      <c r="AR296" s="1427"/>
      <c r="AS296" s="1971">
        <f>AA296+K296+D296+AG296+U296</f>
        <v>308</v>
      </c>
      <c r="AT296" s="1431">
        <f>AS296-AS293</f>
        <v>1</v>
      </c>
      <c r="AU296" s="1432">
        <f>+(AS296/AS289-1)*100</f>
        <v>3.3557046979865834</v>
      </c>
      <c r="AV296" s="1970"/>
      <c r="AW296" s="1970"/>
      <c r="AX296" s="1968">
        <f>AS296-D296-AL296</f>
        <v>184</v>
      </c>
      <c r="AY296" s="1969">
        <f>AX296-AX293</f>
        <v>1</v>
      </c>
      <c r="AZ296" s="1421">
        <f>SUM(AD296,R296,G296,X296)</f>
        <v>1.2587892857142855</v>
      </c>
      <c r="BA296" s="2115">
        <f>AZ296/AZ289-1</f>
        <v>3.1709930099406147E-2</v>
      </c>
      <c r="BB296" s="405"/>
      <c r="BC296" s="1658">
        <f>D296/AS296</f>
        <v>0.40259740259740262</v>
      </c>
      <c r="BD296" s="1811">
        <f>(K296+AA296+U296+AG296)/AS296</f>
        <v>0.59740259740259738</v>
      </c>
      <c r="BE296" s="1811">
        <f>AL296/AS296</f>
        <v>0</v>
      </c>
    </row>
    <row r="297" spans="1:57" ht="12.75" customHeight="1">
      <c r="A297" s="256" t="str">
        <f>$A$31</f>
        <v>2Q</v>
      </c>
      <c r="B297" s="256" t="str">
        <f>$B$31</f>
        <v>Jul</v>
      </c>
      <c r="C297" s="256"/>
      <c r="D297" s="1418">
        <f>D296+E297</f>
        <v>125</v>
      </c>
      <c r="E297" s="1651">
        <v>1</v>
      </c>
      <c r="F297" s="1432">
        <f>+(D297/D290-1)*100</f>
        <v>0.80645161290322509</v>
      </c>
      <c r="G297" s="1421">
        <f>SeqQtrSales!AC213</f>
        <v>0.74989999999999968</v>
      </c>
      <c r="H297" s="1970"/>
      <c r="I297" s="1432"/>
      <c r="J297" s="405"/>
      <c r="K297" s="1418">
        <f>+K296+L297</f>
        <v>83</v>
      </c>
      <c r="L297" s="1651">
        <v>2</v>
      </c>
      <c r="M297" s="1418"/>
      <c r="N297" s="1424"/>
      <c r="O297" s="1418"/>
      <c r="P297" s="1972"/>
      <c r="Q297" s="1432">
        <f>+(K297/K290-1)*100</f>
        <v>5.0632911392405111</v>
      </c>
      <c r="R297" s="2109">
        <f>SeqQtrSales!AC400</f>
        <v>0.21440000000000009</v>
      </c>
      <c r="S297" s="1432"/>
      <c r="T297" s="1427"/>
      <c r="U297" s="1418">
        <f>U296+V297</f>
        <v>55</v>
      </c>
      <c r="V297" s="1651">
        <v>0</v>
      </c>
      <c r="W297" s="1420">
        <f>+(U297/U290-1)*100</f>
        <v>-1.7857142857142905</v>
      </c>
      <c r="X297" s="1421">
        <f>SeqQtrSales!AC574</f>
        <v>0.14417857142857143</v>
      </c>
      <c r="Y297" s="1432"/>
      <c r="Z297" s="1427"/>
      <c r="AA297" s="1418">
        <f>AA296+AB297</f>
        <v>43</v>
      </c>
      <c r="AB297" s="1973">
        <v>0</v>
      </c>
      <c r="AC297" s="1432">
        <f>+(AA297/AA290-1)*100</f>
        <v>10.256410256410264</v>
      </c>
      <c r="AD297" s="1421">
        <f>SeqQtrSales!AC494</f>
        <v>0.16440000000000007</v>
      </c>
      <c r="AE297" s="1973"/>
      <c r="AF297" s="1432"/>
      <c r="AG297" s="1418">
        <f>AG296+AH297</f>
        <v>5</v>
      </c>
      <c r="AH297" s="1651">
        <v>0</v>
      </c>
      <c r="AI297" s="1432"/>
      <c r="AJ297" s="1421" t="str">
        <f>SeqQtrSales!AI494</f>
        <v>N/A</v>
      </c>
      <c r="AK297" s="1973"/>
      <c r="AL297" s="1418"/>
      <c r="AM297" s="1973"/>
      <c r="AN297" s="1432"/>
      <c r="AO297" s="1421"/>
      <c r="AP297" s="1970"/>
      <c r="AQ297" s="1432"/>
      <c r="AR297" s="1427"/>
      <c r="AS297" s="1971">
        <f>AA297+K297+D297+AG297+U297</f>
        <v>311</v>
      </c>
      <c r="AT297" s="1431">
        <f>AS297-AS296</f>
        <v>3</v>
      </c>
      <c r="AU297" s="1432">
        <f>+(AS297/AS290-1)*100</f>
        <v>2.3026315789473673</v>
      </c>
      <c r="AV297" s="1970"/>
      <c r="AW297" s="1970"/>
      <c r="AX297" s="1968">
        <f>AS297-D297-AL297</f>
        <v>186</v>
      </c>
      <c r="AY297" s="1969">
        <f>AX297-AX296</f>
        <v>2</v>
      </c>
      <c r="AZ297" s="1421">
        <f>SUM(AD297,R297,G297,X297)</f>
        <v>1.2728785714285713</v>
      </c>
      <c r="BA297" s="2115">
        <f>AZ297/AZ290-1</f>
        <v>2.7260569307216098E-2</v>
      </c>
      <c r="BB297" s="405"/>
      <c r="BC297" s="1658">
        <f>D297/AS297</f>
        <v>0.40192926045016075</v>
      </c>
      <c r="BD297" s="1811">
        <f>(K297+AA297+U297+AG297)/AS297</f>
        <v>0.59807073954983925</v>
      </c>
      <c r="BE297" s="1811">
        <f>AL297/AS297</f>
        <v>0</v>
      </c>
    </row>
    <row r="298" spans="1:57" ht="12.75" customHeight="1">
      <c r="A298" s="256" t="str">
        <f>$A$32</f>
        <v>3Q</v>
      </c>
      <c r="B298" s="256" t="str">
        <f>$B$32</f>
        <v>Oct</v>
      </c>
      <c r="C298" s="256"/>
      <c r="D298" s="1418">
        <f>D297+E298</f>
        <v>125</v>
      </c>
      <c r="E298" s="1651">
        <v>0</v>
      </c>
      <c r="F298" s="1432">
        <f>+(D298/D291-1)*100</f>
        <v>0</v>
      </c>
      <c r="G298" s="1421">
        <f>SeqQtrSales!AC214</f>
        <v>0.74989999999999968</v>
      </c>
      <c r="H298" s="1970"/>
      <c r="I298" s="1432"/>
      <c r="J298" s="405"/>
      <c r="K298" s="1418">
        <f>+K297+L298</f>
        <v>85</v>
      </c>
      <c r="L298" s="1651">
        <v>2</v>
      </c>
      <c r="M298" s="1418"/>
      <c r="N298" s="1424"/>
      <c r="O298" s="1418"/>
      <c r="P298" s="1972"/>
      <c r="Q298" s="1432">
        <f>+(K298/K291-1)*100</f>
        <v>7.5949367088607556</v>
      </c>
      <c r="R298" s="2109">
        <f>SeqQtrSales!AC401</f>
        <v>0.22360000000000008</v>
      </c>
      <c r="S298" s="1432"/>
      <c r="T298" s="1427"/>
      <c r="U298" s="1418">
        <f>U297+V298</f>
        <v>55</v>
      </c>
      <c r="V298" s="1651">
        <v>0</v>
      </c>
      <c r="W298" s="1420">
        <f>+(U298/U291-1)*100</f>
        <v>-1.7857142857142905</v>
      </c>
      <c r="X298" s="1421">
        <f>SeqQtrSales!AC575</f>
        <v>0.14417857142857143</v>
      </c>
      <c r="Y298" s="1432"/>
      <c r="Z298" s="1427"/>
      <c r="AA298" s="1418">
        <f>AA297+AB298</f>
        <v>43</v>
      </c>
      <c r="AB298" s="1973">
        <v>0</v>
      </c>
      <c r="AC298" s="1432">
        <f>+(AA298/AA291-1)*100</f>
        <v>10.256410256410264</v>
      </c>
      <c r="AD298" s="1421">
        <f>SeqQtrSales!AC495</f>
        <v>0.16440000000000007</v>
      </c>
      <c r="AE298" s="1973"/>
      <c r="AF298" s="1432"/>
      <c r="AG298" s="1418">
        <f>AG297+AH298</f>
        <v>5</v>
      </c>
      <c r="AH298" s="1651">
        <v>0</v>
      </c>
      <c r="AI298" s="1432"/>
      <c r="AJ298" s="1421" t="str">
        <f>SeqQtrSales!AI495</f>
        <v>N/A</v>
      </c>
      <c r="AK298" s="1973"/>
      <c r="AL298" s="1418"/>
      <c r="AM298" s="1973"/>
      <c r="AN298" s="1432"/>
      <c r="AO298" s="1421"/>
      <c r="AP298" s="1970"/>
      <c r="AQ298" s="1432"/>
      <c r="AR298" s="1427"/>
      <c r="AS298" s="1971">
        <f>AA298+K298+D298+AG298+U298</f>
        <v>313</v>
      </c>
      <c r="AT298" s="1431">
        <f>AS298-AS297</f>
        <v>2</v>
      </c>
      <c r="AU298" s="1432">
        <f>+(AS298/AS291-1)*100</f>
        <v>2.6229508196721207</v>
      </c>
      <c r="AV298" s="1970"/>
      <c r="AW298" s="1970"/>
      <c r="AX298" s="1968">
        <f>AS298-D298-AL298</f>
        <v>188</v>
      </c>
      <c r="AY298" s="1969">
        <f>AX298-AX297</f>
        <v>2</v>
      </c>
      <c r="AZ298" s="1421">
        <f>SUM(AD298,R298,G298,X298)</f>
        <v>1.2820785714285712</v>
      </c>
      <c r="BA298" s="2115">
        <f>AZ298/AZ291-1</f>
        <v>3.0112945065540186E-2</v>
      </c>
      <c r="BB298" s="405"/>
      <c r="BC298" s="1658">
        <f>D298/AS298</f>
        <v>0.39936102236421728</v>
      </c>
      <c r="BD298" s="1811">
        <f>(K298+AA298+U298+AG298)/AS298</f>
        <v>0.60063897763578278</v>
      </c>
      <c r="BE298" s="1811">
        <f>AL298/AS298</f>
        <v>0</v>
      </c>
    </row>
    <row r="299" spans="1:57" ht="12" customHeight="1">
      <c r="A299" s="256" t="str">
        <f>$A$33</f>
        <v>4Q</v>
      </c>
      <c r="B299" s="256" t="str">
        <f>$B$33</f>
        <v>Jan</v>
      </c>
      <c r="C299" s="256"/>
      <c r="D299" s="1438">
        <f>D298+E299</f>
        <v>125</v>
      </c>
      <c r="E299" s="1974">
        <f>E300-SUM(E296:E298)</f>
        <v>0</v>
      </c>
      <c r="F299" s="1432">
        <f>+(D299/D292-1)*100</f>
        <v>0.80645161290322509</v>
      </c>
      <c r="G299" s="2144">
        <f>SeqQtrSales!AC215</f>
        <v>0.74989999999999968</v>
      </c>
      <c r="H299" s="1970"/>
      <c r="I299" s="1432"/>
      <c r="J299" s="405"/>
      <c r="K299" s="1438">
        <f>+K298+L299</f>
        <v>85</v>
      </c>
      <c r="L299" s="1974">
        <f>L300-SUM(L296:L298)</f>
        <v>0</v>
      </c>
      <c r="M299" s="1438"/>
      <c r="N299" s="1418"/>
      <c r="O299" s="1438"/>
      <c r="P299" s="1975"/>
      <c r="Q299" s="1432">
        <f>+(K299/K292-1)*100</f>
        <v>4.9382716049382713</v>
      </c>
      <c r="R299" s="2144">
        <f>SeqQtrSales!AC402</f>
        <v>0.22360000000000008</v>
      </c>
      <c r="S299" s="1432"/>
      <c r="T299" s="1427"/>
      <c r="U299" s="1438">
        <f>U298+V299</f>
        <v>55</v>
      </c>
      <c r="V299" s="1974">
        <f>V300-SUM(V296:V298)</f>
        <v>0</v>
      </c>
      <c r="W299" s="1420">
        <f>+(U299/U292-1)*100</f>
        <v>-1.7857142857142905</v>
      </c>
      <c r="X299" s="1439">
        <f>SeqQtrSales!AC576</f>
        <v>0.14417857142857143</v>
      </c>
      <c r="Y299" s="1432"/>
      <c r="Z299" s="1427"/>
      <c r="AA299" s="1438">
        <f>AA298+AB299</f>
        <v>43</v>
      </c>
      <c r="AB299" s="1976">
        <f>AB300-SUM(AB296:AB298)</f>
        <v>0</v>
      </c>
      <c r="AC299" s="1432">
        <f>+(AA299/AA292-1)*100</f>
        <v>4.8780487804878092</v>
      </c>
      <c r="AD299" s="2144">
        <f>SeqQtrSales!AC496</f>
        <v>0.16440000000000007</v>
      </c>
      <c r="AE299" s="1442"/>
      <c r="AF299" s="1432"/>
      <c r="AG299" s="1438">
        <f>AG298+AH299</f>
        <v>5</v>
      </c>
      <c r="AH299" s="1974">
        <f>AH300-SUM(AH296:AH298)</f>
        <v>0</v>
      </c>
      <c r="AI299" s="1432"/>
      <c r="AJ299" s="2144" t="str">
        <f>SeqQtrSales!AI496</f>
        <v>N/A</v>
      </c>
      <c r="AK299" s="1442"/>
      <c r="AL299" s="1438"/>
      <c r="AM299" s="1442"/>
      <c r="AN299" s="1432"/>
      <c r="AO299" s="1439"/>
      <c r="AP299" s="1970"/>
      <c r="AQ299" s="1432"/>
      <c r="AR299" s="1427"/>
      <c r="AS299" s="1438">
        <f>AA299+K299+D299+AG299+U299</f>
        <v>313</v>
      </c>
      <c r="AT299" s="1431">
        <f>AS299-AS298</f>
        <v>0</v>
      </c>
      <c r="AU299" s="1432">
        <f>+(AS299/AS292-1)*100</f>
        <v>1.9543973941368087</v>
      </c>
      <c r="AV299" s="1970"/>
      <c r="AW299" s="1970"/>
      <c r="AX299" s="1968">
        <f>AS299-D299-AL299</f>
        <v>188</v>
      </c>
      <c r="AY299" s="1969">
        <f>AX299-AX298</f>
        <v>0</v>
      </c>
      <c r="AZ299" s="1439">
        <f>SUM(AD299,R299,G299,X299)</f>
        <v>1.2820785714285712</v>
      </c>
      <c r="BA299" s="2115">
        <f>AZ299/AZ292-1</f>
        <v>2.5252756040440749E-2</v>
      </c>
      <c r="BB299" s="405"/>
      <c r="BC299" s="1658">
        <f>D299/AS299</f>
        <v>0.39936102236421728</v>
      </c>
      <c r="BD299" s="1812">
        <f>(K299+AA299+U299+AG299)/AS299</f>
        <v>0.60063897763578278</v>
      </c>
      <c r="BE299" s="1812">
        <f>AL299/AS299</f>
        <v>0</v>
      </c>
    </row>
    <row r="300" spans="1:57" ht="12" customHeight="1">
      <c r="A300" s="256"/>
      <c r="B300" s="256" t="str">
        <f>$B$34</f>
        <v>Year</v>
      </c>
      <c r="C300" s="256"/>
      <c r="D300" s="1971">
        <f>D299</f>
        <v>125</v>
      </c>
      <c r="E300" s="1977">
        <v>1</v>
      </c>
      <c r="F300" s="1432">
        <f>+(D300/D293-1)*100</f>
        <v>0.80645161290322509</v>
      </c>
      <c r="G300" s="2109">
        <f>G299</f>
        <v>0.74989999999999968</v>
      </c>
      <c r="H300" s="1970"/>
      <c r="I300" s="1432"/>
      <c r="J300" s="405"/>
      <c r="K300" s="1971">
        <f>K299</f>
        <v>85</v>
      </c>
      <c r="L300" s="1977">
        <v>4</v>
      </c>
      <c r="M300" s="1971"/>
      <c r="N300" s="1978"/>
      <c r="O300" s="1418"/>
      <c r="P300" s="1978"/>
      <c r="Q300" s="1432">
        <f>+(K300/K293-1)*100</f>
        <v>4.9382716049382713</v>
      </c>
      <c r="R300" s="2109">
        <f>R299</f>
        <v>0.22360000000000008</v>
      </c>
      <c r="S300" s="1432"/>
      <c r="T300" s="1427"/>
      <c r="U300" s="1971">
        <f>U299</f>
        <v>55</v>
      </c>
      <c r="V300" s="1978">
        <v>-1</v>
      </c>
      <c r="W300" s="1420">
        <f>+(U300/U293-1)*100</f>
        <v>-1.7857142857142905</v>
      </c>
      <c r="X300" s="1421">
        <f>X299</f>
        <v>0.14417857142857143</v>
      </c>
      <c r="Y300" s="1432"/>
      <c r="Z300" s="1427"/>
      <c r="AA300" s="1971">
        <f>AA299</f>
        <v>43</v>
      </c>
      <c r="AB300" s="1979">
        <v>2</v>
      </c>
      <c r="AC300" s="1432">
        <f>+(AA300/AA293-1)*100</f>
        <v>4.8780487804878092</v>
      </c>
      <c r="AD300" s="2109">
        <f>+AD299</f>
        <v>0.16440000000000007</v>
      </c>
      <c r="AE300" s="1979"/>
      <c r="AF300" s="1432"/>
      <c r="AG300" s="1971">
        <f>AG299</f>
        <v>5</v>
      </c>
      <c r="AH300" s="1978">
        <v>0</v>
      </c>
      <c r="AI300" s="1432"/>
      <c r="AJ300" s="2109" t="str">
        <f>+AJ299</f>
        <v>N/A</v>
      </c>
      <c r="AK300" s="1979"/>
      <c r="AL300" s="1971"/>
      <c r="AM300" s="1979"/>
      <c r="AN300" s="1432"/>
      <c r="AO300" s="1421"/>
      <c r="AP300" s="1970"/>
      <c r="AQ300" s="1432"/>
      <c r="AR300" s="1427"/>
      <c r="AS300" s="1971">
        <f>AA300+K300+D300+AG300+U300</f>
        <v>313</v>
      </c>
      <c r="AT300" s="1451">
        <f>AS300-AS293</f>
        <v>6</v>
      </c>
      <c r="AU300" s="1432">
        <f>+(AS300/AS293-1)*100</f>
        <v>1.9543973941368087</v>
      </c>
      <c r="AV300" s="1970"/>
      <c r="AW300" s="1970"/>
      <c r="AX300" s="1968">
        <f>AS300-D300-AL300</f>
        <v>188</v>
      </c>
      <c r="AY300" s="1969">
        <f>AX300-AX293</f>
        <v>5</v>
      </c>
      <c r="AZ300" s="2469">
        <v>1.2813000000000001</v>
      </c>
      <c r="BA300" s="2115">
        <f>AZ300/AZ293-1</f>
        <v>2.5614344032658387E-2</v>
      </c>
      <c r="BB300" s="405"/>
      <c r="BC300" s="1980">
        <f>D300/AS300</f>
        <v>0.39936102236421728</v>
      </c>
      <c r="BD300" s="1811">
        <f>(K300+AA300+U300+AG300)/AS300</f>
        <v>0.60063897763578278</v>
      </c>
      <c r="BE300" s="1980">
        <f>AL300/AS300</f>
        <v>0</v>
      </c>
    </row>
    <row r="301" spans="1:57" ht="12" customHeight="1">
      <c r="BA301" s="2114"/>
      <c r="BD301" s="621"/>
    </row>
    <row r="302" spans="1:57" ht="12" customHeight="1">
      <c r="A302" s="2507">
        <f>+A295+1</f>
        <v>2017</v>
      </c>
      <c r="B302" s="2507"/>
      <c r="C302" s="777"/>
      <c r="D302" s="1462"/>
      <c r="E302" s="1965"/>
      <c r="F302" s="1966"/>
      <c r="G302" s="1457"/>
      <c r="H302" s="580"/>
      <c r="I302" s="1432"/>
      <c r="J302" s="405"/>
      <c r="K302" s="1460"/>
      <c r="L302" s="1461"/>
      <c r="M302" s="1460"/>
      <c r="N302" s="1461"/>
      <c r="O302" s="1460"/>
      <c r="P302" s="1967"/>
      <c r="Q302" s="580"/>
      <c r="R302" s="580"/>
      <c r="S302" s="580"/>
      <c r="T302" s="580"/>
      <c r="U302" s="1460"/>
      <c r="V302" s="1461"/>
      <c r="W302" s="580"/>
      <c r="X302" s="580"/>
      <c r="Y302" s="580"/>
      <c r="Z302" s="580"/>
      <c r="AA302" s="1460"/>
      <c r="AB302" s="581"/>
      <c r="AC302" s="580"/>
      <c r="AD302" s="1460"/>
      <c r="AE302" s="581"/>
      <c r="AF302" s="580"/>
      <c r="AG302" s="1460"/>
      <c r="AH302" s="581"/>
      <c r="AI302" s="580"/>
      <c r="AJ302" s="1460"/>
      <c r="AK302" s="581"/>
      <c r="AL302" s="1460"/>
      <c r="AM302" s="581"/>
      <c r="AN302" s="581"/>
      <c r="AO302" s="1460"/>
      <c r="AP302" s="580"/>
      <c r="AQ302" s="1966"/>
      <c r="AR302" s="580"/>
      <c r="AS302" s="1457"/>
      <c r="AT302" s="405"/>
      <c r="AU302" s="405"/>
      <c r="AV302" s="405"/>
      <c r="AW302" s="405"/>
      <c r="AX302" s="1968"/>
      <c r="AY302" s="1969"/>
      <c r="AZ302" s="405"/>
      <c r="BA302" s="1965"/>
      <c r="BB302" s="405"/>
      <c r="BC302" s="405"/>
      <c r="BD302" s="405"/>
      <c r="BE302" s="405"/>
    </row>
    <row r="303" spans="1:57" ht="12" customHeight="1">
      <c r="A303" s="256" t="str">
        <f>$A$30</f>
        <v>1Q</v>
      </c>
      <c r="B303" s="256" t="str">
        <f>$B$30</f>
        <v>Apr</v>
      </c>
      <c r="C303" s="256"/>
      <c r="D303" s="1418">
        <f>+D300+E303</f>
        <v>124</v>
      </c>
      <c r="E303" s="1651">
        <v>-1</v>
      </c>
      <c r="F303" s="1432">
        <f>+(D303/D296-1)*100</f>
        <v>0</v>
      </c>
      <c r="G303" s="1421">
        <f>SeqQtrSales!AC219</f>
        <v>0.74339999999999973</v>
      </c>
      <c r="H303" s="1970"/>
      <c r="I303" s="1432"/>
      <c r="J303" s="405"/>
      <c r="K303" s="1418">
        <f>+K300+L303</f>
        <v>84</v>
      </c>
      <c r="L303" s="1651">
        <v>-1</v>
      </c>
      <c r="M303" s="1418"/>
      <c r="N303" s="1424"/>
      <c r="O303" s="1418"/>
      <c r="P303" s="1972"/>
      <c r="Q303" s="1432">
        <f>+(K303/K296-1)*100</f>
        <v>3.7037037037036979</v>
      </c>
      <c r="R303" s="2109">
        <f>SeqQtrSales!AC406</f>
        <v>0.21860000000000007</v>
      </c>
      <c r="S303" s="1432"/>
      <c r="T303" s="1427"/>
      <c r="U303" s="1418">
        <f>+U300+V303</f>
        <v>54</v>
      </c>
      <c r="V303" s="1651">
        <v>-1</v>
      </c>
      <c r="W303" s="1420">
        <f>+(U303/U296-1)*100</f>
        <v>-1.8181818181818188</v>
      </c>
      <c r="X303" s="1421">
        <f>+SeqQtrSales!AC580</f>
        <v>0.14169999999999999</v>
      </c>
      <c r="Y303" s="1432"/>
      <c r="Z303" s="1427"/>
      <c r="AA303" s="1418">
        <f>+AA300+AB303</f>
        <v>43</v>
      </c>
      <c r="AB303" s="1973">
        <v>0</v>
      </c>
      <c r="AC303" s="1432">
        <f>+(AA303/AA296-1)*100</f>
        <v>0</v>
      </c>
      <c r="AD303" s="1421">
        <f>SeqQtrSales!AC500</f>
        <v>0.16440000000000007</v>
      </c>
      <c r="AE303" s="1973"/>
      <c r="AF303" s="1432"/>
      <c r="AG303" s="1418">
        <f>+AG300+AH303</f>
        <v>5</v>
      </c>
      <c r="AH303" s="1651">
        <v>0</v>
      </c>
      <c r="AI303" s="1432"/>
      <c r="AJ303" s="1421" t="str">
        <f>SeqQtrSales!AI500</f>
        <v>N/A</v>
      </c>
      <c r="AK303" s="1973"/>
      <c r="AL303" s="1418"/>
      <c r="AM303" s="1973"/>
      <c r="AN303" s="1432"/>
      <c r="AO303" s="1421"/>
      <c r="AP303" s="1970"/>
      <c r="AQ303" s="1432"/>
      <c r="AR303" s="1427"/>
      <c r="AS303" s="1971">
        <f>AA303+K303+D303+AG303+U303</f>
        <v>310</v>
      </c>
      <c r="AT303" s="1431">
        <f>AS303-AS300</f>
        <v>-3</v>
      </c>
      <c r="AU303" s="1432">
        <f>+(AS303/AS296-1)*100</f>
        <v>0.64935064935065512</v>
      </c>
      <c r="AV303" s="1970"/>
      <c r="AW303" s="1970"/>
      <c r="AX303" s="1968">
        <f>AS303-D303-AL303</f>
        <v>186</v>
      </c>
      <c r="AY303" s="1969">
        <f>AX303-AX300</f>
        <v>-2</v>
      </c>
      <c r="AZ303" s="1421">
        <f>SUM(AD303,R303,G303,X303)</f>
        <v>1.2680999999999998</v>
      </c>
      <c r="BA303" s="2115">
        <f>AZ303/AZ296-1</f>
        <v>7.3965630239940516E-3</v>
      </c>
      <c r="BB303" s="405"/>
      <c r="BC303" s="1658">
        <f>D303/AS303</f>
        <v>0.4</v>
      </c>
      <c r="BD303" s="1811">
        <f>(K303+AA303+U303+AG303)/AS303</f>
        <v>0.6</v>
      </c>
      <c r="BE303" s="1811">
        <f>AL303/AS303</f>
        <v>0</v>
      </c>
    </row>
    <row r="304" spans="1:57" ht="12" customHeight="1">
      <c r="A304" s="256" t="str">
        <f>$A$31</f>
        <v>2Q</v>
      </c>
      <c r="B304" s="256" t="str">
        <f>$B$31</f>
        <v>Jul</v>
      </c>
      <c r="C304" s="256"/>
      <c r="D304" s="1418">
        <f>D303+E304</f>
        <v>124</v>
      </c>
      <c r="E304" s="1651">
        <v>0</v>
      </c>
      <c r="F304" s="1432">
        <f>+(D304/D297-1)*100</f>
        <v>-0.80000000000000071</v>
      </c>
      <c r="G304" s="1421">
        <f>SeqQtrSales!AC220</f>
        <v>0.74339999999999973</v>
      </c>
      <c r="H304" s="1970"/>
      <c r="I304" s="1432"/>
      <c r="J304" s="405"/>
      <c r="K304" s="1418">
        <f>+K303+L304</f>
        <v>85</v>
      </c>
      <c r="L304" s="1651">
        <v>1</v>
      </c>
      <c r="M304" s="1418"/>
      <c r="N304" s="1424"/>
      <c r="O304" s="1418"/>
      <c r="P304" s="1972"/>
      <c r="Q304" s="1432">
        <f>+(K304/K297-1)*100</f>
        <v>2.4096385542168752</v>
      </c>
      <c r="R304" s="2109">
        <f>SeqQtrSales!AC407</f>
        <v>0.22360000000000008</v>
      </c>
      <c r="S304" s="1432"/>
      <c r="T304" s="1427"/>
      <c r="U304" s="1418">
        <f>U303+V304</f>
        <v>54</v>
      </c>
      <c r="V304" s="1651">
        <v>0</v>
      </c>
      <c r="W304" s="1420">
        <f>+(U304/U297-1)*100</f>
        <v>-1.8181818181818188</v>
      </c>
      <c r="X304" s="1421">
        <f>+SeqQtrSales!AC581</f>
        <v>0.1404</v>
      </c>
      <c r="Y304" s="1432"/>
      <c r="Z304" s="1427"/>
      <c r="AA304" s="1418">
        <f>AA303+AB304</f>
        <v>44</v>
      </c>
      <c r="AB304" s="1973">
        <v>1</v>
      </c>
      <c r="AC304" s="1432">
        <f>+(AA304/AA297-1)*100</f>
        <v>2.3255813953488413</v>
      </c>
      <c r="AD304" s="1421">
        <f>SeqQtrSales!AC501</f>
        <v>0.16940000000000008</v>
      </c>
      <c r="AE304" s="1973"/>
      <c r="AF304" s="1432"/>
      <c r="AG304" s="1418">
        <f>AG303+AH304</f>
        <v>5</v>
      </c>
      <c r="AH304" s="1651">
        <v>0</v>
      </c>
      <c r="AI304" s="1432"/>
      <c r="AJ304" s="1421" t="str">
        <f>SeqQtrSales!AI501</f>
        <v>N/A</v>
      </c>
      <c r="AK304" s="1973"/>
      <c r="AL304" s="1418"/>
      <c r="AM304" s="1973"/>
      <c r="AN304" s="1432"/>
      <c r="AO304" s="1421"/>
      <c r="AP304" s="1970"/>
      <c r="AQ304" s="1432"/>
      <c r="AR304" s="1427"/>
      <c r="AS304" s="1971">
        <f>AA304+K304+D304+AG304+U304</f>
        <v>312</v>
      </c>
      <c r="AT304" s="1431">
        <f>AS304-AS303</f>
        <v>2</v>
      </c>
      <c r="AU304" s="1432">
        <f>+(AS304/AS297-1)*100</f>
        <v>0.3215434083601254</v>
      </c>
      <c r="AV304" s="1970"/>
      <c r="AW304" s="1970"/>
      <c r="AX304" s="1968">
        <f>AS304-D304-AL304</f>
        <v>188</v>
      </c>
      <c r="AY304" s="1969">
        <f>AX304-AX303</f>
        <v>2</v>
      </c>
      <c r="AZ304" s="1421">
        <f>SUM(AD304,R304,G304,X304)</f>
        <v>1.2767999999999999</v>
      </c>
      <c r="BA304" s="2115">
        <f>AZ304/AZ297-1</f>
        <v>3.0807562162253888E-3</v>
      </c>
      <c r="BB304" s="405"/>
      <c r="BC304" s="1658">
        <f>D304/AS304</f>
        <v>0.39743589743589741</v>
      </c>
      <c r="BD304" s="1811">
        <f>(K304+AA304+U304+AG304)/AS304</f>
        <v>0.60256410256410253</v>
      </c>
      <c r="BE304" s="1811">
        <f>AL304/AS304</f>
        <v>0</v>
      </c>
    </row>
    <row r="305" spans="1:57" ht="12.75" customHeight="1">
      <c r="A305" s="256" t="str">
        <f>$A$32</f>
        <v>3Q</v>
      </c>
      <c r="B305" s="256" t="str">
        <f>$B$32</f>
        <v>Oct</v>
      </c>
      <c r="C305" s="256"/>
      <c r="D305" s="1418">
        <f>D304+E305</f>
        <v>125</v>
      </c>
      <c r="E305" s="1651">
        <v>1</v>
      </c>
      <c r="F305" s="1432">
        <f>+(D305/D298-1)*100</f>
        <v>0</v>
      </c>
      <c r="G305" s="1421">
        <f>SeqQtrSales!AC221</f>
        <v>0.74989999999999968</v>
      </c>
      <c r="H305" s="1970"/>
      <c r="I305" s="1432"/>
      <c r="J305" s="405"/>
      <c r="K305" s="1418">
        <f>+K304+L305</f>
        <v>86</v>
      </c>
      <c r="L305" s="1651">
        <v>1</v>
      </c>
      <c r="M305" s="1418"/>
      <c r="N305" s="1424"/>
      <c r="O305" s="1418"/>
      <c r="P305" s="1972"/>
      <c r="Q305" s="1432">
        <f>+(K305/K298-1)*100</f>
        <v>1.1764705882352899</v>
      </c>
      <c r="R305" s="1421">
        <f>SeqQtrSales!AC408</f>
        <v>0.22860000000000008</v>
      </c>
      <c r="S305" s="1432"/>
      <c r="T305" s="1427"/>
      <c r="U305" s="1418">
        <f>U304+V305</f>
        <v>54</v>
      </c>
      <c r="V305" s="1651">
        <v>0</v>
      </c>
      <c r="W305" s="1432">
        <f>+(U305/U298-1)*100</f>
        <v>-1.8181818181818188</v>
      </c>
      <c r="X305" s="1421">
        <f>+SeqQtrSales!AC582</f>
        <v>0.1404</v>
      </c>
      <c r="Y305" s="1432"/>
      <c r="Z305" s="1427"/>
      <c r="AA305" s="1418">
        <f>AA304+AB305</f>
        <v>46</v>
      </c>
      <c r="AB305" s="1973">
        <v>2</v>
      </c>
      <c r="AC305" s="1432">
        <f>+(AA305/AA298-1)*100</f>
        <v>6.9767441860465018</v>
      </c>
      <c r="AD305" s="1421">
        <f>SeqQtrSales!AC502</f>
        <v>0.17940000000000009</v>
      </c>
      <c r="AE305" s="1973"/>
      <c r="AF305" s="1432"/>
      <c r="AG305" s="1418">
        <f>AG304+AH305</f>
        <v>4</v>
      </c>
      <c r="AH305" s="1651">
        <v>-1</v>
      </c>
      <c r="AI305" s="1432"/>
      <c r="AJ305" s="1421" t="str">
        <f>SeqQtrSales!AI502</f>
        <v>N/A</v>
      </c>
      <c r="AK305" s="1973"/>
      <c r="AL305" s="1418"/>
      <c r="AM305" s="1973"/>
      <c r="AN305" s="1432"/>
      <c r="AO305" s="1421"/>
      <c r="AP305" s="1970"/>
      <c r="AQ305" s="1432"/>
      <c r="AR305" s="1427"/>
      <c r="AS305" s="1971">
        <f>AA305+K305+D305+AG305+U305</f>
        <v>315</v>
      </c>
      <c r="AT305" s="1431">
        <f>AS305-AS304</f>
        <v>3</v>
      </c>
      <c r="AU305" s="1432">
        <f>+(AS305/AS298-1)*100</f>
        <v>0.6389776357827559</v>
      </c>
      <c r="AV305" s="1970"/>
      <c r="AW305" s="1970"/>
      <c r="AX305" s="1968">
        <f>AS305-D305-AL305</f>
        <v>190</v>
      </c>
      <c r="AY305" s="1969">
        <f>AX305-AX304</f>
        <v>2</v>
      </c>
      <c r="AZ305" s="1421">
        <f>SUM(AD305,R305,G305,X305)</f>
        <v>1.2982999999999998</v>
      </c>
      <c r="BA305" s="2115">
        <f>AZ305/AZ298-1</f>
        <v>1.2652444969385668E-2</v>
      </c>
      <c r="BB305" s="405"/>
      <c r="BC305" s="1658">
        <f>D305/AS305</f>
        <v>0.3968253968253968</v>
      </c>
      <c r="BD305" s="1811">
        <f>(K305+AA305+U305+AG305)/AS305</f>
        <v>0.60317460317460314</v>
      </c>
      <c r="BE305" s="1811">
        <f>AL305/AS305</f>
        <v>0</v>
      </c>
    </row>
    <row r="306" spans="1:57" ht="12" customHeight="1">
      <c r="A306" s="256" t="str">
        <f>$A$33</f>
        <v>4Q</v>
      </c>
      <c r="B306" s="256" t="str">
        <f>$B$33</f>
        <v>Jan</v>
      </c>
      <c r="C306" s="256"/>
      <c r="D306" s="1438">
        <f>D305+E306</f>
        <v>124</v>
      </c>
      <c r="E306" s="1974">
        <f>E307-SUM(E303:E305)</f>
        <v>-1</v>
      </c>
      <c r="F306" s="1432">
        <f>+(D306/D299-1)*100</f>
        <v>-0.80000000000000071</v>
      </c>
      <c r="G306" s="2144">
        <f>SeqQtrSales!AC222</f>
        <v>0.74339999999999973</v>
      </c>
      <c r="H306" s="1970"/>
      <c r="I306" s="1432"/>
      <c r="J306" s="405"/>
      <c r="K306" s="1438">
        <f>+K305+L306</f>
        <v>87</v>
      </c>
      <c r="L306" s="1974">
        <f>L307-SUM(L303:L305)</f>
        <v>1</v>
      </c>
      <c r="M306" s="1438"/>
      <c r="N306" s="1418"/>
      <c r="O306" s="1438"/>
      <c r="P306" s="1975"/>
      <c r="Q306" s="1432">
        <f>+(K306/K299-1)*100</f>
        <v>2.3529411764705799</v>
      </c>
      <c r="R306" s="2144">
        <f>SeqQtrSales!AC409</f>
        <v>0.23360000000000009</v>
      </c>
      <c r="S306" s="1432"/>
      <c r="T306" s="1427"/>
      <c r="U306" s="1438">
        <f>U305+V306</f>
        <v>54</v>
      </c>
      <c r="V306" s="1974">
        <f>V307-SUM(V303:V305)</f>
        <v>0</v>
      </c>
      <c r="W306" s="1432">
        <f>+(U306/U299-1)*100</f>
        <v>-1.8181818181818188</v>
      </c>
      <c r="X306" s="2144">
        <f>+SeqQtrSales!AC583</f>
        <v>0.1404</v>
      </c>
      <c r="Y306" s="1432"/>
      <c r="Z306" s="1427"/>
      <c r="AA306" s="1438">
        <f>AA305+AB306</f>
        <v>46</v>
      </c>
      <c r="AB306" s="1976">
        <f>AB307-SUM(AB303:AB305)</f>
        <v>0</v>
      </c>
      <c r="AC306" s="1432">
        <f>+(AA306/AA299-1)*100</f>
        <v>6.9767441860465018</v>
      </c>
      <c r="AD306" s="2144">
        <f>SeqQtrSales!AC503</f>
        <v>0.17940000000000009</v>
      </c>
      <c r="AE306" s="1442"/>
      <c r="AF306" s="1432"/>
      <c r="AG306" s="1438">
        <f>AG305+AH306</f>
        <v>4</v>
      </c>
      <c r="AH306" s="1974">
        <f>AH307-SUM(AH303:AH305)</f>
        <v>0</v>
      </c>
      <c r="AI306" s="1432"/>
      <c r="AJ306" s="2144" t="str">
        <f>SeqQtrSales!AI503</f>
        <v>N/A</v>
      </c>
      <c r="AK306" s="1442"/>
      <c r="AL306" s="1438"/>
      <c r="AM306" s="1442"/>
      <c r="AN306" s="1432"/>
      <c r="AO306" s="1439"/>
      <c r="AP306" s="1970"/>
      <c r="AQ306" s="1432"/>
      <c r="AR306" s="1427"/>
      <c r="AS306" s="1438">
        <f>AA306+K306+D306+AG306+U306</f>
        <v>315</v>
      </c>
      <c r="AT306" s="1431">
        <f>AS306-AS305</f>
        <v>0</v>
      </c>
      <c r="AU306" s="1432">
        <f>+(AS306/AS299-1)*100</f>
        <v>0.6389776357827559</v>
      </c>
      <c r="AV306" s="1970"/>
      <c r="AW306" s="1970"/>
      <c r="AX306" s="1968">
        <f>AS306-D306-AL306</f>
        <v>191</v>
      </c>
      <c r="AY306" s="1969">
        <f>AX306-AX305</f>
        <v>1</v>
      </c>
      <c r="AZ306" s="1439">
        <f>SUM(AD306,R306,G306,X306)</f>
        <v>1.2968</v>
      </c>
      <c r="BA306" s="2115">
        <f>AZ306/AZ299-1</f>
        <v>1.1482469873141499E-2</v>
      </c>
      <c r="BB306" s="405"/>
      <c r="BC306" s="1658">
        <f>D306/AS306</f>
        <v>0.39365079365079364</v>
      </c>
      <c r="BD306" s="1812">
        <f>(K306+AA306+U306+AG306)/AS306</f>
        <v>0.6063492063492063</v>
      </c>
      <c r="BE306" s="1812">
        <f>AL306/AS306</f>
        <v>0</v>
      </c>
    </row>
    <row r="307" spans="1:57" ht="12" customHeight="1">
      <c r="A307" s="256"/>
      <c r="B307" s="256" t="str">
        <f>$B$34</f>
        <v>Year</v>
      </c>
      <c r="C307" s="256"/>
      <c r="D307" s="1971">
        <f>D306</f>
        <v>124</v>
      </c>
      <c r="E307" s="1977">
        <v>-1</v>
      </c>
      <c r="F307" s="1432">
        <f>+(D307/D300-1)*100</f>
        <v>-0.80000000000000071</v>
      </c>
      <c r="G307" s="2109">
        <f>G306</f>
        <v>0.74339999999999973</v>
      </c>
      <c r="H307" s="1970"/>
      <c r="I307" s="1432"/>
      <c r="J307" s="405"/>
      <c r="K307" s="1971">
        <f>K306</f>
        <v>87</v>
      </c>
      <c r="L307" s="1977">
        <v>2</v>
      </c>
      <c r="M307" s="1971"/>
      <c r="N307" s="1978"/>
      <c r="O307" s="1418"/>
      <c r="P307" s="1978"/>
      <c r="Q307" s="1432">
        <f>+(K307/K300-1)*100</f>
        <v>2.3529411764705799</v>
      </c>
      <c r="R307" s="2109">
        <f>R306</f>
        <v>0.23360000000000009</v>
      </c>
      <c r="S307" s="1432"/>
      <c r="T307" s="1427"/>
      <c r="U307" s="1971">
        <f>U306</f>
        <v>54</v>
      </c>
      <c r="V307" s="1978">
        <v>-1</v>
      </c>
      <c r="W307" s="1432">
        <f>+(U307/U300-1)*100</f>
        <v>-1.8181818181818188</v>
      </c>
      <c r="X307" s="1421">
        <f>X306</f>
        <v>0.1404</v>
      </c>
      <c r="Y307" s="1432"/>
      <c r="Z307" s="1427"/>
      <c r="AA307" s="1971">
        <f>AA306</f>
        <v>46</v>
      </c>
      <c r="AB307" s="1979">
        <v>3</v>
      </c>
      <c r="AC307" s="1432">
        <f>+(AA307/AA300-1)*100</f>
        <v>6.9767441860465018</v>
      </c>
      <c r="AD307" s="2109">
        <f>+AD306</f>
        <v>0.17940000000000009</v>
      </c>
      <c r="AE307" s="1979"/>
      <c r="AF307" s="1432"/>
      <c r="AG307" s="1971">
        <f>AG306</f>
        <v>4</v>
      </c>
      <c r="AH307" s="1978">
        <v>-1</v>
      </c>
      <c r="AI307" s="1432"/>
      <c r="AJ307" s="2109" t="str">
        <f>+AJ306</f>
        <v>N/A</v>
      </c>
      <c r="AK307" s="1979"/>
      <c r="AL307" s="1971"/>
      <c r="AM307" s="1979"/>
      <c r="AN307" s="1432"/>
      <c r="AO307" s="1421"/>
      <c r="AP307" s="1970"/>
      <c r="AQ307" s="1432"/>
      <c r="AR307" s="1427"/>
      <c r="AS307" s="1971">
        <f>AA307+K307+D307+AG307+U307</f>
        <v>315</v>
      </c>
      <c r="AT307" s="1451">
        <f>AS307-AS300</f>
        <v>2</v>
      </c>
      <c r="AU307" s="1432">
        <f>+(AS307/AS300-1)*100</f>
        <v>0.6389776357827559</v>
      </c>
      <c r="AV307" s="1970"/>
      <c r="AW307" s="1970"/>
      <c r="AX307" s="1968">
        <f>AS307-D307-AL307</f>
        <v>191</v>
      </c>
      <c r="AY307" s="1969">
        <f>AX307-AX300</f>
        <v>3</v>
      </c>
      <c r="AZ307" s="2469">
        <v>1.3211999999999999</v>
      </c>
      <c r="BA307" s="2115">
        <f>AZ307/AZ300-1</f>
        <v>3.1140248185436592E-2</v>
      </c>
      <c r="BB307" s="405"/>
      <c r="BC307" s="1980">
        <f>D307/AS307</f>
        <v>0.39365079365079364</v>
      </c>
      <c r="BD307" s="1811">
        <f>(K307+AA307+U307+AG307)/AS307</f>
        <v>0.6063492063492063</v>
      </c>
      <c r="BE307" s="1980">
        <f>AL307/AS307</f>
        <v>0</v>
      </c>
    </row>
    <row r="308" spans="1:57" ht="12" customHeight="1">
      <c r="BD308" s="621"/>
    </row>
    <row r="309" spans="1:57" ht="12" customHeight="1">
      <c r="A309" s="2505">
        <f>+A302+1</f>
        <v>2018</v>
      </c>
      <c r="B309" s="2505"/>
      <c r="C309" s="777"/>
      <c r="D309" s="1462"/>
      <c r="E309" s="1965"/>
      <c r="F309" s="1966"/>
      <c r="G309" s="1457"/>
      <c r="H309" s="580"/>
      <c r="I309" s="1432"/>
      <c r="J309" s="405"/>
      <c r="K309" s="1460"/>
      <c r="L309" s="1461"/>
      <c r="M309" s="1460"/>
      <c r="N309" s="1461"/>
      <c r="O309" s="1460"/>
      <c r="P309" s="1967"/>
      <c r="Q309" s="580"/>
      <c r="R309" s="580"/>
      <c r="S309" s="580"/>
      <c r="T309" s="580"/>
      <c r="U309" s="1460"/>
      <c r="V309" s="1461"/>
      <c r="W309" s="580"/>
      <c r="X309" s="580"/>
      <c r="Y309" s="580"/>
      <c r="Z309" s="580"/>
      <c r="AA309" s="1460"/>
      <c r="AB309" s="581"/>
      <c r="AC309" s="580"/>
      <c r="AD309" s="1460"/>
      <c r="AE309" s="581"/>
      <c r="AF309" s="580"/>
      <c r="AG309" s="1460"/>
      <c r="AH309" s="581"/>
      <c r="AI309" s="580"/>
      <c r="AJ309" s="1460"/>
      <c r="AK309" s="581"/>
      <c r="AL309" s="1460"/>
      <c r="AM309" s="581"/>
      <c r="AN309" s="581"/>
      <c r="AO309" s="1460"/>
      <c r="AP309" s="580"/>
      <c r="AQ309" s="1966"/>
      <c r="AR309" s="580"/>
      <c r="AS309" s="1457"/>
      <c r="AT309" s="405"/>
      <c r="AU309" s="405"/>
      <c r="AV309" s="405"/>
      <c r="AW309" s="405"/>
      <c r="AX309" s="1968"/>
      <c r="AY309" s="1969"/>
      <c r="AZ309" s="405"/>
      <c r="BA309" s="1965"/>
      <c r="BB309" s="405"/>
      <c r="BC309" s="405"/>
      <c r="BD309" s="405"/>
      <c r="BE309" s="405"/>
    </row>
    <row r="310" spans="1:57" ht="12" customHeight="1">
      <c r="A310" s="2262" t="str">
        <f>$A$30</f>
        <v>1Q</v>
      </c>
      <c r="B310" s="2262" t="str">
        <f>$B$30</f>
        <v>Apr</v>
      </c>
      <c r="C310" s="2262"/>
      <c r="D310" s="2263">
        <f>+D307+E310</f>
        <v>124</v>
      </c>
      <c r="E310" s="2182">
        <v>0</v>
      </c>
      <c r="F310" s="2265">
        <f>+(D310/D303-1)*100</f>
        <v>0</v>
      </c>
      <c r="G310" s="2266">
        <f>SeqQtrSales!AC226</f>
        <v>0.74339999999999973</v>
      </c>
      <c r="H310" s="2267"/>
      <c r="I310" s="2265"/>
      <c r="J310" s="2268"/>
      <c r="K310" s="2263">
        <f>+K307+L310</f>
        <v>87</v>
      </c>
      <c r="L310" s="2182">
        <v>0</v>
      </c>
      <c r="M310" s="2263"/>
      <c r="N310" s="2269"/>
      <c r="O310" s="2263"/>
      <c r="P310" s="2270"/>
      <c r="Q310" s="2265">
        <f>+(K310/K303-1)*100</f>
        <v>3.5714285714285809</v>
      </c>
      <c r="R310" s="2271">
        <f>SeqQtrSales!AC413</f>
        <v>0.23360000000000009</v>
      </c>
      <c r="S310" s="2265"/>
      <c r="T310" s="2272"/>
      <c r="U310" s="2263">
        <f>+U307+V310</f>
        <v>54</v>
      </c>
      <c r="V310" s="2182">
        <v>0</v>
      </c>
      <c r="W310" s="2265">
        <f>+(U310/U303-1)*100</f>
        <v>0</v>
      </c>
      <c r="X310" s="2266">
        <f>+SeqQtrSales!AC587</f>
        <v>0.13919999999999999</v>
      </c>
      <c r="Y310" s="2265"/>
      <c r="Z310" s="2272"/>
      <c r="AA310" s="2263">
        <f>+AA307+AB310</f>
        <v>47</v>
      </c>
      <c r="AB310" s="2183">
        <v>1</v>
      </c>
      <c r="AC310" s="2265">
        <f>+(AA310/AA303-1)*100</f>
        <v>9.302325581395344</v>
      </c>
      <c r="AD310" s="2266">
        <f>SeqQtrSales!AC507</f>
        <v>0.18490000000000009</v>
      </c>
      <c r="AE310" s="2273"/>
      <c r="AF310" s="2265"/>
      <c r="AG310" s="2263">
        <f>+AG307+AH310</f>
        <v>4</v>
      </c>
      <c r="AH310" s="2264">
        <v>0</v>
      </c>
      <c r="AI310" s="2265"/>
      <c r="AJ310" s="2266" t="str">
        <f>SeqQtrSales!AI507</f>
        <v>N/A</v>
      </c>
      <c r="AK310" s="2273"/>
      <c r="AL310" s="2263"/>
      <c r="AM310" s="2273"/>
      <c r="AN310" s="2265"/>
      <c r="AO310" s="2266"/>
      <c r="AP310" s="2267"/>
      <c r="AQ310" s="2265"/>
      <c r="AR310" s="2272"/>
      <c r="AS310" s="2274">
        <f>AA310+K310+D310+AG310+U310</f>
        <v>316</v>
      </c>
      <c r="AT310" s="2275">
        <f>AS310-AS307</f>
        <v>1</v>
      </c>
      <c r="AU310" s="2265">
        <f>+(AS310/AS303-1)*100</f>
        <v>1.9354838709677358</v>
      </c>
      <c r="AV310" s="2267"/>
      <c r="AW310" s="2267"/>
      <c r="AX310" s="2276">
        <f>AS310-D310-AL310</f>
        <v>192</v>
      </c>
      <c r="AY310" s="2277">
        <f>AX310-AX307</f>
        <v>1</v>
      </c>
      <c r="AZ310" s="2266">
        <f>SUM(AD310,R310,G310,X310)</f>
        <v>1.3010999999999999</v>
      </c>
      <c r="BA310" s="2278">
        <f>AZ310/AZ303-1</f>
        <v>2.6023184291459778E-2</v>
      </c>
      <c r="BB310" s="2268"/>
      <c r="BC310" s="2279">
        <f>D310/AS310</f>
        <v>0.39240506329113922</v>
      </c>
      <c r="BD310" s="2280">
        <f>(K310+AA310+U310+AG310)/AS310</f>
        <v>0.60759493670886078</v>
      </c>
      <c r="BE310" s="2280">
        <f>AL310/AS310</f>
        <v>0</v>
      </c>
    </row>
    <row r="311" spans="1:57" ht="12" customHeight="1">
      <c r="A311" s="2262" t="str">
        <f>$A$31</f>
        <v>2Q</v>
      </c>
      <c r="B311" s="2262" t="str">
        <f>$B$31</f>
        <v>Jul</v>
      </c>
      <c r="C311" s="2262"/>
      <c r="D311" s="2263">
        <f>D310+E311</f>
        <v>125</v>
      </c>
      <c r="E311" s="2182">
        <v>1</v>
      </c>
      <c r="F311" s="2265">
        <f>+(D311/D304-1)*100</f>
        <v>0.80645161290322509</v>
      </c>
      <c r="G311" s="2266">
        <f>SeqQtrSales!AC227</f>
        <v>0.7456999999999997</v>
      </c>
      <c r="H311" s="2267"/>
      <c r="I311" s="2265"/>
      <c r="J311" s="2268"/>
      <c r="K311" s="2263">
        <f>+K310+L311</f>
        <v>88</v>
      </c>
      <c r="L311" s="2182">
        <v>1</v>
      </c>
      <c r="M311" s="2263"/>
      <c r="N311" s="2269"/>
      <c r="O311" s="2263"/>
      <c r="P311" s="2270"/>
      <c r="Q311" s="2265">
        <f>+(K311/K304-1)*100</f>
        <v>3.529411764705892</v>
      </c>
      <c r="R311" s="2271">
        <f>SeqQtrSales!AC414</f>
        <v>0.23910000000000009</v>
      </c>
      <c r="S311" s="2265"/>
      <c r="T311" s="2272"/>
      <c r="U311" s="2263">
        <f>U310+V311</f>
        <v>55</v>
      </c>
      <c r="V311" s="2182">
        <v>1</v>
      </c>
      <c r="W311" s="2265">
        <f>+(U311/U304-1)*100</f>
        <v>1.8518518518518601</v>
      </c>
      <c r="X311" s="2266">
        <f>+SeqQtrSales!AC588</f>
        <v>0.14048888888888891</v>
      </c>
      <c r="Y311" s="2265"/>
      <c r="Z311" s="2272"/>
      <c r="AA311" s="2263">
        <f>AA310+AB311</f>
        <v>49</v>
      </c>
      <c r="AB311" s="2183">
        <v>2</v>
      </c>
      <c r="AC311" s="2265">
        <f>+(AA311/AA304-1)*100</f>
        <v>11.363636363636353</v>
      </c>
      <c r="AD311" s="2266">
        <f>SeqQtrSales!AC508</f>
        <v>0.1959000000000001</v>
      </c>
      <c r="AE311" s="2273"/>
      <c r="AF311" s="2265"/>
      <c r="AG311" s="2263">
        <f>AG310+AH311</f>
        <v>4</v>
      </c>
      <c r="AH311" s="2264">
        <v>0</v>
      </c>
      <c r="AI311" s="2265"/>
      <c r="AJ311" s="2266" t="str">
        <f>SeqQtrSales!AI508</f>
        <v>N/A</v>
      </c>
      <c r="AK311" s="2273"/>
      <c r="AL311" s="2263"/>
      <c r="AM311" s="2273"/>
      <c r="AN311" s="2265"/>
      <c r="AO311" s="2266"/>
      <c r="AP311" s="2267"/>
      <c r="AQ311" s="2265"/>
      <c r="AR311" s="2272"/>
      <c r="AS311" s="2274">
        <f>AA311+K311+D311+AG311+U311</f>
        <v>321</v>
      </c>
      <c r="AT311" s="2275">
        <f>AS311-AS310</f>
        <v>5</v>
      </c>
      <c r="AU311" s="2265">
        <f>+(AS311/AS304-1)*100</f>
        <v>2.8846153846153744</v>
      </c>
      <c r="AV311" s="2267"/>
      <c r="AW311" s="2267"/>
      <c r="AX311" s="2276">
        <f>AS311-D311-AL311</f>
        <v>196</v>
      </c>
      <c r="AY311" s="2277">
        <f>AX311-AX310</f>
        <v>4</v>
      </c>
      <c r="AZ311" s="2266">
        <f>SUM(AD311,R311,G311,X311)</f>
        <v>1.3211888888888887</v>
      </c>
      <c r="BA311" s="2278">
        <f>AZ311/AZ304-1</f>
        <v>3.4765733778891583E-2</v>
      </c>
      <c r="BB311" s="2268"/>
      <c r="BC311" s="2279">
        <f>D311/AS311</f>
        <v>0.38940809968847351</v>
      </c>
      <c r="BD311" s="2280">
        <f>(K311+AA311+U311+AG311)/AS311</f>
        <v>0.61059190031152644</v>
      </c>
      <c r="BE311" s="2280">
        <f>AL311/AS311</f>
        <v>0</v>
      </c>
    </row>
    <row r="312" spans="1:57" ht="12.75" customHeight="1">
      <c r="A312" s="2262" t="str">
        <f>$A$32</f>
        <v>3Q</v>
      </c>
      <c r="B312" s="2262" t="str">
        <f>$B$32</f>
        <v>Oct</v>
      </c>
      <c r="C312" s="2262"/>
      <c r="D312" s="2263">
        <f>D311+E312</f>
        <v>125</v>
      </c>
      <c r="E312" s="2182">
        <v>0</v>
      </c>
      <c r="F312" s="2265">
        <f>+(D312/D305-1)*100</f>
        <v>0</v>
      </c>
      <c r="G312" s="2266">
        <f>SeqQtrSales!AC228</f>
        <v>0.7456999999999997</v>
      </c>
      <c r="H312" s="2267"/>
      <c r="I312" s="2265"/>
      <c r="J312" s="2268"/>
      <c r="K312" s="2263">
        <f>+K311+L312</f>
        <v>89</v>
      </c>
      <c r="L312" s="2182">
        <v>1</v>
      </c>
      <c r="M312" s="2263"/>
      <c r="N312" s="2269"/>
      <c r="O312" s="2263"/>
      <c r="P312" s="2270"/>
      <c r="Q312" s="2265">
        <f>+(K312/K305-1)*100</f>
        <v>3.488372093023262</v>
      </c>
      <c r="R312" s="2266">
        <f>SeqQtrSales!AC415</f>
        <v>0.2446000000000001</v>
      </c>
      <c r="S312" s="2265"/>
      <c r="T312" s="2272"/>
      <c r="U312" s="2263">
        <f>U311+V312</f>
        <v>55</v>
      </c>
      <c r="V312" s="2182">
        <v>0</v>
      </c>
      <c r="W312" s="2265">
        <f>+(U312/U305-1)*100</f>
        <v>1.8518518518518601</v>
      </c>
      <c r="X312" s="2266">
        <f>+SeqQtrSales!AC589</f>
        <v>0.14177777777777778</v>
      </c>
      <c r="Y312" s="2265"/>
      <c r="Z312" s="2272"/>
      <c r="AA312" s="2263">
        <f>AA311+AB312</f>
        <v>49</v>
      </c>
      <c r="AB312" s="2183">
        <v>0</v>
      </c>
      <c r="AC312" s="2265">
        <f>+(AA312/AA305-1)*100</f>
        <v>6.5217391304347894</v>
      </c>
      <c r="AD312" s="2266">
        <f>SeqQtrSales!AC509</f>
        <v>0.1959000000000001</v>
      </c>
      <c r="AE312" s="2273"/>
      <c r="AF312" s="2265"/>
      <c r="AG312" s="2263">
        <f>AG311+AH312</f>
        <v>4</v>
      </c>
      <c r="AH312" s="2264">
        <v>0</v>
      </c>
      <c r="AI312" s="2265"/>
      <c r="AJ312" s="2266" t="str">
        <f>SeqQtrSales!AI509</f>
        <v>N/A</v>
      </c>
      <c r="AK312" s="2273"/>
      <c r="AL312" s="2263"/>
      <c r="AM312" s="2273"/>
      <c r="AN312" s="2265"/>
      <c r="AO312" s="2266"/>
      <c r="AP312" s="2267"/>
      <c r="AQ312" s="2265"/>
      <c r="AR312" s="2272"/>
      <c r="AS312" s="2274">
        <f>AA312+K312+D312+AG312+U312</f>
        <v>322</v>
      </c>
      <c r="AT312" s="2275">
        <f>AS312-AS311</f>
        <v>1</v>
      </c>
      <c r="AU312" s="2265">
        <f>+(AS312/AS305-1)*100</f>
        <v>2.2222222222222143</v>
      </c>
      <c r="AV312" s="2267"/>
      <c r="AW312" s="2267"/>
      <c r="AX312" s="2276">
        <f>AS312-D312-AL312</f>
        <v>197</v>
      </c>
      <c r="AY312" s="2277">
        <f>AX312-AX311</f>
        <v>1</v>
      </c>
      <c r="AZ312" s="2266">
        <f>SUM(AD312,R312,G312,X312)</f>
        <v>1.3279777777777777</v>
      </c>
      <c r="BA312" s="2278">
        <f>AZ312/AZ305-1</f>
        <v>2.2858952305151226E-2</v>
      </c>
      <c r="BB312" s="2268"/>
      <c r="BC312" s="2279">
        <f>D312/AS312</f>
        <v>0.38819875776397517</v>
      </c>
      <c r="BD312" s="2280">
        <f>(K312+AA312+U312+AG312)/AS312</f>
        <v>0.61180124223602483</v>
      </c>
      <c r="BE312" s="2280">
        <f>AL312/AS312</f>
        <v>0</v>
      </c>
    </row>
    <row r="313" spans="1:57" ht="12" customHeight="1">
      <c r="A313" s="2262" t="str">
        <f>$A$33</f>
        <v>4Q</v>
      </c>
      <c r="B313" s="2262" t="str">
        <f>$B$33</f>
        <v>Jan</v>
      </c>
      <c r="C313" s="2262"/>
      <c r="D313" s="2282">
        <f>D312+E313</f>
        <v>125</v>
      </c>
      <c r="E313" s="1597">
        <f>E314-SUM(E310:E312)</f>
        <v>0</v>
      </c>
      <c r="F313" s="2265">
        <f>+(D313/D306-1)*100</f>
        <v>0.80645161290322509</v>
      </c>
      <c r="G313" s="2284">
        <f>SeqQtrSales!AC229</f>
        <v>0.7456999999999997</v>
      </c>
      <c r="H313" s="2267"/>
      <c r="I313" s="2265"/>
      <c r="J313" s="2268"/>
      <c r="K313" s="2282">
        <f>+K312+L313</f>
        <v>89</v>
      </c>
      <c r="L313" s="1597">
        <v>0</v>
      </c>
      <c r="M313" s="2282"/>
      <c r="N313" s="2263"/>
      <c r="O313" s="2282"/>
      <c r="P313" s="2285"/>
      <c r="Q313" s="2265">
        <f>+(K313/K306-1)*100</f>
        <v>2.2988505747126409</v>
      </c>
      <c r="R313" s="2286">
        <f>SeqQtrSales!AC416</f>
        <v>0.2446000000000001</v>
      </c>
      <c r="S313" s="2265"/>
      <c r="T313" s="2272"/>
      <c r="U313" s="2282">
        <f>U312+V313</f>
        <v>55</v>
      </c>
      <c r="V313" s="1597">
        <f>V314-SUM(V310:V312)</f>
        <v>0</v>
      </c>
      <c r="W313" s="2265">
        <f>+(U313/U306-1)*100</f>
        <v>1.8518518518518601</v>
      </c>
      <c r="X313" s="2286">
        <f>+SeqQtrSales!AC590</f>
        <v>0.14177777777777778</v>
      </c>
      <c r="Y313" s="2265"/>
      <c r="Z313" s="2272"/>
      <c r="AA313" s="2282">
        <f>AA312+AB313</f>
        <v>49</v>
      </c>
      <c r="AB313" s="1598">
        <v>0</v>
      </c>
      <c r="AC313" s="2265">
        <f>+(AA313/AA306-1)*100</f>
        <v>6.5217391304347894</v>
      </c>
      <c r="AD313" s="2286">
        <f>SeqQtrSales!AC510</f>
        <v>0.1959000000000001</v>
      </c>
      <c r="AE313" s="2287"/>
      <c r="AF313" s="2265"/>
      <c r="AG313" s="2282">
        <f>AG312+AH313</f>
        <v>4</v>
      </c>
      <c r="AH313" s="2283">
        <f>AH314-SUM(AH310:AH312)</f>
        <v>0</v>
      </c>
      <c r="AI313" s="2265"/>
      <c r="AJ313" s="2286" t="str">
        <f>SeqQtrSales!AI510</f>
        <v>N/A</v>
      </c>
      <c r="AK313" s="2287"/>
      <c r="AL313" s="2282"/>
      <c r="AM313" s="2287"/>
      <c r="AN313" s="2265"/>
      <c r="AO313" s="2284"/>
      <c r="AP313" s="2267"/>
      <c r="AQ313" s="2265"/>
      <c r="AR313" s="2272"/>
      <c r="AS313" s="2282">
        <f>AA313+K313+D313+AG313+U313</f>
        <v>322</v>
      </c>
      <c r="AT313" s="2275">
        <f>AS313-AS312</f>
        <v>0</v>
      </c>
      <c r="AU313" s="2265">
        <f>+(AS313/AS306-1)*100</f>
        <v>2.2222222222222143</v>
      </c>
      <c r="AV313" s="2267"/>
      <c r="AW313" s="2267"/>
      <c r="AX313" s="2276">
        <f>AS313-D313-AL313</f>
        <v>197</v>
      </c>
      <c r="AY313" s="2277">
        <f>AX313-AX312</f>
        <v>0</v>
      </c>
      <c r="AZ313" s="2284">
        <f>SUM(AD313,R313,G313,X313)</f>
        <v>1.3279777777777777</v>
      </c>
      <c r="BA313" s="2278">
        <f>AZ313/AZ306-1</f>
        <v>2.4042086503530014E-2</v>
      </c>
      <c r="BB313" s="2268"/>
      <c r="BC313" s="2279">
        <f>D313/AS313</f>
        <v>0.38819875776397517</v>
      </c>
      <c r="BD313" s="2288">
        <f>(K313+AA313+U313+AG313)/AS313</f>
        <v>0.61180124223602483</v>
      </c>
      <c r="BE313" s="2288">
        <f>AL313/AS313</f>
        <v>0</v>
      </c>
    </row>
    <row r="314" spans="1:57" ht="12" customHeight="1">
      <c r="A314" s="2262"/>
      <c r="B314" s="2262" t="str">
        <f>$B$34</f>
        <v>Year</v>
      </c>
      <c r="C314" s="2262"/>
      <c r="D314" s="2274">
        <f>D313</f>
        <v>125</v>
      </c>
      <c r="E314" s="2289">
        <v>1</v>
      </c>
      <c r="F314" s="2265">
        <f>+(D314/D307-1)*100</f>
        <v>0.80645161290322509</v>
      </c>
      <c r="G314" s="2271">
        <f>G313</f>
        <v>0.7456999999999997</v>
      </c>
      <c r="H314" s="2267"/>
      <c r="I314" s="2265"/>
      <c r="J314" s="2268"/>
      <c r="K314" s="2274">
        <f>K313</f>
        <v>89</v>
      </c>
      <c r="L314" s="2289">
        <v>2</v>
      </c>
      <c r="M314" s="2274"/>
      <c r="N314" s="2289"/>
      <c r="O314" s="2263"/>
      <c r="P314" s="2289"/>
      <c r="Q314" s="2265">
        <f>+(K314/K307-1)*100</f>
        <v>2.2988505747126409</v>
      </c>
      <c r="R314" s="2271">
        <f>R313</f>
        <v>0.2446000000000001</v>
      </c>
      <c r="S314" s="2265"/>
      <c r="T314" s="2272"/>
      <c r="U314" s="2274">
        <f>U313</f>
        <v>55</v>
      </c>
      <c r="V314" s="2289">
        <v>1</v>
      </c>
      <c r="W314" s="2265">
        <f>+(U314/U307-1)*100</f>
        <v>1.8518518518518601</v>
      </c>
      <c r="X314" s="2266">
        <f>X313</f>
        <v>0.14177777777777778</v>
      </c>
      <c r="Y314" s="2265"/>
      <c r="Z314" s="2272"/>
      <c r="AA314" s="2274">
        <f>AA313</f>
        <v>49</v>
      </c>
      <c r="AB314" s="2290">
        <v>3</v>
      </c>
      <c r="AC314" s="2265">
        <f>+(AA314/AA307-1)*100</f>
        <v>6.5217391304347894</v>
      </c>
      <c r="AD314" s="2271">
        <f>+AD313</f>
        <v>0.1959000000000001</v>
      </c>
      <c r="AE314" s="2290"/>
      <c r="AF314" s="2265"/>
      <c r="AG314" s="2274">
        <f>AG313</f>
        <v>4</v>
      </c>
      <c r="AH314" s="2289">
        <v>0</v>
      </c>
      <c r="AI314" s="2265"/>
      <c r="AJ314" s="2271" t="str">
        <f>+AJ313</f>
        <v>N/A</v>
      </c>
      <c r="AK314" s="2290"/>
      <c r="AL314" s="2274"/>
      <c r="AM314" s="2290"/>
      <c r="AN314" s="2265"/>
      <c r="AO314" s="2266"/>
      <c r="AP314" s="2267"/>
      <c r="AQ314" s="2265"/>
      <c r="AR314" s="2272"/>
      <c r="AS314" s="2274">
        <f>AA314+K314+D314+AG314+U314</f>
        <v>322</v>
      </c>
      <c r="AT314" s="2291">
        <f>AS314-AS307</f>
        <v>7</v>
      </c>
      <c r="AU314" s="2265">
        <f>+(AS314/AS307-1)*100</f>
        <v>2.2222222222222143</v>
      </c>
      <c r="AV314" s="2267"/>
      <c r="AW314" s="2267"/>
      <c r="AX314" s="2276">
        <f>AS314-D314-AL314</f>
        <v>197</v>
      </c>
      <c r="AY314" s="2277">
        <f>AX314-AX307</f>
        <v>6</v>
      </c>
      <c r="AZ314" s="2266">
        <f>+AZ313+0.018</f>
        <v>1.3459777777777777</v>
      </c>
      <c r="BA314" s="2278">
        <f>AZ314/AZ307-1</f>
        <v>1.8753994684966635E-2</v>
      </c>
      <c r="BB314" s="2268"/>
      <c r="BC314" s="2292">
        <f>D314/AS314</f>
        <v>0.38819875776397517</v>
      </c>
      <c r="BD314" s="2280">
        <f>(K314+AA314+U314+AG314)/AS314</f>
        <v>0.61180124223602483</v>
      </c>
      <c r="BE314" s="2292">
        <f>AL314/AS314</f>
        <v>0</v>
      </c>
    </row>
  </sheetData>
  <mergeCells count="45">
    <mergeCell ref="A302:B302"/>
    <mergeCell ref="A218:B218"/>
    <mergeCell ref="A211:B211"/>
    <mergeCell ref="A225:B225"/>
    <mergeCell ref="A281:B281"/>
    <mergeCell ref="A267:B267"/>
    <mergeCell ref="A295:B295"/>
    <mergeCell ref="A246:B246"/>
    <mergeCell ref="A288:B288"/>
    <mergeCell ref="A260:B260"/>
    <mergeCell ref="A253:B253"/>
    <mergeCell ref="A274:B274"/>
    <mergeCell ref="A162:B162"/>
    <mergeCell ref="A204:B204"/>
    <mergeCell ref="A197:B197"/>
    <mergeCell ref="A239:B239"/>
    <mergeCell ref="A155:B155"/>
    <mergeCell ref="A232:B232"/>
    <mergeCell ref="A169:B169"/>
    <mergeCell ref="A176:B176"/>
    <mergeCell ref="A190:B190"/>
    <mergeCell ref="A183:B183"/>
    <mergeCell ref="A8:B8"/>
    <mergeCell ref="A15:B15"/>
    <mergeCell ref="A43:B43"/>
    <mergeCell ref="A50:B50"/>
    <mergeCell ref="A22:B22"/>
    <mergeCell ref="A29:B29"/>
    <mergeCell ref="A36:B36"/>
    <mergeCell ref="A309:B309"/>
    <mergeCell ref="A57:B57"/>
    <mergeCell ref="A85:B85"/>
    <mergeCell ref="A92:B92"/>
    <mergeCell ref="A148:B148"/>
    <mergeCell ref="A127:B127"/>
    <mergeCell ref="A134:B134"/>
    <mergeCell ref="A141:B141"/>
    <mergeCell ref="A106:B106"/>
    <mergeCell ref="A105:B105"/>
    <mergeCell ref="A64:B64"/>
    <mergeCell ref="A120:B120"/>
    <mergeCell ref="A71:B71"/>
    <mergeCell ref="A113:B113"/>
    <mergeCell ref="A78:B78"/>
    <mergeCell ref="A99:B99"/>
  </mergeCells>
  <phoneticPr fontId="0" type="noConversion"/>
  <pageMargins left="0.5" right="0.25" top="0.2" bottom="0.1" header="0.5" footer="0"/>
  <pageSetup scale="7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U591"/>
  <sheetViews>
    <sheetView showGridLines="0" zoomScaleNormal="100" zoomScaleSheetLayoutView="100" workbookViewId="0">
      <pane xSplit="11" ySplit="135" topLeftCell="L202" activePane="bottomRight" state="frozen"/>
      <selection activeCell="A310" sqref="A310:XFD314"/>
      <selection pane="topRight" activeCell="A310" sqref="A310:XFD314"/>
      <selection pane="bottomLeft" activeCell="A310" sqref="A310:XFD314"/>
      <selection pane="bottomRight" activeCell="J230" sqref="J230"/>
    </sheetView>
  </sheetViews>
  <sheetFormatPr defaultRowHeight="12.75" outlineLevelRow="2"/>
  <cols>
    <col min="1" max="1" width="2.7109375" customWidth="1"/>
    <col min="2" max="2" width="6.85546875" bestFit="1" customWidth="1"/>
    <col min="3" max="3" width="1.28515625" customWidth="1"/>
    <col min="4" max="4" width="7.140625" bestFit="1" customWidth="1"/>
    <col min="5" max="5" width="1.7109375" customWidth="1"/>
    <col min="6" max="6" width="6" bestFit="1" customWidth="1"/>
    <col min="7" max="7" width="1.7109375" customWidth="1"/>
    <col min="8" max="8" width="7" customWidth="1"/>
    <col min="9" max="9" width="1.5703125" customWidth="1"/>
    <col min="11" max="11" width="1.7109375" customWidth="1"/>
    <col min="12" max="12" width="6.42578125" customWidth="1"/>
    <col min="13" max="13" width="1.28515625" customWidth="1"/>
    <col min="14" max="14" width="6.85546875" customWidth="1"/>
    <col min="15" max="15" width="1.28515625" customWidth="1"/>
    <col min="16" max="16" width="8.42578125" customWidth="1"/>
    <col min="17" max="17" width="1.7109375" customWidth="1"/>
    <col min="19" max="19" width="4" customWidth="1"/>
    <col min="20" max="21" width="1.28515625" customWidth="1"/>
    <col min="22" max="22" width="7.85546875" customWidth="1"/>
    <col min="23" max="23" width="1.5703125" customWidth="1"/>
    <col min="24" max="24" width="6.42578125" customWidth="1"/>
    <col min="25" max="25" width="1.28515625" customWidth="1"/>
    <col min="26" max="26" width="6.42578125" customWidth="1"/>
    <col min="27" max="28" width="1.7109375" customWidth="1"/>
    <col min="29" max="29" width="6.42578125" customWidth="1"/>
    <col min="30" max="30" width="1.7109375" customWidth="1"/>
    <col min="31" max="31" width="6.28515625" customWidth="1"/>
    <col min="32" max="32" width="1.28515625" customWidth="1"/>
    <col min="33" max="33" width="7.85546875" customWidth="1"/>
    <col min="34" max="34" width="1.7109375" customWidth="1"/>
    <col min="35" max="35" width="9.7109375" customWidth="1"/>
    <col min="36" max="36" width="4" customWidth="1"/>
    <col min="37" max="37" width="1.140625" customWidth="1"/>
    <col min="38" max="38" width="6.85546875" customWidth="1"/>
    <col min="39" max="39" width="1.42578125" customWidth="1"/>
    <col min="40" max="40" width="8.140625" customWidth="1"/>
    <col min="41" max="41" width="1.28515625" customWidth="1"/>
    <col min="42" max="42" width="6.140625" customWidth="1"/>
    <col min="43" max="44" width="1.7109375" customWidth="1"/>
    <col min="45" max="45" width="5.85546875" bestFit="1" customWidth="1"/>
    <col min="46" max="46" width="2.28515625" customWidth="1"/>
    <col min="47" max="47" width="7" bestFit="1" customWidth="1"/>
    <col min="48" max="48" width="2.28515625" customWidth="1"/>
    <col min="49" max="49" width="5" bestFit="1" customWidth="1"/>
    <col min="50" max="50" width="2.28515625" customWidth="1"/>
    <col min="51" max="51" width="4.5703125" customWidth="1"/>
    <col min="52" max="52" width="9" customWidth="1"/>
    <col min="53" max="53" width="5.7109375" customWidth="1"/>
    <col min="54" max="54" width="1.7109375" customWidth="1"/>
    <col min="55" max="55" width="9" customWidth="1"/>
    <col min="56" max="56" width="5.7109375" customWidth="1"/>
    <col min="57" max="57" width="1.7109375" customWidth="1"/>
    <col min="58" max="58" width="9" customWidth="1"/>
    <col min="59" max="59" width="5.7109375" customWidth="1"/>
    <col min="60" max="60" width="1.7109375" customWidth="1"/>
    <col min="61" max="61" width="6.85546875" customWidth="1"/>
    <col min="62" max="62" width="1.7109375" customWidth="1"/>
    <col min="63" max="63" width="6.140625" bestFit="1" customWidth="1"/>
    <col min="64" max="64" width="2.28515625" customWidth="1"/>
    <col min="65" max="65" width="5" customWidth="1"/>
    <col min="66" max="66" width="12.28515625" bestFit="1" customWidth="1"/>
    <col min="67" max="67" width="13.7109375" bestFit="1" customWidth="1"/>
    <col min="68" max="68" width="9.42578125" bestFit="1" customWidth="1"/>
    <col min="72" max="72" width="22.7109375" bestFit="1" customWidth="1"/>
  </cols>
  <sheetData>
    <row r="1" spans="1:68">
      <c r="A1" s="133" t="s">
        <v>136</v>
      </c>
      <c r="B1" s="172"/>
      <c r="C1" s="133"/>
      <c r="D1" s="133"/>
      <c r="E1" s="152"/>
      <c r="F1" s="133"/>
      <c r="G1" s="152"/>
      <c r="H1" s="2083"/>
      <c r="I1" s="133"/>
      <c r="J1" s="133"/>
      <c r="K1" s="152"/>
      <c r="L1" s="155"/>
      <c r="M1" s="155"/>
      <c r="N1" s="155"/>
      <c r="O1" s="156"/>
      <c r="P1" s="155"/>
      <c r="Q1" s="152"/>
      <c r="R1" s="155"/>
      <c r="S1" s="155"/>
      <c r="T1" s="156"/>
      <c r="U1" s="156"/>
      <c r="V1" s="155"/>
      <c r="W1" s="155"/>
      <c r="X1" s="156"/>
      <c r="Y1" s="156"/>
      <c r="Z1" s="155"/>
      <c r="AA1" s="246"/>
      <c r="AB1" s="155"/>
      <c r="AC1" s="155"/>
      <c r="AD1" s="155"/>
      <c r="AE1" s="155"/>
      <c r="AF1" s="156"/>
      <c r="AG1" s="155"/>
      <c r="AH1" s="156"/>
      <c r="AI1" s="155"/>
      <c r="AJ1" s="155"/>
      <c r="AK1" s="156"/>
      <c r="AL1" s="155"/>
      <c r="AM1" s="155"/>
      <c r="AN1" s="156"/>
      <c r="AO1" s="156"/>
      <c r="AP1" s="155"/>
      <c r="AQ1" s="246"/>
      <c r="AR1" s="246"/>
      <c r="AS1" s="155"/>
      <c r="AT1" s="155"/>
      <c r="AU1" s="155"/>
      <c r="AV1" s="155"/>
      <c r="AW1" s="155"/>
      <c r="AX1" s="155"/>
      <c r="AY1" s="155"/>
      <c r="AZ1" s="155"/>
      <c r="BA1" s="155"/>
      <c r="BB1" s="155"/>
      <c r="BC1" s="155"/>
      <c r="BD1" s="155"/>
      <c r="BE1" s="155"/>
      <c r="BF1" s="155"/>
      <c r="BG1" s="155"/>
      <c r="BH1" s="155"/>
      <c r="BI1" s="155"/>
      <c r="BJ1" s="155"/>
      <c r="BK1" s="155"/>
      <c r="BL1" s="155"/>
      <c r="BM1" s="155"/>
      <c r="BN1" s="155"/>
      <c r="BO1" s="283"/>
      <c r="BP1" s="283"/>
    </row>
    <row r="2" spans="1:68">
      <c r="A2" s="135" t="s">
        <v>1087</v>
      </c>
      <c r="B2" s="173"/>
      <c r="C2" s="135"/>
      <c r="D2" s="135"/>
      <c r="E2" s="153"/>
      <c r="F2" s="135"/>
      <c r="G2" s="153"/>
      <c r="H2" s="2084"/>
      <c r="I2" s="135"/>
      <c r="J2" s="135"/>
      <c r="K2" s="153"/>
      <c r="L2" s="135"/>
      <c r="M2" s="135"/>
      <c r="N2" s="135"/>
      <c r="O2" s="153"/>
      <c r="P2" s="135"/>
      <c r="Q2" s="153"/>
      <c r="R2" s="135"/>
      <c r="S2" s="135"/>
      <c r="T2" s="153"/>
      <c r="U2" s="153"/>
      <c r="V2" s="135"/>
      <c r="W2" s="135"/>
      <c r="X2" s="153"/>
      <c r="Y2" s="153"/>
      <c r="Z2" s="135"/>
      <c r="AA2" s="187"/>
      <c r="AB2" s="135"/>
      <c r="AC2" s="135"/>
      <c r="AD2" s="135"/>
      <c r="AE2" s="135"/>
      <c r="AF2" s="153"/>
      <c r="AG2" s="135"/>
      <c r="AH2" s="153"/>
      <c r="AI2" s="135"/>
      <c r="AJ2" s="135"/>
      <c r="AK2" s="153"/>
      <c r="AL2" s="135"/>
      <c r="AM2" s="135"/>
      <c r="AN2" s="153"/>
      <c r="AO2" s="153"/>
      <c r="AP2" s="135"/>
      <c r="AQ2" s="135"/>
      <c r="AR2" s="135"/>
      <c r="AS2" s="135"/>
      <c r="AT2" s="135"/>
      <c r="AU2" s="135"/>
      <c r="AV2" s="135"/>
      <c r="AW2" s="135"/>
      <c r="AX2" s="135"/>
      <c r="AY2" s="135"/>
      <c r="AZ2" s="135"/>
      <c r="BA2" s="135"/>
      <c r="BB2" s="135"/>
      <c r="BC2" s="135"/>
      <c r="BD2" s="135"/>
      <c r="BE2" s="135"/>
      <c r="BF2" s="135"/>
      <c r="BG2" s="135"/>
      <c r="BH2" s="135"/>
      <c r="BI2" s="135"/>
      <c r="BJ2" s="135"/>
      <c r="BK2" s="135"/>
      <c r="BL2" s="135"/>
      <c r="BM2" s="155"/>
      <c r="BN2" s="155"/>
      <c r="BO2" s="283"/>
      <c r="BP2" s="283"/>
    </row>
    <row r="3" spans="1:68">
      <c r="A3" s="132"/>
      <c r="B3" s="174"/>
      <c r="C3" s="132"/>
      <c r="D3" s="132"/>
      <c r="E3" s="132"/>
      <c r="F3" s="132"/>
      <c r="G3" s="132"/>
      <c r="H3" s="2085"/>
      <c r="I3" s="132"/>
      <c r="J3" s="132"/>
      <c r="K3" s="132"/>
      <c r="L3" s="132"/>
      <c r="M3" s="132"/>
      <c r="N3" s="132"/>
      <c r="O3" s="132"/>
      <c r="P3" s="132"/>
      <c r="Q3" s="132"/>
      <c r="R3" s="132"/>
      <c r="S3" s="132"/>
      <c r="T3" s="132"/>
      <c r="U3" s="132"/>
      <c r="V3" s="132"/>
      <c r="W3" s="132"/>
      <c r="X3" s="132"/>
      <c r="Y3" s="132"/>
      <c r="Z3" s="132"/>
      <c r="AA3" s="230"/>
      <c r="AB3" s="132"/>
      <c r="AC3" s="132"/>
      <c r="AD3" s="132"/>
      <c r="AE3" s="132"/>
      <c r="AF3" s="132"/>
      <c r="AG3" s="132"/>
      <c r="AH3" s="132"/>
      <c r="AI3" s="132"/>
      <c r="AJ3" s="132"/>
      <c r="AK3" s="132"/>
      <c r="AL3" s="132"/>
      <c r="AM3" s="132"/>
      <c r="AN3" s="132"/>
      <c r="AO3" s="132"/>
      <c r="AP3" s="132"/>
      <c r="AQ3" s="132"/>
      <c r="AR3" s="132"/>
      <c r="AS3" s="132"/>
      <c r="AT3" s="132"/>
      <c r="AU3" s="132"/>
      <c r="AV3" s="132"/>
      <c r="AW3" s="132"/>
      <c r="AX3" s="132"/>
      <c r="AY3" s="132"/>
      <c r="AZ3" s="132"/>
      <c r="BA3" s="132"/>
      <c r="BB3" s="132"/>
      <c r="BC3" s="132"/>
      <c r="BD3" s="132"/>
      <c r="BE3" s="132"/>
      <c r="BF3" s="132"/>
      <c r="BG3" s="132"/>
      <c r="BH3" s="132"/>
      <c r="BI3" s="132"/>
      <c r="BJ3" s="132"/>
      <c r="BK3" s="132"/>
      <c r="BL3" s="132"/>
      <c r="BM3" s="132"/>
      <c r="BN3" s="132"/>
      <c r="BO3" s="587"/>
      <c r="BP3" s="587"/>
    </row>
    <row r="4" spans="1:68">
      <c r="A4" s="132"/>
      <c r="B4" s="174"/>
      <c r="C4" s="132"/>
      <c r="D4" s="132"/>
      <c r="E4" s="132"/>
      <c r="F4" s="132"/>
      <c r="G4" s="132"/>
      <c r="H4" s="2085"/>
      <c r="I4" s="132"/>
      <c r="J4" s="132"/>
      <c r="K4" s="132"/>
      <c r="L4" s="132"/>
      <c r="M4" s="132"/>
      <c r="N4" s="132"/>
      <c r="O4" s="132"/>
      <c r="P4" s="132"/>
      <c r="Q4" s="132"/>
      <c r="R4" s="132"/>
      <c r="S4" s="132"/>
      <c r="T4" s="132"/>
      <c r="U4" s="132"/>
      <c r="V4" s="132"/>
      <c r="W4" s="132"/>
      <c r="X4" s="132"/>
      <c r="Y4" s="132"/>
      <c r="Z4" s="132"/>
      <c r="AA4" s="230"/>
      <c r="AB4" s="132"/>
      <c r="AC4" s="132"/>
      <c r="AD4" s="132"/>
      <c r="AE4" s="132"/>
      <c r="AF4" s="132"/>
      <c r="AG4" s="132"/>
      <c r="AH4" s="132"/>
      <c r="AI4" s="132"/>
      <c r="AJ4" s="132"/>
      <c r="AK4" s="132"/>
      <c r="AL4" s="132"/>
      <c r="AM4" s="132"/>
      <c r="AN4" s="132"/>
      <c r="AO4" s="132"/>
      <c r="AP4" s="132"/>
      <c r="AQ4" s="230"/>
      <c r="AR4" s="230"/>
      <c r="AS4" s="132"/>
      <c r="AT4" s="132"/>
      <c r="AU4" s="132"/>
      <c r="AV4" s="132"/>
      <c r="AW4" s="132"/>
      <c r="AX4" s="132"/>
      <c r="AY4" s="132"/>
      <c r="AZ4" s="132"/>
      <c r="BA4" s="132"/>
      <c r="BB4" s="132"/>
      <c r="BC4" s="132"/>
      <c r="BD4" s="132"/>
      <c r="BE4" s="132"/>
      <c r="BF4" s="132"/>
      <c r="BG4" s="132"/>
      <c r="BH4" s="132"/>
      <c r="BI4" s="132"/>
      <c r="BJ4" s="132"/>
      <c r="BK4" s="132"/>
      <c r="BL4" s="132"/>
      <c r="BM4" s="132"/>
      <c r="BN4" s="132"/>
      <c r="BO4" s="587"/>
      <c r="BP4" s="587"/>
    </row>
    <row r="5" spans="1:68">
      <c r="A5" s="132"/>
      <c r="B5" s="174"/>
      <c r="C5" s="132"/>
      <c r="D5" s="132"/>
      <c r="E5" s="132"/>
      <c r="F5" s="132"/>
      <c r="G5" s="132"/>
      <c r="H5" s="2085"/>
      <c r="I5" s="132"/>
      <c r="J5" s="132"/>
      <c r="K5" s="132"/>
      <c r="L5" s="260" t="s">
        <v>111</v>
      </c>
      <c r="M5" s="261"/>
      <c r="N5" s="261"/>
      <c r="O5" s="261"/>
      <c r="P5" s="261"/>
      <c r="Q5" s="261"/>
      <c r="R5" s="261"/>
      <c r="S5" s="261"/>
      <c r="T5" s="261"/>
      <c r="U5" s="261"/>
      <c r="V5" s="261"/>
      <c r="W5" s="261"/>
      <c r="X5" s="261"/>
      <c r="Y5" s="261"/>
      <c r="Z5" s="261"/>
      <c r="AA5" s="262"/>
      <c r="AB5" s="132"/>
      <c r="AC5" s="260" t="s">
        <v>1890</v>
      </c>
      <c r="AD5" s="261"/>
      <c r="AE5" s="261"/>
      <c r="AF5" s="261"/>
      <c r="AG5" s="261"/>
      <c r="AH5" s="261"/>
      <c r="AI5" s="261"/>
      <c r="AJ5" s="261"/>
      <c r="AK5" s="261"/>
      <c r="AL5" s="261"/>
      <c r="AM5" s="261"/>
      <c r="AN5" s="261"/>
      <c r="AO5" s="261"/>
      <c r="AP5" s="261"/>
      <c r="AQ5" s="262"/>
      <c r="AR5" s="779"/>
      <c r="AS5" s="260" t="s">
        <v>1382</v>
      </c>
      <c r="AT5" s="261"/>
      <c r="AU5" s="261"/>
      <c r="AV5" s="261"/>
      <c r="AW5" s="262"/>
      <c r="AX5" s="262"/>
      <c r="AY5" s="132"/>
      <c r="AZ5" s="260" t="s">
        <v>43</v>
      </c>
      <c r="BA5" s="261"/>
      <c r="BB5" s="261"/>
      <c r="BC5" s="261"/>
      <c r="BD5" s="261"/>
      <c r="BE5" s="261"/>
      <c r="BF5" s="261"/>
      <c r="BG5" s="261"/>
      <c r="BH5" s="261"/>
      <c r="BI5" s="261"/>
      <c r="BJ5" s="261"/>
      <c r="BK5" s="262"/>
      <c r="BL5" s="262"/>
      <c r="BM5" s="132"/>
      <c r="BN5" s="132"/>
      <c r="BO5" s="587"/>
      <c r="BP5" s="587"/>
    </row>
    <row r="6" spans="1:68">
      <c r="A6" s="132"/>
      <c r="B6" s="174"/>
      <c r="C6" s="132"/>
      <c r="D6" s="163"/>
      <c r="E6" s="165" t="s">
        <v>1015</v>
      </c>
      <c r="F6" s="163"/>
      <c r="G6" s="165"/>
      <c r="H6" s="2086"/>
      <c r="I6" s="132"/>
      <c r="J6" s="166" t="s">
        <v>47</v>
      </c>
      <c r="K6" s="132"/>
      <c r="L6" s="132"/>
      <c r="M6" s="132"/>
      <c r="N6" s="132"/>
      <c r="O6" s="132"/>
      <c r="P6" s="132"/>
      <c r="Q6" s="132"/>
      <c r="R6" s="167" t="s">
        <v>2025</v>
      </c>
      <c r="S6" s="167"/>
      <c r="T6" s="132"/>
      <c r="U6" s="132"/>
      <c r="V6" s="164"/>
      <c r="W6" s="164"/>
      <c r="X6" s="163" t="s">
        <v>109</v>
      </c>
      <c r="Y6" s="164"/>
      <c r="Z6" s="164"/>
      <c r="AA6" s="230"/>
      <c r="AB6" s="132"/>
      <c r="AC6" s="132"/>
      <c r="AD6" s="132"/>
      <c r="AE6" s="132"/>
      <c r="AF6" s="132"/>
      <c r="AG6" s="132"/>
      <c r="AH6" s="132"/>
      <c r="AI6" s="167" t="s">
        <v>2025</v>
      </c>
      <c r="AJ6" s="167"/>
      <c r="AK6" s="132"/>
      <c r="AL6" s="164"/>
      <c r="AM6" s="164"/>
      <c r="AN6" s="165" t="s">
        <v>110</v>
      </c>
      <c r="AO6" s="164"/>
      <c r="AP6" s="164"/>
      <c r="AQ6" s="230"/>
      <c r="AR6" s="230"/>
      <c r="AS6" s="168" t="s">
        <v>109</v>
      </c>
      <c r="AT6" s="168"/>
      <c r="AU6" s="168"/>
      <c r="AV6" s="168"/>
      <c r="AW6" s="168"/>
      <c r="AX6" s="1596"/>
      <c r="AY6" s="132"/>
      <c r="AZ6" s="261" t="s">
        <v>1273</v>
      </c>
      <c r="BA6" s="261"/>
      <c r="BB6" s="132"/>
      <c r="BC6" s="261" t="s">
        <v>1274</v>
      </c>
      <c r="BD6" s="261"/>
      <c r="BE6" s="132"/>
      <c r="BF6" s="261" t="s">
        <v>1275</v>
      </c>
      <c r="BG6" s="261"/>
      <c r="BH6" s="132"/>
      <c r="BI6" s="1607" t="s">
        <v>238</v>
      </c>
      <c r="BJ6" s="132"/>
      <c r="BK6" s="132"/>
      <c r="BL6" s="132"/>
      <c r="BM6" s="132"/>
      <c r="BN6" s="132"/>
      <c r="BO6" s="587"/>
      <c r="BP6" s="587"/>
    </row>
    <row r="7" spans="1:68">
      <c r="A7" s="256"/>
      <c r="B7" s="302"/>
      <c r="C7" s="256"/>
      <c r="D7" s="274"/>
      <c r="E7" s="274"/>
      <c r="F7" s="274" t="s">
        <v>68</v>
      </c>
      <c r="G7" s="274"/>
      <c r="H7" s="2079" t="s">
        <v>46</v>
      </c>
      <c r="I7" s="274"/>
      <c r="J7" s="291" t="s">
        <v>48</v>
      </c>
      <c r="K7" s="256"/>
      <c r="L7" s="291"/>
      <c r="M7" s="291" t="s">
        <v>2020</v>
      </c>
      <c r="N7" s="291"/>
      <c r="O7" s="274"/>
      <c r="P7" s="274" t="s">
        <v>2023</v>
      </c>
      <c r="Q7" s="256"/>
      <c r="R7" s="739" t="s">
        <v>2026</v>
      </c>
      <c r="S7" s="739"/>
      <c r="T7" s="256"/>
      <c r="U7" s="256"/>
      <c r="V7" s="256"/>
      <c r="W7" s="256"/>
      <c r="X7" s="274" t="s">
        <v>616</v>
      </c>
      <c r="Y7" s="256"/>
      <c r="Z7" s="274" t="s">
        <v>618</v>
      </c>
      <c r="AA7" s="643"/>
      <c r="AB7" s="256"/>
      <c r="AC7" s="291"/>
      <c r="AD7" s="291" t="s">
        <v>442</v>
      </c>
      <c r="AE7" s="291"/>
      <c r="AF7" s="274"/>
      <c r="AG7" s="274" t="s">
        <v>2023</v>
      </c>
      <c r="AH7" s="256"/>
      <c r="AI7" s="739" t="s">
        <v>2026</v>
      </c>
      <c r="AJ7" s="739"/>
      <c r="AK7" s="256"/>
      <c r="AL7" s="256"/>
      <c r="AM7" s="256"/>
      <c r="AN7" s="274" t="s">
        <v>616</v>
      </c>
      <c r="AO7" s="256"/>
      <c r="AP7" s="274" t="s">
        <v>618</v>
      </c>
      <c r="AQ7" s="643"/>
      <c r="AR7" s="643"/>
      <c r="AS7" s="274"/>
      <c r="AT7" s="777"/>
      <c r="AU7" s="274" t="s">
        <v>618</v>
      </c>
      <c r="AV7" s="777"/>
      <c r="AW7" s="274" t="s">
        <v>2380</v>
      </c>
      <c r="AX7" s="256"/>
      <c r="AY7" s="256"/>
      <c r="AZ7" s="1599" t="s">
        <v>1276</v>
      </c>
      <c r="BA7" s="1600" t="s">
        <v>1970</v>
      </c>
      <c r="BB7" s="777"/>
      <c r="BC7" s="1599" t="s">
        <v>1276</v>
      </c>
      <c r="BD7" s="1600" t="s">
        <v>1970</v>
      </c>
      <c r="BE7" s="256"/>
      <c r="BF7" s="1599" t="s">
        <v>1276</v>
      </c>
      <c r="BG7" s="1600" t="s">
        <v>1970</v>
      </c>
      <c r="BH7" s="256"/>
      <c r="BI7" s="274" t="s">
        <v>239</v>
      </c>
      <c r="BK7" s="1599" t="s">
        <v>68</v>
      </c>
      <c r="BL7" s="256"/>
      <c r="BM7" s="256"/>
      <c r="BN7" s="777" t="s">
        <v>547</v>
      </c>
      <c r="BO7" s="587"/>
      <c r="BP7" s="587"/>
    </row>
    <row r="8" spans="1:68">
      <c r="A8" s="256"/>
      <c r="B8" s="302"/>
      <c r="C8" s="256"/>
      <c r="D8" s="291" t="s">
        <v>45</v>
      </c>
      <c r="E8" s="274"/>
      <c r="F8" s="291" t="s">
        <v>67</v>
      </c>
      <c r="G8" s="274"/>
      <c r="H8" s="2080" t="s">
        <v>1028</v>
      </c>
      <c r="I8" s="274"/>
      <c r="J8" s="274" t="s">
        <v>2016</v>
      </c>
      <c r="K8" s="256"/>
      <c r="L8" s="291" t="s">
        <v>45</v>
      </c>
      <c r="M8" s="274"/>
      <c r="N8" s="291" t="s">
        <v>1041</v>
      </c>
      <c r="O8" s="274"/>
      <c r="P8" s="291" t="s">
        <v>1970</v>
      </c>
      <c r="Q8" s="256"/>
      <c r="R8" s="776" t="s">
        <v>2259</v>
      </c>
      <c r="S8" s="776"/>
      <c r="T8" s="256"/>
      <c r="U8" s="256"/>
      <c r="V8" s="291" t="s">
        <v>45</v>
      </c>
      <c r="W8" s="256"/>
      <c r="X8" s="291" t="s">
        <v>1456</v>
      </c>
      <c r="Y8" s="256"/>
      <c r="Z8" s="291" t="s">
        <v>1457</v>
      </c>
      <c r="AA8" s="643"/>
      <c r="AB8" s="256"/>
      <c r="AC8" s="291" t="s">
        <v>45</v>
      </c>
      <c r="AD8" s="274"/>
      <c r="AE8" s="291" t="s">
        <v>1041</v>
      </c>
      <c r="AF8" s="274"/>
      <c r="AG8" s="291" t="s">
        <v>1970</v>
      </c>
      <c r="AH8" s="256"/>
      <c r="AI8" s="776" t="s">
        <v>108</v>
      </c>
      <c r="AJ8" s="776"/>
      <c r="AK8" s="256"/>
      <c r="AL8" s="291" t="s">
        <v>45</v>
      </c>
      <c r="AM8" s="256"/>
      <c r="AN8" s="291" t="s">
        <v>103</v>
      </c>
      <c r="AO8" s="256"/>
      <c r="AP8" s="291" t="s">
        <v>1457</v>
      </c>
      <c r="AQ8" s="643"/>
      <c r="AR8" s="643"/>
      <c r="AS8" s="291" t="s">
        <v>45</v>
      </c>
      <c r="AT8" s="777"/>
      <c r="AU8" s="291" t="s">
        <v>1457</v>
      </c>
      <c r="AV8" s="777"/>
      <c r="AW8" s="291" t="s">
        <v>45</v>
      </c>
      <c r="AX8" s="319"/>
      <c r="AY8" s="256"/>
      <c r="AZ8" s="781" t="s">
        <v>1277</v>
      </c>
      <c r="BA8" s="781" t="s">
        <v>1278</v>
      </c>
      <c r="BB8" s="777"/>
      <c r="BC8" s="781" t="s">
        <v>1277</v>
      </c>
      <c r="BD8" s="781" t="s">
        <v>1278</v>
      </c>
      <c r="BE8" s="256"/>
      <c r="BF8" s="781" t="s">
        <v>1277</v>
      </c>
      <c r="BG8" s="781" t="s">
        <v>1278</v>
      </c>
      <c r="BH8" s="256"/>
      <c r="BI8" s="291" t="s">
        <v>240</v>
      </c>
      <c r="BK8" s="781" t="s">
        <v>67</v>
      </c>
      <c r="BL8" s="256"/>
      <c r="BM8" s="256"/>
      <c r="BN8" s="777" t="s">
        <v>2445</v>
      </c>
      <c r="BO8" s="587"/>
      <c r="BP8" s="587"/>
    </row>
    <row r="9" spans="1:68">
      <c r="A9" s="132"/>
      <c r="B9" s="174"/>
      <c r="C9" s="132"/>
      <c r="D9" s="277" t="s">
        <v>2018</v>
      </c>
      <c r="E9" s="166"/>
      <c r="F9" s="277"/>
      <c r="G9" s="166"/>
      <c r="H9" s="2081" t="s">
        <v>2019</v>
      </c>
      <c r="I9" s="166"/>
      <c r="J9" s="277" t="s">
        <v>2017</v>
      </c>
      <c r="K9" s="132"/>
      <c r="L9" s="277" t="s">
        <v>2021</v>
      </c>
      <c r="M9" s="166"/>
      <c r="N9" s="277" t="s">
        <v>2022</v>
      </c>
      <c r="O9" s="166"/>
      <c r="P9" s="277" t="s">
        <v>2024</v>
      </c>
      <c r="Q9" s="132"/>
      <c r="R9" s="258" t="s">
        <v>2260</v>
      </c>
      <c r="S9" s="258"/>
      <c r="T9" s="132"/>
      <c r="U9" s="132"/>
      <c r="V9" s="277" t="s">
        <v>615</v>
      </c>
      <c r="W9" s="132"/>
      <c r="X9" s="277" t="s">
        <v>617</v>
      </c>
      <c r="Y9" s="132"/>
      <c r="Z9" s="277" t="s">
        <v>619</v>
      </c>
      <c r="AA9" s="230"/>
      <c r="AB9" s="132"/>
      <c r="AC9" s="277" t="s">
        <v>100</v>
      </c>
      <c r="AD9" s="166"/>
      <c r="AE9" s="277" t="s">
        <v>101</v>
      </c>
      <c r="AF9" s="166"/>
      <c r="AG9" s="277" t="s">
        <v>102</v>
      </c>
      <c r="AH9" s="132"/>
      <c r="AI9" s="258" t="s">
        <v>104</v>
      </c>
      <c r="AJ9" s="258"/>
      <c r="AK9" s="132"/>
      <c r="AL9" s="277" t="s">
        <v>105</v>
      </c>
      <c r="AM9" s="132"/>
      <c r="AN9" s="277" t="s">
        <v>106</v>
      </c>
      <c r="AO9" s="132"/>
      <c r="AP9" s="277" t="s">
        <v>107</v>
      </c>
      <c r="AQ9" s="230"/>
      <c r="AR9" s="230"/>
      <c r="AS9" s="132"/>
      <c r="AT9" s="132"/>
      <c r="AU9" s="132"/>
      <c r="AV9" s="132"/>
      <c r="AW9" s="132"/>
      <c r="AX9" s="132"/>
      <c r="AY9" s="132"/>
      <c r="AZ9" s="132"/>
      <c r="BA9" s="132"/>
      <c r="BB9" s="132"/>
      <c r="BC9" s="132"/>
      <c r="BD9" s="132"/>
      <c r="BE9" s="132"/>
      <c r="BF9" s="132"/>
      <c r="BG9" s="132"/>
      <c r="BH9" s="132"/>
      <c r="BK9" s="230" t="s">
        <v>1279</v>
      </c>
      <c r="BL9" s="132"/>
      <c r="BM9" s="132"/>
      <c r="BN9" s="132"/>
      <c r="BO9" s="780"/>
      <c r="BP9" s="587"/>
    </row>
    <row r="10" spans="1:68">
      <c r="A10" s="132"/>
      <c r="B10" s="174"/>
      <c r="C10" s="132"/>
      <c r="D10" s="132"/>
      <c r="E10" s="132"/>
      <c r="F10" s="132"/>
      <c r="G10" s="132"/>
      <c r="H10" s="2085"/>
      <c r="I10" s="132"/>
      <c r="J10" s="132"/>
      <c r="K10" s="132"/>
      <c r="L10" s="132"/>
      <c r="M10" s="132"/>
      <c r="N10" s="132"/>
      <c r="O10" s="132"/>
      <c r="P10" s="132"/>
      <c r="Q10" s="132"/>
      <c r="R10" s="138"/>
      <c r="S10" s="138"/>
      <c r="T10" s="132"/>
      <c r="U10" s="132"/>
      <c r="V10" s="132"/>
      <c r="W10" s="132"/>
      <c r="X10" s="132"/>
      <c r="Y10" s="132"/>
      <c r="Z10" s="132"/>
      <c r="AA10" s="230"/>
      <c r="AB10" s="132"/>
      <c r="AC10" s="132"/>
      <c r="AD10" s="132"/>
      <c r="AE10" s="132"/>
      <c r="AF10" s="132"/>
      <c r="AG10" s="132"/>
      <c r="AH10" s="132"/>
      <c r="AI10" s="138"/>
      <c r="AJ10" s="138"/>
      <c r="AK10" s="132"/>
      <c r="AL10" s="132"/>
      <c r="AM10" s="132"/>
      <c r="AN10" s="132"/>
      <c r="AO10" s="132"/>
      <c r="AP10" s="132"/>
      <c r="AQ10" s="230"/>
      <c r="AR10" s="230"/>
      <c r="AS10" s="256"/>
      <c r="AT10" s="256"/>
      <c r="AU10" s="256"/>
      <c r="AV10" s="256"/>
      <c r="AW10" s="256"/>
      <c r="AX10" s="256"/>
      <c r="AY10" s="256"/>
      <c r="AZ10" s="256"/>
      <c r="BA10" s="256"/>
      <c r="BB10" s="256"/>
      <c r="BC10" s="256"/>
      <c r="BD10" s="233"/>
      <c r="BE10" s="233"/>
      <c r="BF10" s="1096"/>
      <c r="BG10" s="1096"/>
      <c r="BH10" s="1096"/>
      <c r="BI10" s="132"/>
      <c r="BJ10" s="132"/>
      <c r="BK10" s="1096"/>
      <c r="BL10" s="1096"/>
      <c r="BM10" s="1096"/>
      <c r="BN10" s="132"/>
      <c r="BO10" s="587"/>
      <c r="BP10" s="587"/>
    </row>
    <row r="11" spans="1:68" hidden="1" outlineLevel="1" collapsed="1">
      <c r="A11" s="740"/>
      <c r="B11" s="768">
        <v>1990</v>
      </c>
      <c r="C11" s="741"/>
      <c r="D11" s="741"/>
      <c r="E11" s="741"/>
      <c r="F11" s="741"/>
      <c r="G11" s="741"/>
      <c r="H11" s="2087"/>
      <c r="I11" s="741"/>
      <c r="J11" s="741"/>
      <c r="K11" s="741"/>
      <c r="L11" s="741"/>
      <c r="M11" s="741"/>
      <c r="N11" s="741"/>
      <c r="O11" s="741"/>
      <c r="P11" s="741"/>
      <c r="Q11" s="741"/>
      <c r="R11" s="743"/>
      <c r="S11" s="743"/>
      <c r="T11" s="741"/>
      <c r="U11" s="741"/>
      <c r="V11" s="741"/>
      <c r="W11" s="741"/>
      <c r="X11" s="741"/>
      <c r="Y11" s="741"/>
      <c r="Z11" s="741"/>
      <c r="AA11" s="742"/>
      <c r="AB11" s="741"/>
      <c r="AC11" s="741"/>
      <c r="AD11" s="741"/>
      <c r="AE11" s="741"/>
      <c r="AF11" s="741"/>
      <c r="AG11" s="741"/>
      <c r="AH11" s="741"/>
      <c r="AI11" s="743"/>
      <c r="AJ11" s="743"/>
      <c r="AK11" s="741"/>
      <c r="AL11" s="741"/>
      <c r="AM11" s="741"/>
      <c r="AN11" s="741"/>
      <c r="AO11" s="741"/>
      <c r="AP11" s="741"/>
      <c r="AQ11" s="742"/>
      <c r="AR11" s="742"/>
      <c r="AS11" s="741"/>
      <c r="AT11" s="741"/>
      <c r="AU11" s="741"/>
      <c r="AV11" s="741"/>
      <c r="AW11" s="741"/>
      <c r="AX11" s="741"/>
      <c r="AY11" s="741"/>
      <c r="AZ11" s="741"/>
      <c r="BA11" s="741"/>
      <c r="BB11" s="741"/>
      <c r="BC11" s="741"/>
      <c r="BD11" s="741"/>
      <c r="BE11" s="741"/>
      <c r="BF11" s="741"/>
      <c r="BG11" s="741"/>
      <c r="BH11" s="741"/>
      <c r="BI11" s="741"/>
      <c r="BJ11" s="741"/>
      <c r="BK11" s="741"/>
      <c r="BL11" s="741"/>
      <c r="BM11" s="741"/>
      <c r="BN11" s="741"/>
      <c r="BO11" s="587"/>
      <c r="BP11" s="587"/>
    </row>
    <row r="12" spans="1:68" hidden="1" outlineLevel="1">
      <c r="A12" s="741" t="str">
        <f>$A$40</f>
        <v>1Q</v>
      </c>
      <c r="B12" s="744" t="str">
        <f>$B$40</f>
        <v>Apr</v>
      </c>
      <c r="C12" s="741"/>
      <c r="D12" s="745">
        <f>'qtrP&amp;L'!G10</f>
        <v>0</v>
      </c>
      <c r="E12" s="741" t="s">
        <v>1970</v>
      </c>
      <c r="F12" s="769"/>
      <c r="G12" s="741"/>
      <c r="H12" s="2087">
        <f>'qtrP&amp;L'!H10</f>
        <v>0</v>
      </c>
      <c r="I12" s="741" t="s">
        <v>1970</v>
      </c>
      <c r="J12" s="745">
        <f>D12-H12</f>
        <v>0</v>
      </c>
      <c r="K12" s="742" t="s">
        <v>1970</v>
      </c>
      <c r="L12" s="750"/>
      <c r="M12" s="741"/>
      <c r="N12" s="747">
        <f>AVERAGE(L12,152)</f>
        <v>152</v>
      </c>
      <c r="O12" s="741"/>
      <c r="P12" s="745"/>
      <c r="Q12" s="742" t="s">
        <v>1970</v>
      </c>
      <c r="R12" s="748"/>
      <c r="S12" s="743" t="s">
        <v>1970</v>
      </c>
      <c r="T12" s="741"/>
      <c r="U12" s="741"/>
      <c r="V12" s="749">
        <f>'qtrP&amp;L'!F$10</f>
        <v>0</v>
      </c>
      <c r="W12" s="741"/>
      <c r="X12" s="751">
        <f>V12/N12</f>
        <v>0</v>
      </c>
      <c r="Y12" s="741"/>
      <c r="Z12" s="769"/>
      <c r="AA12" s="742" t="s">
        <v>1970</v>
      </c>
      <c r="AB12" s="741"/>
      <c r="AC12" s="753"/>
      <c r="AD12" s="741"/>
      <c r="AE12" s="754"/>
      <c r="AF12" s="741"/>
      <c r="AG12" s="745"/>
      <c r="AH12" s="742"/>
      <c r="AI12" s="748"/>
      <c r="AJ12" s="743" t="s">
        <v>1970</v>
      </c>
      <c r="AK12" s="741"/>
      <c r="AL12" s="749">
        <f>+V12</f>
        <v>0</v>
      </c>
      <c r="AM12" s="741"/>
      <c r="AN12" s="755"/>
      <c r="AO12" s="741"/>
      <c r="AP12" s="745"/>
      <c r="AQ12" s="742" t="s">
        <v>1970</v>
      </c>
      <c r="AR12" s="742"/>
      <c r="AS12" s="741"/>
      <c r="AT12" s="741"/>
      <c r="AU12" s="741"/>
      <c r="AV12" s="741"/>
      <c r="AW12" s="741"/>
      <c r="AX12" s="741"/>
      <c r="AY12" s="741"/>
      <c r="AZ12" s="741"/>
      <c r="BA12" s="741"/>
      <c r="BB12" s="741"/>
      <c r="BC12" s="741"/>
      <c r="BD12" s="741"/>
      <c r="BE12" s="741"/>
      <c r="BF12" s="741"/>
      <c r="BG12" s="741"/>
      <c r="BH12" s="741"/>
      <c r="BI12" s="741"/>
      <c r="BJ12" s="741"/>
      <c r="BK12" s="741"/>
      <c r="BL12" s="741"/>
      <c r="BM12" s="741"/>
      <c r="BN12" s="741"/>
      <c r="BO12" s="587"/>
      <c r="BP12" s="587"/>
    </row>
    <row r="13" spans="1:68" hidden="1" outlineLevel="1">
      <c r="A13" s="741" t="str">
        <f>$A$41</f>
        <v>2Q</v>
      </c>
      <c r="B13" s="744" t="str">
        <f>$B$41</f>
        <v>Jul</v>
      </c>
      <c r="C13" s="741"/>
      <c r="D13" s="745">
        <f>'qtrP&amp;L'!G11</f>
        <v>0</v>
      </c>
      <c r="E13" s="741"/>
      <c r="F13" s="769"/>
      <c r="G13" s="741"/>
      <c r="H13" s="2087">
        <f>'qtrP&amp;L'!H11</f>
        <v>0</v>
      </c>
      <c r="I13" s="741"/>
      <c r="J13" s="745">
        <f>D13-H13</f>
        <v>0</v>
      </c>
      <c r="K13" s="742"/>
      <c r="L13" s="750"/>
      <c r="M13" s="741"/>
      <c r="N13" s="747" t="e">
        <f>AVERAGE(L13,L12)</f>
        <v>#DIV/0!</v>
      </c>
      <c r="O13" s="741"/>
      <c r="P13" s="745"/>
      <c r="Q13" s="742"/>
      <c r="R13" s="748"/>
      <c r="S13" s="743"/>
      <c r="T13" s="741"/>
      <c r="U13" s="741"/>
      <c r="V13" s="756">
        <f>'qtrP&amp;L'!F$11</f>
        <v>0</v>
      </c>
      <c r="W13" s="741"/>
      <c r="X13" s="757" t="e">
        <f>V13/N13</f>
        <v>#DIV/0!</v>
      </c>
      <c r="Y13" s="741"/>
      <c r="Z13" s="769"/>
      <c r="AA13" s="742"/>
      <c r="AB13" s="741"/>
      <c r="AC13" s="753"/>
      <c r="AD13" s="741"/>
      <c r="AE13" s="754"/>
      <c r="AF13" s="741"/>
      <c r="AG13" s="745"/>
      <c r="AH13" s="742"/>
      <c r="AI13" s="748"/>
      <c r="AJ13" s="743"/>
      <c r="AK13" s="741"/>
      <c r="AL13" s="756">
        <f>+V13</f>
        <v>0</v>
      </c>
      <c r="AM13" s="741"/>
      <c r="AN13" s="758"/>
      <c r="AO13" s="741"/>
      <c r="AP13" s="769"/>
      <c r="AQ13" s="742"/>
      <c r="AR13" s="742"/>
      <c r="AS13" s="741"/>
      <c r="AT13" s="741"/>
      <c r="AU13" s="741"/>
      <c r="AV13" s="741"/>
      <c r="AW13" s="741"/>
      <c r="AX13" s="741"/>
      <c r="AY13" s="741"/>
      <c r="AZ13" s="741"/>
      <c r="BA13" s="741"/>
      <c r="BB13" s="741"/>
      <c r="BC13" s="741"/>
      <c r="BD13" s="741"/>
      <c r="BE13" s="741"/>
      <c r="BF13" s="741"/>
      <c r="BG13" s="741"/>
      <c r="BH13" s="741"/>
      <c r="BI13" s="741"/>
      <c r="BJ13" s="741"/>
      <c r="BK13" s="741"/>
      <c r="BL13" s="741"/>
      <c r="BM13" s="741"/>
      <c r="BN13" s="741"/>
      <c r="BO13" s="587"/>
      <c r="BP13" s="587"/>
    </row>
    <row r="14" spans="1:68" hidden="1" outlineLevel="1">
      <c r="A14" s="741" t="str">
        <f>$A$42</f>
        <v>3Q</v>
      </c>
      <c r="B14" s="744" t="str">
        <f>$B$42</f>
        <v>Oct</v>
      </c>
      <c r="C14" s="741"/>
      <c r="D14" s="745">
        <f>'qtrP&amp;L'!G12</f>
        <v>0</v>
      </c>
      <c r="E14" s="741"/>
      <c r="F14" s="769"/>
      <c r="G14" s="741"/>
      <c r="H14" s="2087">
        <f>'qtrP&amp;L'!H12</f>
        <v>0</v>
      </c>
      <c r="I14" s="741"/>
      <c r="J14" s="745">
        <f>D14-H14</f>
        <v>0</v>
      </c>
      <c r="K14" s="742"/>
      <c r="L14" s="750"/>
      <c r="M14" s="741"/>
      <c r="N14" s="747" t="e">
        <f>AVERAGE(L14,L13)</f>
        <v>#DIV/0!</v>
      </c>
      <c r="O14" s="741"/>
      <c r="P14" s="745"/>
      <c r="Q14" s="742"/>
      <c r="R14" s="748"/>
      <c r="S14" s="743"/>
      <c r="T14" s="741"/>
      <c r="U14" s="741"/>
      <c r="V14" s="756">
        <f>'qtrP&amp;L'!F$12</f>
        <v>0</v>
      </c>
      <c r="W14" s="741"/>
      <c r="X14" s="757" t="e">
        <f>V14/N14</f>
        <v>#DIV/0!</v>
      </c>
      <c r="Y14" s="741"/>
      <c r="Z14" s="769"/>
      <c r="AA14" s="742"/>
      <c r="AB14" s="741"/>
      <c r="AC14" s="753"/>
      <c r="AD14" s="741"/>
      <c r="AE14" s="754"/>
      <c r="AF14" s="741"/>
      <c r="AG14" s="745"/>
      <c r="AH14" s="742"/>
      <c r="AI14" s="748"/>
      <c r="AJ14" s="743"/>
      <c r="AK14" s="741"/>
      <c r="AL14" s="756">
        <f>+V14</f>
        <v>0</v>
      </c>
      <c r="AM14" s="741"/>
      <c r="AN14" s="758"/>
      <c r="AO14" s="741"/>
      <c r="AP14" s="769"/>
      <c r="AQ14" s="742"/>
      <c r="AR14" s="742"/>
      <c r="AS14" s="741"/>
      <c r="AT14" s="741"/>
      <c r="AU14" s="741"/>
      <c r="AV14" s="741"/>
      <c r="AW14" s="741"/>
      <c r="AX14" s="741"/>
      <c r="AY14" s="741"/>
      <c r="AZ14" s="741"/>
      <c r="BA14" s="741"/>
      <c r="BB14" s="741"/>
      <c r="BC14" s="741"/>
      <c r="BD14" s="741"/>
      <c r="BE14" s="741"/>
      <c r="BF14" s="741"/>
      <c r="BG14" s="741"/>
      <c r="BH14" s="741"/>
      <c r="BI14" s="741"/>
      <c r="BJ14" s="741"/>
      <c r="BK14" s="741"/>
      <c r="BL14" s="741"/>
      <c r="BM14" s="741"/>
      <c r="BN14" s="741"/>
      <c r="BO14" s="587"/>
      <c r="BP14" s="587"/>
    </row>
    <row r="15" spans="1:68" hidden="1" outlineLevel="1">
      <c r="A15" s="741" t="str">
        <f>$A$43</f>
        <v>4Q</v>
      </c>
      <c r="B15" s="744" t="str">
        <f>$B$43</f>
        <v>Jan</v>
      </c>
      <c r="C15" s="741"/>
      <c r="D15" s="759">
        <f>'qtrP&amp;L'!G13</f>
        <v>0</v>
      </c>
      <c r="E15" s="741"/>
      <c r="F15" s="763"/>
      <c r="G15" s="741"/>
      <c r="H15" s="2088">
        <f>'qtrP&amp;L'!H13</f>
        <v>0</v>
      </c>
      <c r="I15" s="741"/>
      <c r="J15" s="759">
        <f>D15-H15</f>
        <v>0</v>
      </c>
      <c r="K15" s="742"/>
      <c r="L15" s="914">
        <f>Stores!D33</f>
        <v>12</v>
      </c>
      <c r="M15" s="741"/>
      <c r="N15" s="760">
        <f>AVERAGE(L15,L14)</f>
        <v>12</v>
      </c>
      <c r="O15" s="741"/>
      <c r="P15" s="759"/>
      <c r="Q15" s="742"/>
      <c r="R15" s="760"/>
      <c r="S15" s="743"/>
      <c r="T15" s="741"/>
      <c r="U15" s="741"/>
      <c r="V15" s="761">
        <f>'qtrP&amp;L'!F$13</f>
        <v>0</v>
      </c>
      <c r="W15" s="741"/>
      <c r="X15" s="762">
        <f>V15/N15</f>
        <v>0</v>
      </c>
      <c r="Y15" s="741"/>
      <c r="Z15" s="763"/>
      <c r="AA15" s="742"/>
      <c r="AB15" s="741"/>
      <c r="AC15" s="764">
        <f>yrSales!B$30</f>
        <v>0</v>
      </c>
      <c r="AD15" s="741"/>
      <c r="AE15" s="765"/>
      <c r="AF15" s="741"/>
      <c r="AG15" s="759"/>
      <c r="AH15" s="742"/>
      <c r="AI15" s="760"/>
      <c r="AJ15" s="743"/>
      <c r="AK15" s="741"/>
      <c r="AL15" s="761">
        <f>+V15</f>
        <v>0</v>
      </c>
      <c r="AM15" s="741"/>
      <c r="AN15" s="766"/>
      <c r="AO15" s="741"/>
      <c r="AP15" s="763"/>
      <c r="AQ15" s="742"/>
      <c r="AR15" s="742"/>
      <c r="AS15" s="741"/>
      <c r="AT15" s="741"/>
      <c r="AU15" s="741"/>
      <c r="AV15" s="741"/>
      <c r="AW15" s="741"/>
      <c r="AX15" s="741"/>
      <c r="AY15" s="741"/>
      <c r="AZ15" s="741"/>
      <c r="BA15" s="741"/>
      <c r="BB15" s="741"/>
      <c r="BC15" s="741"/>
      <c r="BD15" s="741"/>
      <c r="BE15" s="741"/>
      <c r="BF15" s="741"/>
      <c r="BG15" s="741"/>
      <c r="BH15" s="741"/>
      <c r="BI15" s="741"/>
      <c r="BJ15" s="741"/>
      <c r="BK15" s="741"/>
      <c r="BL15" s="741"/>
      <c r="BM15" s="741"/>
      <c r="BN15" s="741"/>
      <c r="BO15" s="587"/>
      <c r="BP15" s="587"/>
    </row>
    <row r="16" spans="1:68" hidden="1" outlineLevel="1">
      <c r="A16" s="741"/>
      <c r="B16" s="744" t="str">
        <f>$B$44</f>
        <v>Year</v>
      </c>
      <c r="C16" s="741"/>
      <c r="D16" s="745">
        <f>+'qtrP&amp;L'!G14</f>
        <v>0</v>
      </c>
      <c r="E16" s="741"/>
      <c r="F16" s="769"/>
      <c r="G16" s="741"/>
      <c r="H16" s="2087">
        <f>'qtrP&amp;L'!H14</f>
        <v>0</v>
      </c>
      <c r="I16" s="741"/>
      <c r="J16" s="745">
        <f>D16-H16</f>
        <v>0</v>
      </c>
      <c r="K16" s="742"/>
      <c r="L16" s="750"/>
      <c r="M16" s="741"/>
      <c r="N16" s="747" t="e">
        <f>AVERAGE(N12:N15)</f>
        <v>#DIV/0!</v>
      </c>
      <c r="O16" s="741"/>
      <c r="P16" s="745"/>
      <c r="Q16" s="742"/>
      <c r="R16" s="748"/>
      <c r="S16" s="743"/>
      <c r="T16" s="741"/>
      <c r="U16" s="741"/>
      <c r="V16" s="749">
        <f>SUM(V12:V15)</f>
        <v>0</v>
      </c>
      <c r="W16" s="741"/>
      <c r="X16" s="751" t="e">
        <f>SUM(X12:X15)</f>
        <v>#DIV/0!</v>
      </c>
      <c r="Y16" s="741"/>
      <c r="Z16" s="769"/>
      <c r="AA16" s="742"/>
      <c r="AB16" s="741"/>
      <c r="AC16" s="750"/>
      <c r="AD16" s="741"/>
      <c r="AE16" s="754"/>
      <c r="AF16" s="741"/>
      <c r="AG16" s="745"/>
      <c r="AH16" s="742"/>
      <c r="AI16" s="748"/>
      <c r="AJ16" s="743"/>
      <c r="AK16" s="741"/>
      <c r="AL16" s="749">
        <f>SUM(AL12:AL15)</f>
        <v>0</v>
      </c>
      <c r="AM16" s="741"/>
      <c r="AN16" s="755"/>
      <c r="AO16" s="741"/>
      <c r="AP16" s="769"/>
      <c r="AQ16" s="742"/>
      <c r="AR16" s="742"/>
      <c r="AS16" s="741"/>
      <c r="AT16" s="741"/>
      <c r="AU16" s="741"/>
      <c r="AV16" s="741"/>
      <c r="AW16" s="741"/>
      <c r="AX16" s="741"/>
      <c r="AY16" s="741"/>
      <c r="AZ16" s="741"/>
      <c r="BA16" s="741"/>
      <c r="BB16" s="741"/>
      <c r="BC16" s="741"/>
      <c r="BD16" s="741"/>
      <c r="BE16" s="741"/>
      <c r="BF16" s="741"/>
      <c r="BG16" s="741"/>
      <c r="BH16" s="741"/>
      <c r="BI16" s="741"/>
      <c r="BJ16" s="741"/>
      <c r="BK16" s="741"/>
      <c r="BL16" s="741"/>
      <c r="BM16" s="741"/>
      <c r="BN16" s="741"/>
      <c r="BO16" s="587"/>
      <c r="BP16" s="587"/>
    </row>
    <row r="17" spans="1:68" hidden="1" outlineLevel="1">
      <c r="A17" s="741"/>
      <c r="B17" s="744"/>
      <c r="C17" s="741"/>
      <c r="D17" s="741"/>
      <c r="E17" s="741"/>
      <c r="F17" s="741"/>
      <c r="G17" s="741"/>
      <c r="H17" s="2087"/>
      <c r="I17" s="741"/>
      <c r="J17" s="741"/>
      <c r="K17" s="742"/>
      <c r="L17" s="750"/>
      <c r="M17" s="741"/>
      <c r="N17" s="741"/>
      <c r="O17" s="741"/>
      <c r="P17" s="741"/>
      <c r="Q17" s="742"/>
      <c r="R17" s="743"/>
      <c r="S17" s="743"/>
      <c r="T17" s="741"/>
      <c r="U17" s="741"/>
      <c r="V17" s="741"/>
      <c r="W17" s="741"/>
      <c r="X17" s="741"/>
      <c r="Y17" s="741"/>
      <c r="Z17" s="741"/>
      <c r="AA17" s="742"/>
      <c r="AB17" s="741"/>
      <c r="AC17" s="750"/>
      <c r="AD17" s="741"/>
      <c r="AE17" s="741"/>
      <c r="AF17" s="741"/>
      <c r="AG17" s="741"/>
      <c r="AH17" s="742"/>
      <c r="AI17" s="743"/>
      <c r="AJ17" s="743"/>
      <c r="AK17" s="741"/>
      <c r="AL17" s="741"/>
      <c r="AM17" s="741"/>
      <c r="AN17" s="741"/>
      <c r="AO17" s="741"/>
      <c r="AP17" s="741"/>
      <c r="AQ17" s="742"/>
      <c r="AR17" s="742"/>
      <c r="AS17" s="741"/>
      <c r="AT17" s="741"/>
      <c r="AU17" s="741"/>
      <c r="AV17" s="741"/>
      <c r="AW17" s="741"/>
      <c r="AX17" s="741"/>
      <c r="AY17" s="741"/>
      <c r="AZ17" s="741"/>
      <c r="BA17" s="741"/>
      <c r="BB17" s="741"/>
      <c r="BC17" s="741"/>
      <c r="BD17" s="741"/>
      <c r="BE17" s="741"/>
      <c r="BF17" s="741"/>
      <c r="BG17" s="741"/>
      <c r="BH17" s="741"/>
      <c r="BI17" s="741"/>
      <c r="BJ17" s="741"/>
      <c r="BK17" s="741"/>
      <c r="BL17" s="741"/>
      <c r="BM17" s="741"/>
      <c r="BN17" s="741"/>
      <c r="BO17" s="587"/>
      <c r="BP17" s="587"/>
    </row>
    <row r="18" spans="1:68" hidden="1" outlineLevel="1" collapsed="1">
      <c r="A18" s="740"/>
      <c r="B18" s="770">
        <f>B11+1</f>
        <v>1991</v>
      </c>
      <c r="C18" s="741"/>
      <c r="D18" s="741"/>
      <c r="E18" s="741"/>
      <c r="F18" s="741"/>
      <c r="G18" s="741"/>
      <c r="H18" s="2087"/>
      <c r="I18" s="741"/>
      <c r="J18" s="741"/>
      <c r="K18" s="741"/>
      <c r="L18" s="741"/>
      <c r="M18" s="741"/>
      <c r="N18" s="741"/>
      <c r="O18" s="741"/>
      <c r="P18" s="741"/>
      <c r="Q18" s="741"/>
      <c r="R18" s="743"/>
      <c r="S18" s="743"/>
      <c r="T18" s="741"/>
      <c r="U18" s="741"/>
      <c r="V18" s="741"/>
      <c r="W18" s="741"/>
      <c r="X18" s="741"/>
      <c r="Y18" s="741"/>
      <c r="Z18" s="741"/>
      <c r="AA18" s="742"/>
      <c r="AB18" s="741"/>
      <c r="AC18" s="741"/>
      <c r="AD18" s="741"/>
      <c r="AE18" s="741"/>
      <c r="AF18" s="741"/>
      <c r="AG18" s="741"/>
      <c r="AH18" s="741"/>
      <c r="AI18" s="743"/>
      <c r="AJ18" s="743"/>
      <c r="AK18" s="741"/>
      <c r="AL18" s="741"/>
      <c r="AM18" s="741"/>
      <c r="AN18" s="741"/>
      <c r="AO18" s="741"/>
      <c r="AP18" s="741"/>
      <c r="AQ18" s="742"/>
      <c r="AR18" s="742"/>
      <c r="AS18" s="741"/>
      <c r="AT18" s="741"/>
      <c r="AU18" s="741"/>
      <c r="AV18" s="741"/>
      <c r="AW18" s="741"/>
      <c r="AX18" s="741"/>
      <c r="AY18" s="741"/>
      <c r="AZ18" s="741"/>
      <c r="BA18" s="741"/>
      <c r="BB18" s="741"/>
      <c r="BC18" s="741"/>
      <c r="BD18" s="741"/>
      <c r="BE18" s="741"/>
      <c r="BF18" s="741"/>
      <c r="BG18" s="741"/>
      <c r="BH18" s="741"/>
      <c r="BI18" s="741"/>
      <c r="BJ18" s="741"/>
      <c r="BK18" s="741"/>
      <c r="BL18" s="741"/>
      <c r="BM18" s="741"/>
      <c r="BN18" s="741"/>
      <c r="BO18" s="587"/>
      <c r="BP18" s="587"/>
    </row>
    <row r="19" spans="1:68" hidden="1" outlineLevel="1">
      <c r="A19" s="741" t="str">
        <f>$A$40</f>
        <v>1Q</v>
      </c>
      <c r="B19" s="744" t="str">
        <f>$B$40</f>
        <v>Apr</v>
      </c>
      <c r="C19" s="741"/>
      <c r="D19" s="745" t="e">
        <f>(V19/V12-1)*100</f>
        <v>#DIV/0!</v>
      </c>
      <c r="E19" s="741" t="s">
        <v>1970</v>
      </c>
      <c r="F19" s="769"/>
      <c r="G19" s="741"/>
      <c r="H19" s="2087">
        <f>'qtrP&amp;L'!L$10</f>
        <v>0</v>
      </c>
      <c r="I19" s="741" t="s">
        <v>1970</v>
      </c>
      <c r="J19" s="745" t="e">
        <f>D19-H19</f>
        <v>#DIV/0!</v>
      </c>
      <c r="K19" s="742" t="s">
        <v>1970</v>
      </c>
      <c r="L19" s="750"/>
      <c r="M19" s="741"/>
      <c r="N19" s="741">
        <f>AVERAGE(L19,L15)</f>
        <v>12</v>
      </c>
      <c r="O19" s="741"/>
      <c r="P19" s="745">
        <f>(N19/N12-1)*100</f>
        <v>-92.10526315789474</v>
      </c>
      <c r="Q19" s="742" t="s">
        <v>1970</v>
      </c>
      <c r="R19" s="748" t="e">
        <f>J19/P19*100</f>
        <v>#DIV/0!</v>
      </c>
      <c r="S19" s="743" t="s">
        <v>1970</v>
      </c>
      <c r="T19" s="741"/>
      <c r="U19" s="741"/>
      <c r="V19" s="749">
        <f>'qtrP&amp;L'!J$10</f>
        <v>97.105000000000004</v>
      </c>
      <c r="W19" s="741"/>
      <c r="X19" s="751">
        <f>V19/N19</f>
        <v>8.0920833333333331</v>
      </c>
      <c r="Y19" s="741"/>
      <c r="Z19" s="769" t="e">
        <f>(X19/X12-1)*100</f>
        <v>#DIV/0!</v>
      </c>
      <c r="AA19" s="742" t="s">
        <v>1970</v>
      </c>
      <c r="AB19" s="741"/>
      <c r="AC19" s="753"/>
      <c r="AD19" s="741"/>
      <c r="AE19" s="754"/>
      <c r="AF19" s="741"/>
      <c r="AG19" s="745"/>
      <c r="AH19" s="742"/>
      <c r="AI19" s="748"/>
      <c r="AJ19" s="743" t="s">
        <v>1970</v>
      </c>
      <c r="AK19" s="741"/>
      <c r="AL19" s="749">
        <f>+V19</f>
        <v>97.105000000000004</v>
      </c>
      <c r="AM19" s="741"/>
      <c r="AN19" s="755"/>
      <c r="AO19" s="741"/>
      <c r="AP19" s="745"/>
      <c r="AQ19" s="742" t="s">
        <v>1970</v>
      </c>
      <c r="AR19" s="742"/>
      <c r="AS19" s="741"/>
      <c r="AT19" s="741"/>
      <c r="AU19" s="741"/>
      <c r="AV19" s="741"/>
      <c r="AW19" s="741"/>
      <c r="AX19" s="741"/>
      <c r="AY19" s="741"/>
      <c r="AZ19" s="741"/>
      <c r="BA19" s="741"/>
      <c r="BB19" s="741"/>
      <c r="BC19" s="741"/>
      <c r="BD19" s="741"/>
      <c r="BE19" s="741"/>
      <c r="BF19" s="741"/>
      <c r="BG19" s="741"/>
      <c r="BH19" s="741"/>
      <c r="BI19" s="741"/>
      <c r="BJ19" s="741"/>
      <c r="BK19" s="741"/>
      <c r="BL19" s="741"/>
      <c r="BM19" s="741"/>
      <c r="BN19" s="741"/>
      <c r="BO19" s="587"/>
      <c r="BP19" s="587"/>
    </row>
    <row r="20" spans="1:68" hidden="1" outlineLevel="1">
      <c r="A20" s="741" t="str">
        <f>$A$41</f>
        <v>2Q</v>
      </c>
      <c r="B20" s="744" t="str">
        <f>$B$41</f>
        <v>Jul</v>
      </c>
      <c r="C20" s="741"/>
      <c r="D20" s="745" t="e">
        <f>(V20/V13-1)*100</f>
        <v>#DIV/0!</v>
      </c>
      <c r="E20" s="741"/>
      <c r="F20" s="769"/>
      <c r="G20" s="741"/>
      <c r="H20" s="2087">
        <f>'qtrP&amp;L'!L$11</f>
        <v>0</v>
      </c>
      <c r="I20" s="741"/>
      <c r="J20" s="745" t="e">
        <f>D20-H20</f>
        <v>#DIV/0!</v>
      </c>
      <c r="K20" s="742"/>
      <c r="L20" s="750"/>
      <c r="M20" s="741"/>
      <c r="N20" s="747" t="e">
        <f>AVERAGE(L20,L19)</f>
        <v>#DIV/0!</v>
      </c>
      <c r="O20" s="741"/>
      <c r="P20" s="745" t="e">
        <f>(N20/N13-1)*100</f>
        <v>#DIV/0!</v>
      </c>
      <c r="Q20" s="742"/>
      <c r="R20" s="748" t="e">
        <f>J20/P20*100</f>
        <v>#DIV/0!</v>
      </c>
      <c r="S20" s="743"/>
      <c r="T20" s="741"/>
      <c r="U20" s="741"/>
      <c r="V20" s="756">
        <f>'qtrP&amp;L'!J$11</f>
        <v>119.372</v>
      </c>
      <c r="W20" s="741"/>
      <c r="X20" s="757" t="e">
        <f>V20/N20</f>
        <v>#DIV/0!</v>
      </c>
      <c r="Y20" s="741"/>
      <c r="Z20" s="769" t="e">
        <f>(X20/X13-1)*100</f>
        <v>#DIV/0!</v>
      </c>
      <c r="AA20" s="742"/>
      <c r="AB20" s="741"/>
      <c r="AC20" s="753"/>
      <c r="AD20" s="741"/>
      <c r="AE20" s="754"/>
      <c r="AF20" s="741"/>
      <c r="AG20" s="745"/>
      <c r="AH20" s="742"/>
      <c r="AI20" s="748"/>
      <c r="AJ20" s="743"/>
      <c r="AK20" s="741"/>
      <c r="AL20" s="756">
        <f>+V20</f>
        <v>119.372</v>
      </c>
      <c r="AM20" s="741"/>
      <c r="AN20" s="758"/>
      <c r="AO20" s="741"/>
      <c r="AP20" s="769"/>
      <c r="AQ20" s="742"/>
      <c r="AR20" s="742"/>
      <c r="AS20" s="741"/>
      <c r="AT20" s="741"/>
      <c r="AU20" s="741"/>
      <c r="AV20" s="741"/>
      <c r="AW20" s="741"/>
      <c r="AX20" s="741"/>
      <c r="AY20" s="741"/>
      <c r="AZ20" s="741"/>
      <c r="BA20" s="741"/>
      <c r="BB20" s="741"/>
      <c r="BC20" s="741"/>
      <c r="BD20" s="741"/>
      <c r="BE20" s="741"/>
      <c r="BF20" s="741"/>
      <c r="BG20" s="741"/>
      <c r="BH20" s="741"/>
      <c r="BI20" s="741"/>
      <c r="BJ20" s="741"/>
      <c r="BK20" s="741"/>
      <c r="BL20" s="741"/>
      <c r="BM20" s="741"/>
      <c r="BN20" s="741"/>
      <c r="BO20" s="587"/>
      <c r="BP20" s="587"/>
    </row>
    <row r="21" spans="1:68" hidden="1" outlineLevel="1">
      <c r="A21" s="741" t="str">
        <f>$A$42</f>
        <v>3Q</v>
      </c>
      <c r="B21" s="744" t="str">
        <f>$B$42</f>
        <v>Oct</v>
      </c>
      <c r="C21" s="741"/>
      <c r="D21" s="745" t="e">
        <f>(V21/V14-1)*100</f>
        <v>#DIV/0!</v>
      </c>
      <c r="E21" s="741"/>
      <c r="F21" s="769"/>
      <c r="G21" s="741"/>
      <c r="H21" s="2087">
        <f>'qtrP&amp;L'!L$12</f>
        <v>0</v>
      </c>
      <c r="I21" s="741"/>
      <c r="J21" s="745" t="e">
        <f>D21-H21</f>
        <v>#DIV/0!</v>
      </c>
      <c r="K21" s="742"/>
      <c r="L21" s="750"/>
      <c r="M21" s="741"/>
      <c r="N21" s="747" t="e">
        <f>AVERAGE(L21,L20)</f>
        <v>#DIV/0!</v>
      </c>
      <c r="O21" s="741"/>
      <c r="P21" s="745" t="e">
        <f>(N21/N14-1)*100</f>
        <v>#DIV/0!</v>
      </c>
      <c r="Q21" s="742"/>
      <c r="R21" s="748" t="e">
        <f>J21/P21*100</f>
        <v>#DIV/0!</v>
      </c>
      <c r="S21" s="743"/>
      <c r="T21" s="741"/>
      <c r="U21" s="741"/>
      <c r="V21" s="756">
        <f>'qtrP&amp;L'!J$12</f>
        <v>126.401</v>
      </c>
      <c r="W21" s="741"/>
      <c r="X21" s="757" t="e">
        <f>V21/N21</f>
        <v>#DIV/0!</v>
      </c>
      <c r="Y21" s="741"/>
      <c r="Z21" s="769" t="e">
        <f>(X21/X14-1)*100</f>
        <v>#DIV/0!</v>
      </c>
      <c r="AA21" s="742"/>
      <c r="AB21" s="741"/>
      <c r="AC21" s="753"/>
      <c r="AD21" s="741"/>
      <c r="AE21" s="754"/>
      <c r="AF21" s="741"/>
      <c r="AG21" s="745"/>
      <c r="AH21" s="742"/>
      <c r="AI21" s="748"/>
      <c r="AJ21" s="743"/>
      <c r="AK21" s="741"/>
      <c r="AL21" s="756">
        <f>+V21</f>
        <v>126.401</v>
      </c>
      <c r="AM21" s="741"/>
      <c r="AN21" s="758"/>
      <c r="AO21" s="741"/>
      <c r="AP21" s="769"/>
      <c r="AQ21" s="742"/>
      <c r="AR21" s="742"/>
      <c r="AS21" s="741"/>
      <c r="AT21" s="741"/>
      <c r="AU21" s="741"/>
      <c r="AV21" s="741"/>
      <c r="AW21" s="741"/>
      <c r="AX21" s="741"/>
      <c r="AY21" s="741"/>
      <c r="AZ21" s="741"/>
      <c r="BA21" s="741"/>
      <c r="BB21" s="741"/>
      <c r="BC21" s="741"/>
      <c r="BD21" s="741"/>
      <c r="BE21" s="741"/>
      <c r="BF21" s="741"/>
      <c r="BG21" s="741"/>
      <c r="BH21" s="741"/>
      <c r="BI21" s="741"/>
      <c r="BJ21" s="741"/>
      <c r="BK21" s="741"/>
      <c r="BL21" s="741"/>
      <c r="BM21" s="741"/>
      <c r="BN21" s="741"/>
      <c r="BO21" s="587"/>
      <c r="BP21" s="587"/>
    </row>
    <row r="22" spans="1:68" hidden="1" outlineLevel="1">
      <c r="A22" s="741" t="str">
        <f>$A$43</f>
        <v>4Q</v>
      </c>
      <c r="B22" s="744" t="str">
        <f>$B$43</f>
        <v>Jan</v>
      </c>
      <c r="C22" s="741"/>
      <c r="D22" s="759" t="e">
        <f>(V22/V15-1)*100</f>
        <v>#DIV/0!</v>
      </c>
      <c r="E22" s="741"/>
      <c r="F22" s="763"/>
      <c r="G22" s="741"/>
      <c r="H22" s="2088">
        <f>'qtrP&amp;L'!L$13</f>
        <v>0</v>
      </c>
      <c r="I22" s="741"/>
      <c r="J22" s="759" t="e">
        <f>D22-H22</f>
        <v>#DIV/0!</v>
      </c>
      <c r="K22" s="742"/>
      <c r="L22" s="914">
        <f>Stores!D40</f>
        <v>13</v>
      </c>
      <c r="M22" s="741"/>
      <c r="N22" s="760">
        <f>AVERAGE(L22,L21)</f>
        <v>13</v>
      </c>
      <c r="O22" s="741"/>
      <c r="P22" s="759">
        <f>(N22/N15-1)*100</f>
        <v>8.333333333333325</v>
      </c>
      <c r="Q22" s="742"/>
      <c r="R22" s="760" t="e">
        <f>J22/P22*100</f>
        <v>#DIV/0!</v>
      </c>
      <c r="S22" s="743"/>
      <c r="T22" s="741"/>
      <c r="U22" s="741"/>
      <c r="V22" s="761">
        <f>'qtrP&amp;L'!J$13</f>
        <v>149.02799999999999</v>
      </c>
      <c r="W22" s="741"/>
      <c r="X22" s="762">
        <f>V22/N22</f>
        <v>11.463692307692307</v>
      </c>
      <c r="Y22" s="741"/>
      <c r="Z22" s="763" t="e">
        <f>(X22/X15-1)*100</f>
        <v>#DIV/0!</v>
      </c>
      <c r="AA22" s="742"/>
      <c r="AB22" s="741"/>
      <c r="AC22" s="764">
        <f>yrSales!C$30</f>
        <v>0</v>
      </c>
      <c r="AD22" s="741"/>
      <c r="AE22" s="765"/>
      <c r="AF22" s="741"/>
      <c r="AG22" s="759"/>
      <c r="AH22" s="742"/>
      <c r="AI22" s="760"/>
      <c r="AJ22" s="743"/>
      <c r="AK22" s="741"/>
      <c r="AL22" s="761">
        <f>+V22</f>
        <v>149.02799999999999</v>
      </c>
      <c r="AM22" s="741"/>
      <c r="AN22" s="766"/>
      <c r="AO22" s="741"/>
      <c r="AP22" s="763"/>
      <c r="AQ22" s="742"/>
      <c r="AR22" s="742"/>
      <c r="AS22" s="741"/>
      <c r="AT22" s="741"/>
      <c r="AU22" s="741"/>
      <c r="AV22" s="741"/>
      <c r="AW22" s="741"/>
      <c r="AX22" s="741"/>
      <c r="AY22" s="741"/>
      <c r="AZ22" s="741"/>
      <c r="BA22" s="741"/>
      <c r="BB22" s="741"/>
      <c r="BC22" s="741"/>
      <c r="BD22" s="741"/>
      <c r="BE22" s="741"/>
      <c r="BF22" s="741"/>
      <c r="BG22" s="741"/>
      <c r="BH22" s="741"/>
      <c r="BI22" s="741"/>
      <c r="BJ22" s="741"/>
      <c r="BK22" s="741"/>
      <c r="BL22" s="741"/>
      <c r="BM22" s="741"/>
      <c r="BN22" s="741"/>
      <c r="BO22" s="587"/>
      <c r="BP22" s="587"/>
    </row>
    <row r="23" spans="1:68" hidden="1" outlineLevel="1">
      <c r="A23" s="741"/>
      <c r="B23" s="744" t="str">
        <f>$B$44</f>
        <v>Year</v>
      </c>
      <c r="C23" s="741"/>
      <c r="D23" s="745" t="e">
        <f>(V23/V16-1)*100</f>
        <v>#DIV/0!</v>
      </c>
      <c r="E23" s="741"/>
      <c r="F23" s="769"/>
      <c r="G23" s="741"/>
      <c r="H23" s="2087">
        <f>'qtrP&amp;L'!L$14</f>
        <v>0</v>
      </c>
      <c r="I23" s="741"/>
      <c r="J23" s="745" t="e">
        <f>D23-H23</f>
        <v>#DIV/0!</v>
      </c>
      <c r="K23" s="742"/>
      <c r="L23" s="750"/>
      <c r="M23" s="741"/>
      <c r="N23" s="747" t="e">
        <f>AVERAGE(N19:N22)</f>
        <v>#DIV/0!</v>
      </c>
      <c r="O23" s="741"/>
      <c r="P23" s="745" t="e">
        <f>(N23/N16-1)*100</f>
        <v>#DIV/0!</v>
      </c>
      <c r="Q23" s="742"/>
      <c r="R23" s="748" t="e">
        <f>J23/P23*100</f>
        <v>#DIV/0!</v>
      </c>
      <c r="S23" s="743"/>
      <c r="T23" s="741"/>
      <c r="U23" s="741"/>
      <c r="V23" s="749">
        <f>SUM(V19:V22)</f>
        <v>491.90599999999995</v>
      </c>
      <c r="W23" s="741"/>
      <c r="X23" s="751" t="e">
        <f>SUM(X19:X22)</f>
        <v>#DIV/0!</v>
      </c>
      <c r="Y23" s="741"/>
      <c r="Z23" s="769" t="e">
        <f>(X23/X16-1)*100</f>
        <v>#DIV/0!</v>
      </c>
      <c r="AA23" s="742"/>
      <c r="AB23" s="741"/>
      <c r="AC23" s="750"/>
      <c r="AD23" s="741"/>
      <c r="AE23" s="754"/>
      <c r="AF23" s="741"/>
      <c r="AG23" s="745"/>
      <c r="AH23" s="742"/>
      <c r="AI23" s="748"/>
      <c r="AJ23" s="743"/>
      <c r="AK23" s="741"/>
      <c r="AL23" s="749">
        <f>SUM(AL19:AL22)</f>
        <v>491.90599999999995</v>
      </c>
      <c r="AM23" s="741"/>
      <c r="AN23" s="755"/>
      <c r="AO23" s="741"/>
      <c r="AP23" s="769"/>
      <c r="AQ23" s="742"/>
      <c r="AR23" s="742"/>
      <c r="AS23" s="741"/>
      <c r="AT23" s="741"/>
      <c r="AU23" s="741"/>
      <c r="AV23" s="741"/>
      <c r="AW23" s="741"/>
      <c r="AX23" s="741"/>
      <c r="AY23" s="741"/>
      <c r="AZ23" s="741"/>
      <c r="BA23" s="741"/>
      <c r="BB23" s="741"/>
      <c r="BC23" s="741"/>
      <c r="BD23" s="741"/>
      <c r="BE23" s="741"/>
      <c r="BF23" s="741"/>
      <c r="BG23" s="741"/>
      <c r="BH23" s="741"/>
      <c r="BI23" s="741"/>
      <c r="BJ23" s="741"/>
      <c r="BK23" s="741"/>
      <c r="BL23" s="741"/>
      <c r="BM23" s="741"/>
      <c r="BN23" s="741"/>
      <c r="BO23" s="587"/>
      <c r="BP23" s="587"/>
    </row>
    <row r="24" spans="1:68" hidden="1" outlineLevel="1">
      <c r="A24" s="741"/>
      <c r="B24" s="744"/>
      <c r="C24" s="741"/>
      <c r="D24" s="741"/>
      <c r="E24" s="741"/>
      <c r="F24" s="741"/>
      <c r="G24" s="741"/>
      <c r="H24" s="2087"/>
      <c r="I24" s="741"/>
      <c r="J24" s="741"/>
      <c r="K24" s="742"/>
      <c r="L24" s="750"/>
      <c r="M24" s="741"/>
      <c r="N24" s="741"/>
      <c r="O24" s="741"/>
      <c r="P24" s="741"/>
      <c r="Q24" s="742"/>
      <c r="R24" s="743"/>
      <c r="S24" s="743"/>
      <c r="T24" s="741"/>
      <c r="U24" s="741"/>
      <c r="V24" s="741"/>
      <c r="W24" s="741"/>
      <c r="X24" s="741"/>
      <c r="Y24" s="741"/>
      <c r="Z24" s="741"/>
      <c r="AA24" s="742"/>
      <c r="AB24" s="741"/>
      <c r="AC24" s="750"/>
      <c r="AD24" s="741"/>
      <c r="AE24" s="741"/>
      <c r="AF24" s="741"/>
      <c r="AG24" s="741"/>
      <c r="AH24" s="742"/>
      <c r="AI24" s="743"/>
      <c r="AJ24" s="743"/>
      <c r="AK24" s="741"/>
      <c r="AL24" s="741"/>
      <c r="AM24" s="741"/>
      <c r="AN24" s="741"/>
      <c r="AO24" s="741"/>
      <c r="AP24" s="741"/>
      <c r="AQ24" s="742"/>
      <c r="AR24" s="742"/>
      <c r="AS24" s="741"/>
      <c r="AT24" s="741"/>
      <c r="AU24" s="741"/>
      <c r="AV24" s="741"/>
      <c r="AW24" s="741"/>
      <c r="AX24" s="741"/>
      <c r="AY24" s="741"/>
      <c r="AZ24" s="741"/>
      <c r="BA24" s="741"/>
      <c r="BB24" s="741"/>
      <c r="BC24" s="741"/>
      <c r="BD24" s="741"/>
      <c r="BE24" s="741"/>
      <c r="BF24" s="741"/>
      <c r="BG24" s="741"/>
      <c r="BH24" s="741"/>
      <c r="BI24" s="741"/>
      <c r="BJ24" s="741"/>
      <c r="BK24" s="741"/>
      <c r="BL24" s="741"/>
      <c r="BM24" s="741"/>
      <c r="BN24" s="741"/>
      <c r="BO24" s="587"/>
      <c r="BP24" s="587"/>
    </row>
    <row r="25" spans="1:68" hidden="1" outlineLevel="1" collapsed="1">
      <c r="A25" s="740"/>
      <c r="B25" s="770">
        <f>B18+1</f>
        <v>1992</v>
      </c>
      <c r="C25" s="741"/>
      <c r="D25" s="741"/>
      <c r="E25" s="741"/>
      <c r="F25" s="741"/>
      <c r="G25" s="741"/>
      <c r="H25" s="2087"/>
      <c r="I25" s="741"/>
      <c r="J25" s="741"/>
      <c r="K25" s="741"/>
      <c r="L25" s="741"/>
      <c r="M25" s="741"/>
      <c r="N25" s="741"/>
      <c r="O25" s="741"/>
      <c r="P25" s="741"/>
      <c r="Q25" s="741"/>
      <c r="R25" s="743"/>
      <c r="S25" s="743"/>
      <c r="T25" s="741"/>
      <c r="U25" s="741"/>
      <c r="V25" s="741"/>
      <c r="W25" s="741"/>
      <c r="X25" s="741"/>
      <c r="Y25" s="741"/>
      <c r="Z25" s="741"/>
      <c r="AA25" s="742"/>
      <c r="AB25" s="741"/>
      <c r="AC25" s="741"/>
      <c r="AD25" s="741"/>
      <c r="AE25" s="741"/>
      <c r="AF25" s="741"/>
      <c r="AG25" s="741"/>
      <c r="AH25" s="741"/>
      <c r="AI25" s="743"/>
      <c r="AJ25" s="743"/>
      <c r="AK25" s="741"/>
      <c r="AL25" s="741"/>
      <c r="AM25" s="741"/>
      <c r="AN25" s="741"/>
      <c r="AO25" s="741"/>
      <c r="AP25" s="741"/>
      <c r="AQ25" s="742"/>
      <c r="AR25" s="742"/>
      <c r="AS25" s="741"/>
      <c r="AT25" s="741"/>
      <c r="AU25" s="741"/>
      <c r="AV25" s="741"/>
      <c r="AW25" s="741"/>
      <c r="AX25" s="741"/>
      <c r="AY25" s="741"/>
      <c r="AZ25" s="741"/>
      <c r="BA25" s="741"/>
      <c r="BB25" s="741"/>
      <c r="BC25" s="741"/>
      <c r="BD25" s="741"/>
      <c r="BE25" s="741"/>
      <c r="BF25" s="741"/>
      <c r="BG25" s="741"/>
      <c r="BH25" s="741"/>
      <c r="BI25" s="741"/>
      <c r="BJ25" s="741"/>
      <c r="BK25" s="741"/>
      <c r="BL25" s="741"/>
      <c r="BM25" s="741"/>
      <c r="BN25" s="741"/>
      <c r="BO25" s="587"/>
      <c r="BP25" s="587"/>
    </row>
    <row r="26" spans="1:68" hidden="1" outlineLevel="1">
      <c r="A26" s="741" t="str">
        <f>$A$40</f>
        <v>1Q</v>
      </c>
      <c r="B26" s="744" t="str">
        <f>$B$40</f>
        <v>Apr</v>
      </c>
      <c r="C26" s="741"/>
      <c r="D26" s="745">
        <f>(V26/V19-1)*100</f>
        <v>10.435096030070557</v>
      </c>
      <c r="E26" s="741" t="s">
        <v>1970</v>
      </c>
      <c r="F26" s="769"/>
      <c r="G26" s="741"/>
      <c r="H26" s="2087">
        <f>'qtrP&amp;L'!P$10</f>
        <v>0</v>
      </c>
      <c r="I26" s="741" t="s">
        <v>1970</v>
      </c>
      <c r="J26" s="745">
        <f>D26-H26</f>
        <v>10.435096030070557</v>
      </c>
      <c r="K26" s="742" t="s">
        <v>1970</v>
      </c>
      <c r="L26" s="750"/>
      <c r="M26" s="741"/>
      <c r="N26" s="741">
        <f>AVERAGE(L26,L22)</f>
        <v>13</v>
      </c>
      <c r="O26" s="741"/>
      <c r="P26" s="745">
        <f>(N26/N19-1)*100</f>
        <v>8.333333333333325</v>
      </c>
      <c r="Q26" s="742" t="s">
        <v>1970</v>
      </c>
      <c r="R26" s="748">
        <f>J26/P26*100</f>
        <v>125.22115236084682</v>
      </c>
      <c r="S26" s="743" t="s">
        <v>1970</v>
      </c>
      <c r="T26" s="741"/>
      <c r="U26" s="741"/>
      <c r="V26" s="767">
        <f>'qtrP&amp;L'!N$10</f>
        <v>107.23800000000001</v>
      </c>
      <c r="W26" s="741"/>
      <c r="X26" s="751">
        <f>V26/N26</f>
        <v>8.2490769230769239</v>
      </c>
      <c r="Y26" s="741"/>
      <c r="Z26" s="769">
        <f>(X26/X19-1)*100</f>
        <v>1.9400886431420572</v>
      </c>
      <c r="AA26" s="742" t="s">
        <v>1970</v>
      </c>
      <c r="AB26" s="741"/>
      <c r="AC26" s="753"/>
      <c r="AD26" s="741"/>
      <c r="AE26" s="754"/>
      <c r="AF26" s="741"/>
      <c r="AG26" s="745"/>
      <c r="AH26" s="742" t="s">
        <v>1970</v>
      </c>
      <c r="AI26" s="748"/>
      <c r="AJ26" s="743" t="s">
        <v>1970</v>
      </c>
      <c r="AK26" s="741"/>
      <c r="AL26" s="749">
        <f>+V26</f>
        <v>107.23800000000001</v>
      </c>
      <c r="AM26" s="741"/>
      <c r="AN26" s="755"/>
      <c r="AO26" s="741"/>
      <c r="AP26" s="745"/>
      <c r="AQ26" s="742" t="s">
        <v>1970</v>
      </c>
      <c r="AR26" s="742"/>
      <c r="AS26" s="741"/>
      <c r="AT26" s="741"/>
      <c r="AU26" s="741"/>
      <c r="AV26" s="741"/>
      <c r="AW26" s="741"/>
      <c r="AX26" s="741"/>
      <c r="AY26" s="741"/>
      <c r="AZ26" s="741"/>
      <c r="BA26" s="741"/>
      <c r="BB26" s="741"/>
      <c r="BC26" s="741"/>
      <c r="BD26" s="741"/>
      <c r="BE26" s="741"/>
      <c r="BF26" s="741"/>
      <c r="BG26" s="741"/>
      <c r="BH26" s="741"/>
      <c r="BI26" s="741"/>
      <c r="BJ26" s="741"/>
      <c r="BK26" s="741"/>
      <c r="BL26" s="741"/>
      <c r="BM26" s="741"/>
      <c r="BN26" s="741"/>
      <c r="BO26" s="587"/>
      <c r="BP26" s="587"/>
    </row>
    <row r="27" spans="1:68" hidden="1" outlineLevel="1">
      <c r="A27" s="741" t="str">
        <f>$A$41</f>
        <v>2Q</v>
      </c>
      <c r="B27" s="744" t="str">
        <f>$B$41</f>
        <v>Jul</v>
      </c>
      <c r="C27" s="741"/>
      <c r="D27" s="745">
        <f>(V27/V20-1)*100</f>
        <v>1.2213919512113369</v>
      </c>
      <c r="E27" s="741"/>
      <c r="F27" s="769"/>
      <c r="G27" s="741"/>
      <c r="H27" s="2087">
        <f>'qtrP&amp;L'!P$11</f>
        <v>0</v>
      </c>
      <c r="I27" s="741"/>
      <c r="J27" s="745">
        <f>D27-H27</f>
        <v>1.2213919512113369</v>
      </c>
      <c r="K27" s="742"/>
      <c r="L27" s="750"/>
      <c r="M27" s="741"/>
      <c r="N27" s="747" t="e">
        <f>AVERAGE(L27,L26)</f>
        <v>#DIV/0!</v>
      </c>
      <c r="O27" s="741"/>
      <c r="P27" s="745" t="e">
        <f>(N27/N20-1)*100</f>
        <v>#DIV/0!</v>
      </c>
      <c r="Q27" s="742"/>
      <c r="R27" s="748" t="e">
        <f>J27/P27*100</f>
        <v>#DIV/0!</v>
      </c>
      <c r="S27" s="743"/>
      <c r="T27" s="741"/>
      <c r="U27" s="741"/>
      <c r="V27" s="756">
        <f>'qtrP&amp;L'!N$11</f>
        <v>120.83</v>
      </c>
      <c r="W27" s="741"/>
      <c r="X27" s="757" t="e">
        <f>V27/N27</f>
        <v>#DIV/0!</v>
      </c>
      <c r="Y27" s="741"/>
      <c r="Z27" s="769" t="e">
        <f>(X27/X20-1)*100</f>
        <v>#DIV/0!</v>
      </c>
      <c r="AA27" s="742"/>
      <c r="AB27" s="741"/>
      <c r="AC27" s="753"/>
      <c r="AD27" s="741"/>
      <c r="AE27" s="754"/>
      <c r="AF27" s="741"/>
      <c r="AG27" s="745"/>
      <c r="AH27" s="742"/>
      <c r="AI27" s="748"/>
      <c r="AJ27" s="743"/>
      <c r="AK27" s="741"/>
      <c r="AL27" s="756">
        <f>+V27</f>
        <v>120.83</v>
      </c>
      <c r="AM27" s="741"/>
      <c r="AN27" s="758"/>
      <c r="AO27" s="741"/>
      <c r="AP27" s="769"/>
      <c r="AQ27" s="742"/>
      <c r="AR27" s="742"/>
      <c r="AS27" s="741"/>
      <c r="AT27" s="741"/>
      <c r="AU27" s="741"/>
      <c r="AV27" s="741"/>
      <c r="AW27" s="741"/>
      <c r="AX27" s="741"/>
      <c r="AY27" s="741"/>
      <c r="AZ27" s="741"/>
      <c r="BA27" s="741"/>
      <c r="BB27" s="741"/>
      <c r="BC27" s="741"/>
      <c r="BD27" s="741"/>
      <c r="BE27" s="741"/>
      <c r="BF27" s="741"/>
      <c r="BG27" s="741"/>
      <c r="BH27" s="741"/>
      <c r="BI27" s="741"/>
      <c r="BJ27" s="741"/>
      <c r="BK27" s="741"/>
      <c r="BL27" s="741"/>
      <c r="BM27" s="741"/>
      <c r="BN27" s="741"/>
      <c r="BO27" s="587"/>
      <c r="BP27" s="587"/>
    </row>
    <row r="28" spans="1:68" hidden="1" outlineLevel="1">
      <c r="A28" s="741" t="str">
        <f>$A$42</f>
        <v>3Q</v>
      </c>
      <c r="B28" s="744" t="str">
        <f>$B$42</f>
        <v>Oct</v>
      </c>
      <c r="C28" s="741"/>
      <c r="D28" s="745">
        <f>(V28/V21-1)*100</f>
        <v>-16.221390653554945</v>
      </c>
      <c r="E28" s="741"/>
      <c r="F28" s="769"/>
      <c r="G28" s="741"/>
      <c r="H28" s="2087">
        <f>'qtrP&amp;L'!P$12</f>
        <v>0</v>
      </c>
      <c r="I28" s="741"/>
      <c r="J28" s="745">
        <f>D28-H28</f>
        <v>-16.221390653554945</v>
      </c>
      <c r="K28" s="742"/>
      <c r="L28" s="750"/>
      <c r="M28" s="741"/>
      <c r="N28" s="747" t="e">
        <f>AVERAGE(L28,L27)</f>
        <v>#DIV/0!</v>
      </c>
      <c r="O28" s="741"/>
      <c r="P28" s="745" t="e">
        <f>(N28/N21-1)*100</f>
        <v>#DIV/0!</v>
      </c>
      <c r="Q28" s="742"/>
      <c r="R28" s="748" t="e">
        <f>J28/P28*100</f>
        <v>#DIV/0!</v>
      </c>
      <c r="S28" s="743"/>
      <c r="T28" s="741"/>
      <c r="U28" s="741"/>
      <c r="V28" s="756">
        <f>'qtrP&amp;L'!N$12</f>
        <v>105.89700000000001</v>
      </c>
      <c r="W28" s="741"/>
      <c r="X28" s="757" t="e">
        <f>V28/N28</f>
        <v>#DIV/0!</v>
      </c>
      <c r="Y28" s="741"/>
      <c r="Z28" s="769" t="e">
        <f>(X28/X21-1)*100</f>
        <v>#DIV/0!</v>
      </c>
      <c r="AA28" s="742"/>
      <c r="AB28" s="741"/>
      <c r="AC28" s="753"/>
      <c r="AD28" s="741"/>
      <c r="AE28" s="754"/>
      <c r="AF28" s="741"/>
      <c r="AG28" s="745"/>
      <c r="AH28" s="742"/>
      <c r="AI28" s="748"/>
      <c r="AJ28" s="743"/>
      <c r="AK28" s="741"/>
      <c r="AL28" s="756">
        <f>+V28</f>
        <v>105.89700000000001</v>
      </c>
      <c r="AM28" s="741"/>
      <c r="AN28" s="758"/>
      <c r="AO28" s="741"/>
      <c r="AP28" s="769"/>
      <c r="AQ28" s="742"/>
      <c r="AR28" s="742"/>
      <c r="AS28" s="741"/>
      <c r="AT28" s="741"/>
      <c r="AU28" s="741"/>
      <c r="AV28" s="741"/>
      <c r="AW28" s="741"/>
      <c r="AX28" s="741"/>
      <c r="AY28" s="741"/>
      <c r="AZ28" s="741"/>
      <c r="BA28" s="741"/>
      <c r="BB28" s="741"/>
      <c r="BC28" s="741"/>
      <c r="BD28" s="741"/>
      <c r="BE28" s="741"/>
      <c r="BF28" s="741"/>
      <c r="BG28" s="741"/>
      <c r="BH28" s="741"/>
      <c r="BI28" s="741"/>
      <c r="BJ28" s="741"/>
      <c r="BK28" s="741"/>
      <c r="BL28" s="741"/>
      <c r="BM28" s="741"/>
      <c r="BN28" s="741"/>
      <c r="BO28" s="587"/>
      <c r="BP28" s="587"/>
    </row>
    <row r="29" spans="1:68" hidden="1" outlineLevel="1">
      <c r="A29" s="741" t="str">
        <f>$A$43</f>
        <v>4Q</v>
      </c>
      <c r="B29" s="744" t="str">
        <f>$B$43</f>
        <v>Jan</v>
      </c>
      <c r="C29" s="741"/>
      <c r="D29" s="759">
        <f>(V29/V22-1)*100</f>
        <v>2.2834635102128686</v>
      </c>
      <c r="E29" s="741"/>
      <c r="F29" s="763"/>
      <c r="G29" s="741"/>
      <c r="H29" s="2088">
        <f>'qtrP&amp;L'!P$13</f>
        <v>0</v>
      </c>
      <c r="I29" s="741"/>
      <c r="J29" s="759">
        <f>D29-H29</f>
        <v>2.2834635102128686</v>
      </c>
      <c r="K29" s="742"/>
      <c r="L29" s="914">
        <f>Stores!D47</f>
        <v>16</v>
      </c>
      <c r="M29" s="741"/>
      <c r="N29" s="760">
        <f>AVERAGE(L29,L28)</f>
        <v>16</v>
      </c>
      <c r="O29" s="741"/>
      <c r="P29" s="759">
        <f>(N29/N22-1)*100</f>
        <v>23.076923076923084</v>
      </c>
      <c r="Q29" s="742"/>
      <c r="R29" s="760">
        <f>J29/P29*100</f>
        <v>9.8950085442557612</v>
      </c>
      <c r="S29" s="743"/>
      <c r="T29" s="741"/>
      <c r="U29" s="741"/>
      <c r="V29" s="761">
        <f>'qtrP&amp;L'!N$13</f>
        <v>152.43100000000001</v>
      </c>
      <c r="W29" s="741"/>
      <c r="X29" s="762">
        <f>V29/N29</f>
        <v>9.5269375000000007</v>
      </c>
      <c r="Y29" s="741"/>
      <c r="Z29" s="763">
        <f>(X29/X22-1)*100</f>
        <v>-16.894685897952055</v>
      </c>
      <c r="AA29" s="742"/>
      <c r="AB29" s="741"/>
      <c r="AC29" s="764">
        <f>yrSales!D$30</f>
        <v>0</v>
      </c>
      <c r="AD29" s="741"/>
      <c r="AE29" s="765"/>
      <c r="AF29" s="741"/>
      <c r="AG29" s="759"/>
      <c r="AH29" s="742"/>
      <c r="AI29" s="760"/>
      <c r="AJ29" s="743"/>
      <c r="AK29" s="741"/>
      <c r="AL29" s="761">
        <f>+V29</f>
        <v>152.43100000000001</v>
      </c>
      <c r="AM29" s="741"/>
      <c r="AN29" s="766"/>
      <c r="AO29" s="741"/>
      <c r="AP29" s="763"/>
      <c r="AQ29" s="742"/>
      <c r="AR29" s="742"/>
      <c r="AS29" s="741"/>
      <c r="AT29" s="741"/>
      <c r="AU29" s="741"/>
      <c r="AV29" s="741"/>
      <c r="AW29" s="741"/>
      <c r="AX29" s="741"/>
      <c r="AY29" s="741"/>
      <c r="AZ29" s="741"/>
      <c r="BA29" s="741"/>
      <c r="BB29" s="741"/>
      <c r="BC29" s="741"/>
      <c r="BD29" s="741"/>
      <c r="BE29" s="741"/>
      <c r="BF29" s="741"/>
      <c r="BG29" s="741"/>
      <c r="BH29" s="741"/>
      <c r="BI29" s="741"/>
      <c r="BJ29" s="741"/>
      <c r="BK29" s="741"/>
      <c r="BL29" s="741"/>
      <c r="BM29" s="741"/>
      <c r="BN29" s="741"/>
      <c r="BO29" s="587"/>
      <c r="BP29" s="587"/>
    </row>
    <row r="30" spans="1:68" hidden="1" outlineLevel="1">
      <c r="A30" s="741"/>
      <c r="B30" s="744" t="str">
        <f>$B$44</f>
        <v>Year</v>
      </c>
      <c r="C30" s="741"/>
      <c r="D30" s="745">
        <f>(V30/V23-1)*100</f>
        <v>-1.1201327082816404</v>
      </c>
      <c r="E30" s="741"/>
      <c r="F30" s="769"/>
      <c r="G30" s="741"/>
      <c r="H30" s="2087">
        <f>'qtrP&amp;L'!P$14</f>
        <v>0</v>
      </c>
      <c r="I30" s="741"/>
      <c r="J30" s="745">
        <f>D30-H30</f>
        <v>-1.1201327082816404</v>
      </c>
      <c r="K30" s="742"/>
      <c r="L30" s="750"/>
      <c r="M30" s="741"/>
      <c r="N30" s="747" t="e">
        <f>AVERAGE(N26:N29)</f>
        <v>#DIV/0!</v>
      </c>
      <c r="O30" s="741"/>
      <c r="P30" s="745" t="e">
        <f>(N30/N23-1)*100</f>
        <v>#DIV/0!</v>
      </c>
      <c r="Q30" s="742"/>
      <c r="R30" s="748" t="e">
        <f>J30/P30*100</f>
        <v>#DIV/0!</v>
      </c>
      <c r="S30" s="743"/>
      <c r="T30" s="741"/>
      <c r="U30" s="741"/>
      <c r="V30" s="749">
        <f>SUM(V26:V29)</f>
        <v>486.39600000000007</v>
      </c>
      <c r="W30" s="741"/>
      <c r="X30" s="751" t="e">
        <f>SUM(X26:X29)</f>
        <v>#DIV/0!</v>
      </c>
      <c r="Y30" s="741"/>
      <c r="Z30" s="769" t="e">
        <f>(X30/X23-1)*100</f>
        <v>#DIV/0!</v>
      </c>
      <c r="AA30" s="742"/>
      <c r="AB30" s="741"/>
      <c r="AC30" s="750"/>
      <c r="AD30" s="741"/>
      <c r="AE30" s="754"/>
      <c r="AF30" s="741"/>
      <c r="AG30" s="745"/>
      <c r="AH30" s="742"/>
      <c r="AI30" s="748"/>
      <c r="AJ30" s="743"/>
      <c r="AK30" s="741"/>
      <c r="AL30" s="749">
        <f>SUM(AL26:AL29)</f>
        <v>486.39600000000007</v>
      </c>
      <c r="AM30" s="741"/>
      <c r="AN30" s="755"/>
      <c r="AO30" s="741"/>
      <c r="AP30" s="769"/>
      <c r="AQ30" s="742"/>
      <c r="AR30" s="742"/>
      <c r="AS30" s="741"/>
      <c r="AT30" s="741"/>
      <c r="AU30" s="741"/>
      <c r="AV30" s="741"/>
      <c r="AW30" s="741"/>
      <c r="AX30" s="741"/>
      <c r="AY30" s="741"/>
      <c r="AZ30" s="741"/>
      <c r="BA30" s="741"/>
      <c r="BB30" s="741"/>
      <c r="BC30" s="741"/>
      <c r="BD30" s="741"/>
      <c r="BE30" s="741"/>
      <c r="BF30" s="741"/>
      <c r="BG30" s="741"/>
      <c r="BH30" s="741"/>
      <c r="BI30" s="741"/>
      <c r="BJ30" s="741"/>
      <c r="BK30" s="741"/>
      <c r="BL30" s="741"/>
      <c r="BM30" s="741"/>
      <c r="BN30" s="741"/>
      <c r="BO30" s="587"/>
      <c r="BP30" s="587"/>
    </row>
    <row r="31" spans="1:68" hidden="1" outlineLevel="1">
      <c r="A31" s="741"/>
      <c r="B31" s="744"/>
      <c r="C31" s="741"/>
      <c r="D31" s="741"/>
      <c r="E31" s="741"/>
      <c r="F31" s="741"/>
      <c r="G31" s="741"/>
      <c r="H31" s="2087"/>
      <c r="I31" s="741"/>
      <c r="J31" s="741"/>
      <c r="K31" s="742"/>
      <c r="L31" s="750"/>
      <c r="M31" s="741"/>
      <c r="N31" s="741"/>
      <c r="O31" s="741"/>
      <c r="P31" s="741"/>
      <c r="Q31" s="742"/>
      <c r="R31" s="743"/>
      <c r="S31" s="743"/>
      <c r="T31" s="741"/>
      <c r="U31" s="741"/>
      <c r="V31" s="741"/>
      <c r="W31" s="741"/>
      <c r="X31" s="741"/>
      <c r="Y31" s="741"/>
      <c r="Z31" s="741"/>
      <c r="AA31" s="742"/>
      <c r="AB31" s="741"/>
      <c r="AC31" s="750"/>
      <c r="AD31" s="741"/>
      <c r="AE31" s="741"/>
      <c r="AF31" s="741"/>
      <c r="AG31" s="741"/>
      <c r="AH31" s="742"/>
      <c r="AI31" s="743"/>
      <c r="AJ31" s="743"/>
      <c r="AK31" s="741"/>
      <c r="AL31" s="741"/>
      <c r="AM31" s="741"/>
      <c r="AN31" s="741"/>
      <c r="AO31" s="741"/>
      <c r="AP31" s="741"/>
      <c r="AQ31" s="742"/>
      <c r="AR31" s="742"/>
      <c r="AS31" s="741"/>
      <c r="AT31" s="741"/>
      <c r="AU31" s="741"/>
      <c r="AV31" s="741"/>
      <c r="AW31" s="741"/>
      <c r="AX31" s="741"/>
      <c r="AY31" s="741"/>
      <c r="AZ31" s="741"/>
      <c r="BA31" s="741"/>
      <c r="BB31" s="741"/>
      <c r="BC31" s="741"/>
      <c r="BD31" s="741"/>
      <c r="BE31" s="741"/>
      <c r="BF31" s="741"/>
      <c r="BG31" s="741"/>
      <c r="BH31" s="741"/>
      <c r="BI31" s="741"/>
      <c r="BJ31" s="741"/>
      <c r="BK31" s="741"/>
      <c r="BL31" s="741"/>
      <c r="BM31" s="741"/>
      <c r="BN31" s="741"/>
      <c r="BO31" s="587"/>
      <c r="BP31" s="587"/>
    </row>
    <row r="32" spans="1:68" hidden="1" outlineLevel="1" collapsed="1">
      <c r="A32" s="740"/>
      <c r="B32" s="770">
        <f>B25+1</f>
        <v>1993</v>
      </c>
      <c r="C32" s="741"/>
      <c r="D32" s="741"/>
      <c r="E32" s="741"/>
      <c r="F32" s="741"/>
      <c r="G32" s="741"/>
      <c r="H32" s="2087"/>
      <c r="I32" s="741"/>
      <c r="J32" s="741"/>
      <c r="K32" s="741"/>
      <c r="L32" s="741"/>
      <c r="M32" s="741"/>
      <c r="N32" s="741"/>
      <c r="O32" s="741"/>
      <c r="P32" s="741"/>
      <c r="Q32" s="741"/>
      <c r="R32" s="743"/>
      <c r="S32" s="743"/>
      <c r="T32" s="741"/>
      <c r="U32" s="741"/>
      <c r="V32" s="741"/>
      <c r="W32" s="741"/>
      <c r="X32" s="741"/>
      <c r="Y32" s="741"/>
      <c r="Z32" s="741"/>
      <c r="AA32" s="742"/>
      <c r="AB32" s="741"/>
      <c r="AC32" s="741"/>
      <c r="AD32" s="741"/>
      <c r="AE32" s="741"/>
      <c r="AF32" s="741"/>
      <c r="AG32" s="741"/>
      <c r="AH32" s="741"/>
      <c r="AI32" s="743"/>
      <c r="AJ32" s="743"/>
      <c r="AK32" s="741"/>
      <c r="AL32" s="741"/>
      <c r="AM32" s="741"/>
      <c r="AN32" s="741"/>
      <c r="AO32" s="741"/>
      <c r="AP32" s="741"/>
      <c r="AQ32" s="742"/>
      <c r="AR32" s="742"/>
      <c r="AS32" s="741"/>
      <c r="AT32" s="741"/>
      <c r="AU32" s="741"/>
      <c r="AV32" s="741"/>
      <c r="AW32" s="741"/>
      <c r="AX32" s="741"/>
      <c r="AY32" s="741"/>
      <c r="AZ32" s="741"/>
      <c r="BA32" s="741"/>
      <c r="BB32" s="741"/>
      <c r="BC32" s="741"/>
      <c r="BD32" s="741"/>
      <c r="BE32" s="741"/>
      <c r="BF32" s="741"/>
      <c r="BG32" s="741"/>
      <c r="BH32" s="741"/>
      <c r="BI32" s="741"/>
      <c r="BJ32" s="741"/>
      <c r="BK32" s="741"/>
      <c r="BL32" s="741"/>
      <c r="BM32" s="741"/>
      <c r="BN32" s="741"/>
      <c r="BO32" s="587"/>
      <c r="BP32" s="587"/>
    </row>
    <row r="33" spans="1:68" hidden="1" outlineLevel="1">
      <c r="A33" s="741" t="str">
        <f>$A$40</f>
        <v>1Q</v>
      </c>
      <c r="B33" s="744" t="str">
        <f>$B$40</f>
        <v>Apr</v>
      </c>
      <c r="C33" s="741"/>
      <c r="D33" s="745">
        <f>(V33/V26-1)*100</f>
        <v>2.0916093175926243</v>
      </c>
      <c r="E33" s="741" t="s">
        <v>1970</v>
      </c>
      <c r="F33" s="769"/>
      <c r="G33" s="741"/>
      <c r="H33" s="2087">
        <f>'qtrP&amp;L'!T$10</f>
        <v>0</v>
      </c>
      <c r="I33" s="741" t="s">
        <v>1970</v>
      </c>
      <c r="J33" s="745">
        <f>D33-H33</f>
        <v>2.0916093175926243</v>
      </c>
      <c r="K33" s="742" t="s">
        <v>1970</v>
      </c>
      <c r="L33" s="750"/>
      <c r="M33" s="741"/>
      <c r="N33" s="741">
        <f>AVERAGE(L33,L29)</f>
        <v>16</v>
      </c>
      <c r="O33" s="741"/>
      <c r="P33" s="745">
        <f>(N33/N26-1)*100</f>
        <v>23.076923076923084</v>
      </c>
      <c r="Q33" s="742" t="s">
        <v>1970</v>
      </c>
      <c r="R33" s="748">
        <f>J33/P33*100</f>
        <v>9.0636403762347015</v>
      </c>
      <c r="S33" s="743" t="s">
        <v>1970</v>
      </c>
      <c r="T33" s="741"/>
      <c r="U33" s="741"/>
      <c r="V33" s="749">
        <f>'qtrP&amp;L'!R$10</f>
        <v>109.48099999999999</v>
      </c>
      <c r="W33" s="741"/>
      <c r="X33" s="751">
        <f>V33/N33</f>
        <v>6.8425624999999997</v>
      </c>
      <c r="Y33" s="741"/>
      <c r="Z33" s="769">
        <f>(X33/X26-1)*100</f>
        <v>-17.050567429455988</v>
      </c>
      <c r="AA33" s="742" t="s">
        <v>1970</v>
      </c>
      <c r="AB33" s="741"/>
      <c r="AC33" s="753">
        <f>21442/0.8*$L33/1000000</f>
        <v>0</v>
      </c>
      <c r="AD33" s="741"/>
      <c r="AE33" s="754">
        <f>AVERAGE(AC33,AC29)</f>
        <v>0</v>
      </c>
      <c r="AF33" s="741"/>
      <c r="AG33" s="745"/>
      <c r="AH33" s="742"/>
      <c r="AI33" s="748"/>
      <c r="AJ33" s="743" t="s">
        <v>1970</v>
      </c>
      <c r="AK33" s="741"/>
      <c r="AL33" s="749">
        <f>+V33</f>
        <v>109.48099999999999</v>
      </c>
      <c r="AM33" s="741"/>
      <c r="AN33" s="755" t="e">
        <f>AL33/AE33</f>
        <v>#DIV/0!</v>
      </c>
      <c r="AO33" s="741"/>
      <c r="AP33" s="745"/>
      <c r="AQ33" s="742" t="s">
        <v>1970</v>
      </c>
      <c r="AR33" s="742"/>
      <c r="AS33" s="741"/>
      <c r="AT33" s="741"/>
      <c r="AU33" s="741"/>
      <c r="AV33" s="741"/>
      <c r="AW33" s="741"/>
      <c r="AX33" s="741"/>
      <c r="AY33" s="741"/>
      <c r="AZ33" s="741"/>
      <c r="BA33" s="741"/>
      <c r="BB33" s="741"/>
      <c r="BC33" s="741"/>
      <c r="BD33" s="741"/>
      <c r="BE33" s="741"/>
      <c r="BF33" s="741"/>
      <c r="BG33" s="741"/>
      <c r="BH33" s="741"/>
      <c r="BI33" s="741"/>
      <c r="BJ33" s="741"/>
      <c r="BK33" s="741"/>
      <c r="BL33" s="741"/>
      <c r="BM33" s="741"/>
      <c r="BN33" s="741"/>
      <c r="BO33" s="587"/>
      <c r="BP33" s="587"/>
    </row>
    <row r="34" spans="1:68" hidden="1" outlineLevel="1">
      <c r="A34" s="741" t="str">
        <f>$A$41</f>
        <v>2Q</v>
      </c>
      <c r="B34" s="744" t="str">
        <f>$B$41</f>
        <v>Jul</v>
      </c>
      <c r="C34" s="741"/>
      <c r="D34" s="745">
        <f>(V34/V27-1)*100</f>
        <v>-5.4597368203260777</v>
      </c>
      <c r="E34" s="741"/>
      <c r="F34" s="769"/>
      <c r="G34" s="741"/>
      <c r="H34" s="2087">
        <f>'qtrP&amp;L'!T$11</f>
        <v>0</v>
      </c>
      <c r="I34" s="741"/>
      <c r="J34" s="745">
        <f>D34-H34</f>
        <v>-5.4597368203260777</v>
      </c>
      <c r="K34" s="742"/>
      <c r="L34" s="750"/>
      <c r="M34" s="741"/>
      <c r="N34" s="747" t="e">
        <f>AVERAGE(L34,L33)</f>
        <v>#DIV/0!</v>
      </c>
      <c r="O34" s="741"/>
      <c r="P34" s="745" t="e">
        <f>(N34/N27-1)*100</f>
        <v>#DIV/0!</v>
      </c>
      <c r="Q34" s="742"/>
      <c r="R34" s="748" t="e">
        <f>J34/P34*100</f>
        <v>#DIV/0!</v>
      </c>
      <c r="S34" s="743"/>
      <c r="T34" s="741"/>
      <c r="U34" s="741"/>
      <c r="V34" s="756">
        <f>'qtrP&amp;L'!R$11</f>
        <v>114.233</v>
      </c>
      <c r="W34" s="741"/>
      <c r="X34" s="757" t="e">
        <f>V34/N34</f>
        <v>#DIV/0!</v>
      </c>
      <c r="Y34" s="741"/>
      <c r="Z34" s="769" t="e">
        <f>(X34/X27-1)*100</f>
        <v>#DIV/0!</v>
      </c>
      <c r="AA34" s="742"/>
      <c r="AB34" s="741"/>
      <c r="AC34" s="753">
        <f>21442/0.8*$L34/1000000</f>
        <v>0</v>
      </c>
      <c r="AD34" s="741"/>
      <c r="AE34" s="754">
        <f>AVERAGE(AC34,AC33)</f>
        <v>0</v>
      </c>
      <c r="AF34" s="741"/>
      <c r="AG34" s="745"/>
      <c r="AH34" s="742"/>
      <c r="AI34" s="748"/>
      <c r="AJ34" s="743"/>
      <c r="AK34" s="741"/>
      <c r="AL34" s="756">
        <f>+V34</f>
        <v>114.233</v>
      </c>
      <c r="AM34" s="741"/>
      <c r="AN34" s="758" t="e">
        <f>AL34/AE34</f>
        <v>#DIV/0!</v>
      </c>
      <c r="AO34" s="741"/>
      <c r="AP34" s="769"/>
      <c r="AQ34" s="742"/>
      <c r="AR34" s="742"/>
      <c r="AS34" s="741"/>
      <c r="AT34" s="741"/>
      <c r="AU34" s="741"/>
      <c r="AV34" s="741"/>
      <c r="AW34" s="741"/>
      <c r="AX34" s="741"/>
      <c r="AY34" s="741"/>
      <c r="AZ34" s="741"/>
      <c r="BA34" s="741"/>
      <c r="BB34" s="741"/>
      <c r="BC34" s="741"/>
      <c r="BD34" s="741"/>
      <c r="BE34" s="741"/>
      <c r="BF34" s="741"/>
      <c r="BG34" s="741"/>
      <c r="BH34" s="741"/>
      <c r="BI34" s="741"/>
      <c r="BJ34" s="741"/>
      <c r="BK34" s="741"/>
      <c r="BL34" s="741"/>
      <c r="BM34" s="741"/>
      <c r="BN34" s="741"/>
      <c r="BO34" s="587"/>
      <c r="BP34" s="587"/>
    </row>
    <row r="35" spans="1:68" hidden="1" outlineLevel="1">
      <c r="A35" s="741" t="str">
        <f>$A$42</f>
        <v>3Q</v>
      </c>
      <c r="B35" s="744" t="str">
        <f>$B$42</f>
        <v>Oct</v>
      </c>
      <c r="C35" s="741"/>
      <c r="D35" s="745">
        <f>(V35/V28-1)*100</f>
        <v>27.246286485924998</v>
      </c>
      <c r="E35" s="741"/>
      <c r="F35" s="769"/>
      <c r="G35" s="741"/>
      <c r="H35" s="2087">
        <f>'qtrP&amp;L'!T$12</f>
        <v>0</v>
      </c>
      <c r="I35" s="741"/>
      <c r="J35" s="745">
        <f>D35-H35</f>
        <v>27.246286485924998</v>
      </c>
      <c r="K35" s="742"/>
      <c r="L35" s="750"/>
      <c r="M35" s="741"/>
      <c r="N35" s="747" t="e">
        <f>AVERAGE(L35,L34)</f>
        <v>#DIV/0!</v>
      </c>
      <c r="O35" s="741"/>
      <c r="P35" s="745" t="e">
        <f>(N35/N28-1)*100</f>
        <v>#DIV/0!</v>
      </c>
      <c r="Q35" s="742"/>
      <c r="R35" s="748" t="e">
        <f>J35/P35*100</f>
        <v>#DIV/0!</v>
      </c>
      <c r="S35" s="743"/>
      <c r="T35" s="741"/>
      <c r="U35" s="741"/>
      <c r="V35" s="756">
        <f>'qtrP&amp;L'!R$12</f>
        <v>134.75</v>
      </c>
      <c r="W35" s="741"/>
      <c r="X35" s="757" t="e">
        <f>V35/N35</f>
        <v>#DIV/0!</v>
      </c>
      <c r="Y35" s="741"/>
      <c r="Z35" s="769" t="e">
        <f>(X35/X28-1)*100</f>
        <v>#DIV/0!</v>
      </c>
      <c r="AA35" s="742"/>
      <c r="AB35" s="741"/>
      <c r="AC35" s="753">
        <f>21442/0.8*$L35/1000000</f>
        <v>0</v>
      </c>
      <c r="AD35" s="741"/>
      <c r="AE35" s="754">
        <f>AVERAGE(AC35,AC34)</f>
        <v>0</v>
      </c>
      <c r="AF35" s="741"/>
      <c r="AG35" s="745"/>
      <c r="AH35" s="742"/>
      <c r="AI35" s="748"/>
      <c r="AJ35" s="743"/>
      <c r="AK35" s="741"/>
      <c r="AL35" s="756">
        <f>+V35</f>
        <v>134.75</v>
      </c>
      <c r="AM35" s="741"/>
      <c r="AN35" s="758" t="e">
        <f>AL35/AE35</f>
        <v>#DIV/0!</v>
      </c>
      <c r="AO35" s="741"/>
      <c r="AP35" s="769"/>
      <c r="AQ35" s="742"/>
      <c r="AR35" s="742"/>
      <c r="AS35" s="741"/>
      <c r="AT35" s="741"/>
      <c r="AU35" s="741"/>
      <c r="AV35" s="741"/>
      <c r="AW35" s="741"/>
      <c r="AX35" s="741"/>
      <c r="AY35" s="741"/>
      <c r="AZ35" s="741"/>
      <c r="BA35" s="741"/>
      <c r="BB35" s="741"/>
      <c r="BC35" s="741"/>
      <c r="BD35" s="741"/>
      <c r="BE35" s="741"/>
      <c r="BF35" s="741"/>
      <c r="BG35" s="741"/>
      <c r="BH35" s="741"/>
      <c r="BI35" s="741"/>
      <c r="BJ35" s="741"/>
      <c r="BK35" s="741"/>
      <c r="BL35" s="741"/>
      <c r="BM35" s="741"/>
      <c r="BN35" s="741"/>
      <c r="BO35" s="587"/>
      <c r="BP35" s="587"/>
    </row>
    <row r="36" spans="1:68" hidden="1" outlineLevel="1">
      <c r="A36" s="741" t="str">
        <f>$A$43</f>
        <v>4Q</v>
      </c>
      <c r="B36" s="744" t="str">
        <f>$B$43</f>
        <v>Jan</v>
      </c>
      <c r="C36" s="741"/>
      <c r="D36" s="759">
        <f>(V36/V29-1)*100</f>
        <v>36.479456278578496</v>
      </c>
      <c r="E36" s="741"/>
      <c r="F36" s="763"/>
      <c r="G36" s="741"/>
      <c r="H36" s="2088">
        <f>'qtrP&amp;L'!T$13</f>
        <v>0</v>
      </c>
      <c r="I36" s="741"/>
      <c r="J36" s="759">
        <f>D36-H36</f>
        <v>36.479456278578496</v>
      </c>
      <c r="K36" s="742"/>
      <c r="L36" s="914">
        <f>Stores!D54</f>
        <v>16</v>
      </c>
      <c r="M36" s="741"/>
      <c r="N36" s="760">
        <f>AVERAGE(L36,L35)</f>
        <v>16</v>
      </c>
      <c r="O36" s="741"/>
      <c r="P36" s="759">
        <f>(N36/N29-1)*100</f>
        <v>0</v>
      </c>
      <c r="Q36" s="742"/>
      <c r="R36" s="760" t="e">
        <f>J36/P36*100</f>
        <v>#DIV/0!</v>
      </c>
      <c r="S36" s="743"/>
      <c r="T36" s="741"/>
      <c r="U36" s="741"/>
      <c r="V36" s="761">
        <f>'qtrP&amp;L'!R$13</f>
        <v>208.03700000000001</v>
      </c>
      <c r="W36" s="741"/>
      <c r="X36" s="762">
        <f>V36/N36</f>
        <v>13.0023125</v>
      </c>
      <c r="Y36" s="741"/>
      <c r="Z36" s="763">
        <f>(X36/X29-1)*100</f>
        <v>36.479456278578496</v>
      </c>
      <c r="AA36" s="742"/>
      <c r="AB36" s="741"/>
      <c r="AC36" s="764">
        <f>yrSales!E$30</f>
        <v>0.41181250000000003</v>
      </c>
      <c r="AD36" s="741"/>
      <c r="AE36" s="765">
        <f>AVERAGE(AC36,AC35)</f>
        <v>0.20590625000000001</v>
      </c>
      <c r="AF36" s="741"/>
      <c r="AG36" s="759"/>
      <c r="AH36" s="742"/>
      <c r="AI36" s="760"/>
      <c r="AJ36" s="743"/>
      <c r="AK36" s="741"/>
      <c r="AL36" s="761">
        <f>+V36</f>
        <v>208.03700000000001</v>
      </c>
      <c r="AM36" s="741"/>
      <c r="AN36" s="766">
        <f>AL36/AE36</f>
        <v>1010.3481560176051</v>
      </c>
      <c r="AO36" s="741"/>
      <c r="AP36" s="763"/>
      <c r="AQ36" s="742"/>
      <c r="AR36" s="742"/>
      <c r="AS36" s="741"/>
      <c r="AT36" s="741"/>
      <c r="AU36" s="741"/>
      <c r="AV36" s="741"/>
      <c r="AW36" s="741"/>
      <c r="AX36" s="741"/>
      <c r="AY36" s="741"/>
      <c r="AZ36" s="741"/>
      <c r="BA36" s="741"/>
      <c r="BB36" s="741"/>
      <c r="BC36" s="741"/>
      <c r="BD36" s="741"/>
      <c r="BE36" s="741"/>
      <c r="BF36" s="741"/>
      <c r="BG36" s="741"/>
      <c r="BH36" s="741"/>
      <c r="BI36" s="741"/>
      <c r="BJ36" s="741"/>
      <c r="BK36" s="741"/>
      <c r="BL36" s="741"/>
      <c r="BM36" s="741"/>
      <c r="BN36" s="741"/>
      <c r="BO36" s="587"/>
      <c r="BP36" s="587"/>
    </row>
    <row r="37" spans="1:68" hidden="1" outlineLevel="1">
      <c r="A37" s="741"/>
      <c r="B37" s="744" t="str">
        <f>$B$44</f>
        <v>Year</v>
      </c>
      <c r="C37" s="741"/>
      <c r="D37" s="745">
        <f>(V37/V30-1)*100</f>
        <v>16.469091028709105</v>
      </c>
      <c r="E37" s="741"/>
      <c r="F37" s="769"/>
      <c r="G37" s="741"/>
      <c r="H37" s="2087">
        <f>'qtrP&amp;L'!T$14</f>
        <v>0</v>
      </c>
      <c r="I37" s="741"/>
      <c r="J37" s="745">
        <f>D37-H37</f>
        <v>16.469091028709105</v>
      </c>
      <c r="K37" s="742"/>
      <c r="L37" s="750"/>
      <c r="M37" s="741"/>
      <c r="N37" s="747" t="e">
        <f>AVERAGE(N33:N36)</f>
        <v>#DIV/0!</v>
      </c>
      <c r="O37" s="741"/>
      <c r="P37" s="745" t="e">
        <f>(N37/N30-1)*100</f>
        <v>#DIV/0!</v>
      </c>
      <c r="Q37" s="742"/>
      <c r="R37" s="748" t="e">
        <f>J37/P37*100</f>
        <v>#DIV/0!</v>
      </c>
      <c r="S37" s="743"/>
      <c r="T37" s="741"/>
      <c r="U37" s="741"/>
      <c r="V37" s="749">
        <f>SUM(V33:V36)</f>
        <v>566.50099999999998</v>
      </c>
      <c r="W37" s="741"/>
      <c r="X37" s="751" t="e">
        <f>SUM(X33:X36)</f>
        <v>#DIV/0!</v>
      </c>
      <c r="Y37" s="741"/>
      <c r="Z37" s="769" t="e">
        <f>(X37/X30-1)*100</f>
        <v>#DIV/0!</v>
      </c>
      <c r="AA37" s="742"/>
      <c r="AB37" s="741"/>
      <c r="AC37" s="750"/>
      <c r="AD37" s="741"/>
      <c r="AE37" s="754">
        <f>AVERAGE(AE33:AE36)</f>
        <v>5.1476562500000003E-2</v>
      </c>
      <c r="AF37" s="741"/>
      <c r="AG37" s="745"/>
      <c r="AH37" s="742"/>
      <c r="AI37" s="748"/>
      <c r="AJ37" s="743"/>
      <c r="AK37" s="741"/>
      <c r="AL37" s="749">
        <f>SUM(AL33:AL36)</f>
        <v>566.50099999999998</v>
      </c>
      <c r="AM37" s="741"/>
      <c r="AN37" s="755" t="e">
        <f>SUM(AN33:AN36)</f>
        <v>#DIV/0!</v>
      </c>
      <c r="AO37" s="741"/>
      <c r="AP37" s="769"/>
      <c r="AQ37" s="742"/>
      <c r="AR37" s="742"/>
      <c r="AS37" s="741"/>
      <c r="AT37" s="741"/>
      <c r="AU37" s="741"/>
      <c r="AV37" s="741"/>
      <c r="AW37" s="741"/>
      <c r="AX37" s="741"/>
      <c r="AY37" s="741"/>
      <c r="AZ37" s="741"/>
      <c r="BA37" s="741"/>
      <c r="BB37" s="741"/>
      <c r="BC37" s="741"/>
      <c r="BD37" s="741"/>
      <c r="BE37" s="741"/>
      <c r="BF37" s="741"/>
      <c r="BG37" s="741"/>
      <c r="BH37" s="741"/>
      <c r="BI37" s="741"/>
      <c r="BJ37" s="741"/>
      <c r="BK37" s="741"/>
      <c r="BL37" s="741"/>
      <c r="BM37" s="741"/>
      <c r="BN37" s="741"/>
      <c r="BO37" s="587"/>
      <c r="BP37" s="587"/>
    </row>
    <row r="38" spans="1:68" hidden="1" outlineLevel="1">
      <c r="A38" s="741"/>
      <c r="B38" s="744"/>
      <c r="C38" s="741"/>
      <c r="D38" s="741"/>
      <c r="E38" s="741"/>
      <c r="F38" s="741"/>
      <c r="G38" s="741"/>
      <c r="H38" s="2087"/>
      <c r="I38" s="741"/>
      <c r="J38" s="741"/>
      <c r="K38" s="742"/>
      <c r="L38" s="750"/>
      <c r="M38" s="741"/>
      <c r="N38" s="741"/>
      <c r="O38" s="741"/>
      <c r="P38" s="741"/>
      <c r="Q38" s="742"/>
      <c r="R38" s="743"/>
      <c r="S38" s="743"/>
      <c r="T38" s="741"/>
      <c r="U38" s="741"/>
      <c r="V38" s="741"/>
      <c r="W38" s="741"/>
      <c r="X38" s="741"/>
      <c r="Y38" s="741"/>
      <c r="Z38" s="741"/>
      <c r="AA38" s="742"/>
      <c r="AB38" s="741"/>
      <c r="AC38" s="750"/>
      <c r="AD38" s="741"/>
      <c r="AE38" s="741"/>
      <c r="AF38" s="741"/>
      <c r="AG38" s="741"/>
      <c r="AH38" s="742"/>
      <c r="AI38" s="743"/>
      <c r="AJ38" s="743"/>
      <c r="AK38" s="741"/>
      <c r="AL38" s="741"/>
      <c r="AM38" s="741"/>
      <c r="AN38" s="741"/>
      <c r="AO38" s="741"/>
      <c r="AP38" s="741"/>
      <c r="AQ38" s="742"/>
      <c r="AR38" s="742"/>
      <c r="AS38" s="741"/>
      <c r="AT38" s="741"/>
      <c r="AU38" s="741"/>
      <c r="AV38" s="741"/>
      <c r="AW38" s="741"/>
      <c r="AX38" s="741"/>
      <c r="AY38" s="741"/>
      <c r="AZ38" s="741"/>
      <c r="BA38" s="741"/>
      <c r="BB38" s="741"/>
      <c r="BC38" s="741"/>
      <c r="BD38" s="741"/>
      <c r="BE38" s="741"/>
      <c r="BF38" s="741"/>
      <c r="BG38" s="741"/>
      <c r="BH38" s="741"/>
      <c r="BI38" s="741"/>
      <c r="BJ38" s="741"/>
      <c r="BK38" s="741"/>
      <c r="BL38" s="741"/>
      <c r="BM38" s="741"/>
      <c r="BN38" s="741"/>
      <c r="BO38" s="587"/>
      <c r="BP38" s="587"/>
    </row>
    <row r="39" spans="1:68" hidden="1" outlineLevel="1">
      <c r="A39" s="771"/>
      <c r="B39" s="770">
        <f>B32+1</f>
        <v>1994</v>
      </c>
      <c r="C39" s="741"/>
      <c r="D39" s="741"/>
      <c r="E39" s="741"/>
      <c r="F39" s="741"/>
      <c r="G39" s="741"/>
      <c r="H39" s="2087"/>
      <c r="I39" s="741"/>
      <c r="J39" s="741"/>
      <c r="K39" s="741"/>
      <c r="L39" s="741"/>
      <c r="M39" s="741"/>
      <c r="N39" s="741"/>
      <c r="O39" s="741"/>
      <c r="P39" s="741"/>
      <c r="Q39" s="741"/>
      <c r="R39" s="743"/>
      <c r="S39" s="743"/>
      <c r="T39" s="741"/>
      <c r="U39" s="741"/>
      <c r="V39" s="741"/>
      <c r="W39" s="741"/>
      <c r="X39" s="741"/>
      <c r="Y39" s="741"/>
      <c r="Z39" s="741"/>
      <c r="AA39" s="742"/>
      <c r="AB39" s="741"/>
      <c r="AC39" s="741"/>
      <c r="AD39" s="741"/>
      <c r="AE39" s="741"/>
      <c r="AF39" s="741"/>
      <c r="AG39" s="741"/>
      <c r="AH39" s="741"/>
      <c r="AI39" s="743"/>
      <c r="AJ39" s="743"/>
      <c r="AK39" s="741"/>
      <c r="AL39" s="741"/>
      <c r="AM39" s="741"/>
      <c r="AN39" s="741"/>
      <c r="AO39" s="741"/>
      <c r="AP39" s="741"/>
      <c r="AQ39" s="742"/>
      <c r="AR39" s="742"/>
      <c r="AS39" s="741"/>
      <c r="AT39" s="741"/>
      <c r="AU39" s="741"/>
      <c r="AV39" s="741"/>
      <c r="AW39" s="741"/>
      <c r="AX39" s="741"/>
      <c r="AY39" s="741"/>
      <c r="AZ39" s="741"/>
      <c r="BA39" s="741"/>
      <c r="BB39" s="741"/>
      <c r="BC39" s="741"/>
      <c r="BD39" s="741"/>
      <c r="BE39" s="741"/>
      <c r="BF39" s="741"/>
      <c r="BG39" s="741"/>
      <c r="BH39" s="741"/>
      <c r="BI39" s="741"/>
      <c r="BJ39" s="741"/>
      <c r="BK39" s="741"/>
      <c r="BL39" s="741"/>
      <c r="BM39" s="741"/>
      <c r="BN39" s="741"/>
      <c r="BO39" s="587"/>
      <c r="BP39" s="587"/>
    </row>
    <row r="40" spans="1:68" hidden="1" outlineLevel="1">
      <c r="A40" s="741" t="s">
        <v>1998</v>
      </c>
      <c r="B40" s="744" t="s">
        <v>1985</v>
      </c>
      <c r="C40" s="741"/>
      <c r="D40" s="745">
        <f>(V40/V33-1)*100</f>
        <v>19.844539235118418</v>
      </c>
      <c r="E40" s="741" t="s">
        <v>1970</v>
      </c>
      <c r="F40" s="769"/>
      <c r="G40" s="741"/>
      <c r="H40" s="2087">
        <f>'qtrP&amp;L'!X$10</f>
        <v>0</v>
      </c>
      <c r="I40" s="741" t="s">
        <v>1970</v>
      </c>
      <c r="J40" s="745">
        <f>D40-H40</f>
        <v>19.844539235118418</v>
      </c>
      <c r="K40" s="742" t="s">
        <v>1970</v>
      </c>
      <c r="L40" s="750"/>
      <c r="M40" s="741"/>
      <c r="N40" s="741">
        <f>AVERAGE(L40,L36)</f>
        <v>16</v>
      </c>
      <c r="O40" s="741"/>
      <c r="P40" s="745">
        <f>(N40/N33-1)*100</f>
        <v>0</v>
      </c>
      <c r="Q40" s="742" t="s">
        <v>1970</v>
      </c>
      <c r="R40" s="748" t="e">
        <f>J40/P40*100</f>
        <v>#DIV/0!</v>
      </c>
      <c r="S40" s="743" t="s">
        <v>1970</v>
      </c>
      <c r="T40" s="741"/>
      <c r="U40" s="741"/>
      <c r="V40" s="749">
        <f>'qtrP&amp;L'!V$10</f>
        <v>131.20699999999999</v>
      </c>
      <c r="W40" s="741"/>
      <c r="X40" s="751">
        <f>V40/N40</f>
        <v>8.2004374999999996</v>
      </c>
      <c r="Y40" s="741"/>
      <c r="Z40" s="769">
        <f>(X40/X33-1)*100</f>
        <v>19.844539235118418</v>
      </c>
      <c r="AA40" s="742" t="s">
        <v>1970</v>
      </c>
      <c r="AB40" s="741"/>
      <c r="AC40" s="753">
        <f>21460/0.8*$L40/1000000</f>
        <v>0</v>
      </c>
      <c r="AD40" s="741"/>
      <c r="AE40" s="754">
        <f>AVERAGE(AC40,AC36)</f>
        <v>0.20590625000000001</v>
      </c>
      <c r="AF40" s="741"/>
      <c r="AG40" s="745" t="e">
        <f>(AE40/AE33-1)*100</f>
        <v>#DIV/0!</v>
      </c>
      <c r="AH40" s="742" t="s">
        <v>1970</v>
      </c>
      <c r="AI40" s="748" t="e">
        <f>+J40/AG40*100</f>
        <v>#DIV/0!</v>
      </c>
      <c r="AJ40" s="743" t="s">
        <v>1970</v>
      </c>
      <c r="AK40" s="741"/>
      <c r="AL40" s="749">
        <f>+V40</f>
        <v>131.20699999999999</v>
      </c>
      <c r="AM40" s="741"/>
      <c r="AN40" s="755">
        <f>AL40/AE40</f>
        <v>637.21718014873261</v>
      </c>
      <c r="AO40" s="741"/>
      <c r="AP40" s="745" t="e">
        <f>(AN40/AN33-1)*100</f>
        <v>#DIV/0!</v>
      </c>
      <c r="AQ40" s="742" t="s">
        <v>1970</v>
      </c>
      <c r="AR40" s="742"/>
      <c r="AS40" s="741"/>
      <c r="AT40" s="741"/>
      <c r="AU40" s="741"/>
      <c r="AV40" s="741"/>
      <c r="AW40" s="741"/>
      <c r="AX40" s="741"/>
      <c r="AY40" s="741"/>
      <c r="AZ40" s="741"/>
      <c r="BA40" s="741"/>
      <c r="BB40" s="741"/>
      <c r="BC40" s="741"/>
      <c r="BD40" s="741"/>
      <c r="BE40" s="741"/>
      <c r="BF40" s="741"/>
      <c r="BG40" s="741"/>
      <c r="BH40" s="741"/>
      <c r="BI40" s="741"/>
      <c r="BJ40" s="741"/>
      <c r="BK40" s="741"/>
      <c r="BL40" s="741"/>
      <c r="BM40" s="741"/>
      <c r="BN40" s="741"/>
      <c r="BO40" s="587"/>
      <c r="BP40" s="587"/>
    </row>
    <row r="41" spans="1:68" hidden="1" outlineLevel="1">
      <c r="A41" s="741" t="s">
        <v>1999</v>
      </c>
      <c r="B41" s="744" t="s">
        <v>1986</v>
      </c>
      <c r="C41" s="741"/>
      <c r="D41" s="745">
        <f>(V41/V34-1)*100</f>
        <v>33.286353330473673</v>
      </c>
      <c r="E41" s="741"/>
      <c r="F41" s="769"/>
      <c r="G41" s="741"/>
      <c r="H41" s="2087">
        <f>'qtrP&amp;L'!X$11</f>
        <v>0</v>
      </c>
      <c r="I41" s="741"/>
      <c r="J41" s="745">
        <f>D41-H41</f>
        <v>33.286353330473673</v>
      </c>
      <c r="K41" s="742"/>
      <c r="L41" s="750"/>
      <c r="M41" s="741"/>
      <c r="N41" s="747" t="e">
        <f>AVERAGE(L41,L40)</f>
        <v>#DIV/0!</v>
      </c>
      <c r="O41" s="741"/>
      <c r="P41" s="745" t="e">
        <f>(N41/N34-1)*100</f>
        <v>#DIV/0!</v>
      </c>
      <c r="Q41" s="742"/>
      <c r="R41" s="748" t="e">
        <f>J41/P41*100</f>
        <v>#DIV/0!</v>
      </c>
      <c r="S41" s="743"/>
      <c r="T41" s="741"/>
      <c r="U41" s="741"/>
      <c r="V41" s="756">
        <f>'qtrP&amp;L'!V$11</f>
        <v>152.25700000000001</v>
      </c>
      <c r="W41" s="741"/>
      <c r="X41" s="757" t="e">
        <f>V41/N41</f>
        <v>#DIV/0!</v>
      </c>
      <c r="Y41" s="741"/>
      <c r="Z41" s="769" t="e">
        <f>(X41/X34-1)*100</f>
        <v>#DIV/0!</v>
      </c>
      <c r="AA41" s="742"/>
      <c r="AB41" s="741"/>
      <c r="AC41" s="753">
        <f>21460/0.8*$L41/1000000</f>
        <v>0</v>
      </c>
      <c r="AD41" s="741"/>
      <c r="AE41" s="754">
        <f>AVERAGE(AC41,AC40)</f>
        <v>0</v>
      </c>
      <c r="AF41" s="741"/>
      <c r="AG41" s="745" t="e">
        <f>(AE41/AE34-1)*100</f>
        <v>#DIV/0!</v>
      </c>
      <c r="AH41" s="742"/>
      <c r="AI41" s="748" t="e">
        <f>+J41/AG41*100</f>
        <v>#DIV/0!</v>
      </c>
      <c r="AJ41" s="743"/>
      <c r="AK41" s="741"/>
      <c r="AL41" s="756">
        <f>+V41</f>
        <v>152.25700000000001</v>
      </c>
      <c r="AM41" s="741"/>
      <c r="AN41" s="758" t="e">
        <f>AL41/AE41</f>
        <v>#DIV/0!</v>
      </c>
      <c r="AO41" s="741"/>
      <c r="AP41" s="769" t="e">
        <f>(AN41/AN34-1)*100</f>
        <v>#DIV/0!</v>
      </c>
      <c r="AQ41" s="742"/>
      <c r="AR41" s="742"/>
      <c r="AS41" s="741"/>
      <c r="AT41" s="741"/>
      <c r="AU41" s="741"/>
      <c r="AV41" s="741"/>
      <c r="AW41" s="741"/>
      <c r="AX41" s="741"/>
      <c r="AY41" s="741"/>
      <c r="AZ41" s="741"/>
      <c r="BA41" s="741"/>
      <c r="BB41" s="741"/>
      <c r="BC41" s="741"/>
      <c r="BD41" s="741"/>
      <c r="BE41" s="741"/>
      <c r="BF41" s="741"/>
      <c r="BG41" s="741"/>
      <c r="BH41" s="741"/>
      <c r="BI41" s="741"/>
      <c r="BJ41" s="741"/>
      <c r="BK41" s="741"/>
      <c r="BL41" s="741"/>
      <c r="BM41" s="741"/>
      <c r="BN41" s="741"/>
      <c r="BO41" s="587"/>
      <c r="BP41" s="587"/>
    </row>
    <row r="42" spans="1:68" hidden="1" outlineLevel="1">
      <c r="A42" s="741" t="s">
        <v>2000</v>
      </c>
      <c r="B42" s="744" t="s">
        <v>1987</v>
      </c>
      <c r="C42" s="741"/>
      <c r="D42" s="745">
        <f>(V42/V35-1)*100</f>
        <v>18.805936920222631</v>
      </c>
      <c r="E42" s="741"/>
      <c r="F42" s="772"/>
      <c r="G42" s="741"/>
      <c r="H42" s="2089">
        <f>'qtrP&amp;L'!X$12</f>
        <v>0</v>
      </c>
      <c r="I42" s="741"/>
      <c r="J42" s="745">
        <f>D42-H42</f>
        <v>18.805936920222631</v>
      </c>
      <c r="K42" s="742"/>
      <c r="L42" s="750"/>
      <c r="M42" s="741"/>
      <c r="N42" s="747" t="e">
        <f>AVERAGE(L42,L41)</f>
        <v>#DIV/0!</v>
      </c>
      <c r="O42" s="741"/>
      <c r="P42" s="745" t="e">
        <f>(N42/N35-1)*100</f>
        <v>#DIV/0!</v>
      </c>
      <c r="Q42" s="742"/>
      <c r="R42" s="748" t="e">
        <f>J42/P42*100</f>
        <v>#DIV/0!</v>
      </c>
      <c r="S42" s="743"/>
      <c r="T42" s="741"/>
      <c r="U42" s="741"/>
      <c r="V42" s="756">
        <f>'qtrP&amp;L'!V$12</f>
        <v>160.09100000000001</v>
      </c>
      <c r="W42" s="741"/>
      <c r="X42" s="757" t="e">
        <f>V42/N42</f>
        <v>#DIV/0!</v>
      </c>
      <c r="Y42" s="741"/>
      <c r="Z42" s="769" t="e">
        <f>(X42/X35-1)*100</f>
        <v>#DIV/0!</v>
      </c>
      <c r="AA42" s="742"/>
      <c r="AB42" s="741"/>
      <c r="AC42" s="753">
        <f>21460/0.8*$L42/1000000</f>
        <v>0</v>
      </c>
      <c r="AD42" s="741"/>
      <c r="AE42" s="754">
        <f>AVERAGE(AC42,AC41)</f>
        <v>0</v>
      </c>
      <c r="AF42" s="741"/>
      <c r="AG42" s="745" t="e">
        <f>(AE42/AE35-1)*100</f>
        <v>#DIV/0!</v>
      </c>
      <c r="AH42" s="742"/>
      <c r="AI42" s="748" t="e">
        <f>+J42/AG42*100</f>
        <v>#DIV/0!</v>
      </c>
      <c r="AJ42" s="743"/>
      <c r="AK42" s="741"/>
      <c r="AL42" s="756">
        <f>+V42</f>
        <v>160.09100000000001</v>
      </c>
      <c r="AM42" s="741"/>
      <c r="AN42" s="758" t="e">
        <f>AL42/AE42</f>
        <v>#DIV/0!</v>
      </c>
      <c r="AO42" s="741"/>
      <c r="AP42" s="769" t="e">
        <f>(AN42/AN35-1)*100</f>
        <v>#DIV/0!</v>
      </c>
      <c r="AQ42" s="742"/>
      <c r="AR42" s="742"/>
      <c r="AS42" s="741"/>
      <c r="AT42" s="741"/>
      <c r="AU42" s="741"/>
      <c r="AV42" s="741"/>
      <c r="AW42" s="741"/>
      <c r="AX42" s="741"/>
      <c r="AY42" s="741"/>
      <c r="AZ42" s="741"/>
      <c r="BA42" s="741"/>
      <c r="BB42" s="741"/>
      <c r="BC42" s="741"/>
      <c r="BD42" s="741"/>
      <c r="BE42" s="741"/>
      <c r="BF42" s="741"/>
      <c r="BG42" s="741"/>
      <c r="BH42" s="741"/>
      <c r="BI42" s="741"/>
      <c r="BJ42" s="741"/>
      <c r="BK42" s="741"/>
      <c r="BL42" s="741"/>
      <c r="BM42" s="741"/>
      <c r="BN42" s="741"/>
      <c r="BO42" s="587"/>
      <c r="BP42" s="587"/>
    </row>
    <row r="43" spans="1:68" hidden="1" outlineLevel="1">
      <c r="A43" s="741" t="s">
        <v>2001</v>
      </c>
      <c r="B43" s="744" t="s">
        <v>1988</v>
      </c>
      <c r="C43" s="741"/>
      <c r="D43" s="759">
        <f>(V43/V36-1)*100</f>
        <v>15.016078870585513</v>
      </c>
      <c r="E43" s="741"/>
      <c r="F43" s="763"/>
      <c r="G43" s="741"/>
      <c r="H43" s="2088">
        <f>'qtrP&amp;L'!X$13</f>
        <v>0</v>
      </c>
      <c r="I43" s="741"/>
      <c r="J43" s="759">
        <f>D43-H43</f>
        <v>15.016078870585513</v>
      </c>
      <c r="K43" s="742"/>
      <c r="L43" s="914">
        <f>Stores!D61</f>
        <v>18</v>
      </c>
      <c r="M43" s="741"/>
      <c r="N43" s="760">
        <f>AVERAGE(L43,L42)</f>
        <v>18</v>
      </c>
      <c r="O43" s="741"/>
      <c r="P43" s="759">
        <f>(N43/N36-1)*100</f>
        <v>12.5</v>
      </c>
      <c r="Q43" s="742"/>
      <c r="R43" s="760">
        <f>J43/P43*100</f>
        <v>120.12863096468411</v>
      </c>
      <c r="S43" s="743"/>
      <c r="T43" s="741"/>
      <c r="U43" s="741"/>
      <c r="V43" s="761">
        <f>'qtrP&amp;L'!V$13</f>
        <v>239.27600000000001</v>
      </c>
      <c r="W43" s="741"/>
      <c r="X43" s="762">
        <f>V43/N43</f>
        <v>13.293111111111111</v>
      </c>
      <c r="Y43" s="741"/>
      <c r="Z43" s="763">
        <f>(X43/X36-1)*100</f>
        <v>2.2365145516315632</v>
      </c>
      <c r="AA43" s="742"/>
      <c r="AB43" s="741"/>
      <c r="AC43" s="764">
        <f>yrSales!F$30</f>
        <v>0.43306250000000002</v>
      </c>
      <c r="AD43" s="741"/>
      <c r="AE43" s="765">
        <f>AVERAGE(AC43,AC42)</f>
        <v>0.21653125000000001</v>
      </c>
      <c r="AF43" s="741"/>
      <c r="AG43" s="759">
        <f>(AE43/AE36-1)*100</f>
        <v>5.1601153437547342</v>
      </c>
      <c r="AH43" s="742"/>
      <c r="AI43" s="760">
        <f>+J43/AG43*100</f>
        <v>291.00277552437677</v>
      </c>
      <c r="AJ43" s="743"/>
      <c r="AK43" s="741"/>
      <c r="AL43" s="761">
        <f>+V43</f>
        <v>239.27600000000001</v>
      </c>
      <c r="AM43" s="741"/>
      <c r="AN43" s="766">
        <f>AL43/AE43</f>
        <v>1105.0414201183432</v>
      </c>
      <c r="AO43" s="741"/>
      <c r="AP43" s="763">
        <f>(AN43/AN36-1)*100</f>
        <v>9.3723399737751567</v>
      </c>
      <c r="AQ43" s="742"/>
      <c r="AR43" s="742"/>
      <c r="AS43" s="741"/>
      <c r="AT43" s="741"/>
      <c r="AU43" s="741"/>
      <c r="AV43" s="741"/>
      <c r="AW43" s="741"/>
      <c r="AX43" s="741"/>
      <c r="AY43" s="741"/>
      <c r="AZ43" s="741"/>
      <c r="BA43" s="741"/>
      <c r="BB43" s="741"/>
      <c r="BC43" s="741"/>
      <c r="BD43" s="741"/>
      <c r="BE43" s="741"/>
      <c r="BF43" s="741"/>
      <c r="BG43" s="741"/>
      <c r="BH43" s="741"/>
      <c r="BI43" s="741"/>
      <c r="BJ43" s="741"/>
      <c r="BK43" s="741"/>
      <c r="BL43" s="741"/>
      <c r="BM43" s="741"/>
      <c r="BN43" s="741"/>
      <c r="BO43" s="587"/>
      <c r="BP43" s="587"/>
    </row>
    <row r="44" spans="1:68" hidden="1" outlineLevel="1">
      <c r="A44" s="741"/>
      <c r="B44" s="744" t="s">
        <v>999</v>
      </c>
      <c r="C44" s="741"/>
      <c r="D44" s="745">
        <f>(V44/V37-1)*100</f>
        <v>20.534826946466112</v>
      </c>
      <c r="E44" s="741"/>
      <c r="F44" s="769"/>
      <c r="G44" s="741"/>
      <c r="H44" s="2087">
        <f>'qtrP&amp;L'!X$14</f>
        <v>0</v>
      </c>
      <c r="I44" s="741"/>
      <c r="J44" s="745">
        <f>D44-H44</f>
        <v>20.534826946466112</v>
      </c>
      <c r="K44" s="742"/>
      <c r="L44" s="750"/>
      <c r="M44" s="741"/>
      <c r="N44" s="747" t="e">
        <f>AVERAGE(N40:N43)</f>
        <v>#DIV/0!</v>
      </c>
      <c r="O44" s="741"/>
      <c r="P44" s="745" t="e">
        <f>(N44/N37-1)*100</f>
        <v>#DIV/0!</v>
      </c>
      <c r="Q44" s="742"/>
      <c r="R44" s="748" t="e">
        <f>J44/P44*100</f>
        <v>#DIV/0!</v>
      </c>
      <c r="S44" s="743"/>
      <c r="T44" s="741"/>
      <c r="U44" s="741"/>
      <c r="V44" s="749">
        <f>SUM(V40:V43)</f>
        <v>682.83100000000002</v>
      </c>
      <c r="W44" s="741"/>
      <c r="X44" s="751" t="e">
        <f>SUM(X40:X43)</f>
        <v>#DIV/0!</v>
      </c>
      <c r="Y44" s="741"/>
      <c r="Z44" s="769" t="e">
        <f>(X44/X37-1)*100</f>
        <v>#DIV/0!</v>
      </c>
      <c r="AA44" s="742"/>
      <c r="AB44" s="741"/>
      <c r="AC44" s="750"/>
      <c r="AD44" s="741"/>
      <c r="AE44" s="754">
        <f>AVERAGE(AE40:AE43)</f>
        <v>0.10560937500000001</v>
      </c>
      <c r="AF44" s="741"/>
      <c r="AG44" s="745">
        <f>(AE44/AE37-1)*100</f>
        <v>105.16011534375474</v>
      </c>
      <c r="AH44" s="742"/>
      <c r="AI44" s="748">
        <f>+J44/AG44*100</f>
        <v>19.527200858748046</v>
      </c>
      <c r="AJ44" s="743"/>
      <c r="AK44" s="741"/>
      <c r="AL44" s="749">
        <f>SUM(AL40:AL43)</f>
        <v>682.83100000000002</v>
      </c>
      <c r="AM44" s="741"/>
      <c r="AN44" s="755" t="e">
        <f>SUM(AN40:AN43)</f>
        <v>#DIV/0!</v>
      </c>
      <c r="AO44" s="741"/>
      <c r="AP44" s="769" t="e">
        <f>(AN44/AN37-1)*100</f>
        <v>#DIV/0!</v>
      </c>
      <c r="AQ44" s="742"/>
      <c r="AR44" s="742"/>
      <c r="AS44" s="741"/>
      <c r="AT44" s="741"/>
      <c r="AU44" s="741"/>
      <c r="AV44" s="741"/>
      <c r="AW44" s="741"/>
      <c r="AX44" s="741"/>
      <c r="AY44" s="741"/>
      <c r="AZ44" s="741"/>
      <c r="BA44" s="741"/>
      <c r="BB44" s="741"/>
      <c r="BC44" s="741"/>
      <c r="BD44" s="741"/>
      <c r="BE44" s="741"/>
      <c r="BF44" s="741"/>
      <c r="BG44" s="741"/>
      <c r="BH44" s="741"/>
      <c r="BI44" s="741"/>
      <c r="BJ44" s="741"/>
      <c r="BK44" s="741"/>
      <c r="BL44" s="741"/>
      <c r="BM44" s="741"/>
      <c r="BN44" s="741"/>
      <c r="BO44" s="587"/>
      <c r="BP44" s="587"/>
    </row>
    <row r="45" spans="1:68" hidden="1" outlineLevel="1">
      <c r="A45" s="741"/>
      <c r="B45" s="744"/>
      <c r="C45" s="741"/>
      <c r="D45" s="741"/>
      <c r="E45" s="741"/>
      <c r="F45" s="741"/>
      <c r="G45" s="741"/>
      <c r="H45" s="2087"/>
      <c r="I45" s="741"/>
      <c r="J45" s="741"/>
      <c r="K45" s="741"/>
      <c r="L45" s="741"/>
      <c r="M45" s="741"/>
      <c r="N45" s="741"/>
      <c r="O45" s="741"/>
      <c r="P45" s="741"/>
      <c r="Q45" s="741"/>
      <c r="R45" s="743"/>
      <c r="S45" s="743"/>
      <c r="T45" s="741"/>
      <c r="U45" s="741"/>
      <c r="V45" s="741"/>
      <c r="W45" s="741"/>
      <c r="X45" s="741"/>
      <c r="Y45" s="741"/>
      <c r="Z45" s="741"/>
      <c r="AA45" s="742"/>
      <c r="AB45" s="741"/>
      <c r="AC45" s="741"/>
      <c r="AD45" s="741"/>
      <c r="AE45" s="741"/>
      <c r="AF45" s="741"/>
      <c r="AG45" s="741"/>
      <c r="AH45" s="741"/>
      <c r="AI45" s="743"/>
      <c r="AJ45" s="743"/>
      <c r="AK45" s="741"/>
      <c r="AL45" s="741"/>
      <c r="AM45" s="741"/>
      <c r="AN45" s="741"/>
      <c r="AO45" s="741"/>
      <c r="AP45" s="741"/>
      <c r="AQ45" s="742"/>
      <c r="AR45" s="742"/>
      <c r="AS45" s="741"/>
      <c r="AT45" s="741"/>
      <c r="AU45" s="741"/>
      <c r="AV45" s="741"/>
      <c r="AW45" s="741"/>
      <c r="AX45" s="741"/>
      <c r="AY45" s="741"/>
      <c r="AZ45" s="741"/>
      <c r="BA45" s="741"/>
      <c r="BB45" s="741"/>
      <c r="BC45" s="741"/>
      <c r="BD45" s="741"/>
      <c r="BE45" s="741"/>
      <c r="BF45" s="741"/>
      <c r="BG45" s="741"/>
      <c r="BH45" s="741"/>
      <c r="BI45" s="741"/>
      <c r="BJ45" s="741"/>
      <c r="BK45" s="741"/>
      <c r="BL45" s="741"/>
      <c r="BM45" s="741"/>
      <c r="BN45" s="741"/>
      <c r="BO45" s="587"/>
      <c r="BP45" s="587"/>
    </row>
    <row r="46" spans="1:68" hidden="1" outlineLevel="1" collapsed="1">
      <c r="A46" s="740"/>
      <c r="B46" s="770">
        <f>B39+1</f>
        <v>1995</v>
      </c>
      <c r="C46" s="741"/>
      <c r="D46" s="741"/>
      <c r="E46" s="741"/>
      <c r="F46" s="741"/>
      <c r="G46" s="741"/>
      <c r="H46" s="2087"/>
      <c r="I46" s="741"/>
      <c r="J46" s="741"/>
      <c r="K46" s="741"/>
      <c r="L46" s="741"/>
      <c r="M46" s="741"/>
      <c r="N46" s="741"/>
      <c r="O46" s="741"/>
      <c r="P46" s="741"/>
      <c r="Q46" s="741"/>
      <c r="R46" s="743"/>
      <c r="S46" s="743"/>
      <c r="T46" s="741"/>
      <c r="U46" s="741"/>
      <c r="V46" s="741"/>
      <c r="W46" s="741"/>
      <c r="X46" s="741"/>
      <c r="Y46" s="741"/>
      <c r="Z46" s="741"/>
      <c r="AA46" s="742"/>
      <c r="AB46" s="741"/>
      <c r="AC46" s="741"/>
      <c r="AD46" s="741"/>
      <c r="AE46" s="741"/>
      <c r="AF46" s="741"/>
      <c r="AG46" s="741"/>
      <c r="AH46" s="741"/>
      <c r="AI46" s="743"/>
      <c r="AJ46" s="743"/>
      <c r="AK46" s="741"/>
      <c r="AL46" s="741"/>
      <c r="AM46" s="741"/>
      <c r="AN46" s="741"/>
      <c r="AO46" s="741"/>
      <c r="AP46" s="741"/>
      <c r="AQ46" s="742"/>
      <c r="AR46" s="742"/>
      <c r="AS46" s="741"/>
      <c r="AT46" s="741"/>
      <c r="AU46" s="741"/>
      <c r="AV46" s="741"/>
      <c r="AW46" s="741"/>
      <c r="AX46" s="741"/>
      <c r="AY46" s="741"/>
      <c r="AZ46" s="741"/>
      <c r="BA46" s="741"/>
      <c r="BB46" s="741"/>
      <c r="BC46" s="741"/>
      <c r="BD46" s="741"/>
      <c r="BE46" s="741"/>
      <c r="BF46" s="741"/>
      <c r="BG46" s="741"/>
      <c r="BH46" s="741"/>
      <c r="BI46" s="741"/>
      <c r="BJ46" s="741"/>
      <c r="BK46" s="741"/>
      <c r="BL46" s="741"/>
      <c r="BM46" s="741"/>
      <c r="BN46" s="741"/>
      <c r="BO46" s="587"/>
      <c r="BP46" s="587"/>
    </row>
    <row r="47" spans="1:68" hidden="1" outlineLevel="1">
      <c r="A47" s="741" t="str">
        <f>$A$40</f>
        <v>1Q</v>
      </c>
      <c r="B47" s="744" t="str">
        <f>$B$40</f>
        <v>Apr</v>
      </c>
      <c r="C47" s="741"/>
      <c r="D47" s="745">
        <f>(V47/V40-1)*100</f>
        <v>14.432918975359566</v>
      </c>
      <c r="E47" s="741" t="s">
        <v>1970</v>
      </c>
      <c r="F47" s="769"/>
      <c r="G47" s="741"/>
      <c r="H47" s="2087">
        <f>'qtrP&amp;L'!AB$10</f>
        <v>0</v>
      </c>
      <c r="I47" s="741" t="s">
        <v>1970</v>
      </c>
      <c r="J47" s="745">
        <f>D47-H47</f>
        <v>14.432918975359566</v>
      </c>
      <c r="K47" s="742" t="s">
        <v>1970</v>
      </c>
      <c r="L47" s="750"/>
      <c r="M47" s="741"/>
      <c r="N47" s="741">
        <f>AVERAGE(L47,L43)</f>
        <v>18</v>
      </c>
      <c r="O47" s="741"/>
      <c r="P47" s="745">
        <f>(N47/N40-1)*100</f>
        <v>12.5</v>
      </c>
      <c r="Q47" s="742" t="s">
        <v>1970</v>
      </c>
      <c r="R47" s="748">
        <f>J47/P47*100</f>
        <v>115.46335180287653</v>
      </c>
      <c r="S47" s="743" t="s">
        <v>1970</v>
      </c>
      <c r="T47" s="741"/>
      <c r="U47" s="741"/>
      <c r="V47" s="749">
        <f>'qtrP&amp;L'!Z$10</f>
        <v>150.14400000000001</v>
      </c>
      <c r="W47" s="741"/>
      <c r="X47" s="751">
        <f>V47/N47</f>
        <v>8.341333333333333</v>
      </c>
      <c r="Y47" s="741"/>
      <c r="Z47" s="769">
        <f>(X47/X40-1)*100</f>
        <v>1.7181502003196014</v>
      </c>
      <c r="AA47" s="742" t="s">
        <v>1970</v>
      </c>
      <c r="AB47" s="741"/>
      <c r="AC47" s="753">
        <f>21500/0.8*$L47/1000000</f>
        <v>0</v>
      </c>
      <c r="AD47" s="741"/>
      <c r="AE47" s="754">
        <f>AVERAGE(AC47,AC43)</f>
        <v>0.21653125000000001</v>
      </c>
      <c r="AF47" s="741"/>
      <c r="AG47" s="745">
        <f>(AE47/AE40-1)*100</f>
        <v>5.1601153437547342</v>
      </c>
      <c r="AH47" s="742" t="s">
        <v>1970</v>
      </c>
      <c r="AI47" s="748">
        <f>+J47/AG47*100</f>
        <v>279.70147979013041</v>
      </c>
      <c r="AJ47" s="743" t="s">
        <v>1970</v>
      </c>
      <c r="AK47" s="741"/>
      <c r="AL47" s="749">
        <f>+V47</f>
        <v>150.14400000000001</v>
      </c>
      <c r="AM47" s="741"/>
      <c r="AN47" s="755">
        <f>AL47/AE47</f>
        <v>693.40568624621153</v>
      </c>
      <c r="AO47" s="741"/>
      <c r="AP47" s="745">
        <f>(AN47/AN40-1)*100</f>
        <v>8.8177952271098583</v>
      </c>
      <c r="AQ47" s="742" t="s">
        <v>1970</v>
      </c>
      <c r="AR47" s="742"/>
      <c r="AS47" s="741"/>
      <c r="AT47" s="741"/>
      <c r="AU47" s="741"/>
      <c r="AV47" s="741"/>
      <c r="AW47" s="741"/>
      <c r="AX47" s="741"/>
      <c r="AY47" s="741"/>
      <c r="AZ47" s="741"/>
      <c r="BA47" s="741"/>
      <c r="BB47" s="741"/>
      <c r="BC47" s="741"/>
      <c r="BD47" s="741"/>
      <c r="BE47" s="741"/>
      <c r="BF47" s="741"/>
      <c r="BG47" s="741"/>
      <c r="BH47" s="741"/>
      <c r="BI47" s="741"/>
      <c r="BJ47" s="741"/>
      <c r="BK47" s="741"/>
      <c r="BL47" s="741"/>
      <c r="BM47" s="741"/>
      <c r="BN47" s="741"/>
      <c r="BO47" s="587"/>
      <c r="BP47" s="587"/>
    </row>
    <row r="48" spans="1:68" hidden="1" outlineLevel="1">
      <c r="A48" s="741" t="str">
        <f>$A$41</f>
        <v>2Q</v>
      </c>
      <c r="B48" s="744" t="str">
        <f>$B$41</f>
        <v>Jul</v>
      </c>
      <c r="C48" s="741"/>
      <c r="D48" s="745">
        <f>(V48/V41-1)*100</f>
        <v>21.296229401603849</v>
      </c>
      <c r="E48" s="741"/>
      <c r="F48" s="769"/>
      <c r="G48" s="741"/>
      <c r="H48" s="2087">
        <f>'qtrP&amp;L'!AB$11</f>
        <v>0</v>
      </c>
      <c r="I48" s="741"/>
      <c r="J48" s="745">
        <f>D48-H48</f>
        <v>21.296229401603849</v>
      </c>
      <c r="K48" s="742"/>
      <c r="L48" s="750"/>
      <c r="M48" s="741"/>
      <c r="N48" s="747" t="e">
        <f>AVERAGE(L48,L47)</f>
        <v>#DIV/0!</v>
      </c>
      <c r="O48" s="741"/>
      <c r="P48" s="745" t="e">
        <f>(N48/N41-1)*100</f>
        <v>#DIV/0!</v>
      </c>
      <c r="Q48" s="742"/>
      <c r="R48" s="748" t="e">
        <f>J48/P48*100</f>
        <v>#DIV/0!</v>
      </c>
      <c r="S48" s="743"/>
      <c r="T48" s="741"/>
      <c r="U48" s="741"/>
      <c r="V48" s="756">
        <f>'qtrP&amp;L'!Z$11</f>
        <v>184.68199999999999</v>
      </c>
      <c r="W48" s="741"/>
      <c r="X48" s="757" t="e">
        <f>V48/N48</f>
        <v>#DIV/0!</v>
      </c>
      <c r="Y48" s="741"/>
      <c r="Z48" s="769" t="e">
        <f>(X48/X41-1)*100</f>
        <v>#DIV/0!</v>
      </c>
      <c r="AA48" s="742"/>
      <c r="AB48" s="741"/>
      <c r="AC48" s="753">
        <f>21500/0.8*$L48/1000000</f>
        <v>0</v>
      </c>
      <c r="AD48" s="741"/>
      <c r="AE48" s="754">
        <f>AVERAGE(AC48,AC47)</f>
        <v>0</v>
      </c>
      <c r="AF48" s="741"/>
      <c r="AG48" s="745" t="e">
        <f>(AE48/AE41-1)*100</f>
        <v>#DIV/0!</v>
      </c>
      <c r="AH48" s="742"/>
      <c r="AI48" s="748" t="e">
        <f>+J48/AG48*100</f>
        <v>#DIV/0!</v>
      </c>
      <c r="AJ48" s="743"/>
      <c r="AK48" s="741"/>
      <c r="AL48" s="756">
        <f>+V48</f>
        <v>184.68199999999999</v>
      </c>
      <c r="AM48" s="741"/>
      <c r="AN48" s="758" t="e">
        <f>AL48/AE48</f>
        <v>#DIV/0!</v>
      </c>
      <c r="AO48" s="741"/>
      <c r="AP48" s="769" t="e">
        <f>(AN48/AN41-1)*100</f>
        <v>#DIV/0!</v>
      </c>
      <c r="AQ48" s="742"/>
      <c r="AR48" s="742"/>
      <c r="AS48" s="741"/>
      <c r="AT48" s="741"/>
      <c r="AU48" s="741"/>
      <c r="AV48" s="741"/>
      <c r="AW48" s="741"/>
      <c r="AX48" s="741"/>
      <c r="AY48" s="741"/>
      <c r="AZ48" s="741"/>
      <c r="BA48" s="741"/>
      <c r="BB48" s="741"/>
      <c r="BC48" s="741"/>
      <c r="BD48" s="741"/>
      <c r="BE48" s="741"/>
      <c r="BF48" s="741"/>
      <c r="BG48" s="741"/>
      <c r="BH48" s="741"/>
      <c r="BI48" s="741"/>
      <c r="BJ48" s="741"/>
      <c r="BK48" s="741"/>
      <c r="BL48" s="741"/>
      <c r="BM48" s="741"/>
      <c r="BN48" s="741"/>
      <c r="BO48" s="587"/>
      <c r="BP48" s="587"/>
    </row>
    <row r="49" spans="1:68" hidden="1" outlineLevel="1">
      <c r="A49" s="741" t="str">
        <f>$A$42</f>
        <v>3Q</v>
      </c>
      <c r="B49" s="744" t="str">
        <f>$B$42</f>
        <v>Oct</v>
      </c>
      <c r="C49" s="741"/>
      <c r="D49" s="745">
        <f>(V49/V42-1)*100</f>
        <v>17.287042994296975</v>
      </c>
      <c r="E49" s="741"/>
      <c r="F49" s="769"/>
      <c r="G49" s="741"/>
      <c r="H49" s="2087">
        <f>'qtrP&amp;L'!AB$12</f>
        <v>0</v>
      </c>
      <c r="I49" s="741"/>
      <c r="J49" s="745">
        <f>D49-H49</f>
        <v>17.287042994296975</v>
      </c>
      <c r="K49" s="742"/>
      <c r="L49" s="750"/>
      <c r="M49" s="741"/>
      <c r="N49" s="747" t="e">
        <f>AVERAGE(L49,L48)</f>
        <v>#DIV/0!</v>
      </c>
      <c r="O49" s="741"/>
      <c r="P49" s="745" t="e">
        <f>(N49/N42-1)*100</f>
        <v>#DIV/0!</v>
      </c>
      <c r="Q49" s="742"/>
      <c r="R49" s="748" t="e">
        <f>J49/P49*100</f>
        <v>#DIV/0!</v>
      </c>
      <c r="S49" s="743"/>
      <c r="T49" s="741"/>
      <c r="U49" s="741"/>
      <c r="V49" s="756">
        <f>'qtrP&amp;L'!Z$12</f>
        <v>187.76599999999999</v>
      </c>
      <c r="W49" s="741"/>
      <c r="X49" s="757" t="e">
        <f>V49/N49</f>
        <v>#DIV/0!</v>
      </c>
      <c r="Y49" s="741"/>
      <c r="Z49" s="769" t="e">
        <f>(X49/X42-1)*100</f>
        <v>#DIV/0!</v>
      </c>
      <c r="AA49" s="742"/>
      <c r="AB49" s="741"/>
      <c r="AC49" s="753">
        <f>21500/0.8*$L49/1000000</f>
        <v>0</v>
      </c>
      <c r="AD49" s="741"/>
      <c r="AE49" s="754">
        <f>AVERAGE(AC49,AC48)</f>
        <v>0</v>
      </c>
      <c r="AF49" s="741"/>
      <c r="AG49" s="745" t="e">
        <f>(AE49/AE42-1)*100</f>
        <v>#DIV/0!</v>
      </c>
      <c r="AH49" s="742"/>
      <c r="AI49" s="748" t="e">
        <f>+J49/AG49*100</f>
        <v>#DIV/0!</v>
      </c>
      <c r="AJ49" s="743"/>
      <c r="AK49" s="741"/>
      <c r="AL49" s="756">
        <f>+V49</f>
        <v>187.76599999999999</v>
      </c>
      <c r="AM49" s="741"/>
      <c r="AN49" s="758" t="e">
        <f>AL49/AE49</f>
        <v>#DIV/0!</v>
      </c>
      <c r="AO49" s="741"/>
      <c r="AP49" s="769" t="e">
        <f>(AN49/AN42-1)*100</f>
        <v>#DIV/0!</v>
      </c>
      <c r="AQ49" s="742"/>
      <c r="AR49" s="742"/>
      <c r="AS49" s="741"/>
      <c r="AT49" s="741"/>
      <c r="AU49" s="741"/>
      <c r="AV49" s="741"/>
      <c r="AW49" s="741"/>
      <c r="AX49" s="741"/>
      <c r="AY49" s="741"/>
      <c r="AZ49" s="741"/>
      <c r="BA49" s="741"/>
      <c r="BB49" s="741"/>
      <c r="BC49" s="741"/>
      <c r="BD49" s="741"/>
      <c r="BE49" s="741"/>
      <c r="BF49" s="741"/>
      <c r="BG49" s="741"/>
      <c r="BH49" s="741"/>
      <c r="BI49" s="741"/>
      <c r="BJ49" s="741"/>
      <c r="BK49" s="741"/>
      <c r="BL49" s="741"/>
      <c r="BM49" s="741"/>
      <c r="BN49" s="741"/>
      <c r="BO49" s="587"/>
      <c r="BP49" s="587"/>
    </row>
    <row r="50" spans="1:68" hidden="1" outlineLevel="1">
      <c r="A50" s="741" t="str">
        <f>$A$43</f>
        <v>4Q</v>
      </c>
      <c r="B50" s="744" t="str">
        <f>$B$43</f>
        <v>Jan</v>
      </c>
      <c r="C50" s="741"/>
      <c r="D50" s="759">
        <f>(V50/V43-1)*100</f>
        <v>17.312225212725039</v>
      </c>
      <c r="E50" s="741"/>
      <c r="F50" s="763"/>
      <c r="G50" s="741"/>
      <c r="H50" s="2088">
        <f>'qtrP&amp;L'!AB$13</f>
        <v>0</v>
      </c>
      <c r="I50" s="741"/>
      <c r="J50" s="759">
        <f>D50-H50</f>
        <v>17.312225212725039</v>
      </c>
      <c r="K50" s="742"/>
      <c r="L50" s="914">
        <f>Stores!D68</f>
        <v>21</v>
      </c>
      <c r="M50" s="741"/>
      <c r="N50" s="760">
        <f>AVERAGE(L50,L49)</f>
        <v>21</v>
      </c>
      <c r="O50" s="741"/>
      <c r="P50" s="759">
        <f>(N50/N43-1)*100</f>
        <v>16.666666666666675</v>
      </c>
      <c r="Q50" s="742"/>
      <c r="R50" s="760">
        <f>J50/P50*100</f>
        <v>103.87335127635018</v>
      </c>
      <c r="S50" s="743"/>
      <c r="T50" s="741"/>
      <c r="U50" s="741"/>
      <c r="V50" s="761">
        <f>'qtrP&amp;L'!Z$13</f>
        <v>280.7</v>
      </c>
      <c r="W50" s="741"/>
      <c r="X50" s="762">
        <f>V50/N50</f>
        <v>13.366666666666665</v>
      </c>
      <c r="Y50" s="741"/>
      <c r="Z50" s="763">
        <f>(X50/X43-1)*100</f>
        <v>0.5533358966214541</v>
      </c>
      <c r="AA50" s="742"/>
      <c r="AB50" s="741"/>
      <c r="AC50" s="764">
        <f>Stores!G68</f>
        <v>0.23644999999999999</v>
      </c>
      <c r="AD50" s="741"/>
      <c r="AE50" s="765">
        <f>AVERAGE(AC50,AC49)</f>
        <v>0.118225</v>
      </c>
      <c r="AF50" s="741"/>
      <c r="AG50" s="759">
        <f>(AE50/AE43-1)*100</f>
        <v>-45.400490691297449</v>
      </c>
      <c r="AH50" s="742"/>
      <c r="AI50" s="760">
        <f>+J50/AG50*100</f>
        <v>-38.132242513501104</v>
      </c>
      <c r="AJ50" s="743"/>
      <c r="AK50" s="741"/>
      <c r="AL50" s="761">
        <f>+V50</f>
        <v>280.7</v>
      </c>
      <c r="AM50" s="741"/>
      <c r="AN50" s="766">
        <f>AL50/AE50</f>
        <v>2374.2863184605626</v>
      </c>
      <c r="AO50" s="741"/>
      <c r="AP50" s="763">
        <f>(AN50/AN43-1)*100</f>
        <v>114.8594862811831</v>
      </c>
      <c r="AQ50" s="742"/>
      <c r="AR50" s="742"/>
      <c r="AS50" s="741"/>
      <c r="AT50" s="741"/>
      <c r="AU50" s="741"/>
      <c r="AV50" s="741"/>
      <c r="AW50" s="741"/>
      <c r="AX50" s="741"/>
      <c r="AY50" s="741"/>
      <c r="AZ50" s="741"/>
      <c r="BA50" s="741"/>
      <c r="BB50" s="741"/>
      <c r="BC50" s="741"/>
      <c r="BD50" s="741"/>
      <c r="BE50" s="741"/>
      <c r="BF50" s="741"/>
      <c r="BG50" s="741"/>
      <c r="BH50" s="741"/>
      <c r="BI50" s="741"/>
      <c r="BJ50" s="741"/>
      <c r="BK50" s="741"/>
      <c r="BL50" s="741"/>
      <c r="BM50" s="741"/>
      <c r="BN50" s="741"/>
      <c r="BO50" s="587"/>
      <c r="BP50" s="587"/>
    </row>
    <row r="51" spans="1:68" hidden="1" outlineLevel="1">
      <c r="A51" s="741"/>
      <c r="B51" s="744" t="str">
        <f>$B$44</f>
        <v>Year</v>
      </c>
      <c r="C51" s="741"/>
      <c r="D51" s="745">
        <f>(V51/V44-1)*100</f>
        <v>17.641407610375026</v>
      </c>
      <c r="E51" s="741"/>
      <c r="F51" s="769"/>
      <c r="G51" s="741"/>
      <c r="H51" s="2087">
        <f>'qtrP&amp;L'!AB$14</f>
        <v>0</v>
      </c>
      <c r="I51" s="741"/>
      <c r="J51" s="745">
        <f>D51-H51</f>
        <v>17.641407610375026</v>
      </c>
      <c r="K51" s="742"/>
      <c r="L51" s="750"/>
      <c r="M51" s="741"/>
      <c r="N51" s="747" t="e">
        <f>AVERAGE(N47:N50)</f>
        <v>#DIV/0!</v>
      </c>
      <c r="O51" s="741"/>
      <c r="P51" s="745" t="e">
        <f>(N51/N44-1)*100</f>
        <v>#DIV/0!</v>
      </c>
      <c r="Q51" s="742"/>
      <c r="R51" s="748" t="e">
        <f>J51/P51*100</f>
        <v>#DIV/0!</v>
      </c>
      <c r="S51" s="743"/>
      <c r="T51" s="741"/>
      <c r="U51" s="741"/>
      <c r="V51" s="749">
        <f>SUM(V47:V50)</f>
        <v>803.29199999999992</v>
      </c>
      <c r="W51" s="741"/>
      <c r="X51" s="751" t="e">
        <f>SUM(X47:X50)</f>
        <v>#DIV/0!</v>
      </c>
      <c r="Y51" s="741"/>
      <c r="Z51" s="769" t="e">
        <f>(X51/X44-1)*100</f>
        <v>#DIV/0!</v>
      </c>
      <c r="AA51" s="742"/>
      <c r="AB51" s="741"/>
      <c r="AC51" s="750"/>
      <c r="AD51" s="741"/>
      <c r="AE51" s="754">
        <f>AVERAGE(AE47:AE50)</f>
        <v>8.3689062499999994E-2</v>
      </c>
      <c r="AF51" s="741"/>
      <c r="AG51" s="745">
        <f>(AE51/AE44-1)*100</f>
        <v>-20.756028998372543</v>
      </c>
      <c r="AH51" s="742"/>
      <c r="AI51" s="748">
        <f>+J51/AG51*100</f>
        <v>-84.994136459138062</v>
      </c>
      <c r="AJ51" s="743"/>
      <c r="AK51" s="741"/>
      <c r="AL51" s="749">
        <f>SUM(AL47:AL50)</f>
        <v>803.29199999999992</v>
      </c>
      <c r="AM51" s="741"/>
      <c r="AN51" s="755" t="e">
        <f>SUM(AN47:AN50)</f>
        <v>#DIV/0!</v>
      </c>
      <c r="AO51" s="741"/>
      <c r="AP51" s="769" t="e">
        <f>(AN51/AN44-1)*100</f>
        <v>#DIV/0!</v>
      </c>
      <c r="AQ51" s="742"/>
      <c r="AR51" s="742"/>
      <c r="AS51" s="741"/>
      <c r="AT51" s="741"/>
      <c r="AU51" s="741"/>
      <c r="AV51" s="741"/>
      <c r="AW51" s="741"/>
      <c r="AX51" s="741"/>
      <c r="AY51" s="741"/>
      <c r="AZ51" s="741"/>
      <c r="BA51" s="741"/>
      <c r="BB51" s="741"/>
      <c r="BC51" s="741"/>
      <c r="BD51" s="741"/>
      <c r="BE51" s="741"/>
      <c r="BF51" s="741"/>
      <c r="BG51" s="741"/>
      <c r="BH51" s="741"/>
      <c r="BI51" s="741"/>
      <c r="BJ51" s="741"/>
      <c r="BK51" s="741"/>
      <c r="BL51" s="741"/>
      <c r="BM51" s="741"/>
      <c r="BN51" s="741"/>
      <c r="BO51" s="587"/>
      <c r="BP51" s="587"/>
    </row>
    <row r="52" spans="1:68" hidden="1" outlineLevel="1">
      <c r="A52" s="741"/>
      <c r="B52" s="744"/>
      <c r="C52" s="741"/>
      <c r="D52" s="741"/>
      <c r="E52" s="741"/>
      <c r="F52" s="741"/>
      <c r="G52" s="741"/>
      <c r="H52" s="2087"/>
      <c r="I52" s="741"/>
      <c r="J52" s="741"/>
      <c r="K52" s="742"/>
      <c r="L52" s="750"/>
      <c r="M52" s="741"/>
      <c r="N52" s="741"/>
      <c r="O52" s="741"/>
      <c r="P52" s="741"/>
      <c r="Q52" s="742"/>
      <c r="R52" s="743"/>
      <c r="S52" s="743"/>
      <c r="T52" s="741"/>
      <c r="U52" s="741"/>
      <c r="V52" s="741"/>
      <c r="W52" s="741"/>
      <c r="X52" s="741"/>
      <c r="Y52" s="741"/>
      <c r="Z52" s="741"/>
      <c r="AA52" s="742"/>
      <c r="AB52" s="741"/>
      <c r="AC52" s="750"/>
      <c r="AD52" s="741"/>
      <c r="AE52" s="741"/>
      <c r="AF52" s="741"/>
      <c r="AG52" s="741"/>
      <c r="AH52" s="742"/>
      <c r="AI52" s="743"/>
      <c r="AJ52" s="743"/>
      <c r="AK52" s="741"/>
      <c r="AL52" s="741"/>
      <c r="AM52" s="741"/>
      <c r="AN52" s="741"/>
      <c r="AO52" s="741"/>
      <c r="AP52" s="741"/>
      <c r="AQ52" s="742"/>
      <c r="AR52" s="742"/>
      <c r="AS52" s="741"/>
      <c r="AT52" s="741"/>
      <c r="AU52" s="741"/>
      <c r="AV52" s="741"/>
      <c r="AW52" s="741"/>
      <c r="AX52" s="741"/>
      <c r="AY52" s="741"/>
      <c r="AZ52" s="741"/>
      <c r="BA52" s="741"/>
      <c r="BB52" s="741"/>
      <c r="BC52" s="741"/>
      <c r="BD52" s="741"/>
      <c r="BE52" s="741"/>
      <c r="BF52" s="741"/>
      <c r="BG52" s="741"/>
      <c r="BH52" s="741"/>
      <c r="BI52" s="741"/>
      <c r="BJ52" s="741"/>
      <c r="BK52" s="741"/>
      <c r="BL52" s="741"/>
      <c r="BM52" s="741"/>
      <c r="BN52" s="741"/>
      <c r="BO52" s="587"/>
      <c r="BP52" s="587"/>
    </row>
    <row r="53" spans="1:68" hidden="1" outlineLevel="1">
      <c r="A53" s="740"/>
      <c r="B53" s="770">
        <f>B46+1</f>
        <v>1996</v>
      </c>
      <c r="C53" s="741"/>
      <c r="D53" s="741"/>
      <c r="E53" s="741"/>
      <c r="F53" s="741"/>
      <c r="G53" s="741"/>
      <c r="H53" s="2087"/>
      <c r="I53" s="741"/>
      <c r="J53" s="741"/>
      <c r="K53" s="742"/>
      <c r="L53" s="750"/>
      <c r="M53" s="741"/>
      <c r="N53" s="741"/>
      <c r="O53" s="741"/>
      <c r="P53" s="741"/>
      <c r="Q53" s="742"/>
      <c r="R53" s="743"/>
      <c r="S53" s="743"/>
      <c r="T53" s="741"/>
      <c r="U53" s="741"/>
      <c r="V53" s="741"/>
      <c r="W53" s="741"/>
      <c r="X53" s="741"/>
      <c r="Y53" s="741"/>
      <c r="Z53" s="741"/>
      <c r="AA53" s="742"/>
      <c r="AB53" s="741"/>
      <c r="AC53" s="750"/>
      <c r="AD53" s="741"/>
      <c r="AE53" s="741"/>
      <c r="AF53" s="741"/>
      <c r="AG53" s="741"/>
      <c r="AH53" s="742"/>
      <c r="AI53" s="743"/>
      <c r="AJ53" s="743"/>
      <c r="AK53" s="741"/>
      <c r="AL53" s="741"/>
      <c r="AM53" s="741"/>
      <c r="AN53" s="741"/>
      <c r="AO53" s="741"/>
      <c r="AP53" s="741"/>
      <c r="AQ53" s="742"/>
      <c r="AR53" s="742"/>
      <c r="AS53" s="741"/>
      <c r="AT53" s="741"/>
      <c r="AU53" s="741"/>
      <c r="AV53" s="741"/>
      <c r="AW53" s="741"/>
      <c r="AX53" s="741"/>
      <c r="AY53" s="741"/>
      <c r="AZ53" s="741"/>
      <c r="BA53" s="741"/>
      <c r="BB53" s="741"/>
      <c r="BC53" s="741"/>
      <c r="BD53" s="741"/>
      <c r="BE53" s="741"/>
      <c r="BF53" s="741"/>
      <c r="BG53" s="741"/>
      <c r="BH53" s="741"/>
      <c r="BI53" s="741"/>
      <c r="BJ53" s="741"/>
      <c r="BK53" s="741"/>
      <c r="BL53" s="741"/>
      <c r="BM53" s="741"/>
      <c r="BN53" s="741"/>
      <c r="BO53" s="587"/>
      <c r="BP53" s="587"/>
    </row>
    <row r="54" spans="1:68" hidden="1" outlineLevel="1">
      <c r="A54" s="741" t="str">
        <f>$A$40</f>
        <v>1Q</v>
      </c>
      <c r="B54" s="744" t="str">
        <f>$B$40</f>
        <v>Apr</v>
      </c>
      <c r="C54" s="741"/>
      <c r="D54" s="745">
        <f>(V54/V47-1)*100</f>
        <v>20.378436700767267</v>
      </c>
      <c r="E54" s="741" t="s">
        <v>1970</v>
      </c>
      <c r="F54" s="769"/>
      <c r="G54" s="741"/>
      <c r="H54" s="2087">
        <f>'qtrP&amp;L'!AF10</f>
        <v>0</v>
      </c>
      <c r="I54" s="741" t="s">
        <v>1970</v>
      </c>
      <c r="J54" s="745">
        <f>D54-H54</f>
        <v>20.378436700767267</v>
      </c>
      <c r="K54" s="742" t="s">
        <v>1970</v>
      </c>
      <c r="L54" s="750"/>
      <c r="M54" s="741"/>
      <c r="N54" s="747">
        <f>AVERAGE(L54,L50)</f>
        <v>21</v>
      </c>
      <c r="O54" s="741"/>
      <c r="P54" s="745">
        <f>(N54/N47-1)*100</f>
        <v>16.666666666666675</v>
      </c>
      <c r="Q54" s="742" t="s">
        <v>1970</v>
      </c>
      <c r="R54" s="748">
        <f>J54/P54*100</f>
        <v>122.27062020460355</v>
      </c>
      <c r="S54" s="743" t="s">
        <v>1970</v>
      </c>
      <c r="T54" s="741"/>
      <c r="U54" s="741"/>
      <c r="V54" s="749">
        <f>'qtrP&amp;L'!AD10</f>
        <v>180.74100000000001</v>
      </c>
      <c r="W54" s="741"/>
      <c r="X54" s="751">
        <f>V54/N54</f>
        <v>8.6067142857142862</v>
      </c>
      <c r="Y54" s="741"/>
      <c r="Z54" s="745">
        <f>(X54/X47-1)*100</f>
        <v>3.1815171720862345</v>
      </c>
      <c r="AA54" s="742" t="s">
        <v>1970</v>
      </c>
      <c r="AB54" s="741"/>
      <c r="AC54" s="753">
        <f>21600/0.8*$L54/1000000</f>
        <v>0</v>
      </c>
      <c r="AD54" s="741"/>
      <c r="AE54" s="754">
        <f>AVERAGE(AC54,AC50)</f>
        <v>0.118225</v>
      </c>
      <c r="AF54" s="741"/>
      <c r="AG54" s="745">
        <f>(AE54/AE47-1)*100</f>
        <v>-45.400490691297449</v>
      </c>
      <c r="AH54" s="742" t="s">
        <v>1970</v>
      </c>
      <c r="AI54" s="748">
        <f>+J54/AG54*100</f>
        <v>-44.885939315791333</v>
      </c>
      <c r="AJ54" s="743" t="s">
        <v>1970</v>
      </c>
      <c r="AK54" s="741"/>
      <c r="AL54" s="749">
        <f>+V54</f>
        <v>180.74100000000001</v>
      </c>
      <c r="AM54" s="741"/>
      <c r="AN54" s="755">
        <f>AL54/AE54</f>
        <v>1528.7883273419329</v>
      </c>
      <c r="AO54" s="741"/>
      <c r="AP54" s="745">
        <f>(AN54/AN47-1)*100</f>
        <v>120.47530870681342</v>
      </c>
      <c r="AQ54" s="742" t="s">
        <v>1970</v>
      </c>
      <c r="AR54" s="742"/>
      <c r="AS54" s="741"/>
      <c r="AT54" s="741"/>
      <c r="AU54" s="741"/>
      <c r="AV54" s="741"/>
      <c r="AW54" s="741"/>
      <c r="AX54" s="741"/>
      <c r="AY54" s="741"/>
      <c r="AZ54" s="741"/>
      <c r="BA54" s="741"/>
      <c r="BB54" s="741"/>
      <c r="BC54" s="741"/>
      <c r="BD54" s="741"/>
      <c r="BE54" s="741"/>
      <c r="BF54" s="741"/>
      <c r="BG54" s="741"/>
      <c r="BH54" s="741"/>
      <c r="BI54" s="741"/>
      <c r="BJ54" s="741"/>
      <c r="BK54" s="741"/>
      <c r="BL54" s="741"/>
      <c r="BM54" s="741"/>
      <c r="BN54" s="741"/>
      <c r="BO54" s="587"/>
      <c r="BP54" s="587"/>
    </row>
    <row r="55" spans="1:68" hidden="1" outlineLevel="1">
      <c r="A55" s="741" t="str">
        <f>$A$41</f>
        <v>2Q</v>
      </c>
      <c r="B55" s="744" t="str">
        <f>$B$41</f>
        <v>Jul</v>
      </c>
      <c r="C55" s="741"/>
      <c r="D55" s="745">
        <f>(V55/V48-1)*100</f>
        <v>9.7903423181468838</v>
      </c>
      <c r="E55" s="741"/>
      <c r="F55" s="769"/>
      <c r="G55" s="741"/>
      <c r="H55" s="2087">
        <f>'qtrP&amp;L'!AF11</f>
        <v>0</v>
      </c>
      <c r="I55" s="741"/>
      <c r="J55" s="745">
        <f>D55-H55</f>
        <v>9.7903423181468838</v>
      </c>
      <c r="K55" s="742"/>
      <c r="L55" s="750"/>
      <c r="M55" s="741"/>
      <c r="N55" s="747" t="e">
        <f>AVERAGE(L55,L54)</f>
        <v>#DIV/0!</v>
      </c>
      <c r="O55" s="741"/>
      <c r="P55" s="745" t="e">
        <f>(N55/N48-1)*100</f>
        <v>#DIV/0!</v>
      </c>
      <c r="Q55" s="742"/>
      <c r="R55" s="748" t="e">
        <f>J55/P55*100</f>
        <v>#DIV/0!</v>
      </c>
      <c r="S55" s="743"/>
      <c r="T55" s="741"/>
      <c r="U55" s="741"/>
      <c r="V55" s="756">
        <f>'qtrP&amp;L'!AD11</f>
        <v>202.76300000000001</v>
      </c>
      <c r="W55" s="741"/>
      <c r="X55" s="757" t="e">
        <f>V55/N55</f>
        <v>#DIV/0!</v>
      </c>
      <c r="Y55" s="741"/>
      <c r="Z55" s="745" t="e">
        <f>(X55/X48-1)*100</f>
        <v>#DIV/0!</v>
      </c>
      <c r="AA55" s="742"/>
      <c r="AB55" s="741"/>
      <c r="AC55" s="753">
        <f>21600/0.8*$L55/1000000</f>
        <v>0</v>
      </c>
      <c r="AD55" s="741"/>
      <c r="AE55" s="754">
        <f>AVERAGE(AC55,AC54)</f>
        <v>0</v>
      </c>
      <c r="AF55" s="741"/>
      <c r="AG55" s="745" t="e">
        <f>(AE55/AE48-1)*100</f>
        <v>#DIV/0!</v>
      </c>
      <c r="AH55" s="742"/>
      <c r="AI55" s="748" t="e">
        <f>+J55/AG55*100</f>
        <v>#DIV/0!</v>
      </c>
      <c r="AJ55" s="743"/>
      <c r="AK55" s="741"/>
      <c r="AL55" s="756">
        <f>+V55</f>
        <v>202.76300000000001</v>
      </c>
      <c r="AM55" s="741"/>
      <c r="AN55" s="758" t="e">
        <f>AL55/AE55</f>
        <v>#DIV/0!</v>
      </c>
      <c r="AO55" s="741"/>
      <c r="AP55" s="745" t="e">
        <f>(AN55/AN48-1)*100</f>
        <v>#DIV/0!</v>
      </c>
      <c r="AQ55" s="742"/>
      <c r="AR55" s="742"/>
      <c r="AS55" s="741"/>
      <c r="AT55" s="741"/>
      <c r="AU55" s="741"/>
      <c r="AV55" s="741"/>
      <c r="AW55" s="741"/>
      <c r="AX55" s="741"/>
      <c r="AY55" s="741"/>
      <c r="AZ55" s="741"/>
      <c r="BA55" s="741"/>
      <c r="BB55" s="741"/>
      <c r="BC55" s="741"/>
      <c r="BD55" s="741"/>
      <c r="BE55" s="741"/>
      <c r="BF55" s="741"/>
      <c r="BG55" s="741"/>
      <c r="BH55" s="741"/>
      <c r="BI55" s="741"/>
      <c r="BJ55" s="741"/>
      <c r="BK55" s="741"/>
      <c r="BL55" s="741"/>
      <c r="BM55" s="741"/>
      <c r="BN55" s="741"/>
      <c r="BO55" s="587"/>
      <c r="BP55" s="587"/>
    </row>
    <row r="56" spans="1:68" hidden="1" outlineLevel="1">
      <c r="A56" s="741" t="str">
        <f>$A$42</f>
        <v>3Q</v>
      </c>
      <c r="B56" s="744" t="str">
        <f>$B$42</f>
        <v>Oct</v>
      </c>
      <c r="C56" s="741"/>
      <c r="D56" s="745">
        <f>(V56/V49-1)*100</f>
        <v>12.365923543133484</v>
      </c>
      <c r="E56" s="741"/>
      <c r="F56" s="769"/>
      <c r="G56" s="741"/>
      <c r="H56" s="2087">
        <f>'qtrP&amp;L'!AF12</f>
        <v>0</v>
      </c>
      <c r="I56" s="741"/>
      <c r="J56" s="745">
        <f>D56-H56</f>
        <v>12.365923543133484</v>
      </c>
      <c r="K56" s="742"/>
      <c r="L56" s="750"/>
      <c r="M56" s="741"/>
      <c r="N56" s="747" t="e">
        <f>AVERAGE(L56,L55)</f>
        <v>#DIV/0!</v>
      </c>
      <c r="O56" s="741"/>
      <c r="P56" s="745" t="e">
        <f>(N56/N49-1)*100</f>
        <v>#DIV/0!</v>
      </c>
      <c r="Q56" s="742"/>
      <c r="R56" s="748" t="e">
        <f>J56/P56*100</f>
        <v>#DIV/0!</v>
      </c>
      <c r="S56" s="743"/>
      <c r="T56" s="741"/>
      <c r="U56" s="741"/>
      <c r="V56" s="756">
        <f>'qtrP&amp;L'!AD12</f>
        <v>210.98500000000001</v>
      </c>
      <c r="W56" s="741"/>
      <c r="X56" s="757" t="e">
        <f>V56/N56</f>
        <v>#DIV/0!</v>
      </c>
      <c r="Y56" s="741"/>
      <c r="Z56" s="745" t="e">
        <f>(X56/X49-1)*100</f>
        <v>#DIV/0!</v>
      </c>
      <c r="AA56" s="742"/>
      <c r="AB56" s="741"/>
      <c r="AC56" s="753">
        <f>21600/0.8*$L56/1000000</f>
        <v>0</v>
      </c>
      <c r="AD56" s="741"/>
      <c r="AE56" s="754">
        <f>AVERAGE(AC56,AC55)</f>
        <v>0</v>
      </c>
      <c r="AF56" s="741"/>
      <c r="AG56" s="745" t="e">
        <f>(AE56/AE49-1)*100</f>
        <v>#DIV/0!</v>
      </c>
      <c r="AH56" s="742"/>
      <c r="AI56" s="748" t="e">
        <f>+J56/AG56*100</f>
        <v>#DIV/0!</v>
      </c>
      <c r="AJ56" s="743"/>
      <c r="AK56" s="741"/>
      <c r="AL56" s="756">
        <f>+V56</f>
        <v>210.98500000000001</v>
      </c>
      <c r="AM56" s="741"/>
      <c r="AN56" s="758" t="e">
        <f>AL56/AE56</f>
        <v>#DIV/0!</v>
      </c>
      <c r="AO56" s="741"/>
      <c r="AP56" s="745" t="e">
        <f>(AN56/AN49-1)*100</f>
        <v>#DIV/0!</v>
      </c>
      <c r="AQ56" s="742"/>
      <c r="AR56" s="742"/>
      <c r="AS56" s="741"/>
      <c r="AT56" s="741"/>
      <c r="AU56" s="741"/>
      <c r="AV56" s="741"/>
      <c r="AW56" s="741"/>
      <c r="AX56" s="741"/>
      <c r="AY56" s="741"/>
      <c r="AZ56" s="741"/>
      <c r="BA56" s="741"/>
      <c r="BB56" s="741"/>
      <c r="BC56" s="741"/>
      <c r="BD56" s="741"/>
      <c r="BE56" s="741"/>
      <c r="BF56" s="741"/>
      <c r="BG56" s="741"/>
      <c r="BH56" s="741"/>
      <c r="BI56" s="741"/>
      <c r="BJ56" s="741"/>
      <c r="BK56" s="741"/>
      <c r="BL56" s="741"/>
      <c r="BM56" s="741"/>
      <c r="BN56" s="741"/>
      <c r="BO56" s="587"/>
      <c r="BP56" s="587"/>
    </row>
    <row r="57" spans="1:68" hidden="1" outlineLevel="1">
      <c r="A57" s="741" t="str">
        <f>$A$43</f>
        <v>4Q</v>
      </c>
      <c r="B57" s="744" t="str">
        <f>$B$43</f>
        <v>Jan</v>
      </c>
      <c r="C57" s="741"/>
      <c r="D57" s="759">
        <f>(V57/V50-1)*100</f>
        <v>16.714998218738874</v>
      </c>
      <c r="E57" s="741"/>
      <c r="F57" s="763"/>
      <c r="G57" s="741"/>
      <c r="H57" s="2088">
        <f>'qtrP&amp;L'!AF13</f>
        <v>0</v>
      </c>
      <c r="I57" s="741"/>
      <c r="J57" s="759">
        <f>D57-H57</f>
        <v>16.714998218738874</v>
      </c>
      <c r="K57" s="742"/>
      <c r="L57" s="914">
        <f>Stores!D75</f>
        <v>23</v>
      </c>
      <c r="M57" s="741"/>
      <c r="N57" s="760">
        <f>AVERAGE(L57,L56)</f>
        <v>23</v>
      </c>
      <c r="O57" s="741"/>
      <c r="P57" s="759">
        <f>(N57/N50-1)*100</f>
        <v>9.5238095238095344</v>
      </c>
      <c r="Q57" s="742"/>
      <c r="R57" s="760">
        <f>J57/P57*100</f>
        <v>175.50748129675796</v>
      </c>
      <c r="S57" s="743"/>
      <c r="T57" s="741"/>
      <c r="U57" s="741"/>
      <c r="V57" s="761">
        <f>'qtrP&amp;L'!AD13</f>
        <v>327.61900000000003</v>
      </c>
      <c r="W57" s="741"/>
      <c r="X57" s="762">
        <f>V57/N57</f>
        <v>14.244304347826088</v>
      </c>
      <c r="Y57" s="741"/>
      <c r="Z57" s="759">
        <f>(X57/X50-1)*100</f>
        <v>6.5658679388485464</v>
      </c>
      <c r="AA57" s="742"/>
      <c r="AB57" s="741"/>
      <c r="AC57" s="764">
        <f>Stores!G75</f>
        <v>0.24945000000000001</v>
      </c>
      <c r="AD57" s="741"/>
      <c r="AE57" s="765">
        <f>AVERAGE(AC57,AC56)</f>
        <v>0.124725</v>
      </c>
      <c r="AF57" s="741"/>
      <c r="AG57" s="759">
        <f>(AE57/AE50-1)*100</f>
        <v>5.4979911186297414</v>
      </c>
      <c r="AH57" s="742"/>
      <c r="AI57" s="760">
        <f>+J57/AG57*100</f>
        <v>304.02010221698458</v>
      </c>
      <c r="AJ57" s="743"/>
      <c r="AK57" s="741"/>
      <c r="AL57" s="761">
        <f>+V57</f>
        <v>327.61900000000003</v>
      </c>
      <c r="AM57" s="741"/>
      <c r="AN57" s="766">
        <f>AL57/AE57</f>
        <v>2626.7308077771099</v>
      </c>
      <c r="AO57" s="741"/>
      <c r="AP57" s="759">
        <f>(AN57/AN50-1)*100</f>
        <v>10.632436675970357</v>
      </c>
      <c r="AQ57" s="742"/>
      <c r="AR57" s="742"/>
      <c r="AS57" s="741"/>
      <c r="AT57" s="741"/>
      <c r="AU57" s="741"/>
      <c r="AV57" s="741"/>
      <c r="AW57" s="741"/>
      <c r="AX57" s="741"/>
      <c r="AY57" s="741"/>
      <c r="AZ57" s="741"/>
      <c r="BA57" s="741"/>
      <c r="BB57" s="741"/>
      <c r="BC57" s="741"/>
      <c r="BD57" s="741"/>
      <c r="BE57" s="741"/>
      <c r="BF57" s="741"/>
      <c r="BG57" s="741"/>
      <c r="BH57" s="741"/>
      <c r="BI57" s="741"/>
      <c r="BJ57" s="741"/>
      <c r="BK57" s="741"/>
      <c r="BL57" s="741"/>
      <c r="BM57" s="741"/>
      <c r="BN57" s="741"/>
      <c r="BO57" s="587"/>
      <c r="BP57" s="587"/>
    </row>
    <row r="58" spans="1:68" hidden="1" outlineLevel="1">
      <c r="A58" s="741"/>
      <c r="B58" s="744" t="str">
        <f>$B$44</f>
        <v>Year</v>
      </c>
      <c r="C58" s="741"/>
      <c r="D58" s="745">
        <f>(V58/V51-1)*100</f>
        <v>14.791134481608204</v>
      </c>
      <c r="E58" s="741"/>
      <c r="F58" s="769"/>
      <c r="G58" s="741"/>
      <c r="H58" s="2087">
        <f>'qtrP&amp;L'!AF14</f>
        <v>0</v>
      </c>
      <c r="I58" s="741"/>
      <c r="J58" s="745">
        <f>D58-H58</f>
        <v>14.791134481608204</v>
      </c>
      <c r="K58" s="742"/>
      <c r="L58" s="750"/>
      <c r="M58" s="741"/>
      <c r="N58" s="747" t="e">
        <f>AVERAGE(N54:N57)</f>
        <v>#DIV/0!</v>
      </c>
      <c r="O58" s="741"/>
      <c r="P58" s="745" t="e">
        <f>(N58/N51-1)*100</f>
        <v>#DIV/0!</v>
      </c>
      <c r="Q58" s="742"/>
      <c r="R58" s="748" t="e">
        <f>J58/P58*100</f>
        <v>#DIV/0!</v>
      </c>
      <c r="S58" s="743"/>
      <c r="T58" s="741"/>
      <c r="U58" s="741"/>
      <c r="V58" s="749">
        <f>SUM(V54:V57)</f>
        <v>922.10800000000006</v>
      </c>
      <c r="W58" s="741"/>
      <c r="X58" s="751" t="e">
        <f>SUM(X54:X57)</f>
        <v>#DIV/0!</v>
      </c>
      <c r="Y58" s="741"/>
      <c r="Z58" s="745" t="e">
        <f>(X58/X51-1)*100</f>
        <v>#DIV/0!</v>
      </c>
      <c r="AA58" s="742"/>
      <c r="AB58" s="741"/>
      <c r="AC58" s="750"/>
      <c r="AD58" s="741"/>
      <c r="AE58" s="754">
        <f>AVERAGE(AE54:AE57)</f>
        <v>6.07375E-2</v>
      </c>
      <c r="AF58" s="741"/>
      <c r="AG58" s="745">
        <f>(AE58/AE51-1)*100</f>
        <v>-27.424805362110483</v>
      </c>
      <c r="AH58" s="742"/>
      <c r="AI58" s="748">
        <f>+J58/AG58*100</f>
        <v>-53.933416431984291</v>
      </c>
      <c r="AJ58" s="743"/>
      <c r="AK58" s="741"/>
      <c r="AL58" s="749">
        <f>SUM(AL54:AL57)</f>
        <v>922.10800000000006</v>
      </c>
      <c r="AM58" s="741"/>
      <c r="AN58" s="755" t="e">
        <f>SUM(AN54:AN57)</f>
        <v>#DIV/0!</v>
      </c>
      <c r="AO58" s="741"/>
      <c r="AP58" s="745" t="e">
        <f>(AN58/AN51-1)*100</f>
        <v>#DIV/0!</v>
      </c>
      <c r="AQ58" s="742"/>
      <c r="AR58" s="742"/>
      <c r="AS58" s="741"/>
      <c r="AT58" s="741"/>
      <c r="AU58" s="741"/>
      <c r="AV58" s="741"/>
      <c r="AW58" s="741"/>
      <c r="AX58" s="741"/>
      <c r="AY58" s="741"/>
      <c r="AZ58" s="741"/>
      <c r="BA58" s="741"/>
      <c r="BB58" s="741"/>
      <c r="BC58" s="741"/>
      <c r="BD58" s="741"/>
      <c r="BE58" s="741"/>
      <c r="BF58" s="741"/>
      <c r="BG58" s="741"/>
      <c r="BH58" s="741"/>
      <c r="BI58" s="741"/>
      <c r="BJ58" s="741"/>
      <c r="BK58" s="741"/>
      <c r="BL58" s="741"/>
      <c r="BM58" s="741"/>
      <c r="BN58" s="741"/>
      <c r="BO58" s="587"/>
      <c r="BP58" s="587"/>
    </row>
    <row r="59" spans="1:68" hidden="1" outlineLevel="1">
      <c r="A59" s="741"/>
      <c r="B59" s="744"/>
      <c r="C59" s="741"/>
      <c r="D59" s="741"/>
      <c r="E59" s="741"/>
      <c r="F59" s="741"/>
      <c r="G59" s="741"/>
      <c r="H59" s="2087"/>
      <c r="I59" s="741"/>
      <c r="J59" s="741"/>
      <c r="K59" s="742"/>
      <c r="L59" s="750"/>
      <c r="M59" s="741"/>
      <c r="N59" s="741"/>
      <c r="O59" s="741"/>
      <c r="P59" s="741"/>
      <c r="Q59" s="742"/>
      <c r="R59" s="743"/>
      <c r="S59" s="743"/>
      <c r="T59" s="741"/>
      <c r="U59" s="741"/>
      <c r="V59" s="741"/>
      <c r="W59" s="741"/>
      <c r="X59" s="741"/>
      <c r="Y59" s="741"/>
      <c r="Z59" s="741"/>
      <c r="AA59" s="742"/>
      <c r="AB59" s="741"/>
      <c r="AC59" s="750"/>
      <c r="AD59" s="741"/>
      <c r="AE59" s="741"/>
      <c r="AF59" s="741"/>
      <c r="AG59" s="741"/>
      <c r="AH59" s="742"/>
      <c r="AI59" s="743"/>
      <c r="AJ59" s="743"/>
      <c r="AK59" s="741"/>
      <c r="AL59" s="741"/>
      <c r="AM59" s="741"/>
      <c r="AN59" s="741"/>
      <c r="AO59" s="741"/>
      <c r="AP59" s="741"/>
      <c r="AQ59" s="742"/>
      <c r="AR59" s="742"/>
      <c r="AS59" s="741"/>
      <c r="AT59" s="741"/>
      <c r="AU59" s="741"/>
      <c r="AV59" s="741"/>
      <c r="AW59" s="741"/>
      <c r="AX59" s="741"/>
      <c r="AY59" s="741"/>
      <c r="AZ59" s="741"/>
      <c r="BA59" s="741"/>
      <c r="BB59" s="741"/>
      <c r="BC59" s="741"/>
      <c r="BD59" s="741"/>
      <c r="BE59" s="741"/>
      <c r="BF59" s="741"/>
      <c r="BG59" s="741"/>
      <c r="BH59" s="741"/>
      <c r="BI59" s="741"/>
      <c r="BJ59" s="741"/>
      <c r="BK59" s="741"/>
      <c r="BL59" s="741"/>
      <c r="BM59" s="741"/>
      <c r="BN59" s="741"/>
      <c r="BO59" s="587"/>
      <c r="BP59" s="587"/>
    </row>
    <row r="60" spans="1:68" hidden="1" outlineLevel="1">
      <c r="A60" s="740"/>
      <c r="B60" s="770">
        <f>B53+1</f>
        <v>1997</v>
      </c>
      <c r="C60" s="741"/>
      <c r="D60" s="741"/>
      <c r="E60" s="741"/>
      <c r="F60" s="741"/>
      <c r="G60" s="741"/>
      <c r="H60" s="2087"/>
      <c r="I60" s="741"/>
      <c r="J60" s="741"/>
      <c r="K60" s="742"/>
      <c r="L60" s="750"/>
      <c r="M60" s="741"/>
      <c r="N60" s="741"/>
      <c r="O60" s="741"/>
      <c r="P60" s="741"/>
      <c r="Q60" s="742"/>
      <c r="R60" s="743"/>
      <c r="S60" s="743"/>
      <c r="T60" s="741"/>
      <c r="U60" s="741"/>
      <c r="V60" s="741"/>
      <c r="W60" s="741"/>
      <c r="X60" s="741"/>
      <c r="Y60" s="741"/>
      <c r="Z60" s="741"/>
      <c r="AA60" s="742"/>
      <c r="AB60" s="741"/>
      <c r="AC60" s="750"/>
      <c r="AD60" s="741"/>
      <c r="AE60" s="741"/>
      <c r="AF60" s="741"/>
      <c r="AG60" s="741"/>
      <c r="AH60" s="742"/>
      <c r="AI60" s="743"/>
      <c r="AJ60" s="743"/>
      <c r="AK60" s="741"/>
      <c r="AL60" s="741"/>
      <c r="AM60" s="741"/>
      <c r="AN60" s="741"/>
      <c r="AO60" s="741"/>
      <c r="AP60" s="741"/>
      <c r="AQ60" s="742"/>
      <c r="AR60" s="742"/>
      <c r="AS60" s="741"/>
      <c r="AT60" s="741"/>
      <c r="AU60" s="741"/>
      <c r="AV60" s="741"/>
      <c r="AW60" s="741"/>
      <c r="AX60" s="741"/>
      <c r="AY60" s="741"/>
      <c r="AZ60" s="741"/>
      <c r="BA60" s="741"/>
      <c r="BB60" s="741"/>
      <c r="BC60" s="741"/>
      <c r="BD60" s="741"/>
      <c r="BE60" s="741"/>
      <c r="BF60" s="741"/>
      <c r="BG60" s="741"/>
      <c r="BH60" s="741"/>
      <c r="BI60" s="741"/>
      <c r="BJ60" s="741"/>
      <c r="BK60" s="741"/>
      <c r="BL60" s="741"/>
      <c r="BM60" s="741"/>
      <c r="BN60" s="741"/>
      <c r="BO60" s="587"/>
      <c r="BP60" s="587"/>
    </row>
    <row r="61" spans="1:68" hidden="1" outlineLevel="1">
      <c r="A61" s="741" t="str">
        <f>$A$40</f>
        <v>1Q</v>
      </c>
      <c r="B61" s="744" t="str">
        <f>$B$40</f>
        <v>Apr</v>
      </c>
      <c r="C61" s="741"/>
      <c r="D61" s="745">
        <f>(V61/V54-1)*100</f>
        <v>-51.458717169872912</v>
      </c>
      <c r="E61" s="741" t="s">
        <v>1970</v>
      </c>
      <c r="F61" s="769"/>
      <c r="G61" s="741"/>
      <c r="H61" s="2087">
        <f>'segSales&amp;comps'!AO63</f>
        <v>7</v>
      </c>
      <c r="I61" s="741" t="s">
        <v>1970</v>
      </c>
      <c r="J61" s="745">
        <f>D61-H61</f>
        <v>-58.458717169872912</v>
      </c>
      <c r="K61" s="742" t="s">
        <v>1970</v>
      </c>
      <c r="L61" s="746">
        <f>+Stores!D79</f>
        <v>23</v>
      </c>
      <c r="M61" s="741"/>
      <c r="N61" s="746">
        <f>AVERAGE(L61,L57)</f>
        <v>23</v>
      </c>
      <c r="O61" s="741"/>
      <c r="P61" s="745">
        <f>(N61/N54-1)*100</f>
        <v>9.5238095238095344</v>
      </c>
      <c r="Q61" s="742" t="s">
        <v>1970</v>
      </c>
      <c r="R61" s="748">
        <f>J61/P61*100</f>
        <v>-613.81653028366486</v>
      </c>
      <c r="S61" s="743" t="s">
        <v>1970</v>
      </c>
      <c r="T61" s="741"/>
      <c r="U61" s="741"/>
      <c r="V61" s="749">
        <f>+'segSales&amp;comps'!E63</f>
        <v>87.733999999999995</v>
      </c>
      <c r="W61" s="741"/>
      <c r="X61" s="751">
        <f>V61/N61</f>
        <v>3.8145217391304347</v>
      </c>
      <c r="Y61" s="741"/>
      <c r="Z61" s="752">
        <f>(X61/X54-1)*100</f>
        <v>-55.679698285536141</v>
      </c>
      <c r="AA61" s="742" t="s">
        <v>1970</v>
      </c>
      <c r="AB61" s="741"/>
      <c r="AC61" s="915">
        <f>22000/0.8*$L61/1000000</f>
        <v>0.63249999999999995</v>
      </c>
      <c r="AD61" s="741"/>
      <c r="AE61" s="754">
        <f>AVERAGE(AC61,AC57)</f>
        <v>0.44097500000000001</v>
      </c>
      <c r="AF61" s="741"/>
      <c r="AG61" s="745">
        <f>(AE61/AE54-1)*100</f>
        <v>272.99640515965325</v>
      </c>
      <c r="AH61" s="742" t="s">
        <v>1970</v>
      </c>
      <c r="AI61" s="748">
        <f>+J61/AG61*100</f>
        <v>-21.413731486934854</v>
      </c>
      <c r="AJ61" s="743" t="s">
        <v>1970</v>
      </c>
      <c r="AK61" s="741"/>
      <c r="AL61" s="749">
        <f>+V61</f>
        <v>87.733999999999995</v>
      </c>
      <c r="AM61" s="741"/>
      <c r="AN61" s="755">
        <f>AL61/AE61</f>
        <v>198.95458926242983</v>
      </c>
      <c r="AO61" s="741"/>
      <c r="AP61" s="745">
        <f>(AN61/AN54-1)*100</f>
        <v>-86.986125828920507</v>
      </c>
      <c r="AQ61" s="742" t="s">
        <v>1970</v>
      </c>
      <c r="AR61" s="742"/>
      <c r="AS61" s="741"/>
      <c r="AT61" s="741"/>
      <c r="AU61" s="741"/>
      <c r="AV61" s="741"/>
      <c r="AW61" s="741"/>
      <c r="AX61" s="741"/>
      <c r="AY61" s="741"/>
      <c r="AZ61" s="741"/>
      <c r="BA61" s="741"/>
      <c r="BB61" s="741"/>
      <c r="BC61" s="741"/>
      <c r="BD61" s="741"/>
      <c r="BE61" s="741"/>
      <c r="BF61" s="741"/>
      <c r="BG61" s="741"/>
      <c r="BH61" s="741"/>
      <c r="BI61" s="741"/>
      <c r="BJ61" s="741"/>
      <c r="BK61" s="741"/>
      <c r="BL61" s="741"/>
      <c r="BM61" s="741"/>
      <c r="BN61" s="741"/>
      <c r="BO61" s="587"/>
      <c r="BP61" s="587"/>
    </row>
    <row r="62" spans="1:68" hidden="1" outlineLevel="1">
      <c r="A62" s="741" t="str">
        <f>$A$41</f>
        <v>2Q</v>
      </c>
      <c r="B62" s="744" t="str">
        <f>$B$41</f>
        <v>Jul</v>
      </c>
      <c r="C62" s="741"/>
      <c r="D62" s="745">
        <f>(V62/V55-1)*100</f>
        <v>-48.095066654172605</v>
      </c>
      <c r="E62" s="741"/>
      <c r="F62" s="769"/>
      <c r="G62" s="741"/>
      <c r="H62" s="2087">
        <f>'segSales&amp;comps'!AO64</f>
        <v>9</v>
      </c>
      <c r="I62" s="741"/>
      <c r="J62" s="745">
        <f>D62-H62</f>
        <v>-57.095066654172605</v>
      </c>
      <c r="K62" s="742"/>
      <c r="L62" s="746">
        <f>+Stores!D80</f>
        <v>24</v>
      </c>
      <c r="M62" s="741"/>
      <c r="N62" s="741">
        <f>AVERAGE(L62,L61)</f>
        <v>23.5</v>
      </c>
      <c r="O62" s="741"/>
      <c r="P62" s="745" t="e">
        <f>(N62/N55-1)*100</f>
        <v>#DIV/0!</v>
      </c>
      <c r="Q62" s="742"/>
      <c r="R62" s="748" t="e">
        <f>J62/P62*100</f>
        <v>#DIV/0!</v>
      </c>
      <c r="S62" s="743"/>
      <c r="T62" s="741"/>
      <c r="U62" s="741"/>
      <c r="V62" s="756">
        <f>+'segSales&amp;comps'!E64</f>
        <v>105.244</v>
      </c>
      <c r="W62" s="741"/>
      <c r="X62" s="757">
        <f>V62/N62</f>
        <v>4.4784680851063827</v>
      </c>
      <c r="Y62" s="741"/>
      <c r="Z62" s="752" t="e">
        <f>(X62/X55-1)*100</f>
        <v>#DIV/0!</v>
      </c>
      <c r="AA62" s="742"/>
      <c r="AB62" s="741"/>
      <c r="AC62" s="915">
        <f>22000/0.8*$L62/1000000</f>
        <v>0.66</v>
      </c>
      <c r="AD62" s="741"/>
      <c r="AE62" s="754">
        <f>AVERAGE(AC62,AC61)</f>
        <v>0.64624999999999999</v>
      </c>
      <c r="AF62" s="741"/>
      <c r="AG62" s="745" t="e">
        <f>(AE62/AE55-1)*100</f>
        <v>#DIV/0!</v>
      </c>
      <c r="AH62" s="742"/>
      <c r="AI62" s="748" t="e">
        <f>+J62/AG62*100</f>
        <v>#DIV/0!</v>
      </c>
      <c r="AJ62" s="743"/>
      <c r="AK62" s="741"/>
      <c r="AL62" s="756">
        <f>+V62</f>
        <v>105.244</v>
      </c>
      <c r="AM62" s="741"/>
      <c r="AN62" s="758">
        <f>AL62/AE62</f>
        <v>162.85338491295937</v>
      </c>
      <c r="AO62" s="741"/>
      <c r="AP62" s="745" t="e">
        <f>(AN62/AN55-1)*100</f>
        <v>#DIV/0!</v>
      </c>
      <c r="AQ62" s="742"/>
      <c r="AR62" s="742"/>
      <c r="AS62" s="741"/>
      <c r="AT62" s="741"/>
      <c r="AU62" s="741"/>
      <c r="AV62" s="741"/>
      <c r="AW62" s="741"/>
      <c r="AX62" s="741"/>
      <c r="AY62" s="741"/>
      <c r="AZ62" s="741"/>
      <c r="BA62" s="741"/>
      <c r="BB62" s="741"/>
      <c r="BC62" s="741"/>
      <c r="BD62" s="741"/>
      <c r="BE62" s="741"/>
      <c r="BF62" s="741"/>
      <c r="BG62" s="741"/>
      <c r="BH62" s="741"/>
      <c r="BI62" s="741"/>
      <c r="BJ62" s="741"/>
      <c r="BK62" s="741"/>
      <c r="BL62" s="741"/>
      <c r="BM62" s="741"/>
      <c r="BN62" s="741"/>
      <c r="BO62" s="587"/>
      <c r="BP62" s="587"/>
    </row>
    <row r="63" spans="1:68" hidden="1" outlineLevel="1">
      <c r="A63" s="741" t="str">
        <f>$A$42</f>
        <v>3Q</v>
      </c>
      <c r="B63" s="744" t="str">
        <f>$B$42</f>
        <v>Oct</v>
      </c>
      <c r="C63" s="741"/>
      <c r="D63" s="745">
        <f>(V63/V56-1)*100</f>
        <v>-45.746380074412876</v>
      </c>
      <c r="E63" s="741"/>
      <c r="F63" s="769"/>
      <c r="G63" s="741"/>
      <c r="H63" s="2087">
        <f>'segSales&amp;comps'!AO65</f>
        <v>11</v>
      </c>
      <c r="I63" s="741"/>
      <c r="J63" s="745">
        <f>D63-H63</f>
        <v>-56.746380074412876</v>
      </c>
      <c r="K63" s="742"/>
      <c r="L63" s="746">
        <f>+Stores!D81</f>
        <v>27</v>
      </c>
      <c r="M63" s="741"/>
      <c r="N63" s="747">
        <f>AVERAGE(L63,L62)</f>
        <v>25.5</v>
      </c>
      <c r="O63" s="741"/>
      <c r="P63" s="745" t="e">
        <f>(N63/N56-1)*100</f>
        <v>#DIV/0!</v>
      </c>
      <c r="Q63" s="742"/>
      <c r="R63" s="748" t="e">
        <f>J63/P63*100</f>
        <v>#DIV/0!</v>
      </c>
      <c r="S63" s="743"/>
      <c r="T63" s="741"/>
      <c r="U63" s="741"/>
      <c r="V63" s="756">
        <f>+'segSales&amp;comps'!E65</f>
        <v>114.467</v>
      </c>
      <c r="W63" s="741"/>
      <c r="X63" s="757">
        <f>V63/N63</f>
        <v>4.4889019607843137</v>
      </c>
      <c r="Y63" s="741"/>
      <c r="Z63" s="752" t="e">
        <f>(X63/X56-1)*100</f>
        <v>#DIV/0!</v>
      </c>
      <c r="AA63" s="742"/>
      <c r="AB63" s="741"/>
      <c r="AC63" s="915">
        <f>22066/0.8*$L63/1000000</f>
        <v>0.74472749999999999</v>
      </c>
      <c r="AD63" s="741"/>
      <c r="AE63" s="754">
        <f>AVERAGE(AC63,AC62)</f>
        <v>0.70236374999999995</v>
      </c>
      <c r="AF63" s="741"/>
      <c r="AG63" s="745" t="e">
        <f>(AE63/AE56-1)*100</f>
        <v>#DIV/0!</v>
      </c>
      <c r="AH63" s="742"/>
      <c r="AI63" s="748" t="e">
        <f>+J63/AG63*100</f>
        <v>#DIV/0!</v>
      </c>
      <c r="AJ63" s="743"/>
      <c r="AK63" s="741"/>
      <c r="AL63" s="756">
        <f>+V63</f>
        <v>114.467</v>
      </c>
      <c r="AM63" s="741"/>
      <c r="AN63" s="758">
        <f>AL63/AE63</f>
        <v>162.97395758252046</v>
      </c>
      <c r="AO63" s="741"/>
      <c r="AP63" s="745" t="e">
        <f>(AN63/AN56-1)*100</f>
        <v>#DIV/0!</v>
      </c>
      <c r="AQ63" s="742"/>
      <c r="AR63" s="742"/>
      <c r="AS63" s="741"/>
      <c r="AT63" s="741"/>
      <c r="AU63" s="741"/>
      <c r="AV63" s="741"/>
      <c r="AW63" s="741"/>
      <c r="AX63" s="741"/>
      <c r="AY63" s="741"/>
      <c r="AZ63" s="741"/>
      <c r="BA63" s="741"/>
      <c r="BB63" s="741"/>
      <c r="BC63" s="741"/>
      <c r="BD63" s="741"/>
      <c r="BE63" s="741"/>
      <c r="BF63" s="741"/>
      <c r="BG63" s="741"/>
      <c r="BH63" s="741"/>
      <c r="BI63" s="741"/>
      <c r="BJ63" s="741"/>
      <c r="BK63" s="741"/>
      <c r="BL63" s="741"/>
      <c r="BM63" s="741"/>
      <c r="BN63" s="741"/>
      <c r="BO63" s="587"/>
      <c r="BP63" s="587"/>
    </row>
    <row r="64" spans="1:68" hidden="1" outlineLevel="1">
      <c r="A64" s="741" t="str">
        <f>$A$43</f>
        <v>4Q</v>
      </c>
      <c r="B64" s="744" t="str">
        <f>$B$43</f>
        <v>Jan</v>
      </c>
      <c r="C64" s="741"/>
      <c r="D64" s="759">
        <f>(V64/V57-1)*100</f>
        <v>-43.898552892231521</v>
      </c>
      <c r="E64" s="741"/>
      <c r="F64" s="763"/>
      <c r="G64" s="741"/>
      <c r="H64" s="2088">
        <f>'qtrP&amp;L'!AJ13</f>
        <v>0</v>
      </c>
      <c r="I64" s="741"/>
      <c r="J64" s="759">
        <f>D64-H64</f>
        <v>-43.898552892231521</v>
      </c>
      <c r="K64" s="742"/>
      <c r="L64" s="746">
        <f>+Stores!D82</f>
        <v>28</v>
      </c>
      <c r="M64" s="741"/>
      <c r="N64" s="773">
        <f>AVERAGE(L64,L63)</f>
        <v>27.5</v>
      </c>
      <c r="O64" s="741"/>
      <c r="P64" s="759">
        <f>(N64/N57-1)*100</f>
        <v>19.565217391304344</v>
      </c>
      <c r="Q64" s="742"/>
      <c r="R64" s="760">
        <f>J64/P64*100</f>
        <v>-224.37038144918336</v>
      </c>
      <c r="S64" s="743"/>
      <c r="T64" s="741"/>
      <c r="U64" s="741"/>
      <c r="V64" s="761">
        <f>+'segSales&amp;comps'!E66</f>
        <v>183.79900000000001</v>
      </c>
      <c r="W64" s="741"/>
      <c r="X64" s="762">
        <f>V64/N64</f>
        <v>6.6836000000000002</v>
      </c>
      <c r="Y64" s="741"/>
      <c r="Z64" s="763">
        <f>(X64/X57-1)*100</f>
        <v>-53.078789691684548</v>
      </c>
      <c r="AA64" s="742"/>
      <c r="AB64" s="741"/>
      <c r="AC64" s="764">
        <f>Stores!G82</f>
        <v>0.27444999999999997</v>
      </c>
      <c r="AD64" s="741"/>
      <c r="AE64" s="765">
        <f>AVERAGE(AC64,AC63)</f>
        <v>0.50958875000000003</v>
      </c>
      <c r="AF64" s="741"/>
      <c r="AG64" s="759">
        <f>(AE64/AE57-1)*100</f>
        <v>308.56985367809182</v>
      </c>
      <c r="AH64" s="742"/>
      <c r="AI64" s="760">
        <f>+J64/AG64*100</f>
        <v>-14.22645549102397</v>
      </c>
      <c r="AJ64" s="743"/>
      <c r="AK64" s="741"/>
      <c r="AL64" s="761">
        <f>+V64</f>
        <v>183.79900000000001</v>
      </c>
      <c r="AM64" s="741"/>
      <c r="AN64" s="766">
        <f>AL64/AE64</f>
        <v>360.68103936752919</v>
      </c>
      <c r="AO64" s="741"/>
      <c r="AP64" s="759">
        <f>(AN64/AN57-1)*100</f>
        <v>-86.268823653354943</v>
      </c>
      <c r="AQ64" s="742"/>
      <c r="AR64" s="742"/>
      <c r="AS64" s="741"/>
      <c r="AT64" s="741"/>
      <c r="AU64" s="741"/>
      <c r="AV64" s="741"/>
      <c r="AW64" s="741"/>
      <c r="AX64" s="741"/>
      <c r="AY64" s="741"/>
      <c r="AZ64" s="741"/>
      <c r="BA64" s="741"/>
      <c r="BB64" s="741"/>
      <c r="BC64" s="741"/>
      <c r="BD64" s="741"/>
      <c r="BE64" s="741"/>
      <c r="BF64" s="741"/>
      <c r="BG64" s="741"/>
      <c r="BH64" s="741"/>
      <c r="BI64" s="741"/>
      <c r="BJ64" s="741"/>
      <c r="BK64" s="741"/>
      <c r="BL64" s="741"/>
      <c r="BM64" s="741"/>
      <c r="BN64" s="741"/>
      <c r="BO64" s="587"/>
      <c r="BP64" s="587"/>
    </row>
    <row r="65" spans="1:68" hidden="1" outlineLevel="1">
      <c r="A65" s="741"/>
      <c r="B65" s="744" t="str">
        <f>$B$44</f>
        <v>Year</v>
      </c>
      <c r="C65" s="741"/>
      <c r="D65" s="745">
        <f>(V65/V58-1)*100</f>
        <v>-46.725980037045559</v>
      </c>
      <c r="E65" s="741"/>
      <c r="F65" s="769"/>
      <c r="G65" s="741"/>
      <c r="H65" s="2087">
        <f>'segSales&amp;comps'!AO67</f>
        <v>10.425000000000001</v>
      </c>
      <c r="I65" s="741"/>
      <c r="J65" s="745">
        <f>D65-H65</f>
        <v>-57.150980037045557</v>
      </c>
      <c r="K65" s="742"/>
      <c r="L65" s="746">
        <f>+Stores!D83</f>
        <v>28</v>
      </c>
      <c r="M65" s="741"/>
      <c r="N65" s="747">
        <f>AVERAGE(N61:N64)</f>
        <v>24.875</v>
      </c>
      <c r="O65" s="741"/>
      <c r="P65" s="745" t="e">
        <f>(N65/N58-1)*100</f>
        <v>#DIV/0!</v>
      </c>
      <c r="Q65" s="742"/>
      <c r="R65" s="748" t="e">
        <f>J65/P65*100</f>
        <v>#DIV/0!</v>
      </c>
      <c r="S65" s="743"/>
      <c r="T65" s="741"/>
      <c r="U65" s="741"/>
      <c r="V65" s="749">
        <f>SUM(V61:V64)</f>
        <v>491.24400000000003</v>
      </c>
      <c r="W65" s="741"/>
      <c r="X65" s="751">
        <f>SUM(X61:X64)</f>
        <v>19.465491785021129</v>
      </c>
      <c r="Y65" s="741"/>
      <c r="Z65" s="752" t="e">
        <f>(X65/X58-1)*100</f>
        <v>#DIV/0!</v>
      </c>
      <c r="AA65" s="742"/>
      <c r="AB65" s="741"/>
      <c r="AC65" s="750"/>
      <c r="AD65" s="741"/>
      <c r="AE65" s="754">
        <f>AVERAGE(AE61:AE64)</f>
        <v>0.57479437499999997</v>
      </c>
      <c r="AF65" s="741"/>
      <c r="AG65" s="745">
        <f>(AE65/AE58-1)*100</f>
        <v>846.35830417781438</v>
      </c>
      <c r="AH65" s="742"/>
      <c r="AI65" s="748">
        <f>+J65/AG65*100</f>
        <v>-6.7525750920071914</v>
      </c>
      <c r="AJ65" s="743"/>
      <c r="AK65" s="741"/>
      <c r="AL65" s="749">
        <f>SUM(AL61:AL64)</f>
        <v>491.24400000000003</v>
      </c>
      <c r="AM65" s="741"/>
      <c r="AN65" s="755">
        <f>SUM(AN61:AN64)</f>
        <v>885.4629711254388</v>
      </c>
      <c r="AO65" s="741"/>
      <c r="AP65" s="745" t="e">
        <f>(AN65/AN58-1)*100</f>
        <v>#DIV/0!</v>
      </c>
      <c r="AQ65" s="742"/>
      <c r="AR65" s="742"/>
      <c r="AS65" s="741"/>
      <c r="AT65" s="741"/>
      <c r="AU65" s="741"/>
      <c r="AV65" s="741"/>
      <c r="AW65" s="741"/>
      <c r="AX65" s="741"/>
      <c r="AY65" s="741"/>
      <c r="AZ65" s="741"/>
      <c r="BA65" s="741"/>
      <c r="BB65" s="741"/>
      <c r="BC65" s="741"/>
      <c r="BD65" s="741"/>
      <c r="BE65" s="741"/>
      <c r="BF65" s="741"/>
      <c r="BG65" s="741"/>
      <c r="BH65" s="741"/>
      <c r="BI65" s="741"/>
      <c r="BJ65" s="741"/>
      <c r="BK65" s="741"/>
      <c r="BL65" s="741"/>
      <c r="BM65" s="741"/>
      <c r="BN65" s="741"/>
      <c r="BO65" s="587"/>
      <c r="BP65" s="587"/>
    </row>
    <row r="66" spans="1:68" hidden="1" outlineLevel="1">
      <c r="A66" s="132"/>
      <c r="B66" s="174"/>
      <c r="C66" s="132"/>
      <c r="D66" s="132"/>
      <c r="E66" s="132"/>
      <c r="F66" s="132"/>
      <c r="G66" s="132"/>
      <c r="H66" s="2085"/>
      <c r="I66" s="132"/>
      <c r="J66" s="132"/>
      <c r="K66" s="230"/>
      <c r="L66" s="139"/>
      <c r="M66" s="132"/>
      <c r="N66" s="132"/>
      <c r="O66" s="132"/>
      <c r="P66" s="132"/>
      <c r="Q66" s="230"/>
      <c r="R66" s="138"/>
      <c r="S66" s="138"/>
      <c r="T66" s="132"/>
      <c r="U66" s="132"/>
      <c r="V66" s="256"/>
      <c r="W66" s="132"/>
      <c r="X66" s="132"/>
      <c r="Y66" s="132"/>
      <c r="Z66" s="132"/>
      <c r="AA66" s="230"/>
      <c r="AB66" s="132"/>
      <c r="AC66" s="139"/>
      <c r="AD66" s="132"/>
      <c r="AE66" s="132"/>
      <c r="AF66" s="132"/>
      <c r="AG66" s="132"/>
      <c r="AH66" s="230"/>
      <c r="AI66" s="138"/>
      <c r="AJ66" s="138"/>
      <c r="AK66" s="132"/>
      <c r="AL66" s="132"/>
      <c r="AM66" s="132"/>
      <c r="AN66" s="132"/>
      <c r="AO66" s="132"/>
      <c r="AP66" s="132"/>
      <c r="AQ66" s="230"/>
      <c r="AR66" s="230"/>
      <c r="AS66" s="132"/>
      <c r="AT66" s="132"/>
      <c r="AU66" s="132"/>
      <c r="AV66" s="132"/>
      <c r="AW66" s="132"/>
      <c r="AX66" s="132"/>
      <c r="AY66" s="132"/>
      <c r="AZ66" s="132"/>
      <c r="BA66" s="132"/>
      <c r="BB66" s="132"/>
      <c r="BC66" s="132"/>
      <c r="BD66" s="132"/>
      <c r="BE66" s="132"/>
      <c r="BF66" s="132"/>
      <c r="BG66" s="132"/>
      <c r="BH66" s="132"/>
      <c r="BI66" s="132"/>
      <c r="BJ66" s="132"/>
      <c r="BK66" s="132"/>
      <c r="BL66" s="132"/>
      <c r="BM66" s="132"/>
      <c r="BN66" s="132"/>
      <c r="BO66" s="587"/>
      <c r="BP66" s="587"/>
    </row>
    <row r="67" spans="1:68" hidden="1" outlineLevel="1">
      <c r="A67" s="169"/>
      <c r="B67" s="171">
        <f>B60+1</f>
        <v>1998</v>
      </c>
      <c r="C67" s="132"/>
      <c r="D67" s="132"/>
      <c r="E67" s="132"/>
      <c r="F67" s="132"/>
      <c r="G67" s="132"/>
      <c r="H67" s="2085"/>
      <c r="I67" s="132"/>
      <c r="J67" s="132"/>
      <c r="K67" s="230"/>
      <c r="L67" s="139"/>
      <c r="M67" s="132"/>
      <c r="N67" s="132"/>
      <c r="O67" s="132"/>
      <c r="P67" s="132"/>
      <c r="Q67" s="230"/>
      <c r="R67" s="138"/>
      <c r="S67" s="138"/>
      <c r="T67" s="132"/>
      <c r="U67" s="132"/>
      <c r="V67" s="256"/>
      <c r="W67" s="132"/>
      <c r="X67" s="132"/>
      <c r="Y67" s="132"/>
      <c r="Z67" s="132"/>
      <c r="AA67" s="230"/>
      <c r="AB67" s="132"/>
      <c r="AC67" s="139"/>
      <c r="AD67" s="132"/>
      <c r="AE67" s="132"/>
      <c r="AF67" s="132"/>
      <c r="AG67" s="132"/>
      <c r="AH67" s="230"/>
      <c r="AI67" s="138"/>
      <c r="AJ67" s="138"/>
      <c r="AK67" s="132"/>
      <c r="AL67" s="132"/>
      <c r="AM67" s="132"/>
      <c r="AN67" s="132"/>
      <c r="AO67" s="132"/>
      <c r="AP67" s="132"/>
      <c r="AQ67" s="230"/>
      <c r="AR67" s="230"/>
      <c r="AS67" s="132"/>
      <c r="AT67" s="132"/>
      <c r="AU67" s="132"/>
      <c r="AV67" s="132"/>
      <c r="AW67" s="132"/>
      <c r="AX67" s="132"/>
      <c r="AY67" s="132"/>
      <c r="AZ67" s="132"/>
      <c r="BA67" s="132"/>
      <c r="BB67" s="132"/>
      <c r="BC67" s="132"/>
      <c r="BD67" s="132"/>
      <c r="BE67" s="132"/>
      <c r="BF67" s="132"/>
      <c r="BG67" s="132"/>
      <c r="BH67" s="132"/>
      <c r="BI67" s="132"/>
      <c r="BJ67" s="132"/>
      <c r="BK67" s="132"/>
      <c r="BL67" s="132"/>
      <c r="BM67" s="132"/>
      <c r="BN67" s="132"/>
      <c r="BO67" s="587"/>
      <c r="BP67" s="587"/>
    </row>
    <row r="68" spans="1:68" hidden="1" outlineLevel="1">
      <c r="A68" s="132" t="str">
        <f>$A$40</f>
        <v>1Q</v>
      </c>
      <c r="B68" s="174" t="str">
        <f>$B$40</f>
        <v>Apr</v>
      </c>
      <c r="C68" s="132"/>
      <c r="D68" s="145">
        <f>(V68/V61-1)*100</f>
        <v>23.126723961064144</v>
      </c>
      <c r="E68" s="230" t="s">
        <v>1970</v>
      </c>
      <c r="F68" s="217"/>
      <c r="G68" s="230"/>
      <c r="H68" s="2085">
        <f>+'segSales&amp;comps'!G70</f>
        <v>12</v>
      </c>
      <c r="I68" s="230" t="s">
        <v>1970</v>
      </c>
      <c r="J68" s="145">
        <f>D68-H68</f>
        <v>11.126723961064144</v>
      </c>
      <c r="K68" s="230" t="s">
        <v>1970</v>
      </c>
      <c r="L68" s="725">
        <f>+Stores!D86</f>
        <v>28</v>
      </c>
      <c r="M68" s="132"/>
      <c r="N68" s="177">
        <f>AVERAGE(L68,L64)</f>
        <v>28</v>
      </c>
      <c r="O68" s="132"/>
      <c r="P68" s="145">
        <f>(N68/N61-1)*100</f>
        <v>21.739130434782616</v>
      </c>
      <c r="Q68" s="230" t="s">
        <v>1970</v>
      </c>
      <c r="R68" s="259">
        <f>J68/P68*100</f>
        <v>51.182930220895038</v>
      </c>
      <c r="S68" s="138" t="s">
        <v>1970</v>
      </c>
      <c r="T68" s="132"/>
      <c r="U68" s="132"/>
      <c r="V68" s="296">
        <f>+'segSales&amp;comps'!E70</f>
        <v>108.024</v>
      </c>
      <c r="W68" s="132"/>
      <c r="X68" s="143">
        <f>V68/N68</f>
        <v>3.8580000000000001</v>
      </c>
      <c r="Y68" s="132"/>
      <c r="Z68" s="219">
        <f>(X68/X61-1)*100</f>
        <v>1.1398089680169754</v>
      </c>
      <c r="AA68" s="230" t="s">
        <v>1970</v>
      </c>
      <c r="AB68" s="132"/>
      <c r="AC68" s="915">
        <f>22400/0.8*$L68/1000000</f>
        <v>0.78400000000000003</v>
      </c>
      <c r="AD68" s="132"/>
      <c r="AE68" s="254">
        <f>AVERAGE(AC68,AC64)</f>
        <v>0.52922500000000006</v>
      </c>
      <c r="AF68" s="132"/>
      <c r="AG68" s="145">
        <f>(AE68/AE61-1)*100</f>
        <v>20.012472362378841</v>
      </c>
      <c r="AH68" s="230" t="s">
        <v>1970</v>
      </c>
      <c r="AI68" s="259">
        <f>+J68/AG68*100</f>
        <v>55.598947294393831</v>
      </c>
      <c r="AJ68" s="138" t="s">
        <v>1970</v>
      </c>
      <c r="AK68" s="132"/>
      <c r="AL68" s="141">
        <f>+V68</f>
        <v>108.024</v>
      </c>
      <c r="AM68" s="132"/>
      <c r="AN68" s="244">
        <f>AL68/AE68</f>
        <v>204.11734139543671</v>
      </c>
      <c r="AO68" s="132"/>
      <c r="AP68" s="151">
        <f>(AN68/AN61-1)*100</f>
        <v>2.5949399569753062</v>
      </c>
      <c r="AQ68" s="230" t="s">
        <v>1970</v>
      </c>
      <c r="AR68" s="230"/>
      <c r="AS68" s="132"/>
      <c r="AT68" s="132"/>
      <c r="AU68" s="132"/>
      <c r="AV68" s="132"/>
      <c r="AW68" s="132"/>
      <c r="AX68" s="132"/>
      <c r="AY68" s="132"/>
      <c r="AZ68" s="132"/>
      <c r="BA68" s="132"/>
      <c r="BB68" s="132"/>
      <c r="BC68" s="132"/>
      <c r="BD68" s="132"/>
      <c r="BE68" s="132"/>
      <c r="BF68" s="132"/>
      <c r="BG68" s="132"/>
      <c r="BH68" s="132"/>
      <c r="BI68" s="132"/>
      <c r="BJ68" s="132"/>
      <c r="BK68" s="132"/>
      <c r="BL68" s="132"/>
      <c r="BM68" s="132"/>
      <c r="BN68" s="132"/>
      <c r="BO68" s="1592"/>
      <c r="BP68" s="587"/>
    </row>
    <row r="69" spans="1:68" hidden="1" outlineLevel="1">
      <c r="A69" s="132" t="str">
        <f>$A$41</f>
        <v>2Q</v>
      </c>
      <c r="B69" s="174" t="str">
        <f>$B$41</f>
        <v>Jul</v>
      </c>
      <c r="C69" s="132"/>
      <c r="D69" s="145">
        <f>(V69/V62-1)*100</f>
        <v>23.268784918855246</v>
      </c>
      <c r="E69" s="132"/>
      <c r="F69" s="217"/>
      <c r="G69" s="132"/>
      <c r="H69" s="2085">
        <f>+'segSales&amp;comps'!G71</f>
        <v>15</v>
      </c>
      <c r="I69" s="132"/>
      <c r="J69" s="145">
        <f>D69-H69</f>
        <v>8.2687849188552462</v>
      </c>
      <c r="K69" s="230"/>
      <c r="L69" s="725">
        <f>+Stores!D87</f>
        <v>30</v>
      </c>
      <c r="M69" s="132"/>
      <c r="N69" s="177">
        <f>AVERAGE(L69,L68)</f>
        <v>29</v>
      </c>
      <c r="O69" s="132"/>
      <c r="P69" s="145">
        <f>(N69/N62-1)*100</f>
        <v>23.404255319148938</v>
      </c>
      <c r="Q69" s="230"/>
      <c r="R69" s="259">
        <f>J69/P69*100</f>
        <v>35.330262835108776</v>
      </c>
      <c r="S69" s="138"/>
      <c r="T69" s="132"/>
      <c r="U69" s="132"/>
      <c r="V69" s="315">
        <f>+'segSales&amp;comps'!E71</f>
        <v>129.733</v>
      </c>
      <c r="W69" s="132"/>
      <c r="X69" s="147">
        <f>V69/N69</f>
        <v>4.4735517241379315</v>
      </c>
      <c r="Y69" s="132"/>
      <c r="Z69" s="219">
        <f>(X69/X62-1)*100</f>
        <v>-0.1097777381690257</v>
      </c>
      <c r="AA69" s="230"/>
      <c r="AB69" s="132"/>
      <c r="AC69" s="915">
        <f>22400/0.8*$L69/1000000</f>
        <v>0.84</v>
      </c>
      <c r="AD69" s="132"/>
      <c r="AE69" s="254">
        <f>AVERAGE(AC69,AC68)</f>
        <v>0.81200000000000006</v>
      </c>
      <c r="AF69" s="132"/>
      <c r="AG69" s="145">
        <f>(AE69/AE62-1)*100</f>
        <v>25.647969052224372</v>
      </c>
      <c r="AH69" s="230"/>
      <c r="AI69" s="259">
        <f>+J69/AG69*100</f>
        <v>32.239530943047981</v>
      </c>
      <c r="AJ69" s="138"/>
      <c r="AK69" s="132"/>
      <c r="AL69" s="142">
        <f>+V69</f>
        <v>129.733</v>
      </c>
      <c r="AM69" s="132"/>
      <c r="AN69" s="245">
        <f>AL69/AE69</f>
        <v>159.76970443349754</v>
      </c>
      <c r="AO69" s="132"/>
      <c r="AP69" s="151">
        <f>(AN69/AN62-1)*100</f>
        <v>-1.8935317071302915</v>
      </c>
      <c r="AQ69" s="230"/>
      <c r="AR69" s="230"/>
      <c r="AS69" s="132"/>
      <c r="AT69" s="132"/>
      <c r="AU69" s="132"/>
      <c r="AV69" s="132"/>
      <c r="AW69" s="132"/>
      <c r="AX69" s="132"/>
      <c r="AY69" s="132"/>
      <c r="AZ69" s="132"/>
      <c r="BA69" s="132"/>
      <c r="BB69" s="132"/>
      <c r="BC69" s="132"/>
      <c r="BD69" s="132"/>
      <c r="BE69" s="132"/>
      <c r="BF69" s="132"/>
      <c r="BG69" s="132"/>
      <c r="BH69" s="132"/>
      <c r="BI69" s="132"/>
      <c r="BJ69" s="132"/>
      <c r="BK69" s="132"/>
      <c r="BL69" s="132"/>
      <c r="BM69" s="132"/>
      <c r="BN69" s="132"/>
      <c r="BO69" s="1592"/>
      <c r="BP69" s="587"/>
    </row>
    <row r="70" spans="1:68" hidden="1" outlineLevel="1">
      <c r="A70" s="132" t="str">
        <f>$A$42</f>
        <v>3Q</v>
      </c>
      <c r="B70" s="174" t="str">
        <f>$B$42</f>
        <v>Oct</v>
      </c>
      <c r="C70" s="132"/>
      <c r="D70" s="145">
        <f>(V70/V63-1)*100</f>
        <v>9.8674727213956981</v>
      </c>
      <c r="E70" s="132"/>
      <c r="F70" s="217"/>
      <c r="G70" s="132"/>
      <c r="H70" s="2085">
        <f>+'segSales&amp;comps'!G72</f>
        <v>-1</v>
      </c>
      <c r="I70" s="132"/>
      <c r="J70" s="145">
        <f>D70-H70</f>
        <v>10.867472721395698</v>
      </c>
      <c r="K70" s="230"/>
      <c r="L70" s="725">
        <f>+Stores!D88</f>
        <v>32</v>
      </c>
      <c r="M70" s="132"/>
      <c r="N70" s="177">
        <f>AVERAGE(L70,L69)</f>
        <v>31</v>
      </c>
      <c r="O70" s="132"/>
      <c r="P70" s="145">
        <f>(N70/N63-1)*100</f>
        <v>21.568627450980383</v>
      </c>
      <c r="Q70" s="230"/>
      <c r="R70" s="259">
        <f>J70/P70*100</f>
        <v>50.385555344652801</v>
      </c>
      <c r="S70" s="138"/>
      <c r="T70" s="132"/>
      <c r="U70" s="132"/>
      <c r="V70" s="315">
        <f>+'segSales&amp;comps'!E72</f>
        <v>125.762</v>
      </c>
      <c r="W70" s="132"/>
      <c r="X70" s="147">
        <f>V70/N70</f>
        <v>4.056838709677419</v>
      </c>
      <c r="Y70" s="132"/>
      <c r="Z70" s="219">
        <f>(X70/X63-1)*100</f>
        <v>-9.6251434065938835</v>
      </c>
      <c r="AA70" s="230"/>
      <c r="AB70" s="132"/>
      <c r="AC70" s="915">
        <f>22400/0.8*$L70/1000000</f>
        <v>0.89600000000000002</v>
      </c>
      <c r="AD70" s="132"/>
      <c r="AE70" s="254">
        <f>AVERAGE(AC70,AC69)</f>
        <v>0.86799999999999999</v>
      </c>
      <c r="AF70" s="132"/>
      <c r="AG70" s="145">
        <f>(AE70/AE63-1)*100</f>
        <v>23.582687745488016</v>
      </c>
      <c r="AH70" s="230"/>
      <c r="AI70" s="259">
        <f>+J70/AG70*100</f>
        <v>46.082417910464549</v>
      </c>
      <c r="AJ70" s="138"/>
      <c r="AK70" s="132"/>
      <c r="AL70" s="142">
        <f>+V70</f>
        <v>125.762</v>
      </c>
      <c r="AM70" s="132"/>
      <c r="AN70" s="245">
        <f>AL70/AE70</f>
        <v>144.88709677419354</v>
      </c>
      <c r="AO70" s="132"/>
      <c r="AP70" s="920">
        <f>(AN70/AN63-1)*100</f>
        <v>-11.098006746979062</v>
      </c>
      <c r="AQ70" s="230"/>
      <c r="AR70" s="230"/>
      <c r="AS70" s="132"/>
      <c r="AT70" s="132"/>
      <c r="AU70" s="132"/>
      <c r="AV70" s="132"/>
      <c r="AW70" s="132"/>
      <c r="AX70" s="132"/>
      <c r="AY70" s="132"/>
      <c r="AZ70" s="132"/>
      <c r="BA70" s="132"/>
      <c r="BB70" s="132"/>
      <c r="BC70" s="132"/>
      <c r="BD70" s="132"/>
      <c r="BE70" s="132"/>
      <c r="BF70" s="132"/>
      <c r="BG70" s="132"/>
      <c r="BH70" s="132"/>
      <c r="BI70" s="132"/>
      <c r="BJ70" s="132"/>
      <c r="BK70" s="132"/>
      <c r="BL70" s="132"/>
      <c r="BM70" s="132"/>
      <c r="BN70" s="132"/>
      <c r="BO70" s="1592"/>
      <c r="BP70" s="587"/>
    </row>
    <row r="71" spans="1:68" hidden="1" outlineLevel="1">
      <c r="A71" s="132" t="str">
        <f>$A$43</f>
        <v>4Q</v>
      </c>
      <c r="B71" s="174" t="str">
        <f>$B$43</f>
        <v>Jan</v>
      </c>
      <c r="C71" s="132"/>
      <c r="D71" s="176">
        <f>(V71/V64-1)*100</f>
        <v>25.174783323086647</v>
      </c>
      <c r="E71" s="132"/>
      <c r="F71" s="218"/>
      <c r="G71" s="132"/>
      <c r="H71" s="2090">
        <f>+'segSales&amp;comps'!G73</f>
        <v>12</v>
      </c>
      <c r="I71" s="132"/>
      <c r="J71" s="176">
        <f>D71-H71</f>
        <v>13.174783323086647</v>
      </c>
      <c r="K71" s="230"/>
      <c r="L71" s="917">
        <f>+Stores!D89</f>
        <v>34</v>
      </c>
      <c r="M71" s="132"/>
      <c r="N71" s="178">
        <f>AVERAGE(L71,L70)</f>
        <v>33</v>
      </c>
      <c r="O71" s="132"/>
      <c r="P71" s="176">
        <f>(N71/N64-1)*100</f>
        <v>19.999999999999996</v>
      </c>
      <c r="Q71" s="230"/>
      <c r="R71" s="178">
        <f>J71/P71*100</f>
        <v>65.873916615433245</v>
      </c>
      <c r="S71" s="138"/>
      <c r="T71" s="132"/>
      <c r="U71" s="132"/>
      <c r="V71" s="316">
        <f>+'segSales&amp;comps'!E73</f>
        <v>230.07000000000005</v>
      </c>
      <c r="W71" s="132"/>
      <c r="X71" s="148">
        <f>V71/N71</f>
        <v>6.9718181818181835</v>
      </c>
      <c r="Y71" s="132"/>
      <c r="Z71" s="218">
        <f>(X71/X64-1)*100</f>
        <v>4.3123194359055539</v>
      </c>
      <c r="AA71" s="230"/>
      <c r="AB71" s="132"/>
      <c r="AC71" s="236">
        <f>Stores!G89</f>
        <v>0.31245000000000001</v>
      </c>
      <c r="AD71" s="132"/>
      <c r="AE71" s="255">
        <f>AVERAGE(AC71,AC70)</f>
        <v>0.60422500000000001</v>
      </c>
      <c r="AF71" s="132"/>
      <c r="AG71" s="176">
        <f>(AE71/AE64-1)*100</f>
        <v>18.571102678385266</v>
      </c>
      <c r="AH71" s="230"/>
      <c r="AI71" s="178">
        <f>+J71/AG71*100</f>
        <v>70.942385873622115</v>
      </c>
      <c r="AJ71" s="138"/>
      <c r="AK71" s="132"/>
      <c r="AL71" s="146">
        <f>+V71</f>
        <v>230.07000000000005</v>
      </c>
      <c r="AM71" s="132"/>
      <c r="AN71" s="257">
        <f>AL71/AE71</f>
        <v>380.76875336174447</v>
      </c>
      <c r="AO71" s="132"/>
      <c r="AP71" s="921">
        <f>(AN71/AN64-1)*100</f>
        <v>5.5693845258514285</v>
      </c>
      <c r="AQ71" s="230"/>
      <c r="AR71" s="230"/>
      <c r="AS71" s="132"/>
      <c r="AT71" s="132"/>
      <c r="AU71" s="132"/>
      <c r="AV71" s="132"/>
      <c r="AW71" s="132"/>
      <c r="AX71" s="132"/>
      <c r="AY71" s="132"/>
      <c r="AZ71" s="132"/>
      <c r="BA71" s="132"/>
      <c r="BB71" s="132"/>
      <c r="BC71" s="132"/>
      <c r="BD71" s="132"/>
      <c r="BE71" s="132"/>
      <c r="BF71" s="132"/>
      <c r="BG71" s="132"/>
      <c r="BH71" s="132"/>
      <c r="BI71" s="132"/>
      <c r="BJ71" s="132"/>
      <c r="BK71" s="132"/>
      <c r="BL71" s="132"/>
      <c r="BM71" s="132"/>
      <c r="BN71" s="132"/>
      <c r="BO71" s="1592"/>
      <c r="BP71" s="587"/>
    </row>
    <row r="72" spans="1:68" hidden="1" outlineLevel="1">
      <c r="A72" s="132"/>
      <c r="B72" s="174" t="str">
        <f>$B$44</f>
        <v>Year</v>
      </c>
      <c r="C72" s="132"/>
      <c r="D72" s="145">
        <f>(V72/V65-1)*100</f>
        <v>20.833842245401478</v>
      </c>
      <c r="E72" s="132"/>
      <c r="F72" s="217"/>
      <c r="G72" s="132"/>
      <c r="H72" s="2085">
        <f>+'segSales&amp;comps'!G74</f>
        <v>10</v>
      </c>
      <c r="I72" s="132"/>
      <c r="J72" s="145">
        <f>D72-H72</f>
        <v>10.833842245401478</v>
      </c>
      <c r="K72" s="230"/>
      <c r="L72" s="923">
        <f>L71</f>
        <v>34</v>
      </c>
      <c r="M72" s="132"/>
      <c r="N72" s="177">
        <f>AVERAGE(N68:N71)</f>
        <v>30.25</v>
      </c>
      <c r="O72" s="132"/>
      <c r="P72" s="145">
        <f>(N72/N65-1)*100</f>
        <v>21.608040201005018</v>
      </c>
      <c r="Q72" s="230"/>
      <c r="R72" s="259">
        <f>J72/P72*100</f>
        <v>50.138014112439407</v>
      </c>
      <c r="S72" s="138"/>
      <c r="T72" s="132"/>
      <c r="U72" s="132"/>
      <c r="V72" s="296">
        <f>SUM(V68:V71)</f>
        <v>593.58900000000006</v>
      </c>
      <c r="W72" s="132"/>
      <c r="X72" s="918">
        <f>V72/N72</f>
        <v>19.622776859504135</v>
      </c>
      <c r="Y72" s="132"/>
      <c r="Z72" s="219">
        <f>(X72/X65-1)*100</f>
        <v>0.80802003987403559</v>
      </c>
      <c r="AA72" s="230"/>
      <c r="AB72" s="132"/>
      <c r="AC72" s="139"/>
      <c r="AD72" s="132"/>
      <c r="AE72" s="254">
        <f>AVERAGE(AE68:AE71)</f>
        <v>0.7033625</v>
      </c>
      <c r="AF72" s="132"/>
      <c r="AG72" s="145">
        <f>(AE72/AE65-1)*100</f>
        <v>22.367672787333738</v>
      </c>
      <c r="AH72" s="230"/>
      <c r="AI72" s="259">
        <f>+J72/AG72*100</f>
        <v>48.435267935144402</v>
      </c>
      <c r="AJ72" s="138"/>
      <c r="AK72" s="132"/>
      <c r="AL72" s="141">
        <f>SUM(AL68:AL71)</f>
        <v>593.58900000000006</v>
      </c>
      <c r="AM72" s="132"/>
      <c r="AN72" s="919">
        <f>AL72/AE72</f>
        <v>843.93040572962025</v>
      </c>
      <c r="AO72" s="132"/>
      <c r="AP72" s="920">
        <f>(AN72/AN65-1)*100</f>
        <v>-4.6904914999471909</v>
      </c>
      <c r="AQ72" s="230"/>
      <c r="AR72" s="230"/>
      <c r="AS72" s="132"/>
      <c r="AT72" s="132"/>
      <c r="AU72" s="132"/>
      <c r="AV72" s="132"/>
      <c r="AW72" s="132"/>
      <c r="AX72" s="132"/>
      <c r="AY72" s="132"/>
      <c r="AZ72" s="132"/>
      <c r="BA72" s="132"/>
      <c r="BB72" s="132"/>
      <c r="BC72" s="132"/>
      <c r="BD72" s="132"/>
      <c r="BE72" s="132"/>
      <c r="BF72" s="132"/>
      <c r="BG72" s="132"/>
      <c r="BH72" s="132"/>
      <c r="BI72" s="132"/>
      <c r="BJ72" s="132"/>
      <c r="BK72" s="132"/>
      <c r="BL72" s="132"/>
      <c r="BM72" s="132"/>
      <c r="BN72" s="132"/>
      <c r="BO72" s="587"/>
      <c r="BP72" s="587"/>
    </row>
    <row r="73" spans="1:68" hidden="1" outlineLevel="1">
      <c r="A73" s="132"/>
      <c r="B73" s="174"/>
      <c r="C73" s="132"/>
      <c r="D73" s="132"/>
      <c r="E73" s="132"/>
      <c r="F73" s="132"/>
      <c r="G73" s="132"/>
      <c r="H73" s="2085"/>
      <c r="I73" s="132"/>
      <c r="J73" s="132"/>
      <c r="K73" s="230"/>
      <c r="L73" s="132"/>
      <c r="M73" s="132"/>
      <c r="N73" s="132"/>
      <c r="O73" s="132"/>
      <c r="P73" s="132"/>
      <c r="Q73" s="230"/>
      <c r="R73" s="138"/>
      <c r="S73" s="138"/>
      <c r="T73" s="132"/>
      <c r="U73" s="132"/>
      <c r="V73" s="256"/>
      <c r="W73" s="132"/>
      <c r="X73" s="132"/>
      <c r="Y73" s="132"/>
      <c r="Z73" s="132"/>
      <c r="AA73" s="230"/>
      <c r="AB73" s="132"/>
      <c r="AC73" s="132"/>
      <c r="AD73" s="132"/>
      <c r="AE73" s="132"/>
      <c r="AF73" s="132"/>
      <c r="AG73" s="132"/>
      <c r="AH73" s="230"/>
      <c r="AI73" s="138"/>
      <c r="AJ73" s="138"/>
      <c r="AK73" s="132"/>
      <c r="AL73" s="132"/>
      <c r="AM73" s="132"/>
      <c r="AN73" s="132"/>
      <c r="AO73" s="132"/>
      <c r="AP73" s="151"/>
      <c r="AQ73" s="230"/>
      <c r="AR73" s="230"/>
      <c r="AS73" s="132"/>
      <c r="AT73" s="132"/>
      <c r="AU73" s="132"/>
      <c r="AV73" s="132"/>
      <c r="AW73" s="132"/>
      <c r="AX73" s="132"/>
      <c r="AY73" s="132"/>
      <c r="AZ73" s="132"/>
      <c r="BA73" s="132"/>
      <c r="BB73" s="132"/>
      <c r="BC73" s="132"/>
      <c r="BD73" s="132"/>
      <c r="BE73" s="132"/>
      <c r="BF73" s="132"/>
      <c r="BG73" s="132"/>
      <c r="BH73" s="132"/>
      <c r="BI73" s="132"/>
      <c r="BJ73" s="132"/>
      <c r="BK73" s="132"/>
      <c r="BL73" s="132"/>
      <c r="BM73" s="132"/>
      <c r="BN73" s="132"/>
      <c r="BO73" s="587"/>
      <c r="BP73" s="587"/>
    </row>
    <row r="74" spans="1:68" hidden="1" outlineLevel="1">
      <c r="A74" s="169"/>
      <c r="B74" s="171">
        <f>B67+1</f>
        <v>1999</v>
      </c>
      <c r="C74" s="132"/>
      <c r="D74" s="132"/>
      <c r="E74" s="132"/>
      <c r="F74" s="132"/>
      <c r="G74" s="132"/>
      <c r="H74" s="2085"/>
      <c r="I74" s="132"/>
      <c r="J74" s="132"/>
      <c r="K74" s="230"/>
      <c r="L74" s="132"/>
      <c r="M74" s="132"/>
      <c r="N74" s="132"/>
      <c r="O74" s="132"/>
      <c r="P74" s="132"/>
      <c r="Q74" s="230"/>
      <c r="R74" s="138"/>
      <c r="S74" s="138"/>
      <c r="T74" s="132"/>
      <c r="U74" s="132"/>
      <c r="V74" s="256"/>
      <c r="W74" s="132"/>
      <c r="X74" s="132"/>
      <c r="Y74" s="132"/>
      <c r="Z74" s="132"/>
      <c r="AA74" s="230"/>
      <c r="AB74" s="132"/>
      <c r="AC74" s="132"/>
      <c r="AD74" s="132"/>
      <c r="AE74" s="132"/>
      <c r="AF74" s="132"/>
      <c r="AG74" s="132"/>
      <c r="AH74" s="230"/>
      <c r="AI74" s="138"/>
      <c r="AJ74" s="138"/>
      <c r="AK74" s="132"/>
      <c r="AL74" s="132"/>
      <c r="AM74" s="132"/>
      <c r="AN74" s="132"/>
      <c r="AO74" s="132"/>
      <c r="AP74" s="151"/>
      <c r="AQ74" s="230"/>
      <c r="AR74" s="230"/>
      <c r="AS74" s="132"/>
      <c r="AT74" s="132"/>
      <c r="AU74" s="132"/>
      <c r="AV74" s="132"/>
      <c r="AW74" s="132"/>
      <c r="AX74" s="132"/>
      <c r="AY74" s="132"/>
      <c r="AZ74" s="132"/>
      <c r="BA74" s="132"/>
      <c r="BB74" s="132"/>
      <c r="BC74" s="132"/>
      <c r="BD74" s="132"/>
      <c r="BE74" s="132"/>
      <c r="BF74" s="132"/>
      <c r="BG74" s="132"/>
      <c r="BH74" s="132"/>
      <c r="BI74" s="132"/>
      <c r="BJ74" s="132"/>
      <c r="BK74" s="132"/>
      <c r="BL74" s="132"/>
      <c r="BM74" s="132"/>
      <c r="BN74" s="132"/>
      <c r="BO74" s="587"/>
      <c r="BP74" s="587"/>
    </row>
    <row r="75" spans="1:68" hidden="1" outlineLevel="1">
      <c r="A75" s="132" t="str">
        <f>$A$40</f>
        <v>1Q</v>
      </c>
      <c r="B75" s="174" t="str">
        <f>$B$40</f>
        <v>Apr</v>
      </c>
      <c r="C75" s="132"/>
      <c r="D75" s="145">
        <f>(V75/V68-1)*100</f>
        <v>21.909020217729402</v>
      </c>
      <c r="E75" s="230" t="s">
        <v>1970</v>
      </c>
      <c r="F75" s="217"/>
      <c r="G75" s="230"/>
      <c r="H75" s="2085">
        <f>+'segSales&amp;comps'!G77</f>
        <v>12</v>
      </c>
      <c r="I75" s="230" t="s">
        <v>1970</v>
      </c>
      <c r="J75" s="145">
        <f>D75-H75</f>
        <v>9.9090202177294024</v>
      </c>
      <c r="K75" s="230" t="s">
        <v>1970</v>
      </c>
      <c r="L75" s="725">
        <f>+Stores!D93</f>
        <v>34</v>
      </c>
      <c r="M75" s="132"/>
      <c r="N75" s="177">
        <f>AVERAGE(L75,L71)</f>
        <v>34</v>
      </c>
      <c r="O75" s="132"/>
      <c r="P75" s="145">
        <f>(N75/N68-1)*100</f>
        <v>21.42857142857142</v>
      </c>
      <c r="Q75" s="230" t="s">
        <v>1970</v>
      </c>
      <c r="R75" s="259">
        <f>J75/P75*100</f>
        <v>46.242094349403892</v>
      </c>
      <c r="S75" s="138" t="s">
        <v>1970</v>
      </c>
      <c r="T75" s="132"/>
      <c r="U75" s="132"/>
      <c r="V75" s="296">
        <f>+'segSales&amp;comps'!E77</f>
        <v>131.691</v>
      </c>
      <c r="W75" s="132"/>
      <c r="X75" s="143">
        <f>V75/N75</f>
        <v>3.8732647058823528</v>
      </c>
      <c r="Y75" s="132"/>
      <c r="Z75" s="219">
        <f>(X75/X68-1)*100</f>
        <v>0.39566370871830792</v>
      </c>
      <c r="AA75" s="230" t="s">
        <v>1970</v>
      </c>
      <c r="AB75" s="132"/>
      <c r="AC75" s="236">
        <f>Stores!G93</f>
        <v>0.31245000000000001</v>
      </c>
      <c r="AD75" s="132"/>
      <c r="AE75" s="254">
        <f>AVERAGE(AC75,AC71)</f>
        <v>0.31245000000000001</v>
      </c>
      <c r="AF75" s="132"/>
      <c r="AG75" s="145">
        <f>(AE75/AE68-1)*100</f>
        <v>-40.96083896263405</v>
      </c>
      <c r="AH75" s="230" t="s">
        <v>1970</v>
      </c>
      <c r="AI75" s="259">
        <f>+J75/AG75*100</f>
        <v>-24.191448389933534</v>
      </c>
      <c r="AJ75" s="138" t="s">
        <v>1970</v>
      </c>
      <c r="AK75" s="132"/>
      <c r="AL75" s="141">
        <f>+V75</f>
        <v>131.691</v>
      </c>
      <c r="AM75" s="132"/>
      <c r="AN75" s="244">
        <f>AL75/AE75</f>
        <v>421.4786365818531</v>
      </c>
      <c r="AO75" s="132"/>
      <c r="AP75" s="151">
        <f>(AN75/AN68-1)*100</f>
        <v>106.48840206345925</v>
      </c>
      <c r="AQ75" s="230" t="s">
        <v>1970</v>
      </c>
      <c r="AR75" s="230"/>
      <c r="AS75" s="132"/>
      <c r="AT75" s="132"/>
      <c r="AU75" s="132"/>
      <c r="AV75" s="132"/>
      <c r="AW75" s="132"/>
      <c r="AX75" s="132"/>
      <c r="AY75" s="132"/>
      <c r="AZ75" s="132"/>
      <c r="BA75" s="132"/>
      <c r="BB75" s="132"/>
      <c r="BC75" s="132"/>
      <c r="BD75" s="132"/>
      <c r="BE75" s="132"/>
      <c r="BF75" s="132"/>
      <c r="BG75" s="132"/>
      <c r="BH75" s="132"/>
      <c r="BI75" s="132"/>
      <c r="BJ75" s="132"/>
      <c r="BK75" s="132"/>
      <c r="BL75" s="132"/>
      <c r="BM75" s="132"/>
      <c r="BN75" s="132"/>
      <c r="BO75" s="1592"/>
      <c r="BP75" s="1492"/>
    </row>
    <row r="76" spans="1:68" hidden="1" outlineLevel="1">
      <c r="A76" s="132" t="str">
        <f>$A$41</f>
        <v>2Q</v>
      </c>
      <c r="B76" s="174" t="str">
        <f>$B$41</f>
        <v>Jul</v>
      </c>
      <c r="C76" s="132"/>
      <c r="D76" s="145">
        <f>(V76/V69-1)*100</f>
        <v>22.954067199556015</v>
      </c>
      <c r="E76" s="230"/>
      <c r="F76" s="217"/>
      <c r="G76" s="230"/>
      <c r="H76" s="2085">
        <f>+'segSales&amp;comps'!G78</f>
        <v>12</v>
      </c>
      <c r="I76" s="230"/>
      <c r="J76" s="145">
        <f>D76-H76</f>
        <v>10.954067199556015</v>
      </c>
      <c r="K76" s="230"/>
      <c r="L76" s="725">
        <f>+Stores!D94</f>
        <v>36</v>
      </c>
      <c r="M76" s="132"/>
      <c r="N76" s="177">
        <f>AVERAGE(L76,L75)</f>
        <v>35</v>
      </c>
      <c r="O76" s="132"/>
      <c r="P76" s="145">
        <f>(N76/N69-1)*100</f>
        <v>20.68965517241379</v>
      </c>
      <c r="Q76" s="230"/>
      <c r="R76" s="259">
        <f>J76/P76*100</f>
        <v>52.944658131187417</v>
      </c>
      <c r="S76" s="138"/>
      <c r="T76" s="132"/>
      <c r="U76" s="132"/>
      <c r="V76" s="315">
        <f>+'segSales&amp;comps'!E78</f>
        <v>159.512</v>
      </c>
      <c r="W76" s="132"/>
      <c r="X76" s="147">
        <f>V76/N76</f>
        <v>4.5574857142857139</v>
      </c>
      <c r="Y76" s="132"/>
      <c r="Z76" s="219">
        <f>(X76/X69-1)*100</f>
        <v>1.8762271082035431</v>
      </c>
      <c r="AA76" s="230"/>
      <c r="AB76" s="132"/>
      <c r="AC76" s="236">
        <f>Stores!G94</f>
        <v>0.32345000000000002</v>
      </c>
      <c r="AD76" s="132"/>
      <c r="AE76" s="254">
        <f>AVERAGE(AC76,AC75)</f>
        <v>0.31795000000000001</v>
      </c>
      <c r="AF76" s="132"/>
      <c r="AG76" s="145">
        <f>(AE76/AE69-1)*100</f>
        <v>-60.843596059113302</v>
      </c>
      <c r="AH76" s="230"/>
      <c r="AI76" s="259">
        <f>+J76/AG76*100</f>
        <v>-18.003648549821847</v>
      </c>
      <c r="AJ76" s="138"/>
      <c r="AK76" s="132"/>
      <c r="AL76" s="142">
        <f>+V76</f>
        <v>159.512</v>
      </c>
      <c r="AM76" s="132"/>
      <c r="AN76" s="245">
        <f>AL76/AE76</f>
        <v>501.68894480264191</v>
      </c>
      <c r="AO76" s="132"/>
      <c r="AP76" s="151">
        <f>(AN76/AN69-1)*100</f>
        <v>214.00755642723536</v>
      </c>
      <c r="AQ76" s="230"/>
      <c r="AR76" s="230"/>
      <c r="AS76" s="132"/>
      <c r="AT76" s="132"/>
      <c r="AU76" s="132"/>
      <c r="AV76" s="132"/>
      <c r="AW76" s="132"/>
      <c r="AX76" s="132"/>
      <c r="AY76" s="132"/>
      <c r="AZ76" s="132"/>
      <c r="BA76" s="132"/>
      <c r="BB76" s="132"/>
      <c r="BC76" s="132"/>
      <c r="BD76" s="132"/>
      <c r="BE76" s="132"/>
      <c r="BF76" s="132"/>
      <c r="BG76" s="132"/>
      <c r="BH76" s="132"/>
      <c r="BI76" s="132"/>
      <c r="BJ76" s="132"/>
      <c r="BK76" s="132"/>
      <c r="BL76" s="132"/>
      <c r="BM76" s="132"/>
      <c r="BN76" s="132"/>
      <c r="BO76" s="1592"/>
      <c r="BP76" s="1492"/>
    </row>
    <row r="77" spans="1:68" hidden="1" outlineLevel="1">
      <c r="A77" s="132" t="str">
        <f>$A$42</f>
        <v>3Q</v>
      </c>
      <c r="B77" s="174" t="str">
        <f>$B$42</f>
        <v>Oct</v>
      </c>
      <c r="C77" s="132"/>
      <c r="D77" s="145">
        <f>(V77/V70-1)*100</f>
        <v>28.410012563413446</v>
      </c>
      <c r="E77" s="230"/>
      <c r="F77" s="217"/>
      <c r="G77" s="230"/>
      <c r="H77" s="2085">
        <f>+'segSales&amp;comps'!G79</f>
        <v>22</v>
      </c>
      <c r="I77" s="230"/>
      <c r="J77" s="145">
        <f>D77-H77</f>
        <v>6.4100125634134457</v>
      </c>
      <c r="K77" s="230"/>
      <c r="L77" s="725">
        <f>+Stores!D95</f>
        <v>37</v>
      </c>
      <c r="M77" s="132"/>
      <c r="N77" s="177">
        <f>AVERAGE(L77,L76)</f>
        <v>36.5</v>
      </c>
      <c r="O77" s="132"/>
      <c r="P77" s="145">
        <f>(N77/N70-1)*100</f>
        <v>17.741935483870975</v>
      </c>
      <c r="Q77" s="230"/>
      <c r="R77" s="259">
        <f>J77/P77*100</f>
        <v>36.129161721057592</v>
      </c>
      <c r="S77" s="138"/>
      <c r="T77" s="132"/>
      <c r="U77" s="132"/>
      <c r="V77" s="315">
        <f>+'segSales&amp;comps'!E79</f>
        <v>161.49100000000001</v>
      </c>
      <c r="W77" s="132"/>
      <c r="X77" s="147">
        <f>V77/N77</f>
        <v>4.4244109589041098</v>
      </c>
      <c r="Y77" s="132"/>
      <c r="Z77" s="219">
        <f>(X77/X70-1)*100</f>
        <v>9.0605586155018347</v>
      </c>
      <c r="AA77" s="230"/>
      <c r="AB77" s="132"/>
      <c r="AC77" s="236">
        <f>Stores!G95</f>
        <v>0.32895000000000002</v>
      </c>
      <c r="AD77" s="132"/>
      <c r="AE77" s="254">
        <f>AVERAGE(AC77,AC76)</f>
        <v>0.32620000000000005</v>
      </c>
      <c r="AF77" s="132"/>
      <c r="AG77" s="145">
        <f>(AE77/AE70-1)*100</f>
        <v>-62.419354838709673</v>
      </c>
      <c r="AH77" s="230"/>
      <c r="AI77" s="259">
        <f>+J77/AG77*100</f>
        <v>-10.269270773427227</v>
      </c>
      <c r="AJ77" s="138"/>
      <c r="AK77" s="132"/>
      <c r="AL77" s="142">
        <f>+V77</f>
        <v>161.49100000000001</v>
      </c>
      <c r="AM77" s="132"/>
      <c r="AN77" s="245">
        <f>AL77/AE77</f>
        <v>495.06744328632738</v>
      </c>
      <c r="AO77" s="132"/>
      <c r="AP77" s="920">
        <f>(AN77/AN70-1)*100</f>
        <v>241.6918789241044</v>
      </c>
      <c r="AQ77" s="230"/>
      <c r="AR77" s="230"/>
      <c r="AS77" s="132"/>
      <c r="AT77" s="132"/>
      <c r="AU77" s="132"/>
      <c r="AV77" s="132"/>
      <c r="AW77" s="132"/>
      <c r="AX77" s="132"/>
      <c r="AY77" s="132"/>
      <c r="AZ77" s="132"/>
      <c r="BA77" s="132"/>
      <c r="BB77" s="132"/>
      <c r="BC77" s="132"/>
      <c r="BD77" s="132"/>
      <c r="BE77" s="132"/>
      <c r="BF77" s="132"/>
      <c r="BG77" s="132"/>
      <c r="BH77" s="132"/>
      <c r="BI77" s="132"/>
      <c r="BJ77" s="132"/>
      <c r="BK77" s="132"/>
      <c r="BL77" s="132"/>
      <c r="BM77" s="132"/>
      <c r="BN77" s="132"/>
      <c r="BO77" s="1592"/>
      <c r="BP77" s="1492"/>
    </row>
    <row r="78" spans="1:68" hidden="1" outlineLevel="1">
      <c r="A78" s="132" t="str">
        <f>$A$43</f>
        <v>4Q</v>
      </c>
      <c r="B78" s="174" t="str">
        <f>$B$43</f>
        <v>Jan</v>
      </c>
      <c r="C78" s="132"/>
      <c r="D78" s="176">
        <f>(V78/V71-1)*100</f>
        <v>26.800973616725308</v>
      </c>
      <c r="E78" s="230"/>
      <c r="F78" s="218"/>
      <c r="G78" s="230"/>
      <c r="H78" s="2090">
        <f>+'segSales&amp;comps'!G80</f>
        <v>26</v>
      </c>
      <c r="I78" s="230"/>
      <c r="J78" s="176">
        <f>D78-H78</f>
        <v>0.80097361672530809</v>
      </c>
      <c r="K78" s="230"/>
      <c r="L78" s="917">
        <f>+Stores!D96</f>
        <v>38</v>
      </c>
      <c r="M78" s="132"/>
      <c r="N78" s="178">
        <f>AVERAGE(L78,L77)</f>
        <v>37.5</v>
      </c>
      <c r="O78" s="132"/>
      <c r="P78" s="176">
        <f>(N78/N71-1)*100</f>
        <v>13.636363636363647</v>
      </c>
      <c r="Q78" s="230"/>
      <c r="R78" s="178">
        <f>J78/P78*100</f>
        <v>5.873806522652254</v>
      </c>
      <c r="S78" s="138"/>
      <c r="T78" s="132"/>
      <c r="U78" s="132"/>
      <c r="V78" s="316">
        <f>+'segSales&amp;comps'!E80</f>
        <v>291.73099999999999</v>
      </c>
      <c r="W78" s="132"/>
      <c r="X78" s="148">
        <f>V78/N78</f>
        <v>7.7794933333333329</v>
      </c>
      <c r="Y78" s="132"/>
      <c r="Z78" s="218">
        <f>(X78/X71-1)*100</f>
        <v>11.584856782718278</v>
      </c>
      <c r="AA78" s="230"/>
      <c r="AB78" s="132"/>
      <c r="AC78" s="236">
        <f>Stores!G96</f>
        <v>0.33444999999999997</v>
      </c>
      <c r="AD78" s="132"/>
      <c r="AE78" s="255">
        <f>AVERAGE(AC78,AC77)</f>
        <v>0.33169999999999999</v>
      </c>
      <c r="AF78" s="132"/>
      <c r="AG78" s="176">
        <f>(AE78/AE71-1)*100</f>
        <v>-45.103231412139522</v>
      </c>
      <c r="AH78" s="230"/>
      <c r="AI78" s="178">
        <f>+J78/AG78*100</f>
        <v>-1.7758674747852463</v>
      </c>
      <c r="AJ78" s="138"/>
      <c r="AK78" s="132"/>
      <c r="AL78" s="146">
        <f>+V78</f>
        <v>291.73099999999999</v>
      </c>
      <c r="AM78" s="132"/>
      <c r="AN78" s="257">
        <f>AL78/AE78</f>
        <v>879.50256255652698</v>
      </c>
      <c r="AO78" s="132"/>
      <c r="AP78" s="921">
        <f>(AN78/AN71-1)*100</f>
        <v>130.98076057752746</v>
      </c>
      <c r="AQ78" s="230"/>
      <c r="AR78" s="230"/>
      <c r="AS78" s="132"/>
      <c r="AT78" s="132"/>
      <c r="AU78" s="132"/>
      <c r="AV78" s="132"/>
      <c r="AW78" s="132"/>
      <c r="AX78" s="132"/>
      <c r="AY78" s="132"/>
      <c r="AZ78" s="132"/>
      <c r="BA78" s="132"/>
      <c r="BB78" s="132"/>
      <c r="BC78" s="132"/>
      <c r="BD78" s="132"/>
      <c r="BE78" s="132"/>
      <c r="BF78" s="132"/>
      <c r="BG78" s="132"/>
      <c r="BH78" s="132"/>
      <c r="BI78" s="132"/>
      <c r="BJ78" s="132"/>
      <c r="BK78" s="132"/>
      <c r="BL78" s="132"/>
      <c r="BM78" s="132"/>
      <c r="BN78" s="132"/>
      <c r="BO78" s="1592"/>
      <c r="BP78" s="1492"/>
    </row>
    <row r="79" spans="1:68" hidden="1" outlineLevel="1">
      <c r="A79" s="132"/>
      <c r="B79" s="174" t="str">
        <f>$B$44</f>
        <v>Year</v>
      </c>
      <c r="C79" s="132"/>
      <c r="D79" s="145">
        <f>(V79/V72-1)*100</f>
        <v>25.410848246850914</v>
      </c>
      <c r="E79" s="230"/>
      <c r="F79" s="217"/>
      <c r="G79" s="230"/>
      <c r="H79" s="2085">
        <f>+'segSales&amp;comps'!G81</f>
        <v>20</v>
      </c>
      <c r="I79" s="230"/>
      <c r="J79" s="145">
        <f>D79-H79</f>
        <v>5.4108482468509145</v>
      </c>
      <c r="K79" s="230"/>
      <c r="L79" s="923">
        <f>L78</f>
        <v>38</v>
      </c>
      <c r="M79" s="177" t="e">
        <f>AVERAGE(M75:M78)</f>
        <v>#DIV/0!</v>
      </c>
      <c r="N79" s="177">
        <f>AVERAGE(N75:N78)</f>
        <v>35.75</v>
      </c>
      <c r="O79" s="132"/>
      <c r="P79" s="145">
        <f>(N79/N72-1)*100</f>
        <v>18.181818181818187</v>
      </c>
      <c r="Q79" s="230"/>
      <c r="R79" s="259">
        <f>J79/P79*100</f>
        <v>29.759665357680021</v>
      </c>
      <c r="S79" s="138"/>
      <c r="T79" s="132"/>
      <c r="U79" s="132"/>
      <c r="V79" s="296">
        <f>SUM(V75:V78)</f>
        <v>744.42499999999995</v>
      </c>
      <c r="W79" s="132"/>
      <c r="X79" s="918">
        <f>V79/N79</f>
        <v>20.823076923076922</v>
      </c>
      <c r="Y79" s="132"/>
      <c r="Z79" s="219">
        <f>(X79/X72-1)*100</f>
        <v>6.116871593489237</v>
      </c>
      <c r="AA79" s="230"/>
      <c r="AB79" s="132"/>
      <c r="AC79" s="132"/>
      <c r="AD79" s="132"/>
      <c r="AE79" s="254">
        <f>AVERAGE(AE75:AE78)</f>
        <v>0.322075</v>
      </c>
      <c r="AF79" s="132"/>
      <c r="AG79" s="145">
        <f>(AE79/AE72-1)*100</f>
        <v>-54.20924487728589</v>
      </c>
      <c r="AH79" s="230"/>
      <c r="AI79" s="259">
        <f>+J79/AG79*100</f>
        <v>-9.9814123201670046</v>
      </c>
      <c r="AJ79" s="138"/>
      <c r="AK79" s="132"/>
      <c r="AL79" s="141">
        <f>SUM(AL75:AL78)</f>
        <v>744.42499999999995</v>
      </c>
      <c r="AM79" s="132"/>
      <c r="AN79" s="919">
        <f>AL79/AE79</f>
        <v>2311.3405262749357</v>
      </c>
      <c r="AO79" s="132"/>
      <c r="AP79" s="920">
        <f>(AN79/AN72-1)*100</f>
        <v>173.87809594046627</v>
      </c>
      <c r="AQ79" s="230"/>
      <c r="AR79" s="230"/>
      <c r="AS79" s="132"/>
      <c r="AT79" s="132"/>
      <c r="AU79" s="132"/>
      <c r="AV79" s="132"/>
      <c r="AW79" s="132"/>
      <c r="AX79" s="132"/>
      <c r="AY79" s="132"/>
      <c r="AZ79" s="132"/>
      <c r="BA79" s="132"/>
      <c r="BB79" s="132"/>
      <c r="BC79" s="132"/>
      <c r="BD79" s="132"/>
      <c r="BE79" s="132"/>
      <c r="BF79" s="132"/>
      <c r="BG79" s="132"/>
      <c r="BH79" s="132"/>
      <c r="BI79" s="132"/>
      <c r="BJ79" s="132"/>
      <c r="BK79" s="132"/>
      <c r="BL79" s="132"/>
      <c r="BM79" s="132"/>
      <c r="BN79" s="132"/>
      <c r="BO79" s="587"/>
      <c r="BP79" s="587"/>
    </row>
    <row r="80" spans="1:68" hidden="1" outlineLevel="1">
      <c r="A80" s="132"/>
      <c r="B80" s="174"/>
      <c r="C80" s="132"/>
      <c r="D80" s="132"/>
      <c r="E80" s="230"/>
      <c r="F80" s="132"/>
      <c r="G80" s="230"/>
      <c r="H80" s="2085"/>
      <c r="I80" s="230"/>
      <c r="J80" s="132"/>
      <c r="K80" s="230"/>
      <c r="L80" s="132"/>
      <c r="M80" s="132"/>
      <c r="N80" s="132"/>
      <c r="O80" s="132"/>
      <c r="P80" s="132"/>
      <c r="Q80" s="230"/>
      <c r="R80" s="138"/>
      <c r="S80" s="138"/>
      <c r="T80" s="132"/>
      <c r="U80" s="132"/>
      <c r="V80" s="256"/>
      <c r="W80" s="132"/>
      <c r="X80" s="132"/>
      <c r="Y80" s="132"/>
      <c r="Z80" s="132"/>
      <c r="AA80" s="230"/>
      <c r="AB80" s="132"/>
      <c r="AC80" s="132"/>
      <c r="AD80" s="132"/>
      <c r="AE80" s="132"/>
      <c r="AF80" s="132"/>
      <c r="AG80" s="132"/>
      <c r="AH80" s="230"/>
      <c r="AI80" s="138"/>
      <c r="AJ80" s="138"/>
      <c r="AK80" s="132"/>
      <c r="AL80" s="132"/>
      <c r="AM80" s="132"/>
      <c r="AN80" s="132"/>
      <c r="AO80" s="132"/>
      <c r="AP80" s="151"/>
      <c r="AQ80" s="230"/>
      <c r="AR80" s="230"/>
      <c r="AS80" s="132"/>
      <c r="AT80" s="132"/>
      <c r="AU80" s="132"/>
      <c r="AV80" s="132"/>
      <c r="AW80" s="132"/>
      <c r="AX80" s="132"/>
      <c r="AY80" s="132"/>
      <c r="AZ80" s="132"/>
      <c r="BA80" s="132"/>
      <c r="BB80" s="132"/>
      <c r="BC80" s="132"/>
      <c r="BD80" s="132"/>
      <c r="BE80" s="132"/>
      <c r="BF80" s="132"/>
      <c r="BG80" s="132"/>
      <c r="BH80" s="132"/>
      <c r="BI80" s="132"/>
      <c r="BJ80" s="132"/>
      <c r="BK80" s="132"/>
      <c r="BL80" s="132"/>
      <c r="BM80" s="132"/>
      <c r="BN80" s="132"/>
      <c r="BO80" s="587"/>
      <c r="BP80" s="587"/>
    </row>
    <row r="81" spans="1:68" hidden="1" outlineLevel="1">
      <c r="A81" s="169"/>
      <c r="B81" s="171">
        <f>B74+1</f>
        <v>2000</v>
      </c>
      <c r="C81" s="132"/>
      <c r="D81" s="132"/>
      <c r="E81" s="230"/>
      <c r="F81" s="132"/>
      <c r="G81" s="230"/>
      <c r="H81" s="2085"/>
      <c r="I81" s="230"/>
      <c r="J81" s="132"/>
      <c r="K81" s="230"/>
      <c r="L81" s="132"/>
      <c r="M81" s="132"/>
      <c r="N81" s="132"/>
      <c r="O81" s="132"/>
      <c r="P81" s="132"/>
      <c r="Q81" s="230"/>
      <c r="R81" s="138"/>
      <c r="S81" s="138"/>
      <c r="T81" s="132"/>
      <c r="U81" s="132"/>
      <c r="V81" s="256"/>
      <c r="W81" s="132"/>
      <c r="X81" s="132"/>
      <c r="Y81" s="132"/>
      <c r="Z81" s="132"/>
      <c r="AA81" s="230"/>
      <c r="AB81" s="132"/>
      <c r="AC81" s="132"/>
      <c r="AD81" s="132"/>
      <c r="AE81" s="132"/>
      <c r="AF81" s="132"/>
      <c r="AG81" s="132"/>
      <c r="AH81" s="230"/>
      <c r="AI81" s="138"/>
      <c r="AJ81" s="138"/>
      <c r="AK81" s="132"/>
      <c r="AL81" s="132"/>
      <c r="AM81" s="132"/>
      <c r="AN81" s="132"/>
      <c r="AO81" s="132"/>
      <c r="AP81" s="151"/>
      <c r="AQ81" s="230"/>
      <c r="AR81" s="230"/>
      <c r="AS81" s="132"/>
      <c r="AT81" s="132"/>
      <c r="AU81" s="132"/>
      <c r="AV81" s="132"/>
      <c r="AW81" s="132"/>
      <c r="AX81" s="132"/>
      <c r="AY81" s="132"/>
      <c r="AZ81" s="132"/>
      <c r="BA81" s="132"/>
      <c r="BB81" s="132"/>
      <c r="BC81" s="132"/>
      <c r="BD81" s="132"/>
      <c r="BE81" s="132"/>
      <c r="BF81" s="132"/>
      <c r="BG81" s="132"/>
      <c r="BH81" s="132"/>
      <c r="BI81" s="132"/>
      <c r="BJ81" s="132"/>
      <c r="BK81" s="132"/>
      <c r="BL81" s="132"/>
      <c r="BM81" s="132"/>
      <c r="BN81" s="132"/>
      <c r="BO81" s="587"/>
      <c r="BP81" s="587"/>
    </row>
    <row r="82" spans="1:68" hidden="1" outlineLevel="1">
      <c r="A82" s="132" t="str">
        <f>$A$40</f>
        <v>1Q</v>
      </c>
      <c r="B82" s="174" t="str">
        <f>$B$40</f>
        <v>Apr</v>
      </c>
      <c r="C82" s="132"/>
      <c r="D82" s="145">
        <f>(V82/V75-1)*100</f>
        <v>28.913137572043635</v>
      </c>
      <c r="E82" s="230" t="s">
        <v>1970</v>
      </c>
      <c r="F82" s="217"/>
      <c r="G82" s="230"/>
      <c r="H82" s="2085">
        <f>+'segSales&amp;comps'!G84</f>
        <v>28</v>
      </c>
      <c r="I82" s="230" t="s">
        <v>1970</v>
      </c>
      <c r="J82" s="145">
        <f>D82-H82</f>
        <v>0.91313757204363455</v>
      </c>
      <c r="K82" s="230" t="s">
        <v>1970</v>
      </c>
      <c r="L82" s="725">
        <f>+Stores!D100</f>
        <v>38</v>
      </c>
      <c r="M82" s="132" t="s">
        <v>505</v>
      </c>
      <c r="N82" s="177">
        <f>AVERAGE(L82,L78)</f>
        <v>38</v>
      </c>
      <c r="O82" s="132"/>
      <c r="P82" s="145">
        <f>(N82/N75-1)*100</f>
        <v>11.764705882352944</v>
      </c>
      <c r="Q82" s="230" t="s">
        <v>1970</v>
      </c>
      <c r="R82" s="259">
        <f>J82/P82*100</f>
        <v>7.7616693623708919</v>
      </c>
      <c r="S82" s="138" t="s">
        <v>1970</v>
      </c>
      <c r="T82" s="132"/>
      <c r="U82" s="132"/>
      <c r="V82" s="296">
        <f>+'segSales&amp;comps'!E84</f>
        <v>169.767</v>
      </c>
      <c r="W82" s="132" t="s">
        <v>505</v>
      </c>
      <c r="X82" s="143">
        <f>V82/N82</f>
        <v>4.4675526315789469</v>
      </c>
      <c r="Y82" s="132"/>
      <c r="Z82" s="219">
        <f>(X82/X75-1)*100</f>
        <v>15.34333361709168</v>
      </c>
      <c r="AA82" s="230" t="s">
        <v>1970</v>
      </c>
      <c r="AB82" s="132"/>
      <c r="AC82" s="236">
        <f>Stores!G100</f>
        <v>0.33444999999999997</v>
      </c>
      <c r="AD82" s="132" t="s">
        <v>505</v>
      </c>
      <c r="AE82" s="254">
        <f>AVERAGE(AC82,AC78)</f>
        <v>0.33444999999999997</v>
      </c>
      <c r="AF82" s="132"/>
      <c r="AG82" s="145">
        <f>(AE82/AE75-1)*100</f>
        <v>7.0411265802528211</v>
      </c>
      <c r="AH82" s="230" t="s">
        <v>1970</v>
      </c>
      <c r="AI82" s="259">
        <f>+J82/AG82*100</f>
        <v>12.968628835683383</v>
      </c>
      <c r="AJ82" s="138" t="s">
        <v>1970</v>
      </c>
      <c r="AK82" s="132"/>
      <c r="AL82" s="141">
        <f>+V82</f>
        <v>169.767</v>
      </c>
      <c r="AM82" s="132" t="s">
        <v>505</v>
      </c>
      <c r="AN82" s="244">
        <f>AL82/AE82</f>
        <v>507.60053819703995</v>
      </c>
      <c r="AO82" s="132"/>
      <c r="AP82" s="151">
        <f>(AN82/AN75-1)*100</f>
        <v>20.433278021782144</v>
      </c>
      <c r="AQ82" s="230" t="s">
        <v>1970</v>
      </c>
      <c r="AR82" s="230"/>
      <c r="AS82" s="132"/>
      <c r="AT82" s="132"/>
      <c r="AU82" s="132"/>
      <c r="AV82" s="132"/>
      <c r="AW82" s="132"/>
      <c r="AX82" s="132"/>
      <c r="AY82" s="132"/>
      <c r="AZ82" s="132"/>
      <c r="BA82" s="132"/>
      <c r="BB82" s="132"/>
      <c r="BC82" s="132"/>
      <c r="BD82" s="132"/>
      <c r="BE82" s="132"/>
      <c r="BF82" s="132"/>
      <c r="BG82" s="132"/>
      <c r="BH82" s="132"/>
      <c r="BI82" s="132"/>
      <c r="BJ82" s="132"/>
      <c r="BK82" s="132"/>
      <c r="BL82" s="132"/>
      <c r="BM82" s="132"/>
      <c r="BN82" s="132"/>
      <c r="BO82" s="1592"/>
      <c r="BP82" s="1492"/>
    </row>
    <row r="83" spans="1:68" hidden="1" outlineLevel="1">
      <c r="A83" s="132" t="str">
        <f>$A$41</f>
        <v>2Q</v>
      </c>
      <c r="B83" s="174" t="str">
        <f>$B$41</f>
        <v>Jul</v>
      </c>
      <c r="C83" s="132"/>
      <c r="D83" s="145">
        <f>(V83/V76-1)*100</f>
        <v>18.272606449671503</v>
      </c>
      <c r="E83" s="132"/>
      <c r="F83" s="217"/>
      <c r="G83" s="132"/>
      <c r="H83" s="2085">
        <f>+'segSales&amp;comps'!G85</f>
        <v>19</v>
      </c>
      <c r="I83" s="132"/>
      <c r="J83" s="145">
        <f>D83-H83</f>
        <v>-0.72739355032849673</v>
      </c>
      <c r="K83" s="132"/>
      <c r="L83" s="725">
        <f>+Stores!D101</f>
        <v>39</v>
      </c>
      <c r="M83" s="238"/>
      <c r="N83" s="177">
        <f>AVERAGE(L83,L82)</f>
        <v>38.5</v>
      </c>
      <c r="O83" s="132"/>
      <c r="P83" s="145">
        <f>(N83/N76-1)*100</f>
        <v>10.000000000000009</v>
      </c>
      <c r="Q83" s="230"/>
      <c r="R83" s="259">
        <f>J83/P83*100</f>
        <v>-7.2739355032849602</v>
      </c>
      <c r="S83" s="138"/>
      <c r="T83" s="132"/>
      <c r="U83" s="132"/>
      <c r="V83" s="315">
        <f>+'segSales&amp;comps'!E85</f>
        <v>188.65899999999999</v>
      </c>
      <c r="W83" s="132"/>
      <c r="X83" s="147">
        <f>V83/N83</f>
        <v>4.9002337662337663</v>
      </c>
      <c r="Y83" s="132"/>
      <c r="Z83" s="219">
        <f>(X83/X76-1)*100</f>
        <v>7.520551317883184</v>
      </c>
      <c r="AA83" s="230"/>
      <c r="AB83" s="132"/>
      <c r="AC83" s="236">
        <f>Stores!G101</f>
        <v>0.3417</v>
      </c>
      <c r="AD83" s="238"/>
      <c r="AE83" s="254">
        <f>AVERAGE(AC83,AC82)</f>
        <v>0.33807500000000001</v>
      </c>
      <c r="AF83" s="132"/>
      <c r="AG83" s="145">
        <f>(AE83/AE76-1)*100</f>
        <v>6.3296115741468872</v>
      </c>
      <c r="AH83" s="230"/>
      <c r="AI83" s="259">
        <f>+J83/AG83*100</f>
        <v>-11.491914500717774</v>
      </c>
      <c r="AJ83" s="138"/>
      <c r="AK83" s="132"/>
      <c r="AL83" s="142">
        <f>+V83</f>
        <v>188.65899999999999</v>
      </c>
      <c r="AM83" s="132"/>
      <c r="AN83" s="245">
        <f>AL83/AE83</f>
        <v>558.03889669452042</v>
      </c>
      <c r="AO83" s="132"/>
      <c r="AP83" s="151">
        <f>(AN83/AN76-1)*100</f>
        <v>11.23204975426475</v>
      </c>
      <c r="AQ83" s="230"/>
      <c r="AR83" s="230"/>
      <c r="AS83" s="132"/>
      <c r="AT83" s="132"/>
      <c r="AU83" s="132"/>
      <c r="AV83" s="132"/>
      <c r="AW83" s="132"/>
      <c r="AX83" s="132"/>
      <c r="AY83" s="132"/>
      <c r="AZ83" s="132"/>
      <c r="BA83" s="132"/>
      <c r="BB83" s="132"/>
      <c r="BC83" s="132"/>
      <c r="BD83" s="132"/>
      <c r="BE83" s="132"/>
      <c r="BF83" s="132"/>
      <c r="BG83" s="132"/>
      <c r="BH83" s="132"/>
      <c r="BI83" s="132"/>
      <c r="BJ83" s="132"/>
      <c r="BK83" s="132"/>
      <c r="BL83" s="132"/>
      <c r="BM83" s="132"/>
      <c r="BN83" s="132"/>
      <c r="BO83" s="1592"/>
      <c r="BP83" s="1492"/>
    </row>
    <row r="84" spans="1:68" hidden="1" outlineLevel="1">
      <c r="A84" s="132" t="str">
        <f>$A$42</f>
        <v>3Q</v>
      </c>
      <c r="B84" s="174" t="str">
        <f>$B$42</f>
        <v>Oct</v>
      </c>
      <c r="C84" s="132"/>
      <c r="D84" s="145">
        <f>(V84/V77-1)*100</f>
        <v>12.923940033809922</v>
      </c>
      <c r="E84" s="132"/>
      <c r="F84" s="217"/>
      <c r="G84" s="132"/>
      <c r="H84" s="2085">
        <f>+'segSales&amp;comps'!G86</f>
        <v>18</v>
      </c>
      <c r="I84" s="132"/>
      <c r="J84" s="145">
        <f>D84-H84</f>
        <v>-5.076059966190078</v>
      </c>
      <c r="K84" s="132"/>
      <c r="L84" s="725">
        <f>+Stores!D102</f>
        <v>40</v>
      </c>
      <c r="M84" s="238"/>
      <c r="N84" s="177">
        <f>AVERAGE(L84,L83)</f>
        <v>39.5</v>
      </c>
      <c r="O84" s="132"/>
      <c r="P84" s="145">
        <f>(N84/N77-1)*100</f>
        <v>8.2191780821917924</v>
      </c>
      <c r="Q84" s="230"/>
      <c r="R84" s="259">
        <f>J84/P84*100</f>
        <v>-61.758729588645863</v>
      </c>
      <c r="S84" s="138"/>
      <c r="T84" s="132"/>
      <c r="U84" s="132"/>
      <c r="V84" s="315">
        <f>+'segSales&amp;comps'!E86</f>
        <v>182.36199999999999</v>
      </c>
      <c r="W84" s="132"/>
      <c r="X84" s="147">
        <f>V84/N84</f>
        <v>4.6167594936708856</v>
      </c>
      <c r="Y84" s="132"/>
      <c r="Z84" s="219">
        <f>(X84/X77-1)*100</f>
        <v>4.3474382590901639</v>
      </c>
      <c r="AA84" s="230"/>
      <c r="AB84" s="132"/>
      <c r="AC84" s="236">
        <f>Stores!G102</f>
        <v>0.34894999999999998</v>
      </c>
      <c r="AD84" s="238"/>
      <c r="AE84" s="254">
        <f>AVERAGE(AC84,AC83)</f>
        <v>0.34532499999999999</v>
      </c>
      <c r="AF84" s="132"/>
      <c r="AG84" s="145">
        <f>(AE84/AE77-1)*100</f>
        <v>5.862967504598382</v>
      </c>
      <c r="AH84" s="230"/>
      <c r="AI84" s="259">
        <f>+J84/AG84*100</f>
        <v>-86.578340442939094</v>
      </c>
      <c r="AJ84" s="138"/>
      <c r="AK84" s="132"/>
      <c r="AL84" s="142">
        <f>+V84</f>
        <v>182.36199999999999</v>
      </c>
      <c r="AM84" s="132"/>
      <c r="AN84" s="245">
        <f>AL84/AE84</f>
        <v>528.08803301237958</v>
      </c>
      <c r="AO84" s="132"/>
      <c r="AP84" s="920">
        <f>(AN84/AN77-1)*100</f>
        <v>6.6699174372802483</v>
      </c>
      <c r="AQ84" s="230"/>
      <c r="AR84" s="230"/>
      <c r="AS84" s="132"/>
      <c r="AT84" s="132"/>
      <c r="AU84" s="132"/>
      <c r="AV84" s="132"/>
      <c r="AW84" s="132"/>
      <c r="AX84" s="132"/>
      <c r="AY84" s="132"/>
      <c r="AZ84" s="132"/>
      <c r="BA84" s="132"/>
      <c r="BB84" s="132"/>
      <c r="BC84" s="132"/>
      <c r="BD84" s="132"/>
      <c r="BE84" s="132"/>
      <c r="BF84" s="132"/>
      <c r="BG84" s="132"/>
      <c r="BH84" s="132"/>
      <c r="BI84" s="132"/>
      <c r="BJ84" s="132"/>
      <c r="BK84" s="132"/>
      <c r="BL84" s="132"/>
      <c r="BM84" s="132"/>
      <c r="BN84" s="132"/>
      <c r="BO84" s="1592"/>
      <c r="BP84" s="1492"/>
    </row>
    <row r="85" spans="1:68" hidden="1" outlineLevel="1">
      <c r="A85" s="132" t="str">
        <f>$A$43</f>
        <v>4Q</v>
      </c>
      <c r="B85" s="174" t="str">
        <f>$B$43</f>
        <v>Jan</v>
      </c>
      <c r="C85" s="132"/>
      <c r="D85" s="176">
        <f>(V85/V78-1)*100</f>
        <v>0.24063263760107922</v>
      </c>
      <c r="E85" s="132"/>
      <c r="F85" s="218"/>
      <c r="G85" s="132"/>
      <c r="H85" s="2090">
        <f>+'segSales&amp;comps'!G87</f>
        <v>-1</v>
      </c>
      <c r="I85" s="132"/>
      <c r="J85" s="176">
        <f>D85-H85</f>
        <v>1.2406326376010792</v>
      </c>
      <c r="K85" s="132"/>
      <c r="L85" s="917">
        <f>+Stores!D103</f>
        <v>42</v>
      </c>
      <c r="M85" s="139"/>
      <c r="N85" s="178">
        <f>AVERAGE(L85,L84)</f>
        <v>41</v>
      </c>
      <c r="O85" s="132"/>
      <c r="P85" s="176">
        <f>(N85/N78-1)*100</f>
        <v>9.3333333333333268</v>
      </c>
      <c r="Q85" s="230"/>
      <c r="R85" s="178">
        <f>J85/P85*100</f>
        <v>13.292492545725858</v>
      </c>
      <c r="S85" s="138"/>
      <c r="T85" s="132"/>
      <c r="U85" s="132"/>
      <c r="V85" s="316">
        <f>+'segSales&amp;comps'!E87</f>
        <v>292.43299999999999</v>
      </c>
      <c r="W85" s="132"/>
      <c r="X85" s="148">
        <f>V85/N85</f>
        <v>7.1325121951219508</v>
      </c>
      <c r="Y85" s="132"/>
      <c r="Z85" s="218">
        <f>(X85/X78-1)*100</f>
        <v>-8.3164945387795068</v>
      </c>
      <c r="AA85" s="230"/>
      <c r="AB85" s="132"/>
      <c r="AC85" s="236">
        <f>Stores!G103</f>
        <v>0.36345</v>
      </c>
      <c r="AD85" s="139"/>
      <c r="AE85" s="255">
        <f>AVERAGE(AC85,AC84)</f>
        <v>0.35619999999999996</v>
      </c>
      <c r="AF85" s="132"/>
      <c r="AG85" s="176">
        <f>(AE85/AE78-1)*100</f>
        <v>7.3861923424781262</v>
      </c>
      <c r="AH85" s="230"/>
      <c r="AI85" s="178">
        <f>+J85/AG85*100</f>
        <v>16.796646771113423</v>
      </c>
      <c r="AJ85" s="138"/>
      <c r="AK85" s="132"/>
      <c r="AL85" s="146">
        <f>+V85</f>
        <v>292.43299999999999</v>
      </c>
      <c r="AM85" s="132"/>
      <c r="AN85" s="257">
        <f>AL85/AE85</f>
        <v>820.97978663672097</v>
      </c>
      <c r="AO85" s="132"/>
      <c r="AP85" s="921">
        <f>(AN85/AN78-1)*100</f>
        <v>-6.6540767942384065</v>
      </c>
      <c r="AQ85" s="230"/>
      <c r="AR85" s="230"/>
      <c r="AS85" s="132"/>
      <c r="AT85" s="132"/>
      <c r="AU85" s="132"/>
      <c r="AV85" s="132"/>
      <c r="AW85" s="132"/>
      <c r="AX85" s="132"/>
      <c r="AY85" s="132"/>
      <c r="AZ85" s="132"/>
      <c r="BA85" s="132"/>
      <c r="BB85" s="132"/>
      <c r="BC85" s="132"/>
      <c r="BD85" s="132"/>
      <c r="BE85" s="132"/>
      <c r="BF85" s="132"/>
      <c r="BG85" s="132"/>
      <c r="BH85" s="132"/>
      <c r="BI85" s="132"/>
      <c r="BJ85" s="132"/>
      <c r="BK85" s="132"/>
      <c r="BL85" s="132"/>
      <c r="BM85" s="132"/>
      <c r="BN85" s="132"/>
      <c r="BO85" s="1592"/>
      <c r="BP85" s="1492"/>
    </row>
    <row r="86" spans="1:68" hidden="1" outlineLevel="1">
      <c r="A86" s="132"/>
      <c r="B86" s="174" t="str">
        <f>$B$44</f>
        <v>Year</v>
      </c>
      <c r="C86" s="132"/>
      <c r="D86" s="145">
        <f>(V86/V79-1)*100</f>
        <v>11.928132451220751</v>
      </c>
      <c r="E86" s="132"/>
      <c r="F86" s="217"/>
      <c r="G86" s="132"/>
      <c r="H86" s="2085">
        <f>+'segSales&amp;comps'!G88</f>
        <v>12</v>
      </c>
      <c r="I86" s="132"/>
      <c r="J86" s="145">
        <f>D86-H86</f>
        <v>-7.1867548779248835E-2</v>
      </c>
      <c r="K86" s="132"/>
      <c r="L86" s="923">
        <f>L85</f>
        <v>42</v>
      </c>
      <c r="M86" s="132"/>
      <c r="N86" s="177">
        <f>AVERAGE(N82:N85)</f>
        <v>39.25</v>
      </c>
      <c r="O86" s="132"/>
      <c r="P86" s="145">
        <f>(N86/N79-1)*100</f>
        <v>9.7902097902097918</v>
      </c>
      <c r="Q86" s="230"/>
      <c r="R86" s="259">
        <f>J86/P86*100</f>
        <v>-0.73407567681661301</v>
      </c>
      <c r="S86" s="138"/>
      <c r="T86" s="132"/>
      <c r="U86" s="132"/>
      <c r="V86" s="296">
        <f>SUM(V82:V85)</f>
        <v>833.221</v>
      </c>
      <c r="W86" s="132"/>
      <c r="X86" s="918">
        <f>V86/N86</f>
        <v>21.228560509554139</v>
      </c>
      <c r="Y86" s="132"/>
      <c r="Z86" s="219">
        <f>(X86/X79-1)*100</f>
        <v>1.9472798759526455</v>
      </c>
      <c r="AA86" s="230"/>
      <c r="AB86" s="132"/>
      <c r="AC86" s="132"/>
      <c r="AD86" s="132"/>
      <c r="AE86" s="254">
        <f>AVERAGE(AE82:AE85)</f>
        <v>0.3435125</v>
      </c>
      <c r="AF86" s="132"/>
      <c r="AG86" s="145">
        <f>(AE86/AE79-1)*100</f>
        <v>6.6560583714973198</v>
      </c>
      <c r="AH86" s="230"/>
      <c r="AI86" s="259">
        <f>+J86/AG86*100</f>
        <v>-1.079731348015234</v>
      </c>
      <c r="AJ86" s="138"/>
      <c r="AK86" s="132"/>
      <c r="AL86" s="141">
        <f>SUM(AL82:AL85)</f>
        <v>833.221</v>
      </c>
      <c r="AM86" s="132"/>
      <c r="AN86" s="919">
        <f>AL86/AE86</f>
        <v>2425.5914995815292</v>
      </c>
      <c r="AO86" s="132"/>
      <c r="AP86" s="920">
        <f>(AN86/AN79-1)*100</f>
        <v>4.9430610508407247</v>
      </c>
      <c r="AQ86" s="230"/>
      <c r="AR86" s="230"/>
      <c r="AS86" s="132"/>
      <c r="AT86" s="132"/>
      <c r="AU86" s="132"/>
      <c r="AV86" s="132"/>
      <c r="AW86" s="132"/>
      <c r="AX86" s="132"/>
      <c r="AY86" s="132"/>
      <c r="AZ86" s="132"/>
      <c r="BA86" s="132"/>
      <c r="BB86" s="132"/>
      <c r="BC86" s="132"/>
      <c r="BD86" s="132"/>
      <c r="BE86" s="132"/>
      <c r="BF86" s="132"/>
      <c r="BG86" s="132"/>
      <c r="BH86" s="132"/>
      <c r="BI86" s="132"/>
      <c r="BJ86" s="132"/>
      <c r="BK86" s="132"/>
      <c r="BL86" s="132"/>
      <c r="BM86" s="132"/>
      <c r="BN86" s="132"/>
      <c r="BO86" s="587"/>
      <c r="BP86" s="587"/>
    </row>
    <row r="87" spans="1:68" hidden="1" outlineLevel="1">
      <c r="A87" s="132"/>
      <c r="B87" s="174"/>
      <c r="C87" s="132"/>
      <c r="D87" s="132"/>
      <c r="E87" s="132"/>
      <c r="F87" s="132"/>
      <c r="G87" s="132"/>
      <c r="H87" s="2085"/>
      <c r="I87" s="132"/>
      <c r="J87" s="132"/>
      <c r="K87" s="132"/>
      <c r="L87" s="132"/>
      <c r="M87" s="132"/>
      <c r="N87" s="132"/>
      <c r="O87" s="132"/>
      <c r="P87" s="132"/>
      <c r="Q87" s="230"/>
      <c r="R87" s="138"/>
      <c r="S87" s="138"/>
      <c r="T87" s="132"/>
      <c r="U87" s="132"/>
      <c r="V87" s="256"/>
      <c r="W87" s="132"/>
      <c r="X87" s="132"/>
      <c r="Y87" s="132"/>
      <c r="Z87" s="132"/>
      <c r="AA87" s="230"/>
      <c r="AB87" s="132"/>
      <c r="AC87" s="132"/>
      <c r="AD87" s="132"/>
      <c r="AE87" s="132"/>
      <c r="AF87" s="132"/>
      <c r="AG87" s="132"/>
      <c r="AH87" s="230"/>
      <c r="AI87" s="138"/>
      <c r="AJ87" s="138"/>
      <c r="AK87" s="132"/>
      <c r="AL87" s="132"/>
      <c r="AM87" s="132"/>
      <c r="AN87" s="132"/>
      <c r="AO87" s="132"/>
      <c r="AP87" s="151"/>
      <c r="AQ87" s="132"/>
      <c r="AR87" s="132"/>
      <c r="AS87" s="132"/>
      <c r="AT87" s="132"/>
      <c r="AU87" s="132"/>
      <c r="AV87" s="132"/>
      <c r="AW87" s="132"/>
      <c r="AX87" s="132"/>
      <c r="AY87" s="132"/>
      <c r="AZ87" s="132"/>
      <c r="BA87" s="132"/>
      <c r="BB87" s="132"/>
      <c r="BC87" s="132"/>
      <c r="BD87" s="132"/>
      <c r="BE87" s="132"/>
      <c r="BF87" s="132"/>
      <c r="BG87" s="132"/>
      <c r="BH87" s="132"/>
      <c r="BI87" s="132"/>
      <c r="BJ87" s="132"/>
      <c r="BK87" s="132"/>
      <c r="BL87" s="132"/>
      <c r="BM87" s="132"/>
      <c r="BN87" s="132"/>
      <c r="BO87" s="587"/>
      <c r="BP87" s="587"/>
    </row>
    <row r="88" spans="1:68" hidden="1" outlineLevel="1">
      <c r="A88" s="169"/>
      <c r="B88" s="171">
        <f>B81+1</f>
        <v>2001</v>
      </c>
      <c r="C88" s="132"/>
      <c r="D88" s="132"/>
      <c r="E88" s="230"/>
      <c r="F88" s="132"/>
      <c r="G88" s="230"/>
      <c r="H88" s="2085"/>
      <c r="I88" s="230"/>
      <c r="J88" s="132"/>
      <c r="K88" s="230"/>
      <c r="L88" s="132"/>
      <c r="M88" s="132"/>
      <c r="N88" s="132"/>
      <c r="O88" s="132"/>
      <c r="P88" s="132"/>
      <c r="Q88" s="230"/>
      <c r="R88" s="138"/>
      <c r="S88" s="138"/>
      <c r="T88" s="132"/>
      <c r="U88" s="132"/>
      <c r="V88" s="256"/>
      <c r="W88" s="132"/>
      <c r="X88" s="132"/>
      <c r="Y88" s="132"/>
      <c r="Z88" s="132"/>
      <c r="AA88" s="230"/>
      <c r="AB88" s="132"/>
      <c r="AC88" s="132"/>
      <c r="AD88" s="132"/>
      <c r="AE88" s="132"/>
      <c r="AF88" s="132"/>
      <c r="AG88" s="132"/>
      <c r="AH88" s="230"/>
      <c r="AI88" s="138"/>
      <c r="AJ88" s="138"/>
      <c r="AK88" s="132"/>
      <c r="AL88" s="132"/>
      <c r="AM88" s="132"/>
      <c r="AN88" s="132"/>
      <c r="AO88" s="132"/>
      <c r="AP88" s="151"/>
      <c r="AQ88" s="230"/>
      <c r="AR88" s="230"/>
      <c r="AS88" s="132"/>
      <c r="AT88" s="132"/>
      <c r="AU88" s="132"/>
      <c r="AV88" s="132"/>
      <c r="AW88" s="132"/>
      <c r="AX88" s="132"/>
      <c r="AY88" s="132"/>
      <c r="AZ88" s="132"/>
      <c r="BA88" s="132"/>
      <c r="BB88" s="132"/>
      <c r="BC88" s="132"/>
      <c r="BD88" s="132"/>
      <c r="BE88" s="132"/>
      <c r="BF88" s="132"/>
      <c r="BG88" s="132"/>
      <c r="BH88" s="132"/>
      <c r="BI88" s="132"/>
      <c r="BJ88" s="132"/>
      <c r="BK88" s="132"/>
      <c r="BL88" s="132"/>
      <c r="BM88" s="132"/>
      <c r="BN88" s="132"/>
      <c r="BO88" s="587"/>
      <c r="BP88" s="587"/>
    </row>
    <row r="89" spans="1:68" hidden="1" outlineLevel="1">
      <c r="A89" s="132" t="str">
        <f>$A$40</f>
        <v>1Q</v>
      </c>
      <c r="B89" s="174" t="str">
        <f>$B$40</f>
        <v>Apr</v>
      </c>
      <c r="C89" s="132"/>
      <c r="D89" s="145">
        <f>(V89/V82-1)*100</f>
        <v>-6.3351534750569876</v>
      </c>
      <c r="E89" s="230" t="s">
        <v>1970</v>
      </c>
      <c r="F89" s="217"/>
      <c r="G89" s="230"/>
      <c r="H89" s="2085">
        <f>+'segSales&amp;comps'!G91</f>
        <v>-8</v>
      </c>
      <c r="I89" s="230" t="s">
        <v>1970</v>
      </c>
      <c r="J89" s="145">
        <f>D89-H89</f>
        <v>1.6648465249430124</v>
      </c>
      <c r="K89" s="230" t="s">
        <v>1970</v>
      </c>
      <c r="L89" s="725">
        <f>+Stores!D107</f>
        <v>42</v>
      </c>
      <c r="M89" s="132" t="s">
        <v>505</v>
      </c>
      <c r="N89" s="177">
        <f>AVERAGE(L89,L85)</f>
        <v>42</v>
      </c>
      <c r="O89" s="132"/>
      <c r="P89" s="145">
        <f>(N89/N82-1)*100</f>
        <v>10.526315789473696</v>
      </c>
      <c r="Q89" s="230" t="s">
        <v>1970</v>
      </c>
      <c r="R89" s="259">
        <f>J89/P89*100</f>
        <v>15.8160419869586</v>
      </c>
      <c r="S89" s="138" t="s">
        <v>1970</v>
      </c>
      <c r="T89" s="132"/>
      <c r="U89" s="132"/>
      <c r="V89" s="296">
        <f>+'segSales&amp;comps'!E91</f>
        <v>159.012</v>
      </c>
      <c r="W89" s="132" t="s">
        <v>505</v>
      </c>
      <c r="X89" s="143">
        <f>V89/N89</f>
        <v>3.786</v>
      </c>
      <c r="Y89" s="132"/>
      <c r="Z89" s="219">
        <f>(X89/X82-1)*100</f>
        <v>-15.25561504886107</v>
      </c>
      <c r="AA89" s="230" t="s">
        <v>1970</v>
      </c>
      <c r="AB89" s="132"/>
      <c r="AC89" s="236">
        <f>Stores!G107</f>
        <v>0.36345</v>
      </c>
      <c r="AD89" s="132" t="s">
        <v>505</v>
      </c>
      <c r="AE89" s="254">
        <f>AVERAGE(AC89,AC85)</f>
        <v>0.36345</v>
      </c>
      <c r="AF89" s="132"/>
      <c r="AG89" s="145">
        <f>(AE89/AE82-1)*100</f>
        <v>8.6709523097623133</v>
      </c>
      <c r="AH89" s="230" t="s">
        <v>1970</v>
      </c>
      <c r="AI89" s="259">
        <f>+J89/AG89*100</f>
        <v>19.200273112661705</v>
      </c>
      <c r="AJ89" s="138" t="s">
        <v>1970</v>
      </c>
      <c r="AK89" s="132"/>
      <c r="AL89" s="141">
        <f>+V89</f>
        <v>159.012</v>
      </c>
      <c r="AM89" s="132" t="s">
        <v>505</v>
      </c>
      <c r="AN89" s="244">
        <f>AL89/AE89</f>
        <v>437.50722245150638</v>
      </c>
      <c r="AO89" s="132"/>
      <c r="AP89" s="151">
        <f>(AN89/AN82-1)*100</f>
        <v>-13.808755206308476</v>
      </c>
      <c r="AQ89" s="230" t="s">
        <v>1970</v>
      </c>
      <c r="AR89" s="230"/>
      <c r="AS89" s="132"/>
      <c r="AT89" s="132"/>
      <c r="AU89" s="132"/>
      <c r="AV89" s="132"/>
      <c r="AW89" s="132"/>
      <c r="AX89" s="132"/>
      <c r="AY89" s="132"/>
      <c r="AZ89" s="132"/>
      <c r="BA89" s="132"/>
      <c r="BB89" s="132"/>
      <c r="BC89" s="132"/>
      <c r="BD89" s="132"/>
      <c r="BE89" s="132"/>
      <c r="BF89" s="132"/>
      <c r="BG89" s="132"/>
      <c r="BH89" s="132"/>
      <c r="BI89" s="132"/>
      <c r="BJ89" s="132"/>
      <c r="BK89" s="132"/>
      <c r="BL89" s="132"/>
      <c r="BM89" s="132"/>
      <c r="BN89" s="132"/>
      <c r="BO89" s="1592"/>
      <c r="BP89" s="1492"/>
    </row>
    <row r="90" spans="1:68" hidden="1" outlineLevel="1">
      <c r="A90" s="132" t="str">
        <f>$A$41</f>
        <v>2Q</v>
      </c>
      <c r="B90" s="174" t="str">
        <f>$B$41</f>
        <v>Jul</v>
      </c>
      <c r="C90" s="132"/>
      <c r="D90" s="145">
        <f>(V90/V83-1)*100</f>
        <v>-1.3230219602563209</v>
      </c>
      <c r="E90" s="132"/>
      <c r="F90" s="217"/>
      <c r="G90" s="132"/>
      <c r="H90" s="2085">
        <f>+'segSales&amp;comps'!G92</f>
        <v>-4</v>
      </c>
      <c r="I90" s="132"/>
      <c r="J90" s="145">
        <f>D90-H90</f>
        <v>2.6769780397436791</v>
      </c>
      <c r="K90" s="132"/>
      <c r="L90" s="725">
        <f>+Stores!D108</f>
        <v>43</v>
      </c>
      <c r="M90" s="238"/>
      <c r="N90" s="177">
        <f>AVERAGE(L90,L89)</f>
        <v>42.5</v>
      </c>
      <c r="O90" s="132"/>
      <c r="P90" s="145">
        <f>(N90/N83-1)*100</f>
        <v>10.389610389610393</v>
      </c>
      <c r="Q90" s="230"/>
      <c r="R90" s="259">
        <f>J90/P90*100</f>
        <v>25.765913632532904</v>
      </c>
      <c r="S90" s="138"/>
      <c r="T90" s="132"/>
      <c r="U90" s="132"/>
      <c r="V90" s="315">
        <f>+'segSales&amp;comps'!E92</f>
        <v>186.16300000000001</v>
      </c>
      <c r="W90" s="132"/>
      <c r="X90" s="147">
        <f>V90/N90</f>
        <v>4.3803058823529417</v>
      </c>
      <c r="Y90" s="132"/>
      <c r="Z90" s="219">
        <f>(X90/X83-1)*100</f>
        <v>-10.610266952232195</v>
      </c>
      <c r="AA90" s="230"/>
      <c r="AB90" s="132"/>
      <c r="AC90" s="236">
        <f>Stores!G108</f>
        <v>0.37422499999999997</v>
      </c>
      <c r="AD90" s="238"/>
      <c r="AE90" s="254">
        <f>AVERAGE(AC90,AC89)</f>
        <v>0.36883749999999998</v>
      </c>
      <c r="AF90" s="132"/>
      <c r="AG90" s="145">
        <f>(AE90/AE83-1)*100</f>
        <v>9.0993122827774719</v>
      </c>
      <c r="AH90" s="230"/>
      <c r="AI90" s="259">
        <f>+J90/AG90*100</f>
        <v>29.419564430275376</v>
      </c>
      <c r="AJ90" s="138"/>
      <c r="AK90" s="132"/>
      <c r="AL90" s="142">
        <f>+V90</f>
        <v>186.16300000000001</v>
      </c>
      <c r="AM90" s="132"/>
      <c r="AN90" s="245">
        <f>AL90/AE90</f>
        <v>504.7290473446979</v>
      </c>
      <c r="AO90" s="132"/>
      <c r="AP90" s="151">
        <f>(AN90/AN83-1)*100</f>
        <v>-9.5530705235060349</v>
      </c>
      <c r="AQ90" s="230"/>
      <c r="AR90" s="230"/>
      <c r="AS90" s="132"/>
      <c r="AT90" s="132"/>
      <c r="AU90" s="132"/>
      <c r="AV90" s="132"/>
      <c r="AW90" s="132"/>
      <c r="AX90" s="132"/>
      <c r="AY90" s="132"/>
      <c r="AZ90" s="132"/>
      <c r="BA90" s="132"/>
      <c r="BB90" s="132"/>
      <c r="BC90" s="132"/>
      <c r="BD90" s="132"/>
      <c r="BE90" s="132"/>
      <c r="BF90" s="132"/>
      <c r="BG90" s="132"/>
      <c r="BH90" s="132"/>
      <c r="BI90" s="132"/>
      <c r="BJ90" s="132"/>
      <c r="BK90" s="132"/>
      <c r="BL90" s="132"/>
      <c r="BM90" s="132"/>
      <c r="BN90" s="132"/>
      <c r="BO90" s="1592"/>
      <c r="BP90" s="1492"/>
    </row>
    <row r="91" spans="1:68" hidden="1" outlineLevel="1">
      <c r="A91" s="132" t="str">
        <f>$A$42</f>
        <v>3Q</v>
      </c>
      <c r="B91" s="174" t="str">
        <f>$B$42</f>
        <v>Oct</v>
      </c>
      <c r="C91" s="132"/>
      <c r="D91" s="145">
        <f>(V91/V84-1)*100</f>
        <v>-16.612013467718047</v>
      </c>
      <c r="E91" s="132"/>
      <c r="F91" s="217"/>
      <c r="G91" s="132"/>
      <c r="H91" s="2085">
        <f>+'segSales&amp;comps'!G93</f>
        <v>-19</v>
      </c>
      <c r="I91" s="132"/>
      <c r="J91" s="145">
        <f>D91-H91</f>
        <v>2.3879865322819533</v>
      </c>
      <c r="K91" s="132"/>
      <c r="L91" s="725">
        <f>+Stores!D109</f>
        <v>44</v>
      </c>
      <c r="M91" s="238"/>
      <c r="N91" s="177">
        <f>AVERAGE(L91,L90)</f>
        <v>43.5</v>
      </c>
      <c r="O91" s="132"/>
      <c r="P91" s="145">
        <f>(N91/N84-1)*100</f>
        <v>10.126582278481022</v>
      </c>
      <c r="Q91" s="230"/>
      <c r="R91" s="259">
        <f>J91/P91*100</f>
        <v>23.581367006284268</v>
      </c>
      <c r="S91" s="138"/>
      <c r="T91" s="132"/>
      <c r="U91" s="132"/>
      <c r="V91" s="315">
        <f>+'segSales&amp;comps'!E93</f>
        <v>152.06800000000001</v>
      </c>
      <c r="W91" s="132"/>
      <c r="X91" s="147">
        <f>V91/N91</f>
        <v>3.4958160919540231</v>
      </c>
      <c r="Y91" s="132"/>
      <c r="Z91" s="219">
        <f>(X91/X84-1)*100</f>
        <v>-24.279874298272709</v>
      </c>
      <c r="AA91" s="230"/>
      <c r="AB91" s="132"/>
      <c r="AC91" s="236">
        <f>Stores!G109</f>
        <v>0.38499999999999995</v>
      </c>
      <c r="AD91" s="238"/>
      <c r="AE91" s="254">
        <f>AVERAGE(AC91,AC90)</f>
        <v>0.37961249999999996</v>
      </c>
      <c r="AF91" s="132"/>
      <c r="AG91" s="145">
        <f>(AE91/AE84-1)*100</f>
        <v>9.929052341996659</v>
      </c>
      <c r="AH91" s="230"/>
      <c r="AI91" s="259">
        <f>+J91/AG91*100</f>
        <v>24.050497973321662</v>
      </c>
      <c r="AJ91" s="138"/>
      <c r="AK91" s="132"/>
      <c r="AL91" s="142">
        <f>+V91</f>
        <v>152.06800000000001</v>
      </c>
      <c r="AM91" s="132"/>
      <c r="AN91" s="245">
        <f>AL91/AE91</f>
        <v>400.58744114063688</v>
      </c>
      <c r="AO91" s="132"/>
      <c r="AP91" s="920">
        <f>(AN91/AN84-1)*100</f>
        <v>-24.143813891111943</v>
      </c>
      <c r="AQ91" s="230"/>
      <c r="AR91" s="230"/>
      <c r="AS91" s="132"/>
      <c r="AT91" s="132"/>
      <c r="AU91" s="132"/>
      <c r="AV91" s="132"/>
      <c r="AW91" s="132"/>
      <c r="AX91" s="132"/>
      <c r="AY91" s="132"/>
      <c r="AZ91" s="132"/>
      <c r="BA91" s="132"/>
      <c r="BB91" s="132"/>
      <c r="BC91" s="132"/>
      <c r="BD91" s="132"/>
      <c r="BE91" s="132"/>
      <c r="BF91" s="132"/>
      <c r="BG91" s="132"/>
      <c r="BH91" s="132"/>
      <c r="BI91" s="132"/>
      <c r="BJ91" s="132"/>
      <c r="BK91" s="132"/>
      <c r="BL91" s="132"/>
      <c r="BM91" s="132"/>
      <c r="BN91" s="132"/>
      <c r="BO91" s="1592"/>
      <c r="BP91" s="1492"/>
    </row>
    <row r="92" spans="1:68" hidden="1" outlineLevel="1">
      <c r="A92" s="132" t="str">
        <f>$A$43</f>
        <v>4Q</v>
      </c>
      <c r="B92" s="174" t="str">
        <f>$B$43</f>
        <v>Jan</v>
      </c>
      <c r="C92" s="132"/>
      <c r="D92" s="176">
        <f>(V92/V85-1)*100</f>
        <v>-0.98620880680361234</v>
      </c>
      <c r="E92" s="132"/>
      <c r="F92" s="218"/>
      <c r="G92" s="132"/>
      <c r="H92" s="2090">
        <f>+'segSales&amp;comps'!G94</f>
        <v>-3</v>
      </c>
      <c r="I92" s="132"/>
      <c r="J92" s="176">
        <f>D92-H92</f>
        <v>2.0137911931963877</v>
      </c>
      <c r="K92" s="132"/>
      <c r="L92" s="917">
        <f>+Stores!D110</f>
        <v>44</v>
      </c>
      <c r="M92" s="139"/>
      <c r="N92" s="178">
        <f>AVERAGE(L92,L91)</f>
        <v>44</v>
      </c>
      <c r="O92" s="132"/>
      <c r="P92" s="176">
        <f>(N92/N85-1)*100</f>
        <v>7.3170731707317138</v>
      </c>
      <c r="Q92" s="230"/>
      <c r="R92" s="178">
        <f>J92/P92*100</f>
        <v>27.521812973683939</v>
      </c>
      <c r="S92" s="138"/>
      <c r="T92" s="132"/>
      <c r="U92" s="132"/>
      <c r="V92" s="316">
        <f>+'segSales&amp;comps'!E94</f>
        <v>289.54899999999998</v>
      </c>
      <c r="W92" s="132"/>
      <c r="X92" s="148">
        <f>V92/N92</f>
        <v>6.5806590909090907</v>
      </c>
      <c r="Y92" s="132"/>
      <c r="Z92" s="218">
        <f>(X92/X85-1)*100</f>
        <v>-7.7371491154306309</v>
      </c>
      <c r="AA92" s="230"/>
      <c r="AB92" s="132"/>
      <c r="AC92" s="236">
        <f>Stores!G110</f>
        <v>0.38499999999999995</v>
      </c>
      <c r="AD92" s="139"/>
      <c r="AE92" s="255">
        <f>AVERAGE(AC92,AC91)</f>
        <v>0.38499999999999995</v>
      </c>
      <c r="AF92" s="132"/>
      <c r="AG92" s="176">
        <f>(AE92/AE85-1)*100</f>
        <v>8.0853453116226817</v>
      </c>
      <c r="AH92" s="230"/>
      <c r="AI92" s="178">
        <f>+J92/AG92*100</f>
        <v>24.906681354741441</v>
      </c>
      <c r="AJ92" s="138"/>
      <c r="AK92" s="132"/>
      <c r="AL92" s="146">
        <f>+V92</f>
        <v>289.54899999999998</v>
      </c>
      <c r="AM92" s="132"/>
      <c r="AN92" s="257">
        <f>AL92/AE92</f>
        <v>752.07532467532474</v>
      </c>
      <c r="AO92" s="132"/>
      <c r="AP92" s="921">
        <f>(AN92/AN85-1)*100</f>
        <v>-8.3929547454115401</v>
      </c>
      <c r="AQ92" s="230"/>
      <c r="AR92" s="230"/>
      <c r="AS92" s="132"/>
      <c r="AT92" s="132"/>
      <c r="AU92" s="132"/>
      <c r="AV92" s="132"/>
      <c r="AW92" s="132"/>
      <c r="AX92" s="132"/>
      <c r="AY92" s="132"/>
      <c r="AZ92" s="132"/>
      <c r="BA92" s="132"/>
      <c r="BB92" s="132"/>
      <c r="BC92" s="132"/>
      <c r="BD92" s="132"/>
      <c r="BE92" s="132"/>
      <c r="BF92" s="132"/>
      <c r="BG92" s="132"/>
      <c r="BH92" s="132"/>
      <c r="BI92" s="132"/>
      <c r="BJ92" s="132"/>
      <c r="BK92" s="132"/>
      <c r="BL92" s="132"/>
      <c r="BM92" s="132"/>
      <c r="BN92" s="132"/>
      <c r="BO92" s="1592"/>
      <c r="BP92" s="1492"/>
    </row>
    <row r="93" spans="1:68" hidden="1" outlineLevel="1">
      <c r="A93" s="132"/>
      <c r="B93" s="174" t="str">
        <f>$B$44</f>
        <v>Year</v>
      </c>
      <c r="C93" s="132"/>
      <c r="D93" s="145">
        <f>(V93/V86-1)*100</f>
        <v>-5.5722311367572335</v>
      </c>
      <c r="E93" s="132"/>
      <c r="F93" s="217"/>
      <c r="G93" s="132"/>
      <c r="H93" s="2085">
        <f>+'segSales&amp;comps'!G95</f>
        <v>-8</v>
      </c>
      <c r="I93" s="132"/>
      <c r="J93" s="145">
        <f>D93-H93</f>
        <v>2.4277688632427665</v>
      </c>
      <c r="K93" s="132"/>
      <c r="L93" s="923">
        <f>L92</f>
        <v>44</v>
      </c>
      <c r="M93" s="132"/>
      <c r="N93" s="177">
        <f>AVERAGE(N89:N92)</f>
        <v>43</v>
      </c>
      <c r="O93" s="132"/>
      <c r="P93" s="145">
        <f>(N93/N86-1)*100</f>
        <v>9.554140127388532</v>
      </c>
      <c r="Q93" s="230"/>
      <c r="R93" s="259">
        <f>J93/P93*100</f>
        <v>25.410647435274296</v>
      </c>
      <c r="S93" s="138"/>
      <c r="T93" s="132"/>
      <c r="U93" s="132"/>
      <c r="V93" s="296">
        <f>SUM(V89:V92)</f>
        <v>786.79200000000003</v>
      </c>
      <c r="W93" s="132"/>
      <c r="X93" s="918">
        <f>V93/N93</f>
        <v>18.297488372093024</v>
      </c>
      <c r="Y93" s="132"/>
      <c r="Z93" s="219">
        <f>(X93/X86-1)*100</f>
        <v>-13.807210979481887</v>
      </c>
      <c r="AA93" s="230"/>
      <c r="AB93" s="132"/>
      <c r="AC93" s="132"/>
      <c r="AD93" s="132"/>
      <c r="AE93" s="254">
        <f>AVERAGE(AE89:AE92)</f>
        <v>0.37422499999999997</v>
      </c>
      <c r="AF93" s="132"/>
      <c r="AG93" s="145">
        <f>(AE93/AE86-1)*100</f>
        <v>8.9407226811251341</v>
      </c>
      <c r="AH93" s="230"/>
      <c r="AI93" s="259">
        <f>+J93/AG93*100</f>
        <v>27.154056219281447</v>
      </c>
      <c r="AJ93" s="138"/>
      <c r="AK93" s="132"/>
      <c r="AL93" s="141">
        <f>SUM(AL89:AL92)</f>
        <v>786.79200000000003</v>
      </c>
      <c r="AM93" s="132"/>
      <c r="AN93" s="919">
        <f>AL93/AE93</f>
        <v>2102.4570779611199</v>
      </c>
      <c r="AO93" s="132"/>
      <c r="AP93" s="920">
        <f>(AN93/AN86-1)*100</f>
        <v>-13.321881350431742</v>
      </c>
      <c r="AQ93" s="230"/>
      <c r="AR93" s="230"/>
      <c r="AS93" s="132"/>
      <c r="AT93" s="132"/>
      <c r="AU93" s="132"/>
      <c r="AV93" s="132"/>
      <c r="AW93" s="132"/>
      <c r="AX93" s="132"/>
      <c r="AY93" s="132"/>
      <c r="AZ93" s="132"/>
      <c r="BA93" s="132"/>
      <c r="BB93" s="132"/>
      <c r="BC93" s="132"/>
      <c r="BD93" s="132"/>
      <c r="BE93" s="132"/>
      <c r="BF93" s="132"/>
      <c r="BG93" s="132"/>
      <c r="BH93" s="132"/>
      <c r="BI93" s="132"/>
      <c r="BJ93" s="132"/>
      <c r="BK93" s="132"/>
      <c r="BL93" s="132"/>
      <c r="BM93" s="132"/>
      <c r="BN93" s="132"/>
      <c r="BO93" s="587"/>
      <c r="BP93" s="587"/>
    </row>
    <row r="94" spans="1:68" hidden="1" outlineLevel="1">
      <c r="A94" s="132"/>
      <c r="B94" s="174"/>
      <c r="C94" s="132"/>
      <c r="D94" s="132"/>
      <c r="E94" s="132"/>
      <c r="F94" s="132"/>
      <c r="G94" s="132"/>
      <c r="H94" s="2085"/>
      <c r="I94" s="132"/>
      <c r="J94" s="132"/>
      <c r="K94" s="132"/>
      <c r="L94" s="132"/>
      <c r="M94" s="132"/>
      <c r="N94" s="132"/>
      <c r="O94" s="132"/>
      <c r="P94" s="132"/>
      <c r="Q94" s="230"/>
      <c r="R94" s="132"/>
      <c r="S94" s="132"/>
      <c r="T94" s="132"/>
      <c r="U94" s="132"/>
      <c r="V94" s="132"/>
      <c r="W94" s="132"/>
      <c r="X94" s="132"/>
      <c r="Y94" s="132"/>
      <c r="Z94" s="132"/>
      <c r="AA94" s="132"/>
      <c r="AB94" s="132"/>
      <c r="AC94" s="132"/>
      <c r="AD94" s="132"/>
      <c r="AE94" s="132"/>
      <c r="AF94" s="132"/>
      <c r="AG94" s="132"/>
      <c r="AH94" s="230"/>
      <c r="AI94" s="132"/>
      <c r="AJ94" s="132"/>
      <c r="AK94" s="132"/>
      <c r="AL94" s="132"/>
      <c r="AM94" s="132"/>
      <c r="AN94" s="132"/>
      <c r="AO94" s="132"/>
      <c r="AP94" s="151"/>
      <c r="AQ94" s="132"/>
      <c r="AR94" s="132"/>
      <c r="AS94" s="132"/>
      <c r="AT94" s="132"/>
      <c r="AU94" s="132"/>
      <c r="AV94" s="132"/>
      <c r="AW94" s="132"/>
      <c r="AX94" s="132"/>
      <c r="AY94" s="132"/>
      <c r="AZ94" s="132"/>
      <c r="BA94" s="132"/>
      <c r="BB94" s="132"/>
      <c r="BC94" s="132"/>
      <c r="BD94" s="132"/>
      <c r="BE94" s="132"/>
      <c r="BF94" s="132"/>
      <c r="BG94" s="132"/>
      <c r="BH94" s="132"/>
      <c r="BI94" s="132"/>
      <c r="BJ94" s="132"/>
      <c r="BK94" s="132"/>
      <c r="BL94" s="132"/>
      <c r="BM94" s="132"/>
      <c r="BN94" s="132"/>
      <c r="BO94" s="587"/>
      <c r="BP94" s="587"/>
    </row>
    <row r="95" spans="1:68" hidden="1" outlineLevel="1">
      <c r="A95" s="169"/>
      <c r="B95" s="171">
        <v>2002</v>
      </c>
      <c r="C95" s="132"/>
      <c r="D95" s="132"/>
      <c r="E95" s="230"/>
      <c r="F95" s="132"/>
      <c r="G95" s="230"/>
      <c r="H95" s="2085"/>
      <c r="I95" s="230"/>
      <c r="J95" s="132"/>
      <c r="K95" s="230"/>
      <c r="L95" s="132"/>
      <c r="M95" s="132"/>
      <c r="N95" s="132"/>
      <c r="O95" s="132"/>
      <c r="P95" s="132"/>
      <c r="Q95" s="230"/>
      <c r="R95" s="138"/>
      <c r="S95" s="138"/>
      <c r="T95" s="132"/>
      <c r="U95" s="132"/>
      <c r="V95" s="132"/>
      <c r="W95" s="132"/>
      <c r="X95" s="132"/>
      <c r="Y95" s="132"/>
      <c r="Z95" s="132"/>
      <c r="AA95" s="230"/>
      <c r="AB95" s="132"/>
      <c r="AC95" s="132"/>
      <c r="AD95" s="132"/>
      <c r="AE95" s="132"/>
      <c r="AF95" s="132"/>
      <c r="AG95" s="132"/>
      <c r="AH95" s="230"/>
      <c r="AI95" s="138"/>
      <c r="AJ95" s="138"/>
      <c r="AK95" s="132"/>
      <c r="AL95" s="132"/>
      <c r="AM95" s="132"/>
      <c r="AN95" s="132"/>
      <c r="AO95" s="132"/>
      <c r="AP95" s="151"/>
      <c r="AQ95" s="230"/>
      <c r="AR95" s="230"/>
      <c r="AS95" s="132"/>
      <c r="AT95" s="132"/>
      <c r="AU95" s="132"/>
      <c r="AV95" s="132"/>
      <c r="AW95" s="132"/>
      <c r="AX95" s="132"/>
      <c r="AY95" s="132"/>
      <c r="AZ95" s="132"/>
      <c r="BA95" s="132"/>
      <c r="BB95" s="132"/>
      <c r="BC95" s="132"/>
      <c r="BD95" s="132"/>
      <c r="BE95" s="132"/>
      <c r="BF95" s="132"/>
      <c r="BG95" s="132"/>
      <c r="BH95" s="132"/>
      <c r="BI95" s="132"/>
      <c r="BJ95" s="132"/>
      <c r="BK95" s="132"/>
      <c r="BL95" s="132"/>
      <c r="BM95" s="132"/>
      <c r="BN95" s="132"/>
      <c r="BO95" s="587"/>
      <c r="BP95" s="587"/>
    </row>
    <row r="96" spans="1:68" hidden="1" outlineLevel="1">
      <c r="A96" s="132" t="str">
        <f>$A$40</f>
        <v>1Q</v>
      </c>
      <c r="B96" s="174" t="str">
        <f>$B$40</f>
        <v>Apr</v>
      </c>
      <c r="C96" s="132"/>
      <c r="D96" s="145">
        <f>(V96/V89-1)*100</f>
        <v>4.1871053756949106</v>
      </c>
      <c r="E96" s="230" t="s">
        <v>1970</v>
      </c>
      <c r="F96" s="217"/>
      <c r="G96" s="230"/>
      <c r="H96" s="2085">
        <f>+'segSales&amp;comps'!G98</f>
        <v>2</v>
      </c>
      <c r="I96" s="230" t="s">
        <v>1970</v>
      </c>
      <c r="J96" s="145">
        <f>D96-H96</f>
        <v>2.1871053756949106</v>
      </c>
      <c r="K96" s="230" t="s">
        <v>1970</v>
      </c>
      <c r="L96" s="725">
        <f>+Stores!D114</f>
        <v>44</v>
      </c>
      <c r="M96" s="132" t="s">
        <v>505</v>
      </c>
      <c r="N96" s="177">
        <f>AVERAGE(L96,L92)</f>
        <v>44</v>
      </c>
      <c r="O96" s="132"/>
      <c r="P96" s="145">
        <f>(N96/N89-1)*100</f>
        <v>4.7619047619047672</v>
      </c>
      <c r="Q96" s="230" t="s">
        <v>1970</v>
      </c>
      <c r="R96" s="259">
        <f>J96/P96*100</f>
        <v>45.929212889593074</v>
      </c>
      <c r="S96" s="138" t="s">
        <v>1970</v>
      </c>
      <c r="T96" s="132"/>
      <c r="U96" s="132"/>
      <c r="V96" s="296">
        <f>+'segSales&amp;comps'!E98</f>
        <v>165.67</v>
      </c>
      <c r="W96" s="132" t="s">
        <v>505</v>
      </c>
      <c r="X96" s="143">
        <f>V96/N96</f>
        <v>3.7652272727272726</v>
      </c>
      <c r="Y96" s="132"/>
      <c r="Z96" s="219">
        <f>(X96/X89-1)*100</f>
        <v>-0.54867214138213383</v>
      </c>
      <c r="AA96" s="230" t="s">
        <v>1970</v>
      </c>
      <c r="AB96" s="132"/>
      <c r="AC96" s="236">
        <f>Stores!G114</f>
        <v>0.38499999999999995</v>
      </c>
      <c r="AD96" s="132" t="s">
        <v>505</v>
      </c>
      <c r="AE96" s="254">
        <f>AVERAGE(AC96,AC92)</f>
        <v>0.38499999999999995</v>
      </c>
      <c r="AF96" s="132"/>
      <c r="AG96" s="145">
        <f>(AE96/AE89-1)*100</f>
        <v>5.9292887604897482</v>
      </c>
      <c r="AH96" s="230" t="s">
        <v>1970</v>
      </c>
      <c r="AI96" s="259">
        <f>+J96/AG96*100</f>
        <v>36.886470941824392</v>
      </c>
      <c r="AJ96" s="138" t="s">
        <v>1970</v>
      </c>
      <c r="AK96" s="132"/>
      <c r="AL96" s="141">
        <f>+V96</f>
        <v>165.67</v>
      </c>
      <c r="AM96" s="132" t="s">
        <v>505</v>
      </c>
      <c r="AN96" s="244">
        <f>AL96/AE96</f>
        <v>430.31168831168833</v>
      </c>
      <c r="AO96" s="132"/>
      <c r="AP96" s="151">
        <f>(AN96/AN89-1)*100</f>
        <v>-1.6446663667628036</v>
      </c>
      <c r="AQ96" s="230" t="s">
        <v>1970</v>
      </c>
      <c r="AR96" s="230"/>
      <c r="AS96" s="132"/>
      <c r="AT96" s="132"/>
      <c r="AU96" s="132"/>
      <c r="AV96" s="132"/>
      <c r="AW96" s="132"/>
      <c r="AX96" s="132"/>
      <c r="AY96" s="132"/>
      <c r="AZ96" s="132"/>
      <c r="BA96" s="132"/>
      <c r="BB96" s="132"/>
      <c r="BC96" s="132"/>
      <c r="BD96" s="132"/>
      <c r="BE96" s="132"/>
      <c r="BF96" s="132"/>
      <c r="BG96" s="132"/>
      <c r="BH96" s="132"/>
      <c r="BI96" s="132"/>
      <c r="BJ96" s="132"/>
      <c r="BK96" s="132"/>
      <c r="BL96" s="132"/>
      <c r="BM96" s="132"/>
      <c r="BN96" s="132"/>
      <c r="BO96" s="1592"/>
      <c r="BP96" s="1492"/>
    </row>
    <row r="97" spans="1:68" hidden="1" outlineLevel="1">
      <c r="A97" s="132" t="str">
        <f>$A$41</f>
        <v>2Q</v>
      </c>
      <c r="B97" s="174" t="str">
        <f>$B$41</f>
        <v>Jul</v>
      </c>
      <c r="C97" s="132"/>
      <c r="D97" s="145">
        <f>(V97/V90-1)*100</f>
        <v>0.56670767016000489</v>
      </c>
      <c r="E97" s="132"/>
      <c r="F97" s="217"/>
      <c r="G97" s="132"/>
      <c r="H97" s="2085">
        <f>+'segSales&amp;comps'!G99</f>
        <v>-2</v>
      </c>
      <c r="I97" s="132"/>
      <c r="J97" s="145">
        <f>D97-H97</f>
        <v>2.5667076701600049</v>
      </c>
      <c r="K97" s="132"/>
      <c r="L97" s="725">
        <f>+Stores!D115</f>
        <v>46</v>
      </c>
      <c r="M97" s="238"/>
      <c r="N97" s="177">
        <f>AVERAGE(L97,L96)</f>
        <v>45</v>
      </c>
      <c r="O97" s="132"/>
      <c r="P97" s="145">
        <f>(N97/N90-1)*100</f>
        <v>5.8823529411764719</v>
      </c>
      <c r="Q97" s="230"/>
      <c r="R97" s="259">
        <f>J97/P97*100</f>
        <v>43.634030392720078</v>
      </c>
      <c r="S97" s="138"/>
      <c r="T97" s="132"/>
      <c r="U97" s="132"/>
      <c r="V97" s="315">
        <f>+'segSales&amp;comps'!E99</f>
        <v>187.21799999999999</v>
      </c>
      <c r="W97" s="132"/>
      <c r="X97" s="147">
        <f>V97/N97</f>
        <v>4.1604000000000001</v>
      </c>
      <c r="Y97" s="132"/>
      <c r="Z97" s="219">
        <f>(X97/X90-1)*100</f>
        <v>-5.0203316448488744</v>
      </c>
      <c r="AA97" s="230"/>
      <c r="AB97" s="132"/>
      <c r="AC97" s="236">
        <f>Stores!G115</f>
        <v>0.40166666666666662</v>
      </c>
      <c r="AD97" s="238"/>
      <c r="AE97" s="254">
        <f>AVERAGE(AC97,AC96)</f>
        <v>0.39333333333333331</v>
      </c>
      <c r="AF97" s="132"/>
      <c r="AG97" s="145">
        <f>(AE97/AE90-1)*100</f>
        <v>6.6413619367155841</v>
      </c>
      <c r="AH97" s="230"/>
      <c r="AI97" s="259">
        <f>+J97/AG97*100</f>
        <v>38.647309010075475</v>
      </c>
      <c r="AJ97" s="138"/>
      <c r="AK97" s="132"/>
      <c r="AL97" s="142">
        <f>+V97</f>
        <v>187.21799999999999</v>
      </c>
      <c r="AM97" s="132"/>
      <c r="AN97" s="245">
        <f>AL97/AE97</f>
        <v>475.9779661016949</v>
      </c>
      <c r="AO97" s="132"/>
      <c r="AP97" s="151">
        <f>(AN97/AN90-1)*100</f>
        <v>-5.6963397280695549</v>
      </c>
      <c r="AQ97" s="230"/>
      <c r="AR97" s="230"/>
      <c r="AS97" s="132"/>
      <c r="AT97" s="132"/>
      <c r="AU97" s="132"/>
      <c r="AV97" s="132"/>
      <c r="AW97" s="132"/>
      <c r="AX97" s="132"/>
      <c r="AY97" s="132"/>
      <c r="AZ97" s="132"/>
      <c r="BA97" s="132"/>
      <c r="BB97" s="132"/>
      <c r="BC97" s="132"/>
      <c r="BD97" s="132"/>
      <c r="BE97" s="132"/>
      <c r="BF97" s="132"/>
      <c r="BG97" s="132"/>
      <c r="BH97" s="132"/>
      <c r="BI97" s="132"/>
      <c r="BJ97" s="132"/>
      <c r="BK97" s="132"/>
      <c r="BL97" s="132"/>
      <c r="BM97" s="132"/>
      <c r="BN97" s="132"/>
      <c r="BO97" s="1592"/>
      <c r="BP97" s="1492"/>
    </row>
    <row r="98" spans="1:68" hidden="1" outlineLevel="1">
      <c r="A98" s="132" t="str">
        <f>$A$42</f>
        <v>3Q</v>
      </c>
      <c r="B98" s="174" t="str">
        <f>$B$42</f>
        <v>Oct</v>
      </c>
      <c r="C98" s="132"/>
      <c r="D98" s="145">
        <f>(V98/V91-1)*100</f>
        <v>10.801088986506024</v>
      </c>
      <c r="E98" s="132"/>
      <c r="F98" s="217"/>
      <c r="G98" s="132"/>
      <c r="H98" s="2085">
        <f>+'segSales&amp;comps'!G100</f>
        <v>9</v>
      </c>
      <c r="I98" s="132"/>
      <c r="J98" s="145">
        <f>D98-H98</f>
        <v>1.8010889865060236</v>
      </c>
      <c r="K98" s="132"/>
      <c r="L98" s="725">
        <f>+Stores!D116</f>
        <v>48</v>
      </c>
      <c r="M98" s="238"/>
      <c r="N98" s="177">
        <f>AVERAGE(L98,L97)</f>
        <v>47</v>
      </c>
      <c r="O98" s="132"/>
      <c r="P98" s="145">
        <f>(N98/N91-1)*100</f>
        <v>8.045977011494255</v>
      </c>
      <c r="Q98" s="230"/>
      <c r="R98" s="259">
        <f>J98/P98*100</f>
        <v>22.38496311800343</v>
      </c>
      <c r="S98" s="138"/>
      <c r="T98" s="132"/>
      <c r="U98" s="132"/>
      <c r="V98" s="315">
        <f>+'segSales&amp;comps'!E100</f>
        <v>168.49299999999999</v>
      </c>
      <c r="W98" s="132"/>
      <c r="X98" s="147">
        <f>V98/N98</f>
        <v>3.5849574468085104</v>
      </c>
      <c r="Y98" s="132"/>
      <c r="Z98" s="219">
        <f>(X98/X91-1)*100</f>
        <v>2.5499440619789704</v>
      </c>
      <c r="AA98" s="230"/>
      <c r="AB98" s="132"/>
      <c r="AC98" s="236">
        <f>Stores!G116</f>
        <v>0.41833333333333328</v>
      </c>
      <c r="AD98" s="238"/>
      <c r="AE98" s="254">
        <f>AVERAGE(AC98,AC97)</f>
        <v>0.40999999999999992</v>
      </c>
      <c r="AF98" s="132"/>
      <c r="AG98" s="145">
        <f>(AE98/AE91-1)*100</f>
        <v>8.0048733906285854</v>
      </c>
      <c r="AH98" s="230"/>
      <c r="AI98" s="259">
        <f>+J98/AG98*100</f>
        <v>22.499905977458472</v>
      </c>
      <c r="AJ98" s="138"/>
      <c r="AK98" s="132"/>
      <c r="AL98" s="142">
        <f>+V98</f>
        <v>168.49299999999999</v>
      </c>
      <c r="AM98" s="132"/>
      <c r="AN98" s="245">
        <f>AL98/AE98</f>
        <v>410.95853658536595</v>
      </c>
      <c r="AO98" s="132"/>
      <c r="AP98" s="920">
        <f>(AN98/AN91-1)*100</f>
        <v>2.5889716899756721</v>
      </c>
      <c r="AQ98" s="230"/>
      <c r="AR98" s="230"/>
      <c r="AS98" s="132"/>
      <c r="AT98" s="132"/>
      <c r="AU98" s="132"/>
      <c r="AV98" s="132"/>
      <c r="AW98" s="132"/>
      <c r="AX98" s="132"/>
      <c r="AY98" s="132"/>
      <c r="AZ98" s="132"/>
      <c r="BA98" s="132"/>
      <c r="BB98" s="132"/>
      <c r="BC98" s="132"/>
      <c r="BD98" s="132"/>
      <c r="BE98" s="132"/>
      <c r="BF98" s="132"/>
      <c r="BG98" s="132"/>
      <c r="BH98" s="132"/>
      <c r="BI98" s="132"/>
      <c r="BJ98" s="132"/>
      <c r="BK98" s="132"/>
      <c r="BL98" s="132"/>
      <c r="BM98" s="132"/>
      <c r="BN98" s="132"/>
      <c r="BO98" s="1592"/>
      <c r="BP98" s="1492"/>
    </row>
    <row r="99" spans="1:68" hidden="1" outlineLevel="1">
      <c r="A99" s="132" t="str">
        <f>$A$43</f>
        <v>4Q</v>
      </c>
      <c r="B99" s="174" t="str">
        <f>$B$43</f>
        <v>Jan</v>
      </c>
      <c r="C99" s="132"/>
      <c r="D99" s="176">
        <f>(V99/V92-1)*100</f>
        <v>3.0682198867894694</v>
      </c>
      <c r="E99" s="132"/>
      <c r="F99" s="218"/>
      <c r="G99" s="132"/>
      <c r="H99" s="2090">
        <f>+'segSales&amp;comps'!G101</f>
        <v>0</v>
      </c>
      <c r="I99" s="132"/>
      <c r="J99" s="176">
        <f>D99-H99</f>
        <v>3.0682198867894694</v>
      </c>
      <c r="K99" s="132"/>
      <c r="L99" s="917">
        <f>+Stores!D117</f>
        <v>47</v>
      </c>
      <c r="M99" s="139"/>
      <c r="N99" s="178">
        <f>AVERAGE(L99,L98)</f>
        <v>47.5</v>
      </c>
      <c r="O99" s="132"/>
      <c r="P99" s="176">
        <f>(N99/N92-1)*100</f>
        <v>7.9545454545454586</v>
      </c>
      <c r="Q99" s="230"/>
      <c r="R99" s="178">
        <f>J99/P99*100</f>
        <v>38.571907148210457</v>
      </c>
      <c r="S99" s="138"/>
      <c r="T99" s="132"/>
      <c r="U99" s="132"/>
      <c r="V99" s="316">
        <f>+'segSales&amp;comps'!E101</f>
        <v>298.43299999999999</v>
      </c>
      <c r="W99" s="139"/>
      <c r="X99" s="148">
        <f>V99/N99</f>
        <v>6.2827999999999999</v>
      </c>
      <c r="Y99" s="132"/>
      <c r="Z99" s="218">
        <f>(X99/X92-1)*100</f>
        <v>-4.5262805259213446</v>
      </c>
      <c r="AA99" s="230"/>
      <c r="AB99" s="132"/>
      <c r="AC99" s="236">
        <f>Stores!G117</f>
        <v>0.41</v>
      </c>
      <c r="AD99" s="139"/>
      <c r="AE99" s="255">
        <f>AVERAGE(AC99,AC98)</f>
        <v>0.41416666666666663</v>
      </c>
      <c r="AF99" s="132"/>
      <c r="AG99" s="176">
        <f>(AE99/AE92-1)*100</f>
        <v>7.575757575757569</v>
      </c>
      <c r="AH99" s="230"/>
      <c r="AI99" s="178">
        <f>+J99/AG99*100</f>
        <v>40.500502505621036</v>
      </c>
      <c r="AJ99" s="138"/>
      <c r="AK99" s="132"/>
      <c r="AL99" s="146">
        <f>+V99</f>
        <v>298.43299999999999</v>
      </c>
      <c r="AM99" s="132"/>
      <c r="AN99" s="257">
        <f>AL99/AE99</f>
        <v>720.56257545271637</v>
      </c>
      <c r="AO99" s="132"/>
      <c r="AP99" s="921">
        <f>(AN99/AN92-1)*100</f>
        <v>-4.1901054573506453</v>
      </c>
      <c r="AQ99" s="230"/>
      <c r="AR99" s="230"/>
      <c r="AS99" s="132"/>
      <c r="AT99" s="132"/>
      <c r="AU99" s="132"/>
      <c r="AV99" s="132"/>
      <c r="AW99" s="132"/>
      <c r="AX99" s="132"/>
      <c r="AY99" s="132"/>
      <c r="AZ99" s="132"/>
      <c r="BA99" s="132"/>
      <c r="BB99" s="132"/>
      <c r="BC99" s="132"/>
      <c r="BD99" s="132"/>
      <c r="BE99" s="132"/>
      <c r="BF99" s="132"/>
      <c r="BG99" s="132"/>
      <c r="BH99" s="132"/>
      <c r="BI99" s="132"/>
      <c r="BJ99" s="132"/>
      <c r="BK99" s="132"/>
      <c r="BL99" s="132"/>
      <c r="BM99" s="132"/>
      <c r="BN99" s="132"/>
      <c r="BO99" s="1592"/>
      <c r="BP99" s="1492"/>
    </row>
    <row r="100" spans="1:68" hidden="1" outlineLevel="1">
      <c r="A100" s="132"/>
      <c r="B100" s="174" t="str">
        <f>$B$44</f>
        <v>Year</v>
      </c>
      <c r="C100" s="132"/>
      <c r="D100" s="145">
        <f>(V100/V93-1)*100</f>
        <v>4.1970431829505106</v>
      </c>
      <c r="E100" s="132"/>
      <c r="F100" s="217"/>
      <c r="G100" s="132"/>
      <c r="H100" s="2085">
        <f>+'segSales&amp;comps'!G102</f>
        <v>2</v>
      </c>
      <c r="I100" s="132"/>
      <c r="J100" s="145">
        <f>D100-H100</f>
        <v>2.1970431829505106</v>
      </c>
      <c r="K100" s="132"/>
      <c r="L100" s="923">
        <f>L99</f>
        <v>47</v>
      </c>
      <c r="M100" s="132"/>
      <c r="N100" s="177">
        <f>AVERAGE(N96:N99)</f>
        <v>45.875</v>
      </c>
      <c r="O100" s="132"/>
      <c r="P100" s="145">
        <f>(N100/N93-1)*100</f>
        <v>6.6860465116278966</v>
      </c>
      <c r="Q100" s="230"/>
      <c r="R100" s="259">
        <f>J100/P100*100</f>
        <v>32.860124127607691</v>
      </c>
      <c r="S100" s="138"/>
      <c r="T100" s="132"/>
      <c r="U100" s="132"/>
      <c r="V100" s="296">
        <f>SUM(V96:V99)</f>
        <v>819.81399999999996</v>
      </c>
      <c r="W100" s="132"/>
      <c r="X100" s="918">
        <f>V100/N100</f>
        <v>17.870604904632152</v>
      </c>
      <c r="Y100" s="132"/>
      <c r="Z100" s="219">
        <f>(X100/X93-1)*100</f>
        <v>-2.33301674404639</v>
      </c>
      <c r="AA100" s="230"/>
      <c r="AB100" s="132"/>
      <c r="AC100" s="132"/>
      <c r="AD100" s="132"/>
      <c r="AE100" s="254">
        <f>AVERAGE(AE96:AE99)</f>
        <v>0.40062499999999995</v>
      </c>
      <c r="AF100" s="132"/>
      <c r="AG100" s="145">
        <f>(AE100/AE93-1)*100</f>
        <v>7.0545794642260518</v>
      </c>
      <c r="AH100" s="230"/>
      <c r="AI100" s="259">
        <f>+J100/AG100*100</f>
        <v>31.143503224986997</v>
      </c>
      <c r="AJ100" s="138"/>
      <c r="AK100" s="132"/>
      <c r="AL100" s="141">
        <f>SUM(AL96:AL99)</f>
        <v>819.81399999999996</v>
      </c>
      <c r="AM100" s="132"/>
      <c r="AN100" s="919">
        <f>AL100/AE100</f>
        <v>2046.3375975039003</v>
      </c>
      <c r="AO100" s="132"/>
      <c r="AP100" s="920">
        <f>(AN100/AN93-1)*100</f>
        <v>-2.6692331104158473</v>
      </c>
      <c r="AQ100" s="230"/>
      <c r="AR100" s="230"/>
      <c r="AS100" s="132"/>
      <c r="AT100" s="132"/>
      <c r="AU100" s="132"/>
      <c r="AV100" s="132"/>
      <c r="AW100" s="132"/>
      <c r="AX100" s="132"/>
      <c r="AY100" s="132"/>
      <c r="AZ100" s="132"/>
      <c r="BA100" s="132"/>
      <c r="BB100" s="132"/>
      <c r="BC100" s="132"/>
      <c r="BD100" s="132"/>
      <c r="BE100" s="132"/>
      <c r="BF100" s="132"/>
      <c r="BG100" s="132"/>
      <c r="BH100" s="132"/>
      <c r="BI100" s="132"/>
      <c r="BJ100" s="132"/>
      <c r="BK100" s="132"/>
      <c r="BL100" s="132"/>
      <c r="BM100" s="132"/>
      <c r="BN100" s="132"/>
      <c r="BO100" s="587"/>
      <c r="BP100" s="587"/>
    </row>
    <row r="101" spans="1:68" hidden="1" outlineLevel="1">
      <c r="A101" s="132"/>
      <c r="B101" s="174"/>
      <c r="C101" s="132"/>
      <c r="D101" s="132"/>
      <c r="E101" s="132"/>
      <c r="F101" s="132"/>
      <c r="G101" s="132"/>
      <c r="H101" s="2085"/>
      <c r="I101" s="132"/>
      <c r="J101" s="132"/>
      <c r="K101" s="132"/>
      <c r="L101" s="132"/>
      <c r="M101" s="132"/>
      <c r="N101" s="132"/>
      <c r="O101" s="132"/>
      <c r="P101" s="132"/>
      <c r="Q101" s="230"/>
      <c r="R101" s="132"/>
      <c r="S101" s="132"/>
      <c r="T101" s="132"/>
      <c r="U101" s="132"/>
      <c r="V101" s="132"/>
      <c r="W101" s="132"/>
      <c r="X101" s="132"/>
      <c r="Y101" s="132"/>
      <c r="Z101" s="132"/>
      <c r="AA101" s="132"/>
      <c r="AB101" s="132"/>
      <c r="AC101" s="132"/>
      <c r="AD101" s="132"/>
      <c r="AE101" s="132"/>
      <c r="AF101" s="132"/>
      <c r="AG101" s="132"/>
      <c r="AH101" s="230"/>
      <c r="AI101" s="132"/>
      <c r="AJ101" s="132"/>
      <c r="AK101" s="132"/>
      <c r="AL101" s="132"/>
      <c r="AM101" s="132"/>
      <c r="AN101" s="132"/>
      <c r="AO101" s="132"/>
      <c r="AP101" s="151"/>
      <c r="AQ101" s="132"/>
      <c r="AR101" s="132"/>
      <c r="AS101" s="132"/>
      <c r="AT101" s="132"/>
      <c r="AU101" s="132"/>
      <c r="AV101" s="132"/>
      <c r="AW101" s="132"/>
      <c r="AX101" s="132"/>
      <c r="AY101" s="132"/>
      <c r="AZ101" s="132"/>
      <c r="BA101" s="132"/>
      <c r="BB101" s="132"/>
      <c r="BC101" s="132"/>
      <c r="BD101" s="132"/>
      <c r="BE101" s="132"/>
      <c r="BF101" s="132"/>
      <c r="BG101" s="132"/>
      <c r="BH101" s="132"/>
      <c r="BI101" s="132"/>
      <c r="BJ101" s="132"/>
      <c r="BK101" s="132"/>
      <c r="BL101" s="132"/>
      <c r="BM101" s="132"/>
      <c r="BN101" s="132"/>
      <c r="BO101" s="587"/>
      <c r="BP101" s="587"/>
    </row>
    <row r="102" spans="1:68" hidden="1" outlineLevel="1">
      <c r="A102" s="169"/>
      <c r="B102" s="171">
        <v>2003</v>
      </c>
      <c r="C102" s="132"/>
      <c r="D102" s="132"/>
      <c r="E102" s="230"/>
      <c r="F102" s="132"/>
      <c r="G102" s="230"/>
      <c r="H102" s="2085"/>
      <c r="I102" s="230"/>
      <c r="J102" s="132"/>
      <c r="K102" s="230"/>
      <c r="L102" s="704"/>
      <c r="M102" s="132"/>
      <c r="N102" s="132"/>
      <c r="O102" s="132"/>
      <c r="P102" s="132"/>
      <c r="Q102" s="230"/>
      <c r="R102" s="138"/>
      <c r="S102" s="138"/>
      <c r="T102" s="132"/>
      <c r="U102" s="132"/>
      <c r="V102" s="132"/>
      <c r="W102" s="132"/>
      <c r="X102" s="132"/>
      <c r="Y102" s="132"/>
      <c r="Z102" s="132"/>
      <c r="AA102" s="230"/>
      <c r="AB102" s="132"/>
      <c r="AC102" s="132"/>
      <c r="AD102" s="132"/>
      <c r="AE102" s="132"/>
      <c r="AF102" s="132"/>
      <c r="AG102" s="132"/>
      <c r="AH102" s="230"/>
      <c r="AI102" s="138"/>
      <c r="AJ102" s="138"/>
      <c r="AK102" s="132"/>
      <c r="AL102" s="132"/>
      <c r="AM102" s="132"/>
      <c r="AN102" s="132"/>
      <c r="AO102" s="132"/>
      <c r="AP102" s="151"/>
      <c r="AQ102" s="230"/>
      <c r="AR102" s="230"/>
      <c r="AS102" s="132"/>
      <c r="AT102" s="132"/>
      <c r="AU102" s="132"/>
      <c r="AV102" s="132"/>
      <c r="AW102" s="132"/>
      <c r="AX102" s="132"/>
      <c r="AY102" s="132"/>
      <c r="AZ102" s="132"/>
      <c r="BA102" s="132"/>
      <c r="BB102" s="132"/>
      <c r="BC102" s="132"/>
      <c r="BD102" s="132"/>
      <c r="BE102" s="132"/>
      <c r="BF102" s="132"/>
      <c r="BG102" s="132"/>
      <c r="BH102" s="132"/>
      <c r="BI102" s="132"/>
      <c r="BJ102" s="132"/>
      <c r="BK102" s="132"/>
      <c r="BL102" s="132"/>
      <c r="BM102" s="132"/>
      <c r="BN102" s="132"/>
      <c r="BO102" s="587"/>
      <c r="BP102" s="587"/>
    </row>
    <row r="103" spans="1:68" hidden="1" outlineLevel="1">
      <c r="A103" s="132" t="str">
        <f>$A$40</f>
        <v>1Q</v>
      </c>
      <c r="B103" s="174" t="str">
        <f>$B$40</f>
        <v>Apr</v>
      </c>
      <c r="C103" s="132"/>
      <c r="D103" s="145">
        <f>(V103/V96-1)*100</f>
        <v>4.7781734773948425</v>
      </c>
      <c r="E103" s="230" t="s">
        <v>1970</v>
      </c>
      <c r="F103" s="217"/>
      <c r="G103" s="230"/>
      <c r="H103" s="2085">
        <f>+'segSales&amp;comps'!G105</f>
        <v>2</v>
      </c>
      <c r="I103" s="230" t="s">
        <v>1970</v>
      </c>
      <c r="J103" s="145">
        <f>D103-H103</f>
        <v>2.7781734773948425</v>
      </c>
      <c r="K103" s="230" t="s">
        <v>1970</v>
      </c>
      <c r="L103" s="725">
        <f>+Stores!D121</f>
        <v>49</v>
      </c>
      <c r="M103" s="132" t="s">
        <v>505</v>
      </c>
      <c r="N103" s="177">
        <f>AVERAGE(L103,L99)</f>
        <v>48</v>
      </c>
      <c r="O103" s="132"/>
      <c r="P103" s="145">
        <f>(N103/N96-1)*100</f>
        <v>9.0909090909090828</v>
      </c>
      <c r="Q103" s="230" t="s">
        <v>1970</v>
      </c>
      <c r="R103" s="259">
        <f>J103/P103*100</f>
        <v>30.559908251343295</v>
      </c>
      <c r="S103" s="138" t="s">
        <v>1970</v>
      </c>
      <c r="T103" s="132"/>
      <c r="U103" s="132"/>
      <c r="V103" s="296">
        <f>+'segSales&amp;comps'!E105</f>
        <v>173.58600000000001</v>
      </c>
      <c r="W103" s="139"/>
      <c r="X103" s="143">
        <f>V103/N103</f>
        <v>3.6163750000000001</v>
      </c>
      <c r="Y103" s="132"/>
      <c r="Z103" s="219">
        <f>(X103/X96-1)*100</f>
        <v>-3.9533409790547425</v>
      </c>
      <c r="AA103" s="230" t="s">
        <v>1970</v>
      </c>
      <c r="AB103" s="132"/>
      <c r="AC103" s="236">
        <f>Stores!G121</f>
        <v>0.41699999999999998</v>
      </c>
      <c r="AD103" s="132" t="s">
        <v>505</v>
      </c>
      <c r="AE103" s="254">
        <f>AVERAGE(AC103,AC99)</f>
        <v>0.41349999999999998</v>
      </c>
      <c r="AF103" s="132"/>
      <c r="AG103" s="145">
        <f>(AE103/AE96-1)*100</f>
        <v>7.4025974025974106</v>
      </c>
      <c r="AH103" s="230" t="s">
        <v>1970</v>
      </c>
      <c r="AI103" s="259">
        <f>+J103/AG103*100</f>
        <v>37.529711887614496</v>
      </c>
      <c r="AJ103" s="138" t="s">
        <v>1970</v>
      </c>
      <c r="AK103" s="132"/>
      <c r="AL103" s="141">
        <f>+V103</f>
        <v>173.58600000000001</v>
      </c>
      <c r="AM103" s="132" t="s">
        <v>505</v>
      </c>
      <c r="AN103" s="244">
        <f>AL103/AE103</f>
        <v>419.79685610640877</v>
      </c>
      <c r="AO103" s="132"/>
      <c r="AP103" s="151">
        <f>(AN103/AN96-1)*100</f>
        <v>-2.4435386002490733</v>
      </c>
      <c r="AQ103" s="230" t="s">
        <v>1970</v>
      </c>
      <c r="AR103" s="230"/>
      <c r="AS103" s="132"/>
      <c r="AT103" s="132"/>
      <c r="AU103" s="132"/>
      <c r="AV103" s="132"/>
      <c r="AW103" s="132"/>
      <c r="AX103" s="132"/>
      <c r="AY103" s="132"/>
      <c r="AZ103" s="132"/>
      <c r="BA103" s="132"/>
      <c r="BB103" s="132"/>
      <c r="BC103" s="132"/>
      <c r="BD103" s="132"/>
      <c r="BE103" s="132"/>
      <c r="BF103" s="132"/>
      <c r="BG103" s="132"/>
      <c r="BH103" s="132"/>
      <c r="BI103" s="132"/>
      <c r="BJ103" s="132"/>
      <c r="BK103" s="132"/>
      <c r="BL103" s="132"/>
      <c r="BM103" s="132"/>
      <c r="BN103" s="132"/>
      <c r="BO103" s="1592"/>
      <c r="BP103" s="1492"/>
    </row>
    <row r="104" spans="1:68" hidden="1" outlineLevel="1">
      <c r="A104" s="132" t="str">
        <f>$A$41</f>
        <v>2Q</v>
      </c>
      <c r="B104" s="174" t="str">
        <f>$B$41</f>
        <v>Jul</v>
      </c>
      <c r="C104" s="132"/>
      <c r="D104" s="145">
        <f>(V104/V97-1)*100</f>
        <v>13.79034067237126</v>
      </c>
      <c r="E104" s="132"/>
      <c r="F104" s="217"/>
      <c r="G104" s="132"/>
      <c r="H104" s="2085">
        <f>+'segSales&amp;comps'!G106</f>
        <v>9</v>
      </c>
      <c r="I104" s="132"/>
      <c r="J104" s="145">
        <f>D104-H104</f>
        <v>4.7903406723712596</v>
      </c>
      <c r="K104" s="132"/>
      <c r="L104" s="725">
        <f>+Stores!D122</f>
        <v>50</v>
      </c>
      <c r="M104" s="132" t="s">
        <v>505</v>
      </c>
      <c r="N104" s="177">
        <f>AVERAGE(L104,L103)</f>
        <v>49.5</v>
      </c>
      <c r="O104" s="132"/>
      <c r="P104" s="145">
        <f>(N104/N97-1)*100</f>
        <v>10.000000000000009</v>
      </c>
      <c r="Q104" s="230"/>
      <c r="R104" s="259">
        <f>J104/P104*100</f>
        <v>47.903406723712557</v>
      </c>
      <c r="S104" s="138"/>
      <c r="T104" s="132"/>
      <c r="U104" s="132"/>
      <c r="V104" s="315">
        <f>+'segSales&amp;comps'!E106</f>
        <v>213.036</v>
      </c>
      <c r="W104" s="139"/>
      <c r="X104" s="147">
        <f>V104/N104</f>
        <v>4.3037575757575759</v>
      </c>
      <c r="Y104" s="132"/>
      <c r="Z104" s="219">
        <f>(X104/X97-1)*100</f>
        <v>3.4457642476102279</v>
      </c>
      <c r="AA104" s="230"/>
      <c r="AB104" s="132"/>
      <c r="AC104" s="236">
        <f>Stores!G122</f>
        <v>0.42049999999999998</v>
      </c>
      <c r="AD104" s="238"/>
      <c r="AE104" s="254">
        <f>AVERAGE(AC104,AC103)</f>
        <v>0.41874999999999996</v>
      </c>
      <c r="AF104" s="132"/>
      <c r="AG104" s="145">
        <f>(AE104/AE97-1)*100</f>
        <v>6.4618644067796494</v>
      </c>
      <c r="AH104" s="230"/>
      <c r="AI104" s="259">
        <f>+J104/AG104*100</f>
        <v>74.132485159319288</v>
      </c>
      <c r="AJ104" s="138"/>
      <c r="AK104" s="132"/>
      <c r="AL104" s="142">
        <f>+V104</f>
        <v>213.036</v>
      </c>
      <c r="AM104" s="132"/>
      <c r="AN104" s="245">
        <f>AL104/AE104</f>
        <v>508.74268656716424</v>
      </c>
      <c r="AO104" s="132"/>
      <c r="AP104" s="151">
        <f>(AN104/AN97-1)*100</f>
        <v>6.8836632783268348</v>
      </c>
      <c r="AQ104" s="230"/>
      <c r="AR104" s="230"/>
      <c r="AS104" s="132"/>
      <c r="AT104" s="132"/>
      <c r="AU104" s="132"/>
      <c r="AV104" s="132"/>
      <c r="AW104" s="132"/>
      <c r="AX104" s="132"/>
      <c r="AY104" s="132"/>
      <c r="AZ104" s="132"/>
      <c r="BA104" s="132"/>
      <c r="BB104" s="132"/>
      <c r="BC104" s="132"/>
      <c r="BD104" s="132"/>
      <c r="BE104" s="132"/>
      <c r="BF104" s="132"/>
      <c r="BG104" s="132"/>
      <c r="BH104" s="132"/>
      <c r="BI104" s="132"/>
      <c r="BJ104" s="132"/>
      <c r="BK104" s="132"/>
      <c r="BL104" s="132"/>
      <c r="BM104" s="132"/>
      <c r="BN104" s="132"/>
      <c r="BO104" s="1592"/>
      <c r="BP104" s="1492"/>
    </row>
    <row r="105" spans="1:68" hidden="1" outlineLevel="1">
      <c r="A105" s="132" t="str">
        <f>$A$42</f>
        <v>3Q</v>
      </c>
      <c r="B105" s="174" t="str">
        <f>$B$42</f>
        <v>Oct</v>
      </c>
      <c r="C105" s="132"/>
      <c r="D105" s="145">
        <f>(V105/V98-1)*100</f>
        <v>20.387197094241305</v>
      </c>
      <c r="E105" s="132"/>
      <c r="F105" s="217"/>
      <c r="G105" s="132"/>
      <c r="H105" s="2085">
        <f>+'segSales&amp;comps'!G107</f>
        <v>16</v>
      </c>
      <c r="I105" s="132"/>
      <c r="J105" s="145">
        <f>D105-H105</f>
        <v>4.387197094241305</v>
      </c>
      <c r="K105" s="132"/>
      <c r="L105" s="725">
        <f>+Stores!D123</f>
        <v>51</v>
      </c>
      <c r="M105" s="238"/>
      <c r="N105" s="177">
        <f>AVERAGE(L105,L104)</f>
        <v>50.5</v>
      </c>
      <c r="O105" s="132"/>
      <c r="P105" s="145">
        <f>(N105/N98-1)*100</f>
        <v>7.4468085106383031</v>
      </c>
      <c r="Q105" s="230"/>
      <c r="R105" s="259">
        <f>J105/P105*100</f>
        <v>58.913789551240335</v>
      </c>
      <c r="S105" s="138"/>
      <c r="T105" s="132"/>
      <c r="U105" s="132"/>
      <c r="V105" s="315">
        <f>+'segSales&amp;comps'!E107</f>
        <v>202.84399999999999</v>
      </c>
      <c r="W105" s="139"/>
      <c r="X105" s="147">
        <f>V105/N105</f>
        <v>4.0167128712871287</v>
      </c>
      <c r="Y105" s="132"/>
      <c r="Z105" s="219">
        <f>(X105/X98-1)*100</f>
        <v>12.043529968897859</v>
      </c>
      <c r="AA105" s="230"/>
      <c r="AB105" s="132"/>
      <c r="AC105" s="236">
        <f>Stores!G123</f>
        <v>0.42399999999999999</v>
      </c>
      <c r="AD105" s="238"/>
      <c r="AE105" s="254">
        <f>AVERAGE(AC105,AC104)</f>
        <v>0.42225000000000001</v>
      </c>
      <c r="AF105" s="132"/>
      <c r="AG105" s="145">
        <f>(AE105/AE98-1)*100</f>
        <v>2.9878048780487942</v>
      </c>
      <c r="AH105" s="230"/>
      <c r="AI105" s="259">
        <f>+J105/AG105*100</f>
        <v>146.83680070521851</v>
      </c>
      <c r="AJ105" s="138"/>
      <c r="AK105" s="132"/>
      <c r="AL105" s="142">
        <f>+V105</f>
        <v>202.84399999999999</v>
      </c>
      <c r="AM105" s="132"/>
      <c r="AN105" s="245">
        <f>AL105/AE105</f>
        <v>480.38839550029599</v>
      </c>
      <c r="AO105" s="132"/>
      <c r="AP105" s="920">
        <f>(AN105/AN98-1)*100</f>
        <v>16.894614111637463</v>
      </c>
      <c r="AQ105" s="230"/>
      <c r="AR105" s="230"/>
      <c r="AS105" s="132"/>
      <c r="AT105" s="132"/>
      <c r="AU105" s="132"/>
      <c r="AV105" s="132"/>
      <c r="AW105" s="132"/>
      <c r="AX105" s="132"/>
      <c r="AY105" s="132"/>
      <c r="AZ105" s="132"/>
      <c r="BA105" s="132"/>
      <c r="BB105" s="132"/>
      <c r="BC105" s="132"/>
      <c r="BD105" s="132"/>
      <c r="BE105" s="132"/>
      <c r="BF105" s="132"/>
      <c r="BG105" s="132"/>
      <c r="BH105" s="132"/>
      <c r="BI105" s="132"/>
      <c r="BJ105" s="132"/>
      <c r="BK105" s="132"/>
      <c r="BL105" s="132"/>
      <c r="BM105" s="132"/>
      <c r="BN105" s="132"/>
      <c r="BO105" s="1592"/>
      <c r="BP105" s="1492"/>
    </row>
    <row r="106" spans="1:68" hidden="1" outlineLevel="1">
      <c r="A106" s="132" t="str">
        <f>$A$43</f>
        <v>4Q</v>
      </c>
      <c r="B106" s="174" t="str">
        <f>$B$43</f>
        <v>Jan</v>
      </c>
      <c r="C106" s="132"/>
      <c r="D106" s="176">
        <f>(V106/V99-1)*100</f>
        <v>20.435072528842333</v>
      </c>
      <c r="E106" s="132"/>
      <c r="F106" s="218"/>
      <c r="G106" s="132"/>
      <c r="H106" s="2090">
        <f>+'segSales&amp;comps'!G108</f>
        <v>17</v>
      </c>
      <c r="I106" s="132"/>
      <c r="J106" s="176">
        <f>D106-H106</f>
        <v>3.4350725288423334</v>
      </c>
      <c r="K106" s="132"/>
      <c r="L106" s="917">
        <f>+Stores!D124</f>
        <v>51</v>
      </c>
      <c r="M106" s="139"/>
      <c r="N106" s="178">
        <f>AVERAGE(L106,L105)</f>
        <v>51</v>
      </c>
      <c r="O106" s="132"/>
      <c r="P106" s="176">
        <f>(N106/N99-1)*100</f>
        <v>7.3684210526315796</v>
      </c>
      <c r="Q106" s="230"/>
      <c r="R106" s="178">
        <f>J106/P106*100</f>
        <v>46.618841462860232</v>
      </c>
      <c r="S106" s="138"/>
      <c r="T106" s="132"/>
      <c r="U106" s="132"/>
      <c r="V106" s="316">
        <f>+'segSales&amp;comps'!E108</f>
        <v>359.41800000000001</v>
      </c>
      <c r="W106" s="139"/>
      <c r="X106" s="148">
        <f>V106/N106</f>
        <v>7.047411764705882</v>
      </c>
      <c r="Y106" s="132"/>
      <c r="Z106" s="218">
        <f>(X106/X99-1)*100</f>
        <v>12.169920492549213</v>
      </c>
      <c r="AA106" s="230"/>
      <c r="AB106" s="132"/>
      <c r="AC106" s="236">
        <f>Stores!G124</f>
        <v>0.42399999999999999</v>
      </c>
      <c r="AD106" s="139"/>
      <c r="AE106" s="255">
        <f>AVERAGE(AC106,AC105)</f>
        <v>0.42399999999999999</v>
      </c>
      <c r="AF106" s="132"/>
      <c r="AG106" s="176">
        <f>(AE106/AE99-1)*100</f>
        <v>2.3742454728370221</v>
      </c>
      <c r="AH106" s="230"/>
      <c r="AI106" s="178">
        <f>+J106/AG106*100</f>
        <v>144.68059718937624</v>
      </c>
      <c r="AJ106" s="138"/>
      <c r="AK106" s="132"/>
      <c r="AL106" s="146">
        <f>+V106</f>
        <v>359.41800000000001</v>
      </c>
      <c r="AM106" s="132"/>
      <c r="AN106" s="257">
        <f>AL106/AE106</f>
        <v>847.68396226415098</v>
      </c>
      <c r="AO106" s="132"/>
      <c r="AP106" s="921">
        <f>(AN106/AN99-1)*100</f>
        <v>17.641963535445427</v>
      </c>
      <c r="AQ106" s="230"/>
      <c r="AR106" s="230"/>
      <c r="AS106" s="132"/>
      <c r="AT106" s="132"/>
      <c r="AU106" s="132"/>
      <c r="AV106" s="132"/>
      <c r="AW106" s="132"/>
      <c r="AX106" s="132"/>
      <c r="AY106" s="132"/>
      <c r="AZ106" s="132"/>
      <c r="BA106" s="132"/>
      <c r="BB106" s="132"/>
      <c r="BC106" s="132"/>
      <c r="BD106" s="132"/>
      <c r="BE106" s="132"/>
      <c r="BF106" s="132"/>
      <c r="BG106" s="132"/>
      <c r="BH106" s="132"/>
      <c r="BI106" s="132"/>
      <c r="BJ106" s="132"/>
      <c r="BK106" s="132"/>
      <c r="BL106" s="132"/>
      <c r="BM106" s="132"/>
      <c r="BN106" s="132"/>
      <c r="BO106" s="1592"/>
      <c r="BP106" s="1492"/>
    </row>
    <row r="107" spans="1:68" hidden="1" outlineLevel="1">
      <c r="A107" s="132"/>
      <c r="B107" s="174" t="str">
        <f>$B$44</f>
        <v>Year</v>
      </c>
      <c r="C107" s="132"/>
      <c r="D107" s="145">
        <f>(V107/V100-1)*100</f>
        <v>23.568760718894776</v>
      </c>
      <c r="E107" s="132"/>
      <c r="F107" s="217"/>
      <c r="G107" s="132"/>
      <c r="H107" s="2085">
        <f>+'segSales&amp;comps'!G109</f>
        <v>12</v>
      </c>
      <c r="I107" s="132"/>
      <c r="J107" s="145">
        <f>D107-H107</f>
        <v>11.568760718894776</v>
      </c>
      <c r="K107" s="132"/>
      <c r="L107" s="923">
        <f>L106</f>
        <v>51</v>
      </c>
      <c r="M107" s="132"/>
      <c r="N107" s="177">
        <f>AVERAGE(N103:N106)</f>
        <v>49.75</v>
      </c>
      <c r="O107" s="132"/>
      <c r="P107" s="145">
        <f>(N107/N100-1)*100</f>
        <v>8.4468664850136257</v>
      </c>
      <c r="Q107" s="230"/>
      <c r="R107" s="259">
        <f>J107/P107*100</f>
        <v>136.95919947852843</v>
      </c>
      <c r="S107" s="138"/>
      <c r="T107" s="132"/>
      <c r="U107" s="132"/>
      <c r="V107" s="928">
        <f>+'segSales&amp;comps'!E109</f>
        <v>1013.034</v>
      </c>
      <c r="W107" s="132"/>
      <c r="X107" s="918">
        <f>V107/N107</f>
        <v>20.362492462311558</v>
      </c>
      <c r="Y107" s="132"/>
      <c r="Z107" s="219">
        <f>(X107/X100-1)*100</f>
        <v>13.944058250840152</v>
      </c>
      <c r="AA107" s="230"/>
      <c r="AB107" s="132"/>
      <c r="AC107" s="132"/>
      <c r="AD107" s="132"/>
      <c r="AE107" s="254">
        <f>AVERAGE(AE103:AE106)</f>
        <v>0.41962499999999997</v>
      </c>
      <c r="AF107" s="132"/>
      <c r="AG107" s="145">
        <f>(AE107/AE100-1)*100</f>
        <v>4.7425897035881404</v>
      </c>
      <c r="AH107" s="230"/>
      <c r="AI107" s="259">
        <f>+J107/AG107*100</f>
        <v>243.93340857932753</v>
      </c>
      <c r="AJ107" s="138"/>
      <c r="AK107" s="132"/>
      <c r="AL107" s="141">
        <f>SUM(AL103:AL106)</f>
        <v>948.88400000000001</v>
      </c>
      <c r="AM107" s="132"/>
      <c r="AN107" s="919">
        <f>AL107/AE107</f>
        <v>2261.2666070896635</v>
      </c>
      <c r="AO107" s="132"/>
      <c r="AP107" s="920">
        <f>(AN107/AN100-1)*100</f>
        <v>10.503106127157679</v>
      </c>
      <c r="AQ107" s="230"/>
      <c r="AR107" s="230"/>
      <c r="AS107" s="132"/>
      <c r="AT107" s="132"/>
      <c r="AU107" s="132"/>
      <c r="AV107" s="132"/>
      <c r="AW107" s="132"/>
      <c r="AX107" s="132"/>
      <c r="AY107" s="132"/>
      <c r="AZ107" s="132"/>
      <c r="BA107" s="132"/>
      <c r="BB107" s="132"/>
      <c r="BC107" s="132"/>
      <c r="BD107" s="132"/>
      <c r="BE107" s="132"/>
      <c r="BF107" s="132"/>
      <c r="BG107" s="132"/>
      <c r="BH107" s="132"/>
      <c r="BI107" s="132"/>
      <c r="BJ107" s="132"/>
      <c r="BK107" s="132"/>
      <c r="BL107" s="132"/>
      <c r="BM107" s="132"/>
      <c r="BN107" s="132"/>
      <c r="BO107" s="587"/>
      <c r="BP107" s="587"/>
    </row>
    <row r="108" spans="1:68" hidden="1" outlineLevel="1">
      <c r="A108" s="132"/>
      <c r="B108" s="174"/>
      <c r="C108" s="132"/>
      <c r="D108" s="132"/>
      <c r="E108" s="132"/>
      <c r="F108" s="132"/>
      <c r="G108" s="132"/>
      <c r="H108" s="2085"/>
      <c r="I108" s="132"/>
      <c r="J108" s="132"/>
      <c r="K108" s="132"/>
      <c r="L108" s="132"/>
      <c r="M108" s="132"/>
      <c r="N108" s="177"/>
      <c r="O108" s="132"/>
      <c r="P108" s="132"/>
      <c r="Q108" s="230"/>
      <c r="R108" s="132"/>
      <c r="S108" s="132"/>
      <c r="T108" s="132"/>
      <c r="U108" s="132"/>
      <c r="V108" s="132"/>
      <c r="W108" s="132"/>
      <c r="X108" s="132"/>
      <c r="Y108" s="132"/>
      <c r="Z108" s="132"/>
      <c r="AA108" s="132"/>
      <c r="AB108" s="132"/>
      <c r="AC108" s="132"/>
      <c r="AD108" s="132"/>
      <c r="AE108" s="132"/>
      <c r="AF108" s="132"/>
      <c r="AG108" s="132"/>
      <c r="AH108" s="230"/>
      <c r="AI108" s="132"/>
      <c r="AJ108" s="132"/>
      <c r="AK108" s="132"/>
      <c r="AL108" s="132"/>
      <c r="AM108" s="132"/>
      <c r="AN108" s="132"/>
      <c r="AO108" s="132"/>
      <c r="AP108" s="151"/>
      <c r="AQ108" s="132"/>
      <c r="AR108" s="132"/>
      <c r="AS108" s="132"/>
      <c r="AT108" s="132"/>
      <c r="AU108" s="132"/>
      <c r="AV108" s="132"/>
      <c r="AW108" s="132"/>
      <c r="AX108" s="132"/>
      <c r="AY108" s="132"/>
      <c r="AZ108" s="132"/>
      <c r="BA108" s="132"/>
      <c r="BB108" s="132"/>
      <c r="BC108" s="132"/>
      <c r="BD108" s="132"/>
      <c r="BE108" s="132"/>
      <c r="BF108" s="132"/>
      <c r="BG108" s="132"/>
      <c r="BH108" s="132"/>
      <c r="BI108" s="132"/>
      <c r="BJ108" s="132"/>
      <c r="BK108" s="132"/>
      <c r="BL108" s="132"/>
      <c r="BM108" s="132"/>
      <c r="BN108" s="132"/>
      <c r="BO108" s="587"/>
      <c r="BP108" s="587"/>
    </row>
    <row r="109" spans="1:68" hidden="1" outlineLevel="1">
      <c r="A109" s="169"/>
      <c r="B109" s="171">
        <f>+B102+1</f>
        <v>2004</v>
      </c>
      <c r="C109" s="132"/>
      <c r="D109" s="132"/>
      <c r="E109" s="230"/>
      <c r="F109" s="132"/>
      <c r="G109" s="230"/>
      <c r="H109" s="2085"/>
      <c r="I109" s="230"/>
      <c r="J109" s="132"/>
      <c r="K109" s="230"/>
      <c r="L109" s="132"/>
      <c r="M109" s="132"/>
      <c r="N109" s="132"/>
      <c r="O109" s="132"/>
      <c r="P109" s="132"/>
      <c r="Q109" s="230"/>
      <c r="R109" s="138"/>
      <c r="S109" s="138"/>
      <c r="T109" s="132"/>
      <c r="U109" s="132"/>
      <c r="V109" s="132"/>
      <c r="W109" s="132"/>
      <c r="X109" s="132"/>
      <c r="Y109" s="132"/>
      <c r="Z109" s="132"/>
      <c r="AA109" s="230"/>
      <c r="AB109" s="132"/>
      <c r="AC109" s="132"/>
      <c r="AD109" s="132"/>
      <c r="AE109" s="132"/>
      <c r="AF109" s="132"/>
      <c r="AG109" s="132"/>
      <c r="AH109" s="230"/>
      <c r="AI109" s="138"/>
      <c r="AJ109" s="138"/>
      <c r="AK109" s="132"/>
      <c r="AL109" s="132"/>
      <c r="AM109" s="132"/>
      <c r="AN109" s="132"/>
      <c r="AO109" s="132"/>
      <c r="AP109" s="151"/>
      <c r="AQ109" s="230"/>
      <c r="AR109" s="230"/>
      <c r="AS109" s="132"/>
      <c r="AT109" s="132"/>
      <c r="AU109" s="132"/>
      <c r="AV109" s="132"/>
      <c r="AW109" s="132"/>
      <c r="AX109" s="132"/>
      <c r="AY109" s="132"/>
      <c r="AZ109" s="132"/>
      <c r="BA109" s="132"/>
      <c r="BB109" s="132"/>
      <c r="BC109" s="132"/>
      <c r="BD109" s="132"/>
      <c r="BE109" s="132"/>
      <c r="BF109" s="132"/>
      <c r="BG109" s="132"/>
      <c r="BH109" s="132"/>
      <c r="BI109" s="132"/>
      <c r="BJ109" s="132"/>
      <c r="BK109" s="132"/>
      <c r="BL109" s="132"/>
      <c r="BM109" s="132"/>
      <c r="BN109" s="132"/>
      <c r="BO109" s="587"/>
      <c r="BP109" s="587"/>
    </row>
    <row r="110" spans="1:68" hidden="1" outlineLevel="1">
      <c r="A110" s="132" t="str">
        <f>$A$40</f>
        <v>1Q</v>
      </c>
      <c r="B110" s="174" t="str">
        <f>$B$40</f>
        <v>Apr</v>
      </c>
      <c r="C110" s="132"/>
      <c r="D110" s="145">
        <f>(V110/V103-1)*100</f>
        <v>23.087115320359942</v>
      </c>
      <c r="E110" s="230" t="s">
        <v>1970</v>
      </c>
      <c r="F110" s="217"/>
      <c r="G110" s="230"/>
      <c r="H110" s="2085">
        <f>+'segSales&amp;comps'!G112</f>
        <v>20</v>
      </c>
      <c r="I110" s="230" t="s">
        <v>1970</v>
      </c>
      <c r="J110" s="145">
        <f>D110-H110</f>
        <v>3.087115320359942</v>
      </c>
      <c r="K110" s="230" t="s">
        <v>1970</v>
      </c>
      <c r="L110" s="725">
        <f>+Stores!D128</f>
        <v>51</v>
      </c>
      <c r="M110" s="132"/>
      <c r="N110" s="177">
        <f>AVERAGE(L110,L106)</f>
        <v>51</v>
      </c>
      <c r="O110" s="132"/>
      <c r="P110" s="145">
        <f>(N110/N103-1)*100</f>
        <v>6.25</v>
      </c>
      <c r="Q110" s="230" t="s">
        <v>1970</v>
      </c>
      <c r="R110" s="259">
        <f>J110/P110*100</f>
        <v>49.393845125759071</v>
      </c>
      <c r="S110" s="138" t="s">
        <v>1970</v>
      </c>
      <c r="T110" s="132"/>
      <c r="U110" s="132"/>
      <c r="V110" s="296">
        <f>+'segSales&amp;comps'!E112</f>
        <v>213.66200000000001</v>
      </c>
      <c r="W110" s="139"/>
      <c r="X110" s="143">
        <f>V110/N110</f>
        <v>4.1894509803921567</v>
      </c>
      <c r="Y110" s="132"/>
      <c r="Z110" s="219">
        <f>(X110/X103-1)*100</f>
        <v>15.846696772103464</v>
      </c>
      <c r="AA110" s="230" t="s">
        <v>1970</v>
      </c>
      <c r="AB110" s="132"/>
      <c r="AC110" s="236">
        <f>Stores!G128</f>
        <v>0.42399999999999999</v>
      </c>
      <c r="AD110" s="132" t="s">
        <v>505</v>
      </c>
      <c r="AE110" s="254">
        <f>AVERAGE(AC110,AC106)</f>
        <v>0.42399999999999999</v>
      </c>
      <c r="AF110" s="132"/>
      <c r="AG110" s="145">
        <f>(AE110/AE103-1)*100</f>
        <v>2.5392986698911768</v>
      </c>
      <c r="AH110" s="230" t="s">
        <v>1970</v>
      </c>
      <c r="AI110" s="259">
        <f>+J110/AG110*100</f>
        <v>121.57354142560324</v>
      </c>
      <c r="AJ110" s="138" t="s">
        <v>1970</v>
      </c>
      <c r="AK110" s="132"/>
      <c r="AL110" s="141">
        <f>+V110</f>
        <v>213.66200000000001</v>
      </c>
      <c r="AM110" s="132" t="s">
        <v>505</v>
      </c>
      <c r="AN110" s="244">
        <f>AL110/AE110</f>
        <v>503.91981132075472</v>
      </c>
      <c r="AO110" s="132"/>
      <c r="AP110" s="151">
        <f>(AN110/AN103-1)*100</f>
        <v>20.038967417379318</v>
      </c>
      <c r="AQ110" s="230" t="s">
        <v>1970</v>
      </c>
      <c r="AR110" s="230"/>
      <c r="AS110" s="132"/>
      <c r="AT110" s="132"/>
      <c r="AU110" s="132"/>
      <c r="AV110" s="132"/>
      <c r="AW110" s="132"/>
      <c r="AX110" s="132"/>
      <c r="AY110" s="132"/>
      <c r="AZ110" s="132"/>
      <c r="BA110" s="132"/>
      <c r="BB110" s="132"/>
      <c r="BC110" s="132"/>
      <c r="BD110" s="132"/>
      <c r="BE110" s="132"/>
      <c r="BF110" s="132"/>
      <c r="BG110" s="132"/>
      <c r="BH110" s="132"/>
      <c r="BI110" s="132"/>
      <c r="BJ110" s="132"/>
      <c r="BK110" s="132"/>
      <c r="BL110" s="132"/>
      <c r="BM110" s="132"/>
      <c r="BN110" s="132"/>
      <c r="BO110" s="1592"/>
      <c r="BP110" s="1492"/>
    </row>
    <row r="111" spans="1:68" hidden="1" outlineLevel="1">
      <c r="A111" s="132" t="str">
        <f>$A$41</f>
        <v>2Q</v>
      </c>
      <c r="B111" s="174" t="str">
        <f>$B$41</f>
        <v>Jul</v>
      </c>
      <c r="C111" s="132"/>
      <c r="D111" s="145">
        <f>(V111/V104-1)*100</f>
        <v>16.475149739950055</v>
      </c>
      <c r="E111" s="132"/>
      <c r="F111" s="217"/>
      <c r="G111" s="132"/>
      <c r="H111" s="2085">
        <f>+'segSales&amp;comps'!G113</f>
        <v>10</v>
      </c>
      <c r="I111" s="132"/>
      <c r="J111" s="145">
        <f>D111-H111</f>
        <v>6.4751497399500551</v>
      </c>
      <c r="K111" s="132"/>
      <c r="L111" s="725">
        <f>+Stores!D129</f>
        <v>53</v>
      </c>
      <c r="M111" s="132"/>
      <c r="N111" s="177">
        <f>AVERAGE(L111,L110)</f>
        <v>52</v>
      </c>
      <c r="O111" s="132"/>
      <c r="P111" s="145">
        <f>(N111/N104-1)*100</f>
        <v>5.0505050505050608</v>
      </c>
      <c r="Q111" s="230"/>
      <c r="R111" s="259">
        <f>J111/P111*100</f>
        <v>128.20796485101081</v>
      </c>
      <c r="S111" s="138"/>
      <c r="T111" s="132"/>
      <c r="U111" s="132"/>
      <c r="V111" s="315">
        <f>+'segSales&amp;comps'!E113</f>
        <v>248.13399999999999</v>
      </c>
      <c r="W111" s="139"/>
      <c r="X111" s="147">
        <f>V111/N111</f>
        <v>4.771807692307692</v>
      </c>
      <c r="Y111" s="132"/>
      <c r="Z111" s="219">
        <f>(X111/X104-1)*100</f>
        <v>10.875382925529365</v>
      </c>
      <c r="AA111" s="230"/>
      <c r="AB111" s="132"/>
      <c r="AC111" s="236">
        <f>Stores!G129</f>
        <v>0.435</v>
      </c>
      <c r="AD111" s="238"/>
      <c r="AE111" s="254">
        <f>AVERAGE(AC111,AC110)</f>
        <v>0.42949999999999999</v>
      </c>
      <c r="AF111" s="132"/>
      <c r="AG111" s="145">
        <f>(AE111/AE104-1)*100</f>
        <v>2.5671641791044975</v>
      </c>
      <c r="AH111" s="230"/>
      <c r="AI111" s="259">
        <f>+J111/AG111*100</f>
        <v>252.22967010270366</v>
      </c>
      <c r="AJ111" s="138"/>
      <c r="AK111" s="132"/>
      <c r="AL111" s="142">
        <f>+V111</f>
        <v>248.13399999999999</v>
      </c>
      <c r="AM111" s="132"/>
      <c r="AN111" s="245">
        <f>AL111/AE111</f>
        <v>577.72759022118737</v>
      </c>
      <c r="AO111" s="132"/>
      <c r="AP111" s="151">
        <f>(AN111/AN104-1)*100</f>
        <v>13.559881149252796</v>
      </c>
      <c r="AQ111" s="230"/>
      <c r="AR111" s="230"/>
      <c r="AS111" s="132"/>
      <c r="AT111" s="132"/>
      <c r="AU111" s="132"/>
      <c r="AV111" s="132"/>
      <c r="AW111" s="132"/>
      <c r="AX111" s="132"/>
      <c r="AY111" s="132"/>
      <c r="AZ111" s="132"/>
      <c r="BA111" s="132"/>
      <c r="BB111" s="132"/>
      <c r="BC111" s="132"/>
      <c r="BD111" s="132"/>
      <c r="BE111" s="132"/>
      <c r="BF111" s="132"/>
      <c r="BG111" s="132"/>
      <c r="BH111" s="132"/>
      <c r="BI111" s="132"/>
      <c r="BJ111" s="132"/>
      <c r="BK111" s="132"/>
      <c r="BL111" s="132"/>
      <c r="BM111" s="132"/>
      <c r="BN111" s="132"/>
      <c r="BO111" s="1592"/>
      <c r="BP111" s="1492"/>
    </row>
    <row r="112" spans="1:68" hidden="1" outlineLevel="1">
      <c r="A112" s="132" t="str">
        <f>$A$42</f>
        <v>3Q</v>
      </c>
      <c r="B112" s="174" t="str">
        <f>$B$42</f>
        <v>Oct</v>
      </c>
      <c r="C112" s="132"/>
      <c r="D112" s="145">
        <f>(V112/V105-1)*100</f>
        <v>11.922955571769434</v>
      </c>
      <c r="E112" s="132"/>
      <c r="F112" s="217"/>
      <c r="G112" s="132"/>
      <c r="H112" s="2085">
        <f>+'segSales&amp;comps'!G114</f>
        <v>4</v>
      </c>
      <c r="I112" s="132"/>
      <c r="J112" s="145">
        <f>D112-H112</f>
        <v>7.9229555717694335</v>
      </c>
      <c r="K112" s="132"/>
      <c r="L112" s="725">
        <f>+Stores!D130</f>
        <v>54</v>
      </c>
      <c r="M112" s="238"/>
      <c r="N112" s="177">
        <f>AVERAGE(L112,L111)</f>
        <v>53.5</v>
      </c>
      <c r="O112" s="132"/>
      <c r="P112" s="145">
        <f>(N112/N105-1)*100</f>
        <v>5.9405940594059459</v>
      </c>
      <c r="Q112" s="230"/>
      <c r="R112" s="259">
        <f>J112/P112*100</f>
        <v>133.36975212478535</v>
      </c>
      <c r="S112" s="138"/>
      <c r="T112" s="132"/>
      <c r="U112" s="132"/>
      <c r="V112" s="315">
        <f>+'segSales&amp;comps'!E114</f>
        <v>227.029</v>
      </c>
      <c r="W112" s="132"/>
      <c r="X112" s="147">
        <f>V112/N112</f>
        <v>4.2435327102803742</v>
      </c>
      <c r="Y112" s="132"/>
      <c r="Z112" s="219">
        <f>(X112/X105-1)*100</f>
        <v>5.6469019883057303</v>
      </c>
      <c r="AA112" s="230"/>
      <c r="AB112" s="132"/>
      <c r="AC112" s="236">
        <f>Stores!G130</f>
        <v>0.4405</v>
      </c>
      <c r="AD112" s="238"/>
      <c r="AE112" s="254">
        <f>AVERAGE(AC112,AC111)</f>
        <v>0.43774999999999997</v>
      </c>
      <c r="AF112" s="132"/>
      <c r="AG112" s="145">
        <f>(AE112/AE105-1)*100</f>
        <v>3.6708111308466407</v>
      </c>
      <c r="AH112" s="230"/>
      <c r="AI112" s="259">
        <f>+J112/AG112*100</f>
        <v>215.83664452771973</v>
      </c>
      <c r="AJ112" s="138"/>
      <c r="AK112" s="132"/>
      <c r="AL112" s="142">
        <f>+V112</f>
        <v>227.029</v>
      </c>
      <c r="AM112" s="132"/>
      <c r="AN112" s="245">
        <f>AL112/AE112</f>
        <v>518.62707024557403</v>
      </c>
      <c r="AO112" s="132"/>
      <c r="AP112" s="920">
        <f>(AN112/AN105-1)*100</f>
        <v>7.9599497205703251</v>
      </c>
      <c r="AQ112" s="230"/>
      <c r="AR112" s="230"/>
      <c r="AS112" s="132"/>
      <c r="AT112" s="132"/>
      <c r="AU112" s="132"/>
      <c r="AV112" s="132"/>
      <c r="AW112" s="132"/>
      <c r="AX112" s="132"/>
      <c r="AY112" s="132"/>
      <c r="AZ112" s="132"/>
      <c r="BA112" s="132"/>
      <c r="BB112" s="132"/>
      <c r="BC112" s="132"/>
      <c r="BD112" s="132"/>
      <c r="BE112" s="132"/>
      <c r="BF112" s="132"/>
      <c r="BG112" s="132"/>
      <c r="BH112" s="132"/>
      <c r="BI112" s="132"/>
      <c r="BJ112" s="132"/>
      <c r="BK112" s="132"/>
      <c r="BL112" s="132"/>
      <c r="BM112" s="132"/>
      <c r="BN112" s="132"/>
      <c r="BO112" s="1592"/>
      <c r="BP112" s="1492"/>
    </row>
    <row r="113" spans="1:68" hidden="1" outlineLevel="1">
      <c r="A113" s="132" t="str">
        <f>$A$43</f>
        <v>4Q</v>
      </c>
      <c r="B113" s="174" t="str">
        <f>$B$43</f>
        <v>Jan</v>
      </c>
      <c r="C113" s="132"/>
      <c r="D113" s="176">
        <f>(V113/V106-1)*100</f>
        <v>10.445219771964664</v>
      </c>
      <c r="E113" s="132"/>
      <c r="F113" s="218"/>
      <c r="G113" s="132"/>
      <c r="H113" s="2090">
        <f>+'segSales&amp;comps'!G115</f>
        <v>7</v>
      </c>
      <c r="I113" s="132"/>
      <c r="J113" s="176">
        <f>D113-H113</f>
        <v>3.4452197719646644</v>
      </c>
      <c r="K113" s="132"/>
      <c r="L113" s="917">
        <f>+Stores!D131</f>
        <v>55</v>
      </c>
      <c r="M113" s="139"/>
      <c r="N113" s="178">
        <f>AVERAGE(L113,L112)</f>
        <v>54.5</v>
      </c>
      <c r="O113" s="132"/>
      <c r="P113" s="176">
        <f>(N113/N106-1)*100</f>
        <v>6.8627450980392135</v>
      </c>
      <c r="Q113" s="230"/>
      <c r="R113" s="178">
        <f>J113/P113*100</f>
        <v>50.201773820056552</v>
      </c>
      <c r="S113" s="138"/>
      <c r="T113" s="132"/>
      <c r="U113" s="132"/>
      <c r="V113" s="316">
        <f>+'segSales&amp;comps'!E115</f>
        <v>396.96</v>
      </c>
      <c r="W113" s="132"/>
      <c r="X113" s="148">
        <f>V113/N113</f>
        <v>7.2836697247706415</v>
      </c>
      <c r="Y113" s="132"/>
      <c r="Z113" s="218">
        <f>(X113/X106-1)*100</f>
        <v>3.352407493031162</v>
      </c>
      <c r="AA113" s="230"/>
      <c r="AB113" s="132"/>
      <c r="AC113" s="236">
        <f>Stores!G131</f>
        <v>0.44600000000000001</v>
      </c>
      <c r="AD113" s="139"/>
      <c r="AE113" s="255">
        <f>AVERAGE(AC113,AC112)</f>
        <v>0.44325000000000003</v>
      </c>
      <c r="AF113" s="132"/>
      <c r="AG113" s="176">
        <f>(AE113/AE106-1)*100</f>
        <v>4.5400943396226578</v>
      </c>
      <c r="AH113" s="230"/>
      <c r="AI113" s="178">
        <f>+J113/AG113*100</f>
        <v>75.884321211065583</v>
      </c>
      <c r="AJ113" s="138"/>
      <c r="AK113" s="132"/>
      <c r="AL113" s="146">
        <f>+V113</f>
        <v>396.96</v>
      </c>
      <c r="AM113" s="132"/>
      <c r="AN113" s="257">
        <f>AL113/AE113</f>
        <v>895.56683587140424</v>
      </c>
      <c r="AO113" s="132"/>
      <c r="AP113" s="921">
        <f>(AN113/AN106-1)*100</f>
        <v>5.6486704643271546</v>
      </c>
      <c r="AQ113" s="230"/>
      <c r="AR113" s="230"/>
      <c r="AS113" s="132"/>
      <c r="AT113" s="132"/>
      <c r="AU113" s="132"/>
      <c r="AV113" s="132"/>
      <c r="AW113" s="132"/>
      <c r="AX113" s="132"/>
      <c r="AY113" s="132"/>
      <c r="AZ113" s="132"/>
      <c r="BA113" s="132"/>
      <c r="BB113" s="132"/>
      <c r="BC113" s="132"/>
      <c r="BD113" s="132"/>
      <c r="BE113" s="132"/>
      <c r="BF113" s="132"/>
      <c r="BG113" s="132"/>
      <c r="BH113" s="132"/>
      <c r="BI113" s="132"/>
      <c r="BJ113" s="132"/>
      <c r="BK113" s="132"/>
      <c r="BL113" s="132"/>
      <c r="BM113" s="132"/>
      <c r="BN113" s="132"/>
      <c r="BO113" s="1592"/>
      <c r="BP113" s="1492"/>
    </row>
    <row r="114" spans="1:68" hidden="1" outlineLevel="1">
      <c r="A114" s="132"/>
      <c r="B114" s="174" t="str">
        <f>$B$44</f>
        <v>Year</v>
      </c>
      <c r="C114" s="132"/>
      <c r="D114" s="145">
        <f>(V114/V107-1)*100</f>
        <v>10.247533646452144</v>
      </c>
      <c r="E114" s="132"/>
      <c r="F114" s="217"/>
      <c r="G114" s="132"/>
      <c r="H114" s="2085">
        <f>+'segSales&amp;comps'!G116</f>
        <v>9</v>
      </c>
      <c r="I114" s="132"/>
      <c r="J114" s="145">
        <f>D114-H114</f>
        <v>1.247533646452144</v>
      </c>
      <c r="K114" s="132"/>
      <c r="L114" s="923">
        <f>L113</f>
        <v>55</v>
      </c>
      <c r="M114" s="132"/>
      <c r="N114" s="177">
        <f>AVERAGE(N110:N113)</f>
        <v>52.75</v>
      </c>
      <c r="O114" s="132"/>
      <c r="P114" s="145">
        <f>(N114/N107-1)*100</f>
        <v>6.0301507537688481</v>
      </c>
      <c r="Q114" s="230"/>
      <c r="R114" s="259">
        <f>J114/P114*100</f>
        <v>20.688266303664708</v>
      </c>
      <c r="S114" s="138"/>
      <c r="T114" s="132"/>
      <c r="U114" s="132"/>
      <c r="V114" s="928">
        <f>+'segSales&amp;comps'!E116</f>
        <v>1116.845</v>
      </c>
      <c r="W114" s="132"/>
      <c r="X114" s="918">
        <f>V114/N114</f>
        <v>21.172417061611373</v>
      </c>
      <c r="Y114" s="132"/>
      <c r="Z114" s="219">
        <f>(X114/X107-1)*100</f>
        <v>3.9775317329098447</v>
      </c>
      <c r="AA114" s="230"/>
      <c r="AB114" s="132"/>
      <c r="AC114" s="132"/>
      <c r="AD114" s="132"/>
      <c r="AE114" s="254">
        <f>AVERAGE(AE110:AE113)</f>
        <v>0.43362499999999993</v>
      </c>
      <c r="AF114" s="132"/>
      <c r="AG114" s="145">
        <f>(AE114/AE107-1)*100</f>
        <v>3.3363121834971698</v>
      </c>
      <c r="AH114" s="230"/>
      <c r="AI114" s="259">
        <f>+J114/AG114*100</f>
        <v>37.392593313748641</v>
      </c>
      <c r="AJ114" s="138"/>
      <c r="AK114" s="132"/>
      <c r="AL114" s="141">
        <f>SUM(AL110:AL113)</f>
        <v>1085.7850000000001</v>
      </c>
      <c r="AM114" s="132"/>
      <c r="AN114" s="919">
        <f>AL114/AE114</f>
        <v>2503.9723263188243</v>
      </c>
      <c r="AO114" s="132"/>
      <c r="AP114" s="920">
        <f>(AN114/AN107-1)*100</f>
        <v>10.73317575504873</v>
      </c>
      <c r="AQ114" s="230"/>
      <c r="AR114" s="230"/>
      <c r="AS114" s="132"/>
      <c r="AT114" s="132"/>
      <c r="AU114" s="132"/>
      <c r="AV114" s="132"/>
      <c r="AW114" s="132"/>
      <c r="AX114" s="132"/>
      <c r="AY114" s="132"/>
      <c r="AZ114" s="132"/>
      <c r="BA114" s="132"/>
      <c r="BB114" s="132"/>
      <c r="BC114" s="132"/>
      <c r="BD114" s="132"/>
      <c r="BE114" s="132"/>
      <c r="BF114" s="132"/>
      <c r="BG114" s="132"/>
      <c r="BH114" s="132"/>
      <c r="BI114" s="132"/>
      <c r="BJ114" s="132"/>
      <c r="BK114" s="132"/>
      <c r="BL114" s="132"/>
      <c r="BM114" s="132"/>
      <c r="BN114" s="132"/>
      <c r="BO114" s="587"/>
      <c r="BP114" s="587"/>
    </row>
    <row r="115" spans="1:68" hidden="1" outlineLevel="1">
      <c r="A115" s="132"/>
      <c r="B115" s="174"/>
      <c r="C115" s="132"/>
      <c r="D115" s="132"/>
      <c r="E115" s="132"/>
      <c r="F115" s="132"/>
      <c r="G115" s="132"/>
      <c r="H115" s="2085"/>
      <c r="I115" s="132"/>
      <c r="J115" s="132"/>
      <c r="K115" s="132"/>
      <c r="L115" s="132"/>
      <c r="M115" s="132"/>
      <c r="N115" s="177"/>
      <c r="O115" s="132"/>
      <c r="P115" s="132"/>
      <c r="Q115" s="230"/>
      <c r="R115" s="132"/>
      <c r="S115" s="132"/>
      <c r="T115" s="132"/>
      <c r="U115" s="132"/>
      <c r="V115" s="132"/>
      <c r="W115" s="132"/>
      <c r="X115" s="132"/>
      <c r="Y115" s="132"/>
      <c r="Z115" s="132"/>
      <c r="AA115" s="132"/>
      <c r="AB115" s="132"/>
      <c r="AC115" s="132"/>
      <c r="AD115" s="132"/>
      <c r="AE115" s="132"/>
      <c r="AF115" s="132"/>
      <c r="AG115" s="132"/>
      <c r="AH115" s="230"/>
      <c r="AI115" s="132"/>
      <c r="AJ115" s="132"/>
      <c r="AK115" s="132"/>
      <c r="AL115" s="132"/>
      <c r="AM115" s="132"/>
      <c r="AN115" s="132"/>
      <c r="AO115" s="132"/>
      <c r="AP115" s="151"/>
      <c r="AQ115" s="132"/>
      <c r="AR115" s="132"/>
      <c r="AS115" s="132"/>
      <c r="AT115" s="132"/>
      <c r="AU115" s="132"/>
      <c r="AV115" s="132"/>
      <c r="AW115" s="132"/>
      <c r="AX115" s="132"/>
      <c r="AY115" s="132"/>
      <c r="AZ115" s="132"/>
      <c r="BA115" s="132"/>
      <c r="BB115" s="132"/>
      <c r="BC115" s="132"/>
      <c r="BD115" s="132"/>
      <c r="BE115" s="132"/>
      <c r="BF115" s="132"/>
      <c r="BG115" s="132"/>
      <c r="BH115" s="132"/>
      <c r="BI115" s="132"/>
      <c r="BJ115" s="132"/>
      <c r="BK115" s="132"/>
      <c r="BL115" s="132"/>
      <c r="BM115" s="132"/>
      <c r="BN115" s="132"/>
      <c r="BO115" s="587"/>
      <c r="BP115" s="587"/>
    </row>
    <row r="116" spans="1:68" hidden="1" outlineLevel="1">
      <c r="A116" s="169"/>
      <c r="B116" s="171">
        <f>+B109+1</f>
        <v>2005</v>
      </c>
      <c r="C116" s="132"/>
      <c r="D116" s="132"/>
      <c r="E116" s="230"/>
      <c r="F116" s="132"/>
      <c r="G116" s="230"/>
      <c r="H116" s="2085"/>
      <c r="I116" s="230"/>
      <c r="J116" s="132"/>
      <c r="K116" s="230"/>
      <c r="L116" s="132"/>
      <c r="M116" s="132"/>
      <c r="N116" s="132"/>
      <c r="O116" s="132"/>
      <c r="P116" s="132"/>
      <c r="Q116" s="230"/>
      <c r="R116" s="138"/>
      <c r="S116" s="138"/>
      <c r="T116" s="132"/>
      <c r="U116" s="132"/>
      <c r="V116" s="132"/>
      <c r="W116" s="132"/>
      <c r="X116" s="132"/>
      <c r="Y116" s="132"/>
      <c r="Z116" s="132"/>
      <c r="AA116" s="230"/>
      <c r="AB116" s="132"/>
      <c r="AC116" s="132"/>
      <c r="AD116" s="132"/>
      <c r="AE116" s="132"/>
      <c r="AF116" s="132"/>
      <c r="AG116" s="132"/>
      <c r="AH116" s="230"/>
      <c r="AI116" s="138"/>
      <c r="AJ116" s="138"/>
      <c r="AK116" s="132"/>
      <c r="AL116" s="132"/>
      <c r="AM116" s="132"/>
      <c r="AN116" s="132"/>
      <c r="AO116" s="132"/>
      <c r="AP116" s="151"/>
      <c r="AQ116" s="230"/>
      <c r="AR116" s="230"/>
      <c r="AS116" s="132"/>
      <c r="AT116" s="132"/>
      <c r="AU116" s="132"/>
      <c r="AV116" s="132"/>
      <c r="AW116" s="132"/>
      <c r="AX116" s="132"/>
      <c r="AY116" s="132"/>
      <c r="AZ116" s="132"/>
      <c r="BA116" s="132"/>
      <c r="BB116" s="132"/>
      <c r="BC116" s="132"/>
      <c r="BD116" s="132"/>
      <c r="BE116" s="132"/>
      <c r="BF116" s="132"/>
      <c r="BG116" s="132"/>
      <c r="BH116" s="132"/>
      <c r="BI116" s="132"/>
      <c r="BJ116" s="132"/>
      <c r="BK116" s="132"/>
      <c r="BL116" s="132"/>
      <c r="BM116" s="132"/>
      <c r="BN116" s="132"/>
      <c r="BO116" s="587"/>
      <c r="BP116" s="587"/>
    </row>
    <row r="117" spans="1:68" hidden="1" outlineLevel="1">
      <c r="A117" s="132" t="str">
        <f>$A$40</f>
        <v>1Q</v>
      </c>
      <c r="B117" s="174" t="str">
        <f>$B$40</f>
        <v>Apr</v>
      </c>
      <c r="C117" s="132"/>
      <c r="D117" s="145">
        <f>(V117/V110-1)*100</f>
        <v>19.746141101365701</v>
      </c>
      <c r="E117" s="230" t="s">
        <v>1970</v>
      </c>
      <c r="F117" s="217"/>
      <c r="G117" s="230"/>
      <c r="H117" s="2085">
        <f>+'segSales&amp;comps'!G119</f>
        <v>11</v>
      </c>
      <c r="I117" s="230" t="s">
        <v>1970</v>
      </c>
      <c r="J117" s="145">
        <f>D117-H117</f>
        <v>8.7461411013657013</v>
      </c>
      <c r="K117" s="230" t="s">
        <v>1970</v>
      </c>
      <c r="L117" s="725">
        <f>+Stores!D135</f>
        <v>56</v>
      </c>
      <c r="M117" s="132"/>
      <c r="N117" s="177">
        <f>AVERAGE(L117,L113)</f>
        <v>55.5</v>
      </c>
      <c r="O117" s="132"/>
      <c r="P117" s="145">
        <f>(N117/N110-1)*100</f>
        <v>8.8235294117646959</v>
      </c>
      <c r="Q117" s="230" t="s">
        <v>1970</v>
      </c>
      <c r="R117" s="259">
        <f>J117/P117*100</f>
        <v>99.122932482144734</v>
      </c>
      <c r="S117" s="138" t="s">
        <v>1970</v>
      </c>
      <c r="T117" s="132"/>
      <c r="U117" s="132"/>
      <c r="V117" s="296">
        <f>+'segSales&amp;comps'!E119</f>
        <v>255.852</v>
      </c>
      <c r="W117" s="139"/>
      <c r="X117" s="143">
        <f>V117/N117</f>
        <v>4.6099459459459462</v>
      </c>
      <c r="Y117" s="132"/>
      <c r="Z117" s="219">
        <f>(X117/X110-1)*100</f>
        <v>10.036994525579313</v>
      </c>
      <c r="AA117" s="230" t="s">
        <v>1970</v>
      </c>
      <c r="AB117" s="132"/>
      <c r="AC117" s="236">
        <f>Stores!G135</f>
        <v>0.45125000000000004</v>
      </c>
      <c r="AD117" s="132" t="s">
        <v>505</v>
      </c>
      <c r="AE117" s="254">
        <f>AVERAGE(AC117,AC113)</f>
        <v>0.44862500000000005</v>
      </c>
      <c r="AF117" s="132"/>
      <c r="AG117" s="145">
        <f>(AE117/AE110-1)*100</f>
        <v>5.8077830188679291</v>
      </c>
      <c r="AH117" s="230" t="s">
        <v>1970</v>
      </c>
      <c r="AI117" s="259">
        <f>+J117/AG117*100</f>
        <v>150.59345490270272</v>
      </c>
      <c r="AJ117" s="138" t="s">
        <v>1970</v>
      </c>
      <c r="AK117" s="132"/>
      <c r="AL117" s="141">
        <f>+V117</f>
        <v>255.852</v>
      </c>
      <c r="AM117" s="132" t="s">
        <v>505</v>
      </c>
      <c r="AN117" s="244">
        <f>AL117/AE117</f>
        <v>570.30259125104476</v>
      </c>
      <c r="AO117" s="132"/>
      <c r="AP117" s="151">
        <f>(AN117/AN110-1)*100</f>
        <v>13.173282422912337</v>
      </c>
      <c r="AQ117" s="230" t="s">
        <v>1970</v>
      </c>
      <c r="AR117" s="230"/>
      <c r="AS117" s="132"/>
      <c r="AT117" s="132"/>
      <c r="AU117" s="132"/>
      <c r="AV117" s="132"/>
      <c r="AW117" s="132"/>
      <c r="AX117" s="132"/>
      <c r="AY117" s="132"/>
      <c r="AZ117" s="132"/>
      <c r="BA117" s="132"/>
      <c r="BB117" s="132"/>
      <c r="BC117" s="132"/>
      <c r="BD117" s="132"/>
      <c r="BE117" s="132"/>
      <c r="BF117" s="132"/>
      <c r="BG117" s="132"/>
      <c r="BH117" s="132"/>
      <c r="BI117" s="132"/>
      <c r="BJ117" s="132"/>
      <c r="BK117" s="132"/>
      <c r="BL117" s="132"/>
      <c r="BM117" s="132"/>
      <c r="BN117" s="132"/>
      <c r="BO117" s="1592"/>
      <c r="BP117" s="1492"/>
    </row>
    <row r="118" spans="1:68" hidden="1" outlineLevel="1">
      <c r="A118" s="132" t="str">
        <f>$A$41</f>
        <v>2Q</v>
      </c>
      <c r="B118" s="174" t="str">
        <f>$B$41</f>
        <v>Jul</v>
      </c>
      <c r="C118" s="132"/>
      <c r="D118" s="145">
        <f>(V118/V111-1)*100</f>
        <v>7.8892856279268342</v>
      </c>
      <c r="E118" s="132"/>
      <c r="F118" s="217"/>
      <c r="G118" s="132"/>
      <c r="H118" s="2085">
        <f>+'segSales&amp;comps'!G120</f>
        <v>6</v>
      </c>
      <c r="I118" s="132"/>
      <c r="J118" s="145">
        <f>D118-H118</f>
        <v>1.8892856279268342</v>
      </c>
      <c r="K118" s="132"/>
      <c r="L118" s="725">
        <f>+Stores!D136</f>
        <v>57</v>
      </c>
      <c r="M118" s="132"/>
      <c r="N118" s="177">
        <f>AVERAGE(L118,L117)</f>
        <v>56.5</v>
      </c>
      <c r="O118" s="132"/>
      <c r="P118" s="145">
        <f>(N118/N111-1)*100</f>
        <v>8.6538461538461462</v>
      </c>
      <c r="Q118" s="230"/>
      <c r="R118" s="259">
        <f>J118/P118*100</f>
        <v>21.831745033821214</v>
      </c>
      <c r="S118" s="138"/>
      <c r="T118" s="132"/>
      <c r="U118" s="132"/>
      <c r="V118" s="315">
        <f>+'segSales&amp;comps'!E120</f>
        <v>267.70999999999998</v>
      </c>
      <c r="W118" s="139"/>
      <c r="X118" s="147">
        <f>V118/N118</f>
        <v>4.738230088495575</v>
      </c>
      <c r="Y118" s="132"/>
      <c r="Z118" s="219">
        <f>(X118/X111-1)*100</f>
        <v>-0.70366632473989332</v>
      </c>
      <c r="AA118" s="230"/>
      <c r="AB118" s="132"/>
      <c r="AC118" s="236">
        <f>Stores!G136</f>
        <v>0.45650000000000002</v>
      </c>
      <c r="AD118" s="238"/>
      <c r="AE118" s="254">
        <f>AVERAGE(AC118,AC117)</f>
        <v>0.45387500000000003</v>
      </c>
      <c r="AF118" s="132"/>
      <c r="AG118" s="145">
        <f>(AE118/AE111-1)*100</f>
        <v>5.6752037252619347</v>
      </c>
      <c r="AH118" s="230"/>
      <c r="AI118" s="259">
        <f>+J118/AG118*100</f>
        <v>33.290181628495382</v>
      </c>
      <c r="AJ118" s="138"/>
      <c r="AK118" s="132"/>
      <c r="AL118" s="142">
        <f>+V118</f>
        <v>267.70999999999998</v>
      </c>
      <c r="AM118" s="132"/>
      <c r="AN118" s="245">
        <f>AL118/AE118</f>
        <v>589.83200220324966</v>
      </c>
      <c r="AO118" s="132"/>
      <c r="AP118" s="151">
        <f>(AN118/AN111-1)*100</f>
        <v>2.0951763749811558</v>
      </c>
      <c r="AQ118" s="230"/>
      <c r="AR118" s="230"/>
      <c r="AS118" s="132"/>
      <c r="AT118" s="132"/>
      <c r="AU118" s="132"/>
      <c r="AV118" s="132"/>
      <c r="AW118" s="132"/>
      <c r="AX118" s="132"/>
      <c r="AY118" s="132"/>
      <c r="AZ118" s="132"/>
      <c r="BA118" s="132"/>
      <c r="BB118" s="132"/>
      <c r="BC118" s="132"/>
      <c r="BD118" s="132"/>
      <c r="BE118" s="132"/>
      <c r="BF118" s="132"/>
      <c r="BG118" s="132"/>
      <c r="BH118" s="132"/>
      <c r="BI118" s="132"/>
      <c r="BJ118" s="132"/>
      <c r="BK118" s="132"/>
      <c r="BL118" s="132"/>
      <c r="BM118" s="132"/>
      <c r="BN118" s="132"/>
      <c r="BO118" s="1592"/>
      <c r="BP118" s="1492"/>
    </row>
    <row r="119" spans="1:68" hidden="1" outlineLevel="1">
      <c r="A119" s="132" t="str">
        <f>$A$42</f>
        <v>3Q</v>
      </c>
      <c r="B119" s="174" t="str">
        <f>$B$42</f>
        <v>Oct</v>
      </c>
      <c r="C119" s="132"/>
      <c r="D119" s="145">
        <f>(V119/V112-1)*100</f>
        <v>9.1411229402411198</v>
      </c>
      <c r="E119" s="132"/>
      <c r="F119" s="217"/>
      <c r="G119" s="132"/>
      <c r="H119" s="2085">
        <f>+'segSales&amp;comps'!G121</f>
        <v>7</v>
      </c>
      <c r="I119" s="132"/>
      <c r="J119" s="145">
        <f>D119-H119</f>
        <v>2.1411229402411198</v>
      </c>
      <c r="K119" s="132"/>
      <c r="L119" s="725">
        <f>+Stores!D137</f>
        <v>58</v>
      </c>
      <c r="M119" s="238"/>
      <c r="N119" s="177">
        <f>AVERAGE(L119,L118)</f>
        <v>57.5</v>
      </c>
      <c r="O119" s="132"/>
      <c r="P119" s="145">
        <f>(N119/N112-1)*100</f>
        <v>7.4766355140186924</v>
      </c>
      <c r="Q119" s="230"/>
      <c r="R119" s="259">
        <f>J119/P119*100</f>
        <v>28.637519325724973</v>
      </c>
      <c r="S119" s="138"/>
      <c r="T119" s="132"/>
      <c r="U119" s="132"/>
      <c r="V119" s="315">
        <f>+'segSales&amp;comps'!E121</f>
        <v>247.78200000000001</v>
      </c>
      <c r="W119" s="132"/>
      <c r="X119" s="147">
        <f>V119/N119</f>
        <v>4.3092521739130438</v>
      </c>
      <c r="Y119" s="132"/>
      <c r="Z119" s="219">
        <f>(X119/X112-1)*100</f>
        <v>1.5486969965721631</v>
      </c>
      <c r="AA119" s="230"/>
      <c r="AB119" s="132"/>
      <c r="AC119" s="236">
        <f>Stores!G137</f>
        <v>0.46174999999999999</v>
      </c>
      <c r="AD119" s="238"/>
      <c r="AE119" s="254">
        <f>AVERAGE(AC119,AC118)</f>
        <v>0.45912500000000001</v>
      </c>
      <c r="AF119" s="132"/>
      <c r="AG119" s="145">
        <f>(AE119/AE112-1)*100</f>
        <v>4.8829240434037802</v>
      </c>
      <c r="AH119" s="230"/>
      <c r="AI119" s="259">
        <f>+J119/AG119*100</f>
        <v>43.849196121195234</v>
      </c>
      <c r="AJ119" s="138"/>
      <c r="AK119" s="132"/>
      <c r="AL119" s="142">
        <f>+V119</f>
        <v>247.78200000000001</v>
      </c>
      <c r="AM119" s="132"/>
      <c r="AN119" s="245">
        <f>AL119/AE119</f>
        <v>539.68309283964061</v>
      </c>
      <c r="AO119" s="132"/>
      <c r="AP119" s="920">
        <f>(AN119/AN112-1)*100</f>
        <v>4.0599544069491733</v>
      </c>
      <c r="AQ119" s="230"/>
      <c r="AR119" s="230"/>
      <c r="AS119" s="132"/>
      <c r="AT119" s="132"/>
      <c r="AU119" s="132"/>
      <c r="AV119" s="132"/>
      <c r="AW119" s="132"/>
      <c r="AX119" s="132"/>
      <c r="AY119" s="132"/>
      <c r="AZ119" s="132"/>
      <c r="BA119" s="132"/>
      <c r="BB119" s="132"/>
      <c r="BC119" s="132"/>
      <c r="BD119" s="132"/>
      <c r="BE119" s="132"/>
      <c r="BF119" s="132"/>
      <c r="BG119" s="132"/>
      <c r="BH119" s="132"/>
      <c r="BI119" s="132"/>
      <c r="BJ119" s="132"/>
      <c r="BK119" s="132"/>
      <c r="BL119" s="132"/>
      <c r="BM119" s="132"/>
      <c r="BN119" s="132"/>
      <c r="BO119" s="1592"/>
      <c r="BP119" s="1492"/>
    </row>
    <row r="120" spans="1:68" hidden="1" outlineLevel="1">
      <c r="A120" s="132" t="str">
        <f>$A$43</f>
        <v>4Q</v>
      </c>
      <c r="B120" s="174" t="str">
        <f>$B$43</f>
        <v>Jan</v>
      </c>
      <c r="C120" s="132"/>
      <c r="D120" s="176">
        <f>(V120/V113-1)*100</f>
        <v>13.195032245062489</v>
      </c>
      <c r="E120" s="132"/>
      <c r="F120" s="218"/>
      <c r="G120" s="132"/>
      <c r="H120" s="2090">
        <f>+'segSales&amp;comps'!G122</f>
        <v>5</v>
      </c>
      <c r="I120" s="132"/>
      <c r="J120" s="176">
        <f>D120-H120</f>
        <v>8.1950322450624888</v>
      </c>
      <c r="K120" s="132"/>
      <c r="L120" s="917">
        <f>+Stores!D138</f>
        <v>59</v>
      </c>
      <c r="M120" s="139"/>
      <c r="N120" s="178">
        <f>AVERAGE(L120,L119)</f>
        <v>58.5</v>
      </c>
      <c r="O120" s="132"/>
      <c r="P120" s="176">
        <f>(N120/N113-1)*100</f>
        <v>7.3394495412844041</v>
      </c>
      <c r="Q120" s="230"/>
      <c r="R120" s="178">
        <f>J120/P120*100</f>
        <v>111.65731433897641</v>
      </c>
      <c r="S120" s="138"/>
      <c r="T120" s="132"/>
      <c r="U120" s="132"/>
      <c r="V120" s="316">
        <f>+'segSales&amp;comps'!E122</f>
        <v>449.339</v>
      </c>
      <c r="W120" s="132"/>
      <c r="X120" s="148">
        <f>V120/N120</f>
        <v>7.6810085470085472</v>
      </c>
      <c r="Y120" s="132"/>
      <c r="Z120" s="218">
        <f>(X120/X113-1)*100</f>
        <v>5.4552009804428314</v>
      </c>
      <c r="AA120" s="230"/>
      <c r="AB120" s="132"/>
      <c r="AC120" s="236">
        <f>Stores!G138</f>
        <v>0.46700000000000003</v>
      </c>
      <c r="AD120" s="139"/>
      <c r="AE120" s="255">
        <f>AVERAGE(AC120,AC119)</f>
        <v>0.46437499999999998</v>
      </c>
      <c r="AF120" s="132"/>
      <c r="AG120" s="176">
        <f>(AE120/AE113-1)*100</f>
        <v>4.7659334461364722</v>
      </c>
      <c r="AH120" s="230"/>
      <c r="AI120" s="178">
        <f>+J120/AG120*100</f>
        <v>171.95020320113434</v>
      </c>
      <c r="AJ120" s="138"/>
      <c r="AK120" s="132"/>
      <c r="AL120" s="146">
        <f>+V120</f>
        <v>449.339</v>
      </c>
      <c r="AM120" s="132"/>
      <c r="AN120" s="257">
        <f>AL120/AE120</f>
        <v>967.62099596231496</v>
      </c>
      <c r="AO120" s="132"/>
      <c r="AP120" s="921">
        <f>(AN120/AN113-1)*100</f>
        <v>8.045648544008511</v>
      </c>
      <c r="AQ120" s="230"/>
      <c r="AR120" s="230"/>
      <c r="AS120" s="132"/>
      <c r="AT120" s="132"/>
      <c r="AU120" s="132"/>
      <c r="AV120" s="132"/>
      <c r="AW120" s="132"/>
      <c r="AX120" s="132"/>
      <c r="AY120" s="132"/>
      <c r="AZ120" s="132"/>
      <c r="BA120" s="132"/>
      <c r="BB120" s="132"/>
      <c r="BC120" s="132"/>
      <c r="BD120" s="132"/>
      <c r="BE120" s="132"/>
      <c r="BF120" s="132"/>
      <c r="BG120" s="132"/>
      <c r="BH120" s="132"/>
      <c r="BI120" s="132"/>
      <c r="BJ120" s="132"/>
      <c r="BK120" s="132"/>
      <c r="BL120" s="132"/>
      <c r="BM120" s="132"/>
      <c r="BN120" s="132"/>
      <c r="BO120" s="1592"/>
      <c r="BP120" s="1492"/>
    </row>
    <row r="121" spans="1:68" hidden="1" outlineLevel="1">
      <c r="A121" s="132"/>
      <c r="B121" s="174" t="str">
        <f>$B$44</f>
        <v>Year</v>
      </c>
      <c r="C121" s="132"/>
      <c r="D121" s="145">
        <f>(V121/V114-1)*100</f>
        <v>9.2974405580004351</v>
      </c>
      <c r="E121" s="132"/>
      <c r="F121" s="217"/>
      <c r="G121" s="132"/>
      <c r="H121" s="2085">
        <f>+'segSales&amp;comps'!G123</f>
        <v>7</v>
      </c>
      <c r="I121" s="132"/>
      <c r="J121" s="145">
        <f>D121-H121</f>
        <v>2.2974405580004351</v>
      </c>
      <c r="K121" s="132"/>
      <c r="L121" s="923">
        <f>L120</f>
        <v>59</v>
      </c>
      <c r="M121" s="132"/>
      <c r="N121" s="177">
        <f>AVERAGE(N117:N120)</f>
        <v>57</v>
      </c>
      <c r="O121" s="132"/>
      <c r="P121" s="145">
        <f>(N121/N114-1)*100</f>
        <v>8.0568720379146974</v>
      </c>
      <c r="Q121" s="230"/>
      <c r="R121" s="259">
        <f>J121/P121*100</f>
        <v>28.515291631652438</v>
      </c>
      <c r="S121" s="138"/>
      <c r="T121" s="132"/>
      <c r="U121" s="132"/>
      <c r="V121" s="296">
        <f>SUM(V117:V120)</f>
        <v>1220.683</v>
      </c>
      <c r="W121" s="132"/>
      <c r="X121" s="918">
        <f>V121/N121</f>
        <v>21.415491228070174</v>
      </c>
      <c r="Y121" s="132"/>
      <c r="Z121" s="219">
        <f>(X121/X114-1)*100</f>
        <v>1.1480699900793478</v>
      </c>
      <c r="AA121" s="230"/>
      <c r="AB121" s="132"/>
      <c r="AC121" s="132"/>
      <c r="AD121" s="132"/>
      <c r="AE121" s="254">
        <f>AVERAGE(AE117:AE120)</f>
        <v>0.45650000000000002</v>
      </c>
      <c r="AF121" s="132"/>
      <c r="AG121" s="145">
        <f>(AE121/AE114-1)*100</f>
        <v>5.2752954742000702</v>
      </c>
      <c r="AH121" s="230"/>
      <c r="AI121" s="259">
        <f>+J121/AG121*100</f>
        <v>43.550936042095579</v>
      </c>
      <c r="AJ121" s="138"/>
      <c r="AK121" s="132"/>
      <c r="AL121" s="141">
        <f>SUM(AL117:AL120)</f>
        <v>1220.683</v>
      </c>
      <c r="AM121" s="132"/>
      <c r="AN121" s="919">
        <f>AL121/AE121</f>
        <v>2674.0043811610076</v>
      </c>
      <c r="AO121" s="132"/>
      <c r="AP121" s="920">
        <f>(AN121/AN114-1)*100</f>
        <v>6.7904925727415355</v>
      </c>
      <c r="AQ121" s="230"/>
      <c r="AR121" s="230"/>
      <c r="AS121" s="132"/>
      <c r="AT121" s="132"/>
      <c r="AU121" s="132"/>
      <c r="AV121" s="132"/>
      <c r="AW121" s="132"/>
      <c r="AX121" s="132"/>
      <c r="AY121" s="132"/>
      <c r="AZ121" s="132"/>
      <c r="BA121" s="132"/>
      <c r="BB121" s="132"/>
      <c r="BC121" s="132"/>
      <c r="BD121" s="132"/>
      <c r="BE121" s="132"/>
      <c r="BF121" s="132"/>
      <c r="BG121" s="132"/>
      <c r="BH121" s="132"/>
      <c r="BI121" s="132"/>
      <c r="BJ121" s="132"/>
      <c r="BK121" s="132"/>
      <c r="BL121" s="132"/>
      <c r="BM121" s="132"/>
      <c r="BN121" s="132"/>
      <c r="BO121" s="587"/>
      <c r="BP121" s="587"/>
    </row>
    <row r="122" spans="1:68" hidden="1" outlineLevel="1">
      <c r="A122" s="132"/>
      <c r="B122" s="174"/>
      <c r="C122" s="132"/>
      <c r="D122" s="256"/>
      <c r="E122" s="256"/>
      <c r="F122" s="217"/>
      <c r="G122" s="256"/>
      <c r="H122" s="2085"/>
      <c r="I122" s="256"/>
      <c r="J122" s="132"/>
      <c r="K122" s="132"/>
      <c r="L122" s="132"/>
      <c r="M122" s="132"/>
      <c r="N122" s="132"/>
      <c r="O122" s="132"/>
      <c r="P122" s="132"/>
      <c r="Q122" s="230"/>
      <c r="R122" s="132"/>
      <c r="S122" s="132"/>
      <c r="T122" s="132"/>
      <c r="U122" s="132"/>
      <c r="V122" s="132"/>
      <c r="W122" s="132"/>
      <c r="X122" s="132"/>
      <c r="Y122" s="132"/>
      <c r="Z122" s="132"/>
      <c r="AA122" s="132"/>
      <c r="AB122" s="132"/>
      <c r="AC122" s="132"/>
      <c r="AD122" s="132"/>
      <c r="AE122" s="132"/>
      <c r="AF122" s="132"/>
      <c r="AG122" s="132"/>
      <c r="AH122" s="230"/>
      <c r="AI122" s="132"/>
      <c r="AJ122" s="132"/>
      <c r="AK122" s="132"/>
      <c r="AL122" s="132"/>
      <c r="AM122" s="132"/>
      <c r="AN122" s="132"/>
      <c r="AO122" s="132"/>
      <c r="AP122" s="151"/>
      <c r="AQ122" s="132"/>
      <c r="AR122" s="132"/>
      <c r="AS122" s="132"/>
      <c r="AT122" s="132"/>
      <c r="AU122" s="132"/>
      <c r="AV122" s="132"/>
      <c r="AW122" s="132"/>
      <c r="AX122" s="132"/>
      <c r="AY122" s="132"/>
      <c r="AZ122" s="132"/>
      <c r="BA122" s="132"/>
      <c r="BB122" s="132"/>
      <c r="BC122" s="132"/>
      <c r="BD122" s="132"/>
      <c r="BE122" s="132"/>
      <c r="BF122" s="132"/>
      <c r="BG122" s="132"/>
      <c r="BH122" s="132"/>
      <c r="BI122" s="132"/>
      <c r="BJ122" s="132"/>
      <c r="BK122" s="132"/>
      <c r="BL122" s="132"/>
      <c r="BM122" s="132"/>
      <c r="BN122" s="132"/>
      <c r="BO122" s="587"/>
      <c r="BP122" s="587"/>
    </row>
    <row r="123" spans="1:68" hidden="1" outlineLevel="1">
      <c r="A123" s="810"/>
      <c r="B123" s="171">
        <f>+B116+1</f>
        <v>2006</v>
      </c>
      <c r="C123" s="256"/>
      <c r="D123" s="256"/>
      <c r="E123" s="643"/>
      <c r="F123" s="217"/>
      <c r="G123" s="643"/>
      <c r="H123" s="2085"/>
      <c r="I123" s="643"/>
      <c r="J123" s="256"/>
      <c r="K123" s="643"/>
      <c r="L123" s="256"/>
      <c r="M123" s="256"/>
      <c r="N123" s="256"/>
      <c r="O123" s="256"/>
      <c r="P123" s="256"/>
      <c r="Q123" s="643"/>
      <c r="R123" s="587"/>
      <c r="S123" s="587"/>
      <c r="T123" s="256"/>
      <c r="U123" s="256"/>
      <c r="V123" s="256"/>
      <c r="W123" s="256"/>
      <c r="X123" s="256"/>
      <c r="Y123" s="256"/>
      <c r="Z123" s="256"/>
      <c r="AA123" s="643"/>
      <c r="AB123" s="256"/>
      <c r="AC123" s="256"/>
      <c r="AD123" s="256"/>
      <c r="AE123" s="256"/>
      <c r="AF123" s="256"/>
      <c r="AG123" s="256"/>
      <c r="AH123" s="643"/>
      <c r="AI123" s="587"/>
      <c r="AJ123" s="587"/>
      <c r="AK123" s="256"/>
      <c r="AL123" s="256"/>
      <c r="AM123" s="256"/>
      <c r="AN123" s="256"/>
      <c r="AO123" s="256"/>
      <c r="AP123" s="289"/>
      <c r="AQ123" s="643"/>
      <c r="AR123" s="643"/>
      <c r="AS123" s="256"/>
      <c r="AT123" s="256"/>
      <c r="AU123" s="256"/>
      <c r="AV123" s="256"/>
      <c r="AW123" s="256"/>
      <c r="AX123" s="256"/>
      <c r="AY123" s="256"/>
      <c r="AZ123" s="256"/>
      <c r="BA123" s="256"/>
      <c r="BB123" s="256"/>
      <c r="BC123" s="256"/>
      <c r="BD123" s="256"/>
      <c r="BE123" s="256"/>
      <c r="BF123" s="256"/>
      <c r="BG123" s="256"/>
      <c r="BH123" s="256"/>
      <c r="BI123" s="256"/>
      <c r="BJ123" s="256"/>
      <c r="BK123" s="256"/>
      <c r="BL123" s="256"/>
      <c r="BM123" s="256"/>
      <c r="BN123" s="256"/>
      <c r="BO123" s="587"/>
      <c r="BP123" s="587"/>
    </row>
    <row r="124" spans="1:68" hidden="1" outlineLevel="1">
      <c r="A124" s="256" t="str">
        <f>$A$40</f>
        <v>1Q</v>
      </c>
      <c r="B124" s="302" t="str">
        <f>$B$40</f>
        <v>Apr</v>
      </c>
      <c r="C124" s="256"/>
      <c r="D124" s="145">
        <f>(V124/V117-1)*100</f>
        <v>1.8479433422447178</v>
      </c>
      <c r="E124" s="643" t="s">
        <v>1970</v>
      </c>
      <c r="F124" s="217"/>
      <c r="G124" s="643"/>
      <c r="H124" s="2085">
        <f>+'segSales&amp;comps'!G126</f>
        <v>-1</v>
      </c>
      <c r="I124" s="643" t="s">
        <v>1970</v>
      </c>
      <c r="J124" s="145">
        <f>D124-H124</f>
        <v>2.8479433422447178</v>
      </c>
      <c r="K124" s="643" t="s">
        <v>1970</v>
      </c>
      <c r="L124" s="725">
        <f>+Stores!D142</f>
        <v>59</v>
      </c>
      <c r="M124" s="256"/>
      <c r="N124" s="177">
        <f>AVERAGE(L124,L120)</f>
        <v>59</v>
      </c>
      <c r="O124" s="256"/>
      <c r="P124" s="145">
        <f>(N124/N117-1)*100</f>
        <v>6.3063063063063085</v>
      </c>
      <c r="Q124" s="643" t="s">
        <v>1970</v>
      </c>
      <c r="R124" s="259">
        <f>J124/P124*100</f>
        <v>45.160244427023365</v>
      </c>
      <c r="S124" s="587" t="s">
        <v>1970</v>
      </c>
      <c r="T124" s="256"/>
      <c r="U124" s="256"/>
      <c r="V124" s="296">
        <f>+'segSales&amp;comps'!E126</f>
        <v>260.58</v>
      </c>
      <c r="W124" s="238"/>
      <c r="X124" s="143">
        <f>V124/N124</f>
        <v>4.4166101694915252</v>
      </c>
      <c r="Y124" s="256"/>
      <c r="Z124" s="219">
        <f>(X124/X117-1)*100</f>
        <v>-4.1938838051765686</v>
      </c>
      <c r="AA124" s="643" t="s">
        <v>1970</v>
      </c>
      <c r="AB124" s="256"/>
      <c r="AC124" s="236">
        <f>Stores!G142</f>
        <v>0.46700000000000003</v>
      </c>
      <c r="AD124" s="256" t="s">
        <v>505</v>
      </c>
      <c r="AE124" s="254">
        <f>AVERAGE(AC124,AC120)</f>
        <v>0.46700000000000003</v>
      </c>
      <c r="AF124" s="256"/>
      <c r="AG124" s="145">
        <f>(AE124/AE117-1)*100</f>
        <v>4.0958484257453298</v>
      </c>
      <c r="AH124" s="643" t="s">
        <v>1970</v>
      </c>
      <c r="AI124" s="259">
        <f>+J124/AG124*100</f>
        <v>69.532439832083668</v>
      </c>
      <c r="AJ124" s="587" t="s">
        <v>1970</v>
      </c>
      <c r="AK124" s="256"/>
      <c r="AL124" s="141">
        <f>+V124</f>
        <v>260.58</v>
      </c>
      <c r="AM124" s="256" t="s">
        <v>505</v>
      </c>
      <c r="AN124" s="244">
        <f>AL124/AE124</f>
        <v>557.98715203426116</v>
      </c>
      <c r="AO124" s="256"/>
      <c r="AP124" s="151">
        <f>(AN124/AN117-1)*100</f>
        <v>-2.1594569980416534</v>
      </c>
      <c r="AQ124" s="643" t="s">
        <v>1970</v>
      </c>
      <c r="AR124" s="643"/>
      <c r="AS124" s="256"/>
      <c r="AT124" s="256"/>
      <c r="AU124" s="256"/>
      <c r="AV124" s="256"/>
      <c r="AW124" s="256"/>
      <c r="AX124" s="256"/>
      <c r="AY124" s="256"/>
      <c r="AZ124" s="256"/>
      <c r="BA124" s="256"/>
      <c r="BB124" s="256"/>
      <c r="BC124" s="256"/>
      <c r="BD124" s="256"/>
      <c r="BE124" s="256"/>
      <c r="BF124" s="256"/>
      <c r="BG124" s="256"/>
      <c r="BH124" s="256"/>
      <c r="BI124" s="256"/>
      <c r="BJ124" s="256"/>
      <c r="BK124" s="256"/>
      <c r="BL124" s="256"/>
      <c r="BM124" s="256"/>
      <c r="BN124" s="256"/>
      <c r="BO124" s="1592"/>
      <c r="BP124" s="1492"/>
    </row>
    <row r="125" spans="1:68" hidden="1" outlineLevel="1">
      <c r="A125" s="256" t="str">
        <f>$A$41</f>
        <v>2Q</v>
      </c>
      <c r="B125" s="302" t="str">
        <f>$B$41</f>
        <v>Jul</v>
      </c>
      <c r="C125" s="256"/>
      <c r="D125" s="145">
        <f>(V125/V118-1)*100</f>
        <v>7.786784206790931</v>
      </c>
      <c r="E125" s="256"/>
      <c r="F125" s="217"/>
      <c r="G125" s="256"/>
      <c r="H125" s="2085">
        <f>+'segSales&amp;comps'!G127</f>
        <v>5</v>
      </c>
      <c r="I125" s="256"/>
      <c r="J125" s="145">
        <f>D125-H125</f>
        <v>2.786784206790931</v>
      </c>
      <c r="K125" s="256"/>
      <c r="L125" s="725">
        <f>+Stores!D143</f>
        <v>60</v>
      </c>
      <c r="M125" s="256"/>
      <c r="N125" s="177">
        <f>AVERAGE(L125,L124)</f>
        <v>59.5</v>
      </c>
      <c r="O125" s="256"/>
      <c r="P125" s="145">
        <f>(N125/N118-1)*100</f>
        <v>5.3097345132743445</v>
      </c>
      <c r="Q125" s="643"/>
      <c r="R125" s="259">
        <f>J125/P125*100</f>
        <v>52.484435894562452</v>
      </c>
      <c r="S125" s="587"/>
      <c r="T125" s="256"/>
      <c r="U125" s="256"/>
      <c r="V125" s="315">
        <f>+'segSales&amp;comps'!E127</f>
        <v>288.55599999999998</v>
      </c>
      <c r="W125" s="238"/>
      <c r="X125" s="147">
        <f>V125/N125</f>
        <v>4.8496806722689074</v>
      </c>
      <c r="Y125" s="256"/>
      <c r="Z125" s="219">
        <f>(X125/X118-1)*100</f>
        <v>2.3521564316586252</v>
      </c>
      <c r="AA125" s="643"/>
      <c r="AB125" s="256"/>
      <c r="AC125" s="236">
        <f>Stores!G143</f>
        <v>0.4708</v>
      </c>
      <c r="AD125" s="238"/>
      <c r="AE125" s="254">
        <f>AVERAGE(AC125,AC124)</f>
        <v>0.46889999999999998</v>
      </c>
      <c r="AF125" s="256"/>
      <c r="AG125" s="145">
        <f>(AE125/AE118-1)*100</f>
        <v>3.3103828146515912</v>
      </c>
      <c r="AH125" s="643"/>
      <c r="AI125" s="259">
        <f>+J125/AG125*100</f>
        <v>84.183140223443687</v>
      </c>
      <c r="AJ125" s="587"/>
      <c r="AK125" s="256"/>
      <c r="AL125" s="142">
        <f>+V125</f>
        <v>288.55599999999998</v>
      </c>
      <c r="AM125" s="256"/>
      <c r="AN125" s="245">
        <f>AL125/AE125</f>
        <v>615.38920878652164</v>
      </c>
      <c r="AO125" s="256"/>
      <c r="AP125" s="151">
        <f>(AN125/AN118-1)*100</f>
        <v>4.3329637062427873</v>
      </c>
      <c r="AQ125" s="643"/>
      <c r="AR125" s="643"/>
      <c r="AS125" s="256"/>
      <c r="AT125" s="256"/>
      <c r="AU125" s="256"/>
      <c r="AV125" s="256"/>
      <c r="AW125" s="256"/>
      <c r="AX125" s="256"/>
      <c r="AY125" s="256"/>
      <c r="AZ125" s="256"/>
      <c r="BA125" s="256"/>
      <c r="BB125" s="256"/>
      <c r="BC125" s="256"/>
      <c r="BD125" s="256"/>
      <c r="BE125" s="256"/>
      <c r="BF125" s="256"/>
      <c r="BG125" s="256"/>
      <c r="BH125" s="256"/>
      <c r="BI125" s="256"/>
      <c r="BJ125" s="256"/>
      <c r="BK125" s="256"/>
      <c r="BL125" s="256"/>
      <c r="BM125" s="256"/>
      <c r="BN125" s="256"/>
      <c r="BO125" s="1592"/>
      <c r="BP125" s="1492"/>
    </row>
    <row r="126" spans="1:68" hidden="1" outlineLevel="1">
      <c r="A126" s="256" t="str">
        <f>$A$42</f>
        <v>3Q</v>
      </c>
      <c r="B126" s="302" t="str">
        <f>$B$42</f>
        <v>Oct</v>
      </c>
      <c r="C126" s="256"/>
      <c r="D126" s="145">
        <f>(V126/V119-1)*100</f>
        <v>9.1172885843200824</v>
      </c>
      <c r="E126" s="256"/>
      <c r="F126" s="217"/>
      <c r="G126" s="256"/>
      <c r="H126" s="2085">
        <f>+'segSales&amp;comps'!G128</f>
        <v>6</v>
      </c>
      <c r="I126" s="256"/>
      <c r="J126" s="145">
        <f>D126-H126</f>
        <v>3.1172885843200824</v>
      </c>
      <c r="K126" s="256"/>
      <c r="L126" s="725">
        <f>+Stores!D144</f>
        <v>63</v>
      </c>
      <c r="M126" s="238"/>
      <c r="N126" s="177">
        <f>AVERAGE(L126,L125)</f>
        <v>61.5</v>
      </c>
      <c r="O126" s="256"/>
      <c r="P126" s="145">
        <f>(N126/N119-1)*100</f>
        <v>6.956521739130439</v>
      </c>
      <c r="Q126" s="643"/>
      <c r="R126" s="259">
        <f>J126/P126*100</f>
        <v>44.811023399601154</v>
      </c>
      <c r="S126" s="587"/>
      <c r="T126" s="256"/>
      <c r="U126" s="256"/>
      <c r="V126" s="315">
        <f>+'segSales&amp;comps'!E128</f>
        <v>270.37299999999999</v>
      </c>
      <c r="W126" s="256"/>
      <c r="X126" s="147">
        <f>V126/N126</f>
        <v>4.3963089430894309</v>
      </c>
      <c r="Y126" s="256"/>
      <c r="Z126" s="219">
        <f>(X126/X119-1)*100</f>
        <v>2.0202291642017034</v>
      </c>
      <c r="AA126" s="643"/>
      <c r="AB126" s="256"/>
      <c r="AC126" s="236">
        <f>Stores!G144</f>
        <v>0.48219999999999996</v>
      </c>
      <c r="AD126" s="238"/>
      <c r="AE126" s="254">
        <f>AVERAGE(AC126,AC125)</f>
        <v>0.47649999999999998</v>
      </c>
      <c r="AF126" s="256"/>
      <c r="AG126" s="145">
        <f>(AE126/AE119-1)*100</f>
        <v>3.7843724475905116</v>
      </c>
      <c r="AH126" s="643"/>
      <c r="AI126" s="259">
        <f>+J126/AG126*100</f>
        <v>82.372668850415138</v>
      </c>
      <c r="AJ126" s="587"/>
      <c r="AK126" s="256"/>
      <c r="AL126" s="142">
        <f>+V126</f>
        <v>270.37299999999999</v>
      </c>
      <c r="AM126" s="256"/>
      <c r="AN126" s="245">
        <f>AL126/AE126</f>
        <v>567.41448058761807</v>
      </c>
      <c r="AO126" s="256"/>
      <c r="AP126" s="920">
        <f>(AN126/AN119-1)*100</f>
        <v>5.1384577571373935</v>
      </c>
      <c r="AQ126" s="643"/>
      <c r="AR126" s="643"/>
      <c r="AS126" s="256"/>
      <c r="AT126" s="256"/>
      <c r="AU126" s="256"/>
      <c r="AV126" s="256"/>
      <c r="AW126" s="256"/>
      <c r="AX126" s="256"/>
      <c r="AY126" s="256"/>
      <c r="AZ126" s="256"/>
      <c r="BA126" s="256"/>
      <c r="BB126" s="256"/>
      <c r="BC126" s="256"/>
      <c r="BD126" s="256"/>
      <c r="BE126" s="256"/>
      <c r="BF126" s="256"/>
      <c r="BG126" s="256"/>
      <c r="BH126" s="256"/>
      <c r="BI126" s="256"/>
      <c r="BJ126" s="256"/>
      <c r="BK126" s="256"/>
      <c r="BL126" s="256"/>
      <c r="BM126" s="256"/>
      <c r="BN126" s="256"/>
      <c r="BO126" s="1592"/>
      <c r="BP126" s="1492"/>
    </row>
    <row r="127" spans="1:68" hidden="1" outlineLevel="1">
      <c r="A127" s="256" t="str">
        <f>$A$43</f>
        <v>4Q</v>
      </c>
      <c r="B127" s="302" t="str">
        <f>$B$43</f>
        <v>Jan</v>
      </c>
      <c r="C127" s="256"/>
      <c r="D127" s="176">
        <f>(V127/V120-1)*100</f>
        <v>12.817271592272217</v>
      </c>
      <c r="E127" s="256"/>
      <c r="F127" s="218"/>
      <c r="G127" s="256"/>
      <c r="H127" s="2090">
        <f>+'segSales&amp;comps'!G129</f>
        <v>9</v>
      </c>
      <c r="I127" s="256"/>
      <c r="J127" s="176">
        <f>D127-H127</f>
        <v>3.8172715922722169</v>
      </c>
      <c r="K127" s="256"/>
      <c r="L127" s="917">
        <f>+Stores!D145</f>
        <v>64</v>
      </c>
      <c r="M127" s="238"/>
      <c r="N127" s="178">
        <f>AVERAGE(L127,L126)</f>
        <v>63.5</v>
      </c>
      <c r="O127" s="256"/>
      <c r="P127" s="176">
        <f>(N127/N120-1)*100</f>
        <v>8.547008547008538</v>
      </c>
      <c r="Q127" s="643"/>
      <c r="R127" s="178">
        <f>J127/P127*100</f>
        <v>44.662077629584985</v>
      </c>
      <c r="S127" s="587"/>
      <c r="T127" s="256"/>
      <c r="U127" s="256"/>
      <c r="V127" s="316">
        <f>+'segSales&amp;comps'!E129</f>
        <v>506.93200000000002</v>
      </c>
      <c r="W127" s="256"/>
      <c r="X127" s="148">
        <f>V127/N127</f>
        <v>7.983181102362205</v>
      </c>
      <c r="Y127" s="256"/>
      <c r="Z127" s="218">
        <f>(X127/X120-1)*100</f>
        <v>3.9340218605972366</v>
      </c>
      <c r="AA127" s="643"/>
      <c r="AB127" s="256"/>
      <c r="AC127" s="236">
        <f>Stores!G145</f>
        <v>0.48599999999999999</v>
      </c>
      <c r="AD127" s="238"/>
      <c r="AE127" s="255">
        <f>AVERAGE(AC127,AC126)</f>
        <v>0.48409999999999997</v>
      </c>
      <c r="AF127" s="256"/>
      <c r="AG127" s="176">
        <f>(AE127/AE120-1)*100</f>
        <v>4.2476446837146797</v>
      </c>
      <c r="AH127" s="643"/>
      <c r="AI127" s="178">
        <f>+J127/AG127*100</f>
        <v>89.867959222378033</v>
      </c>
      <c r="AJ127" s="587"/>
      <c r="AK127" s="256"/>
      <c r="AL127" s="146">
        <f>+V127</f>
        <v>506.93200000000002</v>
      </c>
      <c r="AM127" s="256"/>
      <c r="AN127" s="257">
        <f>AL127/AE127</f>
        <v>1047.163809130345</v>
      </c>
      <c r="AO127" s="256"/>
      <c r="AP127" s="921">
        <f>(AN127/AN120-1)*100</f>
        <v>8.2204513440640614</v>
      </c>
      <c r="AQ127" s="643"/>
      <c r="AR127" s="643"/>
      <c r="AS127" s="256"/>
      <c r="AT127" s="256"/>
      <c r="AU127" s="256"/>
      <c r="AV127" s="256"/>
      <c r="AW127" s="256"/>
      <c r="AX127" s="256"/>
      <c r="AY127" s="256"/>
      <c r="AZ127" s="256"/>
      <c r="BA127" s="256"/>
      <c r="BB127" s="256"/>
      <c r="BC127" s="256"/>
      <c r="BD127" s="256"/>
      <c r="BE127" s="256"/>
      <c r="BF127" s="256"/>
      <c r="BG127" s="256"/>
      <c r="BH127" s="256"/>
      <c r="BI127" s="256"/>
      <c r="BJ127" s="256"/>
      <c r="BK127" s="256"/>
      <c r="BL127" s="256"/>
      <c r="BM127" s="256"/>
      <c r="BN127" s="256"/>
      <c r="BO127" s="1592"/>
      <c r="BP127" s="1492"/>
    </row>
    <row r="128" spans="1:68" hidden="1" outlineLevel="1">
      <c r="A128" s="256"/>
      <c r="B128" s="302" t="str">
        <f>$B$44</f>
        <v>Year</v>
      </c>
      <c r="C128" s="256"/>
      <c r="D128" s="145">
        <f>(V128/V121-1)*100</f>
        <v>8.6638381955020272</v>
      </c>
      <c r="E128" s="256"/>
      <c r="F128" s="217"/>
      <c r="G128" s="256"/>
      <c r="H128" s="2085">
        <f>+'segSales&amp;comps'!G130</f>
        <v>5</v>
      </c>
      <c r="I128" s="256"/>
      <c r="J128" s="145">
        <f>D128-H128</f>
        <v>3.6638381955020272</v>
      </c>
      <c r="K128" s="256"/>
      <c r="L128" s="923">
        <f>L127</f>
        <v>64</v>
      </c>
      <c r="M128" s="256"/>
      <c r="N128" s="177">
        <f>AVERAGE(N124:N127)</f>
        <v>60.875</v>
      </c>
      <c r="O128" s="256"/>
      <c r="P128" s="145">
        <f>(N128/N121-1)*100</f>
        <v>6.7982456140350811</v>
      </c>
      <c r="Q128" s="643"/>
      <c r="R128" s="259">
        <f>J128/P128*100</f>
        <v>53.893877972546001</v>
      </c>
      <c r="S128" s="587"/>
      <c r="T128" s="256"/>
      <c r="U128" s="256"/>
      <c r="V128" s="296">
        <f>SUM(V124:V127)</f>
        <v>1326.441</v>
      </c>
      <c r="W128" s="256"/>
      <c r="X128" s="918">
        <f>V128/N128</f>
        <v>21.789585215605751</v>
      </c>
      <c r="Y128" s="256"/>
      <c r="Z128" s="219">
        <f>(X128/X121-1)*100</f>
        <v>1.7468382282318951</v>
      </c>
      <c r="AA128" s="643"/>
      <c r="AB128" s="256"/>
      <c r="AC128" s="256"/>
      <c r="AD128" s="256"/>
      <c r="AE128" s="254">
        <f>AVERAGE(AE124:AE127)</f>
        <v>0.47412499999999996</v>
      </c>
      <c r="AF128" s="256"/>
      <c r="AG128" s="145">
        <f>(AE128/AE121-1)*100</f>
        <v>3.8608981380065632</v>
      </c>
      <c r="AH128" s="643"/>
      <c r="AI128" s="259">
        <f>+J128/AG128*100</f>
        <v>94.896007730308028</v>
      </c>
      <c r="AJ128" s="587"/>
      <c r="AK128" s="256"/>
      <c r="AL128" s="141">
        <f>SUM(AL124:AL127)</f>
        <v>1326.441</v>
      </c>
      <c r="AM128" s="256"/>
      <c r="AN128" s="919">
        <f>AL128/AE128</f>
        <v>2797.6609543896657</v>
      </c>
      <c r="AO128" s="256"/>
      <c r="AP128" s="920">
        <f>(AN128/AN121-1)*100</f>
        <v>4.6243968072695818</v>
      </c>
      <c r="AQ128" s="643"/>
      <c r="AR128" s="643"/>
      <c r="AS128" s="256"/>
      <c r="AT128" s="256"/>
      <c r="AU128" s="256"/>
      <c r="AV128" s="256"/>
      <c r="AW128" s="256"/>
      <c r="AX128" s="256"/>
      <c r="AY128" s="256"/>
      <c r="AZ128" s="256"/>
      <c r="BA128" s="256"/>
      <c r="BB128" s="256"/>
      <c r="BC128" s="256"/>
      <c r="BD128" s="256"/>
      <c r="BE128" s="256"/>
      <c r="BF128" s="256"/>
      <c r="BG128" s="256"/>
      <c r="BH128" s="256"/>
      <c r="BI128" s="256"/>
      <c r="BJ128" s="256"/>
      <c r="BK128" s="256"/>
      <c r="BL128" s="256"/>
      <c r="BM128" s="256"/>
      <c r="BN128" s="256"/>
      <c r="BO128" s="587"/>
      <c r="BP128" s="587"/>
    </row>
    <row r="129" spans="1:68" hidden="1" outlineLevel="1">
      <c r="A129" s="132"/>
      <c r="B129" s="174"/>
      <c r="C129" s="132"/>
      <c r="D129" s="256"/>
      <c r="E129" s="256"/>
      <c r="F129" s="256"/>
      <c r="G129" s="256"/>
      <c r="H129" s="2091"/>
      <c r="I129" s="256"/>
      <c r="J129" s="132"/>
      <c r="K129" s="132"/>
      <c r="L129" s="132"/>
      <c r="M129" s="132"/>
      <c r="N129" s="132"/>
      <c r="O129" s="132"/>
      <c r="P129" s="132"/>
      <c r="Q129" s="230"/>
      <c r="R129" s="132"/>
      <c r="S129" s="132"/>
      <c r="T129" s="132"/>
      <c r="U129" s="132"/>
      <c r="V129" s="132"/>
      <c r="W129" s="132"/>
      <c r="X129" s="132"/>
      <c r="Y129" s="132"/>
      <c r="Z129" s="132"/>
      <c r="AA129" s="132"/>
      <c r="AB129" s="132"/>
      <c r="AC129" s="132"/>
      <c r="AD129" s="132"/>
      <c r="AE129" s="132"/>
      <c r="AF129" s="132"/>
      <c r="AG129" s="132"/>
      <c r="AH129" s="230"/>
      <c r="AI129" s="132"/>
      <c r="AJ129" s="132"/>
      <c r="AK129" s="132"/>
      <c r="AL129" s="132"/>
      <c r="AM129" s="132"/>
      <c r="AN129" s="132"/>
      <c r="AO129" s="132"/>
      <c r="AP129" s="151"/>
      <c r="AQ129" s="132"/>
      <c r="AR129" s="132"/>
      <c r="AS129" s="132"/>
      <c r="AT129" s="132"/>
      <c r="AU129" s="132"/>
      <c r="AV129" s="132"/>
      <c r="AW129" s="132"/>
      <c r="AX129" s="132"/>
      <c r="AY129" s="132"/>
      <c r="AZ129" s="132"/>
      <c r="BA129" s="132"/>
      <c r="BB129" s="132"/>
      <c r="BC129" s="132"/>
      <c r="BD129" s="132"/>
      <c r="BE129" s="132"/>
      <c r="BF129" s="132"/>
      <c r="BG129" s="132"/>
      <c r="BH129" s="132"/>
      <c r="BI129" s="132"/>
      <c r="BJ129" s="132"/>
      <c r="BK129" s="132"/>
      <c r="BL129" s="132"/>
      <c r="BM129" s="132"/>
      <c r="BN129" s="132"/>
      <c r="BO129" s="587"/>
      <c r="BP129" s="587"/>
    </row>
    <row r="130" spans="1:68" hidden="1" outlineLevel="1">
      <c r="A130" s="810"/>
      <c r="B130" s="171">
        <f>+B123+1</f>
        <v>2007</v>
      </c>
      <c r="C130" s="256"/>
      <c r="D130" s="256"/>
      <c r="E130" s="643"/>
      <c r="F130" s="256"/>
      <c r="G130" s="643"/>
      <c r="H130" s="2091"/>
      <c r="I130" s="643"/>
      <c r="J130" s="256"/>
      <c r="K130" s="643"/>
      <c r="L130" s="256"/>
      <c r="M130" s="256"/>
      <c r="N130" s="256"/>
      <c r="O130" s="256"/>
      <c r="P130" s="256"/>
      <c r="Q130" s="643"/>
      <c r="R130" s="587"/>
      <c r="S130" s="587"/>
      <c r="T130" s="256"/>
      <c r="U130" s="256"/>
      <c r="V130" s="256"/>
      <c r="W130" s="256"/>
      <c r="X130" s="256"/>
      <c r="Y130" s="256"/>
      <c r="Z130" s="256"/>
      <c r="AA130" s="643"/>
      <c r="AB130" s="256"/>
      <c r="AC130" s="256"/>
      <c r="AD130" s="256"/>
      <c r="AE130" s="256"/>
      <c r="AF130" s="256"/>
      <c r="AG130" s="256"/>
      <c r="AH130" s="643"/>
      <c r="AI130" s="587"/>
      <c r="AJ130" s="587"/>
      <c r="AK130" s="256"/>
      <c r="AL130" s="256"/>
      <c r="AM130" s="256"/>
      <c r="AN130" s="256"/>
      <c r="AO130" s="256"/>
      <c r="AP130" s="289"/>
      <c r="AQ130" s="643"/>
      <c r="AR130" s="643"/>
      <c r="AS130" s="256"/>
      <c r="AT130" s="256"/>
      <c r="AU130" s="256"/>
      <c r="AV130" s="256"/>
      <c r="AW130" s="256"/>
      <c r="AX130" s="256"/>
      <c r="AY130" s="256"/>
      <c r="AZ130" s="256"/>
      <c r="BA130" s="256"/>
      <c r="BB130" s="256"/>
      <c r="BC130" s="256"/>
      <c r="BD130" s="256"/>
      <c r="BE130" s="256"/>
      <c r="BF130" s="256"/>
      <c r="BG130" s="256"/>
      <c r="BH130" s="256"/>
      <c r="BI130" s="256"/>
      <c r="BJ130" s="256"/>
      <c r="BK130" s="256"/>
      <c r="BL130" s="256"/>
      <c r="BM130" s="256"/>
      <c r="BN130" s="256"/>
      <c r="BO130" s="587"/>
      <c r="BP130" s="587"/>
    </row>
    <row r="131" spans="1:68" hidden="1" outlineLevel="1">
      <c r="A131" s="256" t="str">
        <f>$A$40</f>
        <v>1Q</v>
      </c>
      <c r="B131" s="302" t="str">
        <f>$B$40</f>
        <v>Apr</v>
      </c>
      <c r="C131" s="256"/>
      <c r="D131" s="145">
        <f>(V131/V124-1)*100</f>
        <v>14.622764602041617</v>
      </c>
      <c r="E131" s="643" t="s">
        <v>1970</v>
      </c>
      <c r="F131" s="217"/>
      <c r="G131" s="643"/>
      <c r="H131" s="2085">
        <f>+'segSales&amp;comps'!G133</f>
        <v>12</v>
      </c>
      <c r="I131" s="643" t="s">
        <v>1970</v>
      </c>
      <c r="J131" s="145">
        <f>D131-H131</f>
        <v>2.6227646020416167</v>
      </c>
      <c r="K131" s="643" t="s">
        <v>1970</v>
      </c>
      <c r="L131" s="725">
        <f>+Stores!D149</f>
        <v>65</v>
      </c>
      <c r="M131" s="256"/>
      <c r="N131" s="177">
        <f>AVERAGE(L131,L127)</f>
        <v>64.5</v>
      </c>
      <c r="O131" s="256"/>
      <c r="P131" s="145">
        <f>(N131/N124-1)*100</f>
        <v>9.322033898305083</v>
      </c>
      <c r="Q131" s="643" t="s">
        <v>1970</v>
      </c>
      <c r="R131" s="259">
        <f>J131/P131*100</f>
        <v>28.135111185537347</v>
      </c>
      <c r="S131" s="587" t="s">
        <v>1970</v>
      </c>
      <c r="T131" s="256"/>
      <c r="U131" s="256"/>
      <c r="V131" s="296">
        <f>+'segSales&amp;comps'!E133</f>
        <v>298.68400000000003</v>
      </c>
      <c r="W131" s="238"/>
      <c r="X131" s="143">
        <f>V131/N131</f>
        <v>4.6307596899224812</v>
      </c>
      <c r="Y131" s="256"/>
      <c r="Z131" s="219">
        <f>(X131/X124-1)*100</f>
        <v>4.8487304111698437</v>
      </c>
      <c r="AA131" s="643" t="s">
        <v>1970</v>
      </c>
      <c r="AB131" s="256"/>
      <c r="AC131" s="236">
        <f>Stores!G149</f>
        <v>0.49109999999999998</v>
      </c>
      <c r="AD131" s="256" t="s">
        <v>505</v>
      </c>
      <c r="AE131" s="254">
        <f>AVERAGE(AC131,AC127)</f>
        <v>0.48854999999999998</v>
      </c>
      <c r="AF131" s="256"/>
      <c r="AG131" s="145">
        <f>(AE131/AE124-1)*100</f>
        <v>4.6145610278372606</v>
      </c>
      <c r="AH131" s="643" t="s">
        <v>1970</v>
      </c>
      <c r="AI131" s="259">
        <f>+J131/AG131*100</f>
        <v>56.836708545402992</v>
      </c>
      <c r="AJ131" s="587" t="s">
        <v>1970</v>
      </c>
      <c r="AK131" s="256"/>
      <c r="AL131" s="141">
        <f>+V131</f>
        <v>298.68400000000003</v>
      </c>
      <c r="AM131" s="256" t="s">
        <v>505</v>
      </c>
      <c r="AN131" s="244">
        <f>AL131/AE131</f>
        <v>611.36833486848843</v>
      </c>
      <c r="AO131" s="256"/>
      <c r="AP131" s="151">
        <f>(AN131/AN124-1)*100</f>
        <v>9.5667404956574451</v>
      </c>
      <c r="AQ131" s="643" t="s">
        <v>1970</v>
      </c>
      <c r="AR131" s="643"/>
      <c r="AS131" s="256"/>
      <c r="AT131" s="256"/>
      <c r="AU131" s="256"/>
      <c r="AV131" s="256"/>
      <c r="AW131" s="256"/>
      <c r="AX131" s="256"/>
      <c r="AY131" s="256"/>
      <c r="AZ131" s="256"/>
      <c r="BA131" s="256"/>
      <c r="BB131" s="256"/>
      <c r="BC131" s="256"/>
      <c r="BD131" s="256"/>
      <c r="BE131" s="256"/>
      <c r="BF131" s="256"/>
      <c r="BG131" s="256"/>
      <c r="BH131" s="256"/>
      <c r="BI131" s="256"/>
      <c r="BJ131" s="256"/>
      <c r="BK131" s="256"/>
      <c r="BL131" s="256"/>
      <c r="BM131" s="256"/>
      <c r="BN131" s="256"/>
      <c r="BO131" s="1592"/>
      <c r="BP131" s="1492"/>
    </row>
    <row r="132" spans="1:68" hidden="1" outlineLevel="1">
      <c r="A132" s="256" t="str">
        <f>$A$41</f>
        <v>2Q</v>
      </c>
      <c r="B132" s="302" t="str">
        <f>$B$41</f>
        <v>Jul</v>
      </c>
      <c r="C132" s="256"/>
      <c r="D132" s="145">
        <f>(V132/V125-1)*100</f>
        <v>19.677289676873833</v>
      </c>
      <c r="E132" s="256"/>
      <c r="F132" s="217"/>
      <c r="G132" s="256"/>
      <c r="H132" s="2085">
        <f>+'segSales&amp;comps'!G134</f>
        <v>17</v>
      </c>
      <c r="I132" s="256"/>
      <c r="J132" s="145">
        <f>D132-H132</f>
        <v>2.6772896768738335</v>
      </c>
      <c r="K132" s="256"/>
      <c r="L132" s="725">
        <f>+Stores!D150</f>
        <v>65</v>
      </c>
      <c r="M132" s="256"/>
      <c r="N132" s="177">
        <f>AVERAGE(L132,L131)</f>
        <v>65</v>
      </c>
      <c r="O132" s="256"/>
      <c r="P132" s="145">
        <f>(N132/N125-1)*100</f>
        <v>9.2436974789915851</v>
      </c>
      <c r="Q132" s="643"/>
      <c r="R132" s="259">
        <f>J132/P132*100</f>
        <v>28.963406504362414</v>
      </c>
      <c r="S132" s="587"/>
      <c r="T132" s="256"/>
      <c r="U132" s="256"/>
      <c r="V132" s="315">
        <f>+'segSales&amp;comps'!E134</f>
        <v>345.33600000000001</v>
      </c>
      <c r="W132" s="238"/>
      <c r="X132" s="147">
        <f>V132/N132</f>
        <v>5.3128615384615383</v>
      </c>
      <c r="Y132" s="256"/>
      <c r="Z132" s="219">
        <f>(X132/X125-1)*100</f>
        <v>9.5507497811383466</v>
      </c>
      <c r="AA132" s="643"/>
      <c r="AB132" s="256"/>
      <c r="AC132" s="236">
        <f>Stores!G150</f>
        <v>0.49109999999999998</v>
      </c>
      <c r="AD132" s="238"/>
      <c r="AE132" s="254">
        <f>AVERAGE(AC132,AC131)</f>
        <v>0.49109999999999998</v>
      </c>
      <c r="AF132" s="256"/>
      <c r="AG132" s="145">
        <f>(AE132/AE125-1)*100</f>
        <v>4.7344849648112586</v>
      </c>
      <c r="AH132" s="643"/>
      <c r="AI132" s="259">
        <f>+J132/AG132*100</f>
        <v>56.548699526402743</v>
      </c>
      <c r="AJ132" s="587"/>
      <c r="AK132" s="256"/>
      <c r="AL132" s="142">
        <f>+V132</f>
        <v>345.33600000000001</v>
      </c>
      <c r="AM132" s="256"/>
      <c r="AN132" s="245">
        <f>AL132/AE132</f>
        <v>703.18875992669518</v>
      </c>
      <c r="AO132" s="256"/>
      <c r="AP132" s="151">
        <f>(AN132/AN125-1)*100</f>
        <v>14.267320565029795</v>
      </c>
      <c r="AQ132" s="643"/>
      <c r="AR132" s="643"/>
      <c r="AS132" s="256"/>
      <c r="AT132" s="256"/>
      <c r="AU132" s="256"/>
      <c r="AV132" s="256"/>
      <c r="AW132" s="256"/>
      <c r="AX132" s="256"/>
      <c r="AY132" s="256"/>
      <c r="AZ132" s="256"/>
      <c r="BA132" s="256"/>
      <c r="BB132" s="256"/>
      <c r="BC132" s="256"/>
      <c r="BD132" s="256"/>
      <c r="BE132" s="256"/>
      <c r="BF132" s="256"/>
      <c r="BG132" s="256"/>
      <c r="BH132" s="256"/>
      <c r="BI132" s="256"/>
      <c r="BJ132" s="256"/>
      <c r="BK132" s="256"/>
      <c r="BL132" s="256"/>
      <c r="BM132" s="256"/>
      <c r="BN132" s="256"/>
      <c r="BO132" s="1592"/>
      <c r="BP132" s="1492"/>
    </row>
    <row r="133" spans="1:68" hidden="1" outlineLevel="1">
      <c r="A133" s="256" t="str">
        <f>$A$42</f>
        <v>3Q</v>
      </c>
      <c r="B133" s="302" t="str">
        <f>$B$42</f>
        <v>Oct</v>
      </c>
      <c r="C133" s="256"/>
      <c r="D133" s="145">
        <f>(V133/V126-1)*100</f>
        <v>11.946459150876754</v>
      </c>
      <c r="E133" s="256"/>
      <c r="F133" s="217"/>
      <c r="G133" s="256"/>
      <c r="H133" s="2085">
        <f>+'segSales&amp;comps'!G135</f>
        <v>8</v>
      </c>
      <c r="I133" s="256"/>
      <c r="J133" s="145">
        <f>D133-H133</f>
        <v>3.9464591508767537</v>
      </c>
      <c r="K133" s="256"/>
      <c r="L133" s="725">
        <f>+Stores!D151</f>
        <v>68</v>
      </c>
      <c r="M133" s="238"/>
      <c r="N133" s="177">
        <f>AVERAGE(L133,L132)</f>
        <v>66.5</v>
      </c>
      <c r="O133" s="256"/>
      <c r="P133" s="145">
        <f>(N133/N126-1)*100</f>
        <v>8.1300813008130071</v>
      </c>
      <c r="Q133" s="643"/>
      <c r="R133" s="259">
        <f>J133/P133*100</f>
        <v>48.541447555784082</v>
      </c>
      <c r="S133" s="587"/>
      <c r="T133" s="256"/>
      <c r="U133" s="256"/>
      <c r="V133" s="315">
        <f>+'segSales&amp;comps'!E135</f>
        <v>302.673</v>
      </c>
      <c r="W133" s="256"/>
      <c r="X133" s="147">
        <f>V133/N133</f>
        <v>4.5514736842105261</v>
      </c>
      <c r="Y133" s="256"/>
      <c r="Z133" s="219">
        <f>(X133/X126-1)*100</f>
        <v>3.5294321470514367</v>
      </c>
      <c r="AA133" s="643"/>
      <c r="AB133" s="256"/>
      <c r="AC133" s="236">
        <f>Stores!G151</f>
        <v>0.50249999999999995</v>
      </c>
      <c r="AD133" s="238"/>
      <c r="AE133" s="254">
        <f>AVERAGE(AC133,AC132)</f>
        <v>0.49679999999999996</v>
      </c>
      <c r="AF133" s="256"/>
      <c r="AG133" s="145">
        <f>(AE133/AE126-1)*100</f>
        <v>4.2602308499475328</v>
      </c>
      <c r="AH133" s="643"/>
      <c r="AI133" s="259">
        <f>+J133/AG133*100</f>
        <v>92.634866275506099</v>
      </c>
      <c r="AJ133" s="587"/>
      <c r="AK133" s="256"/>
      <c r="AL133" s="142">
        <f>+V133</f>
        <v>302.673</v>
      </c>
      <c r="AM133" s="256"/>
      <c r="AN133" s="245">
        <f>AL133/AE133</f>
        <v>609.2451690821257</v>
      </c>
      <c r="AO133" s="256"/>
      <c r="AP133" s="920">
        <f>(AN133/AN126-1)*100</f>
        <v>7.3721573780047844</v>
      </c>
      <c r="AQ133" s="643"/>
      <c r="AR133" s="643"/>
      <c r="AS133" s="256"/>
      <c r="AT133" s="256"/>
      <c r="AU133" s="256"/>
      <c r="AV133" s="256"/>
      <c r="AW133" s="256"/>
      <c r="AX133" s="256"/>
      <c r="AY133" s="256"/>
      <c r="AZ133" s="256"/>
      <c r="BA133" s="256"/>
      <c r="BB133" s="256"/>
      <c r="BC133" s="256"/>
      <c r="BD133" s="256"/>
      <c r="BE133" s="256"/>
      <c r="BF133" s="256"/>
      <c r="BG133" s="256"/>
      <c r="BH133" s="256"/>
      <c r="BI133" s="256"/>
      <c r="BJ133" s="256"/>
      <c r="BK133" s="256"/>
      <c r="BL133" s="256"/>
      <c r="BM133" s="256"/>
      <c r="BN133" s="256"/>
      <c r="BO133" s="1592"/>
      <c r="BP133" s="1492"/>
    </row>
    <row r="134" spans="1:68" hidden="1" outlineLevel="1">
      <c r="A134" s="256" t="str">
        <f>$A$43</f>
        <v>4Q</v>
      </c>
      <c r="B134" s="302" t="str">
        <f>$B$43</f>
        <v>Jan</v>
      </c>
      <c r="C134" s="256"/>
      <c r="D134" s="176">
        <f>(V134/V127-1)*100</f>
        <v>4.1451318914568436</v>
      </c>
      <c r="E134" s="256"/>
      <c r="F134" s="218"/>
      <c r="G134" s="256"/>
      <c r="H134" s="2090">
        <f>+'segSales&amp;comps'!G136</f>
        <v>-1</v>
      </c>
      <c r="I134" s="256"/>
      <c r="J134" s="176">
        <f>D134-H134</f>
        <v>5.1451318914568436</v>
      </c>
      <c r="K134" s="256"/>
      <c r="L134" s="917">
        <f>+Stores!D152</f>
        <v>70</v>
      </c>
      <c r="M134" s="238"/>
      <c r="N134" s="178">
        <f>AVERAGE(L134,L133)</f>
        <v>69</v>
      </c>
      <c r="O134" s="256"/>
      <c r="P134" s="176">
        <f>(N134/N127-1)*100</f>
        <v>8.6614173228346516</v>
      </c>
      <c r="Q134" s="643"/>
      <c r="R134" s="178">
        <f>J134/P134*100</f>
        <v>59.402886383183514</v>
      </c>
      <c r="S134" s="587"/>
      <c r="T134" s="256"/>
      <c r="U134" s="256"/>
      <c r="V134" s="316">
        <f>+'segSales&amp;comps'!E136</f>
        <v>527.94500000000005</v>
      </c>
      <c r="W134" s="256"/>
      <c r="X134" s="148">
        <f>V134/N134</f>
        <v>7.6513768115942034</v>
      </c>
      <c r="Y134" s="256"/>
      <c r="Z134" s="218">
        <f>(X134/X127-1)*100</f>
        <v>-4.156291665108558</v>
      </c>
      <c r="AA134" s="643"/>
      <c r="AB134" s="256"/>
      <c r="AC134" s="236">
        <f>Stores!G152</f>
        <v>0.53300000000000003</v>
      </c>
      <c r="AD134" s="238"/>
      <c r="AE134" s="255">
        <f>AVERAGE(AC134,AC133)</f>
        <v>0.51774999999999993</v>
      </c>
      <c r="AF134" s="256"/>
      <c r="AG134" s="176">
        <f>(AE134/AE127-1)*100</f>
        <v>6.9510431728981636</v>
      </c>
      <c r="AH134" s="643"/>
      <c r="AI134" s="178">
        <f>+J134/AG134*100</f>
        <v>74.019564595966031</v>
      </c>
      <c r="AJ134" s="587"/>
      <c r="AK134" s="256"/>
      <c r="AL134" s="146">
        <f>+V134</f>
        <v>527.94500000000005</v>
      </c>
      <c r="AM134" s="256"/>
      <c r="AN134" s="257">
        <f>AL134/AE134</f>
        <v>1019.6909705456303</v>
      </c>
      <c r="AO134" s="256"/>
      <c r="AP134" s="921">
        <f>(AN134/AN127-1)*100</f>
        <v>-2.6235473710202517</v>
      </c>
      <c r="AQ134" s="643"/>
      <c r="AR134" s="643"/>
      <c r="AS134" s="256"/>
      <c r="AT134" s="256"/>
      <c r="AU134" s="256"/>
      <c r="AV134" s="256"/>
      <c r="AW134" s="256"/>
      <c r="AX134" s="256"/>
      <c r="AY134" s="256"/>
      <c r="AZ134" s="256"/>
      <c r="BA134" s="256"/>
      <c r="BB134" s="256"/>
      <c r="BC134" s="256"/>
      <c r="BD134" s="256"/>
      <c r="BE134" s="256"/>
      <c r="BF134" s="256"/>
      <c r="BG134" s="256"/>
      <c r="BH134" s="256"/>
      <c r="BI134" s="256"/>
      <c r="BJ134" s="256"/>
      <c r="BK134" s="256"/>
      <c r="BL134" s="256"/>
      <c r="BM134" s="256"/>
      <c r="BN134" s="256"/>
      <c r="BO134" s="1592"/>
      <c r="BP134" s="1492"/>
    </row>
    <row r="135" spans="1:68" hidden="1" outlineLevel="1">
      <c r="A135" s="256"/>
      <c r="B135" s="302" t="str">
        <f>$B$44</f>
        <v>Year</v>
      </c>
      <c r="C135" s="256"/>
      <c r="D135" s="145">
        <f>(V135/V128-1)*100</f>
        <v>11.172528593431586</v>
      </c>
      <c r="E135" s="256"/>
      <c r="F135" s="217"/>
      <c r="G135" s="256"/>
      <c r="H135" s="2085">
        <f>+'segSales&amp;comps'!G137</f>
        <v>7</v>
      </c>
      <c r="I135" s="256"/>
      <c r="J135" s="145">
        <f>D135-H135</f>
        <v>4.1725285934315863</v>
      </c>
      <c r="K135" s="256"/>
      <c r="L135" s="923">
        <f>L134</f>
        <v>70</v>
      </c>
      <c r="M135" s="256"/>
      <c r="N135" s="177">
        <f>AVERAGE(N131:N134)</f>
        <v>66.25</v>
      </c>
      <c r="O135" s="256"/>
      <c r="P135" s="145">
        <f>(N135/N128-1)*100</f>
        <v>8.8295687885010299</v>
      </c>
      <c r="Q135" s="643"/>
      <c r="R135" s="259">
        <f>J135/P135*100</f>
        <v>47.256312209329806</v>
      </c>
      <c r="S135" s="587"/>
      <c r="T135" s="256"/>
      <c r="U135" s="256"/>
      <c r="V135" s="296">
        <f>SUM(V131:V134)</f>
        <v>1474.6379999999999</v>
      </c>
      <c r="W135" s="256"/>
      <c r="X135" s="918">
        <f>V135/N135</f>
        <v>22.258686792452828</v>
      </c>
      <c r="Y135" s="256"/>
      <c r="Z135" s="219">
        <f>(X135/X128-1)*100</f>
        <v>2.1528706132097675</v>
      </c>
      <c r="AA135" s="643"/>
      <c r="AB135" s="256"/>
      <c r="AC135" s="256"/>
      <c r="AD135" s="256"/>
      <c r="AE135" s="254">
        <f>AVERAGE(AE131:AE134)</f>
        <v>0.49854999999999994</v>
      </c>
      <c r="AF135" s="256"/>
      <c r="AG135" s="145">
        <f>(AE135/AE128-1)*100</f>
        <v>5.1515950435011781</v>
      </c>
      <c r="AH135" s="643"/>
      <c r="AI135" s="259">
        <f>+J135/AG135*100</f>
        <v>80.994887179560038</v>
      </c>
      <c r="AJ135" s="587"/>
      <c r="AK135" s="256"/>
      <c r="AL135" s="141">
        <f>SUM(AL131:AL134)</f>
        <v>1474.6379999999999</v>
      </c>
      <c r="AM135" s="256"/>
      <c r="AN135" s="919">
        <f>AL135/AE135</f>
        <v>2957.853775950256</v>
      </c>
      <c r="AO135" s="256"/>
      <c r="AP135" s="920">
        <f>(AN135/AN128-1)*100</f>
        <v>5.7259555096996317</v>
      </c>
      <c r="AQ135" s="643"/>
      <c r="AR135" s="643"/>
      <c r="AS135" s="256"/>
      <c r="AT135" s="256"/>
      <c r="AU135" s="256"/>
      <c r="AV135" s="256"/>
      <c r="AW135" s="256"/>
      <c r="AX135" s="256"/>
      <c r="AY135" s="256"/>
      <c r="AZ135" s="256"/>
      <c r="BA135" s="256"/>
      <c r="BB135" s="256"/>
      <c r="BC135" s="256"/>
      <c r="BD135" s="256"/>
      <c r="BE135" s="256"/>
      <c r="BF135" s="256"/>
      <c r="BG135" s="256"/>
      <c r="BH135" s="256"/>
      <c r="BI135" s="256"/>
      <c r="BJ135" s="256"/>
      <c r="BK135" s="256"/>
      <c r="BL135" s="256"/>
      <c r="BM135" s="256"/>
      <c r="BN135" s="256"/>
      <c r="BO135" s="587"/>
      <c r="BP135" s="587"/>
    </row>
    <row r="136" spans="1:68" collapsed="1">
      <c r="A136" s="256"/>
      <c r="B136" s="302"/>
      <c r="C136" s="256"/>
      <c r="D136" s="145"/>
      <c r="E136" s="256"/>
      <c r="F136" s="217"/>
      <c r="G136" s="256"/>
      <c r="H136" s="2085"/>
      <c r="I136" s="256"/>
      <c r="J136" s="145"/>
      <c r="K136" s="256"/>
      <c r="L136" s="1030"/>
      <c r="M136" s="256"/>
      <c r="N136" s="177"/>
      <c r="O136" s="256"/>
      <c r="P136" s="145"/>
      <c r="Q136" s="643"/>
      <c r="R136" s="259"/>
      <c r="S136" s="587"/>
      <c r="T136" s="256"/>
      <c r="U136" s="256"/>
      <c r="V136" s="296"/>
      <c r="W136" s="256"/>
      <c r="X136" s="1031"/>
      <c r="Y136" s="256"/>
      <c r="Z136" s="219"/>
      <c r="AA136" s="643"/>
      <c r="AB136" s="256"/>
      <c r="AC136" s="256"/>
      <c r="AD136" s="256"/>
      <c r="AE136" s="254"/>
      <c r="AF136" s="256"/>
      <c r="AG136" s="145"/>
      <c r="AH136" s="643"/>
      <c r="AI136" s="259"/>
      <c r="AJ136" s="587"/>
      <c r="AK136" s="256"/>
      <c r="AL136" s="141"/>
      <c r="AM136" s="256"/>
      <c r="AN136" s="1032"/>
      <c r="AO136" s="256"/>
      <c r="AP136" s="920"/>
      <c r="AQ136" s="643"/>
      <c r="AR136" s="643"/>
      <c r="AS136" s="256"/>
      <c r="AT136" s="256"/>
      <c r="AU136" s="256"/>
      <c r="AV136" s="256"/>
      <c r="AW136" s="256"/>
      <c r="AX136" s="256"/>
      <c r="AY136" s="256"/>
      <c r="AZ136" s="256"/>
      <c r="BA136" s="256"/>
      <c r="BB136" s="256"/>
      <c r="BC136" s="256"/>
      <c r="BD136" s="256"/>
      <c r="BE136" s="256"/>
      <c r="BF136" s="256"/>
      <c r="BG136" s="256"/>
      <c r="BH136" s="256"/>
      <c r="BI136" s="256"/>
      <c r="BJ136" s="256"/>
      <c r="BK136" s="256"/>
      <c r="BL136" s="256"/>
      <c r="BM136" s="256"/>
      <c r="BN136" s="256"/>
      <c r="BO136" s="587"/>
      <c r="BP136" s="587"/>
    </row>
    <row r="137" spans="1:68">
      <c r="A137" s="256" t="s">
        <v>1079</v>
      </c>
      <c r="B137" s="302"/>
      <c r="C137" s="256"/>
      <c r="D137" s="145"/>
      <c r="E137" s="256"/>
      <c r="F137" s="217"/>
      <c r="G137" s="256"/>
      <c r="H137" s="2085"/>
      <c r="I137" s="256"/>
      <c r="J137" s="145"/>
      <c r="K137" s="256"/>
      <c r="L137" s="1030"/>
      <c r="M137" s="256"/>
      <c r="N137" s="177"/>
      <c r="O137" s="256"/>
      <c r="P137" s="145"/>
      <c r="Q137" s="643"/>
      <c r="R137" s="259"/>
      <c r="S137" s="587"/>
      <c r="T137" s="256"/>
      <c r="U137" s="256"/>
      <c r="V137" s="296"/>
      <c r="W137" s="256"/>
      <c r="X137" s="1031"/>
      <c r="Y137" s="256"/>
      <c r="Z137" s="219"/>
      <c r="AA137" s="643"/>
      <c r="AB137" s="256"/>
      <c r="AC137" s="256"/>
      <c r="AD137" s="256"/>
      <c r="AE137" s="254"/>
      <c r="AF137" s="256"/>
      <c r="AG137" s="145"/>
      <c r="AH137" s="643"/>
      <c r="AI137" s="259"/>
      <c r="AJ137" s="587"/>
      <c r="AK137" s="256"/>
      <c r="AL137" s="141"/>
      <c r="AM137" s="256"/>
      <c r="AN137" s="1032"/>
      <c r="AO137" s="256"/>
      <c r="AP137" s="920"/>
      <c r="AQ137" s="643"/>
      <c r="AR137" s="643"/>
      <c r="AS137" s="256"/>
      <c r="AT137" s="256"/>
      <c r="AU137" s="256"/>
      <c r="AV137" s="256"/>
      <c r="AW137" s="256"/>
      <c r="AX137" s="256"/>
      <c r="AY137" s="256"/>
      <c r="AZ137" s="256"/>
      <c r="BA137" s="256"/>
      <c r="BB137" s="256"/>
      <c r="BC137" s="256"/>
      <c r="BD137" s="256"/>
      <c r="BE137" s="256"/>
      <c r="BF137" s="256"/>
      <c r="BG137" s="256"/>
      <c r="BH137" s="256"/>
      <c r="BI137" s="256"/>
      <c r="BJ137" s="256"/>
      <c r="BK137" s="256"/>
      <c r="BL137" s="256"/>
      <c r="BM137" s="256"/>
      <c r="BN137" s="256"/>
      <c r="BO137" s="587"/>
      <c r="BP137" s="587"/>
    </row>
    <row r="138" spans="1:68">
      <c r="A138" s="860" t="s">
        <v>1080</v>
      </c>
      <c r="B138" s="1126"/>
      <c r="C138" s="860"/>
      <c r="D138" s="860"/>
      <c r="E138" s="1127"/>
      <c r="F138" s="860"/>
      <c r="G138" s="1127"/>
      <c r="H138" s="2092"/>
      <c r="I138" s="860"/>
      <c r="J138" s="860"/>
      <c r="K138" s="1128"/>
      <c r="L138" s="1129"/>
      <c r="M138" s="1128"/>
      <c r="N138" s="1130"/>
      <c r="O138" s="1128"/>
      <c r="P138" s="1131"/>
      <c r="Q138" s="1132"/>
      <c r="R138" s="1133"/>
      <c r="S138" s="1134"/>
      <c r="T138" s="1128"/>
      <c r="U138" s="1128"/>
      <c r="V138" s="1135"/>
      <c r="W138" s="1128"/>
      <c r="X138" s="1136"/>
      <c r="Y138" s="1128"/>
      <c r="Z138" s="1137"/>
      <c r="AA138" s="1132"/>
      <c r="AB138" s="1128"/>
      <c r="AC138" s="1128"/>
      <c r="AD138" s="1128"/>
      <c r="AE138" s="1138"/>
      <c r="AF138" s="1128"/>
      <c r="AG138" s="1131"/>
      <c r="AH138" s="1132"/>
      <c r="AI138" s="1133"/>
      <c r="AJ138" s="1134"/>
      <c r="AK138" s="1128"/>
      <c r="AL138" s="1135"/>
      <c r="AM138" s="1128"/>
      <c r="AN138" s="1139"/>
      <c r="AO138" s="1128"/>
      <c r="AP138" s="1140"/>
      <c r="AQ138" s="1132"/>
      <c r="AR138" s="1132"/>
      <c r="AS138" s="1128"/>
      <c r="AT138" s="1128"/>
      <c r="AU138" s="1128"/>
      <c r="AV138" s="1128"/>
      <c r="AW138" s="1128"/>
      <c r="AX138" s="1128"/>
      <c r="AY138" s="1128"/>
      <c r="AZ138" s="1128"/>
      <c r="BA138" s="1128"/>
      <c r="BB138" s="1128"/>
      <c r="BC138" s="1128"/>
      <c r="BD138" s="1128"/>
      <c r="BE138" s="1128"/>
      <c r="BF138" s="1128"/>
      <c r="BG138" s="1128"/>
      <c r="BH138" s="1128"/>
      <c r="BI138" s="1128"/>
      <c r="BJ138" s="1128"/>
      <c r="BK138" s="1128"/>
      <c r="BL138" s="1128"/>
      <c r="BM138" s="1128"/>
      <c r="BN138" s="1128"/>
      <c r="BO138" s="587"/>
      <c r="BP138" s="587"/>
    </row>
    <row r="139" spans="1:68">
      <c r="A139" s="135" t="s">
        <v>1088</v>
      </c>
      <c r="B139" s="173"/>
      <c r="C139" s="135"/>
      <c r="D139" s="135"/>
      <c r="E139" s="153"/>
      <c r="F139" s="135"/>
      <c r="G139" s="153"/>
      <c r="H139" s="2084"/>
      <c r="I139" s="135"/>
      <c r="J139" s="135"/>
      <c r="K139" s="153"/>
      <c r="L139" s="135"/>
      <c r="M139" s="135"/>
      <c r="N139" s="135"/>
      <c r="O139" s="153"/>
      <c r="P139" s="135"/>
      <c r="Q139" s="153"/>
      <c r="R139" s="135"/>
      <c r="S139" s="135"/>
      <c r="T139" s="153"/>
      <c r="U139" s="153"/>
      <c r="V139" s="135"/>
      <c r="W139" s="135"/>
      <c r="X139" s="153"/>
      <c r="Y139" s="153"/>
      <c r="Z139" s="135"/>
      <c r="AA139" s="187"/>
      <c r="AB139" s="135"/>
      <c r="AC139" s="135"/>
      <c r="AD139" s="135"/>
      <c r="AE139" s="135"/>
      <c r="AF139" s="153"/>
      <c r="AG139" s="135"/>
      <c r="AH139" s="153"/>
      <c r="AI139" s="135"/>
      <c r="AJ139" s="135"/>
      <c r="AK139" s="153"/>
      <c r="AL139" s="135"/>
      <c r="AM139" s="135"/>
      <c r="AN139" s="153"/>
      <c r="AO139" s="153"/>
      <c r="AP139" s="135"/>
      <c r="AQ139" s="246"/>
      <c r="AR139" s="246"/>
      <c r="AS139" s="155"/>
      <c r="AT139" s="155"/>
      <c r="AU139" s="155"/>
      <c r="AV139" s="155"/>
      <c r="AW139" s="155"/>
      <c r="AX139" s="155"/>
      <c r="AY139" s="155"/>
      <c r="AZ139" s="776" t="s">
        <v>242</v>
      </c>
      <c r="BA139" s="776"/>
      <c r="BB139" s="268"/>
      <c r="BC139" s="776" t="s">
        <v>268</v>
      </c>
      <c r="BD139" s="776"/>
      <c r="BE139" s="268"/>
      <c r="BF139" s="776" t="s">
        <v>269</v>
      </c>
      <c r="BG139" s="776"/>
      <c r="BH139" s="155"/>
      <c r="BI139" s="155"/>
      <c r="BJ139" s="155"/>
      <c r="BK139" s="155"/>
      <c r="BL139" s="155"/>
      <c r="BM139" s="155"/>
      <c r="BN139" s="155"/>
      <c r="BO139" s="283"/>
      <c r="BP139" s="283"/>
    </row>
    <row r="140" spans="1:68" ht="13.5" thickBot="1">
      <c r="A140" s="133"/>
      <c r="B140" s="172"/>
      <c r="C140" s="133"/>
      <c r="D140" s="133"/>
      <c r="E140" s="152"/>
      <c r="F140" s="133"/>
      <c r="G140" s="152"/>
      <c r="H140" s="2083"/>
      <c r="I140" s="133"/>
      <c r="J140" s="133"/>
      <c r="K140" s="256"/>
      <c r="L140" s="1030"/>
      <c r="M140" s="256"/>
      <c r="N140" s="177"/>
      <c r="O140" s="256"/>
      <c r="P140" s="145"/>
      <c r="Q140" s="643"/>
      <c r="R140" s="259"/>
      <c r="S140" s="587"/>
      <c r="T140" s="256"/>
      <c r="U140" s="256"/>
      <c r="V140" s="296"/>
      <c r="W140" s="256"/>
      <c r="X140" s="1031"/>
      <c r="Y140" s="256"/>
      <c r="Z140" s="219"/>
      <c r="AA140" s="643"/>
      <c r="AB140" s="256"/>
      <c r="AC140" s="256"/>
      <c r="AD140" s="256"/>
      <c r="AE140" s="254"/>
      <c r="AF140" s="256"/>
      <c r="AG140" s="145"/>
      <c r="AH140" s="643"/>
      <c r="AI140" s="259"/>
      <c r="AJ140" s="587"/>
      <c r="AK140" s="256"/>
      <c r="AL140" s="141"/>
      <c r="AM140" s="256"/>
      <c r="AN140" s="1032"/>
      <c r="AO140" s="256"/>
      <c r="AP140" s="920"/>
      <c r="AQ140" s="643"/>
      <c r="AR140" s="643"/>
      <c r="AS140" s="256"/>
      <c r="AT140" s="256"/>
      <c r="AU140" s="256"/>
      <c r="AV140" s="256"/>
      <c r="AW140" s="256"/>
      <c r="AX140" s="256"/>
      <c r="AY140" s="256"/>
      <c r="AZ140" s="256"/>
      <c r="BA140" s="256"/>
      <c r="BB140" s="256"/>
      <c r="BC140" s="256"/>
      <c r="BD140" s="256"/>
      <c r="BE140" s="256"/>
      <c r="BF140" s="256"/>
      <c r="BG140" s="256"/>
      <c r="BH140" s="256"/>
      <c r="BI140" s="256"/>
      <c r="BJ140" s="256"/>
      <c r="BK140" s="256"/>
      <c r="BL140" s="256"/>
      <c r="BM140" s="256"/>
      <c r="BN140" s="256"/>
      <c r="BO140" s="587"/>
      <c r="BP140" s="587"/>
    </row>
    <row r="141" spans="1:68" ht="13.5" hidden="1" outlineLevel="1" thickBot="1">
      <c r="A141" s="810"/>
      <c r="B141" s="171">
        <v>2006</v>
      </c>
      <c r="C141" s="256"/>
      <c r="D141" s="256"/>
      <c r="E141" s="643"/>
      <c r="F141" s="256"/>
      <c r="G141" s="643"/>
      <c r="H141" s="2091"/>
      <c r="I141" s="643"/>
      <c r="J141" s="256"/>
      <c r="K141" s="643"/>
      <c r="L141" s="256"/>
      <c r="M141" s="256"/>
      <c r="N141" s="256"/>
      <c r="O141" s="256"/>
      <c r="P141" s="256"/>
      <c r="Q141" s="643"/>
      <c r="R141" s="587"/>
      <c r="S141" s="587"/>
      <c r="T141" s="256"/>
      <c r="U141" s="256"/>
      <c r="V141" s="256"/>
      <c r="W141" s="256"/>
      <c r="X141" s="256"/>
      <c r="Y141" s="256"/>
      <c r="Z141" s="256"/>
      <c r="AA141" s="643"/>
      <c r="AB141" s="256"/>
      <c r="AC141" s="256"/>
      <c r="AD141" s="256"/>
      <c r="AE141" s="256"/>
      <c r="AF141" s="256"/>
      <c r="AG141" s="256"/>
      <c r="AH141" s="643"/>
      <c r="AI141" s="587"/>
      <c r="AJ141" s="587"/>
      <c r="AK141" s="256"/>
      <c r="AL141" s="256"/>
      <c r="AM141" s="256"/>
      <c r="AN141" s="256"/>
      <c r="AO141" s="256"/>
      <c r="AP141" s="289"/>
      <c r="AQ141" s="643"/>
      <c r="AR141" s="643"/>
      <c r="AS141" s="256"/>
      <c r="AT141" s="256"/>
      <c r="AU141" s="256"/>
      <c r="AV141" s="256"/>
      <c r="AW141" s="256"/>
      <c r="AX141" s="256"/>
      <c r="AY141" s="256"/>
      <c r="AZ141" s="1605"/>
      <c r="BA141" s="238"/>
      <c r="BB141" s="256"/>
      <c r="BC141" s="1605"/>
      <c r="BD141" s="238"/>
      <c r="BF141" s="1605"/>
      <c r="BG141" s="238"/>
      <c r="BH141" s="256"/>
      <c r="BI141" s="256"/>
      <c r="BJ141" s="256"/>
      <c r="BK141" s="256"/>
      <c r="BL141" s="256"/>
      <c r="BM141" s="256"/>
      <c r="BN141" s="256"/>
      <c r="BO141" s="587"/>
      <c r="BP141" s="587"/>
    </row>
    <row r="142" spans="1:68" hidden="1" outlineLevel="1">
      <c r="A142" s="256" t="str">
        <f>$A$40</f>
        <v>1Q</v>
      </c>
      <c r="B142" s="302" t="str">
        <f>$B$40</f>
        <v>Apr</v>
      </c>
      <c r="C142" s="256"/>
      <c r="D142" s="1122" t="s">
        <v>1086</v>
      </c>
      <c r="E142" s="643" t="s">
        <v>1970</v>
      </c>
      <c r="F142" s="1122"/>
      <c r="G142" s="643"/>
      <c r="H142" s="2085" t="s">
        <v>1086</v>
      </c>
      <c r="I142" s="643" t="s">
        <v>1970</v>
      </c>
      <c r="J142" s="1122" t="s">
        <v>1086</v>
      </c>
      <c r="K142" s="643" t="s">
        <v>1970</v>
      </c>
      <c r="L142" s="1143">
        <f>Stores!D226</f>
        <v>67</v>
      </c>
      <c r="M142" s="256"/>
      <c r="N142" s="177">
        <f>AVERAGE(L142,66)</f>
        <v>66.5</v>
      </c>
      <c r="O142" s="256"/>
      <c r="P142" s="288">
        <v>6.4000000000000057</v>
      </c>
      <c r="Q142" s="643" t="s">
        <v>1970</v>
      </c>
      <c r="R142" s="1122" t="s">
        <v>1086</v>
      </c>
      <c r="S142" s="587" t="s">
        <v>1970</v>
      </c>
      <c r="T142" s="256"/>
      <c r="U142" s="256"/>
      <c r="V142" s="296">
        <f>'segSales&amp;comps'!E152</f>
        <v>303.62299999999999</v>
      </c>
      <c r="W142" s="238"/>
      <c r="X142" s="1122" t="s">
        <v>1086</v>
      </c>
      <c r="Y142" s="256"/>
      <c r="Z142" s="1122" t="s">
        <v>1086</v>
      </c>
      <c r="AA142" s="643" t="s">
        <v>1970</v>
      </c>
      <c r="AB142" s="256"/>
      <c r="AC142" s="1507"/>
      <c r="AD142" s="256"/>
      <c r="AE142" s="1122"/>
      <c r="AF142" s="256"/>
      <c r="AG142" s="1122"/>
      <c r="AH142" s="643"/>
      <c r="AI142" s="1122"/>
      <c r="AJ142" s="587"/>
      <c r="AK142" s="256"/>
      <c r="AL142" s="141"/>
      <c r="AM142" s="256"/>
      <c r="AN142" s="1122"/>
      <c r="AO142" s="256"/>
      <c r="AP142" s="1122"/>
      <c r="AQ142" s="643" t="s">
        <v>1970</v>
      </c>
      <c r="AR142" s="643"/>
      <c r="AS142" s="256"/>
      <c r="AT142" s="256"/>
      <c r="AU142" s="256"/>
      <c r="AV142" s="256"/>
      <c r="AW142" s="256"/>
      <c r="AX142" s="256"/>
      <c r="AY142" s="256"/>
      <c r="AZ142" s="1017"/>
      <c r="BA142" s="1167"/>
      <c r="BB142" s="1167"/>
      <c r="BC142" s="1017"/>
      <c r="BD142" s="1167"/>
      <c r="BF142" s="1017"/>
      <c r="BG142" s="1167"/>
      <c r="BH142" s="256"/>
      <c r="BI142" s="256"/>
      <c r="BJ142" s="256"/>
      <c r="BK142" s="256"/>
      <c r="BL142" s="256"/>
      <c r="BM142" s="256"/>
      <c r="BN142" s="256"/>
      <c r="BO142" s="1592"/>
      <c r="BP142" s="1492"/>
    </row>
    <row r="143" spans="1:68" hidden="1" outlineLevel="1">
      <c r="A143" s="256" t="str">
        <f>$A$41</f>
        <v>2Q</v>
      </c>
      <c r="B143" s="302" t="str">
        <f>$B$41</f>
        <v>Jul</v>
      </c>
      <c r="C143" s="256"/>
      <c r="D143" s="1122" t="s">
        <v>1086</v>
      </c>
      <c r="E143" s="256"/>
      <c r="F143" s="1122"/>
      <c r="G143" s="256"/>
      <c r="H143" s="2085" t="s">
        <v>1086</v>
      </c>
      <c r="I143" s="256"/>
      <c r="J143" s="1122" t="s">
        <v>1086</v>
      </c>
      <c r="K143" s="256"/>
      <c r="L143" s="1143">
        <f>Stores!D227</f>
        <v>68</v>
      </c>
      <c r="M143" s="256"/>
      <c r="N143" s="177">
        <f>AVERAGE(L143,L142)</f>
        <v>67.5</v>
      </c>
      <c r="O143" s="256"/>
      <c r="P143" s="288">
        <v>6.2992125984252079</v>
      </c>
      <c r="Q143" s="643"/>
      <c r="R143" s="1122" t="s">
        <v>1086</v>
      </c>
      <c r="S143" s="587"/>
      <c r="T143" s="256"/>
      <c r="U143" s="256"/>
      <c r="V143" s="315">
        <f>'segSales&amp;comps'!E153</f>
        <v>342.91699999999997</v>
      </c>
      <c r="W143" s="238"/>
      <c r="X143" s="1122" t="s">
        <v>1086</v>
      </c>
      <c r="Y143" s="256"/>
      <c r="Z143" s="1122" t="s">
        <v>1086</v>
      </c>
      <c r="AA143" s="643"/>
      <c r="AB143" s="256"/>
      <c r="AC143" s="1507"/>
      <c r="AD143" s="238"/>
      <c r="AE143" s="1122"/>
      <c r="AF143" s="256"/>
      <c r="AG143" s="1122"/>
      <c r="AH143" s="643"/>
      <c r="AI143" s="1122"/>
      <c r="AJ143" s="587"/>
      <c r="AK143" s="256"/>
      <c r="AL143" s="142"/>
      <c r="AM143" s="256"/>
      <c r="AN143" s="1122"/>
      <c r="AO143" s="256"/>
      <c r="AP143" s="1122"/>
      <c r="AQ143" s="643"/>
      <c r="AR143" s="643"/>
      <c r="AS143" s="256"/>
      <c r="AT143" s="256"/>
      <c r="AU143" s="256"/>
      <c r="AV143" s="256"/>
      <c r="AW143" s="256"/>
      <c r="AX143" s="256"/>
      <c r="AY143" s="256"/>
      <c r="AZ143" s="1017"/>
      <c r="BA143" s="1167"/>
      <c r="BB143" s="1167"/>
      <c r="BC143" s="1017"/>
      <c r="BD143" s="1167"/>
      <c r="BF143" s="1017"/>
      <c r="BG143" s="1167"/>
      <c r="BH143" s="256"/>
      <c r="BI143" s="256"/>
      <c r="BJ143" s="256"/>
      <c r="BK143" s="256"/>
      <c r="BL143" s="256"/>
      <c r="BM143" s="256"/>
      <c r="BN143" s="256"/>
      <c r="BO143" s="1592"/>
      <c r="BP143" s="1492"/>
    </row>
    <row r="144" spans="1:68" hidden="1" outlineLevel="1">
      <c r="A144" s="256" t="str">
        <f>$A$42</f>
        <v>3Q</v>
      </c>
      <c r="B144" s="302" t="str">
        <f>$B$42</f>
        <v>Oct</v>
      </c>
      <c r="C144" s="256"/>
      <c r="D144" s="1122" t="s">
        <v>1086</v>
      </c>
      <c r="E144" s="256"/>
      <c r="F144" s="1122"/>
      <c r="G144" s="256"/>
      <c r="H144" s="2085" t="s">
        <v>1086</v>
      </c>
      <c r="I144" s="256"/>
      <c r="J144" s="1122" t="s">
        <v>1086</v>
      </c>
      <c r="K144" s="256"/>
      <c r="L144" s="1143">
        <f>Stores!D228</f>
        <v>71</v>
      </c>
      <c r="M144" s="238"/>
      <c r="N144" s="177">
        <f>AVERAGE(L144,L143)</f>
        <v>69.5</v>
      </c>
      <c r="O144" s="256"/>
      <c r="P144" s="288">
        <v>7.7519379844961156</v>
      </c>
      <c r="Q144" s="643"/>
      <c r="R144" s="1122" t="s">
        <v>1086</v>
      </c>
      <c r="S144" s="587"/>
      <c r="T144" s="256"/>
      <c r="U144" s="256"/>
      <c r="V144" s="315">
        <f>'segSales&amp;comps'!E154</f>
        <v>317.45400000000001</v>
      </c>
      <c r="W144" s="256"/>
      <c r="X144" s="1122" t="s">
        <v>1086</v>
      </c>
      <c r="Y144" s="256"/>
      <c r="Z144" s="1122" t="s">
        <v>1086</v>
      </c>
      <c r="AA144" s="643"/>
      <c r="AB144" s="256"/>
      <c r="AC144" s="1507"/>
      <c r="AD144" s="238"/>
      <c r="AE144" s="1122"/>
      <c r="AF144" s="256"/>
      <c r="AG144" s="1122"/>
      <c r="AH144" s="643"/>
      <c r="AI144" s="1122"/>
      <c r="AJ144" s="587"/>
      <c r="AK144" s="256"/>
      <c r="AL144" s="142"/>
      <c r="AM144" s="256"/>
      <c r="AN144" s="1122"/>
      <c r="AO144" s="256"/>
      <c r="AP144" s="1122"/>
      <c r="AQ144" s="643"/>
      <c r="AR144" s="643"/>
      <c r="AS144" s="256"/>
      <c r="AT144" s="256"/>
      <c r="AU144" s="256"/>
      <c r="AV144" s="256"/>
      <c r="AW144" s="256"/>
      <c r="AX144" s="256"/>
      <c r="AY144" s="256"/>
      <c r="AZ144" s="1017"/>
      <c r="BA144" s="1167"/>
      <c r="BB144" s="1167"/>
      <c r="BC144" s="1017"/>
      <c r="BD144" s="1167"/>
      <c r="BF144" s="1017"/>
      <c r="BG144" s="1167"/>
      <c r="BH144" s="256"/>
      <c r="BI144" s="256"/>
      <c r="BJ144" s="256"/>
      <c r="BK144" s="256"/>
      <c r="BL144" s="256"/>
      <c r="BM144" s="256"/>
      <c r="BN144" s="256"/>
      <c r="BO144" s="1592"/>
      <c r="BP144" s="1492"/>
    </row>
    <row r="145" spans="1:68" hidden="1" outlineLevel="1">
      <c r="A145" s="256" t="str">
        <f>$A$43</f>
        <v>4Q</v>
      </c>
      <c r="B145" s="302" t="str">
        <f>$B$43</f>
        <v>Jan</v>
      </c>
      <c r="C145" s="256"/>
      <c r="D145" s="1123" t="s">
        <v>1086</v>
      </c>
      <c r="E145" s="256"/>
      <c r="F145" s="1123"/>
      <c r="G145" s="256"/>
      <c r="H145" s="2090" t="s">
        <v>1086</v>
      </c>
      <c r="I145" s="256"/>
      <c r="J145" s="1123" t="s">
        <v>1086</v>
      </c>
      <c r="K145" s="256"/>
      <c r="L145" s="1144">
        <f>Stores!D229</f>
        <v>73</v>
      </c>
      <c r="M145" s="238"/>
      <c r="N145" s="178">
        <f>AVERAGE(L145,L144)</f>
        <v>72</v>
      </c>
      <c r="O145" s="256"/>
      <c r="P145" s="318">
        <v>9.92366412213741</v>
      </c>
      <c r="Q145" s="643"/>
      <c r="R145" s="1123" t="s">
        <v>1086</v>
      </c>
      <c r="S145" s="587"/>
      <c r="T145" s="256"/>
      <c r="U145" s="256"/>
      <c r="V145" s="316">
        <f>'segSales&amp;comps'!E155</f>
        <v>613.75</v>
      </c>
      <c r="W145" s="256"/>
      <c r="X145" s="1123" t="s">
        <v>1086</v>
      </c>
      <c r="Y145" s="256"/>
      <c r="Z145" s="1123" t="s">
        <v>1086</v>
      </c>
      <c r="AA145" s="643"/>
      <c r="AB145" s="256"/>
      <c r="AC145" s="1508"/>
      <c r="AD145" s="238"/>
      <c r="AE145" s="1123"/>
      <c r="AF145" s="256"/>
      <c r="AG145" s="1123"/>
      <c r="AH145" s="643"/>
      <c r="AI145" s="1123"/>
      <c r="AJ145" s="587"/>
      <c r="AK145" s="256"/>
      <c r="AL145" s="146"/>
      <c r="AM145" s="256"/>
      <c r="AN145" s="1123"/>
      <c r="AO145" s="256"/>
      <c r="AP145" s="1123"/>
      <c r="AQ145" s="643"/>
      <c r="AR145" s="643"/>
      <c r="AS145" s="256"/>
      <c r="AT145" s="256"/>
      <c r="AU145" s="256"/>
      <c r="AV145" s="256"/>
      <c r="AW145" s="256"/>
      <c r="AX145" s="256"/>
      <c r="AY145" s="256"/>
      <c r="AZ145" s="1601"/>
      <c r="BA145" s="1602"/>
      <c r="BB145" s="256"/>
      <c r="BC145" s="1601"/>
      <c r="BD145" s="1602"/>
      <c r="BF145" s="1601"/>
      <c r="BG145" s="1602"/>
      <c r="BH145" s="256"/>
      <c r="BI145" s="256"/>
      <c r="BJ145" s="256"/>
      <c r="BK145" s="256"/>
      <c r="BL145" s="256"/>
      <c r="BM145" s="256"/>
      <c r="BN145" s="256"/>
      <c r="BO145" s="1592"/>
      <c r="BP145" s="1492"/>
    </row>
    <row r="146" spans="1:68" hidden="1" outlineLevel="1">
      <c r="A146" s="256"/>
      <c r="B146" s="302" t="str">
        <f>$B$44</f>
        <v>Year</v>
      </c>
      <c r="C146" s="256"/>
      <c r="D146" s="1122" t="s">
        <v>1086</v>
      </c>
      <c r="E146" s="256"/>
      <c r="F146" s="1122"/>
      <c r="G146" s="256"/>
      <c r="H146" s="2085" t="s">
        <v>1086</v>
      </c>
      <c r="I146" s="256"/>
      <c r="J146" s="1122" t="s">
        <v>1086</v>
      </c>
      <c r="K146" s="256"/>
      <c r="L146" s="1143">
        <f>Stores!D230</f>
        <v>73</v>
      </c>
      <c r="M146" s="256"/>
      <c r="N146" s="177">
        <f>AVERAGE(N142:N145)</f>
        <v>68.875</v>
      </c>
      <c r="O146" s="256"/>
      <c r="P146" s="288">
        <v>7.6171875</v>
      </c>
      <c r="Q146" s="643"/>
      <c r="R146" s="1122" t="s">
        <v>1086</v>
      </c>
      <c r="S146" s="587"/>
      <c r="T146" s="256"/>
      <c r="U146" s="256"/>
      <c r="V146" s="296">
        <f>SUM(V142:V145)</f>
        <v>1577.7439999999999</v>
      </c>
      <c r="W146" s="256"/>
      <c r="X146" s="1122" t="s">
        <v>1086</v>
      </c>
      <c r="Y146" s="256"/>
      <c r="Z146" s="1122" t="s">
        <v>1086</v>
      </c>
      <c r="AA146" s="643"/>
      <c r="AB146" s="256"/>
      <c r="AC146" s="1507"/>
      <c r="AD146" s="256"/>
      <c r="AE146" s="1122"/>
      <c r="AF146" s="256"/>
      <c r="AG146" s="1122"/>
      <c r="AH146" s="643"/>
      <c r="AI146" s="1122"/>
      <c r="AJ146" s="587"/>
      <c r="AK146" s="256"/>
      <c r="AL146" s="141"/>
      <c r="AM146" s="256"/>
      <c r="AN146" s="1122"/>
      <c r="AO146" s="256"/>
      <c r="AP146" s="1122"/>
      <c r="AQ146" s="643"/>
      <c r="AR146" s="643"/>
      <c r="AS146" s="256"/>
      <c r="AT146" s="256"/>
      <c r="AU146" s="256"/>
      <c r="AV146" s="256"/>
      <c r="AW146" s="256"/>
      <c r="AX146" s="256"/>
      <c r="AY146" s="256"/>
      <c r="AZ146" s="1017"/>
      <c r="BA146" s="1167"/>
      <c r="BB146" s="1167"/>
      <c r="BC146" s="1017"/>
      <c r="BD146" s="1167"/>
      <c r="BF146" s="1017"/>
      <c r="BG146" s="1167"/>
      <c r="BH146" s="256"/>
      <c r="BI146" s="256"/>
      <c r="BJ146" s="256"/>
      <c r="BK146" s="256"/>
      <c r="BL146" s="256"/>
      <c r="BM146" s="256"/>
      <c r="BN146" s="256"/>
      <c r="BO146" s="587"/>
      <c r="BP146" s="587"/>
    </row>
    <row r="147" spans="1:68" ht="13.5" hidden="1" outlineLevel="1" thickBot="1">
      <c r="A147" s="256"/>
      <c r="B147" s="302"/>
      <c r="C147" s="256"/>
      <c r="D147" s="145"/>
      <c r="E147" s="256"/>
      <c r="F147" s="217"/>
      <c r="G147" s="256"/>
      <c r="H147" s="2085"/>
      <c r="I147" s="256"/>
      <c r="J147" s="145"/>
      <c r="K147" s="256"/>
      <c r="L147" s="1030"/>
      <c r="M147" s="256"/>
      <c r="N147" s="177"/>
      <c r="O147" s="256"/>
      <c r="P147" s="145"/>
      <c r="Q147" s="643"/>
      <c r="R147" s="259"/>
      <c r="S147" s="587"/>
      <c r="T147" s="256"/>
      <c r="U147" s="256"/>
      <c r="V147" s="296"/>
      <c r="W147" s="256"/>
      <c r="X147" s="1031"/>
      <c r="Y147" s="256"/>
      <c r="Z147" s="219"/>
      <c r="AA147" s="643"/>
      <c r="AB147" s="256"/>
      <c r="AC147" s="256"/>
      <c r="AD147" s="256"/>
      <c r="AE147" s="254"/>
      <c r="AF147" s="256"/>
      <c r="AG147" s="145"/>
      <c r="AH147" s="643"/>
      <c r="AI147" s="259"/>
      <c r="AJ147" s="587"/>
      <c r="AK147" s="256"/>
      <c r="AL147" s="141"/>
      <c r="AM147" s="256"/>
      <c r="AN147" s="1032"/>
      <c r="AO147" s="256"/>
      <c r="AP147" s="920"/>
      <c r="AQ147" s="643"/>
      <c r="AR147" s="643"/>
      <c r="AS147" s="256"/>
      <c r="AT147" s="256"/>
      <c r="AU147" s="256"/>
      <c r="AV147" s="256"/>
      <c r="AW147" s="256"/>
      <c r="AX147" s="256"/>
      <c r="AY147" s="256"/>
      <c r="AZ147" s="256"/>
      <c r="BA147" s="256"/>
      <c r="BB147" s="256"/>
      <c r="BC147" s="256"/>
      <c r="BG147" s="256"/>
      <c r="BH147" s="256"/>
      <c r="BI147" s="256"/>
      <c r="BJ147" s="256"/>
      <c r="BK147" s="256"/>
      <c r="BL147" s="256"/>
      <c r="BM147" s="256"/>
      <c r="BN147" s="256"/>
      <c r="BO147" s="587"/>
      <c r="BP147" s="587"/>
    </row>
    <row r="148" spans="1:68" ht="13.5" hidden="1" outlineLevel="1" thickBot="1">
      <c r="A148" s="810"/>
      <c r="B148" s="171">
        <v>2007</v>
      </c>
      <c r="C148" s="256"/>
      <c r="D148" s="256"/>
      <c r="E148" s="643"/>
      <c r="F148" s="256"/>
      <c r="G148" s="643"/>
      <c r="H148" s="2091"/>
      <c r="I148" s="643"/>
      <c r="J148" s="256"/>
      <c r="K148" s="643"/>
      <c r="L148" s="256"/>
      <c r="M148" s="256"/>
      <c r="N148" s="256"/>
      <c r="O148" s="256"/>
      <c r="P148" s="256"/>
      <c r="Q148" s="643"/>
      <c r="R148" s="587"/>
      <c r="S148" s="587"/>
      <c r="T148" s="256"/>
      <c r="U148" s="256"/>
      <c r="V148" s="256"/>
      <c r="W148" s="256"/>
      <c r="X148" s="256"/>
      <c r="Y148" s="256"/>
      <c r="Z148" s="256"/>
      <c r="AA148" s="643"/>
      <c r="AB148" s="256"/>
      <c r="AC148" s="256"/>
      <c r="AD148" s="256"/>
      <c r="AE148" s="256"/>
      <c r="AF148" s="256"/>
      <c r="AG148" s="256"/>
      <c r="AH148" s="643"/>
      <c r="AI148" s="587"/>
      <c r="AJ148" s="587"/>
      <c r="AK148" s="256"/>
      <c r="AL148" s="256"/>
      <c r="AM148" s="256"/>
      <c r="AN148" s="256"/>
      <c r="AO148" s="256"/>
      <c r="AP148" s="289"/>
      <c r="AQ148" s="643"/>
      <c r="AR148" s="643"/>
      <c r="AS148" s="256"/>
      <c r="AT148" s="256"/>
      <c r="AU148" s="256"/>
      <c r="AV148" s="256"/>
      <c r="AW148" s="256"/>
      <c r="AX148" s="256"/>
      <c r="AY148" s="256"/>
      <c r="AZ148" s="1605">
        <v>0.04</v>
      </c>
      <c r="BA148" s="238"/>
      <c r="BB148" s="256"/>
      <c r="BC148" s="1605"/>
      <c r="BD148" s="238"/>
      <c r="BF148" s="1605"/>
      <c r="BG148" s="238"/>
      <c r="BH148" s="256"/>
      <c r="BI148" s="256"/>
      <c r="BJ148" s="256"/>
      <c r="BK148" s="256"/>
      <c r="BL148" s="256"/>
      <c r="BM148" s="256"/>
      <c r="BN148" s="256"/>
      <c r="BO148" s="587"/>
      <c r="BP148" s="587"/>
    </row>
    <row r="149" spans="1:68" hidden="1" outlineLevel="1">
      <c r="A149" s="256" t="str">
        <f>$A$40</f>
        <v>1Q</v>
      </c>
      <c r="B149" s="302" t="str">
        <f>$B$40</f>
        <v>Apr</v>
      </c>
      <c r="C149" s="256"/>
      <c r="D149" s="145">
        <f>(V149/V142-1)*100</f>
        <v>16.377547155518513</v>
      </c>
      <c r="E149" s="643" t="s">
        <v>1970</v>
      </c>
      <c r="F149" s="217"/>
      <c r="G149" s="643"/>
      <c r="H149" s="2085">
        <f>'segSales&amp;comps'!G159</f>
        <v>12</v>
      </c>
      <c r="I149" s="643" t="s">
        <v>1970</v>
      </c>
      <c r="J149" s="145">
        <f>D149-H149</f>
        <v>4.3775471555185135</v>
      </c>
      <c r="K149" s="643" t="s">
        <v>1970</v>
      </c>
      <c r="L149" s="725">
        <f>Stores!D233</f>
        <v>74</v>
      </c>
      <c r="M149" s="256"/>
      <c r="N149" s="177">
        <f>AVERAGE(L149,L146)</f>
        <v>73.5</v>
      </c>
      <c r="O149" s="256"/>
      <c r="P149" s="288">
        <f>(N149/N142-1)*100</f>
        <v>10.526315789473696</v>
      </c>
      <c r="Q149" s="643" t="s">
        <v>1970</v>
      </c>
      <c r="R149" s="259">
        <f>J149/P149*100</f>
        <v>41.586697977425835</v>
      </c>
      <c r="S149" s="587" t="s">
        <v>1970</v>
      </c>
      <c r="T149" s="256"/>
      <c r="U149" s="256"/>
      <c r="V149" s="296">
        <f>'segSales&amp;comps'!E159</f>
        <v>353.34899999999999</v>
      </c>
      <c r="W149" s="238"/>
      <c r="X149" s="143">
        <f>V149/N149</f>
        <v>4.807469387755102</v>
      </c>
      <c r="Y149" s="256"/>
      <c r="Z149" s="1122" t="s">
        <v>1086</v>
      </c>
      <c r="AA149" s="643" t="s">
        <v>1970</v>
      </c>
      <c r="AB149" s="256"/>
      <c r="AC149" s="1017"/>
      <c r="AD149" s="256"/>
      <c r="AE149" s="254"/>
      <c r="AF149" s="256"/>
      <c r="AG149" s="145"/>
      <c r="AH149" s="643"/>
      <c r="AI149" s="259"/>
      <c r="AJ149" s="587"/>
      <c r="AK149" s="256"/>
      <c r="AL149" s="141"/>
      <c r="AM149" s="256"/>
      <c r="AN149" s="244"/>
      <c r="AO149" s="256"/>
      <c r="AP149" s="151"/>
      <c r="AQ149" s="643" t="s">
        <v>1970</v>
      </c>
      <c r="AR149" s="643"/>
      <c r="AS149" s="141">
        <f>qtrSales!AN131</f>
        <v>33.295999999999999</v>
      </c>
      <c r="AT149" s="141"/>
      <c r="AU149" s="141"/>
      <c r="AV149" s="141"/>
      <c r="AW149" s="141"/>
      <c r="AX149" s="141"/>
      <c r="AY149" s="141"/>
      <c r="AZ149" s="1017">
        <v>0.86275280572724444</v>
      </c>
      <c r="BA149" s="1167"/>
      <c r="BB149" s="1167"/>
      <c r="BC149" s="1017"/>
      <c r="BD149" s="1167"/>
      <c r="BF149" s="1017"/>
      <c r="BG149" s="1167"/>
      <c r="BH149" s="256"/>
      <c r="BI149" s="1017"/>
      <c r="BJ149" s="1017"/>
      <c r="BK149" s="256"/>
      <c r="BL149" s="256"/>
      <c r="BM149" s="256"/>
      <c r="BN149" s="256"/>
      <c r="BO149" s="1592"/>
      <c r="BP149" s="1492"/>
    </row>
    <row r="150" spans="1:68" hidden="1" outlineLevel="1">
      <c r="A150" s="256" t="str">
        <f>$A$41</f>
        <v>2Q</v>
      </c>
      <c r="B150" s="302" t="str">
        <f>$B$41</f>
        <v>Jul</v>
      </c>
      <c r="C150" s="256"/>
      <c r="D150" s="145">
        <f>(V150/V143-1)*100</f>
        <v>19.253638635588199</v>
      </c>
      <c r="E150" s="256"/>
      <c r="F150" s="217"/>
      <c r="G150" s="256"/>
      <c r="H150" s="2085">
        <f>'segSales&amp;comps'!G160</f>
        <v>17</v>
      </c>
      <c r="I150" s="256"/>
      <c r="J150" s="145">
        <f>D150-H150</f>
        <v>2.2536386355881994</v>
      </c>
      <c r="K150" s="256"/>
      <c r="L150" s="725">
        <f>Stores!D234</f>
        <v>74</v>
      </c>
      <c r="M150" s="256"/>
      <c r="N150" s="177">
        <f>AVERAGE(L150,L149)</f>
        <v>74</v>
      </c>
      <c r="O150" s="256"/>
      <c r="P150" s="288">
        <f>(N150/N143-1)*100</f>
        <v>9.6296296296296333</v>
      </c>
      <c r="Q150" s="643"/>
      <c r="R150" s="259">
        <f>J150/P150*100</f>
        <v>23.403170446492833</v>
      </c>
      <c r="S150" s="587"/>
      <c r="T150" s="256"/>
      <c r="U150" s="256"/>
      <c r="V150" s="315">
        <f>'segSales&amp;comps'!E160</f>
        <v>408.94099999999997</v>
      </c>
      <c r="W150" s="238"/>
      <c r="X150" s="147">
        <f>V150/N150</f>
        <v>5.5262297297297298</v>
      </c>
      <c r="Y150" s="256"/>
      <c r="Z150" s="1122" t="s">
        <v>1086</v>
      </c>
      <c r="AA150" s="643"/>
      <c r="AB150" s="256"/>
      <c r="AC150" s="1017"/>
      <c r="AD150" s="238"/>
      <c r="AE150" s="254"/>
      <c r="AF150" s="256"/>
      <c r="AG150" s="145"/>
      <c r="AH150" s="643"/>
      <c r="AI150" s="259"/>
      <c r="AJ150" s="587"/>
      <c r="AK150" s="256"/>
      <c r="AL150" s="142"/>
      <c r="AM150" s="256"/>
      <c r="AN150" s="245"/>
      <c r="AO150" s="256"/>
      <c r="AP150" s="151"/>
      <c r="AQ150" s="643"/>
      <c r="AR150" s="643"/>
      <c r="AS150" s="142">
        <f>qtrSales!AN132</f>
        <v>40.103000000000002</v>
      </c>
      <c r="AT150" s="142"/>
      <c r="AU150" s="142"/>
      <c r="AV150" s="142"/>
      <c r="AW150" s="142"/>
      <c r="AX150" s="142"/>
      <c r="AY150" s="142"/>
      <c r="AZ150" s="1017">
        <v>0.93372432388618498</v>
      </c>
      <c r="BA150" s="1167"/>
      <c r="BB150" s="1167"/>
      <c r="BC150" s="1017"/>
      <c r="BD150" s="1167"/>
      <c r="BF150" s="1017"/>
      <c r="BG150" s="1167"/>
      <c r="BH150" s="256"/>
      <c r="BI150" s="1017"/>
      <c r="BJ150" s="1017"/>
      <c r="BK150" s="256"/>
      <c r="BL150" s="256"/>
      <c r="BM150" s="256"/>
      <c r="BN150" s="256"/>
      <c r="BO150" s="1592"/>
      <c r="BP150" s="1492"/>
    </row>
    <row r="151" spans="1:68" hidden="1" outlineLevel="1">
      <c r="A151" s="256" t="str">
        <f>$A$42</f>
        <v>3Q</v>
      </c>
      <c r="B151" s="302" t="str">
        <f>$B$42</f>
        <v>Oct</v>
      </c>
      <c r="C151" s="256"/>
      <c r="D151" s="145">
        <f>(V151/V144-1)*100</f>
        <v>11.936217530728864</v>
      </c>
      <c r="E151" s="256"/>
      <c r="F151" s="217"/>
      <c r="G151" s="256"/>
      <c r="H151" s="2085">
        <f>'segSales&amp;comps'!G161</f>
        <v>8</v>
      </c>
      <c r="I151" s="256"/>
      <c r="J151" s="145">
        <f>D151-H151</f>
        <v>3.9362175307288645</v>
      </c>
      <c r="K151" s="256"/>
      <c r="L151" s="725">
        <f>Stores!D235</f>
        <v>78</v>
      </c>
      <c r="M151" s="238"/>
      <c r="N151" s="177">
        <f>AVERAGE(L151,L150)</f>
        <v>76</v>
      </c>
      <c r="O151" s="256"/>
      <c r="P151" s="288">
        <f>(N151/N144-1)*100</f>
        <v>9.3525179856115201</v>
      </c>
      <c r="Q151" s="643"/>
      <c r="R151" s="259">
        <f>J151/P151*100</f>
        <v>42.087248982408589</v>
      </c>
      <c r="S151" s="587"/>
      <c r="T151" s="256"/>
      <c r="U151" s="256"/>
      <c r="V151" s="315">
        <f>'segSales&amp;comps'!E161</f>
        <v>355.346</v>
      </c>
      <c r="W151" s="256"/>
      <c r="X151" s="147">
        <f>V151/N151</f>
        <v>4.6756052631578946</v>
      </c>
      <c r="Y151" s="256"/>
      <c r="Z151" s="1122" t="s">
        <v>1086</v>
      </c>
      <c r="AA151" s="643"/>
      <c r="AB151" s="256"/>
      <c r="AC151" s="1017"/>
      <c r="AD151" s="238"/>
      <c r="AE151" s="254"/>
      <c r="AF151" s="256"/>
      <c r="AG151" s="145"/>
      <c r="AH151" s="643"/>
      <c r="AI151" s="259"/>
      <c r="AJ151" s="587"/>
      <c r="AK151" s="256"/>
      <c r="AL151" s="142"/>
      <c r="AM151" s="256"/>
      <c r="AN151" s="245"/>
      <c r="AO151" s="256"/>
      <c r="AP151" s="920"/>
      <c r="AQ151" s="643"/>
      <c r="AR151" s="643"/>
      <c r="AS151" s="142">
        <f>qtrSales!AN133</f>
        <v>31.373000000000001</v>
      </c>
      <c r="AT151" s="142"/>
      <c r="AU151" s="142"/>
      <c r="AV151" s="142"/>
      <c r="AW151" s="142"/>
      <c r="AX151" s="142"/>
      <c r="AY151" s="142"/>
      <c r="AZ151" s="1017">
        <v>0.97876550181147548</v>
      </c>
      <c r="BA151" s="1167"/>
      <c r="BB151" s="1167"/>
      <c r="BC151" s="1017"/>
      <c r="BD151" s="1167"/>
      <c r="BF151" s="1017"/>
      <c r="BG151" s="1167"/>
      <c r="BH151" s="256"/>
      <c r="BI151" s="1017"/>
      <c r="BJ151" s="1017"/>
      <c r="BK151" s="256"/>
      <c r="BL151" s="256"/>
      <c r="BM151" s="256"/>
      <c r="BN151" s="256"/>
      <c r="BO151" s="1592"/>
      <c r="BP151" s="1492"/>
    </row>
    <row r="152" spans="1:68" hidden="1" outlineLevel="1">
      <c r="A152" s="256" t="str">
        <f>$A$43</f>
        <v>4Q</v>
      </c>
      <c r="B152" s="302" t="str">
        <f>$B$43</f>
        <v>Jan</v>
      </c>
      <c r="C152" s="256"/>
      <c r="D152" s="176">
        <f>(V152/V145-1)*100</f>
        <v>4.6408146639511205</v>
      </c>
      <c r="E152" s="256"/>
      <c r="F152" s="218"/>
      <c r="G152" s="256"/>
      <c r="H152" s="2090">
        <f>'segSales&amp;comps'!G162</f>
        <v>-1</v>
      </c>
      <c r="I152" s="256"/>
      <c r="J152" s="176">
        <f>D152-H152</f>
        <v>5.6408146639511205</v>
      </c>
      <c r="K152" s="256"/>
      <c r="L152" s="917">
        <f>Stores!D236</f>
        <v>80</v>
      </c>
      <c r="M152" s="238"/>
      <c r="N152" s="178">
        <f>AVERAGE(L152,L151)</f>
        <v>79</v>
      </c>
      <c r="O152" s="256"/>
      <c r="P152" s="318">
        <f>(N152/N145-1)*100</f>
        <v>9.7222222222222321</v>
      </c>
      <c r="Q152" s="643"/>
      <c r="R152" s="178">
        <f>J152/P152*100</f>
        <v>58.019807972068605</v>
      </c>
      <c r="S152" s="587"/>
      <c r="T152" s="256"/>
      <c r="U152" s="256"/>
      <c r="V152" s="316">
        <f>'segSales&amp;comps'!E162</f>
        <v>642.23299999999995</v>
      </c>
      <c r="W152" s="256"/>
      <c r="X152" s="148">
        <f>V152/N152</f>
        <v>8.1295316455696192</v>
      </c>
      <c r="Y152" s="256"/>
      <c r="Z152" s="1123" t="s">
        <v>1086</v>
      </c>
      <c r="AA152" s="643"/>
      <c r="AB152" s="256"/>
      <c r="AC152" s="1017"/>
      <c r="AD152" s="238"/>
      <c r="AE152" s="255"/>
      <c r="AF152" s="256"/>
      <c r="AG152" s="176"/>
      <c r="AH152" s="643"/>
      <c r="AI152" s="178"/>
      <c r="AJ152" s="587"/>
      <c r="AK152" s="256"/>
      <c r="AL152" s="146"/>
      <c r="AM152" s="256"/>
      <c r="AN152" s="257"/>
      <c r="AO152" s="256"/>
      <c r="AP152" s="921"/>
      <c r="AQ152" s="643"/>
      <c r="AR152" s="643"/>
      <c r="AS152" s="146">
        <f>qtrSales!AN134</f>
        <v>77.355000000000004</v>
      </c>
      <c r="AT152" s="1480"/>
      <c r="AU152" s="1480"/>
      <c r="AV152" s="1480"/>
      <c r="AW152" s="1480"/>
      <c r="AX152" s="1480"/>
      <c r="AY152" s="1480"/>
      <c r="AZ152" s="1601">
        <v>1.0078106878788589</v>
      </c>
      <c r="BA152" s="1602"/>
      <c r="BB152" s="256"/>
      <c r="BC152" s="1601"/>
      <c r="BD152" s="1602"/>
      <c r="BF152" s="1601"/>
      <c r="BG152" s="1602"/>
      <c r="BH152" s="256"/>
      <c r="BI152" s="1017"/>
      <c r="BJ152" s="1017"/>
      <c r="BK152" s="256"/>
      <c r="BL152" s="256"/>
      <c r="BM152" s="256"/>
      <c r="BN152" s="256"/>
      <c r="BO152" s="1592"/>
      <c r="BP152" s="1492"/>
    </row>
    <row r="153" spans="1:68" hidden="1" outlineLevel="1">
      <c r="A153" s="256"/>
      <c r="B153" s="302" t="str">
        <f>$B$44</f>
        <v>Year</v>
      </c>
      <c r="C153" s="256"/>
      <c r="D153" s="145">
        <f>(V153/V146-1)*100</f>
        <v>11.543380928718472</v>
      </c>
      <c r="E153" s="256"/>
      <c r="F153" s="217"/>
      <c r="G153" s="256"/>
      <c r="H153" s="2085">
        <f>'segSales&amp;comps'!G163</f>
        <v>8</v>
      </c>
      <c r="I153" s="256"/>
      <c r="J153" s="145">
        <f>D153-H153</f>
        <v>3.5433809287184719</v>
      </c>
      <c r="K153" s="256"/>
      <c r="L153" s="923">
        <f>L152</f>
        <v>80</v>
      </c>
      <c r="M153" s="256"/>
      <c r="N153" s="177">
        <f>AVERAGE(N149:N152)</f>
        <v>75.625</v>
      </c>
      <c r="O153" s="256"/>
      <c r="P153" s="288">
        <f>(N153/N146-1)*100</f>
        <v>9.8003629764065394</v>
      </c>
      <c r="Q153" s="643"/>
      <c r="R153" s="259">
        <f>J153/P153*100</f>
        <v>36.155609105997719</v>
      </c>
      <c r="S153" s="587"/>
      <c r="T153" s="256"/>
      <c r="U153" s="256"/>
      <c r="V153" s="296">
        <f>SUM(V149:V152)</f>
        <v>1759.8689999999999</v>
      </c>
      <c r="W153" s="256"/>
      <c r="X153" s="918">
        <f>V153/N153</f>
        <v>23.270995041322312</v>
      </c>
      <c r="Y153" s="256"/>
      <c r="Z153" s="1122" t="s">
        <v>1086</v>
      </c>
      <c r="AA153" s="643"/>
      <c r="AB153" s="256"/>
      <c r="AC153" s="256"/>
      <c r="AD153" s="256"/>
      <c r="AE153" s="254"/>
      <c r="AF153" s="256"/>
      <c r="AG153" s="145"/>
      <c r="AH153" s="643"/>
      <c r="AI153" s="259"/>
      <c r="AJ153" s="587"/>
      <c r="AK153" s="256"/>
      <c r="AL153" s="141"/>
      <c r="AM153" s="256"/>
      <c r="AN153" s="919"/>
      <c r="AO153" s="256"/>
      <c r="AP153" s="920"/>
      <c r="AQ153" s="643"/>
      <c r="AR153" s="643"/>
      <c r="AS153" s="141">
        <f>qtrSales!AN135</f>
        <v>182.12700000000001</v>
      </c>
      <c r="AT153" s="141"/>
      <c r="AU153" s="141"/>
      <c r="AV153" s="141"/>
      <c r="AW153" s="141"/>
      <c r="AX153" s="141"/>
      <c r="AY153" s="141"/>
      <c r="AZ153" s="1017">
        <v>0.94327687355121181</v>
      </c>
      <c r="BA153" s="1167"/>
      <c r="BB153" s="1167"/>
      <c r="BC153" s="1017"/>
      <c r="BD153" s="1167"/>
      <c r="BF153" s="1017"/>
      <c r="BG153" s="1167"/>
      <c r="BH153" s="256"/>
      <c r="BI153" s="1017"/>
      <c r="BJ153" s="1017"/>
      <c r="BK153" s="256"/>
      <c r="BL153" s="256"/>
      <c r="BM153" s="256"/>
      <c r="BN153" s="302"/>
      <c r="BO153" s="587"/>
      <c r="BP153" s="587"/>
    </row>
    <row r="154" spans="1:68" ht="13.5" hidden="1" outlineLevel="1" thickBot="1">
      <c r="A154" s="256"/>
      <c r="B154" s="302"/>
      <c r="C154" s="256"/>
      <c r="D154" s="145"/>
      <c r="E154" s="256"/>
      <c r="F154" s="217"/>
      <c r="G154" s="256"/>
      <c r="H154" s="2085"/>
      <c r="I154" s="256"/>
      <c r="J154" s="145"/>
      <c r="K154" s="256"/>
      <c r="L154" s="1030"/>
      <c r="M154" s="256"/>
      <c r="N154" s="177"/>
      <c r="O154" s="256"/>
      <c r="P154" s="145"/>
      <c r="Q154" s="643"/>
      <c r="R154" s="259"/>
      <c r="S154" s="587"/>
      <c r="T154" s="256"/>
      <c r="U154" s="256"/>
      <c r="V154" s="296"/>
      <c r="W154" s="256"/>
      <c r="X154" s="1031"/>
      <c r="Y154" s="256"/>
      <c r="Z154" s="219"/>
      <c r="AA154" s="643"/>
      <c r="AB154" s="256"/>
      <c r="AC154" s="256"/>
      <c r="AD154" s="256"/>
      <c r="AE154" s="254"/>
      <c r="AF154" s="256"/>
      <c r="AG154" s="145"/>
      <c r="AH154" s="643"/>
      <c r="AI154" s="259"/>
      <c r="AJ154" s="587"/>
      <c r="AK154" s="256"/>
      <c r="AL154" s="141"/>
      <c r="AM154" s="256"/>
      <c r="AN154" s="1032"/>
      <c r="AO154" s="256"/>
      <c r="AP154" s="920"/>
      <c r="AQ154" s="643"/>
      <c r="AR154" s="643"/>
      <c r="AS154" s="256"/>
      <c r="AT154" s="256"/>
      <c r="AU154" s="256"/>
      <c r="AV154" s="256"/>
      <c r="AW154" s="256"/>
      <c r="AX154" s="256"/>
      <c r="AY154" s="256"/>
      <c r="AZ154" s="256"/>
      <c r="BA154" s="256"/>
      <c r="BB154" s="256"/>
      <c r="BC154" s="256"/>
      <c r="BG154" s="256"/>
      <c r="BH154" s="256"/>
      <c r="BI154" s="256"/>
      <c r="BJ154" s="256"/>
      <c r="BK154" s="256"/>
      <c r="BL154" s="256"/>
      <c r="BM154" s="256"/>
      <c r="BN154" s="256"/>
      <c r="BO154" s="587"/>
      <c r="BP154" s="587"/>
    </row>
    <row r="155" spans="1:68" ht="13.5" hidden="1" outlineLevel="1" thickBot="1">
      <c r="A155" s="810"/>
      <c r="B155" s="171">
        <f>+B130+1</f>
        <v>2008</v>
      </c>
      <c r="C155" s="256"/>
      <c r="D155" s="256"/>
      <c r="E155" s="643"/>
      <c r="F155" s="256"/>
      <c r="G155" s="643"/>
      <c r="H155" s="2091"/>
      <c r="I155" s="643"/>
      <c r="J155" s="256"/>
      <c r="K155" s="643"/>
      <c r="L155" s="256"/>
      <c r="M155" s="256"/>
      <c r="N155" s="256"/>
      <c r="O155" s="256"/>
      <c r="P155" s="256"/>
      <c r="Q155" s="643"/>
      <c r="R155" s="587"/>
      <c r="S155" s="587"/>
      <c r="T155" s="256"/>
      <c r="U155" s="256"/>
      <c r="V155" s="256"/>
      <c r="W155" s="256"/>
      <c r="X155" s="256"/>
      <c r="Y155" s="256"/>
      <c r="Z155" s="256"/>
      <c r="AA155" s="643"/>
      <c r="AB155" s="256"/>
      <c r="AC155" s="256"/>
      <c r="AD155" s="256"/>
      <c r="AE155" s="256"/>
      <c r="AF155" s="256"/>
      <c r="AG155" s="256"/>
      <c r="AH155" s="643"/>
      <c r="AI155" s="587"/>
      <c r="AJ155" s="587"/>
      <c r="AK155" s="256"/>
      <c r="AL155" s="256"/>
      <c r="AM155" s="256"/>
      <c r="AN155" s="256"/>
      <c r="AO155" s="256"/>
      <c r="AP155" s="289"/>
      <c r="AQ155" s="643"/>
      <c r="AR155" s="643"/>
      <c r="AS155" s="256"/>
      <c r="AT155" s="256"/>
      <c r="AU155" s="256"/>
      <c r="AV155" s="256"/>
      <c r="AW155" s="256"/>
      <c r="AX155" s="256"/>
      <c r="AY155" s="256"/>
      <c r="AZ155" s="1605">
        <v>0.04</v>
      </c>
      <c r="BA155" s="238"/>
      <c r="BB155" s="256"/>
      <c r="BC155" s="1605"/>
      <c r="BD155" s="238"/>
      <c r="BF155" s="1605"/>
      <c r="BG155" s="238"/>
      <c r="BH155" s="256"/>
      <c r="BK155" s="256"/>
      <c r="BL155" s="256"/>
      <c r="BM155" s="256"/>
      <c r="BN155" s="256"/>
      <c r="BO155" s="587"/>
      <c r="BP155" s="587"/>
    </row>
    <row r="156" spans="1:68" hidden="1" outlineLevel="1">
      <c r="A156" s="256" t="str">
        <f>$A$40</f>
        <v>1Q</v>
      </c>
      <c r="B156" s="302" t="str">
        <f>$B$40</f>
        <v>Apr</v>
      </c>
      <c r="C156" s="256"/>
      <c r="D156" s="145">
        <f>(V156/V149-1)*100</f>
        <v>5.7212557556410193</v>
      </c>
      <c r="E156" s="643" t="s">
        <v>1970</v>
      </c>
      <c r="F156" s="217">
        <v>1</v>
      </c>
      <c r="G156" s="643"/>
      <c r="H156" s="2085">
        <f>'segSales&amp;comps'!G166</f>
        <v>1</v>
      </c>
      <c r="I156" s="643" t="s">
        <v>1970</v>
      </c>
      <c r="J156" s="145">
        <f>D156-H156-F156</f>
        <v>3.7212557556410193</v>
      </c>
      <c r="K156" s="643" t="s">
        <v>1970</v>
      </c>
      <c r="L156" s="725">
        <f>Stores!D240</f>
        <v>81</v>
      </c>
      <c r="M156" s="256"/>
      <c r="N156" s="177">
        <f>AVERAGE(L156,L153)</f>
        <v>80.5</v>
      </c>
      <c r="O156" s="256"/>
      <c r="P156" s="288">
        <f>(N156/N149-1)*100</f>
        <v>9.5238095238095344</v>
      </c>
      <c r="Q156" s="643" t="s">
        <v>1970</v>
      </c>
      <c r="R156" s="259">
        <f>J156/P156*100</f>
        <v>39.073185434230659</v>
      </c>
      <c r="S156" s="587" t="s">
        <v>1970</v>
      </c>
      <c r="T156" s="256"/>
      <c r="U156" s="256"/>
      <c r="V156" s="296">
        <f>'segSales&amp;comps'!E166</f>
        <v>373.565</v>
      </c>
      <c r="W156" s="238"/>
      <c r="X156" s="143">
        <f>V156/N156</f>
        <v>4.6405590062111797</v>
      </c>
      <c r="Y156" s="256"/>
      <c r="Z156" s="219">
        <f>(X156/X149-1)*100</f>
        <v>-3.4718969187625515</v>
      </c>
      <c r="AA156" s="643" t="s">
        <v>1970</v>
      </c>
      <c r="AB156" s="256"/>
      <c r="AC156" s="1017"/>
      <c r="AD156" s="256"/>
      <c r="AE156" s="1122" t="s">
        <v>1086</v>
      </c>
      <c r="AF156" s="256"/>
      <c r="AG156" s="1122" t="s">
        <v>1086</v>
      </c>
      <c r="AH156" s="643" t="s">
        <v>1970</v>
      </c>
      <c r="AI156" s="1122" t="s">
        <v>1086</v>
      </c>
      <c r="AJ156" s="587" t="s">
        <v>1970</v>
      </c>
      <c r="AK156" s="256"/>
      <c r="AL156" s="141">
        <f>+V156</f>
        <v>373.565</v>
      </c>
      <c r="AM156" s="256" t="s">
        <v>505</v>
      </c>
      <c r="AN156" s="1122" t="s">
        <v>1086</v>
      </c>
      <c r="AO156" s="256"/>
      <c r="AP156" s="1122" t="s">
        <v>1086</v>
      </c>
      <c r="AQ156" s="643" t="s">
        <v>1970</v>
      </c>
      <c r="AR156" s="643"/>
      <c r="AS156" s="141">
        <f>qtrSales!AN138</f>
        <v>33.628959999999999</v>
      </c>
      <c r="AT156" s="141"/>
      <c r="AU156" s="219">
        <f>((AS156/AS149)-1)*100</f>
        <v>1.0000000000000009</v>
      </c>
      <c r="AV156" s="141"/>
      <c r="AW156" s="141"/>
      <c r="AX156" s="141"/>
      <c r="AY156" s="141"/>
      <c r="AZ156" s="1017">
        <v>0.9940792927779688</v>
      </c>
      <c r="BA156" s="1167">
        <f>(AZ156/AZ149-1)*100</f>
        <v>15.221797736145826</v>
      </c>
      <c r="BB156" s="1609" t="s">
        <v>1970</v>
      </c>
      <c r="BC156" s="1017"/>
      <c r="BD156" s="1167"/>
      <c r="BF156" s="1017"/>
      <c r="BG156" s="1167"/>
      <c r="BH156" s="256"/>
      <c r="BI156" s="297">
        <f>(AZ155*BA156)+(BC155*BD156)+(BF155*BG156)</f>
        <v>0.60887190944583303</v>
      </c>
      <c r="BJ156" s="643" t="s">
        <v>1970</v>
      </c>
      <c r="BK156" s="297">
        <f>F156</f>
        <v>1</v>
      </c>
      <c r="BL156" s="643" t="s">
        <v>1970</v>
      </c>
      <c r="BM156" s="256"/>
      <c r="BN156" s="256"/>
      <c r="BO156" s="1592"/>
      <c r="BP156" s="1492"/>
    </row>
    <row r="157" spans="1:68" hidden="1" outlineLevel="1">
      <c r="A157" s="256" t="str">
        <f>$A$41</f>
        <v>2Q</v>
      </c>
      <c r="B157" s="302" t="str">
        <f>$B$41</f>
        <v>Jul</v>
      </c>
      <c r="C157" s="256"/>
      <c r="D157" s="145">
        <f>(V157/V150-1)*100</f>
        <v>3.2926510181175317</v>
      </c>
      <c r="E157" s="256"/>
      <c r="F157" s="217">
        <v>0</v>
      </c>
      <c r="G157" s="256"/>
      <c r="H157" s="2085">
        <f>'segSales&amp;comps'!G167</f>
        <v>-3</v>
      </c>
      <c r="I157" s="256"/>
      <c r="J157" s="145">
        <f>D157-H157-F157</f>
        <v>6.2926510181175317</v>
      </c>
      <c r="K157" s="256"/>
      <c r="L157" s="725">
        <f>Stores!D241</f>
        <v>82</v>
      </c>
      <c r="M157" s="256"/>
      <c r="N157" s="177">
        <f>AVERAGE(L157,L156)</f>
        <v>81.5</v>
      </c>
      <c r="O157" s="256"/>
      <c r="P157" s="288">
        <f>(N157/N150-1)*100</f>
        <v>10.135135135135132</v>
      </c>
      <c r="Q157" s="643"/>
      <c r="R157" s="259">
        <f>J157/P157*100</f>
        <v>62.087490045426328</v>
      </c>
      <c r="S157" s="587"/>
      <c r="T157" s="256"/>
      <c r="U157" s="256"/>
      <c r="V157" s="315">
        <f>'segSales&amp;comps'!E167</f>
        <v>422.40600000000001</v>
      </c>
      <c r="W157" s="238"/>
      <c r="X157" s="147">
        <f>V157/N157</f>
        <v>5.1828957055214726</v>
      </c>
      <c r="Y157" s="256"/>
      <c r="Z157" s="219">
        <f>(X157/X150-1)*100</f>
        <v>-6.2128076645313168</v>
      </c>
      <c r="AA157" s="643"/>
      <c r="AB157" s="256"/>
      <c r="AC157" s="1017"/>
      <c r="AD157" s="238"/>
      <c r="AE157" s="1122" t="s">
        <v>1086</v>
      </c>
      <c r="AF157" s="256"/>
      <c r="AG157" s="1122" t="s">
        <v>1086</v>
      </c>
      <c r="AH157" s="643"/>
      <c r="AI157" s="1122" t="s">
        <v>1086</v>
      </c>
      <c r="AJ157" s="587"/>
      <c r="AK157" s="256"/>
      <c r="AL157" s="142">
        <f>+V157</f>
        <v>422.40600000000001</v>
      </c>
      <c r="AM157" s="256"/>
      <c r="AN157" s="1122" t="s">
        <v>1086</v>
      </c>
      <c r="AO157" s="256"/>
      <c r="AP157" s="1122" t="s">
        <v>1086</v>
      </c>
      <c r="AQ157" s="643"/>
      <c r="AR157" s="643"/>
      <c r="AS157" s="142">
        <f>qtrSales!AN139</f>
        <v>38.49888</v>
      </c>
      <c r="AT157" s="142"/>
      <c r="AU157" s="219">
        <f>((AS157/AS150)-1)*100</f>
        <v>-4.0000000000000036</v>
      </c>
      <c r="AV157" s="142"/>
      <c r="AW157" s="142"/>
      <c r="AX157" s="142"/>
      <c r="AY157" s="142"/>
      <c r="AZ157" s="1017">
        <v>0.99081283272725929</v>
      </c>
      <c r="BA157" s="1167">
        <f>(AZ157/AZ150-1)*100</f>
        <v>6.1140646527735765</v>
      </c>
      <c r="BB157" s="1167">
        <f>+(AZ157/AZ150-1)*100</f>
        <v>6.1140646527735765</v>
      </c>
      <c r="BC157" s="1017"/>
      <c r="BD157" s="1167"/>
      <c r="BF157" s="1017"/>
      <c r="BG157" s="1167"/>
      <c r="BH157" s="256"/>
      <c r="BI157" s="297">
        <f>(AZ155*BA157)+(BC155*BD157)+(BF155*BG157)</f>
        <v>0.24456258611094306</v>
      </c>
      <c r="BJ157" s="1167"/>
      <c r="BK157" s="297">
        <f>F157</f>
        <v>0</v>
      </c>
      <c r="BL157" s="256"/>
      <c r="BM157" s="256"/>
      <c r="BN157" s="256"/>
      <c r="BO157" s="1592"/>
      <c r="BP157" s="1492"/>
    </row>
    <row r="158" spans="1:68" hidden="1" outlineLevel="1">
      <c r="A158" s="256" t="str">
        <f>$A$42</f>
        <v>3Q</v>
      </c>
      <c r="B158" s="302" t="str">
        <f>$B$42</f>
        <v>Oct</v>
      </c>
      <c r="C158" s="256"/>
      <c r="D158" s="145">
        <f>(V158/V151-1)*100</f>
        <v>-6.6310018967428945</v>
      </c>
      <c r="E158" s="256"/>
      <c r="F158" s="1124">
        <v>-1</v>
      </c>
      <c r="G158" s="256"/>
      <c r="H158" s="2085">
        <f>'segSales&amp;comps'!G168</f>
        <v>-12</v>
      </c>
      <c r="I158" s="256"/>
      <c r="J158" s="145">
        <f>D158-H158-F158</f>
        <v>6.3689981032571055</v>
      </c>
      <c r="K158" s="256"/>
      <c r="L158" s="725">
        <f>Stores!D242</f>
        <v>85</v>
      </c>
      <c r="M158" s="238"/>
      <c r="N158" s="177">
        <f>AVERAGE(L158,L157)</f>
        <v>83.5</v>
      </c>
      <c r="O158" s="256"/>
      <c r="P158" s="288">
        <f>(N158/N151-1)*100</f>
        <v>9.8684210526315717</v>
      </c>
      <c r="Q158" s="643"/>
      <c r="R158" s="259">
        <f>J158/P158*100</f>
        <v>64.539180779672051</v>
      </c>
      <c r="S158" s="587"/>
      <c r="T158" s="256"/>
      <c r="U158" s="256"/>
      <c r="V158" s="315">
        <f>'segSales&amp;comps'!E168</f>
        <v>331.78300000000002</v>
      </c>
      <c r="W158" s="256"/>
      <c r="X158" s="147">
        <f>V158/N158</f>
        <v>3.9734491017964073</v>
      </c>
      <c r="Y158" s="256"/>
      <c r="Z158" s="219">
        <f>(X158/X151-1)*100</f>
        <v>-15.017438852125265</v>
      </c>
      <c r="AA158" s="643"/>
      <c r="AB158" s="256"/>
      <c r="AC158" s="1017"/>
      <c r="AD158" s="238"/>
      <c r="AE158" s="1122" t="s">
        <v>1086</v>
      </c>
      <c r="AF158" s="256"/>
      <c r="AG158" s="1122" t="s">
        <v>1086</v>
      </c>
      <c r="AH158" s="643"/>
      <c r="AI158" s="1122" t="s">
        <v>1086</v>
      </c>
      <c r="AJ158" s="587"/>
      <c r="AK158" s="256"/>
      <c r="AL158" s="142">
        <f>+V158</f>
        <v>331.78300000000002</v>
      </c>
      <c r="AM158" s="256"/>
      <c r="AN158" s="1122" t="s">
        <v>1086</v>
      </c>
      <c r="AO158" s="256"/>
      <c r="AP158" s="1122" t="s">
        <v>1086</v>
      </c>
      <c r="AQ158" s="643"/>
      <c r="AR158" s="643"/>
      <c r="AS158" s="142">
        <f>qtrSales!AN140</f>
        <v>29.17689</v>
      </c>
      <c r="AT158" s="142"/>
      <c r="AU158" s="219">
        <f>((AS158/AS151)-1)*100</f>
        <v>-7.0000000000000062</v>
      </c>
      <c r="AV158" s="142"/>
      <c r="AW158" s="142"/>
      <c r="AX158" s="142"/>
      <c r="AY158" s="142"/>
      <c r="AZ158" s="1017">
        <v>0.91179901496141957</v>
      </c>
      <c r="BA158" s="1167">
        <f>(AZ158/AZ151-1)*100</f>
        <v>-6.8419337140628649</v>
      </c>
      <c r="BB158" s="1167">
        <f>+(AZ158/AZ151-1)*100</f>
        <v>-6.8419337140628649</v>
      </c>
      <c r="BC158" s="1017"/>
      <c r="BD158" s="1167"/>
      <c r="BF158" s="1017"/>
      <c r="BG158" s="1167"/>
      <c r="BH158" s="256"/>
      <c r="BI158" s="297">
        <f>(AZ155*BA158)+(BC155*BD158)+(BF155*BG158)</f>
        <v>-0.27367734856251458</v>
      </c>
      <c r="BJ158" s="1167"/>
      <c r="BK158" s="297">
        <f>F158</f>
        <v>-1</v>
      </c>
      <c r="BL158" s="256"/>
      <c r="BM158" s="256"/>
      <c r="BN158" s="256"/>
      <c r="BO158" s="1592"/>
      <c r="BP158" s="1492"/>
    </row>
    <row r="159" spans="1:68" hidden="1" outlineLevel="1">
      <c r="A159" s="256" t="str">
        <f>$A$43</f>
        <v>4Q</v>
      </c>
      <c r="B159" s="302" t="str">
        <f>$B$43</f>
        <v>Jan</v>
      </c>
      <c r="C159" s="256"/>
      <c r="D159" s="176">
        <f>(V159/V152-1)*100</f>
        <v>-28.548984558563628</v>
      </c>
      <c r="E159" s="256"/>
      <c r="F159" s="1125">
        <v>-2</v>
      </c>
      <c r="G159" s="256"/>
      <c r="H159" s="2090">
        <f>'segSales&amp;comps'!G169</f>
        <v>-31</v>
      </c>
      <c r="I159" s="256"/>
      <c r="J159" s="176">
        <f>D159-H159-F159</f>
        <v>4.4510154414363718</v>
      </c>
      <c r="K159" s="256"/>
      <c r="L159" s="917">
        <f>Stores!D243</f>
        <v>86</v>
      </c>
      <c r="M159" s="238"/>
      <c r="N159" s="178">
        <f>AVERAGE(L159,L158)</f>
        <v>85.5</v>
      </c>
      <c r="O159" s="256"/>
      <c r="P159" s="318">
        <f>(N159/N152-1)*100</f>
        <v>8.2278481012658222</v>
      </c>
      <c r="Q159" s="643"/>
      <c r="R159" s="178">
        <f>J159/P159*100</f>
        <v>54.096956903611293</v>
      </c>
      <c r="S159" s="587"/>
      <c r="T159" s="256"/>
      <c r="U159" s="256"/>
      <c r="V159" s="316">
        <f>'segSales&amp;comps'!E169</f>
        <v>458.88200000000001</v>
      </c>
      <c r="W159" s="256"/>
      <c r="X159" s="148">
        <f>V159/N159</f>
        <v>5.3670409356725148</v>
      </c>
      <c r="Y159" s="256"/>
      <c r="Z159" s="218">
        <f>(X159/X152-1)*100</f>
        <v>-33.980933100895051</v>
      </c>
      <c r="AA159" s="643"/>
      <c r="AB159" s="256"/>
      <c r="AC159" s="1017">
        <f>Stores!$G$244</f>
        <v>0.60000000000000009</v>
      </c>
      <c r="AD159" s="238"/>
      <c r="AE159" s="1123" t="s">
        <v>1086</v>
      </c>
      <c r="AF159" s="256"/>
      <c r="AG159" s="1123" t="s">
        <v>1086</v>
      </c>
      <c r="AH159" s="643"/>
      <c r="AI159" s="1123" t="s">
        <v>1086</v>
      </c>
      <c r="AJ159" s="587"/>
      <c r="AK159" s="256"/>
      <c r="AL159" s="146">
        <f>+V159</f>
        <v>458.88200000000001</v>
      </c>
      <c r="AM159" s="256"/>
      <c r="AN159" s="1123" t="s">
        <v>1086</v>
      </c>
      <c r="AO159" s="256"/>
      <c r="AP159" s="1123" t="s">
        <v>1086</v>
      </c>
      <c r="AQ159" s="643"/>
      <c r="AR159" s="643"/>
      <c r="AS159" s="146">
        <f>qtrSales!AN141</f>
        <v>61.884000000000007</v>
      </c>
      <c r="AT159" s="1480"/>
      <c r="AU159" s="218">
        <f>((AS159/AS152)-1)*100</f>
        <v>-19.999999999999996</v>
      </c>
      <c r="AV159" s="1480"/>
      <c r="AW159" s="1480"/>
      <c r="AX159" s="1480"/>
      <c r="AY159" s="1480"/>
      <c r="AZ159" s="1601">
        <v>0.81518775387151821</v>
      </c>
      <c r="BA159" s="1602">
        <f>(AZ159/AZ152-1)*100</f>
        <v>-19.113007663448634</v>
      </c>
      <c r="BB159" s="256"/>
      <c r="BC159" s="1601"/>
      <c r="BD159" s="1602"/>
      <c r="BF159" s="1601"/>
      <c r="BG159" s="1602"/>
      <c r="BH159" s="256"/>
      <c r="BI159" s="298">
        <f>(AZ155*BA159)+(BC155*BD159)+(BF155*BG159)</f>
        <v>-0.76452030653794534</v>
      </c>
      <c r="BJ159" s="1167"/>
      <c r="BK159" s="298">
        <f>F159</f>
        <v>-2</v>
      </c>
      <c r="BL159" s="256"/>
      <c r="BM159" s="256"/>
      <c r="BN159" s="256"/>
      <c r="BO159" s="1592"/>
      <c r="BP159" s="1492"/>
    </row>
    <row r="160" spans="1:68" hidden="1" outlineLevel="1">
      <c r="A160" s="256"/>
      <c r="B160" s="302" t="str">
        <f>$B$44</f>
        <v>Year</v>
      </c>
      <c r="C160" s="256"/>
      <c r="D160" s="145">
        <f>(V160/V153-1)*100</f>
        <v>-9.8435167617589752</v>
      </c>
      <c r="E160" s="256"/>
      <c r="F160" s="217">
        <v>0</v>
      </c>
      <c r="G160" s="256"/>
      <c r="H160" s="2085">
        <f>'segSales&amp;comps'!G170</f>
        <v>-14</v>
      </c>
      <c r="I160" s="256"/>
      <c r="J160" s="145">
        <f>D160-H160</f>
        <v>4.1564832382410248</v>
      </c>
      <c r="K160" s="256"/>
      <c r="L160" s="923">
        <f>L159</f>
        <v>86</v>
      </c>
      <c r="M160" s="256"/>
      <c r="N160" s="177">
        <f>AVERAGE(N156:N159)</f>
        <v>82.75</v>
      </c>
      <c r="O160" s="256"/>
      <c r="P160" s="288">
        <f>(N160/N153-1)*100</f>
        <v>9.4214876033057884</v>
      </c>
      <c r="Q160" s="643"/>
      <c r="R160" s="259">
        <f>J160/P160*100</f>
        <v>44.117058932207357</v>
      </c>
      <c r="S160" s="587"/>
      <c r="T160" s="256"/>
      <c r="U160" s="256"/>
      <c r="V160" s="296">
        <f>SUM(V156:V159)</f>
        <v>1586.636</v>
      </c>
      <c r="W160" s="256"/>
      <c r="X160" s="918">
        <f>V160/N160</f>
        <v>19.173848942598188</v>
      </c>
      <c r="Y160" s="256"/>
      <c r="Z160" s="219">
        <f>(X160/X153-1)*100</f>
        <v>-17.606235107045578</v>
      </c>
      <c r="AA160" s="643"/>
      <c r="AB160" s="256"/>
      <c r="AC160" s="256"/>
      <c r="AD160" s="256"/>
      <c r="AE160" s="1122" t="s">
        <v>1086</v>
      </c>
      <c r="AF160" s="256"/>
      <c r="AG160" s="1122" t="s">
        <v>1086</v>
      </c>
      <c r="AH160" s="643"/>
      <c r="AI160" s="1122" t="s">
        <v>1086</v>
      </c>
      <c r="AJ160" s="587"/>
      <c r="AK160" s="256"/>
      <c r="AL160" s="141">
        <f>SUM(AL156:AL159)</f>
        <v>1586.636</v>
      </c>
      <c r="AM160" s="256"/>
      <c r="AN160" s="1122" t="s">
        <v>1086</v>
      </c>
      <c r="AO160" s="256"/>
      <c r="AP160" s="1122" t="s">
        <v>1086</v>
      </c>
      <c r="AQ160" s="643"/>
      <c r="AR160" s="643"/>
      <c r="AS160" s="141">
        <f>qtrSales!AN142</f>
        <v>163.47200000000001</v>
      </c>
      <c r="AT160" s="141"/>
      <c r="AU160" s="219">
        <f>((AS160/AS153)-1)*100</f>
        <v>-10.242852515003264</v>
      </c>
      <c r="AV160" s="141"/>
      <c r="AW160" s="141"/>
      <c r="AX160" s="141"/>
      <c r="AY160" s="141"/>
      <c r="AZ160" s="1017">
        <v>0.92235524376847489</v>
      </c>
      <c r="BA160" s="1167">
        <f>(AZ160/AZ153-1)*100</f>
        <v>-2.2179733617312181</v>
      </c>
      <c r="BB160" s="1167"/>
      <c r="BC160" s="1017"/>
      <c r="BD160" s="1167"/>
      <c r="BF160" s="1017"/>
      <c r="BG160" s="1167"/>
      <c r="BH160" s="256"/>
      <c r="BI160" s="297">
        <f>(AZ155*BA160)+(BC155*BD160)+(BF155*BG160)</f>
        <v>-8.8718934469248723E-2</v>
      </c>
      <c r="BJ160" s="1167"/>
      <c r="BK160" s="297">
        <f>F160</f>
        <v>0</v>
      </c>
      <c r="BL160" s="256"/>
      <c r="BM160" s="256"/>
      <c r="BN160" s="302"/>
      <c r="BO160" s="587"/>
      <c r="BP160" s="587"/>
    </row>
    <row r="161" spans="1:68" ht="13.5" hidden="1" outlineLevel="1" thickBot="1">
      <c r="A161" s="256"/>
      <c r="B161" s="302"/>
      <c r="C161" s="256"/>
      <c r="D161" s="145"/>
      <c r="E161" s="256"/>
      <c r="F161" s="217"/>
      <c r="G161" s="256"/>
      <c r="H161" s="2085"/>
      <c r="I161" s="256"/>
      <c r="J161" s="145"/>
      <c r="K161" s="256"/>
      <c r="L161" s="1030"/>
      <c r="M161" s="256"/>
      <c r="N161" s="177"/>
      <c r="O161" s="256"/>
      <c r="P161" s="145"/>
      <c r="Q161" s="643"/>
      <c r="R161" s="259"/>
      <c r="S161" s="587"/>
      <c r="T161" s="256"/>
      <c r="U161" s="256"/>
      <c r="V161" s="296"/>
      <c r="W161" s="256"/>
      <c r="X161" s="1031"/>
      <c r="Y161" s="256"/>
      <c r="Z161" s="219"/>
      <c r="AA161" s="643"/>
      <c r="AB161" s="256"/>
      <c r="AC161" s="256"/>
      <c r="AD161" s="256"/>
      <c r="AE161" s="254"/>
      <c r="AF161" s="256"/>
      <c r="AG161" s="145"/>
      <c r="AH161" s="643"/>
      <c r="AI161" s="259"/>
      <c r="AJ161" s="587"/>
      <c r="AK161" s="256"/>
      <c r="AL161" s="141"/>
      <c r="AM161" s="256"/>
      <c r="AN161" s="1032"/>
      <c r="AO161" s="256"/>
      <c r="AP161" s="920"/>
      <c r="AQ161" s="643"/>
      <c r="AR161" s="643"/>
      <c r="AS161" s="317"/>
      <c r="AT161" s="317"/>
      <c r="AU161" s="317"/>
      <c r="AV161" s="317"/>
      <c r="AW161" s="317"/>
      <c r="AX161" s="317"/>
      <c r="AY161" s="317"/>
      <c r="AZ161" s="256"/>
      <c r="BA161" s="256"/>
      <c r="BB161" s="132"/>
      <c r="BC161" s="317"/>
      <c r="BG161" s="132"/>
      <c r="BH161" s="256"/>
      <c r="BI161" s="256"/>
      <c r="BJ161" s="256"/>
      <c r="BK161" s="256"/>
      <c r="BL161" s="256"/>
      <c r="BM161" s="256"/>
      <c r="BN161" s="132"/>
      <c r="BO161" s="587"/>
      <c r="BP161" s="587"/>
    </row>
    <row r="162" spans="1:68" ht="13.5" hidden="1" outlineLevel="1" thickBot="1">
      <c r="A162" s="810"/>
      <c r="B162" s="171">
        <f>+B155+1</f>
        <v>2009</v>
      </c>
      <c r="C162" s="256"/>
      <c r="D162" s="256"/>
      <c r="E162" s="643"/>
      <c r="F162" s="256"/>
      <c r="G162" s="643"/>
      <c r="H162" s="2091"/>
      <c r="I162" s="643"/>
      <c r="J162" s="256"/>
      <c r="K162" s="643"/>
      <c r="L162" s="256"/>
      <c r="M162" s="256"/>
      <c r="N162" s="256"/>
      <c r="O162" s="256"/>
      <c r="P162" s="256"/>
      <c r="Q162" s="643"/>
      <c r="R162" s="587"/>
      <c r="S162" s="587"/>
      <c r="T162" s="256"/>
      <c r="U162" s="256"/>
      <c r="V162" s="256"/>
      <c r="W162" s="256"/>
      <c r="X162" s="256"/>
      <c r="Y162" s="256"/>
      <c r="Z162" s="256"/>
      <c r="AA162" s="643"/>
      <c r="AB162" s="256"/>
      <c r="AC162" s="256"/>
      <c r="AD162" s="256"/>
      <c r="AE162" s="256"/>
      <c r="AF162" s="256"/>
      <c r="AG162" s="256"/>
      <c r="AH162" s="643"/>
      <c r="AI162" s="587"/>
      <c r="AJ162" s="587"/>
      <c r="AK162" s="256"/>
      <c r="AL162" s="256"/>
      <c r="AM162" s="256"/>
      <c r="AN162" s="256"/>
      <c r="AO162" s="256"/>
      <c r="AP162" s="289"/>
      <c r="AQ162" s="643"/>
      <c r="AR162" s="643"/>
      <c r="AS162" s="317"/>
      <c r="AT162" s="317"/>
      <c r="AU162" s="317"/>
      <c r="AV162" s="317"/>
      <c r="AW162" s="317"/>
      <c r="AX162" s="317"/>
      <c r="AY162" s="317"/>
      <c r="AZ162" s="1605">
        <v>0.04</v>
      </c>
      <c r="BA162" s="238"/>
      <c r="BB162" s="256"/>
      <c r="BC162" s="1605"/>
      <c r="BD162" s="238"/>
      <c r="BF162" s="1605"/>
      <c r="BG162" s="238"/>
      <c r="BH162" s="256"/>
      <c r="BK162" s="256"/>
      <c r="BL162" s="256"/>
      <c r="BM162" s="256"/>
      <c r="BN162" s="256"/>
      <c r="BO162" s="587"/>
      <c r="BP162" s="587"/>
    </row>
    <row r="163" spans="1:68" hidden="1" outlineLevel="1">
      <c r="A163" s="256" t="str">
        <f>$A$40</f>
        <v>1Q</v>
      </c>
      <c r="B163" s="302" t="str">
        <f>$B$40</f>
        <v>Apr</v>
      </c>
      <c r="C163" s="256"/>
      <c r="D163" s="145">
        <f>(V163/V156-1)*100</f>
        <v>-30.669629114076525</v>
      </c>
      <c r="E163" s="643" t="s">
        <v>1970</v>
      </c>
      <c r="F163" s="1124">
        <v>-2</v>
      </c>
      <c r="G163" s="643"/>
      <c r="H163" s="2085">
        <f>'segSales&amp;comps'!G173</f>
        <v>-32</v>
      </c>
      <c r="I163" s="643" t="s">
        <v>1970</v>
      </c>
      <c r="J163" s="145">
        <f>D163-H163-F163</f>
        <v>3.3303708859234753</v>
      </c>
      <c r="K163" s="643" t="s">
        <v>1970</v>
      </c>
      <c r="L163" s="725">
        <f>Stores!D247</f>
        <v>88</v>
      </c>
      <c r="M163" s="256"/>
      <c r="N163" s="177">
        <f>AVERAGE(L163,L160)</f>
        <v>87</v>
      </c>
      <c r="O163" s="256"/>
      <c r="P163" s="288">
        <f>(N163/N156-1)*100</f>
        <v>8.0745341614906874</v>
      </c>
      <c r="Q163" s="643" t="s">
        <v>1970</v>
      </c>
      <c r="R163" s="259">
        <f>J163/P163*100</f>
        <v>41.245362510283016</v>
      </c>
      <c r="S163" s="587" t="s">
        <v>1970</v>
      </c>
      <c r="T163" s="256"/>
      <c r="U163" s="256"/>
      <c r="V163" s="296">
        <f>'segSales&amp;comps'!E173</f>
        <v>258.99400000000003</v>
      </c>
      <c r="W163" s="238"/>
      <c r="X163" s="143">
        <f>V163/N163</f>
        <v>2.9769425287356324</v>
      </c>
      <c r="Y163" s="256"/>
      <c r="Z163" s="219">
        <f>(X163/X156-1)*100</f>
        <v>-35.84948441015127</v>
      </c>
      <c r="AA163" s="643" t="s">
        <v>1970</v>
      </c>
      <c r="AB163" s="256"/>
      <c r="AC163" s="1017">
        <f>AC159+(L163-L160)*yrSales!$U$85/1000000</f>
        <v>0.6105600000000001</v>
      </c>
      <c r="AD163" s="256" t="s">
        <v>505</v>
      </c>
      <c r="AE163" s="254">
        <f>AVERAGE(AC163,AC159)</f>
        <v>0.60528000000000004</v>
      </c>
      <c r="AF163" s="256"/>
      <c r="AG163" s="1122" t="s">
        <v>1086</v>
      </c>
      <c r="AH163" s="643" t="s">
        <v>1970</v>
      </c>
      <c r="AI163" s="1122" t="s">
        <v>1086</v>
      </c>
      <c r="AJ163" s="587" t="s">
        <v>1970</v>
      </c>
      <c r="AK163" s="256"/>
      <c r="AL163" s="141">
        <f>+V163</f>
        <v>258.99400000000003</v>
      </c>
      <c r="AM163" s="256" t="s">
        <v>505</v>
      </c>
      <c r="AN163" s="244">
        <f>AL163/AE163</f>
        <v>427.89122389637856</v>
      </c>
      <c r="AO163" s="256"/>
      <c r="AP163" s="1122" t="s">
        <v>1086</v>
      </c>
      <c r="AQ163" s="643" t="s">
        <v>1970</v>
      </c>
      <c r="AR163" s="643"/>
      <c r="AS163" s="141">
        <f>qtrSales!AN145</f>
        <v>27.912036799999999</v>
      </c>
      <c r="AT163" s="141"/>
      <c r="AU163" s="219">
        <f>((AS163/AS156)-1)*100</f>
        <v>-17.000000000000004</v>
      </c>
      <c r="AV163" s="141"/>
      <c r="AW163" s="141"/>
      <c r="AX163" s="141"/>
      <c r="AY163" s="141"/>
      <c r="AZ163" s="1017">
        <v>0.8025564573199736</v>
      </c>
      <c r="BA163" s="1167">
        <f>(AZ163/AZ156-1)*100</f>
        <v>-19.266353986992513</v>
      </c>
      <c r="BB163" s="1609" t="s">
        <v>1970</v>
      </c>
      <c r="BC163" s="1017"/>
      <c r="BD163" s="1167"/>
      <c r="BF163" s="1017"/>
      <c r="BG163" s="1167"/>
      <c r="BH163" s="256"/>
      <c r="BI163" s="297">
        <f>(AZ162*BA163)+(BC162*BD163)+(BF162*BG163)</f>
        <v>-0.77065415947970051</v>
      </c>
      <c r="BJ163" s="643" t="s">
        <v>1970</v>
      </c>
      <c r="BK163" s="297">
        <f>F163</f>
        <v>-2</v>
      </c>
      <c r="BL163" s="643" t="s">
        <v>1970</v>
      </c>
      <c r="BM163" s="256"/>
      <c r="BN163" s="256"/>
      <c r="BO163" s="1592"/>
      <c r="BP163" s="1492"/>
    </row>
    <row r="164" spans="1:68" hidden="1" outlineLevel="1">
      <c r="A164" s="256" t="str">
        <f>$A$41</f>
        <v>2Q</v>
      </c>
      <c r="B164" s="302" t="str">
        <f>$B$41</f>
        <v>Jul</v>
      </c>
      <c r="C164" s="256"/>
      <c r="D164" s="145">
        <f>(V164/V157-1)*100</f>
        <v>-23.092475012192061</v>
      </c>
      <c r="E164" s="256"/>
      <c r="F164" s="1124">
        <v>-1</v>
      </c>
      <c r="G164" s="256"/>
      <c r="H164" s="2085">
        <f>'segSales&amp;comps'!G174</f>
        <v>-25</v>
      </c>
      <c r="I164" s="256"/>
      <c r="J164" s="145">
        <f>D164-H164-F164</f>
        <v>2.907524987807939</v>
      </c>
      <c r="K164" s="256"/>
      <c r="L164" s="725">
        <f>Stores!D248</f>
        <v>88</v>
      </c>
      <c r="M164" s="256"/>
      <c r="N164" s="177">
        <f>AVERAGE(L164,L163)</f>
        <v>88</v>
      </c>
      <c r="O164" s="256"/>
      <c r="P164" s="288">
        <f>(N164/N157-1)*100</f>
        <v>7.9754601226993849</v>
      </c>
      <c r="Q164" s="643"/>
      <c r="R164" s="259">
        <f>J164/P164*100</f>
        <v>36.455890231745705</v>
      </c>
      <c r="S164" s="587"/>
      <c r="T164" s="256"/>
      <c r="U164" s="256"/>
      <c r="V164" s="315">
        <f>'segSales&amp;comps'!E174</f>
        <v>324.86200000000002</v>
      </c>
      <c r="W164" s="238"/>
      <c r="X164" s="147">
        <f>V164/N164</f>
        <v>3.6916136363636367</v>
      </c>
      <c r="Y164" s="256"/>
      <c r="Z164" s="219">
        <f>(X164/X157-1)*100</f>
        <v>-28.773144471518787</v>
      </c>
      <c r="AA164" s="643"/>
      <c r="AB164" s="256"/>
      <c r="AC164" s="1017">
        <f>AC163+(L164-L163)*yrSales!$U$85/1000000</f>
        <v>0.6105600000000001</v>
      </c>
      <c r="AD164" s="238"/>
      <c r="AE164" s="254">
        <f>AVERAGE(AC164,AC163)</f>
        <v>0.6105600000000001</v>
      </c>
      <c r="AF164" s="256"/>
      <c r="AG164" s="1122" t="s">
        <v>1086</v>
      </c>
      <c r="AH164" s="643"/>
      <c r="AI164" s="1122" t="s">
        <v>1086</v>
      </c>
      <c r="AJ164" s="587"/>
      <c r="AK164" s="256"/>
      <c r="AL164" s="142">
        <f>+V164</f>
        <v>324.86200000000002</v>
      </c>
      <c r="AM164" s="256"/>
      <c r="AN164" s="245">
        <f>AL164/AE164</f>
        <v>532.07219601677139</v>
      </c>
      <c r="AO164" s="256"/>
      <c r="AP164" s="1122" t="s">
        <v>1086</v>
      </c>
      <c r="AQ164" s="643"/>
      <c r="AR164" s="643"/>
      <c r="AS164" s="142">
        <f>qtrSales!AN146</f>
        <v>35.418969600000004</v>
      </c>
      <c r="AT164" s="142"/>
      <c r="AU164" s="219">
        <f>((AS164/AS157)-1)*100</f>
        <v>-7.9999999999999849</v>
      </c>
      <c r="AV164" s="142"/>
      <c r="AW164" s="142"/>
      <c r="AX164" s="142"/>
      <c r="AY164" s="142"/>
      <c r="AZ164" s="1017">
        <v>0.8810811347180677</v>
      </c>
      <c r="BA164" s="1167">
        <f>(AZ164/AZ157-1)*100</f>
        <v>-11.074916915150347</v>
      </c>
      <c r="BB164" s="1167"/>
      <c r="BC164" s="1017"/>
      <c r="BD164" s="1167"/>
      <c r="BF164" s="1017"/>
      <c r="BG164" s="1167"/>
      <c r="BH164" s="256"/>
      <c r="BI164" s="297">
        <f>(AZ162*BA164)+(BC162*BD164)+(BF162*BG164)</f>
        <v>-0.44299667660601388</v>
      </c>
      <c r="BJ164" s="1167"/>
      <c r="BK164" s="297">
        <f>F164</f>
        <v>-1</v>
      </c>
      <c r="BL164" s="256"/>
      <c r="BM164" s="256"/>
      <c r="BN164" s="256"/>
      <c r="BO164" s="1592"/>
      <c r="BP164" s="1492"/>
    </row>
    <row r="165" spans="1:68" hidden="1" outlineLevel="1">
      <c r="A165" s="256" t="str">
        <f>$A$42</f>
        <v>3Q</v>
      </c>
      <c r="B165" s="302" t="str">
        <f>$B$42</f>
        <v>Oct</v>
      </c>
      <c r="C165" s="256"/>
      <c r="D165" s="145">
        <f>(V165/V158-1)*100</f>
        <v>-8.520026643920886</v>
      </c>
      <c r="E165" s="256"/>
      <c r="F165" s="217">
        <v>-1</v>
      </c>
      <c r="G165" s="256"/>
      <c r="H165" s="2085">
        <f>'segSales&amp;comps'!G175</f>
        <v>-10</v>
      </c>
      <c r="I165" s="256"/>
      <c r="J165" s="145">
        <f>D165-H165-F165</f>
        <v>2.479973356079114</v>
      </c>
      <c r="K165" s="256"/>
      <c r="L165" s="725">
        <f>Stores!D249</f>
        <v>90</v>
      </c>
      <c r="M165" s="238"/>
      <c r="N165" s="177">
        <f>AVERAGE(L165,L164)</f>
        <v>89</v>
      </c>
      <c r="O165" s="256"/>
      <c r="P165" s="288">
        <f>(N165/N158-1)*100</f>
        <v>6.5868263473053856</v>
      </c>
      <c r="Q165" s="643"/>
      <c r="R165" s="259">
        <f>J165/P165*100</f>
        <v>37.650504587746568</v>
      </c>
      <c r="S165" s="587"/>
      <c r="T165" s="256"/>
      <c r="U165" s="256"/>
      <c r="V165" s="315">
        <f>'segSales&amp;comps'!E175</f>
        <v>303.51499999999999</v>
      </c>
      <c r="W165" s="256"/>
      <c r="X165" s="147">
        <f>V165/N165</f>
        <v>3.4102808988764042</v>
      </c>
      <c r="Y165" s="256"/>
      <c r="Z165" s="219">
        <f>(X165/X158-1)*100</f>
        <v>-14.173283424352745</v>
      </c>
      <c r="AA165" s="643"/>
      <c r="AB165" s="256"/>
      <c r="AC165" s="1017">
        <f>AC164+(L165-L164)*yrSales!$U$85/1000000</f>
        <v>0.62112000000000012</v>
      </c>
      <c r="AD165" s="238"/>
      <c r="AE165" s="254">
        <f>AVERAGE(AC165,AC164)</f>
        <v>0.61584000000000017</v>
      </c>
      <c r="AF165" s="256"/>
      <c r="AG165" s="1122" t="s">
        <v>1086</v>
      </c>
      <c r="AH165" s="643"/>
      <c r="AI165" s="1122" t="s">
        <v>1086</v>
      </c>
      <c r="AJ165" s="587"/>
      <c r="AK165" s="256"/>
      <c r="AL165" s="142">
        <f>+V165</f>
        <v>303.51499999999999</v>
      </c>
      <c r="AM165" s="256"/>
      <c r="AN165" s="245">
        <f>AL165/AE165</f>
        <v>492.84716809560911</v>
      </c>
      <c r="AO165" s="256"/>
      <c r="AP165" s="1122" t="s">
        <v>1086</v>
      </c>
      <c r="AQ165" s="643"/>
      <c r="AR165" s="643"/>
      <c r="AS165" s="142">
        <f>qtrSales!AN147</f>
        <v>26.550969900000002</v>
      </c>
      <c r="AT165" s="142"/>
      <c r="AU165" s="219">
        <f>((AS165/AS158)-1)*100</f>
        <v>-8.9999999999999964</v>
      </c>
      <c r="AV165" s="142"/>
      <c r="AW165" s="142"/>
      <c r="AX165" s="142"/>
      <c r="AY165" s="142"/>
      <c r="AZ165" s="1017">
        <v>0.93082770173026863</v>
      </c>
      <c r="BA165" s="1167">
        <f>(AZ165/AZ158-1)*100</f>
        <v>2.0869387284492946</v>
      </c>
      <c r="BB165" s="1167"/>
      <c r="BC165" s="1017"/>
      <c r="BD165" s="1167"/>
      <c r="BF165" s="1017"/>
      <c r="BG165" s="1167"/>
      <c r="BH165" s="256"/>
      <c r="BI165" s="297">
        <f>(AZ162*BA165)+(BC162*BD165)+(BF162*BG165)</f>
        <v>8.3477549137971785E-2</v>
      </c>
      <c r="BJ165" s="1167"/>
      <c r="BK165" s="297">
        <f>F165</f>
        <v>-1</v>
      </c>
      <c r="BL165" s="256"/>
      <c r="BM165" s="256"/>
      <c r="BN165" s="256"/>
      <c r="BO165" s="1592"/>
      <c r="BP165" s="1492"/>
    </row>
    <row r="166" spans="1:68" hidden="1" outlineLevel="1">
      <c r="A166" s="256" t="str">
        <f>$A$43</f>
        <v>4Q</v>
      </c>
      <c r="B166" s="302" t="str">
        <f>$B$43</f>
        <v>Jan</v>
      </c>
      <c r="C166" s="256"/>
      <c r="D166" s="176">
        <f>(V166/V159-1)*100</f>
        <v>14.081615753069411</v>
      </c>
      <c r="E166" s="256"/>
      <c r="F166" s="218">
        <v>1</v>
      </c>
      <c r="G166" s="256"/>
      <c r="H166" s="2090">
        <f>'segSales&amp;comps'!G176</f>
        <v>10</v>
      </c>
      <c r="I166" s="256"/>
      <c r="J166" s="176">
        <f>D166-H166-F166</f>
        <v>3.0816157530694106</v>
      </c>
      <c r="K166" s="256"/>
      <c r="L166" s="917">
        <f>Stores!D250</f>
        <v>91</v>
      </c>
      <c r="M166" s="238"/>
      <c r="N166" s="178">
        <f>AVERAGE(L166,L165)</f>
        <v>90.5</v>
      </c>
      <c r="O166" s="256"/>
      <c r="P166" s="318">
        <f>(N166/N159-1)*100</f>
        <v>5.8479532163742798</v>
      </c>
      <c r="Q166" s="643"/>
      <c r="R166" s="178">
        <f>J166/P166*100</f>
        <v>52.695629377486817</v>
      </c>
      <c r="S166" s="587"/>
      <c r="T166" s="256"/>
      <c r="U166" s="256"/>
      <c r="V166" s="316">
        <f>'segSales&amp;comps'!E176</f>
        <v>523.5</v>
      </c>
      <c r="W166" s="256"/>
      <c r="X166" s="148">
        <f>V166/N166</f>
        <v>5.7845303867403315</v>
      </c>
      <c r="Y166" s="256"/>
      <c r="Z166" s="218">
        <f>(X166/X159-1)*100</f>
        <v>7.7787640540047942</v>
      </c>
      <c r="AA166" s="643"/>
      <c r="AB166" s="256"/>
      <c r="AC166" s="1017">
        <f>Stores!G251</f>
        <v>0.62640000000000007</v>
      </c>
      <c r="AD166" s="238"/>
      <c r="AE166" s="255">
        <f>AVERAGE(AC166,AC165)</f>
        <v>0.62376000000000009</v>
      </c>
      <c r="AF166" s="256"/>
      <c r="AG166" s="1123" t="s">
        <v>1086</v>
      </c>
      <c r="AH166" s="643"/>
      <c r="AI166" s="1123" t="s">
        <v>1086</v>
      </c>
      <c r="AJ166" s="587"/>
      <c r="AK166" s="256"/>
      <c r="AL166" s="146">
        <f>+V166</f>
        <v>523.5</v>
      </c>
      <c r="AM166" s="256"/>
      <c r="AN166" s="257">
        <f>AL166/AE166</f>
        <v>839.2651019622931</v>
      </c>
      <c r="AO166" s="256"/>
      <c r="AP166" s="1123" t="s">
        <v>1086</v>
      </c>
      <c r="AQ166" s="643"/>
      <c r="AR166" s="643"/>
      <c r="AS166" s="146">
        <f>qtrSales!AN148</f>
        <v>71.785440000000008</v>
      </c>
      <c r="AT166" s="1480"/>
      <c r="AU166" s="218">
        <f>((AS166/AS159)-1)*100</f>
        <v>15.999999999999993</v>
      </c>
      <c r="AV166" s="1480"/>
      <c r="AW166" s="1480"/>
      <c r="AX166" s="1480"/>
      <c r="AY166" s="1480"/>
      <c r="AZ166" s="1601">
        <v>0.95072608064911324</v>
      </c>
      <c r="BA166" s="1602">
        <f>(AZ166/AZ159-1)*100</f>
        <v>16.626639217025986</v>
      </c>
      <c r="BB166" s="256"/>
      <c r="BC166" s="1601"/>
      <c r="BD166" s="1602"/>
      <c r="BF166" s="1601"/>
      <c r="BG166" s="1602"/>
      <c r="BH166" s="256"/>
      <c r="BI166" s="298">
        <f>(AZ162*BA166)+(BC162*BD166)+(BF162*BG166)</f>
        <v>0.66506556868103939</v>
      </c>
      <c r="BJ166" s="1167"/>
      <c r="BK166" s="298">
        <f>F166</f>
        <v>1</v>
      </c>
      <c r="BL166" s="256"/>
      <c r="BM166" s="256"/>
      <c r="BN166" s="256"/>
      <c r="BO166" s="1592"/>
      <c r="BP166" s="1492"/>
    </row>
    <row r="167" spans="1:68" hidden="1" outlineLevel="1">
      <c r="A167" s="256"/>
      <c r="B167" s="302" t="str">
        <f>$B$44</f>
        <v>Year</v>
      </c>
      <c r="C167" s="256"/>
      <c r="D167" s="145">
        <f>(V167/V160-1)*100</f>
        <v>-11.077840159935858</v>
      </c>
      <c r="E167" s="256"/>
      <c r="F167" s="217">
        <v>0</v>
      </c>
      <c r="G167" s="256"/>
      <c r="H167" s="2085">
        <f>'segSales&amp;comps'!G177</f>
        <v>-14</v>
      </c>
      <c r="I167" s="256"/>
      <c r="J167" s="145">
        <f>D167-H167</f>
        <v>2.9221598400641415</v>
      </c>
      <c r="K167" s="256"/>
      <c r="L167" s="923">
        <f>L166</f>
        <v>91</v>
      </c>
      <c r="M167" s="256"/>
      <c r="N167" s="177">
        <f>AVERAGE(N163:N166)</f>
        <v>88.625</v>
      </c>
      <c r="O167" s="256"/>
      <c r="P167" s="288">
        <f>(N167/N160-1)*100</f>
        <v>7.0996978851963766</v>
      </c>
      <c r="Q167" s="643"/>
      <c r="R167" s="259">
        <f>J167/P167*100</f>
        <v>41.158932215371514</v>
      </c>
      <c r="S167" s="587"/>
      <c r="T167" s="256"/>
      <c r="U167" s="256"/>
      <c r="V167" s="296">
        <f>SUM(V163:V166)</f>
        <v>1410.8710000000001</v>
      </c>
      <c r="W167" s="256"/>
      <c r="X167" s="918">
        <f>V167/N167</f>
        <v>15.919559943582511</v>
      </c>
      <c r="Y167" s="256"/>
      <c r="Z167" s="219">
        <f>(X167/X160-1)*100</f>
        <v>-16.97253904919258</v>
      </c>
      <c r="AA167" s="643"/>
      <c r="AB167" s="256"/>
      <c r="AC167" s="256"/>
      <c r="AD167" s="256"/>
      <c r="AE167" s="254">
        <f>AVERAGE(AE163:AE166)</f>
        <v>0.61386000000000007</v>
      </c>
      <c r="AF167" s="256"/>
      <c r="AG167" s="1122" t="s">
        <v>1086</v>
      </c>
      <c r="AH167" s="643"/>
      <c r="AI167" s="1122" t="s">
        <v>1086</v>
      </c>
      <c r="AJ167" s="587"/>
      <c r="AK167" s="256"/>
      <c r="AL167" s="141">
        <f>SUM(AL163:AL166)</f>
        <v>1410.8710000000001</v>
      </c>
      <c r="AM167" s="256"/>
      <c r="AN167" s="919">
        <f>AL167/AE167</f>
        <v>2298.3595608119113</v>
      </c>
      <c r="AO167" s="256"/>
      <c r="AP167" s="1122" t="s">
        <v>1086</v>
      </c>
      <c r="AQ167" s="643"/>
      <c r="AR167" s="643"/>
      <c r="AS167" s="141">
        <f>qtrSales!AN149</f>
        <v>161.66741630000001</v>
      </c>
      <c r="AT167" s="141"/>
      <c r="AU167" s="219">
        <f>((AS167/AS160)-1)*100</f>
        <v>-1.1039099662327412</v>
      </c>
      <c r="AV167" s="141"/>
      <c r="AW167" s="141"/>
      <c r="AX167" s="141"/>
      <c r="AY167" s="141"/>
      <c r="AZ167" s="1017">
        <v>0.88759292097627063</v>
      </c>
      <c r="BA167" s="1167">
        <f>(AZ167/AZ160-1)*100</f>
        <v>-3.768864873600708</v>
      </c>
      <c r="BB167" s="1167"/>
      <c r="BC167" s="1017"/>
      <c r="BD167" s="1167"/>
      <c r="BF167" s="1017"/>
      <c r="BG167" s="1167"/>
      <c r="BH167" s="256"/>
      <c r="BI167" s="297">
        <f>(AZ162*BA167)+(BC162*BD167)+(BF162*BG167)</f>
        <v>-0.15075459494402832</v>
      </c>
      <c r="BJ167" s="256"/>
      <c r="BK167" s="297">
        <f>F167</f>
        <v>0</v>
      </c>
      <c r="BL167" s="256"/>
      <c r="BM167" s="256"/>
      <c r="BN167" s="302"/>
      <c r="BO167" s="587"/>
      <c r="BP167" s="587"/>
    </row>
    <row r="168" spans="1:68" ht="13.5" hidden="1" outlineLevel="1" thickBot="1">
      <c r="A168" s="256"/>
      <c r="B168" s="302"/>
      <c r="C168" s="256"/>
      <c r="D168" s="145"/>
      <c r="E168" s="256"/>
      <c r="F168" s="217"/>
      <c r="G168" s="256"/>
      <c r="H168" s="2085"/>
      <c r="I168" s="256"/>
      <c r="J168" s="145"/>
      <c r="K168" s="256"/>
      <c r="L168" s="1030"/>
      <c r="M168" s="256"/>
      <c r="N168" s="177"/>
      <c r="O168" s="256"/>
      <c r="P168" s="145"/>
      <c r="Q168" s="643"/>
      <c r="R168" s="259"/>
      <c r="S168" s="587"/>
      <c r="T168" s="256"/>
      <c r="U168" s="256"/>
      <c r="V168" s="296"/>
      <c r="W168" s="256"/>
      <c r="X168" s="1031"/>
      <c r="Y168" s="256"/>
      <c r="Z168" s="219"/>
      <c r="AA168" s="643"/>
      <c r="AB168" s="256"/>
      <c r="AC168" s="256"/>
      <c r="AD168" s="256"/>
      <c r="AE168" s="254"/>
      <c r="AF168" s="256"/>
      <c r="AG168" s="145"/>
      <c r="AH168" s="643"/>
      <c r="AI168" s="259"/>
      <c r="AJ168" s="587"/>
      <c r="AK168" s="256"/>
      <c r="AL168" s="141"/>
      <c r="AM168" s="256"/>
      <c r="AN168" s="1032"/>
      <c r="AO168" s="256"/>
      <c r="AP168" s="920"/>
      <c r="AQ168" s="643"/>
      <c r="AR168" s="643"/>
      <c r="AS168" s="317"/>
      <c r="AT168" s="317"/>
      <c r="AU168" s="317"/>
      <c r="AV168" s="317"/>
      <c r="AW168" s="317"/>
      <c r="AX168" s="317"/>
      <c r="AY168" s="317"/>
      <c r="AZ168" s="256"/>
      <c r="BA168" s="256"/>
      <c r="BB168" s="132"/>
      <c r="BC168" s="317"/>
      <c r="BG168" s="132"/>
      <c r="BH168" s="256"/>
      <c r="BI168" s="256"/>
      <c r="BJ168" s="256"/>
      <c r="BK168" s="256"/>
      <c r="BL168" s="256"/>
      <c r="BM168" s="256"/>
      <c r="BN168" s="132"/>
      <c r="BO168" s="587"/>
      <c r="BP168" s="587"/>
    </row>
    <row r="169" spans="1:68" ht="13.5" hidden="1" outlineLevel="1" thickBot="1">
      <c r="A169" s="810"/>
      <c r="B169" s="171">
        <f>+B162+1</f>
        <v>2010</v>
      </c>
      <c r="C169" s="256"/>
      <c r="D169" s="256"/>
      <c r="E169" s="643"/>
      <c r="F169" s="256"/>
      <c r="G169" s="643"/>
      <c r="H169" s="2091"/>
      <c r="I169" s="643"/>
      <c r="J169" s="256"/>
      <c r="K169" s="643"/>
      <c r="L169" s="256"/>
      <c r="M169" s="256"/>
      <c r="N169" s="256"/>
      <c r="O169" s="256"/>
      <c r="P169" s="256"/>
      <c r="Q169" s="643"/>
      <c r="R169" s="587"/>
      <c r="S169" s="587"/>
      <c r="T169" s="256"/>
      <c r="U169" s="256"/>
      <c r="V169" s="256"/>
      <c r="W169" s="256"/>
      <c r="X169" s="256"/>
      <c r="Y169" s="256"/>
      <c r="Z169" s="256"/>
      <c r="AA169" s="643"/>
      <c r="AB169" s="256"/>
      <c r="AC169" s="256"/>
      <c r="AD169" s="256"/>
      <c r="AE169" s="256"/>
      <c r="AF169" s="256"/>
      <c r="AG169" s="256"/>
      <c r="AH169" s="643"/>
      <c r="AI169" s="587"/>
      <c r="AJ169" s="587"/>
      <c r="AK169" s="256"/>
      <c r="AL169" s="256"/>
      <c r="AM169" s="256"/>
      <c r="AN169" s="256"/>
      <c r="AO169" s="256"/>
      <c r="AP169" s="289"/>
      <c r="AQ169" s="643"/>
      <c r="AR169" s="643"/>
      <c r="AS169" s="317"/>
      <c r="AT169" s="317"/>
      <c r="AU169" s="317"/>
      <c r="AV169" s="317"/>
      <c r="AW169" s="317"/>
      <c r="AX169" s="317"/>
      <c r="AY169" s="317"/>
      <c r="AZ169" s="1605">
        <v>0.04</v>
      </c>
      <c r="BA169" s="238"/>
      <c r="BB169" s="256"/>
      <c r="BC169" s="1605"/>
      <c r="BD169" s="238"/>
      <c r="BF169" s="1605"/>
      <c r="BG169" s="238"/>
      <c r="BH169" s="256"/>
      <c r="BK169" s="256"/>
      <c r="BL169" s="256"/>
      <c r="BM169" s="256"/>
      <c r="BN169" s="256"/>
      <c r="BO169" s="587"/>
      <c r="BP169" s="587"/>
    </row>
    <row r="170" spans="1:68" hidden="1" outlineLevel="1">
      <c r="A170" s="256" t="str">
        <f>$A$40</f>
        <v>1Q</v>
      </c>
      <c r="B170" s="302" t="str">
        <f>$B$40</f>
        <v>Apr</v>
      </c>
      <c r="C170" s="256"/>
      <c r="D170" s="145">
        <f>(V170/V163-1)*100</f>
        <v>21.724055383522376</v>
      </c>
      <c r="E170" s="643" t="s">
        <v>1970</v>
      </c>
      <c r="F170" s="219">
        <v>2</v>
      </c>
      <c r="G170" s="643"/>
      <c r="H170" s="2085">
        <f>'segSales&amp;comps'!G180</f>
        <v>15</v>
      </c>
      <c r="I170" s="643" t="s">
        <v>1970</v>
      </c>
      <c r="J170" s="145">
        <f>D170-H170-F170</f>
        <v>4.7240553835223764</v>
      </c>
      <c r="K170" s="643" t="s">
        <v>1970</v>
      </c>
      <c r="L170" s="725">
        <f>Stores!D254</f>
        <v>91</v>
      </c>
      <c r="M170" s="256"/>
      <c r="N170" s="177">
        <f>AVERAGE(L170,L167)</f>
        <v>91</v>
      </c>
      <c r="O170" s="256"/>
      <c r="P170" s="288">
        <f>(N170/N163-1)*100</f>
        <v>4.5977011494252817</v>
      </c>
      <c r="Q170" s="643" t="s">
        <v>1970</v>
      </c>
      <c r="R170" s="259">
        <f>J170/P170*100</f>
        <v>102.7482045916118</v>
      </c>
      <c r="S170" s="587" t="s">
        <v>1970</v>
      </c>
      <c r="T170" s="256"/>
      <c r="U170" s="256"/>
      <c r="V170" s="296">
        <f>'segSales&amp;comps'!E180</f>
        <v>315.25799999999998</v>
      </c>
      <c r="W170" s="238"/>
      <c r="X170" s="143">
        <f>V170/N170</f>
        <v>3.464373626373626</v>
      </c>
      <c r="Y170" s="256"/>
      <c r="Z170" s="219">
        <f>(X170/X163-1)*100</f>
        <v>16.373547454576332</v>
      </c>
      <c r="AA170" s="643" t="s">
        <v>1970</v>
      </c>
      <c r="AB170" s="256"/>
      <c r="AC170" s="236">
        <f>AC166+(L170-L167)*yrSales!$V$85/1000000</f>
        <v>0.62640000000000007</v>
      </c>
      <c r="AD170" s="256" t="s">
        <v>505</v>
      </c>
      <c r="AE170" s="254">
        <f>AVERAGE(AC170,AC166)</f>
        <v>0.62640000000000007</v>
      </c>
      <c r="AF170" s="256"/>
      <c r="AG170" s="1122" t="s">
        <v>1086</v>
      </c>
      <c r="AH170" s="643" t="s">
        <v>1970</v>
      </c>
      <c r="AI170" s="1122" t="s">
        <v>1086</v>
      </c>
      <c r="AJ170" s="587" t="s">
        <v>1970</v>
      </c>
      <c r="AK170" s="256"/>
      <c r="AL170" s="141">
        <f>+V170</f>
        <v>315.25799999999998</v>
      </c>
      <c r="AM170" s="256" t="s">
        <v>505</v>
      </c>
      <c r="AN170" s="244">
        <f>AL170/AE170</f>
        <v>503.28544061302671</v>
      </c>
      <c r="AO170" s="256"/>
      <c r="AP170" s="1122" t="s">
        <v>1086</v>
      </c>
      <c r="AQ170" s="643" t="s">
        <v>1970</v>
      </c>
      <c r="AR170" s="643"/>
      <c r="AS170" s="141">
        <f>qtrSales!AN152</f>
        <v>34.331805263999996</v>
      </c>
      <c r="AT170" s="141"/>
      <c r="AU170" s="219">
        <f>((AS170/AS163)-1)*100</f>
        <v>23</v>
      </c>
      <c r="AV170" s="141"/>
      <c r="AW170" s="219">
        <f>AS170/V170*100</f>
        <v>10.890066315208495</v>
      </c>
      <c r="AX170" s="141" t="s">
        <v>1970</v>
      </c>
      <c r="AY170" s="141"/>
      <c r="AZ170" s="1017">
        <v>0.97265892774990226</v>
      </c>
      <c r="BA170" s="1167">
        <f>(AZ170/AZ163-1)*100</f>
        <v>21.195078412048709</v>
      </c>
      <c r="BB170" s="1609" t="s">
        <v>1970</v>
      </c>
      <c r="BC170" s="1017"/>
      <c r="BD170" s="1167"/>
      <c r="BF170" s="1017"/>
      <c r="BG170" s="1167"/>
      <c r="BH170" s="256"/>
      <c r="BI170" s="297">
        <f>(AZ169*BA170)+(BC169*BD170)+(BF169*BG170)</f>
        <v>0.84780313648194838</v>
      </c>
      <c r="BJ170" s="643" t="s">
        <v>1970</v>
      </c>
      <c r="BK170" s="297">
        <f>F170</f>
        <v>2</v>
      </c>
      <c r="BL170" s="643" t="s">
        <v>1970</v>
      </c>
      <c r="BM170" s="256"/>
      <c r="BN170" s="256"/>
      <c r="BO170" s="1592"/>
      <c r="BP170" s="1492"/>
    </row>
    <row r="171" spans="1:68" hidden="1" outlineLevel="1">
      <c r="A171" s="256" t="str">
        <f>$A$41</f>
        <v>2Q</v>
      </c>
      <c r="B171" s="302" t="str">
        <f>$B$41</f>
        <v>Jul</v>
      </c>
      <c r="C171" s="256"/>
      <c r="D171" s="145">
        <f>(V171/V164-1)*100</f>
        <v>7.8713422930351884</v>
      </c>
      <c r="E171" s="256"/>
      <c r="F171" s="219">
        <v>1</v>
      </c>
      <c r="G171" s="256"/>
      <c r="H171" s="2085">
        <f>'segSales&amp;comps'!G181</f>
        <v>5</v>
      </c>
      <c r="I171" s="256"/>
      <c r="J171" s="145">
        <f>D171-H171-F171</f>
        <v>1.8713422930351884</v>
      </c>
      <c r="K171" s="256"/>
      <c r="L171" s="725">
        <f>Stores!D255</f>
        <v>91</v>
      </c>
      <c r="M171" s="256"/>
      <c r="N171" s="177">
        <f>AVERAGE(L171,L170)</f>
        <v>91</v>
      </c>
      <c r="O171" s="256"/>
      <c r="P171" s="288">
        <f>(N171/N164-1)*100</f>
        <v>3.4090909090909172</v>
      </c>
      <c r="Q171" s="643"/>
      <c r="R171" s="259">
        <f>J171/P171*100</f>
        <v>54.892707262365391</v>
      </c>
      <c r="S171" s="587"/>
      <c r="T171" s="256"/>
      <c r="U171" s="256"/>
      <c r="V171" s="315">
        <f>'segSales&amp;comps'!E181</f>
        <v>350.43299999999999</v>
      </c>
      <c r="W171" s="238"/>
      <c r="X171" s="147">
        <f>V171/N171</f>
        <v>3.8509120879120879</v>
      </c>
      <c r="Y171" s="256"/>
      <c r="Z171" s="219">
        <f>(X171/X164-1)*100</f>
        <v>4.3151441954625946</v>
      </c>
      <c r="AA171" s="643"/>
      <c r="AB171" s="256"/>
      <c r="AC171" s="236">
        <f>AC170+(L171-L170)*yrSales!$V$85/1000000</f>
        <v>0.62640000000000007</v>
      </c>
      <c r="AD171" s="238"/>
      <c r="AE171" s="254">
        <f>AVERAGE(AC171,AC170)</f>
        <v>0.62640000000000007</v>
      </c>
      <c r="AF171" s="256"/>
      <c r="AG171" s="1122" t="s">
        <v>1086</v>
      </c>
      <c r="AH171" s="643"/>
      <c r="AI171" s="1122" t="s">
        <v>1086</v>
      </c>
      <c r="AJ171" s="587"/>
      <c r="AK171" s="256"/>
      <c r="AL171" s="142">
        <f>+V171</f>
        <v>350.43299999999999</v>
      </c>
      <c r="AM171" s="256"/>
      <c r="AN171" s="245">
        <f>AL171/AE171</f>
        <v>559.43965517241372</v>
      </c>
      <c r="AO171" s="256"/>
      <c r="AP171" s="1122" t="s">
        <v>1086</v>
      </c>
      <c r="AQ171" s="643"/>
      <c r="AR171" s="643"/>
      <c r="AS171" s="142">
        <f>qtrSales!AN153</f>
        <v>34.710590208000006</v>
      </c>
      <c r="AT171" s="142"/>
      <c r="AU171" s="219">
        <f>((AS171/AS164)-1)*100</f>
        <v>-1.9999999999999907</v>
      </c>
      <c r="AV171" s="142"/>
      <c r="AW171" s="219">
        <f>AS171/V171*100</f>
        <v>9.9050575168434509</v>
      </c>
      <c r="AX171" s="142"/>
      <c r="AY171" s="142"/>
      <c r="AZ171" s="1017">
        <v>0.9604767780719593</v>
      </c>
      <c r="BA171" s="1167">
        <f>(AZ171/AZ164-1)*100</f>
        <v>9.0111614271819462</v>
      </c>
      <c r="BB171" s="1167"/>
      <c r="BC171" s="1017"/>
      <c r="BD171" s="1167"/>
      <c r="BF171" s="1017"/>
      <c r="BG171" s="1167"/>
      <c r="BH171" s="256"/>
      <c r="BI171" s="297">
        <f>(AZ169*BA171)+(BC169*BD171)+(BF169*BG171)</f>
        <v>0.36044645708727785</v>
      </c>
      <c r="BJ171" s="1167"/>
      <c r="BK171" s="297">
        <f>F171</f>
        <v>1</v>
      </c>
      <c r="BL171" s="256"/>
      <c r="BM171" s="256"/>
      <c r="BN171" s="256"/>
      <c r="BO171" s="1592"/>
      <c r="BP171" s="1492"/>
    </row>
    <row r="172" spans="1:68" hidden="1" outlineLevel="1">
      <c r="A172" s="256" t="str">
        <f>$A$42</f>
        <v>3Q</v>
      </c>
      <c r="B172" s="302" t="str">
        <f>$B$42</f>
        <v>Oct</v>
      </c>
      <c r="C172" s="256"/>
      <c r="D172" s="145">
        <f>(V172/V165-1)*100</f>
        <v>9.3082714198639227</v>
      </c>
      <c r="E172" s="256"/>
      <c r="F172" s="219">
        <v>1</v>
      </c>
      <c r="G172" s="256"/>
      <c r="H172" s="2085">
        <f>'segSales&amp;comps'!G182</f>
        <v>5</v>
      </c>
      <c r="I172" s="256"/>
      <c r="J172" s="145">
        <f>D172-H172-F172</f>
        <v>3.3082714198639227</v>
      </c>
      <c r="K172" s="256"/>
      <c r="L172" s="725">
        <f>Stores!D256</f>
        <v>93</v>
      </c>
      <c r="M172" s="238"/>
      <c r="N172" s="177">
        <f>AVERAGE(L172,L171)</f>
        <v>92</v>
      </c>
      <c r="O172" s="256"/>
      <c r="P172" s="288">
        <f>(N172/N165-1)*100</f>
        <v>3.3707865168539408</v>
      </c>
      <c r="Q172" s="643"/>
      <c r="R172" s="259">
        <f>J172/P172*100</f>
        <v>98.145385455962796</v>
      </c>
      <c r="S172" s="587"/>
      <c r="T172" s="256"/>
      <c r="U172" s="256"/>
      <c r="V172" s="315">
        <f>'segSales&amp;comps'!E182</f>
        <v>331.767</v>
      </c>
      <c r="W172" s="256"/>
      <c r="X172" s="147">
        <f>V172/N172</f>
        <v>3.606163043478261</v>
      </c>
      <c r="Y172" s="256"/>
      <c r="Z172" s="219">
        <f>(X172/X165-1)*100</f>
        <v>5.7438712648683721</v>
      </c>
      <c r="AA172" s="643"/>
      <c r="AB172" s="256"/>
      <c r="AC172" s="236">
        <f>AC171+(L172-L171)*yrSales!$V$85/1000000</f>
        <v>0.63328000000000007</v>
      </c>
      <c r="AD172" s="238"/>
      <c r="AE172" s="254">
        <f>AVERAGE(AC172,AC171)</f>
        <v>0.62984000000000007</v>
      </c>
      <c r="AF172" s="256"/>
      <c r="AG172" s="1122" t="s">
        <v>1086</v>
      </c>
      <c r="AH172" s="643"/>
      <c r="AI172" s="1122" t="s">
        <v>1086</v>
      </c>
      <c r="AJ172" s="587"/>
      <c r="AK172" s="256"/>
      <c r="AL172" s="142">
        <f>+V172</f>
        <v>331.767</v>
      </c>
      <c r="AM172" s="256"/>
      <c r="AN172" s="245">
        <f>AL172/AE172</f>
        <v>526.74806300012699</v>
      </c>
      <c r="AO172" s="256"/>
      <c r="AP172" s="1122" t="s">
        <v>1086</v>
      </c>
      <c r="AQ172" s="643"/>
      <c r="AR172" s="643"/>
      <c r="AS172" s="142">
        <f>qtrSales!AN154</f>
        <v>28.409537793000002</v>
      </c>
      <c r="AT172" s="142"/>
      <c r="AU172" s="219">
        <f>((AS172/AS165)-1)*100</f>
        <v>7.0000000000000062</v>
      </c>
      <c r="AV172" s="142"/>
      <c r="AW172" s="219">
        <f>AS172/V172*100</f>
        <v>8.5630993417066801</v>
      </c>
      <c r="AX172" s="142"/>
      <c r="AY172" s="142"/>
      <c r="AZ172" s="1017">
        <v>0.9697791237781539</v>
      </c>
      <c r="BA172" s="1167">
        <f>(AZ172/AZ165-1)*100</f>
        <v>4.1846006490224186</v>
      </c>
      <c r="BB172" s="1167"/>
      <c r="BC172" s="1017"/>
      <c r="BD172" s="1167"/>
      <c r="BF172" s="1017"/>
      <c r="BG172" s="1167"/>
      <c r="BH172" s="256"/>
      <c r="BI172" s="297">
        <f>(AZ169*BA172)+(BC169*BD172)+(BF169*BG172)</f>
        <v>0.16738402596089674</v>
      </c>
      <c r="BJ172" s="1167"/>
      <c r="BK172" s="297">
        <f>F172</f>
        <v>1</v>
      </c>
      <c r="BL172" s="256"/>
      <c r="BM172" s="256"/>
      <c r="BN172" s="256"/>
      <c r="BO172" s="1592"/>
      <c r="BP172" s="1492"/>
    </row>
    <row r="173" spans="1:68" hidden="1" outlineLevel="1">
      <c r="A173" s="256" t="str">
        <f>$A$43</f>
        <v>4Q</v>
      </c>
      <c r="B173" s="302" t="str">
        <f>$B$43</f>
        <v>Jan</v>
      </c>
      <c r="C173" s="256"/>
      <c r="D173" s="176">
        <f>(V173/V166-1)*100</f>
        <v>10.241260744985636</v>
      </c>
      <c r="E173" s="256"/>
      <c r="F173" s="218">
        <v>0</v>
      </c>
      <c r="G173" s="256"/>
      <c r="H173" s="2090">
        <f>'segSales&amp;comps'!G183</f>
        <v>8</v>
      </c>
      <c r="I173" s="256"/>
      <c r="J173" s="176">
        <f>D173-H173-F173</f>
        <v>2.2412607449856363</v>
      </c>
      <c r="K173" s="256"/>
      <c r="L173" s="917">
        <f>Stores!D257</f>
        <v>96</v>
      </c>
      <c r="M173" s="238"/>
      <c r="N173" s="178">
        <f>AVERAGE(L173,L172)</f>
        <v>94.5</v>
      </c>
      <c r="O173" s="256"/>
      <c r="P173" s="318">
        <f>(N173/N166-1)*100</f>
        <v>4.4198895027624419</v>
      </c>
      <c r="Q173" s="643"/>
      <c r="R173" s="178">
        <f>J173/P173*100</f>
        <v>50.7085243552999</v>
      </c>
      <c r="S173" s="587"/>
      <c r="T173" s="256"/>
      <c r="U173" s="256"/>
      <c r="V173" s="316">
        <f>'segSales&amp;comps'!E183</f>
        <v>577.11299999999983</v>
      </c>
      <c r="W173" s="256"/>
      <c r="X173" s="148">
        <f>V173/N173</f>
        <v>6.1070158730158708</v>
      </c>
      <c r="Y173" s="256"/>
      <c r="Z173" s="218">
        <f>(X173/X166-1)*100</f>
        <v>5.5749639938751372</v>
      </c>
      <c r="AA173" s="643"/>
      <c r="AB173" s="256"/>
      <c r="AC173" s="236">
        <f>AC172+(L173-L172)*yrSales!$V$85/1000000</f>
        <v>0.64359999999999995</v>
      </c>
      <c r="AD173" s="238"/>
      <c r="AE173" s="255">
        <f>AVERAGE(AC173,AC172)</f>
        <v>0.63844000000000001</v>
      </c>
      <c r="AF173" s="256"/>
      <c r="AG173" s="1123" t="s">
        <v>1086</v>
      </c>
      <c r="AH173" s="643"/>
      <c r="AI173" s="1123" t="s">
        <v>1086</v>
      </c>
      <c r="AJ173" s="587"/>
      <c r="AK173" s="256"/>
      <c r="AL173" s="146">
        <f>+V173</f>
        <v>577.11299999999983</v>
      </c>
      <c r="AM173" s="256"/>
      <c r="AN173" s="257">
        <f>AL173/AE173</f>
        <v>903.94242215400004</v>
      </c>
      <c r="AO173" s="256"/>
      <c r="AP173" s="1123" t="s">
        <v>1086</v>
      </c>
      <c r="AQ173" s="643"/>
      <c r="AR173" s="643"/>
      <c r="AS173" s="146">
        <f>qtrSales!AN155</f>
        <v>77.52827520000001</v>
      </c>
      <c r="AT173" s="1480"/>
      <c r="AU173" s="218">
        <f>((AS173/AS166)-1)*100</f>
        <v>8.0000000000000071</v>
      </c>
      <c r="AV173" s="1480"/>
      <c r="AW173" s="218">
        <f>AS173/V173*100</f>
        <v>13.433811957103728</v>
      </c>
      <c r="AX173" s="1480"/>
      <c r="AY173" s="1480"/>
      <c r="AZ173" s="1601">
        <v>0.99488265539891985</v>
      </c>
      <c r="BA173" s="1602">
        <f>(AZ173/AZ166-1)*100</f>
        <v>4.6445107217063519</v>
      </c>
      <c r="BB173" s="256"/>
      <c r="BC173" s="1601"/>
      <c r="BD173" s="1602"/>
      <c r="BF173" s="1601"/>
      <c r="BG173" s="1602"/>
      <c r="BH173" s="256"/>
      <c r="BI173" s="298">
        <f>(AZ169*BA173)+(BC169*BD173)+(BF169*BG173)</f>
        <v>0.18578042886825408</v>
      </c>
      <c r="BJ173" s="1167"/>
      <c r="BK173" s="298">
        <f>F173</f>
        <v>0</v>
      </c>
      <c r="BL173" s="256"/>
      <c r="BM173" s="256"/>
      <c r="BN173" s="256"/>
      <c r="BO173" s="1592"/>
      <c r="BP173" s="1492"/>
    </row>
    <row r="174" spans="1:68" hidden="1" outlineLevel="1">
      <c r="A174" s="256"/>
      <c r="B174" s="302" t="str">
        <f>$B$44</f>
        <v>Year</v>
      </c>
      <c r="C174" s="256"/>
      <c r="D174" s="145">
        <f>(V174/V167-1)*100</f>
        <v>11.602761698270058</v>
      </c>
      <c r="E174" s="256"/>
      <c r="F174" s="217">
        <f>F170*V170/V174+F171*V171/V174+F172*V172/V174+F173*V173/V174</f>
        <v>0.83369755952573754</v>
      </c>
      <c r="G174" s="256"/>
      <c r="H174" s="2085">
        <f>'segSales&amp;comps'!G184</f>
        <v>8</v>
      </c>
      <c r="I174" s="256"/>
      <c r="J174" s="145">
        <f>D174-H174-F174</f>
        <v>2.7690641387443202</v>
      </c>
      <c r="K174" s="256"/>
      <c r="L174" s="923">
        <f>L173</f>
        <v>96</v>
      </c>
      <c r="M174" s="256"/>
      <c r="N174" s="177">
        <f>AVERAGE(N170:N173)</f>
        <v>92.125</v>
      </c>
      <c r="O174" s="256"/>
      <c r="P174" s="288">
        <f>(N174/N167-1)*100</f>
        <v>3.9492242595204452</v>
      </c>
      <c r="Q174" s="643"/>
      <c r="R174" s="259">
        <f>J174/P174*100</f>
        <v>70.116659798918789</v>
      </c>
      <c r="S174" s="587"/>
      <c r="T174" s="256"/>
      <c r="U174" s="256"/>
      <c r="V174" s="296">
        <f>SUM(V170:V173)</f>
        <v>1574.5709999999999</v>
      </c>
      <c r="W174" s="256"/>
      <c r="X174" s="918">
        <f>V174/N174</f>
        <v>17.091679782903661</v>
      </c>
      <c r="Y174" s="256"/>
      <c r="Z174" s="219">
        <f>(X174/X167-1)*100</f>
        <v>7.3627653243873326</v>
      </c>
      <c r="AA174" s="643"/>
      <c r="AB174" s="256"/>
      <c r="AC174" s="256"/>
      <c r="AD174" s="256"/>
      <c r="AE174" s="254">
        <f>AVERAGE(AE170:AE173)</f>
        <v>0.63027000000000011</v>
      </c>
      <c r="AF174" s="256"/>
      <c r="AG174" s="1122" t="s">
        <v>1086</v>
      </c>
      <c r="AH174" s="643"/>
      <c r="AI174" s="1122" t="s">
        <v>1086</v>
      </c>
      <c r="AJ174" s="587"/>
      <c r="AK174" s="256"/>
      <c r="AL174" s="141">
        <f>SUM(AL170:AL173)</f>
        <v>1574.5709999999999</v>
      </c>
      <c r="AM174" s="256"/>
      <c r="AN174" s="919">
        <f>AL174/AE174</f>
        <v>2498.2483697462985</v>
      </c>
      <c r="AO174" s="256"/>
      <c r="AP174" s="1122" t="s">
        <v>1086</v>
      </c>
      <c r="AQ174" s="643"/>
      <c r="AR174" s="643"/>
      <c r="AS174" s="141">
        <f>qtrSales!AN156</f>
        <v>174.98020846500003</v>
      </c>
      <c r="AT174" s="141"/>
      <c r="AU174" s="219">
        <f>((AS174/AS167)-1)*100</f>
        <v>8.2346786196520796</v>
      </c>
      <c r="AV174" s="141"/>
      <c r="AW174" s="219">
        <f>AS174/V174*100</f>
        <v>11.112881442945415</v>
      </c>
      <c r="AX174" s="141"/>
      <c r="AY174" s="141"/>
      <c r="AZ174" s="1017">
        <v>0.97436450041952061</v>
      </c>
      <c r="BA174" s="1167">
        <f>(AZ174/AZ167-1)*100</f>
        <v>9.7760558238577655</v>
      </c>
      <c r="BB174" s="1167"/>
      <c r="BC174" s="1017"/>
      <c r="BD174" s="1167"/>
      <c r="BF174" s="1017"/>
      <c r="BG174" s="1167"/>
      <c r="BH174" s="256"/>
      <c r="BI174" s="297">
        <f>(AZ169*BA174)+(BC169*BD174)+(BF169*BG174)</f>
        <v>0.39104223295431062</v>
      </c>
      <c r="BJ174" s="256"/>
      <c r="BK174" s="297">
        <f>F174</f>
        <v>0.83369755952573754</v>
      </c>
      <c r="BL174" s="256"/>
      <c r="BM174" s="256"/>
      <c r="BN174" s="302"/>
      <c r="BO174" s="587"/>
      <c r="BP174" s="587"/>
    </row>
    <row r="175" spans="1:68" ht="13.5" hidden="1" outlineLevel="1" thickBot="1">
      <c r="A175" s="256"/>
      <c r="B175" s="302"/>
      <c r="C175" s="256"/>
      <c r="D175" s="145"/>
      <c r="E175" s="256"/>
      <c r="F175" s="217"/>
      <c r="G175" s="256"/>
      <c r="H175" s="2085"/>
      <c r="I175" s="256"/>
      <c r="J175" s="145"/>
      <c r="K175" s="256"/>
      <c r="L175" s="1030"/>
      <c r="M175" s="256"/>
      <c r="N175" s="177"/>
      <c r="O175" s="256"/>
      <c r="P175" s="288"/>
      <c r="Q175" s="643"/>
      <c r="R175" s="259"/>
      <c r="S175" s="587"/>
      <c r="T175" s="256"/>
      <c r="U175" s="256"/>
      <c r="V175" s="296"/>
      <c r="W175" s="256"/>
      <c r="X175" s="1031"/>
      <c r="Y175" s="256"/>
      <c r="Z175" s="219"/>
      <c r="AA175" s="643"/>
      <c r="AB175" s="256"/>
      <c r="AC175" s="256"/>
      <c r="AD175" s="256"/>
      <c r="AE175" s="254"/>
      <c r="AF175" s="256"/>
      <c r="AG175" s="1122"/>
      <c r="AH175" s="643"/>
      <c r="AI175" s="1122"/>
      <c r="AJ175" s="587"/>
      <c r="AK175" s="256"/>
      <c r="AL175" s="141"/>
      <c r="AM175" s="256"/>
      <c r="AN175" s="1032"/>
      <c r="AO175" s="256"/>
      <c r="AP175" s="1122"/>
      <c r="AQ175" s="643"/>
      <c r="AR175" s="643"/>
      <c r="AS175" s="141"/>
      <c r="AT175" s="141"/>
      <c r="AU175" s="141"/>
      <c r="AV175" s="141"/>
      <c r="AW175" s="141"/>
      <c r="AX175" s="141"/>
      <c r="AY175" s="141"/>
      <c r="AZ175" s="1017"/>
      <c r="BA175" s="1017"/>
      <c r="BB175" s="1167"/>
      <c r="BC175" s="141"/>
      <c r="BG175" s="1167"/>
      <c r="BH175" s="256"/>
      <c r="BI175" s="256"/>
      <c r="BJ175" s="256"/>
      <c r="BK175" s="256"/>
      <c r="BL175" s="256"/>
      <c r="BM175" s="256"/>
      <c r="BN175" s="302"/>
      <c r="BO175" s="587"/>
      <c r="BP175" s="587"/>
    </row>
    <row r="176" spans="1:68" ht="13.5" hidden="1" outlineLevel="1" thickBot="1">
      <c r="A176" s="810"/>
      <c r="B176" s="171">
        <f>+B169+1</f>
        <v>2011</v>
      </c>
      <c r="C176" s="256"/>
      <c r="D176" s="256"/>
      <c r="E176" s="643"/>
      <c r="F176" s="256"/>
      <c r="G176" s="643"/>
      <c r="H176" s="2091"/>
      <c r="I176" s="643"/>
      <c r="J176" s="256"/>
      <c r="K176" s="643"/>
      <c r="L176" s="256"/>
      <c r="M176" s="256"/>
      <c r="N176" s="256"/>
      <c r="O176" s="256"/>
      <c r="P176" s="256"/>
      <c r="Q176" s="643"/>
      <c r="R176" s="587"/>
      <c r="S176" s="587"/>
      <c r="T176" s="256"/>
      <c r="U176" s="256"/>
      <c r="V176" s="256"/>
      <c r="W176" s="256"/>
      <c r="X176" s="256"/>
      <c r="Y176" s="256"/>
      <c r="Z176" s="256"/>
      <c r="AA176" s="643"/>
      <c r="AB176" s="256"/>
      <c r="AC176" s="256"/>
      <c r="AD176" s="256"/>
      <c r="AE176" s="256"/>
      <c r="AF176" s="256"/>
      <c r="AG176" s="256"/>
      <c r="AH176" s="643"/>
      <c r="AI176" s="587"/>
      <c r="AJ176" s="587"/>
      <c r="AK176" s="256"/>
      <c r="AL176" s="256"/>
      <c r="AM176" s="256"/>
      <c r="AN176" s="256"/>
      <c r="AO176" s="256"/>
      <c r="AP176" s="289"/>
      <c r="AQ176" s="643"/>
      <c r="AR176" s="643"/>
      <c r="AS176" s="317"/>
      <c r="AT176" s="317"/>
      <c r="AU176" s="317"/>
      <c r="AV176" s="317"/>
      <c r="AW176" s="317"/>
      <c r="AX176" s="317"/>
      <c r="AY176" s="317"/>
      <c r="AZ176" s="1605">
        <v>0.04</v>
      </c>
      <c r="BA176" s="238"/>
      <c r="BB176" s="256"/>
      <c r="BC176" s="1605"/>
      <c r="BD176" s="238"/>
      <c r="BF176" s="1605"/>
      <c r="BG176" s="238"/>
      <c r="BH176" s="256"/>
      <c r="BK176" s="256"/>
      <c r="BL176" s="256"/>
      <c r="BM176" s="256"/>
      <c r="BN176" s="256"/>
      <c r="BO176" s="587"/>
      <c r="BP176" s="587"/>
    </row>
    <row r="177" spans="1:68" hidden="1" outlineLevel="1">
      <c r="A177" s="256" t="str">
        <f>$A$40</f>
        <v>1Q</v>
      </c>
      <c r="B177" s="302" t="str">
        <f>$B$40</f>
        <v>Apr</v>
      </c>
      <c r="C177" s="256"/>
      <c r="D177" s="145">
        <f>(V177/V170-1)*100</f>
        <v>18.855033020573629</v>
      </c>
      <c r="E177" s="643" t="s">
        <v>1970</v>
      </c>
      <c r="F177" s="1517">
        <v>1</v>
      </c>
      <c r="G177" s="643"/>
      <c r="H177" s="2085">
        <f>'segSales&amp;comps'!G187</f>
        <v>17</v>
      </c>
      <c r="I177" s="643" t="s">
        <v>1970</v>
      </c>
      <c r="J177" s="145">
        <f>D177-H177-F177</f>
        <v>0.85503302057362873</v>
      </c>
      <c r="K177" s="643" t="s">
        <v>1970</v>
      </c>
      <c r="L177" s="725">
        <f>Stores!D261</f>
        <v>96</v>
      </c>
      <c r="M177" s="256"/>
      <c r="N177" s="177">
        <f>AVERAGE(L177,L174)</f>
        <v>96</v>
      </c>
      <c r="O177" s="256"/>
      <c r="P177" s="288">
        <f>(N177/N170-1)*100</f>
        <v>5.4945054945054972</v>
      </c>
      <c r="Q177" s="643" t="s">
        <v>1970</v>
      </c>
      <c r="R177" s="259">
        <f>J177/P177*100</f>
        <v>15.561600974440035</v>
      </c>
      <c r="S177" s="587" t="s">
        <v>1970</v>
      </c>
      <c r="T177" s="256"/>
      <c r="U177" s="256"/>
      <c r="V177" s="296">
        <f>'segSales&amp;comps'!E187</f>
        <v>374.7</v>
      </c>
      <c r="W177" s="238"/>
      <c r="X177" s="143">
        <f>V177/N177</f>
        <v>3.9031249999999997</v>
      </c>
      <c r="Y177" s="256"/>
      <c r="Z177" s="219">
        <f>(X177/X170-1)*100</f>
        <v>12.664666717418749</v>
      </c>
      <c r="AA177" s="643" t="s">
        <v>1970</v>
      </c>
      <c r="AB177" s="256"/>
      <c r="AC177" s="236">
        <f>AC173+(L177-L174)*yrSales!$W$85/1000000</f>
        <v>0.64359999999999995</v>
      </c>
      <c r="AD177" s="256" t="s">
        <v>505</v>
      </c>
      <c r="AE177" s="254">
        <f>AVERAGE(AC177,AC173)</f>
        <v>0.64359999999999995</v>
      </c>
      <c r="AF177" s="256"/>
      <c r="AG177" s="1122" t="s">
        <v>1086</v>
      </c>
      <c r="AH177" s="643" t="s">
        <v>1970</v>
      </c>
      <c r="AI177" s="1122" t="s">
        <v>1086</v>
      </c>
      <c r="AJ177" s="587" t="s">
        <v>1970</v>
      </c>
      <c r="AK177" s="256"/>
      <c r="AL177" s="141">
        <f>+V177</f>
        <v>374.7</v>
      </c>
      <c r="AM177" s="256" t="s">
        <v>505</v>
      </c>
      <c r="AN177" s="244">
        <f>AL177/AE177</f>
        <v>582.19390926041024</v>
      </c>
      <c r="AO177" s="256"/>
      <c r="AP177" s="1122" t="s">
        <v>1086</v>
      </c>
      <c r="AQ177" s="643" t="s">
        <v>1970</v>
      </c>
      <c r="AR177" s="643"/>
      <c r="AS177" s="141">
        <f>qtrSales!AN159</f>
        <v>39.138258000960001</v>
      </c>
      <c r="AT177" s="141"/>
      <c r="AU177" s="219">
        <f>((AS177/AS170)-1)*100</f>
        <v>14.000000000000012</v>
      </c>
      <c r="AV177" s="141" t="s">
        <v>1970</v>
      </c>
      <c r="AW177" s="219">
        <f>AS177/V177*100</f>
        <v>10.445224980240193</v>
      </c>
      <c r="AX177" s="141" t="s">
        <v>1970</v>
      </c>
      <c r="AY177" s="141"/>
      <c r="AZ177" s="1017">
        <v>1.0259287718624319</v>
      </c>
      <c r="BA177" s="1167">
        <f>(AZ177/AZ170-1)*100</f>
        <v>5.4767239155210756</v>
      </c>
      <c r="BB177" s="1609" t="s">
        <v>1970</v>
      </c>
      <c r="BC177" s="1017"/>
      <c r="BD177" s="1167"/>
      <c r="BF177" s="1017"/>
      <c r="BG177" s="1167"/>
      <c r="BH177" s="256"/>
      <c r="BI177" s="297">
        <f>(AZ176*BA177)+(BC176*BD177)+(BF176*BG177)</f>
        <v>0.21906895662084303</v>
      </c>
      <c r="BJ177" s="643" t="s">
        <v>1970</v>
      </c>
      <c r="BK177" s="297">
        <f>F177</f>
        <v>1</v>
      </c>
      <c r="BL177" s="643" t="s">
        <v>1970</v>
      </c>
      <c r="BM177" s="256"/>
      <c r="BN177" s="256"/>
      <c r="BO177" s="1592"/>
      <c r="BP177" s="1492"/>
    </row>
    <row r="178" spans="1:68" hidden="1" outlineLevel="1">
      <c r="A178" s="256" t="str">
        <f>$A$41</f>
        <v>2Q</v>
      </c>
      <c r="B178" s="302" t="str">
        <f>$B$41</f>
        <v>Jul</v>
      </c>
      <c r="C178" s="256"/>
      <c r="D178" s="145">
        <f>(V178/V171-1)*100</f>
        <v>25.051864407747004</v>
      </c>
      <c r="E178" s="256"/>
      <c r="F178" s="1517">
        <v>1</v>
      </c>
      <c r="G178" s="256"/>
      <c r="H178" s="2085">
        <f>'segSales&amp;comps'!G188</f>
        <v>23</v>
      </c>
      <c r="I178" s="256"/>
      <c r="J178" s="145">
        <f>D178-H178-F178</f>
        <v>1.0518644077470043</v>
      </c>
      <c r="K178" s="256"/>
      <c r="L178" s="725">
        <f>Stores!D262</f>
        <v>98</v>
      </c>
      <c r="M178" s="256"/>
      <c r="N178" s="177">
        <f>AVERAGE(L178,L177)</f>
        <v>97</v>
      </c>
      <c r="O178" s="256"/>
      <c r="P178" s="288">
        <f>(N178/N171-1)*100</f>
        <v>6.5934065934065922</v>
      </c>
      <c r="Q178" s="643"/>
      <c r="R178" s="259">
        <f>J178/P178*100</f>
        <v>15.953276850829567</v>
      </c>
      <c r="S178" s="587"/>
      <c r="T178" s="256"/>
      <c r="U178" s="256"/>
      <c r="V178" s="315">
        <f>'segSales&amp;comps'!E188</f>
        <v>438.22300000000001</v>
      </c>
      <c r="W178" s="238"/>
      <c r="X178" s="147">
        <f>V178/N178</f>
        <v>4.5177628865979385</v>
      </c>
      <c r="Y178" s="256"/>
      <c r="Z178" s="219">
        <f>(X178/X171-1)*100</f>
        <v>17.316697537164714</v>
      </c>
      <c r="AA178" s="643"/>
      <c r="AB178" s="256"/>
      <c r="AC178" s="236">
        <f>AC177+(L178-L177)*yrSales!$W$85/1000000</f>
        <v>0.64929999999999999</v>
      </c>
      <c r="AD178" s="238"/>
      <c r="AE178" s="254">
        <f>AVERAGE(AC178,AC177)</f>
        <v>0.64644999999999997</v>
      </c>
      <c r="AF178" s="256"/>
      <c r="AG178" s="1122" t="s">
        <v>1086</v>
      </c>
      <c r="AH178" s="643"/>
      <c r="AI178" s="1122" t="s">
        <v>1086</v>
      </c>
      <c r="AJ178" s="587"/>
      <c r="AK178" s="256"/>
      <c r="AL178" s="142">
        <f>+V178</f>
        <v>438.22300000000001</v>
      </c>
      <c r="AM178" s="256"/>
      <c r="AN178" s="245">
        <f>AL178/AE178</f>
        <v>677.89156160569269</v>
      </c>
      <c r="AO178" s="256"/>
      <c r="AP178" s="1122" t="s">
        <v>1086</v>
      </c>
      <c r="AQ178" s="643"/>
      <c r="AR178" s="643"/>
      <c r="AS178" s="142">
        <f>qtrSales!AN160</f>
        <v>37.140331522560011</v>
      </c>
      <c r="AT178" s="142"/>
      <c r="AU178" s="219">
        <f>((AS178/AS171)-1)*100</f>
        <v>7.0000000000000062</v>
      </c>
      <c r="AV178" s="142"/>
      <c r="AW178" s="219">
        <f>AS178/V178*100</f>
        <v>8.4752127393039647</v>
      </c>
      <c r="AX178" s="142"/>
      <c r="AY178" s="142"/>
      <c r="AZ178" s="1017">
        <v>1.0337692931730997</v>
      </c>
      <c r="BA178" s="1167">
        <f>(AZ178/AZ171-1)*100</f>
        <v>7.6308471765726971</v>
      </c>
      <c r="BB178" s="1167"/>
      <c r="BC178" s="1017"/>
      <c r="BD178" s="1167"/>
      <c r="BF178" s="1017"/>
      <c r="BG178" s="1167"/>
      <c r="BH178" s="256"/>
      <c r="BI178" s="297">
        <f>(AZ176*BA178)+(BC176*BD178)+(BF176*BG178)</f>
        <v>0.30523388706290788</v>
      </c>
      <c r="BJ178" s="1167"/>
      <c r="BK178" s="297">
        <f>F178</f>
        <v>1</v>
      </c>
      <c r="BL178" s="256"/>
      <c r="BM178" s="256"/>
      <c r="BN178" s="256"/>
      <c r="BO178" s="1592"/>
      <c r="BP178" s="1492"/>
    </row>
    <row r="179" spans="1:68" hidden="1" outlineLevel="1">
      <c r="A179" s="256" t="str">
        <f>$A$42</f>
        <v>3Q</v>
      </c>
      <c r="B179" s="302" t="str">
        <f>$B$42</f>
        <v>Oct</v>
      </c>
      <c r="C179" s="256"/>
      <c r="D179" s="145">
        <f>(V179/V172-1)*100</f>
        <v>16.863039422245141</v>
      </c>
      <c r="E179" s="256"/>
      <c r="F179" s="1517">
        <v>0</v>
      </c>
      <c r="G179" s="256"/>
      <c r="H179" s="2085">
        <f>'segSales&amp;comps'!G189</f>
        <v>15</v>
      </c>
      <c r="I179" s="256"/>
      <c r="J179" s="145">
        <f>D179-H179-F179</f>
        <v>1.8630394222451407</v>
      </c>
      <c r="K179" s="256"/>
      <c r="L179" s="725">
        <f>Stores!D263</f>
        <v>101</v>
      </c>
      <c r="M179" s="256"/>
      <c r="N179" s="177">
        <f>AVERAGE(L179,L178)</f>
        <v>99.5</v>
      </c>
      <c r="O179" s="256"/>
      <c r="P179" s="288">
        <f>(N179/N172-1)*100</f>
        <v>8.1521739130434803</v>
      </c>
      <c r="Q179" s="643"/>
      <c r="R179" s="259">
        <f>J179/P179*100</f>
        <v>22.853283579540388</v>
      </c>
      <c r="S179" s="587"/>
      <c r="T179" s="256"/>
      <c r="U179" s="256"/>
      <c r="V179" s="315">
        <f>'segSales&amp;comps'!E189</f>
        <v>387.71300000000002</v>
      </c>
      <c r="W179" s="238"/>
      <c r="X179" s="147">
        <f>V179/N179</f>
        <v>3.8966130653266333</v>
      </c>
      <c r="Y179" s="256"/>
      <c r="Z179" s="219">
        <f>(X179/X172-1)*100</f>
        <v>8.0542676064980121</v>
      </c>
      <c r="AA179" s="643"/>
      <c r="AB179" s="256"/>
      <c r="AC179" s="236">
        <f>AC178+(L179-L178)*yrSales!$W$85/1000000</f>
        <v>0.65785000000000005</v>
      </c>
      <c r="AD179" s="238"/>
      <c r="AE179" s="254">
        <f>AVERAGE(AC179,AC178)</f>
        <v>0.65357500000000002</v>
      </c>
      <c r="AF179" s="256"/>
      <c r="AG179" s="1122" t="s">
        <v>1086</v>
      </c>
      <c r="AH179" s="643"/>
      <c r="AI179" s="1122" t="s">
        <v>1086</v>
      </c>
      <c r="AJ179" s="587"/>
      <c r="AK179" s="256"/>
      <c r="AL179" s="142">
        <f>+V179</f>
        <v>387.71300000000002</v>
      </c>
      <c r="AM179" s="256"/>
      <c r="AN179" s="245">
        <f>AL179/AE179</f>
        <v>593.2188348697548</v>
      </c>
      <c r="AO179" s="256"/>
      <c r="AP179" s="1122" t="s">
        <v>1086</v>
      </c>
      <c r="AQ179" s="643"/>
      <c r="AR179" s="643"/>
      <c r="AS179" s="142">
        <f>qtrSales!AN161</f>
        <v>31.534586950230004</v>
      </c>
      <c r="AT179" s="142"/>
      <c r="AU179" s="219">
        <f>((AS179/AS172)-1)*100</f>
        <v>11.000000000000011</v>
      </c>
      <c r="AV179" s="142"/>
      <c r="AW179" s="219">
        <f>AS179/V179*100</f>
        <v>8.1334871284248926</v>
      </c>
      <c r="AX179" s="142"/>
      <c r="AY179" s="142"/>
      <c r="AZ179" s="1017">
        <v>0.99937405780660526</v>
      </c>
      <c r="BA179" s="1167">
        <f>(AZ179/AZ172-1)*100</f>
        <v>3.0517190257873139</v>
      </c>
      <c r="BB179" s="1167"/>
      <c r="BC179" s="1017"/>
      <c r="BD179" s="1167"/>
      <c r="BF179" s="1017"/>
      <c r="BG179" s="1167"/>
      <c r="BH179" s="256"/>
      <c r="BI179" s="297">
        <f>(AZ176*BA179)+(BC176*BD179)+(BF176*BG179)</f>
        <v>0.12206876103149256</v>
      </c>
      <c r="BJ179" s="1167"/>
      <c r="BK179" s="297">
        <f>F179</f>
        <v>0</v>
      </c>
      <c r="BL179" s="256"/>
      <c r="BM179" s="256"/>
      <c r="BN179" s="256"/>
      <c r="BO179" s="1592"/>
      <c r="BP179" s="1492"/>
    </row>
    <row r="180" spans="1:68" hidden="1" outlineLevel="1">
      <c r="A180" s="256" t="str">
        <f>$A$43</f>
        <v>4Q</v>
      </c>
      <c r="B180" s="302" t="str">
        <f>$B$43</f>
        <v>Jan</v>
      </c>
      <c r="C180" s="256"/>
      <c r="D180" s="176">
        <f>(V180/V173-1)*100</f>
        <v>4.8576275356819298</v>
      </c>
      <c r="E180" s="256"/>
      <c r="F180" s="218">
        <v>0</v>
      </c>
      <c r="G180" s="256"/>
      <c r="H180" s="2090">
        <f>'segSales&amp;comps'!G190</f>
        <v>3</v>
      </c>
      <c r="I180" s="256"/>
      <c r="J180" s="176">
        <f>D180-H180-F180</f>
        <v>1.8576275356819298</v>
      </c>
      <c r="K180" s="256"/>
      <c r="L180" s="917">
        <f>Stores!D264</f>
        <v>102</v>
      </c>
      <c r="M180" s="238"/>
      <c r="N180" s="178">
        <f>AVERAGE(L180,L179)</f>
        <v>101.5</v>
      </c>
      <c r="O180" s="256"/>
      <c r="P180" s="318">
        <f>(N180/N173-1)*100</f>
        <v>7.4074074074074181</v>
      </c>
      <c r="Q180" s="643"/>
      <c r="R180" s="178">
        <f>J180/P180*100</f>
        <v>25.077971731706018</v>
      </c>
      <c r="S180" s="587"/>
      <c r="T180" s="256"/>
      <c r="U180" s="256"/>
      <c r="V180" s="316">
        <f>'segSales&amp;comps'!E190</f>
        <v>605.14699999999993</v>
      </c>
      <c r="W180" s="256"/>
      <c r="X180" s="148">
        <f>V180/N180</f>
        <v>5.9620394088669943</v>
      </c>
      <c r="Y180" s="256"/>
      <c r="Z180" s="218">
        <f>(X180/X173-1)*100</f>
        <v>-2.373932984020255</v>
      </c>
      <c r="AA180" s="643"/>
      <c r="AB180" s="256"/>
      <c r="AC180" s="236">
        <f>AC179+(L180-L179)*yrSales!$W$85/1000000</f>
        <v>0.66070000000000007</v>
      </c>
      <c r="AD180" s="238"/>
      <c r="AE180" s="255">
        <f>AVERAGE(AC180,AC179)</f>
        <v>0.65927500000000006</v>
      </c>
      <c r="AF180" s="256"/>
      <c r="AG180" s="1123" t="s">
        <v>1086</v>
      </c>
      <c r="AH180" s="643"/>
      <c r="AI180" s="1123" t="s">
        <v>1086</v>
      </c>
      <c r="AJ180" s="587"/>
      <c r="AK180" s="256"/>
      <c r="AL180" s="146">
        <f>+V180</f>
        <v>605.14699999999993</v>
      </c>
      <c r="AM180" s="256"/>
      <c r="AN180" s="257">
        <f>AL180/AE180</f>
        <v>917.89769064502661</v>
      </c>
      <c r="AO180" s="256"/>
      <c r="AP180" s="1123" t="s">
        <v>1086</v>
      </c>
      <c r="AQ180" s="643"/>
      <c r="AR180" s="643"/>
      <c r="AS180" s="146">
        <f>qtrSales!AN162</f>
        <v>74.427144192</v>
      </c>
      <c r="AT180" s="1480"/>
      <c r="AU180" s="218">
        <f>((AS180/AS173)-1)*100</f>
        <v>-4.0000000000000142</v>
      </c>
      <c r="AV180" s="1480"/>
      <c r="AW180" s="218">
        <f>AS180/V180*100</f>
        <v>12.299018947792852</v>
      </c>
      <c r="AX180" s="1480"/>
      <c r="AY180" s="1480"/>
      <c r="AZ180" s="1601">
        <v>0.97974570283445672</v>
      </c>
      <c r="BA180" s="1602">
        <f>(AZ180/AZ173-1)*100</f>
        <v>-1.5214812000510336</v>
      </c>
      <c r="BB180" s="256"/>
      <c r="BC180" s="1601"/>
      <c r="BD180" s="1602"/>
      <c r="BF180" s="1601"/>
      <c r="BG180" s="1602"/>
      <c r="BH180" s="256"/>
      <c r="BI180" s="298">
        <f>(AZ176*BA180)+(BC176*BD180)+(BF176*BG180)</f>
        <v>-6.0859248002041344E-2</v>
      </c>
      <c r="BJ180" s="1167"/>
      <c r="BK180" s="298">
        <f>F180</f>
        <v>0</v>
      </c>
      <c r="BL180" s="256"/>
      <c r="BM180" s="256"/>
      <c r="BN180" s="256"/>
      <c r="BO180" s="1592"/>
      <c r="BP180" s="1492"/>
    </row>
    <row r="181" spans="1:68" hidden="1" outlineLevel="1">
      <c r="A181" s="256"/>
      <c r="B181" s="302" t="str">
        <f>$B$44</f>
        <v>Year</v>
      </c>
      <c r="C181" s="256"/>
      <c r="D181" s="145">
        <f>(V181/V174-1)*100</f>
        <v>14.684126660531671</v>
      </c>
      <c r="E181" s="256"/>
      <c r="F181" s="217">
        <f>F177*V170/V174+F178*V171/V174+F179*V172/V174+F180*V173/V174</f>
        <v>0.42277610854004044</v>
      </c>
      <c r="G181" s="256"/>
      <c r="H181" s="2085">
        <f>H177*V170/V174+H178*V171/V174+H179*V172/V174+H180*V173/V174</f>
        <v>12.782649369256768</v>
      </c>
      <c r="I181" s="256"/>
      <c r="J181" s="145">
        <f>D181-H181-F181</f>
        <v>1.4787011827348624</v>
      </c>
      <c r="K181" s="256"/>
      <c r="L181" s="923">
        <f>L180</f>
        <v>102</v>
      </c>
      <c r="M181" s="256"/>
      <c r="N181" s="177">
        <f>AVERAGE(N177:N180)</f>
        <v>98.5</v>
      </c>
      <c r="O181" s="256"/>
      <c r="P181" s="288">
        <f>(N181/N174-1)*100</f>
        <v>6.919945725915877</v>
      </c>
      <c r="Q181" s="643"/>
      <c r="R181" s="259">
        <f>J181/P181*100</f>
        <v>21.368681797560654</v>
      </c>
      <c r="S181" s="587"/>
      <c r="T181" s="256"/>
      <c r="U181" s="256"/>
      <c r="V181" s="296">
        <f>SUM(V177:V180)</f>
        <v>1805.7829999999999</v>
      </c>
      <c r="W181" s="256"/>
      <c r="X181" s="918">
        <f>V181/N181</f>
        <v>18.33282233502538</v>
      </c>
      <c r="Y181" s="256"/>
      <c r="Z181" s="219">
        <f>(X181/X174-1)*100</f>
        <v>7.2616768385937114</v>
      </c>
      <c r="AA181" s="643"/>
      <c r="AB181" s="256"/>
      <c r="AC181" s="256"/>
      <c r="AD181" s="256"/>
      <c r="AE181" s="254">
        <f>AVERAGE(AE177:AE180)</f>
        <v>0.650725</v>
      </c>
      <c r="AF181" s="256"/>
      <c r="AG181" s="1122" t="s">
        <v>1086</v>
      </c>
      <c r="AH181" s="643"/>
      <c r="AI181" s="1122" t="s">
        <v>1086</v>
      </c>
      <c r="AJ181" s="587"/>
      <c r="AK181" s="256"/>
      <c r="AL181" s="141">
        <f>SUM(AL177:AL180)</f>
        <v>1805.7829999999999</v>
      </c>
      <c r="AM181" s="256"/>
      <c r="AN181" s="919">
        <f>AL181/AE181</f>
        <v>2775.0324637903873</v>
      </c>
      <c r="AO181" s="256"/>
      <c r="AP181" s="1122" t="s">
        <v>1086</v>
      </c>
      <c r="AQ181" s="643"/>
      <c r="AR181" s="643"/>
      <c r="AS181" s="141">
        <f>qtrSales!AN163</f>
        <v>182.24032066575</v>
      </c>
      <c r="AT181" s="141"/>
      <c r="AU181" s="219">
        <f>((AS181/AS174)-1)*100</f>
        <v>4.1491047841574424</v>
      </c>
      <c r="AV181" s="141"/>
      <c r="AW181" s="219">
        <f>AS181/V181*100</f>
        <v>10.092038781279369</v>
      </c>
      <c r="AX181" s="141"/>
      <c r="AY181" s="141"/>
      <c r="AZ181" s="1017">
        <v>1.009027300280871</v>
      </c>
      <c r="BA181" s="1167">
        <f>(AZ181/AZ174-1)*100</f>
        <v>3.5574777043320127</v>
      </c>
      <c r="BB181" s="1167"/>
      <c r="BC181" s="1017"/>
      <c r="BD181" s="1167"/>
      <c r="BF181" s="1017"/>
      <c r="BG181" s="1167"/>
      <c r="BH181" s="256"/>
      <c r="BI181" s="297">
        <f>(AZ176*BA181)+(BC176*BD181)+(BF176*BG181)</f>
        <v>0.14229910817328051</v>
      </c>
      <c r="BJ181" s="256"/>
      <c r="BK181" s="297">
        <f>F181</f>
        <v>0.42277610854004044</v>
      </c>
      <c r="BL181" s="256"/>
      <c r="BM181" s="256"/>
      <c r="BN181" s="302"/>
      <c r="BO181" s="587"/>
      <c r="BP181" s="587"/>
    </row>
    <row r="182" spans="1:68" ht="13.5" hidden="1" outlineLevel="1" thickBot="1">
      <c r="A182" s="256"/>
      <c r="B182" s="302"/>
      <c r="C182" s="256"/>
      <c r="D182" s="145"/>
      <c r="E182" s="256"/>
      <c r="F182" s="217"/>
      <c r="G182" s="256"/>
      <c r="H182" s="2085"/>
      <c r="I182" s="256"/>
      <c r="J182" s="145"/>
      <c r="K182" s="256"/>
      <c r="L182" s="1030"/>
      <c r="M182" s="256"/>
      <c r="N182" s="177"/>
      <c r="O182" s="256"/>
      <c r="P182" s="288"/>
      <c r="Q182" s="643"/>
      <c r="R182" s="259"/>
      <c r="S182" s="587"/>
      <c r="T182" s="256"/>
      <c r="U182" s="256"/>
      <c r="V182" s="296"/>
      <c r="W182" s="256"/>
      <c r="X182" s="1031"/>
      <c r="Y182" s="256"/>
      <c r="Z182" s="219"/>
      <c r="AA182" s="643"/>
      <c r="AB182" s="256"/>
      <c r="AC182" s="256"/>
      <c r="AD182" s="256"/>
      <c r="AE182" s="254"/>
      <c r="AF182" s="256"/>
      <c r="AG182" s="1122"/>
      <c r="AH182" s="643"/>
      <c r="AI182" s="1122"/>
      <c r="AJ182" s="587"/>
      <c r="AK182" s="256"/>
      <c r="AL182" s="141"/>
      <c r="AM182" s="256"/>
      <c r="AN182" s="1032"/>
      <c r="AO182" s="256"/>
      <c r="AP182" s="1122"/>
      <c r="AQ182" s="643"/>
      <c r="AR182" s="643"/>
      <c r="AS182" s="141"/>
      <c r="AT182" s="141"/>
      <c r="AU182" s="141"/>
      <c r="AV182" s="141"/>
      <c r="AW182" s="141"/>
      <c r="AX182" s="141"/>
      <c r="AY182" s="141"/>
      <c r="AZ182" s="1017"/>
      <c r="BA182" s="1017"/>
      <c r="BB182" s="1167"/>
      <c r="BC182" s="141"/>
      <c r="BG182" s="1167"/>
      <c r="BH182" s="256"/>
      <c r="BI182" s="256"/>
      <c r="BJ182" s="256"/>
      <c r="BK182" s="256"/>
      <c r="BL182" s="256"/>
      <c r="BM182" s="256"/>
      <c r="BN182" s="302"/>
      <c r="BO182" s="587"/>
      <c r="BP182" s="587"/>
    </row>
    <row r="183" spans="1:68" ht="13.5" hidden="1" outlineLevel="1" thickBot="1">
      <c r="A183" s="810"/>
      <c r="B183" s="171">
        <f>+B176+1</f>
        <v>2012</v>
      </c>
      <c r="C183" s="256"/>
      <c r="D183" s="256"/>
      <c r="E183" s="643"/>
      <c r="F183" s="256"/>
      <c r="G183" s="643"/>
      <c r="H183" s="2091"/>
      <c r="I183" s="643"/>
      <c r="J183" s="256"/>
      <c r="K183" s="643"/>
      <c r="L183" s="256"/>
      <c r="M183" s="256"/>
      <c r="N183" s="256"/>
      <c r="O183" s="256"/>
      <c r="P183" s="256"/>
      <c r="Q183" s="643"/>
      <c r="R183" s="587"/>
      <c r="S183" s="587"/>
      <c r="T183" s="256"/>
      <c r="U183" s="256"/>
      <c r="V183" s="256"/>
      <c r="W183" s="256"/>
      <c r="X183" s="256"/>
      <c r="Y183" s="256"/>
      <c r="Z183" s="256"/>
      <c r="AA183" s="643"/>
      <c r="AB183" s="256"/>
      <c r="AC183" s="256"/>
      <c r="AD183" s="256"/>
      <c r="AE183" s="256"/>
      <c r="AF183" s="256"/>
      <c r="AG183" s="256"/>
      <c r="AH183" s="643"/>
      <c r="AI183" s="587"/>
      <c r="AJ183" s="587"/>
      <c r="AK183" s="256"/>
      <c r="AL183" s="256"/>
      <c r="AM183" s="256"/>
      <c r="AN183" s="256"/>
      <c r="AO183" s="256"/>
      <c r="AP183" s="289"/>
      <c r="AQ183" s="643"/>
      <c r="AR183" s="643"/>
      <c r="AS183" s="317"/>
      <c r="AT183" s="317"/>
      <c r="AU183" s="317"/>
      <c r="AV183" s="317"/>
      <c r="AW183" s="317"/>
      <c r="AX183" s="317"/>
      <c r="AY183" s="317"/>
      <c r="AZ183" s="1605">
        <v>0.08</v>
      </c>
      <c r="BA183" s="238"/>
      <c r="BB183" s="256"/>
      <c r="BC183" s="1605"/>
      <c r="BD183" s="238"/>
      <c r="BF183" s="1605"/>
      <c r="BG183" s="238"/>
      <c r="BH183" s="256"/>
      <c r="BK183" s="256"/>
      <c r="BL183" s="256"/>
      <c r="BM183" s="256"/>
      <c r="BN183" s="256"/>
      <c r="BO183" s="587"/>
      <c r="BP183" s="587"/>
    </row>
    <row r="184" spans="1:68" hidden="1" outlineLevel="1">
      <c r="A184" s="256" t="str">
        <f>$A$40</f>
        <v>1Q</v>
      </c>
      <c r="B184" s="302" t="str">
        <f>$B$40</f>
        <v>Apr</v>
      </c>
      <c r="C184" s="256"/>
      <c r="D184" s="145">
        <f>(V184/V177-1)*100</f>
        <v>2.9287429943955168</v>
      </c>
      <c r="E184" s="643" t="s">
        <v>1970</v>
      </c>
      <c r="F184" s="1517">
        <v>0</v>
      </c>
      <c r="G184" s="643"/>
      <c r="H184" s="2085">
        <f>'segSales&amp;comps'!G194</f>
        <v>0</v>
      </c>
      <c r="I184" s="643" t="s">
        <v>1970</v>
      </c>
      <c r="J184" s="145">
        <f>D184-H184-F184</f>
        <v>2.9287429943955168</v>
      </c>
      <c r="K184" s="643" t="s">
        <v>1970</v>
      </c>
      <c r="L184" s="725">
        <f>Stores!D268</f>
        <v>105</v>
      </c>
      <c r="M184" s="256"/>
      <c r="N184" s="177">
        <f>AVERAGE(L184,L181)</f>
        <v>103.5</v>
      </c>
      <c r="O184" s="256"/>
      <c r="P184" s="288">
        <f>(N184/N177-1)*100</f>
        <v>7.8125</v>
      </c>
      <c r="Q184" s="643" t="s">
        <v>1970</v>
      </c>
      <c r="R184" s="259">
        <f>J184/P184*100</f>
        <v>37.487910328262615</v>
      </c>
      <c r="S184" s="587" t="s">
        <v>1970</v>
      </c>
      <c r="T184" s="256"/>
      <c r="U184" s="256"/>
      <c r="V184" s="296">
        <f>'segSales&amp;comps'!E194</f>
        <v>385.67399999999998</v>
      </c>
      <c r="W184" s="238"/>
      <c r="X184" s="143">
        <f>V184/N184</f>
        <v>3.7263188405797099</v>
      </c>
      <c r="Y184" s="256"/>
      <c r="Z184" s="219">
        <f>(X184/X177-1)*100</f>
        <v>-4.5298615704157497</v>
      </c>
      <c r="AA184" s="643" t="s">
        <v>1970</v>
      </c>
      <c r="AB184" s="256"/>
      <c r="AC184" s="236">
        <f>AC180+(L184-L181)*yrSales!$X$85/1000000</f>
        <v>0.67120000000000002</v>
      </c>
      <c r="AD184" s="256" t="s">
        <v>505</v>
      </c>
      <c r="AE184" s="254">
        <f>AVERAGE(AC184,AC180)</f>
        <v>0.66595000000000004</v>
      </c>
      <c r="AF184" s="256"/>
      <c r="AG184" s="1122" t="s">
        <v>1086</v>
      </c>
      <c r="AH184" s="643" t="s">
        <v>1970</v>
      </c>
      <c r="AI184" s="1122" t="s">
        <v>1086</v>
      </c>
      <c r="AJ184" s="587" t="s">
        <v>1970</v>
      </c>
      <c r="AK184" s="256"/>
      <c r="AL184" s="141">
        <f>+V184</f>
        <v>385.67399999999998</v>
      </c>
      <c r="AM184" s="256" t="s">
        <v>505</v>
      </c>
      <c r="AN184" s="244">
        <f>AL184/AE184</f>
        <v>579.13356858623013</v>
      </c>
      <c r="AO184" s="256"/>
      <c r="AP184" s="1122" t="s">
        <v>1086</v>
      </c>
      <c r="AQ184" s="643" t="s">
        <v>1970</v>
      </c>
      <c r="AR184" s="643"/>
      <c r="AS184" s="141">
        <f>qtrSales!AN166</f>
        <v>39.529640580969598</v>
      </c>
      <c r="AT184" s="141"/>
      <c r="AU184" s="219">
        <f>((AS184/AS177)-1)*100</f>
        <v>1.0000000000000009</v>
      </c>
      <c r="AV184" s="141" t="s">
        <v>1970</v>
      </c>
      <c r="AW184" s="219">
        <f>AS184/V184*100</f>
        <v>10.249495838705643</v>
      </c>
      <c r="AX184" s="141" t="s">
        <v>1970</v>
      </c>
      <c r="AY184" s="141"/>
      <c r="AZ184" s="1017">
        <v>1.0053701611524326</v>
      </c>
      <c r="BA184" s="1167">
        <f>(AZ184/AZ177-1)*100</f>
        <v>-2.0039023442804949</v>
      </c>
      <c r="BB184" s="1609" t="s">
        <v>1970</v>
      </c>
      <c r="BC184" s="1017">
        <v>7.7780187478204074E-2</v>
      </c>
      <c r="BD184" s="1167"/>
      <c r="BF184" s="1017">
        <v>0.55967381181846598</v>
      </c>
      <c r="BG184" s="1167"/>
      <c r="BH184" s="256"/>
      <c r="BI184" s="297">
        <f>(AZ183*BA184)+(BC183*BD184)+(BF183*BG184)</f>
        <v>-0.16031218754243959</v>
      </c>
      <c r="BJ184" s="643" t="s">
        <v>1970</v>
      </c>
      <c r="BK184" s="297">
        <f>F184</f>
        <v>0</v>
      </c>
      <c r="BL184" s="643" t="s">
        <v>1970</v>
      </c>
      <c r="BM184" s="256"/>
      <c r="BN184" s="256"/>
      <c r="BO184" s="1592"/>
      <c r="BP184" s="1492"/>
    </row>
    <row r="185" spans="1:68" hidden="1" outlineLevel="1">
      <c r="A185" s="256" t="str">
        <f>$A$41</f>
        <v>2Q</v>
      </c>
      <c r="B185" s="302" t="str">
        <f>$B$41</f>
        <v>Jul</v>
      </c>
      <c r="C185" s="256"/>
      <c r="D185" s="145">
        <f>(V185/V178-1)*100</f>
        <v>-0.96617475577503997</v>
      </c>
      <c r="E185" s="256"/>
      <c r="F185" s="1156">
        <v>-1</v>
      </c>
      <c r="G185" s="256"/>
      <c r="H185" s="2085">
        <f>'segSales&amp;comps'!G195</f>
        <v>-5</v>
      </c>
      <c r="I185" s="256"/>
      <c r="J185" s="145">
        <f>D185-H185-F185</f>
        <v>5.0338252442249605</v>
      </c>
      <c r="K185" s="256"/>
      <c r="L185" s="725">
        <f>Stores!D269</f>
        <v>106</v>
      </c>
      <c r="M185" s="256"/>
      <c r="N185" s="177">
        <f>AVERAGE(L185,L184)</f>
        <v>105.5</v>
      </c>
      <c r="O185" s="256"/>
      <c r="P185" s="288">
        <f>(N185/N178-1)*100</f>
        <v>8.7628865979381345</v>
      </c>
      <c r="Q185" s="643"/>
      <c r="R185" s="259">
        <f>J185/P185*100</f>
        <v>57.444829257626083</v>
      </c>
      <c r="S185" s="587"/>
      <c r="T185" s="256"/>
      <c r="U185" s="256"/>
      <c r="V185" s="315">
        <f>'segSales&amp;comps'!E195</f>
        <v>433.98899999999998</v>
      </c>
      <c r="W185" s="238"/>
      <c r="X185" s="147">
        <f>V185/N185</f>
        <v>4.1136398104265401</v>
      </c>
      <c r="Y185" s="256"/>
      <c r="Z185" s="219">
        <f>(X185/X178-1)*100</f>
        <v>-8.9452033299542997</v>
      </c>
      <c r="AA185" s="643"/>
      <c r="AB185" s="256"/>
      <c r="AC185" s="236">
        <f>AC184+(L185-L184)*yrSales!$X$85/1000000</f>
        <v>0.67469999999999997</v>
      </c>
      <c r="AD185" s="238"/>
      <c r="AE185" s="254">
        <f>AVERAGE(AC185,AC184)</f>
        <v>0.67294999999999994</v>
      </c>
      <c r="AF185" s="256"/>
      <c r="AG185" s="1122" t="s">
        <v>1086</v>
      </c>
      <c r="AH185" s="643"/>
      <c r="AI185" s="1122" t="s">
        <v>1086</v>
      </c>
      <c r="AJ185" s="587"/>
      <c r="AK185" s="256"/>
      <c r="AL185" s="142">
        <f>+V185</f>
        <v>433.98899999999998</v>
      </c>
      <c r="AM185" s="256"/>
      <c r="AN185" s="245">
        <f>AL185/AE185</f>
        <v>644.90526785050895</v>
      </c>
      <c r="AO185" s="256"/>
      <c r="AP185" s="1122" t="s">
        <v>1086</v>
      </c>
      <c r="AQ185" s="643"/>
      <c r="AR185" s="643"/>
      <c r="AS185" s="142">
        <f>qtrSales!AN167</f>
        <v>38.254541468236809</v>
      </c>
      <c r="AT185" s="142"/>
      <c r="AU185" s="219">
        <f>((AS185/AS178)-1)*100</f>
        <v>3.0000000000000027</v>
      </c>
      <c r="AV185" s="142"/>
      <c r="AW185" s="219">
        <f>AS185/V185*100</f>
        <v>8.8146338889319349</v>
      </c>
      <c r="AX185" s="142"/>
      <c r="AY185" s="142"/>
      <c r="AZ185" s="1017">
        <v>0.98334224720360608</v>
      </c>
      <c r="BA185" s="1167">
        <f>(AZ185/AZ178-1)*100</f>
        <v>-4.8779787040017952</v>
      </c>
      <c r="BB185" s="1167"/>
      <c r="BC185" s="1017">
        <v>7.3390885662586627E-2</v>
      </c>
      <c r="BD185" s="1167"/>
      <c r="BF185" s="1017">
        <v>0.49569366975220275</v>
      </c>
      <c r="BG185" s="1167"/>
      <c r="BH185" s="256"/>
      <c r="BI185" s="297">
        <f>(AZ183*BA185)+(BC183*BD185)+(BF183*BG185)</f>
        <v>-0.39023829632014362</v>
      </c>
      <c r="BJ185" s="1167"/>
      <c r="BK185" s="297">
        <f>F185</f>
        <v>-1</v>
      </c>
      <c r="BL185" s="256"/>
      <c r="BM185" s="256"/>
      <c r="BN185" s="256"/>
      <c r="BO185" s="1592"/>
      <c r="BP185" s="1492"/>
    </row>
    <row r="186" spans="1:68" hidden="1" outlineLevel="1">
      <c r="A186" s="256" t="str">
        <f>$A$42</f>
        <v>3Q</v>
      </c>
      <c r="B186" s="302" t="str">
        <f>$B$42</f>
        <v>Oct</v>
      </c>
      <c r="C186" s="256"/>
      <c r="D186" s="145">
        <f>(V186/V179-1)*100</f>
        <v>3.1982419985917332</v>
      </c>
      <c r="E186" s="256"/>
      <c r="F186" s="1124">
        <v>0</v>
      </c>
      <c r="G186" s="256"/>
      <c r="H186" s="2085">
        <f>'segSales&amp;comps'!G196</f>
        <v>1</v>
      </c>
      <c r="I186" s="256"/>
      <c r="J186" s="145">
        <f>D186-H186-F186</f>
        <v>2.1982419985917332</v>
      </c>
      <c r="K186" s="256"/>
      <c r="L186" s="725">
        <f>Stores!D270</f>
        <v>113</v>
      </c>
      <c r="M186" s="238"/>
      <c r="N186" s="177">
        <f>AVERAGE(L186,L185)</f>
        <v>109.5</v>
      </c>
      <c r="O186" s="256"/>
      <c r="P186" s="288">
        <f>(N186/N179-1)*100</f>
        <v>10.050251256281406</v>
      </c>
      <c r="Q186" s="643"/>
      <c r="R186" s="259">
        <f>J186/P186*100</f>
        <v>21.872507885987748</v>
      </c>
      <c r="S186" s="587"/>
      <c r="T186" s="256"/>
      <c r="U186" s="256"/>
      <c r="V186" s="315">
        <f>'segSales&amp;comps'!E196</f>
        <v>400.113</v>
      </c>
      <c r="W186" s="256"/>
      <c r="X186" s="147">
        <f>V186/N186</f>
        <v>3.6539999999999999</v>
      </c>
      <c r="Y186" s="256"/>
      <c r="Z186" s="219">
        <f>(X186/X179-1)*100</f>
        <v>-6.2262549875810258</v>
      </c>
      <c r="AA186" s="643"/>
      <c r="AB186" s="256"/>
      <c r="AC186" s="236">
        <f>AC185+(L186-L185)*yrSales!$X$85/1000000</f>
        <v>0.69919999999999993</v>
      </c>
      <c r="AD186" s="238"/>
      <c r="AE186" s="254">
        <f>AVERAGE(AC186,AC185)</f>
        <v>0.68694999999999995</v>
      </c>
      <c r="AF186" s="256"/>
      <c r="AG186" s="1122" t="s">
        <v>1086</v>
      </c>
      <c r="AH186" s="643"/>
      <c r="AI186" s="1122" t="s">
        <v>1086</v>
      </c>
      <c r="AJ186" s="587"/>
      <c r="AK186" s="256"/>
      <c r="AL186" s="142">
        <f>+V186</f>
        <v>400.113</v>
      </c>
      <c r="AM186" s="256"/>
      <c r="AN186" s="245">
        <f>AL186/AE186</f>
        <v>582.44850425795187</v>
      </c>
      <c r="AO186" s="256"/>
      <c r="AP186" s="1122" t="s">
        <v>1086</v>
      </c>
      <c r="AQ186" s="643"/>
      <c r="AR186" s="643"/>
      <c r="AS186" s="142">
        <f>qtrSales!AN168</f>
        <v>30.903895211225404</v>
      </c>
      <c r="AT186" s="142"/>
      <c r="AU186" s="219">
        <f>((AS186/AS179)-1)*100</f>
        <v>-2.0000000000000018</v>
      </c>
      <c r="AV186" s="142"/>
      <c r="AW186" s="219">
        <f>AS186/V186*100</f>
        <v>7.7237918316139202</v>
      </c>
      <c r="AX186" s="142"/>
      <c r="AY186" s="142"/>
      <c r="AZ186" s="1017">
        <v>1.0140009407449035</v>
      </c>
      <c r="BA186" s="1167">
        <f>(AZ186/AZ179-1)*100</f>
        <v>1.463604425594256</v>
      </c>
      <c r="BB186" s="1167"/>
      <c r="BC186" s="1017">
        <v>7.688653789530675E-2</v>
      </c>
      <c r="BD186" s="1167"/>
      <c r="BF186" s="1017">
        <v>0.49283515063258471</v>
      </c>
      <c r="BG186" s="1167"/>
      <c r="BH186" s="256"/>
      <c r="BI186" s="297">
        <f>(AZ183*BA186)+(BC183*BD186)+(BF183*BG186)</f>
        <v>0.11708835404754048</v>
      </c>
      <c r="BJ186" s="1167"/>
      <c r="BK186" s="297">
        <f>F186</f>
        <v>0</v>
      </c>
      <c r="BL186" s="256"/>
      <c r="BM186" s="256"/>
      <c r="BN186" s="256"/>
      <c r="BO186" s="1592"/>
      <c r="BP186" s="1492"/>
    </row>
    <row r="187" spans="1:68" hidden="1" outlineLevel="1">
      <c r="A187" s="256" t="str">
        <f>$A$43</f>
        <v>4Q</v>
      </c>
      <c r="B187" s="302" t="str">
        <f>$B$43</f>
        <v>Jan</v>
      </c>
      <c r="C187" s="256"/>
      <c r="D187" s="176">
        <f>(V187/V180-1)*100</f>
        <v>2.4863380302637239</v>
      </c>
      <c r="E187" s="256"/>
      <c r="F187" s="1125">
        <v>0</v>
      </c>
      <c r="G187" s="256"/>
      <c r="H187" s="2090">
        <f>'segSales&amp;comps'!G197</f>
        <v>-2</v>
      </c>
      <c r="I187" s="256"/>
      <c r="J187" s="176">
        <f>D187-H187-F187</f>
        <v>4.4863380302637239</v>
      </c>
      <c r="K187" s="256"/>
      <c r="L187" s="917">
        <f>Stores!D271</f>
        <v>115</v>
      </c>
      <c r="M187" s="238"/>
      <c r="N187" s="178">
        <f>AVERAGE(L187,L186)</f>
        <v>114</v>
      </c>
      <c r="O187" s="256"/>
      <c r="P187" s="318">
        <f>(N187/N180-1)*100</f>
        <v>12.315270935960587</v>
      </c>
      <c r="Q187" s="643"/>
      <c r="R187" s="178">
        <f>J187/P187*100</f>
        <v>36.429064805741454</v>
      </c>
      <c r="S187" s="587"/>
      <c r="T187" s="256"/>
      <c r="U187" s="256"/>
      <c r="V187" s="316">
        <f>'segSales&amp;comps'!E197</f>
        <v>620.19299999999998</v>
      </c>
      <c r="W187" s="256"/>
      <c r="X187" s="148">
        <f>V187/N187</f>
        <v>5.44028947368421</v>
      </c>
      <c r="Y187" s="256"/>
      <c r="Z187" s="218">
        <f>(X187/X180-1)*100</f>
        <v>-8.7511990344581783</v>
      </c>
      <c r="AA187" s="643"/>
      <c r="AB187" s="256"/>
      <c r="AC187" s="236">
        <f>AC186+(L187-L186)*yrSales!$X$85/1000000</f>
        <v>0.70619999999999994</v>
      </c>
      <c r="AD187" s="238"/>
      <c r="AE187" s="255">
        <f>AVERAGE(AC187,AC186)</f>
        <v>0.70269999999999988</v>
      </c>
      <c r="AF187" s="256"/>
      <c r="AG187" s="1123" t="s">
        <v>1086</v>
      </c>
      <c r="AH187" s="643"/>
      <c r="AI187" s="1123" t="s">
        <v>1086</v>
      </c>
      <c r="AJ187" s="587"/>
      <c r="AK187" s="256"/>
      <c r="AL187" s="146">
        <f>+V187</f>
        <v>620.19299999999998</v>
      </c>
      <c r="AM187" s="256"/>
      <c r="AN187" s="257">
        <f>AL187/AE187</f>
        <v>882.5857407143875</v>
      </c>
      <c r="AO187" s="256"/>
      <c r="AP187" s="1123" t="s">
        <v>1086</v>
      </c>
      <c r="AQ187" s="643"/>
      <c r="AR187" s="643"/>
      <c r="AS187" s="146">
        <f>qtrSales!AN169</f>
        <v>78.892772843520007</v>
      </c>
      <c r="AT187" s="1480"/>
      <c r="AU187" s="218">
        <f>((AS187/AS180)-1)*100</f>
        <v>6.0000000000000053</v>
      </c>
      <c r="AV187" s="1480"/>
      <c r="AW187" s="218">
        <f>AS187/V187*100</f>
        <v>12.720680956334562</v>
      </c>
      <c r="AX187" s="1480"/>
      <c r="AY187" s="1480"/>
      <c r="AZ187" s="1601">
        <v>1.0067702353914354</v>
      </c>
      <c r="BA187" s="1602">
        <f>(AZ187/AZ180-1)*100</f>
        <v>2.7583211111613215</v>
      </c>
      <c r="BB187" s="256"/>
      <c r="BC187" s="1601">
        <v>7.7641124090583533E-2</v>
      </c>
      <c r="BD187" s="1602"/>
      <c r="BF187" s="1601">
        <v>0.48597577464594549</v>
      </c>
      <c r="BG187" s="1602"/>
      <c r="BH187" s="256"/>
      <c r="BI187" s="298">
        <f>(AZ183*BA187)+(BC183*BD187)+(BF183*BG187)</f>
        <v>0.22066568889290572</v>
      </c>
      <c r="BJ187" s="1167"/>
      <c r="BK187" s="298">
        <f>F187</f>
        <v>0</v>
      </c>
      <c r="BL187" s="256"/>
      <c r="BM187" s="256"/>
      <c r="BN187" s="256"/>
      <c r="BO187" s="1592"/>
      <c r="BP187" s="1492"/>
    </row>
    <row r="188" spans="1:68" hidden="1" outlineLevel="1">
      <c r="A188" s="256"/>
      <c r="B188" s="302" t="str">
        <f>$B$44</f>
        <v>Year</v>
      </c>
      <c r="C188" s="256"/>
      <c r="D188" s="145">
        <f>(V188/V181-1)*100</f>
        <v>1.8931399841509267</v>
      </c>
      <c r="E188" s="256"/>
      <c r="F188" s="217">
        <f>F184*V177/V181+F185*V178/V181+F186*V179/V181+F187*V180/V181</f>
        <v>-0.24267755317222503</v>
      </c>
      <c r="G188" s="256"/>
      <c r="H188" s="2085">
        <f>H184*V177/V181+H185*V178/V181+H186*V179/V181+H187*V180/V181</f>
        <v>-1.6689137066856872</v>
      </c>
      <c r="I188" s="256"/>
      <c r="J188" s="145">
        <f>D188-H188-F188</f>
        <v>3.8047312440088388</v>
      </c>
      <c r="K188" s="256"/>
      <c r="L188" s="923">
        <f>L187</f>
        <v>115</v>
      </c>
      <c r="M188" s="256"/>
      <c r="N188" s="177">
        <f>AVERAGE(N184:N187)</f>
        <v>108.125</v>
      </c>
      <c r="O188" s="256"/>
      <c r="P188" s="288">
        <f>(N188/N181-1)*100</f>
        <v>9.7715736040609116</v>
      </c>
      <c r="Q188" s="643"/>
      <c r="R188" s="259">
        <f>J188/P188*100</f>
        <v>38.936730133493057</v>
      </c>
      <c r="S188" s="587"/>
      <c r="T188" s="256"/>
      <c r="U188" s="256"/>
      <c r="V188" s="296">
        <f>SUM(V184:V187)</f>
        <v>1839.9690000000001</v>
      </c>
      <c r="W188" s="256"/>
      <c r="X188" s="918">
        <f>V188/N188</f>
        <v>17.017054335260116</v>
      </c>
      <c r="Y188" s="256"/>
      <c r="Z188" s="219">
        <f>(X188/X181-1)*100</f>
        <v>-7.1771164075018152</v>
      </c>
      <c r="AA188" s="643"/>
      <c r="AB188" s="256"/>
      <c r="AC188" s="256"/>
      <c r="AD188" s="256"/>
      <c r="AE188" s="254">
        <f>AVERAGE(AE184:AE187)</f>
        <v>0.68213750000000006</v>
      </c>
      <c r="AF188" s="256"/>
      <c r="AG188" s="1122" t="s">
        <v>1086</v>
      </c>
      <c r="AH188" s="643"/>
      <c r="AI188" s="1122" t="s">
        <v>1086</v>
      </c>
      <c r="AJ188" s="587"/>
      <c r="AK188" s="256"/>
      <c r="AL188" s="141">
        <f>SUM(AL184:AL187)</f>
        <v>1839.9690000000001</v>
      </c>
      <c r="AM188" s="256"/>
      <c r="AN188" s="919">
        <f>AL188/AE188</f>
        <v>2697.357937366</v>
      </c>
      <c r="AO188" s="256"/>
      <c r="AP188" s="1122" t="s">
        <v>1086</v>
      </c>
      <c r="AQ188" s="643"/>
      <c r="AR188" s="643"/>
      <c r="AS188" s="141">
        <f>qtrSales!AN170</f>
        <v>187.58085010395183</v>
      </c>
      <c r="AT188" s="141"/>
      <c r="AU188" s="219">
        <f>((AS188/AS181)-1)*100</f>
        <v>2.9304872921053438</v>
      </c>
      <c r="AV188" s="141"/>
      <c r="AW188" s="219">
        <f>AS188/V188*100</f>
        <v>10.194783178627022</v>
      </c>
      <c r="AX188" s="141"/>
      <c r="AY188" s="141"/>
      <c r="AZ188" s="1017">
        <v>0.99788058053435091</v>
      </c>
      <c r="BA188" s="1167">
        <f>(AZ188/AZ181-1)*100</f>
        <v>-1.1046995203615628</v>
      </c>
      <c r="BB188" s="1167"/>
      <c r="BC188" s="1017">
        <v>7.6354909861134607E-2</v>
      </c>
      <c r="BD188" s="1167"/>
      <c r="BF188" s="1017">
        <v>0.50658660520397036</v>
      </c>
      <c r="BG188" s="1167"/>
      <c r="BH188" s="256"/>
      <c r="BI188" s="297">
        <f>(AZ183*BA188)+(BC183*BD188)+(BF183*BG188)</f>
        <v>-8.8375961628925026E-2</v>
      </c>
      <c r="BJ188" s="256"/>
      <c r="BK188" s="297">
        <f>F188</f>
        <v>-0.24267755317222503</v>
      </c>
      <c r="BL188" s="256"/>
      <c r="BM188" s="256"/>
      <c r="BN188" s="302"/>
      <c r="BO188" s="587"/>
      <c r="BP188" s="587"/>
    </row>
    <row r="189" spans="1:68" ht="13.5" hidden="1" outlineLevel="1" thickBot="1">
      <c r="A189" s="256"/>
      <c r="B189" s="302"/>
      <c r="C189" s="256"/>
      <c r="D189" s="145"/>
      <c r="E189" s="256"/>
      <c r="F189" s="217"/>
      <c r="G189" s="256"/>
      <c r="H189" s="2085"/>
      <c r="I189" s="256"/>
      <c r="J189" s="145"/>
      <c r="K189" s="256"/>
      <c r="L189" s="1030"/>
      <c r="M189" s="256"/>
      <c r="N189" s="177"/>
      <c r="O189" s="256"/>
      <c r="P189" s="288"/>
      <c r="Q189" s="643"/>
      <c r="R189" s="259"/>
      <c r="S189" s="587"/>
      <c r="T189" s="256"/>
      <c r="U189" s="256"/>
      <c r="V189" s="296"/>
      <c r="W189" s="256"/>
      <c r="X189" s="1031"/>
      <c r="Y189" s="256"/>
      <c r="Z189" s="219"/>
      <c r="AA189" s="643"/>
      <c r="AB189" s="256"/>
      <c r="AC189" s="256"/>
      <c r="AD189" s="256"/>
      <c r="AE189" s="254"/>
      <c r="AF189" s="256"/>
      <c r="AG189" s="1122"/>
      <c r="AH189" s="643"/>
      <c r="AI189" s="1122"/>
      <c r="AJ189" s="587"/>
      <c r="AK189" s="256"/>
      <c r="AL189" s="141"/>
      <c r="AM189" s="256"/>
      <c r="AN189" s="1032"/>
      <c r="AO189" s="256"/>
      <c r="AP189" s="1122"/>
      <c r="AQ189" s="643"/>
      <c r="AR189" s="643"/>
      <c r="AS189" s="141"/>
      <c r="AT189" s="141"/>
      <c r="AU189" s="141"/>
      <c r="AV189" s="141"/>
      <c r="AW189" s="141"/>
      <c r="AX189" s="141"/>
      <c r="AY189" s="141"/>
      <c r="AZ189" s="1017"/>
      <c r="BA189" s="1017"/>
      <c r="BB189" s="1167"/>
      <c r="BC189" s="141"/>
      <c r="BG189" s="1167"/>
      <c r="BH189" s="256"/>
      <c r="BI189" s="256"/>
      <c r="BJ189" s="256"/>
      <c r="BK189" s="256"/>
      <c r="BL189" s="256"/>
      <c r="BM189" s="256"/>
      <c r="BN189" s="302"/>
      <c r="BO189" s="587"/>
      <c r="BP189" s="587"/>
    </row>
    <row r="190" spans="1:68" ht="13.5" hidden="1" outlineLevel="1" thickBot="1">
      <c r="A190" s="810"/>
      <c r="B190" s="171">
        <f>+B183+1</f>
        <v>2013</v>
      </c>
      <c r="C190" s="256"/>
      <c r="D190" s="256"/>
      <c r="E190" s="643"/>
      <c r="F190" s="256"/>
      <c r="G190" s="643"/>
      <c r="H190" s="2091"/>
      <c r="I190" s="643"/>
      <c r="J190" s="256"/>
      <c r="K190" s="643"/>
      <c r="L190" s="256"/>
      <c r="M190" s="256"/>
      <c r="N190" s="256"/>
      <c r="O190" s="256"/>
      <c r="P190" s="256"/>
      <c r="Q190" s="643"/>
      <c r="R190" s="587"/>
      <c r="S190" s="587"/>
      <c r="T190" s="256"/>
      <c r="U190" s="256"/>
      <c r="V190" s="256"/>
      <c r="W190" s="256"/>
      <c r="X190" s="256"/>
      <c r="Y190" s="256"/>
      <c r="Z190" s="256"/>
      <c r="AA190" s="643"/>
      <c r="AB190" s="256"/>
      <c r="AC190" s="256"/>
      <c r="AD190" s="256"/>
      <c r="AE190" s="256"/>
      <c r="AF190" s="256"/>
      <c r="AG190" s="256"/>
      <c r="AH190" s="643"/>
      <c r="AI190" s="587"/>
      <c r="AJ190" s="587"/>
      <c r="AK190" s="256"/>
      <c r="AL190" s="256"/>
      <c r="AM190" s="256"/>
      <c r="AN190" s="256"/>
      <c r="AO190" s="256"/>
      <c r="AP190" s="289"/>
      <c r="AQ190" s="643"/>
      <c r="AR190" s="643"/>
      <c r="AS190" s="317"/>
      <c r="AT190" s="317"/>
      <c r="AU190" s="317"/>
      <c r="AV190" s="317"/>
      <c r="AW190" s="317"/>
      <c r="AX190" s="317"/>
      <c r="AY190" s="317"/>
      <c r="AZ190" s="1605">
        <v>0.1</v>
      </c>
      <c r="BA190" s="238"/>
      <c r="BB190" s="256"/>
      <c r="BC190" s="1605">
        <v>0.1</v>
      </c>
      <c r="BD190" s="238"/>
      <c r="BF190" s="1605">
        <v>0.08</v>
      </c>
      <c r="BG190" s="238"/>
      <c r="BH190" s="256"/>
      <c r="BI190" s="256"/>
      <c r="BJ190" s="256"/>
      <c r="BK190" s="256"/>
      <c r="BL190" s="256"/>
      <c r="BM190" s="256"/>
      <c r="BN190" s="256"/>
      <c r="BO190" s="587"/>
      <c r="BP190" s="587"/>
    </row>
    <row r="191" spans="1:68" hidden="1" outlineLevel="1">
      <c r="A191" s="256" t="str">
        <f>$A$40</f>
        <v>1Q</v>
      </c>
      <c r="B191" s="302" t="str">
        <f>$B$40</f>
        <v>Apr</v>
      </c>
      <c r="C191" s="256"/>
      <c r="D191" s="145">
        <f>(V191/V184-1)*100</f>
        <v>5.7102630719208625</v>
      </c>
      <c r="E191" s="643" t="s">
        <v>1970</v>
      </c>
      <c r="F191" s="1124">
        <v>0</v>
      </c>
      <c r="G191" s="643"/>
      <c r="H191" s="2085">
        <f>'segSales&amp;comps'!G201</f>
        <v>3</v>
      </c>
      <c r="I191" s="643" t="s">
        <v>1970</v>
      </c>
      <c r="J191" s="145">
        <f>D191-H191-F191</f>
        <v>2.7102630719208625</v>
      </c>
      <c r="K191" s="643" t="s">
        <v>1970</v>
      </c>
      <c r="L191" s="725">
        <f>Stores!D275</f>
        <v>115</v>
      </c>
      <c r="M191" s="256"/>
      <c r="N191" s="177">
        <f>AVERAGE(L191,L188)</f>
        <v>115</v>
      </c>
      <c r="O191" s="256"/>
      <c r="P191" s="288">
        <f>(N191/N184-1)*100</f>
        <v>11.111111111111116</v>
      </c>
      <c r="Q191" s="643" t="s">
        <v>1970</v>
      </c>
      <c r="R191" s="259">
        <f>J191/P191*100</f>
        <v>24.392367647287752</v>
      </c>
      <c r="S191" s="587" t="s">
        <v>1970</v>
      </c>
      <c r="T191" s="256"/>
      <c r="U191" s="256"/>
      <c r="V191" s="296">
        <f>'segSales&amp;comps'!E201</f>
        <v>407.697</v>
      </c>
      <c r="W191" s="238"/>
      <c r="X191" s="143">
        <f>V191/N191</f>
        <v>3.545191304347826</v>
      </c>
      <c r="Y191" s="256"/>
      <c r="Z191" s="219">
        <f>(X191/X184-1)*100</f>
        <v>-4.8607632352712375</v>
      </c>
      <c r="AA191" s="643" t="s">
        <v>1970</v>
      </c>
      <c r="AB191" s="256"/>
      <c r="AC191" s="236">
        <f>AC187+(L191-L188)*yrSales!$Y$85/1000000</f>
        <v>0.70619999999999994</v>
      </c>
      <c r="AD191" s="256"/>
      <c r="AE191" s="254">
        <f>AVERAGE(AC191,AC187)</f>
        <v>0.70619999999999994</v>
      </c>
      <c r="AF191" s="256"/>
      <c r="AG191" s="1122" t="s">
        <v>1086</v>
      </c>
      <c r="AH191" s="643" t="s">
        <v>1970</v>
      </c>
      <c r="AI191" s="1122" t="s">
        <v>1086</v>
      </c>
      <c r="AJ191" s="587" t="s">
        <v>1970</v>
      </c>
      <c r="AK191" s="256"/>
      <c r="AL191" s="141">
        <f>+V191</f>
        <v>407.697</v>
      </c>
      <c r="AM191" s="256" t="s">
        <v>505</v>
      </c>
      <c r="AN191" s="244">
        <f>AL191/AE191</f>
        <v>577.31096006796952</v>
      </c>
      <c r="AO191" s="256"/>
      <c r="AP191" s="1122" t="s">
        <v>1086</v>
      </c>
      <c r="AQ191" s="643" t="s">
        <v>1970</v>
      </c>
      <c r="AR191" s="643"/>
      <c r="AS191" s="141">
        <f>qtrSales!AN173</f>
        <v>40.715529798398684</v>
      </c>
      <c r="AT191" s="141"/>
      <c r="AU191" s="219">
        <f>((AS191/AS184)-1)*100</f>
        <v>3.0000000000000027</v>
      </c>
      <c r="AV191" s="141" t="s">
        <v>1970</v>
      </c>
      <c r="AW191" s="219">
        <f>AS191/V191*100</f>
        <v>9.9867131223429855</v>
      </c>
      <c r="AX191" s="141" t="s">
        <v>1970</v>
      </c>
      <c r="AY191" s="141"/>
      <c r="AZ191" s="1017">
        <v>0.98259670937196042</v>
      </c>
      <c r="BA191" s="1167">
        <f>(AZ191/AZ184-1)*100</f>
        <v>-2.2651807921539535</v>
      </c>
      <c r="BB191" s="1167"/>
      <c r="BC191" s="1017">
        <v>8.0150928014161515E-2</v>
      </c>
      <c r="BD191" s="1167">
        <f>(BC191/BC184-1)*100</f>
        <v>3.048000542068352</v>
      </c>
      <c r="BF191" s="1017">
        <v>0.50338154462885853</v>
      </c>
      <c r="BG191" s="1167">
        <f>(BF191/BF184-1)*100</f>
        <v>-10.058049170945704</v>
      </c>
      <c r="BH191" s="256"/>
      <c r="BI191" s="297">
        <f>AZ190*BA191+BC190*BD191+BF190*BG191</f>
        <v>-0.72636195868421649</v>
      </c>
      <c r="BJ191" s="1167"/>
      <c r="BK191" s="297">
        <f>F191</f>
        <v>0</v>
      </c>
      <c r="BL191" s="256"/>
      <c r="BM191" s="256"/>
      <c r="BN191" s="256"/>
      <c r="BO191" s="1592"/>
      <c r="BP191" s="1492"/>
    </row>
    <row r="192" spans="1:68" hidden="1" outlineLevel="1">
      <c r="A192" s="256" t="str">
        <f>$A$41</f>
        <v>2Q</v>
      </c>
      <c r="B192" s="302" t="str">
        <f>$B$41</f>
        <v>Jul</v>
      </c>
      <c r="C192" s="256"/>
      <c r="D192" s="145">
        <f>(V192/V185-1)*100</f>
        <v>2.2735599289382957</v>
      </c>
      <c r="E192" s="256"/>
      <c r="F192" s="1732">
        <v>0</v>
      </c>
      <c r="G192" s="256"/>
      <c r="H192" s="2085">
        <f>'segSales&amp;comps'!G202</f>
        <v>0</v>
      </c>
      <c r="I192" s="256"/>
      <c r="J192" s="145">
        <f>D192-H192-F192</f>
        <v>2.2735599289382957</v>
      </c>
      <c r="K192" s="256"/>
      <c r="L192" s="725">
        <f>Stores!D276</f>
        <v>116</v>
      </c>
      <c r="M192" s="256"/>
      <c r="N192" s="177">
        <f>AVERAGE(L192,L191)</f>
        <v>115.5</v>
      </c>
      <c r="O192" s="256"/>
      <c r="P192" s="288">
        <f>(N192/N185-1)*100</f>
        <v>9.4786729857819996</v>
      </c>
      <c r="Q192" s="643"/>
      <c r="R192" s="259">
        <f>J192/P192*100</f>
        <v>23.986057250298998</v>
      </c>
      <c r="S192" s="587"/>
      <c r="T192" s="256"/>
      <c r="U192" s="256"/>
      <c r="V192" s="315">
        <f>'segSales&amp;comps'!E202</f>
        <v>443.85599999999999</v>
      </c>
      <c r="W192" s="238"/>
      <c r="X192" s="147">
        <f>V192/N192</f>
        <v>3.8429090909090911</v>
      </c>
      <c r="Y192" s="256"/>
      <c r="Z192" s="219">
        <f>(X192/X185-1)*100</f>
        <v>-6.5812937445628545</v>
      </c>
      <c r="AA192" s="643"/>
      <c r="AB192" s="256"/>
      <c r="AC192" s="236">
        <f>AC191+(L192-L191)*yrSales!$Y$85/1000000</f>
        <v>0.70969999999999989</v>
      </c>
      <c r="AD192" s="238"/>
      <c r="AE192" s="254">
        <f>AVERAGE(AC192,AC191)</f>
        <v>0.70794999999999986</v>
      </c>
      <c r="AF192" s="256"/>
      <c r="AG192" s="1122" t="s">
        <v>1086</v>
      </c>
      <c r="AH192" s="643"/>
      <c r="AI192" s="1122" t="s">
        <v>1086</v>
      </c>
      <c r="AJ192" s="587"/>
      <c r="AK192" s="256"/>
      <c r="AL192" s="142">
        <f>+V192</f>
        <v>443.85599999999999</v>
      </c>
      <c r="AM192" s="256"/>
      <c r="AN192" s="245">
        <f>AL192/AE192</f>
        <v>626.95953104032787</v>
      </c>
      <c r="AO192" s="256"/>
      <c r="AP192" s="1122" t="s">
        <v>1086</v>
      </c>
      <c r="AQ192" s="643"/>
      <c r="AR192" s="643"/>
      <c r="AS192" s="142">
        <f>qtrSales!AN174</f>
        <v>39.402177712283915</v>
      </c>
      <c r="AT192" s="142"/>
      <c r="AU192" s="219">
        <f>((AS192/AS185)-1)*100</f>
        <v>3.0000000000000027</v>
      </c>
      <c r="AV192" s="142"/>
      <c r="AW192" s="219">
        <f>AS192/V192*100</f>
        <v>8.8772434555990944</v>
      </c>
      <c r="AX192" s="142"/>
      <c r="AY192" s="142"/>
      <c r="AZ192" s="1017">
        <v>0.97008581786286885</v>
      </c>
      <c r="BA192" s="1167">
        <f>(AZ192/AZ185-1)*100</f>
        <v>-1.3480992379240719</v>
      </c>
      <c r="BB192" s="1167"/>
      <c r="BC192" s="1017">
        <v>7.9020348817370689E-2</v>
      </c>
      <c r="BD192" s="1167">
        <f>(BC192/BC185-1)*100</f>
        <v>7.6705208064465014</v>
      </c>
      <c r="BF192" s="1017">
        <v>0.46518242217493144</v>
      </c>
      <c r="BG192" s="1167">
        <f>(BF192/BF185-1)*100</f>
        <v>-6.1552627033796607</v>
      </c>
      <c r="BH192" s="256"/>
      <c r="BI192" s="297">
        <f>AZ190*BA192+BC190*BD192+BF190*BG192</f>
        <v>0.13982114058187006</v>
      </c>
      <c r="BJ192" s="1167"/>
      <c r="BK192" s="297">
        <f>F192</f>
        <v>0</v>
      </c>
      <c r="BL192" s="256"/>
      <c r="BM192" s="256"/>
      <c r="BN192" s="256"/>
      <c r="BO192" s="1592"/>
      <c r="BP192" s="1492"/>
    </row>
    <row r="193" spans="1:72" hidden="1" outlineLevel="1">
      <c r="A193" s="256" t="str">
        <f>$A$42</f>
        <v>3Q</v>
      </c>
      <c r="B193" s="302" t="str">
        <f>$B$42</f>
        <v>Oct</v>
      </c>
      <c r="C193" s="256"/>
      <c r="D193" s="145">
        <f>(V193/V186-1)*100</f>
        <v>4.157575484925502</v>
      </c>
      <c r="E193" s="256"/>
      <c r="F193" s="1124">
        <v>0.11511040348047752</v>
      </c>
      <c r="G193" s="256"/>
      <c r="H193" s="2085">
        <f>'segSales&amp;comps'!G203</f>
        <v>1</v>
      </c>
      <c r="I193" s="256"/>
      <c r="J193" s="145">
        <f>D193-H193-F193</f>
        <v>3.0424650814450245</v>
      </c>
      <c r="K193" s="256"/>
      <c r="L193" s="725">
        <f>Stores!D277</f>
        <v>120</v>
      </c>
      <c r="M193" s="238"/>
      <c r="N193" s="177">
        <f>AVERAGE(L193,L192)</f>
        <v>118</v>
      </c>
      <c r="O193" s="256"/>
      <c r="P193" s="288">
        <f>(N193/N186-1)*100</f>
        <v>7.7625570776255648</v>
      </c>
      <c r="Q193" s="643"/>
      <c r="R193" s="259">
        <f>J193/P193*100</f>
        <v>39.194108990380052</v>
      </c>
      <c r="S193" s="587"/>
      <c r="T193" s="256"/>
      <c r="U193" s="256"/>
      <c r="V193" s="315">
        <f>'segSales&amp;comps'!E203</f>
        <v>416.74799999999999</v>
      </c>
      <c r="W193" s="256"/>
      <c r="X193" s="147">
        <f>V193/N193</f>
        <v>3.5317627118644066</v>
      </c>
      <c r="Y193" s="256"/>
      <c r="Z193" s="219">
        <f>(X193/X186-1)*100</f>
        <v>-3.3453007152598024</v>
      </c>
      <c r="AA193" s="643"/>
      <c r="AB193" s="256"/>
      <c r="AC193" s="236">
        <f>AC192+(L193-L192)*yrSales!$Y$85/1000000</f>
        <v>0.7236999999999999</v>
      </c>
      <c r="AD193" s="238"/>
      <c r="AE193" s="254">
        <f>AVERAGE(AC193,AC192)</f>
        <v>0.71669999999999989</v>
      </c>
      <c r="AF193" s="256"/>
      <c r="AG193" s="1122" t="s">
        <v>1086</v>
      </c>
      <c r="AH193" s="643"/>
      <c r="AI193" s="1122" t="s">
        <v>1086</v>
      </c>
      <c r="AJ193" s="587"/>
      <c r="AK193" s="256"/>
      <c r="AL193" s="142">
        <f>+V193</f>
        <v>416.74799999999999</v>
      </c>
      <c r="AM193" s="256"/>
      <c r="AN193" s="245">
        <f>AL193/AE193</f>
        <v>581.48179154457944</v>
      </c>
      <c r="AO193" s="256"/>
      <c r="AP193" s="1122" t="s">
        <v>1086</v>
      </c>
      <c r="AQ193" s="643"/>
      <c r="AR193" s="643"/>
      <c r="AS193" s="142">
        <f>qtrSales!AN175</f>
        <v>33.067167876011183</v>
      </c>
      <c r="AT193" s="142"/>
      <c r="AU193" s="219">
        <f>((AS193/AS186)-1)*100</f>
        <v>7.0000000000000062</v>
      </c>
      <c r="AV193" s="142"/>
      <c r="AW193" s="219">
        <f>AS193/V193*100</f>
        <v>7.9345714618933219</v>
      </c>
      <c r="AX193" s="142"/>
      <c r="AY193" s="142"/>
      <c r="AZ193" s="1017">
        <v>0.96389311874073758</v>
      </c>
      <c r="BA193" s="1167">
        <f>(AZ193/AZ186-1)*100</f>
        <v>-4.9415952185760119</v>
      </c>
      <c r="BB193" s="1167"/>
      <c r="BC193" s="1017">
        <v>7.6972929903435128E-2</v>
      </c>
      <c r="BD193" s="1167">
        <f>(BC193/BC186-1)*100</f>
        <v>0.11236298381129828</v>
      </c>
      <c r="BF193" s="1017">
        <v>0.44133482777865246</v>
      </c>
      <c r="BG193" s="1167">
        <f>(BF193/BF186-1)*100</f>
        <v>-10.449807159215075</v>
      </c>
      <c r="BH193" s="256"/>
      <c r="BI193" s="297">
        <f>AZ190*BA193+BC190*BD193+BF190*BG193</f>
        <v>-1.3189077962136773</v>
      </c>
      <c r="BJ193" s="1167"/>
      <c r="BK193" s="297">
        <f>F193</f>
        <v>0.11511040348047752</v>
      </c>
      <c r="BL193" s="256"/>
      <c r="BM193" s="256"/>
      <c r="BN193" s="256"/>
      <c r="BO193" s="1592"/>
      <c r="BP193" s="1492"/>
    </row>
    <row r="194" spans="1:72" hidden="1" outlineLevel="1">
      <c r="A194" s="256" t="str">
        <f>$A$43</f>
        <v>4Q</v>
      </c>
      <c r="B194" s="302" t="str">
        <f>$B$43</f>
        <v>Jan</v>
      </c>
      <c r="C194" s="256"/>
      <c r="D194" s="176">
        <f>(V194/V187-1)*100</f>
        <v>6.1867837914971524</v>
      </c>
      <c r="E194" s="256"/>
      <c r="F194" s="1125">
        <v>-1</v>
      </c>
      <c r="G194" s="256"/>
      <c r="H194" s="2090">
        <f>'segSales&amp;comps'!G204</f>
        <v>7</v>
      </c>
      <c r="I194" s="256"/>
      <c r="J194" s="176">
        <f>D194-H194-F194</f>
        <v>0.18678379149715241</v>
      </c>
      <c r="K194" s="256"/>
      <c r="L194" s="917">
        <f>Stores!D278</f>
        <v>121</v>
      </c>
      <c r="M194" s="238"/>
      <c r="N194" s="178">
        <f>AVERAGE(L194,L193)</f>
        <v>120.5</v>
      </c>
      <c r="O194" s="256"/>
      <c r="P194" s="318">
        <f>(N194/N187-1)*100</f>
        <v>5.7017543859649189</v>
      </c>
      <c r="Q194" s="643"/>
      <c r="R194" s="178">
        <f>J194/P194*100</f>
        <v>3.2759003431808229</v>
      </c>
      <c r="S194" s="587"/>
      <c r="T194" s="256"/>
      <c r="U194" s="256"/>
      <c r="V194" s="316">
        <f>'segSales&amp;comps'!E204</f>
        <v>658.56299999999987</v>
      </c>
      <c r="W194" s="256"/>
      <c r="X194" s="148">
        <f>V194/N194</f>
        <v>5.465253112033194</v>
      </c>
      <c r="Y194" s="256"/>
      <c r="Z194" s="218">
        <f>(X194/X187-1)*100</f>
        <v>0.45886599361555369</v>
      </c>
      <c r="AA194" s="643"/>
      <c r="AB194" s="256"/>
      <c r="AC194" s="236">
        <f>AC193+(L194-L193)*yrSales!$Y$85/1000000</f>
        <v>0.72719999999999985</v>
      </c>
      <c r="AD194" s="238"/>
      <c r="AE194" s="255">
        <f>AVERAGE(AC194,AC193)</f>
        <v>0.72544999999999993</v>
      </c>
      <c r="AF194" s="256"/>
      <c r="AG194" s="1123" t="s">
        <v>1086</v>
      </c>
      <c r="AH194" s="643"/>
      <c r="AI194" s="1123" t="s">
        <v>1086</v>
      </c>
      <c r="AJ194" s="587"/>
      <c r="AK194" s="256"/>
      <c r="AL194" s="146">
        <f>+V194</f>
        <v>658.56299999999987</v>
      </c>
      <c r="AM194" s="256"/>
      <c r="AN194" s="257">
        <f>AL194/AE194</f>
        <v>907.79929698807632</v>
      </c>
      <c r="AO194" s="256"/>
      <c r="AP194" s="1123" t="s">
        <v>1086</v>
      </c>
      <c r="AQ194" s="643"/>
      <c r="AR194" s="643"/>
      <c r="AS194" s="146">
        <f>qtrSales!AN176</f>
        <v>81.259556028825614</v>
      </c>
      <c r="AT194" s="1480"/>
      <c r="AU194" s="218">
        <f>((AS194/AS187)-1)*100</f>
        <v>3.0000000000000027</v>
      </c>
      <c r="AV194" s="1480"/>
      <c r="AW194" s="218">
        <f>AS194/V194*100</f>
        <v>12.338919135880035</v>
      </c>
      <c r="AX194" s="1480"/>
      <c r="AY194" s="1480"/>
      <c r="AZ194" s="1601">
        <v>0.93508867335117352</v>
      </c>
      <c r="BA194" s="1602">
        <f>(AZ194/AZ187-1)*100</f>
        <v>-7.1199524499641065</v>
      </c>
      <c r="BB194" s="256"/>
      <c r="BC194" s="1601">
        <v>7.6322849646275864E-2</v>
      </c>
      <c r="BD194" s="1602">
        <f>(BC194/BC187-1)*100</f>
        <v>-1.697907468173232</v>
      </c>
      <c r="BF194" s="1601">
        <v>0.42650632982276337</v>
      </c>
      <c r="BG194" s="1602">
        <f>(BF194/BF187-1)*100</f>
        <v>-12.237121257023187</v>
      </c>
      <c r="BH194" s="256"/>
      <c r="BI194" s="298">
        <f>AZ190*BA194+BC190*BD194+BF190*BG194</f>
        <v>-1.8607556923755888</v>
      </c>
      <c r="BJ194" s="1167"/>
      <c r="BK194" s="298">
        <f>F194</f>
        <v>-1</v>
      </c>
      <c r="BL194" s="256"/>
      <c r="BM194" s="256"/>
      <c r="BN194" s="256"/>
      <c r="BO194" s="1592"/>
      <c r="BP194" s="1492"/>
    </row>
    <row r="195" spans="1:72" hidden="1" outlineLevel="1">
      <c r="A195" s="256"/>
      <c r="B195" s="302" t="str">
        <f>$B$44</f>
        <v>Year</v>
      </c>
      <c r="C195" s="256"/>
      <c r="D195" s="145">
        <f>(V195/V188-1)*100</f>
        <v>4.7226339139409212</v>
      </c>
      <c r="E195" s="256"/>
      <c r="F195" s="217">
        <f>F191*V184/V188+F192*V185/V188+F193*V186/V188+F194*V187/V188</f>
        <v>-0.31203560012816289</v>
      </c>
      <c r="G195" s="256"/>
      <c r="H195" s="2085">
        <f>H191*V184/V188+H192*V185/V188+H193*V186/V188+H194*V187/V188</f>
        <v>3.2057529230112025</v>
      </c>
      <c r="I195" s="256"/>
      <c r="J195" s="145">
        <f>D195-H195-F195</f>
        <v>1.8289165910578817</v>
      </c>
      <c r="K195" s="256"/>
      <c r="L195" s="923">
        <f>L194</f>
        <v>121</v>
      </c>
      <c r="M195" s="256"/>
      <c r="N195" s="177">
        <f>AVERAGE(N191:N194)</f>
        <v>117.25</v>
      </c>
      <c r="O195" s="256"/>
      <c r="P195" s="288">
        <f>(N195/N188-1)*100</f>
        <v>8.4393063583815042</v>
      </c>
      <c r="Q195" s="643"/>
      <c r="R195" s="259">
        <f>J195/P195*100</f>
        <v>21.67140892143928</v>
      </c>
      <c r="S195" s="587"/>
      <c r="T195" s="256"/>
      <c r="U195" s="256"/>
      <c r="V195" s="296">
        <f>SUM(V191:V194)</f>
        <v>1926.8639999999998</v>
      </c>
      <c r="W195" s="256"/>
      <c r="X195" s="918">
        <f>V195/N195</f>
        <v>16.433808102345413</v>
      </c>
      <c r="Y195" s="256"/>
      <c r="Z195" s="219">
        <f>(X195/X188-1)*100</f>
        <v>-3.4274218171013948</v>
      </c>
      <c r="AA195" s="643"/>
      <c r="AB195" s="256"/>
      <c r="AC195" s="256"/>
      <c r="AD195" s="256"/>
      <c r="AE195" s="254">
        <f>AVERAGE(AE191:AE194)</f>
        <v>0.7140749999999999</v>
      </c>
      <c r="AF195" s="256"/>
      <c r="AG195" s="1122" t="s">
        <v>1086</v>
      </c>
      <c r="AH195" s="643"/>
      <c r="AI195" s="1122" t="s">
        <v>1086</v>
      </c>
      <c r="AJ195" s="587"/>
      <c r="AK195" s="256"/>
      <c r="AL195" s="141">
        <f>SUM(AL191:AL194)</f>
        <v>1926.8639999999998</v>
      </c>
      <c r="AM195" s="256"/>
      <c r="AN195" s="919">
        <f>AL195/AE195</f>
        <v>2698.40562966075</v>
      </c>
      <c r="AO195" s="256"/>
      <c r="AP195" s="1122" t="s">
        <v>1086</v>
      </c>
      <c r="AQ195" s="643"/>
      <c r="AR195" s="643"/>
      <c r="AS195" s="141">
        <f>qtrSales!AN177</f>
        <v>194.4444314155194</v>
      </c>
      <c r="AT195" s="141"/>
      <c r="AU195" s="219">
        <f>((AS195/AS188)-1)*100</f>
        <v>3.6589989371324183</v>
      </c>
      <c r="AV195" s="141"/>
      <c r="AW195" s="219">
        <f>AS195/V195*100</f>
        <v>10.091237960516125</v>
      </c>
      <c r="AX195" s="141"/>
      <c r="AY195" s="141"/>
      <c r="AZ195" s="1017">
        <v>0.96237594938432292</v>
      </c>
      <c r="BA195" s="1167">
        <f>(AZ195/AZ188-1)*100</f>
        <v>-3.5580040179773564</v>
      </c>
      <c r="BB195" s="1167"/>
      <c r="BC195" s="1017">
        <v>7.8116764095310792E-2</v>
      </c>
      <c r="BD195" s="1167">
        <f>(BC195/BC188-1)*100</f>
        <v>2.3074537542909113</v>
      </c>
      <c r="BF195" s="1017">
        <v>0.45910128110130144</v>
      </c>
      <c r="BG195" s="1167">
        <f>(BF195/BF188-1)*100</f>
        <v>-9.3735846180831413</v>
      </c>
      <c r="BH195" s="256"/>
      <c r="BI195" s="297">
        <f>AZ190*BA195+BC190*BD195+BF190*BG195</f>
        <v>-0.87494179581529585</v>
      </c>
      <c r="BJ195" s="256"/>
      <c r="BK195" s="297">
        <f>F195</f>
        <v>-0.31203560012816289</v>
      </c>
      <c r="BL195" s="256"/>
      <c r="BM195" s="256"/>
      <c r="BN195" s="302"/>
      <c r="BO195" s="587"/>
      <c r="BP195" s="587"/>
    </row>
    <row r="196" spans="1:72" ht="13.5" hidden="1" outlineLevel="1" thickBot="1">
      <c r="A196" s="256"/>
      <c r="B196" s="302"/>
      <c r="C196" s="256"/>
      <c r="D196" s="145"/>
      <c r="E196" s="256"/>
      <c r="F196" s="217"/>
      <c r="G196" s="256"/>
      <c r="H196" s="2085"/>
      <c r="I196" s="256"/>
      <c r="J196" s="145"/>
      <c r="K196" s="256"/>
      <c r="L196" s="1030"/>
      <c r="M196" s="256"/>
      <c r="N196" s="177"/>
      <c r="O196" s="256"/>
      <c r="P196" s="288"/>
      <c r="Q196" s="643"/>
      <c r="R196" s="259"/>
      <c r="S196" s="587"/>
      <c r="T196" s="256"/>
      <c r="U196" s="256"/>
      <c r="V196" s="296"/>
      <c r="W196" s="256"/>
      <c r="X196" s="1031"/>
      <c r="Y196" s="256"/>
      <c r="Z196" s="219"/>
      <c r="AA196" s="643"/>
      <c r="AB196" s="256"/>
      <c r="AC196" s="256"/>
      <c r="AD196" s="256"/>
      <c r="AE196" s="254"/>
      <c r="AF196" s="256"/>
      <c r="AG196" s="1122"/>
      <c r="AH196" s="643"/>
      <c r="AI196" s="1122"/>
      <c r="AJ196" s="587"/>
      <c r="AK196" s="256"/>
      <c r="AL196" s="141"/>
      <c r="AM196" s="256"/>
      <c r="AN196" s="1032"/>
      <c r="AO196" s="256"/>
      <c r="AP196" s="1122"/>
      <c r="AQ196" s="643"/>
      <c r="AR196" s="643"/>
      <c r="AS196" s="141"/>
      <c r="AT196" s="141"/>
      <c r="AU196" s="141"/>
      <c r="AV196" s="141"/>
      <c r="AW196" s="141"/>
      <c r="AX196" s="141"/>
      <c r="AY196" s="141"/>
      <c r="AZ196" s="141"/>
      <c r="BA196" s="141"/>
      <c r="BB196" s="141"/>
      <c r="BC196" s="141"/>
      <c r="BD196" s="1017"/>
      <c r="BE196" s="1017"/>
      <c r="BF196" s="1167"/>
      <c r="BG196" s="1167"/>
      <c r="BH196" s="256"/>
      <c r="BI196" s="256"/>
      <c r="BJ196" s="256"/>
      <c r="BK196" s="256"/>
      <c r="BL196" s="256"/>
      <c r="BM196" s="256"/>
      <c r="BN196" s="302"/>
      <c r="BO196" s="587"/>
      <c r="BP196" s="587"/>
    </row>
    <row r="197" spans="1:72" ht="13.5" collapsed="1" thickBot="1">
      <c r="A197" s="810"/>
      <c r="B197" s="171">
        <f>+B190+1</f>
        <v>2014</v>
      </c>
      <c r="C197" s="256"/>
      <c r="D197" s="256"/>
      <c r="E197" s="643"/>
      <c r="F197" s="256"/>
      <c r="G197" s="643"/>
      <c r="H197" s="2091"/>
      <c r="I197" s="643"/>
      <c r="J197" s="256"/>
      <c r="K197" s="643"/>
      <c r="L197" s="256"/>
      <c r="M197" s="256"/>
      <c r="N197" s="256"/>
      <c r="O197" s="256"/>
      <c r="P197" s="256"/>
      <c r="Q197" s="643"/>
      <c r="R197" s="587"/>
      <c r="S197" s="587"/>
      <c r="T197" s="256"/>
      <c r="U197" s="256"/>
      <c r="V197" s="256"/>
      <c r="W197" s="256"/>
      <c r="X197" s="256"/>
      <c r="Y197" s="256"/>
      <c r="Z197" s="256"/>
      <c r="AA197" s="643"/>
      <c r="AB197" s="256"/>
      <c r="AC197" s="256"/>
      <c r="AD197" s="256"/>
      <c r="AE197" s="256"/>
      <c r="AF197" s="256"/>
      <c r="AG197" s="256"/>
      <c r="AH197" s="643"/>
      <c r="AI197" s="587"/>
      <c r="AJ197" s="587"/>
      <c r="AK197" s="256"/>
      <c r="AL197" s="256"/>
      <c r="AM197" s="256"/>
      <c r="AN197" s="256"/>
      <c r="AO197" s="256"/>
      <c r="AP197" s="289"/>
      <c r="AQ197" s="643"/>
      <c r="AR197" s="643"/>
      <c r="AS197" s="317"/>
      <c r="AT197" s="317"/>
      <c r="AU197" s="317"/>
      <c r="AV197" s="317"/>
      <c r="AW197" s="317"/>
      <c r="AX197" s="317"/>
      <c r="AY197" s="317"/>
      <c r="AZ197" s="1605">
        <v>0.1</v>
      </c>
      <c r="BA197" s="238"/>
      <c r="BB197" s="256"/>
      <c r="BC197" s="1605">
        <v>0.1</v>
      </c>
      <c r="BD197" s="238"/>
      <c r="BF197" s="1605">
        <v>0.08</v>
      </c>
      <c r="BG197" s="238"/>
      <c r="BH197" s="256"/>
      <c r="BI197" s="256"/>
      <c r="BJ197" s="256"/>
      <c r="BK197" s="256"/>
      <c r="BL197" s="256"/>
      <c r="BM197" s="256"/>
      <c r="BN197" s="256"/>
      <c r="BO197" s="587"/>
      <c r="BP197" s="587"/>
    </row>
    <row r="198" spans="1:72">
      <c r="A198" s="256" t="str">
        <f>$A$40</f>
        <v>1Q</v>
      </c>
      <c r="B198" s="302" t="str">
        <f>$B$40</f>
        <v>Apr</v>
      </c>
      <c r="C198" s="256"/>
      <c r="D198" s="145">
        <f>(V198/V191-1)*100</f>
        <v>7.6014785490204684</v>
      </c>
      <c r="E198" s="643" t="s">
        <v>1970</v>
      </c>
      <c r="F198" s="1124">
        <v>-1</v>
      </c>
      <c r="G198" s="643"/>
      <c r="H198" s="2085">
        <f>'segSales&amp;comps'!G208</f>
        <v>8</v>
      </c>
      <c r="I198" s="643" t="s">
        <v>1970</v>
      </c>
      <c r="J198" s="145">
        <f>D198-H198-F198</f>
        <v>0.60147854902046838</v>
      </c>
      <c r="K198" s="643" t="s">
        <v>1970</v>
      </c>
      <c r="L198" s="725">
        <f>Stores!D282</f>
        <v>121</v>
      </c>
      <c r="M198" s="256"/>
      <c r="N198" s="177">
        <f>AVERAGE(L198,L195)</f>
        <v>121</v>
      </c>
      <c r="O198" s="256"/>
      <c r="P198" s="288">
        <f>(N198/N191-1)*100</f>
        <v>5.2173913043478182</v>
      </c>
      <c r="Q198" s="643" t="s">
        <v>1970</v>
      </c>
      <c r="R198" s="259">
        <f>J198/P198*100</f>
        <v>11.528338856225663</v>
      </c>
      <c r="S198" s="587" t="s">
        <v>1970</v>
      </c>
      <c r="T198" s="256"/>
      <c r="U198" s="256"/>
      <c r="V198" s="296">
        <f>'segSales&amp;comps'!E208</f>
        <v>438.68799999999999</v>
      </c>
      <c r="W198" s="238"/>
      <c r="X198" s="143">
        <f>V198/N198</f>
        <v>3.6255206611570245</v>
      </c>
      <c r="Y198" s="256"/>
      <c r="Z198" s="219">
        <f>(X198/X191-1)*100</f>
        <v>2.2658680424574751</v>
      </c>
      <c r="AA198" s="643" t="s">
        <v>1970</v>
      </c>
      <c r="AB198" s="256"/>
      <c r="AC198" s="236">
        <f>AC194+(L198-L195)*yrSales!$Z$85/1000000</f>
        <v>0.72719999999999985</v>
      </c>
      <c r="AD198" s="256"/>
      <c r="AE198" s="254">
        <f>AVERAGE(AC198,AC194)</f>
        <v>0.72719999999999985</v>
      </c>
      <c r="AF198" s="256"/>
      <c r="AG198" s="1122" t="s">
        <v>1086</v>
      </c>
      <c r="AH198" s="643" t="s">
        <v>1970</v>
      </c>
      <c r="AI198" s="1122" t="s">
        <v>1086</v>
      </c>
      <c r="AJ198" s="587" t="s">
        <v>1970</v>
      </c>
      <c r="AK198" s="256"/>
      <c r="AL198" s="141">
        <f>+V198</f>
        <v>438.68799999999999</v>
      </c>
      <c r="AM198" s="256" t="s">
        <v>700</v>
      </c>
      <c r="AN198" s="244">
        <f>AL198/AE198</f>
        <v>603.2563256325634</v>
      </c>
      <c r="AO198" s="256"/>
      <c r="AP198" s="1122" t="s">
        <v>1086</v>
      </c>
      <c r="AQ198" s="643" t="s">
        <v>1970</v>
      </c>
      <c r="AR198" s="643"/>
      <c r="AS198" s="141">
        <f>qtrSales!AN180</f>
        <v>42.751306288318624</v>
      </c>
      <c r="AT198" s="141"/>
      <c r="AU198" s="219">
        <f>((AS198/AS191)-1)*100</f>
        <v>5.0000000000000044</v>
      </c>
      <c r="AV198" s="141" t="s">
        <v>1970</v>
      </c>
      <c r="AW198" s="219">
        <f>AS198/V198*100</f>
        <v>9.7452645817343129</v>
      </c>
      <c r="AX198" s="141" t="s">
        <v>1970</v>
      </c>
      <c r="AY198" s="141"/>
      <c r="AZ198" s="1017">
        <v>0.90516755371961477</v>
      </c>
      <c r="BA198" s="1167">
        <f>(AZ198/AZ191-1)*100</f>
        <v>-7.8800544428685786</v>
      </c>
      <c r="BB198" s="1167"/>
      <c r="BC198" s="1017">
        <v>7.5869683341618768E-2</v>
      </c>
      <c r="BD198" s="1167">
        <f>(BC198/BC191-1)*100</f>
        <v>-5.3414786061944497</v>
      </c>
      <c r="BF198" s="1017">
        <v>0.43258349422595477</v>
      </c>
      <c r="BG198" s="1167">
        <f>(BF198/BF191-1)*100</f>
        <v>-14.064490674782871</v>
      </c>
      <c r="BH198" s="256"/>
      <c r="BI198" s="297">
        <f>AZ197*BA198+BC197*BD198+BF197*BG198</f>
        <v>-2.4473125588889326</v>
      </c>
      <c r="BJ198" s="1167"/>
      <c r="BK198" s="297">
        <f>F198</f>
        <v>-1</v>
      </c>
      <c r="BL198" s="256"/>
      <c r="BM198" s="256"/>
      <c r="BN198" s="256"/>
      <c r="BO198" s="1592"/>
      <c r="BP198" s="1492"/>
    </row>
    <row r="199" spans="1:72">
      <c r="A199" s="256" t="str">
        <f>$A$41</f>
        <v>2Q</v>
      </c>
      <c r="B199" s="302" t="str">
        <f>$B$41</f>
        <v>Jul</v>
      </c>
      <c r="C199" s="256"/>
      <c r="D199" s="145">
        <f>(V199/V192-1)*100</f>
        <v>8.9531289427201788</v>
      </c>
      <c r="E199" s="256"/>
      <c r="F199" s="1732">
        <v>-1</v>
      </c>
      <c r="G199" s="256"/>
      <c r="H199" s="2085">
        <f>'segSales&amp;comps'!G209</f>
        <v>8</v>
      </c>
      <c r="I199" s="256"/>
      <c r="J199" s="145">
        <f>D199-H199-F199</f>
        <v>1.9531289427201788</v>
      </c>
      <c r="K199" s="256"/>
      <c r="L199" s="725">
        <f>Stores!D283</f>
        <v>122</v>
      </c>
      <c r="M199" s="256"/>
      <c r="N199" s="177">
        <f>AVERAGE(L199,L198)</f>
        <v>121.5</v>
      </c>
      <c r="O199" s="256"/>
      <c r="P199" s="288">
        <f>(N199/N192-1)*100</f>
        <v>5.1948051948051965</v>
      </c>
      <c r="Q199" s="643"/>
      <c r="R199" s="259">
        <f>J199/P199*100</f>
        <v>37.59773214736343</v>
      </c>
      <c r="S199" s="587"/>
      <c r="T199" s="256"/>
      <c r="U199" s="256"/>
      <c r="V199" s="315">
        <f>'segSales&amp;comps'!E209</f>
        <v>483.59500000000003</v>
      </c>
      <c r="W199" s="238"/>
      <c r="X199" s="147">
        <f>V199/N199</f>
        <v>3.9802057613168729</v>
      </c>
      <c r="Y199" s="256"/>
      <c r="Z199" s="219">
        <f>(X199/X192-1)*100</f>
        <v>3.5727275134500358</v>
      </c>
      <c r="AA199" s="643"/>
      <c r="AB199" s="256"/>
      <c r="AC199" s="236">
        <f>AC198+(L199-L198)*yrSales!$Z$85/1000000</f>
        <v>0.7326999999999998</v>
      </c>
      <c r="AD199" s="238"/>
      <c r="AE199" s="254">
        <f>AVERAGE(AC199,AC198)</f>
        <v>0.72994999999999988</v>
      </c>
      <c r="AF199" s="256"/>
      <c r="AG199" s="1122" t="s">
        <v>1086</v>
      </c>
      <c r="AH199" s="643"/>
      <c r="AI199" s="1122" t="s">
        <v>1086</v>
      </c>
      <c r="AJ199" s="587"/>
      <c r="AK199" s="256"/>
      <c r="AL199" s="142">
        <f>+V199</f>
        <v>483.59500000000003</v>
      </c>
      <c r="AM199" s="256"/>
      <c r="AN199" s="245">
        <f>AL199/AE199</f>
        <v>662.50428111514498</v>
      </c>
      <c r="AO199" s="256"/>
      <c r="AP199" s="1122" t="s">
        <v>1086</v>
      </c>
      <c r="AQ199" s="643"/>
      <c r="AR199" s="643"/>
      <c r="AS199" s="142">
        <f>qtrSales!AN181</f>
        <v>41.37228659789811</v>
      </c>
      <c r="AT199" s="142"/>
      <c r="AU199" s="219">
        <f>((AS199/AS192)-1)*100</f>
        <v>5.0000000000000044</v>
      </c>
      <c r="AV199" s="142"/>
      <c r="AW199" s="219">
        <f>AS199/V199*100</f>
        <v>8.555151851838442</v>
      </c>
      <c r="AX199" s="142"/>
      <c r="AY199" s="142"/>
      <c r="AZ199" s="1017">
        <v>0.92424581481994816</v>
      </c>
      <c r="BA199" s="1167">
        <f>(AZ199/AZ192-1)*100</f>
        <v>-4.725355447820867</v>
      </c>
      <c r="BB199" s="1167"/>
      <c r="BC199" s="1017">
        <v>7.7083582370727766E-2</v>
      </c>
      <c r="BD199" s="1167">
        <f>(BC199/BC192-1)*100</f>
        <v>-2.4509717757879246</v>
      </c>
      <c r="BF199" s="1017">
        <v>0.44896394101483433</v>
      </c>
      <c r="BG199" s="1167">
        <f>(BF199/BF192-1)*100</f>
        <v>-3.4864776455371227</v>
      </c>
      <c r="BH199" s="256"/>
      <c r="BI199" s="297">
        <f>AZ197*BA199+BC197*BD199+BF197*BG199</f>
        <v>-0.99655093400384898</v>
      </c>
      <c r="BJ199" s="1167"/>
      <c r="BK199" s="297">
        <f>F199</f>
        <v>-1</v>
      </c>
      <c r="BL199" s="256"/>
      <c r="BM199" s="256"/>
      <c r="BN199" s="256"/>
      <c r="BO199" s="1592"/>
      <c r="BP199" s="1492"/>
    </row>
    <row r="200" spans="1:72">
      <c r="A200" s="256" t="str">
        <f>$A$42</f>
        <v>3Q</v>
      </c>
      <c r="B200" s="302" t="str">
        <f>$B$42</f>
        <v>Oct</v>
      </c>
      <c r="C200" s="256"/>
      <c r="D200" s="145">
        <f>(V200/V193-1)*100</f>
        <v>10.042519700154529</v>
      </c>
      <c r="E200" s="256"/>
      <c r="F200" s="1156">
        <v>-1</v>
      </c>
      <c r="G200" s="256"/>
      <c r="H200" s="2085">
        <f>'segSales&amp;comps'!G210</f>
        <v>11</v>
      </c>
      <c r="I200" s="256"/>
      <c r="J200" s="145">
        <f>D200-H200-F200</f>
        <v>4.251970015452855E-2</v>
      </c>
      <c r="K200" s="256"/>
      <c r="L200" s="725">
        <f>Stores!D284</f>
        <v>122</v>
      </c>
      <c r="M200" s="238"/>
      <c r="N200" s="177">
        <f>AVERAGE(L200,L199)</f>
        <v>122</v>
      </c>
      <c r="O200" s="256"/>
      <c r="P200" s="288">
        <f>(N200/N193-1)*100</f>
        <v>3.3898305084745672</v>
      </c>
      <c r="Q200" s="643"/>
      <c r="R200" s="259">
        <f>J200/P200*100</f>
        <v>1.2543311545585956</v>
      </c>
      <c r="S200" s="587"/>
      <c r="T200" s="256"/>
      <c r="U200" s="256"/>
      <c r="V200" s="315">
        <f>'segSales&amp;comps'!E210</f>
        <v>458.6</v>
      </c>
      <c r="W200" s="256"/>
      <c r="X200" s="147">
        <f>V200/N200</f>
        <v>3.7590163934426233</v>
      </c>
      <c r="Y200" s="256"/>
      <c r="Z200" s="219">
        <f>(X200/X193-1)*100</f>
        <v>6.4345682345757105</v>
      </c>
      <c r="AA200" s="643"/>
      <c r="AB200" s="256"/>
      <c r="AC200" s="236">
        <f>AC199+(L200-L199)*yrSales!$Z$85/1000000</f>
        <v>0.7326999999999998</v>
      </c>
      <c r="AD200" s="238"/>
      <c r="AE200" s="254">
        <f>AVERAGE(AC200,AC199)</f>
        <v>0.7326999999999998</v>
      </c>
      <c r="AF200" s="256"/>
      <c r="AG200" s="1122" t="s">
        <v>1086</v>
      </c>
      <c r="AH200" s="643"/>
      <c r="AI200" s="1122" t="s">
        <v>1086</v>
      </c>
      <c r="AJ200" s="587"/>
      <c r="AK200" s="256"/>
      <c r="AL200" s="142">
        <f>+V200</f>
        <v>458.6</v>
      </c>
      <c r="AM200" s="256"/>
      <c r="AN200" s="245">
        <f>AL200/AE200</f>
        <v>625.90418998225766</v>
      </c>
      <c r="AO200" s="256"/>
      <c r="AP200" s="1122" t="s">
        <v>1086</v>
      </c>
      <c r="AQ200" s="643"/>
      <c r="AR200" s="643"/>
      <c r="AS200" s="142">
        <f>qtrSales!AN182</f>
        <v>34.720526269811742</v>
      </c>
      <c r="AT200" s="142"/>
      <c r="AU200" s="219">
        <f>((AS200/AS193)-1)*100</f>
        <v>5.0000000000000044</v>
      </c>
      <c r="AV200" s="142"/>
      <c r="AW200" s="219">
        <f>AS200/V200*100</f>
        <v>7.5709826144377974</v>
      </c>
      <c r="AX200" s="142"/>
      <c r="AY200" s="142"/>
      <c r="AZ200" s="1017">
        <v>0.90856615369593052</v>
      </c>
      <c r="BA200" s="1167">
        <f>(AZ200/AZ193-1)*100</f>
        <v>-5.7399481300466242</v>
      </c>
      <c r="BB200" s="1167"/>
      <c r="BC200" s="1017">
        <v>7.5567468917531674E-2</v>
      </c>
      <c r="BD200" s="1167">
        <f>(BC200/BC193-1)*100</f>
        <v>-1.8259159261140856</v>
      </c>
      <c r="BF200" s="1017">
        <v>0.4299799070308315</v>
      </c>
      <c r="BG200" s="1167">
        <f>(BF200/BF193-1)*100</f>
        <v>-2.572858526704791</v>
      </c>
      <c r="BH200" s="256"/>
      <c r="BI200" s="297">
        <f>AZ197*BA200+BC197*BD200+BF197*BG200</f>
        <v>-0.96241508775245432</v>
      </c>
      <c r="BJ200" s="1167"/>
      <c r="BK200" s="297">
        <f>F200</f>
        <v>-1</v>
      </c>
      <c r="BL200" s="256"/>
      <c r="BM200" s="256"/>
      <c r="BN200" s="256"/>
      <c r="BO200" s="1592"/>
      <c r="BP200" s="1492"/>
    </row>
    <row r="201" spans="1:72">
      <c r="A201" s="256" t="str">
        <f>$A$43</f>
        <v>4Q</v>
      </c>
      <c r="B201" s="302" t="str">
        <f>$B$43</f>
        <v>Jan</v>
      </c>
      <c r="C201" s="256"/>
      <c r="D201" s="176">
        <f>(V201/V194-1)*100</f>
        <v>-0.84471796927551024</v>
      </c>
      <c r="E201" s="256"/>
      <c r="F201" s="1125">
        <v>-1</v>
      </c>
      <c r="G201" s="256"/>
      <c r="H201" s="2090">
        <f>'segSales&amp;comps'!G211</f>
        <v>0</v>
      </c>
      <c r="I201" s="256"/>
      <c r="J201" s="176">
        <f>D201-H201-F201</f>
        <v>0.15528203072448976</v>
      </c>
      <c r="K201" s="256"/>
      <c r="L201" s="917">
        <f>Stores!D285</f>
        <v>122</v>
      </c>
      <c r="M201" s="238"/>
      <c r="N201" s="178">
        <f>AVERAGE(L201,L200)</f>
        <v>122</v>
      </c>
      <c r="O201" s="256"/>
      <c r="P201" s="318">
        <f>(N201/N194-1)*100</f>
        <v>1.2448132780082943</v>
      </c>
      <c r="Q201" s="643"/>
      <c r="R201" s="178">
        <f>J201/P201*100</f>
        <v>12.474323134867388</v>
      </c>
      <c r="S201" s="587"/>
      <c r="T201" s="256"/>
      <c r="U201" s="256"/>
      <c r="V201" s="316">
        <f>'segSales&amp;comps'!E211</f>
        <v>653</v>
      </c>
      <c r="W201" s="256"/>
      <c r="X201" s="148">
        <f>V201/N201</f>
        <v>5.3524590163934427</v>
      </c>
      <c r="Y201" s="256"/>
      <c r="Z201" s="218">
        <f>(X201/X194-1)*100</f>
        <v>-2.0638402893254026</v>
      </c>
      <c r="AA201" s="643"/>
      <c r="AB201" s="256"/>
      <c r="AC201" s="236">
        <f>AC200+(L201-L200)*yrSales!$Z$85/1000000</f>
        <v>0.7326999999999998</v>
      </c>
      <c r="AD201" s="238"/>
      <c r="AE201" s="255">
        <f>AVERAGE(AC201,AC200)</f>
        <v>0.7326999999999998</v>
      </c>
      <c r="AF201" s="256"/>
      <c r="AG201" s="1123" t="s">
        <v>1086</v>
      </c>
      <c r="AH201" s="643"/>
      <c r="AI201" s="1123" t="s">
        <v>1086</v>
      </c>
      <c r="AJ201" s="587"/>
      <c r="AK201" s="256"/>
      <c r="AL201" s="146">
        <f>+V201</f>
        <v>653</v>
      </c>
      <c r="AM201" s="256"/>
      <c r="AN201" s="257">
        <f>AL201/AE201</f>
        <v>891.22423911560008</v>
      </c>
      <c r="AO201" s="256"/>
      <c r="AP201" s="1123" t="s">
        <v>1086</v>
      </c>
      <c r="AQ201" s="643"/>
      <c r="AR201" s="643"/>
      <c r="AS201" s="146">
        <f>qtrSales!AN183</f>
        <v>85.322533830266892</v>
      </c>
      <c r="AT201" s="1480"/>
      <c r="AU201" s="218">
        <f>((AS201/AS194)-1)*100</f>
        <v>5.0000000000000044</v>
      </c>
      <c r="AV201" s="1480"/>
      <c r="AW201" s="218">
        <f>AS201/V201*100</f>
        <v>13.066237952567672</v>
      </c>
      <c r="AX201" s="1480"/>
      <c r="AY201" s="1480"/>
      <c r="AZ201" s="1601">
        <v>0.85797989620116322</v>
      </c>
      <c r="BA201" s="1602">
        <f>(AZ201/AZ194-1)*100</f>
        <v>-8.2461459910179062</v>
      </c>
      <c r="BB201" s="256"/>
      <c r="BC201" s="1601">
        <v>7.0561798022708302E-2</v>
      </c>
      <c r="BD201" s="1602">
        <f>(BC201/BC194-1)*100</f>
        <v>-7.5482658866480978</v>
      </c>
      <c r="BF201" s="1601">
        <v>0.38309607761244818</v>
      </c>
      <c r="BG201" s="1602">
        <f>(BF201/BF194-1)*100</f>
        <v>-10.178102685686873</v>
      </c>
      <c r="BH201" s="256"/>
      <c r="BI201" s="298">
        <f>AZ197*BA201+BC197*BD201+BF197*BG201</f>
        <v>-2.3936894026215505</v>
      </c>
      <c r="BJ201" s="1167"/>
      <c r="BK201" s="298">
        <f>F201</f>
        <v>-1</v>
      </c>
      <c r="BL201" s="256"/>
      <c r="BM201" s="256"/>
      <c r="BN201" s="256"/>
      <c r="BO201" s="1592"/>
      <c r="BP201" s="1492"/>
    </row>
    <row r="202" spans="1:72">
      <c r="A202" s="256"/>
      <c r="B202" s="302" t="str">
        <f>$B$44</f>
        <v>Year</v>
      </c>
      <c r="C202" s="256"/>
      <c r="D202" s="145">
        <f>(V202/V195-1)*100</f>
        <v>5.5540505193931722</v>
      </c>
      <c r="E202" s="256"/>
      <c r="F202" s="217">
        <f>F198*V191/V195+F199*V192/V195+F200*V193/V195+F201*V194/V195</f>
        <v>-1</v>
      </c>
      <c r="G202" s="256"/>
      <c r="H202" s="2085">
        <f>H198*V191/V195+H199*V192/V195+H200*V193/V195+H201*V194/V195</f>
        <v>5.9146115138380289</v>
      </c>
      <c r="I202" s="256"/>
      <c r="J202" s="145">
        <f>D202-H202-F202</f>
        <v>0.63943900555514332</v>
      </c>
      <c r="K202" s="256"/>
      <c r="L202" s="923">
        <f>L201</f>
        <v>122</v>
      </c>
      <c r="M202" s="256"/>
      <c r="N202" s="177">
        <f>AVERAGE(N198:N201)</f>
        <v>121.625</v>
      </c>
      <c r="O202" s="256"/>
      <c r="P202" s="288">
        <f>(N202/N195-1)*100</f>
        <v>3.7313432835820892</v>
      </c>
      <c r="Q202" s="643"/>
      <c r="R202" s="259">
        <f>J202/P202*100</f>
        <v>17.13696534887784</v>
      </c>
      <c r="S202" s="587"/>
      <c r="T202" s="256"/>
      <c r="U202" s="256"/>
      <c r="V202" s="296">
        <f>SUM(V198:V201)</f>
        <v>2033.883</v>
      </c>
      <c r="W202" s="256"/>
      <c r="X202" s="918">
        <f>V202/N202</f>
        <v>16.722573484069887</v>
      </c>
      <c r="Y202" s="256"/>
      <c r="Z202" s="219">
        <f>(X202/X195-1)*100</f>
        <v>1.7571422273286785</v>
      </c>
      <c r="AA202" s="643"/>
      <c r="AB202" s="256"/>
      <c r="AC202" s="256"/>
      <c r="AD202" s="256"/>
      <c r="AE202" s="254">
        <f>AVERAGE(AE198:AE201)</f>
        <v>0.73063749999999983</v>
      </c>
      <c r="AF202" s="256"/>
      <c r="AG202" s="1122" t="s">
        <v>1086</v>
      </c>
      <c r="AH202" s="643"/>
      <c r="AI202" s="1122" t="s">
        <v>1086</v>
      </c>
      <c r="AJ202" s="587"/>
      <c r="AK202" s="256"/>
      <c r="AL202" s="141">
        <f>SUM(AL198:AL201)</f>
        <v>2033.883</v>
      </c>
      <c r="AM202" s="256"/>
      <c r="AN202" s="919">
        <f>AL202/AE202</f>
        <v>2783.7101161656778</v>
      </c>
      <c r="AO202" s="256"/>
      <c r="AP202" s="1122" t="s">
        <v>1086</v>
      </c>
      <c r="AQ202" s="643"/>
      <c r="AR202" s="643"/>
      <c r="AS202" s="141">
        <f>qtrSales!AN184</f>
        <v>204.16665298629536</v>
      </c>
      <c r="AT202" s="141"/>
      <c r="AU202" s="219">
        <f>((AS202/AS195)-1)*100</f>
        <v>5.0000000000000044</v>
      </c>
      <c r="AV202" s="141"/>
      <c r="AW202" s="219">
        <f>AS202/V202*100</f>
        <v>10.038269309802745</v>
      </c>
      <c r="AX202" s="141"/>
      <c r="AY202" s="141"/>
      <c r="AZ202" s="1017">
        <v>0.89898985460916425</v>
      </c>
      <c r="BA202" s="1167">
        <f>(AZ202/AZ195-1)*100</f>
        <v>-6.5864171705153023</v>
      </c>
      <c r="BB202" s="1167"/>
      <c r="BC202" s="1017">
        <v>7.4770633163146624E-2</v>
      </c>
      <c r="BD202" s="1167">
        <f>(BC202/BC195-1)*100</f>
        <v>-4.2834991578523773</v>
      </c>
      <c r="BF202" s="1017">
        <v>0.42365585497101715</v>
      </c>
      <c r="BG202" s="1167">
        <f>(BF202/BF195-1)*100</f>
        <v>-7.7206114618667776</v>
      </c>
      <c r="BH202" s="256"/>
      <c r="BI202" s="297">
        <f>AZ197*BA202+BC197*BD202+BF197*BG202</f>
        <v>-1.7046405497861103</v>
      </c>
      <c r="BJ202" s="256"/>
      <c r="BK202" s="297">
        <f>F202</f>
        <v>-1</v>
      </c>
      <c r="BL202" s="256"/>
      <c r="BM202" s="256"/>
      <c r="BN202" s="302"/>
      <c r="BO202" s="587"/>
      <c r="BP202" s="587"/>
    </row>
    <row r="203" spans="1:72" ht="13.5" thickBot="1">
      <c r="A203" s="256"/>
      <c r="B203" s="302"/>
      <c r="C203" s="256"/>
      <c r="D203" s="145"/>
      <c r="E203" s="256"/>
      <c r="F203" s="217"/>
      <c r="G203" s="256"/>
      <c r="H203" s="2085"/>
      <c r="I203" s="256"/>
      <c r="J203" s="145"/>
      <c r="K203" s="256"/>
      <c r="L203" s="1030"/>
      <c r="M203" s="256"/>
      <c r="N203" s="177"/>
      <c r="O203" s="256"/>
      <c r="P203" s="288"/>
      <c r="Q203" s="643"/>
      <c r="R203" s="259"/>
      <c r="S203" s="587"/>
      <c r="T203" s="256"/>
      <c r="U203" s="256"/>
      <c r="V203" s="296"/>
      <c r="W203" s="256"/>
      <c r="X203" s="1031"/>
      <c r="Y203" s="256"/>
      <c r="Z203" s="219"/>
      <c r="AA203" s="643"/>
      <c r="AB203" s="256"/>
      <c r="AC203" s="256"/>
      <c r="AD203" s="256"/>
      <c r="AE203" s="254"/>
      <c r="AF203" s="256"/>
      <c r="AG203" s="1122"/>
      <c r="AH203" s="643"/>
      <c r="AI203" s="1122"/>
      <c r="AJ203" s="587"/>
      <c r="AK203" s="256"/>
      <c r="AL203" s="141"/>
      <c r="AM203" s="256"/>
      <c r="AN203" s="1032"/>
      <c r="AO203" s="256"/>
      <c r="AP203" s="1122"/>
      <c r="AQ203" s="643"/>
      <c r="AR203" s="643"/>
      <c r="AS203" s="141"/>
      <c r="AT203" s="141"/>
      <c r="AU203" s="219"/>
      <c r="AV203" s="141"/>
      <c r="AW203" s="219"/>
      <c r="AX203" s="141"/>
      <c r="AY203" s="141"/>
      <c r="AZ203" s="1017"/>
      <c r="BA203" s="1167"/>
      <c r="BB203" s="1167"/>
      <c r="BC203" s="1017"/>
      <c r="BD203" s="1167"/>
      <c r="BF203" s="1017"/>
      <c r="BG203" s="1167"/>
      <c r="BH203" s="256"/>
      <c r="BI203" s="297"/>
      <c r="BJ203" s="256"/>
      <c r="BK203" s="297"/>
      <c r="BL203" s="256"/>
      <c r="BM203" s="256"/>
      <c r="BN203" s="302"/>
      <c r="BO203" s="587"/>
      <c r="BP203" s="587"/>
    </row>
    <row r="204" spans="1:72" ht="13.5" thickBot="1">
      <c r="A204" s="810"/>
      <c r="B204" s="171">
        <f>+B197+1</f>
        <v>2015</v>
      </c>
      <c r="C204" s="256"/>
      <c r="D204" s="256"/>
      <c r="E204" s="643"/>
      <c r="F204" s="256"/>
      <c r="G204" s="643"/>
      <c r="H204" s="2091"/>
      <c r="I204" s="643"/>
      <c r="J204" s="256"/>
      <c r="K204" s="643"/>
      <c r="L204" s="256"/>
      <c r="M204" s="256"/>
      <c r="N204" s="256"/>
      <c r="O204" s="256"/>
      <c r="P204" s="256"/>
      <c r="Q204" s="643"/>
      <c r="R204" s="587"/>
      <c r="S204" s="587"/>
      <c r="T204" s="256"/>
      <c r="U204" s="256"/>
      <c r="V204" s="256"/>
      <c r="W204" s="256"/>
      <c r="X204" s="256"/>
      <c r="Y204" s="256"/>
      <c r="Z204" s="256"/>
      <c r="AA204" s="643"/>
      <c r="AB204" s="256"/>
      <c r="AC204" s="256"/>
      <c r="AD204" s="256"/>
      <c r="AE204" s="256"/>
      <c r="AF204" s="256"/>
      <c r="AG204" s="256"/>
      <c r="AH204" s="643"/>
      <c r="AI204" s="587"/>
      <c r="AJ204" s="587"/>
      <c r="AK204" s="256"/>
      <c r="AL204" s="256"/>
      <c r="AM204" s="256"/>
      <c r="AN204" s="256"/>
      <c r="AO204" s="256"/>
      <c r="AP204" s="289"/>
      <c r="AQ204" s="643"/>
      <c r="AR204" s="643"/>
      <c r="AS204" s="317"/>
      <c r="AT204" s="317"/>
      <c r="AU204" s="317"/>
      <c r="AV204" s="317"/>
      <c r="AW204" s="317"/>
      <c r="AX204" s="317"/>
      <c r="AY204" s="317"/>
      <c r="AZ204" s="1605">
        <v>0.08</v>
      </c>
      <c r="BA204" s="238"/>
      <c r="BB204" s="256"/>
      <c r="BC204" s="1605">
        <v>0.02</v>
      </c>
      <c r="BD204" s="238"/>
      <c r="BF204" s="1605">
        <v>0.02</v>
      </c>
      <c r="BG204" s="238"/>
      <c r="BH204" s="256"/>
      <c r="BI204" s="256"/>
      <c r="BJ204" s="256"/>
      <c r="BK204" s="256"/>
      <c r="BL204" s="256"/>
      <c r="BM204" s="256"/>
      <c r="BN204" s="256"/>
      <c r="BO204" s="587"/>
      <c r="BP204" s="587"/>
    </row>
    <row r="205" spans="1:72">
      <c r="A205" s="256" t="str">
        <f>$A$40</f>
        <v>1Q</v>
      </c>
      <c r="B205" s="302" t="str">
        <f>$B$40</f>
        <v>Apr</v>
      </c>
      <c r="C205" s="256"/>
      <c r="D205" s="145">
        <f>(V205/V198-1)*100</f>
        <v>1.1424976292946143</v>
      </c>
      <c r="E205" s="643" t="s">
        <v>1970</v>
      </c>
      <c r="F205" s="1124">
        <v>-2</v>
      </c>
      <c r="G205" s="643"/>
      <c r="H205" s="2085">
        <f>'segSales&amp;comps'!G215</f>
        <v>1</v>
      </c>
      <c r="I205" s="643" t="s">
        <v>1970</v>
      </c>
      <c r="J205" s="145">
        <f>D205-H205-F205</f>
        <v>2.1424976292946143</v>
      </c>
      <c r="K205" s="643" t="s">
        <v>1970</v>
      </c>
      <c r="L205" s="725">
        <f>Stores!D289</f>
        <v>123</v>
      </c>
      <c r="M205" s="256"/>
      <c r="N205" s="177">
        <f>AVERAGE(L205,L202)</f>
        <v>122.5</v>
      </c>
      <c r="O205" s="256"/>
      <c r="P205" s="288">
        <f>(N205/N198-1)*100</f>
        <v>1.2396694214876103</v>
      </c>
      <c r="Q205" s="643" t="s">
        <v>1970</v>
      </c>
      <c r="R205" s="259">
        <f>J205/P205*100</f>
        <v>172.82814209643124</v>
      </c>
      <c r="S205" s="587" t="s">
        <v>1970</v>
      </c>
      <c r="T205" s="256"/>
      <c r="U205" s="256"/>
      <c r="V205" s="296">
        <f>'segSales&amp;comps'!E215</f>
        <v>443.7</v>
      </c>
      <c r="W205" s="238"/>
      <c r="X205" s="143">
        <f>V205/N205</f>
        <v>3.6220408163265305</v>
      </c>
      <c r="Y205" s="256"/>
      <c r="Z205" s="219">
        <f>(X205/X198-1)*100</f>
        <v>-9.5981933513056283E-2</v>
      </c>
      <c r="AA205" s="643" t="s">
        <v>1970</v>
      </c>
      <c r="AB205" s="256"/>
      <c r="AC205" s="236">
        <f>AC201+(L205-L202)*yrSales!$AA$85/1000000</f>
        <v>0.73819999999999975</v>
      </c>
      <c r="AD205" s="256"/>
      <c r="AE205" s="254">
        <f>AVERAGE(AC205,AC201)</f>
        <v>0.73544999999999972</v>
      </c>
      <c r="AF205" s="256"/>
      <c r="AG205" s="1122" t="s">
        <v>1086</v>
      </c>
      <c r="AH205" s="643" t="s">
        <v>1970</v>
      </c>
      <c r="AI205" s="1122" t="s">
        <v>1086</v>
      </c>
      <c r="AJ205" s="587" t="s">
        <v>1970</v>
      </c>
      <c r="AK205" s="256"/>
      <c r="AL205" s="141">
        <f>+V205</f>
        <v>443.7</v>
      </c>
      <c r="AM205" s="256" t="s">
        <v>700</v>
      </c>
      <c r="AN205" s="244">
        <f>AL205/AE205</f>
        <v>603.30409953089963</v>
      </c>
      <c r="AO205" s="256"/>
      <c r="AP205" s="1122" t="s">
        <v>1086</v>
      </c>
      <c r="AQ205" s="643" t="s">
        <v>1970</v>
      </c>
      <c r="AR205" s="643"/>
      <c r="AS205" s="141">
        <f>qtrSales!AN187</f>
        <v>44.888871602734554</v>
      </c>
      <c r="AT205" s="141"/>
      <c r="AU205" s="219">
        <f>((AS205/AS198)-1)*100</f>
        <v>5.0000000000000044</v>
      </c>
      <c r="AV205" s="141" t="s">
        <v>1970</v>
      </c>
      <c r="AW205" s="219">
        <f>AS205/V205*100</f>
        <v>10.116941988445923</v>
      </c>
      <c r="AX205" s="141" t="s">
        <v>1970</v>
      </c>
      <c r="AY205" s="141"/>
      <c r="AZ205" s="1017">
        <v>0.8006989240855924</v>
      </c>
      <c r="BA205" s="1167">
        <f>(AZ205/AZ198-1)*100</f>
        <v>-11.541358194372775</v>
      </c>
      <c r="BB205" s="1167"/>
      <c r="BC205" s="1017">
        <v>6.6293321620250437E-2</v>
      </c>
      <c r="BD205" s="1167">
        <f>(BC205/BC198-1)*100</f>
        <v>-12.622119006677279</v>
      </c>
      <c r="BF205" s="1017">
        <v>0.33927785356404905</v>
      </c>
      <c r="BG205" s="1167">
        <f>(BF205/BF198-1)*100</f>
        <v>-21.569394557890519</v>
      </c>
      <c r="BH205" s="256"/>
      <c r="BI205" s="297">
        <f>AZ204*BA205+BC204*BD205+BF204*BG205</f>
        <v>-1.607138926841178</v>
      </c>
      <c r="BJ205" s="1167"/>
      <c r="BK205" s="297">
        <f>F205</f>
        <v>-2</v>
      </c>
      <c r="BL205" s="256"/>
      <c r="BM205" s="256"/>
      <c r="BN205" s="256">
        <v>0.87202674318257289</v>
      </c>
      <c r="BO205" s="929">
        <f>BN205/AZ198-1</f>
        <v>-3.6612901557127153E-2</v>
      </c>
      <c r="BP205" s="2049">
        <v>7.0561798022708302E-2</v>
      </c>
      <c r="BQ205" s="1815">
        <f>BP205/BC198-1</f>
        <v>-6.9960557170255067E-2</v>
      </c>
      <c r="BR205">
        <v>0.38309607761244818</v>
      </c>
      <c r="BS205" s="1815">
        <f>BR205/BF198-1</f>
        <v>-0.11439968763037789</v>
      </c>
      <c r="BT205" s="1815">
        <f>$AZ$204*BO205+$BC$204*BQ205+$BF$204*BS205</f>
        <v>-6.6162370205828311E-3</v>
      </c>
    </row>
    <row r="206" spans="1:72">
      <c r="A206" s="256" t="str">
        <f>$A$41</f>
        <v>2Q</v>
      </c>
      <c r="B206" s="302" t="str">
        <f>$B$41</f>
        <v>Jul</v>
      </c>
      <c r="C206" s="256"/>
      <c r="D206" s="145">
        <f>(V206/V199-1)*100</f>
        <v>-1.8600275023521795</v>
      </c>
      <c r="E206" s="256"/>
      <c r="F206" s="1732">
        <v>-2</v>
      </c>
      <c r="G206" s="256"/>
      <c r="H206" s="2085">
        <f>'segSales&amp;comps'!G216</f>
        <v>0</v>
      </c>
      <c r="I206" s="256"/>
      <c r="J206" s="145">
        <f>D206-H206-F206</f>
        <v>0.13997249764782049</v>
      </c>
      <c r="K206" s="256"/>
      <c r="L206" s="725">
        <f>Stores!D290</f>
        <v>124</v>
      </c>
      <c r="M206" s="256"/>
      <c r="N206" s="177">
        <f>AVERAGE(L206,L205)</f>
        <v>123.5</v>
      </c>
      <c r="O206" s="256"/>
      <c r="P206" s="288">
        <f>(N206/N199-1)*100</f>
        <v>1.6460905349794164</v>
      </c>
      <c r="Q206" s="643"/>
      <c r="R206" s="259">
        <f>J206/P206*100</f>
        <v>8.5033292321051341</v>
      </c>
      <c r="S206" s="587"/>
      <c r="T206" s="256"/>
      <c r="U206" s="256"/>
      <c r="V206" s="315">
        <f>'segSales&amp;comps'!E216</f>
        <v>474.6</v>
      </c>
      <c r="W206" s="238"/>
      <c r="X206" s="147">
        <f>V206/N206</f>
        <v>3.8429149797570852</v>
      </c>
      <c r="Y206" s="256"/>
      <c r="Z206" s="219">
        <f>(X206/X199-1)*100</f>
        <v>-3.449338797860646</v>
      </c>
      <c r="AA206" s="643"/>
      <c r="AB206" s="256"/>
      <c r="AC206" s="236">
        <f>AC205+(L206-L205)*yrSales!$AA$85/1000000</f>
        <v>0.74369999999999969</v>
      </c>
      <c r="AD206" s="238"/>
      <c r="AE206" s="254">
        <f>AVERAGE(AC206,AC205)</f>
        <v>0.74094999999999978</v>
      </c>
      <c r="AF206" s="256"/>
      <c r="AG206" s="1122" t="s">
        <v>1086</v>
      </c>
      <c r="AH206" s="643"/>
      <c r="AI206" s="1122" t="s">
        <v>1086</v>
      </c>
      <c r="AJ206" s="587"/>
      <c r="AK206" s="256"/>
      <c r="AL206" s="142">
        <f>+V206</f>
        <v>474.6</v>
      </c>
      <c r="AM206" s="256"/>
      <c r="AN206" s="245">
        <f>AL206/AE206</f>
        <v>640.52905054322173</v>
      </c>
      <c r="AO206" s="256"/>
      <c r="AP206" s="1122" t="s">
        <v>1086</v>
      </c>
      <c r="AQ206" s="643"/>
      <c r="AR206" s="643"/>
      <c r="AS206" s="141">
        <f>qtrSales!AN188</f>
        <v>43.440900927793017</v>
      </c>
      <c r="AT206" s="142"/>
      <c r="AU206" s="219">
        <f>((AS206/AS199)-1)*100</f>
        <v>5.0000000000000044</v>
      </c>
      <c r="AV206" s="142"/>
      <c r="AW206" s="219">
        <f>AS206/V206*100</f>
        <v>9.1531607517473681</v>
      </c>
      <c r="AX206" s="142"/>
      <c r="AY206" s="142"/>
      <c r="AZ206" s="1017">
        <v>0.80152173808259553</v>
      </c>
      <c r="BA206" s="1167">
        <f>(AZ206/AZ199-1)*100</f>
        <v>-13.278294017621327</v>
      </c>
      <c r="BB206" s="1167"/>
      <c r="BC206" s="1017">
        <v>6.41964219400563E-2</v>
      </c>
      <c r="BD206" s="1167">
        <f>(BC206/BC199-1)*100</f>
        <v>-16.718424383407125</v>
      </c>
      <c r="BF206" s="1017">
        <v>0.31888160298109858</v>
      </c>
      <c r="BG206" s="1167">
        <f>(BF206/BF199-1)*100</f>
        <v>-28.973894371048758</v>
      </c>
      <c r="BH206" s="256"/>
      <c r="BI206" s="297">
        <f>AZ204*BA206+BC204*BD206+BF204*BG206</f>
        <v>-1.976109896498824</v>
      </c>
      <c r="BJ206" s="1167"/>
      <c r="BK206" s="297">
        <f>F206</f>
        <v>-2</v>
      </c>
      <c r="BL206" s="256"/>
      <c r="BM206" s="256"/>
      <c r="BN206" s="256">
        <v>0.87202674318257289</v>
      </c>
      <c r="BO206" s="929">
        <f>BN206/AZ199-1</f>
        <v>-5.6499116144278161E-2</v>
      </c>
      <c r="BP206" s="2049">
        <v>7.0561798022708302E-2</v>
      </c>
      <c r="BQ206" s="1815">
        <f>BP206/BC199-1</f>
        <v>-8.4606658738996088E-2</v>
      </c>
      <c r="BR206">
        <v>0.38309607761244818</v>
      </c>
      <c r="BS206" s="1815">
        <f>BR206/BF199-1</f>
        <v>-0.14671080990045438</v>
      </c>
      <c r="BT206" s="1815">
        <f>$AZ$204*BO206+$BC$204*BQ206+$BF$204*BS206</f>
        <v>-9.1462786643312626E-3</v>
      </c>
    </row>
    <row r="207" spans="1:72">
      <c r="A207" s="256" t="str">
        <f>$A$42</f>
        <v>3Q</v>
      </c>
      <c r="B207" s="302" t="str">
        <f>$B$42</f>
        <v>Oct</v>
      </c>
      <c r="C207" s="256"/>
      <c r="D207" s="145">
        <f>(V207/V200-1)*100</f>
        <v>-7.3048408198866159</v>
      </c>
      <c r="E207" s="256"/>
      <c r="F207" s="1156">
        <v>-2</v>
      </c>
      <c r="G207" s="256"/>
      <c r="H207" s="2085">
        <f>'segSales&amp;comps'!G217</f>
        <v>-6</v>
      </c>
      <c r="I207" s="256"/>
      <c r="J207" s="145">
        <f>D207-H207-F207</f>
        <v>0.69515918011338407</v>
      </c>
      <c r="K207" s="256"/>
      <c r="L207" s="725">
        <f>Stores!D291</f>
        <v>125</v>
      </c>
      <c r="M207" s="238"/>
      <c r="N207" s="177">
        <f>AVERAGE(L207,L206)</f>
        <v>124.5</v>
      </c>
      <c r="O207" s="256"/>
      <c r="P207" s="288">
        <f>(N207/N200-1)*100</f>
        <v>2.0491803278688492</v>
      </c>
      <c r="Q207" s="643"/>
      <c r="R207" s="259">
        <f>J207/P207*100</f>
        <v>33.923767989533196</v>
      </c>
      <c r="S207" s="587"/>
      <c r="T207" s="256"/>
      <c r="U207" s="256"/>
      <c r="V207" s="315">
        <f>'segSales&amp;comps'!E217</f>
        <v>425.1</v>
      </c>
      <c r="W207" s="256"/>
      <c r="X207" s="147">
        <f>V207/N207</f>
        <v>3.4144578313253016</v>
      </c>
      <c r="Y207" s="256"/>
      <c r="Z207" s="219">
        <f>(X207/X200-1)*100</f>
        <v>-9.1661893978005278</v>
      </c>
      <c r="AA207" s="643"/>
      <c r="AB207" s="256"/>
      <c r="AC207" s="236">
        <f>AC206+(L207-L206)*yrSales!$AA$85/1000000</f>
        <v>0.74919999999999964</v>
      </c>
      <c r="AD207" s="238"/>
      <c r="AE207" s="254">
        <f>AVERAGE(AC207,AC206)</f>
        <v>0.74644999999999961</v>
      </c>
      <c r="AF207" s="256"/>
      <c r="AG207" s="1122" t="s">
        <v>1086</v>
      </c>
      <c r="AH207" s="643"/>
      <c r="AI207" s="1122" t="s">
        <v>1086</v>
      </c>
      <c r="AJ207" s="587"/>
      <c r="AK207" s="256"/>
      <c r="AL207" s="142">
        <f>+V207</f>
        <v>425.1</v>
      </c>
      <c r="AM207" s="256"/>
      <c r="AN207" s="245">
        <f>AL207/AE207</f>
        <v>569.49561256614675</v>
      </c>
      <c r="AO207" s="256"/>
      <c r="AP207" s="1122" t="s">
        <v>1086</v>
      </c>
      <c r="AQ207" s="643"/>
      <c r="AR207" s="643"/>
      <c r="AS207" s="141">
        <f>qtrSales!AN189</f>
        <v>36.456552583302333</v>
      </c>
      <c r="AT207" s="142"/>
      <c r="AU207" s="219">
        <f>((AS207/AS200)-1)*100</f>
        <v>5.0000000000000044</v>
      </c>
      <c r="AV207" s="142"/>
      <c r="AW207" s="219">
        <f>AS207/V207*100</f>
        <v>8.575994491484904</v>
      </c>
      <c r="AX207" s="142"/>
      <c r="AY207" s="142"/>
      <c r="AZ207" s="1017">
        <v>0.75983736211980979</v>
      </c>
      <c r="BA207" s="1167">
        <f>(AZ207/AZ200-1)*100</f>
        <v>-16.369616122184503</v>
      </c>
      <c r="BB207" s="1167"/>
      <c r="BC207" s="1017">
        <v>6.0072991586765524E-2</v>
      </c>
      <c r="BD207" s="1167">
        <f>(BC207/BC200-1)*100</f>
        <v>-20.504163435294608</v>
      </c>
      <c r="BF207" s="1017">
        <v>0.26538614222018619</v>
      </c>
      <c r="BG207" s="1167">
        <f>(BF207/BF200-1)*100</f>
        <v>-38.279408437297789</v>
      </c>
      <c r="BH207" s="256"/>
      <c r="BI207" s="297">
        <f>AZ204*BA207+BC204*BD207+BF204*BG207</f>
        <v>-2.4852407272266079</v>
      </c>
      <c r="BJ207" s="1167"/>
      <c r="BK207" s="297">
        <f>F207</f>
        <v>-2</v>
      </c>
      <c r="BL207" s="256"/>
      <c r="BM207" s="256"/>
      <c r="BN207" s="256">
        <v>0.87202674318257289</v>
      </c>
      <c r="BO207" s="929">
        <f>BN207/AZ200-1</f>
        <v>-4.0216565810557658E-2</v>
      </c>
      <c r="BP207" s="2049">
        <v>7.0561798022708302E-2</v>
      </c>
      <c r="BQ207" s="1815">
        <f>BP207/BC200-1</f>
        <v>-6.6241081864024887E-2</v>
      </c>
      <c r="BR207">
        <v>0.38309607761244818</v>
      </c>
      <c r="BS207" s="1815">
        <f>BR207/BF200-1</f>
        <v>-0.10903725651306195</v>
      </c>
      <c r="BT207" s="1815">
        <f>$AZ$204*BO207+$BC$204*BQ207+$BF$204*BS207</f>
        <v>-6.72289203238635E-3</v>
      </c>
    </row>
    <row r="208" spans="1:72">
      <c r="A208" s="256" t="str">
        <f>$A$43</f>
        <v>4Q</v>
      </c>
      <c r="B208" s="302" t="str">
        <f>$B$43</f>
        <v>Jan</v>
      </c>
      <c r="C208" s="256"/>
      <c r="D208" s="176">
        <f>(V208/V201-1)*100</f>
        <v>-7.5650842266462455</v>
      </c>
      <c r="E208" s="256"/>
      <c r="F208" s="1125">
        <v>-2</v>
      </c>
      <c r="G208" s="256"/>
      <c r="H208" s="2454">
        <f>'segSales&amp;comps'!G218</f>
        <v>-8</v>
      </c>
      <c r="I208" s="256"/>
      <c r="J208" s="176">
        <f>D208-H208-F208</f>
        <v>2.4349157733537545</v>
      </c>
      <c r="K208" s="256"/>
      <c r="L208" s="917">
        <f>Stores!D292</f>
        <v>124</v>
      </c>
      <c r="M208" s="238"/>
      <c r="N208" s="178">
        <f>AVERAGE(L208,L207)</f>
        <v>124.5</v>
      </c>
      <c r="O208" s="256"/>
      <c r="P208" s="318">
        <f>(N208/N201-1)*100</f>
        <v>2.0491803278688492</v>
      </c>
      <c r="Q208" s="643"/>
      <c r="R208" s="178">
        <f>J208/P208*100</f>
        <v>118.8238897396634</v>
      </c>
      <c r="S208" s="587"/>
      <c r="T208" s="256"/>
      <c r="U208" s="256"/>
      <c r="V208" s="316">
        <f>'segSales&amp;comps'!E218</f>
        <v>603.6</v>
      </c>
      <c r="W208" s="256"/>
      <c r="X208" s="148">
        <f>V208/N208</f>
        <v>4.8481927710843378</v>
      </c>
      <c r="Y208" s="256"/>
      <c r="Z208" s="218">
        <f>(X208/X201-1)*100</f>
        <v>-9.4212070333400959</v>
      </c>
      <c r="AA208" s="643"/>
      <c r="AB208" s="256"/>
      <c r="AC208" s="236">
        <f>AC207+(L208-L207)*yrSales!$AA$85/1000000</f>
        <v>0.74369999999999969</v>
      </c>
      <c r="AD208" s="238"/>
      <c r="AE208" s="255">
        <f>AVERAGE(AC208,AC207)</f>
        <v>0.74644999999999961</v>
      </c>
      <c r="AF208" s="256"/>
      <c r="AG208" s="1123" t="s">
        <v>1086</v>
      </c>
      <c r="AH208" s="643"/>
      <c r="AI208" s="1123" t="s">
        <v>1086</v>
      </c>
      <c r="AJ208" s="587"/>
      <c r="AK208" s="256"/>
      <c r="AL208" s="146">
        <f>+V208</f>
        <v>603.6</v>
      </c>
      <c r="AM208" s="256"/>
      <c r="AN208" s="257">
        <f>AL208/AE208</f>
        <v>808.6275035166459</v>
      </c>
      <c r="AO208" s="256"/>
      <c r="AP208" s="1123" t="s">
        <v>1086</v>
      </c>
      <c r="AQ208" s="643"/>
      <c r="AR208" s="643"/>
      <c r="AS208" s="1995">
        <f>qtrSales!AN190</f>
        <v>89.588660521780241</v>
      </c>
      <c r="AT208" s="1480"/>
      <c r="AU208" s="218">
        <f>((AS208/AS201)-1)*100</f>
        <v>5.0000000000000044</v>
      </c>
      <c r="AV208" s="1480"/>
      <c r="AW208" s="218">
        <f>AS208/V208*100</f>
        <v>14.842389085782015</v>
      </c>
      <c r="AX208" s="1480"/>
      <c r="AY208" s="1480"/>
      <c r="AZ208" s="1601">
        <v>0.72815750152340775</v>
      </c>
      <c r="BA208" s="1602">
        <f>(AZ208/AZ201-1)*100</f>
        <v>-15.131169768961239</v>
      </c>
      <c r="BB208" s="256"/>
      <c r="BC208" s="1601">
        <v>5.79979190129166E-2</v>
      </c>
      <c r="BD208" s="1602">
        <f>(BC208/BC201-1)*100</f>
        <v>-17.80549725468784</v>
      </c>
      <c r="BF208" s="1601">
        <v>0.25609078459288342</v>
      </c>
      <c r="BG208" s="1602">
        <f>(BF208/BF201-1)*100</f>
        <v>-33.15233447731805</v>
      </c>
      <c r="BH208" s="256"/>
      <c r="BI208" s="298">
        <f>AZ204*BA208+BC204*BD208+BF204*BG208</f>
        <v>-2.2296502161570171</v>
      </c>
      <c r="BJ208" s="1167"/>
      <c r="BK208" s="298">
        <f>F208</f>
        <v>-2</v>
      </c>
      <c r="BL208" s="256"/>
      <c r="BM208" s="256"/>
      <c r="BN208" s="256">
        <v>0.87202674318257289</v>
      </c>
      <c r="BO208" s="929">
        <f>BN208/AZ201-1</f>
        <v>1.6372000140800758E-2</v>
      </c>
      <c r="BP208" s="2049">
        <v>7.0561798022708302E-2</v>
      </c>
      <c r="BQ208" s="1815">
        <f>BP208/BC201-1</f>
        <v>0</v>
      </c>
      <c r="BR208">
        <v>0.38309607761244818</v>
      </c>
      <c r="BS208" s="1815">
        <f>BR208/BF201-1</f>
        <v>0</v>
      </c>
      <c r="BT208" s="1815">
        <f>$AZ$204*BO208+$BC$204*BQ208+$BF$204*BS208</f>
        <v>1.3097600112640607E-3</v>
      </c>
    </row>
    <row r="209" spans="1:73">
      <c r="A209" s="256"/>
      <c r="B209" s="302" t="str">
        <f>$B$44</f>
        <v>Year</v>
      </c>
      <c r="C209" s="256"/>
      <c r="D209" s="145">
        <f>(V209/V202-1)*100</f>
        <v>-4.2717796451418266</v>
      </c>
      <c r="E209" s="256"/>
      <c r="F209" s="217">
        <f>F205*V198/V202+F206*V199/V202+F207*V200/V202+F208*V201/V202</f>
        <v>-2</v>
      </c>
      <c r="G209" s="256"/>
      <c r="H209" s="2455">
        <f>'segSales&amp;comps'!G219</f>
        <v>-4</v>
      </c>
      <c r="I209" s="256"/>
      <c r="J209" s="145">
        <f>D209-H209-F209</f>
        <v>1.7282203548581734</v>
      </c>
      <c r="K209" s="256"/>
      <c r="L209" s="923">
        <f>L208</f>
        <v>124</v>
      </c>
      <c r="M209" s="256"/>
      <c r="N209" s="177">
        <f>AVERAGE(N205:N208)</f>
        <v>123.75</v>
      </c>
      <c r="O209" s="256"/>
      <c r="P209" s="288">
        <f>(N209/N202-1)*100</f>
        <v>1.747173689619741</v>
      </c>
      <c r="Q209" s="643"/>
      <c r="R209" s="259">
        <f>J209/P209*100</f>
        <v>98.915200310411464</v>
      </c>
      <c r="S209" s="587"/>
      <c r="T209" s="256"/>
      <c r="U209" s="256"/>
      <c r="V209" s="296">
        <f>SUM(V205:V208)</f>
        <v>1947</v>
      </c>
      <c r="W209" s="256"/>
      <c r="X209" s="918">
        <f>V209/N209</f>
        <v>15.733333333333333</v>
      </c>
      <c r="Y209" s="256"/>
      <c r="Z209" s="219">
        <f>(X209/X202-1)*100</f>
        <v>-5.9155975704272779</v>
      </c>
      <c r="AA209" s="643"/>
      <c r="AB209" s="256"/>
      <c r="AC209" s="256"/>
      <c r="AD209" s="256"/>
      <c r="AE209" s="254">
        <f>AVERAGE(AE205:AE208)</f>
        <v>0.74232499999999968</v>
      </c>
      <c r="AF209" s="256"/>
      <c r="AG209" s="1122" t="s">
        <v>1086</v>
      </c>
      <c r="AH209" s="643"/>
      <c r="AI209" s="1122" t="s">
        <v>1086</v>
      </c>
      <c r="AJ209" s="587"/>
      <c r="AK209" s="256"/>
      <c r="AL209" s="141">
        <f>SUM(AL205:AL208)</f>
        <v>1947</v>
      </c>
      <c r="AM209" s="256"/>
      <c r="AN209" s="919">
        <f>AL209/AE209</f>
        <v>2622.8404000942996</v>
      </c>
      <c r="AO209" s="256"/>
      <c r="AP209" s="1122" t="s">
        <v>1086</v>
      </c>
      <c r="AQ209" s="643"/>
      <c r="AR209" s="643"/>
      <c r="AS209" s="141">
        <f>qtrSales!AN191</f>
        <v>214.37498563561016</v>
      </c>
      <c r="AT209" s="141"/>
      <c r="AU209" s="219">
        <f>((AS209/AS202)-1)*100</f>
        <v>5.0000000000000044</v>
      </c>
      <c r="AV209" s="141"/>
      <c r="AW209" s="219">
        <f>AS209/V209*100</f>
        <v>11.010528281233187</v>
      </c>
      <c r="AX209" s="141"/>
      <c r="AY209" s="141"/>
      <c r="AZ209" s="1017">
        <v>0.77255388145285131</v>
      </c>
      <c r="BA209" s="1167">
        <f>(AZ209/AZ202-1)*100</f>
        <v>-14.064226921813372</v>
      </c>
      <c r="BB209" s="1167"/>
      <c r="BC209" s="1017">
        <v>6.2140163539997212E-2</v>
      </c>
      <c r="BD209" s="1167">
        <f>(BC209/BC202-1)*100</f>
        <v>-16.892286568698989</v>
      </c>
      <c r="BF209" s="1017">
        <v>0.29490909583955432</v>
      </c>
      <c r="BG209" s="1167">
        <f>(BF209/BF202-1)*100</f>
        <v>-30.389467682506254</v>
      </c>
      <c r="BH209" s="256"/>
      <c r="BI209" s="297">
        <f>AZ204*BA209+BC204*BD209+BF204*BG209</f>
        <v>-2.0707732387691746</v>
      </c>
      <c r="BJ209" s="256"/>
      <c r="BK209" s="297">
        <f>F209</f>
        <v>-2</v>
      </c>
      <c r="BL209" s="256"/>
      <c r="BM209" s="256"/>
      <c r="BN209" s="302"/>
      <c r="BO209" s="587"/>
      <c r="BP209" s="587"/>
    </row>
    <row r="210" spans="1:73" ht="13.5" thickBot="1">
      <c r="A210" s="256"/>
      <c r="B210" s="302"/>
      <c r="C210" s="256"/>
      <c r="D210" s="145"/>
      <c r="E210" s="256"/>
      <c r="F210" s="217"/>
      <c r="G210" s="256"/>
      <c r="H210" s="2085"/>
      <c r="I210" s="256"/>
      <c r="J210" s="145"/>
      <c r="K210" s="256"/>
      <c r="L210" s="1030"/>
      <c r="M210" s="256"/>
      <c r="N210" s="177"/>
      <c r="O210" s="256"/>
      <c r="P210" s="288"/>
      <c r="Q210" s="643"/>
      <c r="R210" s="259"/>
      <c r="S210" s="587"/>
      <c r="T210" s="256"/>
      <c r="U210" s="256"/>
      <c r="V210" s="296"/>
      <c r="W210" s="256"/>
      <c r="X210" s="1031"/>
      <c r="Y210" s="256"/>
      <c r="Z210" s="219"/>
      <c r="AA210" s="643"/>
      <c r="AB210" s="256"/>
      <c r="AC210" s="256"/>
      <c r="AD210" s="256"/>
      <c r="AE210" s="254"/>
      <c r="AF210" s="256"/>
      <c r="AG210" s="1122"/>
      <c r="AH210" s="643"/>
      <c r="AI210" s="1122"/>
      <c r="AJ210" s="587"/>
      <c r="AK210" s="256"/>
      <c r="AL210" s="141"/>
      <c r="AM210" s="256"/>
      <c r="AN210" s="1032"/>
      <c r="AO210" s="256"/>
      <c r="AP210" s="1122"/>
      <c r="AQ210" s="643"/>
      <c r="AR210" s="643"/>
      <c r="AS210" s="141"/>
      <c r="AT210" s="141"/>
      <c r="AU210" s="219"/>
      <c r="AV210" s="141"/>
      <c r="AW210" s="219"/>
      <c r="AX210" s="141"/>
      <c r="AY210" s="141"/>
      <c r="AZ210" s="1017"/>
      <c r="BA210" s="1167"/>
      <c r="BB210" s="1167"/>
      <c r="BC210" s="1017"/>
      <c r="BD210" s="1167"/>
      <c r="BF210" s="1017"/>
      <c r="BG210" s="1167"/>
      <c r="BH210" s="256"/>
      <c r="BI210" s="297"/>
      <c r="BJ210" s="256"/>
      <c r="BK210" s="297"/>
      <c r="BL210" s="256"/>
      <c r="BM210" s="256"/>
      <c r="BN210" s="302"/>
      <c r="BO210" s="587"/>
      <c r="BP210" s="587"/>
    </row>
    <row r="211" spans="1:73" ht="13.5" thickBot="1">
      <c r="A211" s="810"/>
      <c r="B211" s="171">
        <f>+B204+1</f>
        <v>2016</v>
      </c>
      <c r="C211" s="256"/>
      <c r="D211" s="256"/>
      <c r="E211" s="643"/>
      <c r="F211" s="256"/>
      <c r="G211" s="643"/>
      <c r="H211" s="2091"/>
      <c r="I211" s="643"/>
      <c r="J211" s="256"/>
      <c r="K211" s="643"/>
      <c r="L211" s="256"/>
      <c r="M211" s="256"/>
      <c r="N211" s="256"/>
      <c r="O211" s="256"/>
      <c r="P211" s="256"/>
      <c r="Q211" s="643"/>
      <c r="R211" s="587"/>
      <c r="S211" s="587"/>
      <c r="T211" s="256"/>
      <c r="U211" s="256"/>
      <c r="V211" s="256"/>
      <c r="W211" s="256"/>
      <c r="X211" s="256"/>
      <c r="Y211" s="256"/>
      <c r="Z211" s="256"/>
      <c r="AA211" s="643"/>
      <c r="AB211" s="256"/>
      <c r="AC211" s="256"/>
      <c r="AD211" s="256"/>
      <c r="AE211" s="256"/>
      <c r="AF211" s="256"/>
      <c r="AG211" s="256"/>
      <c r="AH211" s="643"/>
      <c r="AI211" s="587"/>
      <c r="AJ211" s="587"/>
      <c r="AK211" s="256"/>
      <c r="AL211" s="256"/>
      <c r="AM211" s="256"/>
      <c r="AN211" s="256"/>
      <c r="AO211" s="256"/>
      <c r="AP211" s="289"/>
      <c r="AQ211" s="643"/>
      <c r="AR211" s="643"/>
      <c r="AS211" s="317"/>
      <c r="AT211" s="317"/>
      <c r="AU211" s="317"/>
      <c r="AV211" s="317"/>
      <c r="AW211" s="317"/>
      <c r="AX211" s="317"/>
      <c r="AY211" s="317"/>
      <c r="AZ211" s="1605">
        <v>0.08</v>
      </c>
      <c r="BA211" s="238"/>
      <c r="BB211" s="256"/>
      <c r="BC211" s="1605">
        <v>0.02</v>
      </c>
      <c r="BD211" s="238"/>
      <c r="BF211" s="1605">
        <v>0.02</v>
      </c>
      <c r="BG211" s="238"/>
      <c r="BH211" s="256"/>
      <c r="BI211" s="256"/>
      <c r="BJ211" s="256"/>
      <c r="BK211" s="256"/>
      <c r="BL211" s="256"/>
      <c r="BM211" s="256"/>
      <c r="BN211" s="256"/>
      <c r="BO211" s="587"/>
      <c r="BP211" s="587"/>
    </row>
    <row r="212" spans="1:73">
      <c r="A212" s="256" t="str">
        <f>$A$40</f>
        <v>1Q</v>
      </c>
      <c r="B212" s="302" t="str">
        <f>$B$40</f>
        <v>Apr</v>
      </c>
      <c r="C212" s="256"/>
      <c r="D212" s="145">
        <f>(V212/V205-1)*100</f>
        <v>-9.0827135451881915</v>
      </c>
      <c r="E212" s="643" t="s">
        <v>1970</v>
      </c>
      <c r="F212" s="1124">
        <v>-1</v>
      </c>
      <c r="G212" s="643"/>
      <c r="H212" s="2085">
        <f>'segSales&amp;comps'!G222</f>
        <v>-9</v>
      </c>
      <c r="I212" s="643" t="s">
        <v>1970</v>
      </c>
      <c r="J212" s="145">
        <f>D212-H212-F212</f>
        <v>0.91728645481180848</v>
      </c>
      <c r="K212" s="643" t="s">
        <v>1970</v>
      </c>
      <c r="L212" s="725">
        <f>Stores!D296</f>
        <v>124</v>
      </c>
      <c r="M212" s="256"/>
      <c r="N212" s="177">
        <f>AVERAGE(L212,L209)</f>
        <v>124</v>
      </c>
      <c r="O212" s="256"/>
      <c r="P212" s="288">
        <f>(N212/N205-1)*100</f>
        <v>1.2244897959183598</v>
      </c>
      <c r="Q212" s="643" t="s">
        <v>1970</v>
      </c>
      <c r="R212" s="259">
        <f>J212/P212*100</f>
        <v>74.911727142964821</v>
      </c>
      <c r="S212" s="587" t="s">
        <v>1970</v>
      </c>
      <c r="T212" s="256"/>
      <c r="U212" s="256"/>
      <c r="V212" s="296">
        <f>'segSales&amp;comps'!E222</f>
        <v>403.4</v>
      </c>
      <c r="W212" s="238"/>
      <c r="X212" s="143">
        <f>V212/N212</f>
        <v>3.2532258064516126</v>
      </c>
      <c r="Y212" s="256"/>
      <c r="Z212" s="219">
        <f>(X212/X205-1)*100</f>
        <v>-10.182519429722214</v>
      </c>
      <c r="AA212" s="643" t="s">
        <v>1970</v>
      </c>
      <c r="AB212" s="256"/>
      <c r="AC212" s="236">
        <f>AC208+(L212-L209)*yrSales!$AB$85/1000000</f>
        <v>0.74369999999999969</v>
      </c>
      <c r="AD212" s="256"/>
      <c r="AE212" s="254">
        <f>AVERAGE(AC212,AC208)</f>
        <v>0.74369999999999969</v>
      </c>
      <c r="AF212" s="256"/>
      <c r="AG212" s="1122" t="s">
        <v>1086</v>
      </c>
      <c r="AH212" s="643" t="s">
        <v>1970</v>
      </c>
      <c r="AI212" s="1122" t="s">
        <v>1086</v>
      </c>
      <c r="AJ212" s="587" t="s">
        <v>1970</v>
      </c>
      <c r="AK212" s="256"/>
      <c r="AL212" s="141">
        <f>+V212</f>
        <v>403.4</v>
      </c>
      <c r="AM212" s="256" t="s">
        <v>700</v>
      </c>
      <c r="AN212" s="244">
        <f>AL212/AE212</f>
        <v>542.42302003496047</v>
      </c>
      <c r="AO212" s="256"/>
      <c r="AP212" s="1122" t="s">
        <v>1086</v>
      </c>
      <c r="AQ212" s="643" t="s">
        <v>1970</v>
      </c>
      <c r="AR212" s="643"/>
      <c r="AS212" s="141">
        <f>qtrSales!AN194</f>
        <v>47.133315182871286</v>
      </c>
      <c r="AT212" s="141"/>
      <c r="AU212" s="219">
        <f>((AS212/AS205)-1)*100</f>
        <v>5.0000000000000044</v>
      </c>
      <c r="AV212" s="141" t="s">
        <v>1970</v>
      </c>
      <c r="AW212" s="219">
        <f>AS212/V212*100</f>
        <v>11.684014671014202</v>
      </c>
      <c r="AX212" s="141" t="s">
        <v>1970</v>
      </c>
      <c r="AY212" s="141"/>
      <c r="AZ212" s="1017">
        <v>0.75265087778736528</v>
      </c>
      <c r="BA212" s="1167">
        <f>(AZ212/AZ205-1)*100</f>
        <v>-6.0007631898717158</v>
      </c>
      <c r="BB212" s="1167"/>
      <c r="BC212" s="1017">
        <v>6.6107560400589169E-2</v>
      </c>
      <c r="BD212" s="1167">
        <f>(BC212/BC205-1)*100</f>
        <v>-0.28021106066364876</v>
      </c>
      <c r="BF212" s="1017">
        <v>0.3305367228768698</v>
      </c>
      <c r="BG212" s="1167">
        <f>(BF212/BF205-1)*100</f>
        <v>-2.5763929461812274</v>
      </c>
      <c r="BH212" s="256"/>
      <c r="BI212" s="297">
        <f>AZ211*BA212+BC211*BD212+BF211*BG212</f>
        <v>-0.53719313532663482</v>
      </c>
      <c r="BJ212" s="1167"/>
      <c r="BK212" s="297">
        <f>F212</f>
        <v>-1</v>
      </c>
      <c r="BL212" s="256"/>
      <c r="BM212" s="256"/>
      <c r="BN212" s="256">
        <v>0.87202674318257289</v>
      </c>
      <c r="BO212" s="929">
        <f>BN212/AZ205-1</f>
        <v>8.9081946973311732E-2</v>
      </c>
      <c r="BP212" s="2049">
        <v>7.0561798022708302E-2</v>
      </c>
      <c r="BQ212" s="1815">
        <f>BP212/BC205-1</f>
        <v>6.4387728629877294E-2</v>
      </c>
      <c r="BR212">
        <v>0.38309607761244818</v>
      </c>
      <c r="BS212" s="1815">
        <f>BR212/BF205-1</f>
        <v>0.12915144206465889</v>
      </c>
      <c r="BT212" s="1815">
        <f>$AZ$204*BO212+$BC$204*BQ212+$BF$204*BS212</f>
        <v>1.0997339171755664E-2</v>
      </c>
    </row>
    <row r="213" spans="1:73">
      <c r="A213" s="256" t="str">
        <f>$A$41</f>
        <v>2Q</v>
      </c>
      <c r="B213" s="302" t="str">
        <f>$B$41</f>
        <v>Jul</v>
      </c>
      <c r="C213" s="256"/>
      <c r="D213" s="145">
        <f>(V213/V206-1)*100</f>
        <v>-8.5335018963337497</v>
      </c>
      <c r="E213" s="256"/>
      <c r="F213" s="1732">
        <v>-1</v>
      </c>
      <c r="G213" s="256"/>
      <c r="H213" s="2085">
        <f>'segSales&amp;comps'!G223</f>
        <v>-9</v>
      </c>
      <c r="I213" s="256"/>
      <c r="J213" s="145">
        <f>D213-H213-F213</f>
        <v>1.4664981036662503</v>
      </c>
      <c r="K213" s="256"/>
      <c r="L213" s="725">
        <f>Stores!D297</f>
        <v>125</v>
      </c>
      <c r="M213" s="256"/>
      <c r="N213" s="177">
        <f>AVERAGE(L213,L212)</f>
        <v>124.5</v>
      </c>
      <c r="O213" s="256"/>
      <c r="P213" s="288">
        <f>(N213/N206-1)*100</f>
        <v>0.80971659919029104</v>
      </c>
      <c r="Q213" s="643"/>
      <c r="R213" s="259">
        <f>J213/P213*100</f>
        <v>181.11251580278019</v>
      </c>
      <c r="S213" s="587"/>
      <c r="T213" s="256"/>
      <c r="U213" s="256"/>
      <c r="V213" s="315">
        <f>'segSales&amp;comps'!E223</f>
        <v>434.1</v>
      </c>
      <c r="W213" s="238"/>
      <c r="X213" s="147">
        <f>V213/N213</f>
        <v>3.4867469879518076</v>
      </c>
      <c r="Y213" s="256"/>
      <c r="Z213" s="219">
        <f>(X213/X206-1)*100</f>
        <v>-9.2681725638330761</v>
      </c>
      <c r="AA213" s="643"/>
      <c r="AB213" s="256"/>
      <c r="AC213" s="236">
        <f>AC212+(L213-L212)*yrSales!$AB$85/1000000</f>
        <v>0.74989999999999968</v>
      </c>
      <c r="AD213" s="238"/>
      <c r="AE213" s="254">
        <f>AVERAGE(AC213,AC212)</f>
        <v>0.74679999999999969</v>
      </c>
      <c r="AF213" s="256"/>
      <c r="AG213" s="1122" t="s">
        <v>1086</v>
      </c>
      <c r="AH213" s="643"/>
      <c r="AI213" s="1122" t="s">
        <v>1086</v>
      </c>
      <c r="AJ213" s="587"/>
      <c r="AK213" s="256"/>
      <c r="AL213" s="142">
        <f>+V213</f>
        <v>434.1</v>
      </c>
      <c r="AM213" s="256"/>
      <c r="AN213" s="245">
        <f>AL213/AE213</f>
        <v>581.28012854847373</v>
      </c>
      <c r="AO213" s="256"/>
      <c r="AP213" s="1122" t="s">
        <v>1086</v>
      </c>
      <c r="AQ213" s="643"/>
      <c r="AR213" s="643"/>
      <c r="AS213" s="141">
        <f>qtrSales!AN195</f>
        <v>45.612945974182672</v>
      </c>
      <c r="AT213" s="142"/>
      <c r="AU213" s="219">
        <f>((AS213/AS206)-1)*100</f>
        <v>5.0000000000000044</v>
      </c>
      <c r="AV213" s="142"/>
      <c r="AW213" s="219">
        <f>AS213/V213*100</f>
        <v>10.507474308726716</v>
      </c>
      <c r="AX213" s="142"/>
      <c r="AY213" s="142"/>
      <c r="AZ213" s="1017">
        <v>0.76094819928837643</v>
      </c>
      <c r="BA213" s="1167">
        <f>(AZ213/AZ206-1)*100</f>
        <v>-5.0620634309032404</v>
      </c>
      <c r="BB213" s="1167"/>
      <c r="BC213" s="1017">
        <v>5.3887335376884789E-2</v>
      </c>
      <c r="BD213" s="1167">
        <f>(BC213/BC206-1)*100</f>
        <v>-16.058662230112553</v>
      </c>
      <c r="BF213" s="1017">
        <v>0.27741177147472956</v>
      </c>
      <c r="BG213" s="1167">
        <f>(BF213/BF206-1)*100</f>
        <v>-13.004773909402079</v>
      </c>
      <c r="BH213" s="256"/>
      <c r="BI213" s="297">
        <f>AZ211*BA213+BC211*BD213+BF211*BG213</f>
        <v>-0.98623379726255189</v>
      </c>
      <c r="BJ213" s="1167"/>
      <c r="BK213" s="297">
        <f>F213</f>
        <v>-1</v>
      </c>
      <c r="BL213" s="256"/>
      <c r="BM213" s="256"/>
      <c r="BN213" s="256">
        <v>0.87202674318257289</v>
      </c>
      <c r="BO213" s="929">
        <f>BN213/AZ206-1</f>
        <v>8.7963933790042637E-2</v>
      </c>
      <c r="BP213" s="2049">
        <v>7.0561798022708302E-2</v>
      </c>
      <c r="BQ213" s="1815">
        <f>BP213/BC206-1</f>
        <v>9.9154686356129007E-2</v>
      </c>
      <c r="BR213">
        <v>0.38309607761244818</v>
      </c>
      <c r="BS213" s="1815">
        <f>BR213/BF206-1</f>
        <v>0.20137403359439299</v>
      </c>
      <c r="BT213" s="1815">
        <f>$AZ$204*BO213+$BC$204*BQ213+$BF$204*BS213</f>
        <v>1.3047689102213851E-2</v>
      </c>
    </row>
    <row r="214" spans="1:73">
      <c r="A214" s="256" t="str">
        <f>$A$42</f>
        <v>3Q</v>
      </c>
      <c r="B214" s="302" t="str">
        <f>$B$42</f>
        <v>Oct</v>
      </c>
      <c r="C214" s="256"/>
      <c r="D214" s="145">
        <f>(V214/V207-1)*100</f>
        <v>-1.8819101387908765</v>
      </c>
      <c r="E214" s="256"/>
      <c r="F214" s="297">
        <v>0</v>
      </c>
      <c r="G214" s="256"/>
      <c r="H214" s="2085">
        <f>'segSales&amp;comps'!G224</f>
        <v>-2</v>
      </c>
      <c r="I214" s="256"/>
      <c r="J214" s="145">
        <f>D214-H214-F214</f>
        <v>0.11808986120912346</v>
      </c>
      <c r="K214" s="256"/>
      <c r="L214" s="725">
        <f>Stores!D298</f>
        <v>125</v>
      </c>
      <c r="M214" s="238"/>
      <c r="N214" s="177">
        <f>AVERAGE(L214,L213)</f>
        <v>125</v>
      </c>
      <c r="O214" s="256"/>
      <c r="P214" s="288">
        <f>(N214/N207-1)*100</f>
        <v>0.40160642570281624</v>
      </c>
      <c r="Q214" s="643"/>
      <c r="R214" s="259">
        <f>J214/P214*100</f>
        <v>29.404375441071373</v>
      </c>
      <c r="S214" s="587"/>
      <c r="T214" s="256"/>
      <c r="U214" s="256"/>
      <c r="V214" s="315">
        <f>'segSales&amp;comps'!E224</f>
        <v>417.1</v>
      </c>
      <c r="W214" s="256"/>
      <c r="X214" s="147">
        <f>V214/N214</f>
        <v>3.3368000000000002</v>
      </c>
      <c r="Y214" s="256"/>
      <c r="Z214" s="219">
        <f>(X214/X207-1)*100</f>
        <v>-2.2743824982357164</v>
      </c>
      <c r="AA214" s="643"/>
      <c r="AB214" s="256"/>
      <c r="AC214" s="236">
        <f>AC213+(L214-L213)*yrSales!$AB$85/1000000</f>
        <v>0.74989999999999968</v>
      </c>
      <c r="AD214" s="238"/>
      <c r="AE214" s="254">
        <f>AVERAGE(AC214,AC213)</f>
        <v>0.74989999999999968</v>
      </c>
      <c r="AF214" s="256"/>
      <c r="AG214" s="1122" t="s">
        <v>1086</v>
      </c>
      <c r="AH214" s="643"/>
      <c r="AI214" s="1122" t="s">
        <v>1086</v>
      </c>
      <c r="AJ214" s="587"/>
      <c r="AK214" s="256"/>
      <c r="AL214" s="142">
        <f>+V214</f>
        <v>417.1</v>
      </c>
      <c r="AM214" s="256"/>
      <c r="AN214" s="245">
        <f>AL214/AE214</f>
        <v>556.20749433257799</v>
      </c>
      <c r="AO214" s="256"/>
      <c r="AP214" s="1122" t="s">
        <v>1086</v>
      </c>
      <c r="AQ214" s="643"/>
      <c r="AR214" s="643"/>
      <c r="AS214" s="141">
        <f>qtrSales!AN196</f>
        <v>38.279380212467451</v>
      </c>
      <c r="AT214" s="142"/>
      <c r="AU214" s="219">
        <f>((AS214/AS207)-1)*100</f>
        <v>5.0000000000000044</v>
      </c>
      <c r="AV214" s="142"/>
      <c r="AW214" s="219">
        <f>AS214/V214*100</f>
        <v>9.1775066440823423</v>
      </c>
      <c r="AX214" s="142"/>
      <c r="AY214" s="142"/>
      <c r="AZ214" s="1017">
        <v>0.76094819928837643</v>
      </c>
      <c r="BA214" s="1167">
        <f>(AZ214/AZ207-1)*100</f>
        <v>0.1461940704610365</v>
      </c>
      <c r="BB214" s="1167"/>
      <c r="BC214" s="1017">
        <v>5.3887335376884789E-2</v>
      </c>
      <c r="BD214" s="1167">
        <f>(BC214/BC207-1)*100</f>
        <v>-10.29690056461825</v>
      </c>
      <c r="BF214" s="1017">
        <v>0.27741177147472956</v>
      </c>
      <c r="BG214" s="1167">
        <f>(BF214/BF207-1)*100</f>
        <v>4.5313704603934912</v>
      </c>
      <c r="BH214" s="256"/>
      <c r="BI214" s="297">
        <f>AZ211*BA214+BC211*BD214+BF211*BG214</f>
        <v>-0.10361507644761225</v>
      </c>
      <c r="BJ214" s="1167"/>
      <c r="BK214" s="297">
        <f>F214</f>
        <v>0</v>
      </c>
      <c r="BL214" s="256"/>
      <c r="BM214" s="256"/>
      <c r="BN214" s="256">
        <v>0.87202674318257289</v>
      </c>
      <c r="BO214" s="929">
        <f>BN214/AZ207-1</f>
        <v>0.14764920317918406</v>
      </c>
      <c r="BP214" s="2049">
        <v>7.0561798022708302E-2</v>
      </c>
      <c r="BQ214" s="1815">
        <f>BP214/BC207-1</f>
        <v>0.17460103382388459</v>
      </c>
      <c r="BR214">
        <v>0.38309607761244818</v>
      </c>
      <c r="BS214" s="1815">
        <f>BR214/BF207-1</f>
        <v>0.44354213225873762</v>
      </c>
      <c r="BT214" s="1815">
        <f>$AZ$204*BO214+$BC$204*BQ214+$BF$204*BS214</f>
        <v>2.4174799575987171E-2</v>
      </c>
    </row>
    <row r="215" spans="1:73">
      <c r="A215" s="256" t="str">
        <f>$A$43</f>
        <v>4Q</v>
      </c>
      <c r="B215" s="302" t="str">
        <f>$B$43</f>
        <v>Jan</v>
      </c>
      <c r="C215" s="256"/>
      <c r="D215" s="176">
        <f>(V215/V208-1)*100</f>
        <v>-2.7004638833664774</v>
      </c>
      <c r="E215" s="256"/>
      <c r="F215" s="218">
        <v>0</v>
      </c>
      <c r="G215" s="256"/>
      <c r="H215" s="2095">
        <f>'segSales&amp;comps'!G225</f>
        <v>-2</v>
      </c>
      <c r="I215" s="256"/>
      <c r="J215" s="176">
        <f>D215-H215-F215</f>
        <v>-0.70046388336647736</v>
      </c>
      <c r="K215" s="256"/>
      <c r="L215" s="917">
        <f>Stores!D299</f>
        <v>125</v>
      </c>
      <c r="M215" s="238"/>
      <c r="N215" s="178">
        <f>AVERAGE(L215,L214)</f>
        <v>125</v>
      </c>
      <c r="O215" s="256"/>
      <c r="P215" s="318">
        <f>(N215/N208-1)*100</f>
        <v>0.40160642570281624</v>
      </c>
      <c r="Q215" s="643"/>
      <c r="R215" s="178">
        <f>J215/P215*100</f>
        <v>-174.41550695825069</v>
      </c>
      <c r="S215" s="587"/>
      <c r="T215" s="256"/>
      <c r="U215" s="256"/>
      <c r="V215" s="316">
        <f>'segSales&amp;comps'!E225</f>
        <v>587.29999999999995</v>
      </c>
      <c r="W215" s="256"/>
      <c r="X215" s="148">
        <f>V215/N215</f>
        <v>4.6983999999999995</v>
      </c>
      <c r="Y215" s="256"/>
      <c r="Z215" s="218">
        <f>(X215/X208-1)*100</f>
        <v>-3.0896620278330178</v>
      </c>
      <c r="AA215" s="643"/>
      <c r="AB215" s="256"/>
      <c r="AC215" s="236">
        <f>AC214+(L215-L214)*yrSales!$AB$85/1000000</f>
        <v>0.74989999999999968</v>
      </c>
      <c r="AD215" s="238"/>
      <c r="AE215" s="255">
        <f>AVERAGE(AC215,AC214)</f>
        <v>0.74989999999999968</v>
      </c>
      <c r="AF215" s="256"/>
      <c r="AG215" s="1123" t="s">
        <v>1086</v>
      </c>
      <c r="AH215" s="643"/>
      <c r="AI215" s="1123" t="s">
        <v>1086</v>
      </c>
      <c r="AJ215" s="587"/>
      <c r="AK215" s="256"/>
      <c r="AL215" s="146">
        <f>+V215</f>
        <v>587.29999999999995</v>
      </c>
      <c r="AM215" s="256"/>
      <c r="AN215" s="257">
        <f>AL215/AE215</f>
        <v>783.17108947859742</v>
      </c>
      <c r="AO215" s="256"/>
      <c r="AP215" s="1123" t="s">
        <v>1086</v>
      </c>
      <c r="AQ215" s="643"/>
      <c r="AR215" s="643"/>
      <c r="AS215" s="1995">
        <f>qtrSales!AN197</f>
        <v>94.068093547869253</v>
      </c>
      <c r="AT215" s="1480"/>
      <c r="AU215" s="218">
        <f>((AS215/AS208)-1)*100</f>
        <v>5.0000000000000044</v>
      </c>
      <c r="AV215" s="1480"/>
      <c r="AW215" s="218">
        <f>AS215/V215*100</f>
        <v>16.017043001510174</v>
      </c>
      <c r="AX215" s="1480"/>
      <c r="AY215" s="1480"/>
      <c r="AZ215" s="1601">
        <v>0.76094819928837643</v>
      </c>
      <c r="BA215" s="1602">
        <f>(AZ215/AZ208-1)*100</f>
        <v>4.5032424573482999</v>
      </c>
      <c r="BB215" s="256"/>
      <c r="BC215" s="1601">
        <v>5.3887335376884789E-2</v>
      </c>
      <c r="BD215" s="1602">
        <f>(BC215/BC208-1)*100</f>
        <v>-7.0874674574381791</v>
      </c>
      <c r="BF215" s="1017">
        <v>0.27741177147472956</v>
      </c>
      <c r="BG215" s="1602">
        <f>(BF215/BF208-1)*100</f>
        <v>8.3255580304230303</v>
      </c>
      <c r="BH215" s="256"/>
      <c r="BI215" s="298">
        <f>AZ211*BA215+BC211*BD215+BF211*BG215</f>
        <v>0.38502120804756101</v>
      </c>
      <c r="BJ215" s="1167"/>
      <c r="BK215" s="298">
        <f>F215</f>
        <v>0</v>
      </c>
      <c r="BL215" s="256"/>
      <c r="BM215" s="256"/>
      <c r="BN215" s="256">
        <v>0.87202674318257289</v>
      </c>
      <c r="BO215" s="929">
        <f>BN215/AZ208-1</f>
        <v>0.19757983864503292</v>
      </c>
      <c r="BP215" s="2049">
        <v>7.0561798022708302E-2</v>
      </c>
      <c r="BQ215" s="1815">
        <f>BP215/BC208-1</f>
        <v>0.21662637597382806</v>
      </c>
      <c r="BR215">
        <v>0.38309607761244818</v>
      </c>
      <c r="BS215" s="1815">
        <f>BR215/BF208-1</f>
        <v>0.49593855249992513</v>
      </c>
      <c r="BT215" s="1815">
        <f>$AZ$204*BO215+$BC$204*BQ215+$BF$204*BS215</f>
        <v>3.00576856610777E-2</v>
      </c>
    </row>
    <row r="216" spans="1:73">
      <c r="A216" s="256"/>
      <c r="B216" s="302" t="str">
        <f>$B$44</f>
        <v>Year</v>
      </c>
      <c r="C216" s="256"/>
      <c r="D216" s="145">
        <f>(V216/V209-1)*100</f>
        <v>-5.3980482794042217</v>
      </c>
      <c r="E216" s="256"/>
      <c r="F216" s="217">
        <v>0</v>
      </c>
      <c r="G216" s="256"/>
      <c r="H216" s="2226">
        <f>'segSales&amp;comps'!G226</f>
        <v>-5</v>
      </c>
      <c r="I216" s="256"/>
      <c r="J216" s="145">
        <f>D216-H216-F216</f>
        <v>-0.39804827940422172</v>
      </c>
      <c r="K216" s="256"/>
      <c r="L216" s="923">
        <f>Stores!D300</f>
        <v>125</v>
      </c>
      <c r="M216" s="256"/>
      <c r="N216" s="177">
        <f>AVERAGE(N212:N215)</f>
        <v>124.625</v>
      </c>
      <c r="O216" s="256"/>
      <c r="P216" s="288">
        <f>(N216/N209-1)*100</f>
        <v>0.70707070707070052</v>
      </c>
      <c r="Q216" s="643"/>
      <c r="R216" s="259">
        <f>J216/P216*100</f>
        <v>-56.295399515740449</v>
      </c>
      <c r="S216" s="587"/>
      <c r="T216" s="256"/>
      <c r="U216" s="256"/>
      <c r="V216" s="296">
        <f>SUM(V212:V215)</f>
        <v>1841.8999999999999</v>
      </c>
      <c r="W216" s="256"/>
      <c r="X216" s="918">
        <f>V216/N216</f>
        <v>14.779538615847542</v>
      </c>
      <c r="Y216" s="256"/>
      <c r="Z216" s="219">
        <f>(X216/X209-1)*100</f>
        <v>-6.062254560291036</v>
      </c>
      <c r="AA216" s="643"/>
      <c r="AB216" s="256"/>
      <c r="AC216" s="256"/>
      <c r="AD216" s="256"/>
      <c r="AE216" s="254">
        <f>AVERAGE(AE212:AE215)</f>
        <v>0.74757499999999977</v>
      </c>
      <c r="AF216" s="256"/>
      <c r="AG216" s="1122" t="s">
        <v>1086</v>
      </c>
      <c r="AH216" s="643"/>
      <c r="AI216" s="1122" t="s">
        <v>1086</v>
      </c>
      <c r="AJ216" s="587"/>
      <c r="AK216" s="256"/>
      <c r="AL216" s="141">
        <f>SUM(AL212:AL215)</f>
        <v>1841.8999999999999</v>
      </c>
      <c r="AM216" s="256"/>
      <c r="AN216" s="919">
        <f>AL216/AE216</f>
        <v>2463.8330602280712</v>
      </c>
      <c r="AO216" s="256"/>
      <c r="AP216" s="1122" t="s">
        <v>1086</v>
      </c>
      <c r="AQ216" s="643"/>
      <c r="AR216" s="643"/>
      <c r="AS216" s="141">
        <f>qtrSales!AN198</f>
        <v>225.09373491739069</v>
      </c>
      <c r="AT216" s="141"/>
      <c r="AU216" s="219">
        <f>((AS216/AS209)-1)*100</f>
        <v>5.0000000000000044</v>
      </c>
      <c r="AV216" s="141"/>
      <c r="AW216" s="219">
        <f>AS216/V216*100</f>
        <v>12.220735920375194</v>
      </c>
      <c r="AX216" s="141"/>
      <c r="AY216" s="141"/>
      <c r="AZ216" s="1017">
        <f>AVERAGE(AZ212:AZ215)</f>
        <v>0.75887386891312369</v>
      </c>
      <c r="BA216" s="1167">
        <f>(AZ216/AZ209-1)*100</f>
        <v>-1.7707519006960659</v>
      </c>
      <c r="BB216" s="1167"/>
      <c r="BC216" s="1017">
        <f>AVERAGE(BC212:BC215)</f>
        <v>5.6942391632810882E-2</v>
      </c>
      <c r="BD216" s="1167">
        <f>(BC216/BC209-1)*100</f>
        <v>-8.3645932213241245</v>
      </c>
      <c r="BF216" s="1017">
        <f>AVERAGE(BF212:BF215)</f>
        <v>0.2906930093252646</v>
      </c>
      <c r="BG216" s="1167">
        <f>(BF216/BF209-1)*100</f>
        <v>-1.4296224069614616</v>
      </c>
      <c r="BH216" s="256"/>
      <c r="BI216" s="297">
        <f>AZ211*BA216+BC211*BD216+BF211*BG216</f>
        <v>-0.33754446462139698</v>
      </c>
      <c r="BJ216" s="256"/>
      <c r="BK216" s="297">
        <f>F216</f>
        <v>0</v>
      </c>
      <c r="BL216" s="256"/>
      <c r="BM216" s="256"/>
      <c r="BN216" s="302"/>
      <c r="BO216" s="587"/>
      <c r="BP216" s="587"/>
    </row>
    <row r="217" spans="1:73" ht="13.5" thickBot="1">
      <c r="A217" s="256"/>
      <c r="B217" s="302"/>
      <c r="C217" s="256"/>
      <c r="D217" s="145"/>
      <c r="E217" s="256"/>
      <c r="F217" s="217"/>
      <c r="G217" s="256"/>
      <c r="H217" s="2085"/>
      <c r="I217" s="256"/>
      <c r="J217" s="145"/>
      <c r="K217" s="256"/>
      <c r="L217" s="1030"/>
      <c r="M217" s="256"/>
      <c r="N217" s="177"/>
      <c r="O217" s="256"/>
      <c r="P217" s="288"/>
      <c r="Q217" s="643"/>
      <c r="R217" s="259"/>
      <c r="S217" s="587"/>
      <c r="T217" s="256"/>
      <c r="U217" s="256"/>
      <c r="V217" s="296"/>
      <c r="W217" s="256"/>
      <c r="X217" s="1031"/>
      <c r="Y217" s="256"/>
      <c r="Z217" s="219"/>
      <c r="AA217" s="643"/>
      <c r="AB217" s="256"/>
      <c r="AC217" s="256"/>
      <c r="AD217" s="256"/>
      <c r="AE217" s="254"/>
      <c r="AF217" s="256"/>
      <c r="AG217" s="1122"/>
      <c r="AH217" s="643"/>
      <c r="AI217" s="1122"/>
      <c r="AJ217" s="587"/>
      <c r="AK217" s="256"/>
      <c r="AL217" s="141"/>
      <c r="AM217" s="256"/>
      <c r="AN217" s="1032"/>
      <c r="AO217" s="256"/>
      <c r="AP217" s="1122"/>
      <c r="AQ217" s="643"/>
      <c r="AR217" s="643"/>
      <c r="AS217" s="141"/>
      <c r="AT217" s="141"/>
      <c r="AU217" s="219"/>
      <c r="AV217" s="141"/>
      <c r="AW217" s="219"/>
      <c r="AX217" s="141"/>
      <c r="AY217" s="141"/>
      <c r="AZ217" s="1017"/>
      <c r="BA217" s="1167"/>
      <c r="BB217" s="1167"/>
      <c r="BC217" s="1017"/>
      <c r="BD217" s="1167"/>
      <c r="BF217" s="1017"/>
      <c r="BG217" s="1167"/>
      <c r="BH217" s="256"/>
      <c r="BI217" s="297"/>
      <c r="BJ217" s="256"/>
      <c r="BK217" s="297"/>
      <c r="BL217" s="256"/>
      <c r="BM217" s="256"/>
      <c r="BN217" s="302"/>
      <c r="BO217" s="587"/>
      <c r="BP217" s="587"/>
    </row>
    <row r="218" spans="1:73" ht="13.5" thickBot="1">
      <c r="A218" s="810"/>
      <c r="B218" s="171">
        <f>+B211+1</f>
        <v>2017</v>
      </c>
      <c r="C218" s="256"/>
      <c r="D218" s="256"/>
      <c r="E218" s="643"/>
      <c r="F218" s="256"/>
      <c r="G218" s="643"/>
      <c r="H218" s="2091"/>
      <c r="I218" s="643"/>
      <c r="J218" s="256"/>
      <c r="K218" s="643"/>
      <c r="L218" s="256"/>
      <c r="M218" s="256"/>
      <c r="N218" s="256"/>
      <c r="O218" s="256"/>
      <c r="P218" s="256"/>
      <c r="Q218" s="643"/>
      <c r="R218" s="587"/>
      <c r="S218" s="587"/>
      <c r="T218" s="256"/>
      <c r="U218" s="256"/>
      <c r="V218" s="256"/>
      <c r="W218" s="256"/>
      <c r="X218" s="256"/>
      <c r="Y218" s="256"/>
      <c r="Z218" s="256"/>
      <c r="AA218" s="643"/>
      <c r="AB218" s="256"/>
      <c r="AC218" s="256"/>
      <c r="AD218" s="256"/>
      <c r="AE218" s="256"/>
      <c r="AF218" s="256"/>
      <c r="AG218" s="256"/>
      <c r="AH218" s="643"/>
      <c r="AI218" s="587"/>
      <c r="AJ218" s="587"/>
      <c r="AK218" s="256"/>
      <c r="AL218" s="256"/>
      <c r="AM218" s="256"/>
      <c r="AN218" s="256"/>
      <c r="AO218" s="256"/>
      <c r="AP218" s="289"/>
      <c r="AQ218" s="643"/>
      <c r="AR218" s="643"/>
      <c r="AS218" s="317"/>
      <c r="AT218" s="317"/>
      <c r="AU218" s="317"/>
      <c r="AV218" s="317"/>
      <c r="AW218" s="317"/>
      <c r="AX218" s="317"/>
      <c r="AY218" s="317"/>
      <c r="AZ218" s="1605">
        <v>0.08</v>
      </c>
      <c r="BA218" s="238"/>
      <c r="BB218" s="256"/>
      <c r="BC218" s="1605">
        <v>0.02</v>
      </c>
      <c r="BD218" s="238"/>
      <c r="BF218" s="1605">
        <v>0.02</v>
      </c>
      <c r="BG218" s="238"/>
      <c r="BH218" s="256"/>
      <c r="BI218" s="256"/>
      <c r="BJ218" s="256"/>
      <c r="BK218" s="256"/>
      <c r="BL218" s="256"/>
      <c r="BM218" s="256"/>
      <c r="BN218" s="256"/>
      <c r="BO218" s="587"/>
      <c r="BP218" s="587"/>
    </row>
    <row r="219" spans="1:73">
      <c r="A219" s="256" t="str">
        <f>$A$40</f>
        <v>1Q</v>
      </c>
      <c r="B219" s="302" t="str">
        <f>$B$40</f>
        <v>Apr</v>
      </c>
      <c r="C219" s="256"/>
      <c r="D219" s="145">
        <f>(V219/V212-1)*100</f>
        <v>-2.90034705007437</v>
      </c>
      <c r="E219" s="643" t="s">
        <v>1970</v>
      </c>
      <c r="F219" s="217">
        <v>0</v>
      </c>
      <c r="G219" s="643"/>
      <c r="H219" s="2085">
        <f>'segSales&amp;comps'!G229</f>
        <v>-4</v>
      </c>
      <c r="I219" s="643" t="s">
        <v>1970</v>
      </c>
      <c r="J219" s="145">
        <f>D219-H219-F219</f>
        <v>1.09965294992563</v>
      </c>
      <c r="K219" s="643" t="s">
        <v>1970</v>
      </c>
      <c r="L219" s="725">
        <f>Stores!D303</f>
        <v>124</v>
      </c>
      <c r="M219" s="256"/>
      <c r="N219" s="177">
        <f>AVERAGE(L219,L216)</f>
        <v>124.5</v>
      </c>
      <c r="O219" s="256"/>
      <c r="P219" s="288">
        <f>(N219/N212-1)*100</f>
        <v>0.40322580645162365</v>
      </c>
      <c r="Q219" s="643" t="s">
        <v>1970</v>
      </c>
      <c r="R219" s="259">
        <f>J219/P219*100</f>
        <v>272.71393158154899</v>
      </c>
      <c r="S219" s="587" t="s">
        <v>1970</v>
      </c>
      <c r="T219" s="256"/>
      <c r="U219" s="256"/>
      <c r="V219" s="296">
        <f>'segSales&amp;comps'!E229</f>
        <v>391.7</v>
      </c>
      <c r="W219" s="238"/>
      <c r="X219" s="143">
        <f>V219/N219</f>
        <v>3.1461847389558231</v>
      </c>
      <c r="Y219" s="256"/>
      <c r="Z219" s="219">
        <f>(X219/X212-1)*100</f>
        <v>-3.2903054956563982</v>
      </c>
      <c r="AA219" s="643" t="s">
        <v>1970</v>
      </c>
      <c r="AB219" s="256"/>
      <c r="AC219" s="236">
        <f>AC215+(L219-L216)*yrSales!$AC$85/1000000</f>
        <v>0.74339999999999973</v>
      </c>
      <c r="AD219" s="256"/>
      <c r="AE219" s="254">
        <f>AVERAGE(AC219,AC215)</f>
        <v>0.7466499999999997</v>
      </c>
      <c r="AF219" s="256"/>
      <c r="AG219" s="1122" t="s">
        <v>1086</v>
      </c>
      <c r="AH219" s="643" t="s">
        <v>1970</v>
      </c>
      <c r="AI219" s="1122" t="s">
        <v>1086</v>
      </c>
      <c r="AJ219" s="587" t="s">
        <v>1970</v>
      </c>
      <c r="AK219" s="256"/>
      <c r="AL219" s="141">
        <f>+V219</f>
        <v>391.7</v>
      </c>
      <c r="AM219" s="256" t="s">
        <v>700</v>
      </c>
      <c r="AN219" s="244">
        <f>AL219/AE219</f>
        <v>524.60992432866828</v>
      </c>
      <c r="AO219" s="256"/>
      <c r="AP219" s="1122" t="s">
        <v>1086</v>
      </c>
      <c r="AQ219" s="643" t="s">
        <v>1970</v>
      </c>
      <c r="AR219" s="643"/>
      <c r="AS219" s="141">
        <f>qtrSales!AN201</f>
        <v>49.489980942014853</v>
      </c>
      <c r="AT219" s="141"/>
      <c r="AU219" s="219">
        <f>((AS219/AS212)-1)*100</f>
        <v>5.0000000000000044</v>
      </c>
      <c r="AV219" s="141" t="s">
        <v>1970</v>
      </c>
      <c r="AW219" s="219">
        <f>AS219/V219*100</f>
        <v>12.634664524384695</v>
      </c>
      <c r="AX219" s="141" t="s">
        <v>1970</v>
      </c>
      <c r="AY219" s="141"/>
      <c r="AZ219" s="1017">
        <v>-0.15131169768961239</v>
      </c>
      <c r="BA219" s="1167">
        <f>(AZ219/AZ212-1)*100</f>
        <v>-120.10383594242751</v>
      </c>
      <c r="BB219" s="1167"/>
      <c r="BC219" s="1017">
        <v>-0.17805497254687841</v>
      </c>
      <c r="BD219" s="1167">
        <f>(BC219/BC212-1)*100</f>
        <v>-369.34131507489656</v>
      </c>
      <c r="BF219" s="1017">
        <v>-0.33152334477318046</v>
      </c>
      <c r="BG219" s="1167">
        <f>(BF219/BF212-1)*100</f>
        <v>-200.29849085684742</v>
      </c>
      <c r="BH219" s="256"/>
      <c r="BI219" s="297">
        <f>AZ218*BA219+BC218*BD219+BF218*BG219</f>
        <v>-21.001102994029083</v>
      </c>
      <c r="BJ219" s="1167"/>
      <c r="BK219" s="297">
        <f>F219</f>
        <v>0</v>
      </c>
      <c r="BL219" s="256"/>
      <c r="BM219" s="256"/>
      <c r="BN219" s="256">
        <v>0.87202674318257289</v>
      </c>
      <c r="BO219" s="929">
        <f>BN219/AZ212-1</f>
        <v>0.15860722270881755</v>
      </c>
      <c r="BP219" s="2049">
        <v>7.0561798022708302E-2</v>
      </c>
      <c r="BQ219" s="1815">
        <f>BP219/BC212-1</f>
        <v>6.7378641642922288E-2</v>
      </c>
      <c r="BR219">
        <v>0.38309607761244818</v>
      </c>
      <c r="BS219" s="1815">
        <f>BR219/BF212-1</f>
        <v>0.15901214932525831</v>
      </c>
      <c r="BT219" s="1815">
        <f>$AZ$204*BO219+$BC$204*BQ219+$BF$204*BS219</f>
        <v>1.7216393636069017E-2</v>
      </c>
    </row>
    <row r="220" spans="1:73">
      <c r="A220" s="256" t="str">
        <f>$A$41</f>
        <v>2Q</v>
      </c>
      <c r="B220" s="302" t="str">
        <f>$B$41</f>
        <v>Jul</v>
      </c>
      <c r="C220" s="256"/>
      <c r="D220" s="145">
        <f>(V220/V213-1)*100</f>
        <v>1.0366275051831408</v>
      </c>
      <c r="E220" s="256"/>
      <c r="F220" s="2233">
        <v>0</v>
      </c>
      <c r="G220" s="256"/>
      <c r="H220" s="2085">
        <f>'segSales&amp;comps'!G230</f>
        <v>-1</v>
      </c>
      <c r="I220" s="256"/>
      <c r="J220" s="145">
        <f>D220-H220-F220</f>
        <v>2.0366275051831408</v>
      </c>
      <c r="K220" s="256"/>
      <c r="L220" s="725">
        <f>Stores!D304</f>
        <v>124</v>
      </c>
      <c r="M220" s="256"/>
      <c r="N220" s="177">
        <f>AVERAGE(L220,L219)</f>
        <v>124</v>
      </c>
      <c r="O220" s="256"/>
      <c r="P220" s="288">
        <f>(N220/N213-1)*100</f>
        <v>-0.40160642570281624</v>
      </c>
      <c r="Q220" s="643"/>
      <c r="R220" s="259">
        <f>J220/P220*100</f>
        <v>-507.12024879059578</v>
      </c>
      <c r="S220" s="587"/>
      <c r="T220" s="256"/>
      <c r="U220" s="256"/>
      <c r="V220" s="296">
        <f>'segSales&amp;comps'!E230</f>
        <v>438.6</v>
      </c>
      <c r="W220" s="238"/>
      <c r="X220" s="147">
        <f>V220/N220</f>
        <v>3.5370967741935484</v>
      </c>
      <c r="Y220" s="256"/>
      <c r="Z220" s="219">
        <f>(X220/X213-1)*100</f>
        <v>1.4440332612524198</v>
      </c>
      <c r="AA220" s="643"/>
      <c r="AB220" s="256"/>
      <c r="AC220" s="236">
        <f>AC219+(L220-L219)*yrSales!$AC$85/1000000</f>
        <v>0.74339999999999973</v>
      </c>
      <c r="AD220" s="238"/>
      <c r="AE220" s="254">
        <f>AVERAGE(AC220,AC219)</f>
        <v>0.74339999999999973</v>
      </c>
      <c r="AF220" s="256"/>
      <c r="AG220" s="1122" t="s">
        <v>1086</v>
      </c>
      <c r="AH220" s="643"/>
      <c r="AI220" s="1122" t="s">
        <v>1086</v>
      </c>
      <c r="AJ220" s="587"/>
      <c r="AK220" s="256"/>
      <c r="AL220" s="142">
        <f>+V220</f>
        <v>438.6</v>
      </c>
      <c r="AM220" s="256"/>
      <c r="AN220" s="245">
        <f>AL220/AE220</f>
        <v>589.99192897498006</v>
      </c>
      <c r="AO220" s="256"/>
      <c r="AP220" s="1122" t="s">
        <v>1086</v>
      </c>
      <c r="AQ220" s="643"/>
      <c r="AR220" s="643"/>
      <c r="AS220" s="141">
        <f>qtrSales!AN202</f>
        <v>47.893593272891806</v>
      </c>
      <c r="AT220" s="142"/>
      <c r="AU220" s="219">
        <f>((AS220/AS213)-1)*100</f>
        <v>5.0000000000000044</v>
      </c>
      <c r="AV220" s="142"/>
      <c r="AW220" s="219">
        <f>AS220/V220*100</f>
        <v>10.91965190900406</v>
      </c>
      <c r="AX220" s="142"/>
      <c r="AY220" s="142"/>
      <c r="AZ220" s="1017">
        <v>0.76094819928837643</v>
      </c>
      <c r="BA220" s="1167">
        <f>(AZ220/AZ213-1)*100</f>
        <v>0</v>
      </c>
      <c r="BB220" s="1167"/>
      <c r="BC220" s="1017">
        <v>5.3887335376884789E-2</v>
      </c>
      <c r="BD220" s="1167">
        <f>(BC220/BC213-1)*100</f>
        <v>0</v>
      </c>
      <c r="BF220" s="1017">
        <v>0.27741177147472956</v>
      </c>
      <c r="BG220" s="1167">
        <f>(BF220/BF213-1)*100</f>
        <v>0</v>
      </c>
      <c r="BH220" s="256"/>
      <c r="BI220" s="297">
        <f>AZ218*BA220+BC218*BD220+BF218*BG220</f>
        <v>0</v>
      </c>
      <c r="BJ220" s="1167"/>
      <c r="BK220" s="297">
        <f>F220</f>
        <v>0</v>
      </c>
      <c r="BL220" s="256"/>
      <c r="BM220" s="256"/>
      <c r="BN220" s="256">
        <v>0.87202674318257289</v>
      </c>
      <c r="BO220" s="929">
        <f>BN220/AZ213-1</f>
        <v>0.1459738573507039</v>
      </c>
      <c r="BP220" s="2049">
        <v>7.0561798022708302E-2</v>
      </c>
      <c r="BQ220" s="1815">
        <f>BP220/BC213-1</f>
        <v>0.30943193849173145</v>
      </c>
      <c r="BR220">
        <v>0.38309607761244818</v>
      </c>
      <c r="BS220" s="1815">
        <f>BR220/BF213-1</f>
        <v>0.38096547084464927</v>
      </c>
      <c r="BT220" s="1815">
        <f>$AZ$204*BO220+$BC$204*BQ220+$BF$204*BS220</f>
        <v>2.5485856774783929E-2</v>
      </c>
    </row>
    <row r="221" spans="1:73">
      <c r="A221" s="256" t="str">
        <f>$A$42</f>
        <v>3Q</v>
      </c>
      <c r="B221" s="302" t="str">
        <f>$B$42</f>
        <v>Oct</v>
      </c>
      <c r="C221" s="256"/>
      <c r="D221" s="145">
        <f>(V221/V214-1)*100</f>
        <v>1.0309278350515427</v>
      </c>
      <c r="E221" s="256"/>
      <c r="F221" s="2233">
        <v>0</v>
      </c>
      <c r="G221" s="256"/>
      <c r="H221" s="2085">
        <f>'segSales&amp;comps'!G231</f>
        <v>0</v>
      </c>
      <c r="I221" s="256"/>
      <c r="J221" s="145">
        <f>D221-H221-F221</f>
        <v>1.0309278350515427</v>
      </c>
      <c r="K221" s="256"/>
      <c r="L221" s="725">
        <f>Stores!D305</f>
        <v>125</v>
      </c>
      <c r="M221" s="238"/>
      <c r="N221" s="177">
        <f>AVERAGE(L221,L220)</f>
        <v>124.5</v>
      </c>
      <c r="O221" s="256"/>
      <c r="P221" s="288">
        <f>(N221/N214-1)*100</f>
        <v>-0.40000000000000036</v>
      </c>
      <c r="Q221" s="643"/>
      <c r="R221" s="259">
        <f>J221/P221*100</f>
        <v>-257.73195876288548</v>
      </c>
      <c r="S221" s="587"/>
      <c r="T221" s="256"/>
      <c r="U221" s="256"/>
      <c r="V221" s="296">
        <f>'segSales&amp;comps'!E231</f>
        <v>421.4</v>
      </c>
      <c r="W221" s="256"/>
      <c r="X221" s="147">
        <f>V221/N221</f>
        <v>3.384738955823293</v>
      </c>
      <c r="Y221" s="256"/>
      <c r="Z221" s="219">
        <f>(X221/X214-1)*100</f>
        <v>1.436674533184279</v>
      </c>
      <c r="AA221" s="643"/>
      <c r="AB221" s="256"/>
      <c r="AC221" s="236">
        <f>AC220+(L221-L220)*yrSales!$AC$85/1000000</f>
        <v>0.74989999999999968</v>
      </c>
      <c r="AD221" s="238"/>
      <c r="AE221" s="254">
        <f>AVERAGE(AC221,AC220)</f>
        <v>0.7466499999999997</v>
      </c>
      <c r="AF221" s="256"/>
      <c r="AG221" s="1122" t="s">
        <v>1086</v>
      </c>
      <c r="AH221" s="643"/>
      <c r="AI221" s="1122" t="s">
        <v>1086</v>
      </c>
      <c r="AJ221" s="587"/>
      <c r="AK221" s="256"/>
      <c r="AL221" s="142">
        <f>+V221</f>
        <v>421.4</v>
      </c>
      <c r="AM221" s="256"/>
      <c r="AN221" s="245">
        <f>AL221/AE221</f>
        <v>564.38759793745419</v>
      </c>
      <c r="AO221" s="256"/>
      <c r="AP221" s="1122" t="s">
        <v>1086</v>
      </c>
      <c r="AQ221" s="643"/>
      <c r="AR221" s="643"/>
      <c r="AS221" s="141">
        <f>qtrSales!AN203</f>
        <v>40.193349223090827</v>
      </c>
      <c r="AT221" s="142"/>
      <c r="AU221" s="219">
        <f>((AS221/AS214)-1)*100</f>
        <v>5.0000000000000044</v>
      </c>
      <c r="AV221" s="142"/>
      <c r="AW221" s="219">
        <f>AS221/V221*100</f>
        <v>9.5380515479570072</v>
      </c>
      <c r="AX221" s="142"/>
      <c r="AY221" s="142"/>
      <c r="AZ221" s="1017">
        <v>0.76094819928837643</v>
      </c>
      <c r="BA221" s="1167">
        <f>(AZ221/AZ214-1)*100</f>
        <v>0</v>
      </c>
      <c r="BB221" s="1167"/>
      <c r="BC221" s="1017">
        <v>5.3887335376884789E-2</v>
      </c>
      <c r="BD221" s="1167">
        <f>(BC221/BC214-1)*100</f>
        <v>0</v>
      </c>
      <c r="BF221" s="1017">
        <v>0.27741177147472956</v>
      </c>
      <c r="BG221" s="1167">
        <f>(BF221/BF214-1)*100</f>
        <v>0</v>
      </c>
      <c r="BH221" s="256"/>
      <c r="BI221" s="297">
        <f>AZ218*BA221+BC218*BD221+BF218*BG221</f>
        <v>0</v>
      </c>
      <c r="BJ221" s="1167"/>
      <c r="BK221" s="297">
        <f>F221</f>
        <v>0</v>
      </c>
      <c r="BL221" s="256"/>
      <c r="BM221" s="256"/>
      <c r="BN221" s="256">
        <v>0.87202674318257289</v>
      </c>
      <c r="BO221" s="929">
        <f>BN221/AZ214-1</f>
        <v>0.1459738573507039</v>
      </c>
      <c r="BP221" s="2049">
        <v>7.0561798022708302E-2</v>
      </c>
      <c r="BQ221" s="1815">
        <f>BP221/BC214-1</f>
        <v>0.30943193849173145</v>
      </c>
      <c r="BR221">
        <v>0.38309607761244818</v>
      </c>
      <c r="BS221" s="1815">
        <f>BR221/BF214-1</f>
        <v>0.38096547084464927</v>
      </c>
      <c r="BT221" s="1815">
        <f>$AZ$204*BO221+$BC$204*BQ221+$BF$204*BS221</f>
        <v>2.5485856774783929E-2</v>
      </c>
    </row>
    <row r="222" spans="1:73">
      <c r="A222" s="256" t="str">
        <f>$A$43</f>
        <v>4Q</v>
      </c>
      <c r="B222" s="302" t="str">
        <f>$B$43</f>
        <v>Jan</v>
      </c>
      <c r="C222" s="256"/>
      <c r="D222" s="176">
        <f>(V222/V215-1)*100</f>
        <v>5.4316363017197444</v>
      </c>
      <c r="E222" s="256"/>
      <c r="F222" s="814">
        <v>0</v>
      </c>
      <c r="G222" s="256"/>
      <c r="H222" s="2454">
        <f>'segSales&amp;comps'!G232</f>
        <v>4</v>
      </c>
      <c r="I222" s="256"/>
      <c r="J222" s="176">
        <f>D222-H222-F222</f>
        <v>1.4316363017197444</v>
      </c>
      <c r="K222" s="256"/>
      <c r="L222" s="917">
        <f>Stores!D306</f>
        <v>124</v>
      </c>
      <c r="M222" s="238"/>
      <c r="N222" s="178">
        <f>AVERAGE(L222,L221)</f>
        <v>124.5</v>
      </c>
      <c r="O222" s="256"/>
      <c r="P222" s="318">
        <f>(N222/N215-1)*100</f>
        <v>-0.40000000000000036</v>
      </c>
      <c r="Q222" s="643"/>
      <c r="R222" s="178">
        <f t="shared" ref="R222:R223" si="0">J222/P222*100</f>
        <v>-357.9090754299358</v>
      </c>
      <c r="S222" s="587"/>
      <c r="T222" s="256"/>
      <c r="U222" s="256"/>
      <c r="V222" s="922">
        <f>'segSales&amp;comps'!E232</f>
        <v>619.20000000000005</v>
      </c>
      <c r="W222" s="256"/>
      <c r="X222" s="148">
        <f>V222/N222</f>
        <v>4.9734939759036152</v>
      </c>
      <c r="Y222" s="256"/>
      <c r="Z222" s="218">
        <f>(X222/X215-1)*100</f>
        <v>5.8550565278310929</v>
      </c>
      <c r="AA222" s="643"/>
      <c r="AB222" s="256"/>
      <c r="AC222" s="236">
        <f>AC221+(L222-L221)*yrSales!$AC$85/1000000</f>
        <v>0.74339999999999973</v>
      </c>
      <c r="AD222" s="238"/>
      <c r="AE222" s="255">
        <f>AVERAGE(AC222,AC221)</f>
        <v>0.7466499999999997</v>
      </c>
      <c r="AF222" s="256"/>
      <c r="AG222" s="1123" t="s">
        <v>1086</v>
      </c>
      <c r="AH222" s="643"/>
      <c r="AI222" s="1123" t="s">
        <v>1086</v>
      </c>
      <c r="AJ222" s="587"/>
      <c r="AK222" s="256"/>
      <c r="AL222" s="146">
        <f>+V222</f>
        <v>619.20000000000005</v>
      </c>
      <c r="AM222" s="256"/>
      <c r="AN222" s="257">
        <f>AL222/AE222</f>
        <v>829.30422554074903</v>
      </c>
      <c r="AO222" s="256"/>
      <c r="AP222" s="1123" t="s">
        <v>1086</v>
      </c>
      <c r="AQ222" s="643"/>
      <c r="AR222" s="643"/>
      <c r="AS222" s="1995">
        <f>qtrSales!AN204</f>
        <v>98.771498225262718</v>
      </c>
      <c r="AT222" s="1480"/>
      <c r="AU222" s="218">
        <f>((AS222/AS215)-1)*100</f>
        <v>5.0000000000000044</v>
      </c>
      <c r="AV222" s="1480"/>
      <c r="AW222" s="218">
        <f>AS222/V222*100</f>
        <v>15.951469351625114</v>
      </c>
      <c r="AX222" s="1480"/>
      <c r="AY222" s="1480"/>
      <c r="AZ222" s="1601">
        <v>0.76094819928837643</v>
      </c>
      <c r="BA222" s="1602">
        <f>(AZ222/AZ215-1)*100</f>
        <v>0</v>
      </c>
      <c r="BB222" s="256"/>
      <c r="BC222" s="1601">
        <v>5.3887335376884789E-2</v>
      </c>
      <c r="BD222" s="1602">
        <f>(BC222/BC215-1)*100</f>
        <v>0</v>
      </c>
      <c r="BF222" s="1017">
        <v>0.27741177147472956</v>
      </c>
      <c r="BG222" s="1602">
        <f>(BF222/BF215-1)*100</f>
        <v>0</v>
      </c>
      <c r="BH222" s="256"/>
      <c r="BI222" s="298">
        <f>AZ218*BA222+BC218*BD222+BF218*BG222</f>
        <v>0</v>
      </c>
      <c r="BJ222" s="1167"/>
      <c r="BK222" s="298">
        <f>F222</f>
        <v>0</v>
      </c>
      <c r="BL222" s="256"/>
      <c r="BM222" s="256"/>
      <c r="BN222" s="256">
        <v>0.87202674318257289</v>
      </c>
      <c r="BO222" s="929">
        <f>BN222/AZ215-1</f>
        <v>0.1459738573507039</v>
      </c>
      <c r="BP222" s="2049">
        <v>7.0561798022708302E-2</v>
      </c>
      <c r="BQ222" s="1815">
        <f>BP222/BC215-1</f>
        <v>0.30943193849173145</v>
      </c>
      <c r="BR222">
        <v>0.38309607761244818</v>
      </c>
      <c r="BS222" s="1815">
        <f>BR222/BF215-1</f>
        <v>0.38096547084464927</v>
      </c>
      <c r="BT222" s="1815">
        <f>$AZ$204*BO222+$BC$204*BQ222+$BF$204*BS222</f>
        <v>2.5485856774783929E-2</v>
      </c>
    </row>
    <row r="223" spans="1:73">
      <c r="A223" s="256"/>
      <c r="B223" s="302" t="str">
        <f>$B$44</f>
        <v>Year</v>
      </c>
      <c r="C223" s="256"/>
      <c r="D223" s="145">
        <f>(V223/V216-1)*100</f>
        <v>1.5744611542429121</v>
      </c>
      <c r="E223" s="256"/>
      <c r="F223" s="2457">
        <v>1</v>
      </c>
      <c r="G223" s="256"/>
      <c r="H223" s="2455">
        <f>'segSales&amp;comps'!G233</f>
        <v>0</v>
      </c>
      <c r="I223" s="256"/>
      <c r="J223" s="145">
        <f>D223-H223-F223</f>
        <v>0.57446115424291211</v>
      </c>
      <c r="K223" s="256"/>
      <c r="L223" s="923">
        <f>Stores!D307</f>
        <v>124</v>
      </c>
      <c r="M223" s="256"/>
      <c r="N223" s="177">
        <f>AVERAGE(N219:N222)</f>
        <v>124.375</v>
      </c>
      <c r="O223" s="256"/>
      <c r="P223" s="288">
        <f>(N223/N216-1)*100</f>
        <v>-0.20060180541624506</v>
      </c>
      <c r="Q223" s="643"/>
      <c r="R223" s="259">
        <f t="shared" si="0"/>
        <v>-286.36888539009692</v>
      </c>
      <c r="S223" s="587"/>
      <c r="T223" s="256"/>
      <c r="U223" s="256"/>
      <c r="V223" s="296">
        <f>SUM(V219:V222)</f>
        <v>1870.8999999999999</v>
      </c>
      <c r="W223" s="256"/>
      <c r="X223" s="918">
        <f>V223/N223</f>
        <v>15.042412060301507</v>
      </c>
      <c r="Y223" s="256"/>
      <c r="Z223" s="219">
        <f>(X223/X216-1)*100</f>
        <v>1.7786309254071986</v>
      </c>
      <c r="AA223" s="643"/>
      <c r="AB223" s="256"/>
      <c r="AC223" s="256"/>
      <c r="AD223" s="256"/>
      <c r="AE223" s="254">
        <f>AVERAGE(AE219:AE222)</f>
        <v>0.74583749999999971</v>
      </c>
      <c r="AF223" s="256"/>
      <c r="AG223" s="1122" t="s">
        <v>1086</v>
      </c>
      <c r="AH223" s="643"/>
      <c r="AI223" s="1122" t="s">
        <v>1086</v>
      </c>
      <c r="AJ223" s="587"/>
      <c r="AK223" s="256"/>
      <c r="AL223" s="141">
        <f>SUM(AL219:AL222)</f>
        <v>1870.8999999999999</v>
      </c>
      <c r="AM223" s="256"/>
      <c r="AN223" s="919">
        <f>AL223/AE223</f>
        <v>2508.455260026481</v>
      </c>
      <c r="AO223" s="256"/>
      <c r="AP223" s="1122" t="s">
        <v>1086</v>
      </c>
      <c r="AQ223" s="643"/>
      <c r="AR223" s="643"/>
      <c r="AS223" s="141">
        <f>qtrSales!AN205</f>
        <v>236.34842166326021</v>
      </c>
      <c r="AT223" s="141"/>
      <c r="AU223" s="219">
        <f>((AS223/AS216)-1)*100</f>
        <v>5.0000000000000044</v>
      </c>
      <c r="AV223" s="141"/>
      <c r="AW223" s="219">
        <f>AS223/V223*100</f>
        <v>12.632873037749759</v>
      </c>
      <c r="AX223" s="141"/>
      <c r="AY223" s="141"/>
      <c r="AZ223" s="1017">
        <f>AVERAGE(AZ219:AZ222)</f>
        <v>0.53288322504387919</v>
      </c>
      <c r="BA223" s="1167">
        <f>(AZ223/AZ216-1)*100</f>
        <v>-29.779737203616385</v>
      </c>
      <c r="BB223" s="1167"/>
      <c r="BC223" s="1017">
        <f>AVERAGE(BC219:BC222)</f>
        <v>-4.0982416040560143E-3</v>
      </c>
      <c r="BD223" s="1167">
        <f>(BC223/BC216-1)*100</f>
        <v>-107.19717153870747</v>
      </c>
      <c r="BF223" s="1017">
        <f>AVERAGE(BF219:BF222)</f>
        <v>0.12517799241275207</v>
      </c>
      <c r="BG223" s="1167">
        <f>(BF223/BF216-1)*100</f>
        <v>-56.938079555712015</v>
      </c>
      <c r="BH223" s="256"/>
      <c r="BI223" s="297">
        <f>AZ218*BA223+BC218*BD223+BF218*BG223</f>
        <v>-5.6650839981777015</v>
      </c>
      <c r="BJ223" s="256"/>
      <c r="BK223" s="297">
        <f>F223</f>
        <v>1</v>
      </c>
      <c r="BL223" s="256"/>
      <c r="BM223" s="256"/>
      <c r="BN223" s="302"/>
      <c r="BO223" s="587"/>
      <c r="BP223" s="587"/>
    </row>
    <row r="224" spans="1:73" ht="13.5" thickBot="1">
      <c r="A224" s="256"/>
      <c r="B224" s="302"/>
      <c r="C224" s="256"/>
      <c r="D224" s="145"/>
      <c r="E224" s="256"/>
      <c r="F224" s="217"/>
      <c r="G224" s="256"/>
      <c r="H224" s="2094"/>
      <c r="I224" s="256"/>
      <c r="J224" s="145"/>
      <c r="K224" s="256"/>
      <c r="L224" s="1033"/>
      <c r="M224" s="256"/>
      <c r="N224" s="177"/>
      <c r="O224" s="256"/>
      <c r="P224" s="288"/>
      <c r="Q224" s="643"/>
      <c r="R224" s="259"/>
      <c r="S224" s="587"/>
      <c r="T224" s="256"/>
      <c r="U224" s="256"/>
      <c r="V224" s="296"/>
      <c r="W224" s="256"/>
      <c r="X224" s="1031"/>
      <c r="Y224" s="256"/>
      <c r="Z224" s="219"/>
      <c r="AA224" s="643"/>
      <c r="AB224" s="256"/>
      <c r="AC224" s="256"/>
      <c r="AD224" s="256"/>
      <c r="AE224" s="254"/>
      <c r="AF224" s="256"/>
      <c r="AG224" s="1122"/>
      <c r="AH224" s="643"/>
      <c r="AI224" s="1122"/>
      <c r="AJ224" s="587"/>
      <c r="AK224" s="256"/>
      <c r="AL224" s="141"/>
      <c r="AM224" s="256"/>
      <c r="AN224" s="1032"/>
      <c r="AO224" s="256"/>
      <c r="AP224" s="1122"/>
      <c r="AQ224" s="643"/>
      <c r="AR224" s="643"/>
      <c r="AS224" s="141"/>
      <c r="AT224" s="141"/>
      <c r="AU224" s="219"/>
      <c r="AV224" s="141"/>
      <c r="AW224" s="219"/>
      <c r="AX224" s="141"/>
      <c r="AY224" s="141"/>
      <c r="AZ224" s="1017"/>
      <c r="BA224" s="1167"/>
      <c r="BB224" s="1167"/>
      <c r="BC224" s="1017"/>
      <c r="BD224" s="1167"/>
      <c r="BE224" s="2235"/>
      <c r="BF224" s="1017"/>
      <c r="BG224" s="1167"/>
      <c r="BH224" s="256"/>
      <c r="BI224" s="297"/>
      <c r="BJ224" s="256"/>
      <c r="BK224" s="297"/>
      <c r="BL224" s="256"/>
      <c r="BM224" s="256"/>
      <c r="BN224" s="302"/>
      <c r="BO224" s="587"/>
      <c r="BP224" s="587"/>
      <c r="BQ224" s="2235"/>
      <c r="BR224" s="2235"/>
      <c r="BS224" s="2235"/>
      <c r="BT224" s="2235"/>
      <c r="BU224" s="2235"/>
    </row>
    <row r="225" spans="1:73" ht="13.5" thickBot="1">
      <c r="A225" s="810"/>
      <c r="B225" s="1160">
        <f>+B218+1</f>
        <v>2018</v>
      </c>
      <c r="C225" s="256"/>
      <c r="D225" s="256"/>
      <c r="E225" s="643"/>
      <c r="F225" s="256"/>
      <c r="G225" s="643"/>
      <c r="H225" s="2091"/>
      <c r="I225" s="643"/>
      <c r="J225" s="256"/>
      <c r="K225" s="643"/>
      <c r="L225" s="256"/>
      <c r="M225" s="256"/>
      <c r="N225" s="256"/>
      <c r="O225" s="256"/>
      <c r="P225" s="256"/>
      <c r="Q225" s="643"/>
      <c r="R225" s="587"/>
      <c r="S225" s="587"/>
      <c r="T225" s="256"/>
      <c r="U225" s="256"/>
      <c r="V225" s="256"/>
      <c r="W225" s="256"/>
      <c r="X225" s="256"/>
      <c r="Y225" s="256"/>
      <c r="Z225" s="256"/>
      <c r="AA225" s="643"/>
      <c r="AB225" s="256"/>
      <c r="AC225" s="256"/>
      <c r="AD225" s="256"/>
      <c r="AE225" s="256"/>
      <c r="AF225" s="256"/>
      <c r="AG225" s="256"/>
      <c r="AH225" s="643"/>
      <c r="AI225" s="587"/>
      <c r="AJ225" s="587"/>
      <c r="AK225" s="256"/>
      <c r="AL225" s="256"/>
      <c r="AM225" s="256"/>
      <c r="AN225" s="256"/>
      <c r="AO225" s="256"/>
      <c r="AP225" s="289"/>
      <c r="AQ225" s="643"/>
      <c r="AR225" s="643"/>
      <c r="AS225" s="317"/>
      <c r="AT225" s="317"/>
      <c r="AU225" s="317"/>
      <c r="AV225" s="317"/>
      <c r="AW225" s="317"/>
      <c r="AX225" s="317"/>
      <c r="AY225" s="317"/>
      <c r="AZ225" s="1605">
        <v>0.08</v>
      </c>
      <c r="BA225" s="238"/>
      <c r="BB225" s="256"/>
      <c r="BC225" s="1605">
        <v>0.02</v>
      </c>
      <c r="BD225" s="238"/>
      <c r="BE225" s="621"/>
      <c r="BF225" s="1605">
        <v>0.02</v>
      </c>
      <c r="BG225" s="238"/>
      <c r="BH225" s="256"/>
      <c r="BI225" s="256"/>
      <c r="BJ225" s="256"/>
      <c r="BK225" s="256"/>
      <c r="BL225" s="256"/>
      <c r="BM225" s="256"/>
      <c r="BN225" s="256"/>
      <c r="BO225" s="587"/>
      <c r="BP225" s="587"/>
      <c r="BQ225" s="621"/>
      <c r="BR225" s="621"/>
      <c r="BS225" s="621"/>
      <c r="BT225" s="621"/>
      <c r="BU225" s="621"/>
    </row>
    <row r="226" spans="1:73">
      <c r="A226" s="256" t="str">
        <f>$A$40</f>
        <v>1Q</v>
      </c>
      <c r="B226" s="302" t="str">
        <f>$B$40</f>
        <v>Apr</v>
      </c>
      <c r="C226" s="256"/>
      <c r="D226" s="288">
        <f>F226+H226+J226</f>
        <v>4.5</v>
      </c>
      <c r="E226" s="643" t="s">
        <v>1970</v>
      </c>
      <c r="F226" s="1156">
        <v>0</v>
      </c>
      <c r="G226" s="643"/>
      <c r="H226" s="2091">
        <f>'segSales&amp;comps'!G236</f>
        <v>4</v>
      </c>
      <c r="I226" s="643" t="s">
        <v>1970</v>
      </c>
      <c r="J226" s="2227">
        <v>0.5</v>
      </c>
      <c r="K226" s="643" t="s">
        <v>1970</v>
      </c>
      <c r="L226" s="948">
        <f>Stores!D310</f>
        <v>124</v>
      </c>
      <c r="M226" s="256"/>
      <c r="N226" s="811">
        <f>AVERAGE(L226,L223)</f>
        <v>124</v>
      </c>
      <c r="O226" s="256"/>
      <c r="P226" s="288">
        <f>(N226/N219-1)*100</f>
        <v>-0.40160642570281624</v>
      </c>
      <c r="Q226" s="643" t="s">
        <v>1970</v>
      </c>
      <c r="R226" s="2258" t="s">
        <v>1896</v>
      </c>
      <c r="S226" s="587" t="s">
        <v>1970</v>
      </c>
      <c r="T226" s="256"/>
      <c r="U226" s="256"/>
      <c r="V226" s="315">
        <f>V219*(1+D226/100)</f>
        <v>409.32649999999995</v>
      </c>
      <c r="W226" s="238"/>
      <c r="X226" s="813">
        <f>V226/N226</f>
        <v>3.3010201612903223</v>
      </c>
      <c r="Y226" s="256"/>
      <c r="Z226" s="814">
        <f>(X226/X219-1)*100</f>
        <v>4.9213709677419226</v>
      </c>
      <c r="AA226" s="643" t="s">
        <v>1970</v>
      </c>
      <c r="AB226" s="256"/>
      <c r="AC226" s="1017">
        <f>AC222+(L226-L223)*yrSales!$AD$86/1000000</f>
        <v>0.74339999999999973</v>
      </c>
      <c r="AD226" s="256"/>
      <c r="AE226" s="816">
        <f>AVERAGE(AC226,AC222)</f>
        <v>0.74339999999999973</v>
      </c>
      <c r="AF226" s="256"/>
      <c r="AG226" s="1507" t="s">
        <v>1086</v>
      </c>
      <c r="AH226" s="643" t="s">
        <v>1970</v>
      </c>
      <c r="AI226" s="1507" t="s">
        <v>1086</v>
      </c>
      <c r="AJ226" s="587" t="s">
        <v>1970</v>
      </c>
      <c r="AK226" s="256"/>
      <c r="AL226" s="296">
        <f>+V226</f>
        <v>409.32649999999995</v>
      </c>
      <c r="AM226" s="256" t="s">
        <v>700</v>
      </c>
      <c r="AN226" s="817">
        <f>AL226/AE226</f>
        <v>550.61407048695196</v>
      </c>
      <c r="AO226" s="256"/>
      <c r="AP226" s="1507" t="s">
        <v>1086</v>
      </c>
      <c r="AQ226" s="643" t="s">
        <v>1970</v>
      </c>
      <c r="AR226" s="643"/>
      <c r="AS226" s="296">
        <f>qtrSales!AN208</f>
        <v>51.964479989115596</v>
      </c>
      <c r="AT226" s="296"/>
      <c r="AU226" s="814">
        <f>((AS226/AS219)-1)*100</f>
        <v>5.0000000000000044</v>
      </c>
      <c r="AV226" s="296" t="s">
        <v>1970</v>
      </c>
      <c r="AW226" s="814">
        <f>AS226/V226*100</f>
        <v>12.695117464692757</v>
      </c>
      <c r="AX226" s="296" t="s">
        <v>1970</v>
      </c>
      <c r="AY226" s="296"/>
      <c r="AZ226" s="1017">
        <v>0.76094819928837643</v>
      </c>
      <c r="BA226" s="1167">
        <f>(AZ226/AZ219-1)*100</f>
        <v>-602.90110474427377</v>
      </c>
      <c r="BB226" s="1167"/>
      <c r="BC226" s="1017">
        <v>5.3887335376884789E-2</v>
      </c>
      <c r="BD226" s="1167">
        <f>(BC226/BC219-1)*100</f>
        <v>-130.26443721626327</v>
      </c>
      <c r="BE226" s="621"/>
      <c r="BF226" s="1017">
        <v>0.27741177147472956</v>
      </c>
      <c r="BG226" s="1167">
        <f>(BF226/BF219-1)*100</f>
        <v>-183.67789956527116</v>
      </c>
      <c r="BH226" s="256"/>
      <c r="BI226" s="297">
        <f>AZ225*BA226+BC225*BD226+BF225*BG226</f>
        <v>-54.510935115172586</v>
      </c>
      <c r="BJ226" s="1167"/>
      <c r="BK226" s="297">
        <f t="shared" ref="BK226:BK231" si="1">F226</f>
        <v>0</v>
      </c>
      <c r="BL226" s="256"/>
      <c r="BM226" s="256"/>
      <c r="BN226" s="256">
        <v>0.87202674318257289</v>
      </c>
      <c r="BO226" s="929">
        <f>BN226/AZ219-1</f>
        <v>-6.7631151886972578</v>
      </c>
      <c r="BP226" s="2049">
        <v>7.0561798022708302E-2</v>
      </c>
      <c r="BQ226" s="1482">
        <f>BP226/BC219-1</f>
        <v>-1.3962922069145289</v>
      </c>
      <c r="BR226" s="621">
        <v>0.38309607761244818</v>
      </c>
      <c r="BS226" s="1482">
        <f>BR226/BF219-1</f>
        <v>-2.1555628997244596</v>
      </c>
      <c r="BT226" s="1482">
        <f>$AZ$204*BO226+$BC$204*BQ226+$BF$204*BS226</f>
        <v>-0.61208631722856044</v>
      </c>
      <c r="BU226" s="621"/>
    </row>
    <row r="227" spans="1:73">
      <c r="A227" s="256" t="str">
        <f>$A$41</f>
        <v>2Q</v>
      </c>
      <c r="B227" s="302" t="str">
        <f>$B$41</f>
        <v>Jul</v>
      </c>
      <c r="C227" s="256"/>
      <c r="D227" s="288">
        <f>F227+H227+J227</f>
        <v>4.5</v>
      </c>
      <c r="E227" s="256"/>
      <c r="F227" s="1156">
        <v>0</v>
      </c>
      <c r="G227" s="256"/>
      <c r="H227" s="2091">
        <f>'segSales&amp;comps'!G237</f>
        <v>4</v>
      </c>
      <c r="I227" s="256"/>
      <c r="J227" s="2227">
        <v>0.5</v>
      </c>
      <c r="K227" s="256"/>
      <c r="L227" s="948">
        <f>Stores!D311</f>
        <v>125</v>
      </c>
      <c r="M227" s="256"/>
      <c r="N227" s="811">
        <f>AVERAGE(L227,L226)</f>
        <v>124.5</v>
      </c>
      <c r="O227" s="256"/>
      <c r="P227" s="288">
        <f>(N227/N220-1)*100</f>
        <v>0.40322580645162365</v>
      </c>
      <c r="Q227" s="643"/>
      <c r="R227" s="2258" t="s">
        <v>1896</v>
      </c>
      <c r="S227" s="587"/>
      <c r="T227" s="256"/>
      <c r="U227" s="256"/>
      <c r="V227" s="315">
        <f>V220*(1+D227/100)</f>
        <v>458.33699999999999</v>
      </c>
      <c r="W227" s="238"/>
      <c r="X227" s="818">
        <f>V227/N227</f>
        <v>3.681421686746988</v>
      </c>
      <c r="Y227" s="256"/>
      <c r="Z227" s="814">
        <f>(X227/X220-1)*100</f>
        <v>4.0803212851405535</v>
      </c>
      <c r="AA227" s="643"/>
      <c r="AB227" s="256"/>
      <c r="AC227" s="1017">
        <f>AC226+(L227-L226)*yrSales!$AD$86/1000000</f>
        <v>0.7456999999999997</v>
      </c>
      <c r="AD227" s="238"/>
      <c r="AE227" s="816">
        <f>AVERAGE(AC227,AC226)</f>
        <v>0.74454999999999971</v>
      </c>
      <c r="AF227" s="256"/>
      <c r="AG227" s="1507" t="s">
        <v>1086</v>
      </c>
      <c r="AH227" s="643"/>
      <c r="AI227" s="1507" t="s">
        <v>1086</v>
      </c>
      <c r="AJ227" s="587"/>
      <c r="AK227" s="256"/>
      <c r="AL227" s="315">
        <f>+V227</f>
        <v>458.33699999999999</v>
      </c>
      <c r="AM227" s="256"/>
      <c r="AN227" s="819">
        <f>AL227/AE227</f>
        <v>615.58928211671503</v>
      </c>
      <c r="AO227" s="256"/>
      <c r="AP227" s="1507" t="s">
        <v>1086</v>
      </c>
      <c r="AQ227" s="643"/>
      <c r="AR227" s="643"/>
      <c r="AS227" s="296">
        <f>qtrSales!AN209</f>
        <v>50.288272936536401</v>
      </c>
      <c r="AT227" s="315"/>
      <c r="AU227" s="814">
        <f>((AS227/AS220)-1)*100</f>
        <v>5.0000000000000044</v>
      </c>
      <c r="AV227" s="315"/>
      <c r="AW227" s="814">
        <f>AS227/V227*100</f>
        <v>10.971899047324655</v>
      </c>
      <c r="AX227" s="315"/>
      <c r="AY227" s="315"/>
      <c r="AZ227" s="1017">
        <v>0.76094819928837643</v>
      </c>
      <c r="BA227" s="1167">
        <f>(AZ227/AZ220-1)*100</f>
        <v>0</v>
      </c>
      <c r="BB227" s="1167"/>
      <c r="BC227" s="1017">
        <v>5.3887335376884789E-2</v>
      </c>
      <c r="BD227" s="1167">
        <f>(BC227/BC220-1)*100</f>
        <v>0</v>
      </c>
      <c r="BE227" s="621"/>
      <c r="BF227" s="1017">
        <v>0.27741177147472956</v>
      </c>
      <c r="BG227" s="1167">
        <f>(BF227/BF220-1)*100</f>
        <v>0</v>
      </c>
      <c r="BH227" s="256"/>
      <c r="BI227" s="297">
        <f>AZ225*BA227+BC225*BD227+BF225*BG227</f>
        <v>0</v>
      </c>
      <c r="BJ227" s="1167"/>
      <c r="BK227" s="297">
        <f t="shared" si="1"/>
        <v>0</v>
      </c>
      <c r="BL227" s="256"/>
      <c r="BM227" s="256"/>
      <c r="BN227" s="256">
        <v>0.87202674318257289</v>
      </c>
      <c r="BO227" s="929">
        <f>BN227/AZ220-1</f>
        <v>0.1459738573507039</v>
      </c>
      <c r="BP227" s="2049">
        <v>7.0561798022708302E-2</v>
      </c>
      <c r="BQ227" s="1482">
        <f>BP227/BC220-1</f>
        <v>0.30943193849173145</v>
      </c>
      <c r="BR227" s="621">
        <v>0.38309607761244818</v>
      </c>
      <c r="BS227" s="1482">
        <f>BR227/BF220-1</f>
        <v>0.38096547084464927</v>
      </c>
      <c r="BT227" s="1482">
        <f>$AZ$204*BO227+$BC$204*BQ227+$BF$204*BS227</f>
        <v>2.5485856774783929E-2</v>
      </c>
      <c r="BU227" s="621"/>
    </row>
    <row r="228" spans="1:73">
      <c r="A228" s="256" t="str">
        <f>$A$42</f>
        <v>3Q</v>
      </c>
      <c r="B228" s="302" t="str">
        <f>$B$42</f>
        <v>Oct</v>
      </c>
      <c r="C228" s="256"/>
      <c r="D228" s="288">
        <f>F228+H228+J228</f>
        <v>4.5</v>
      </c>
      <c r="E228" s="256"/>
      <c r="F228" s="1156">
        <v>0</v>
      </c>
      <c r="G228" s="256"/>
      <c r="H228" s="2091">
        <f>'segSales&amp;comps'!G238</f>
        <v>4</v>
      </c>
      <c r="I228" s="256"/>
      <c r="J228" s="2227">
        <v>0.5</v>
      </c>
      <c r="K228" s="256"/>
      <c r="L228" s="948">
        <f>Stores!D312</f>
        <v>125</v>
      </c>
      <c r="M228" s="238"/>
      <c r="N228" s="811">
        <f>AVERAGE(L228,L227)</f>
        <v>125</v>
      </c>
      <c r="O228" s="256"/>
      <c r="P228" s="288">
        <f>(N228/N221-1)*100</f>
        <v>0.40160642570281624</v>
      </c>
      <c r="Q228" s="643"/>
      <c r="R228" s="2258" t="s">
        <v>1896</v>
      </c>
      <c r="S228" s="587"/>
      <c r="T228" s="256"/>
      <c r="U228" s="256"/>
      <c r="V228" s="315">
        <f>V221*(1+D228/100)</f>
        <v>440.36299999999994</v>
      </c>
      <c r="W228" s="256"/>
      <c r="X228" s="818">
        <f>V228/N228</f>
        <v>3.5229039999999996</v>
      </c>
      <c r="Y228" s="256"/>
      <c r="Z228" s="814">
        <f>(X228/X221-1)*100</f>
        <v>4.0819999999999856</v>
      </c>
      <c r="AA228" s="643"/>
      <c r="AB228" s="256"/>
      <c r="AC228" s="1017">
        <f>AC227+(L228-L227)*yrSales!$AD$86/1000000</f>
        <v>0.7456999999999997</v>
      </c>
      <c r="AD228" s="238"/>
      <c r="AE228" s="816">
        <f>AVERAGE(AC228,AC227)</f>
        <v>0.7456999999999997</v>
      </c>
      <c r="AF228" s="256"/>
      <c r="AG228" s="1507" t="s">
        <v>1086</v>
      </c>
      <c r="AH228" s="643"/>
      <c r="AI228" s="1507" t="s">
        <v>1086</v>
      </c>
      <c r="AJ228" s="587"/>
      <c r="AK228" s="256"/>
      <c r="AL228" s="315">
        <f>+V228</f>
        <v>440.36299999999994</v>
      </c>
      <c r="AM228" s="256"/>
      <c r="AN228" s="819">
        <f>AL228/AE228</f>
        <v>590.53640874346263</v>
      </c>
      <c r="AO228" s="256"/>
      <c r="AP228" s="1507" t="s">
        <v>1086</v>
      </c>
      <c r="AQ228" s="643"/>
      <c r="AR228" s="643"/>
      <c r="AS228" s="296">
        <f>qtrSales!AN210</f>
        <v>42.20301668424537</v>
      </c>
      <c r="AT228" s="315"/>
      <c r="AU228" s="814">
        <f>((AS228/AS221)-1)*100</f>
        <v>5.0000000000000044</v>
      </c>
      <c r="AV228" s="315"/>
      <c r="AW228" s="814">
        <f>AS228/V228*100</f>
        <v>9.583688158234315</v>
      </c>
      <c r="AX228" s="315"/>
      <c r="AY228" s="315"/>
      <c r="AZ228" s="1017">
        <v>0.76094819928837643</v>
      </c>
      <c r="BA228" s="1167">
        <f>(AZ228/AZ221-1)*100</f>
        <v>0</v>
      </c>
      <c r="BB228" s="1167"/>
      <c r="BC228" s="1017">
        <v>5.3887335376884789E-2</v>
      </c>
      <c r="BD228" s="1167">
        <f>(BC228/BC221-1)*100</f>
        <v>0</v>
      </c>
      <c r="BE228" s="621"/>
      <c r="BF228" s="1017">
        <v>0.27741177147472956</v>
      </c>
      <c r="BG228" s="1167">
        <f>(BF228/BF221-1)*100</f>
        <v>0</v>
      </c>
      <c r="BH228" s="256"/>
      <c r="BI228" s="297">
        <f>AZ225*BA228+BC225*BD228+BF225*BG228</f>
        <v>0</v>
      </c>
      <c r="BJ228" s="1167"/>
      <c r="BK228" s="297">
        <f t="shared" si="1"/>
        <v>0</v>
      </c>
      <c r="BL228" s="256"/>
      <c r="BM228" s="256"/>
      <c r="BN228" s="256">
        <v>0.87202674318257289</v>
      </c>
      <c r="BO228" s="929">
        <f>BN228/AZ221-1</f>
        <v>0.1459738573507039</v>
      </c>
      <c r="BP228" s="2049">
        <v>7.0561798022708302E-2</v>
      </c>
      <c r="BQ228" s="1482">
        <f>BP228/BC221-1</f>
        <v>0.30943193849173145</v>
      </c>
      <c r="BR228" s="621">
        <v>0.38309607761244818</v>
      </c>
      <c r="BS228" s="1482">
        <f>BR228/BF221-1</f>
        <v>0.38096547084464927</v>
      </c>
      <c r="BT228" s="1482">
        <f>$AZ$204*BO228+$BC$204*BQ228+$BF$204*BS228</f>
        <v>2.5485856774783929E-2</v>
      </c>
      <c r="BU228" s="621"/>
    </row>
    <row r="229" spans="1:73">
      <c r="A229" s="256" t="str">
        <f>$A$43</f>
        <v>4Q</v>
      </c>
      <c r="B229" s="302" t="str">
        <f>$B$43</f>
        <v>Jan</v>
      </c>
      <c r="C229" s="256"/>
      <c r="D229" s="318">
        <f>F229+H229+J229</f>
        <v>0.5</v>
      </c>
      <c r="E229" s="256"/>
      <c r="F229" s="1148">
        <v>0</v>
      </c>
      <c r="G229" s="256"/>
      <c r="H229" s="2093">
        <f>'segSales&amp;comps'!G239</f>
        <v>0</v>
      </c>
      <c r="I229" s="256"/>
      <c r="J229" s="2230">
        <v>0.5</v>
      </c>
      <c r="K229" s="256"/>
      <c r="L229" s="949">
        <f>Stores!D313</f>
        <v>125</v>
      </c>
      <c r="M229" s="238"/>
      <c r="N229" s="820">
        <f>AVERAGE(L229,L228)</f>
        <v>125</v>
      </c>
      <c r="O229" s="256"/>
      <c r="P229" s="318">
        <f>(N229/N222-1)*100</f>
        <v>0.40160642570281624</v>
      </c>
      <c r="Q229" s="643"/>
      <c r="R229" s="1144" t="s">
        <v>1896</v>
      </c>
      <c r="S229" s="587"/>
      <c r="T229" s="256"/>
      <c r="U229" s="256"/>
      <c r="V229" s="316">
        <f>V222*(1+D229/100)</f>
        <v>622.29599999999994</v>
      </c>
      <c r="W229" s="256"/>
      <c r="X229" s="821">
        <f>V229/N229</f>
        <v>4.9783679999999997</v>
      </c>
      <c r="Y229" s="256"/>
      <c r="Z229" s="298">
        <f>(X229/X222-1)*100</f>
        <v>9.7999999999975884E-2</v>
      </c>
      <c r="AA229" s="643"/>
      <c r="AB229" s="256"/>
      <c r="AC229" s="1017">
        <f>AC228+(L229-L228)*yrSales!$AD$86/1000000</f>
        <v>0.7456999999999997</v>
      </c>
      <c r="AD229" s="238"/>
      <c r="AE229" s="822">
        <f>AVERAGE(AC229,AC228)</f>
        <v>0.7456999999999997</v>
      </c>
      <c r="AF229" s="256"/>
      <c r="AG229" s="1508" t="s">
        <v>1086</v>
      </c>
      <c r="AH229" s="643"/>
      <c r="AI229" s="1508" t="s">
        <v>1086</v>
      </c>
      <c r="AJ229" s="587"/>
      <c r="AK229" s="256"/>
      <c r="AL229" s="316">
        <f>+V229</f>
        <v>622.29599999999994</v>
      </c>
      <c r="AM229" s="256"/>
      <c r="AN229" s="823">
        <f>AL229/AE229</f>
        <v>834.51253855437869</v>
      </c>
      <c r="AO229" s="256"/>
      <c r="AP229" s="1508" t="s">
        <v>1086</v>
      </c>
      <c r="AQ229" s="643"/>
      <c r="AR229" s="643"/>
      <c r="AS229" s="922">
        <f>qtrSales!AN211</f>
        <v>103.71007313652586</v>
      </c>
      <c r="AT229" s="1518"/>
      <c r="AU229" s="298">
        <f>((AS229/AS222)-1)*100</f>
        <v>5.0000000000000044</v>
      </c>
      <c r="AV229" s="1518"/>
      <c r="AW229" s="298">
        <f>AS229/V229*100</f>
        <v>16.665714247966541</v>
      </c>
      <c r="AX229" s="1518"/>
      <c r="AY229" s="1518"/>
      <c r="AZ229" s="1601">
        <v>0.76094819928837643</v>
      </c>
      <c r="BA229" s="1602">
        <f>(AZ229/AZ222-1)*100</f>
        <v>0</v>
      </c>
      <c r="BB229" s="256"/>
      <c r="BC229" s="1601">
        <v>5.3887335376884789E-2</v>
      </c>
      <c r="BD229" s="1602">
        <f>(BC229/BC222-1)*100</f>
        <v>0</v>
      </c>
      <c r="BE229" s="621"/>
      <c r="BF229" s="1017">
        <v>0.27741177147472956</v>
      </c>
      <c r="BG229" s="1602">
        <f>(BF229/BF222-1)*100</f>
        <v>0</v>
      </c>
      <c r="BH229" s="256"/>
      <c r="BI229" s="298">
        <f>AZ225*BA229+BC225*BD229+BF225*BG229</f>
        <v>0</v>
      </c>
      <c r="BJ229" s="1167"/>
      <c r="BK229" s="298">
        <f t="shared" si="1"/>
        <v>0</v>
      </c>
      <c r="BL229" s="256"/>
      <c r="BM229" s="256"/>
      <c r="BN229" s="256">
        <v>0.87202674318257289</v>
      </c>
      <c r="BO229" s="929">
        <f>BN229/AZ222-1</f>
        <v>0.1459738573507039</v>
      </c>
      <c r="BP229" s="2049">
        <v>7.0561798022708302E-2</v>
      </c>
      <c r="BQ229" s="1482">
        <f>BP229/BC222-1</f>
        <v>0.30943193849173145</v>
      </c>
      <c r="BR229" s="621">
        <v>0.38309607761244818</v>
      </c>
      <c r="BS229" s="1482">
        <f>BR229/BF222-1</f>
        <v>0.38096547084464927</v>
      </c>
      <c r="BT229" s="1482">
        <f>$AZ$204*BO229+$BC$204*BQ229+$BF$204*BS229</f>
        <v>2.5485856774783929E-2</v>
      </c>
      <c r="BU229" s="621"/>
    </row>
    <row r="230" spans="1:73">
      <c r="A230" s="256"/>
      <c r="B230" s="302" t="str">
        <f>$B$44</f>
        <v>Year</v>
      </c>
      <c r="C230" s="256"/>
      <c r="D230" s="288">
        <f>(V230/V223-1)*100</f>
        <v>3.1761451707734256</v>
      </c>
      <c r="E230" s="256"/>
      <c r="F230" s="297">
        <f>F226*V219/V223+F227*V220/V223+F228*V221/V223+F229*V222/V223</f>
        <v>0</v>
      </c>
      <c r="G230" s="256"/>
      <c r="H230" s="2410">
        <f>H226*V219/V223+H227*V220/V223+H228*V221/V223+H229*V222/V223</f>
        <v>2.6761451707734247</v>
      </c>
      <c r="I230" s="256"/>
      <c r="J230" s="288">
        <f>D230-H230-F230</f>
        <v>0.50000000000000089</v>
      </c>
      <c r="K230" s="256"/>
      <c r="L230" s="951">
        <f>Stores!D314</f>
        <v>125</v>
      </c>
      <c r="M230" s="256"/>
      <c r="N230" s="811">
        <f>AVERAGE(N226:N229)</f>
        <v>124.625</v>
      </c>
      <c r="O230" s="256"/>
      <c r="P230" s="288">
        <f>(N230/N223-1)*100</f>
        <v>0.20100502512563345</v>
      </c>
      <c r="Q230" s="643"/>
      <c r="R230" s="812">
        <f>J230/P230*100</f>
        <v>248.74999999999386</v>
      </c>
      <c r="S230" s="587"/>
      <c r="T230" s="256"/>
      <c r="U230" s="256"/>
      <c r="V230" s="296">
        <f>SUM(V226:V229)</f>
        <v>1930.3224999999998</v>
      </c>
      <c r="W230" s="256"/>
      <c r="X230" s="2259">
        <f>V230/N230</f>
        <v>15.489047141424271</v>
      </c>
      <c r="Y230" s="256"/>
      <c r="Z230" s="814">
        <f>(X230/X223-1)*100</f>
        <v>2.9691719608019529</v>
      </c>
      <c r="AA230" s="643"/>
      <c r="AB230" s="256"/>
      <c r="AC230" s="256"/>
      <c r="AD230" s="256"/>
      <c r="AE230" s="816">
        <f>AVERAGE(AE226:AE229)</f>
        <v>0.74483749999999971</v>
      </c>
      <c r="AF230" s="256"/>
      <c r="AG230" s="1507" t="s">
        <v>1086</v>
      </c>
      <c r="AH230" s="643"/>
      <c r="AI230" s="1507" t="s">
        <v>1086</v>
      </c>
      <c r="AJ230" s="587"/>
      <c r="AK230" s="256"/>
      <c r="AL230" s="296">
        <f>SUM(AL226:AL229)</f>
        <v>1930.3224999999998</v>
      </c>
      <c r="AM230" s="256"/>
      <c r="AN230" s="2260">
        <f>AL230/AE230</f>
        <v>2591.6021951096723</v>
      </c>
      <c r="AO230" s="256"/>
      <c r="AP230" s="1507" t="s">
        <v>1086</v>
      </c>
      <c r="AQ230" s="643"/>
      <c r="AR230" s="643"/>
      <c r="AS230" s="296">
        <f>qtrSales!AN212</f>
        <v>248.16584274642324</v>
      </c>
      <c r="AT230" s="296"/>
      <c r="AU230" s="814">
        <f>((AS230/AS223)-1)*100</f>
        <v>5.0000000000000044</v>
      </c>
      <c r="AV230" s="296"/>
      <c r="AW230" s="814">
        <f>AS230/V230*100</f>
        <v>12.856185572432754</v>
      </c>
      <c r="AX230" s="296"/>
      <c r="AY230" s="296"/>
      <c r="AZ230" s="1017">
        <f>AVERAGE(AZ226:AZ229)</f>
        <v>0.76094819928837643</v>
      </c>
      <c r="BA230" s="1167">
        <f>(AZ230/AZ223-1)*100</f>
        <v>42.798302428401215</v>
      </c>
      <c r="BB230" s="1167"/>
      <c r="BC230" s="1017">
        <f>AVERAGE(BC226:BC229)</f>
        <v>5.3887335376884789E-2</v>
      </c>
      <c r="BD230" s="1167">
        <f>(BC230/BC223-1)*100</f>
        <v>-1414.8891788993772</v>
      </c>
      <c r="BE230" s="621"/>
      <c r="BF230" s="1017">
        <f>AVERAGE(BF226:BF229)</f>
        <v>0.27741177147472956</v>
      </c>
      <c r="BG230" s="1167">
        <f>(BF230/BF223-1)*100</f>
        <v>121.61385250532999</v>
      </c>
      <c r="BH230" s="256"/>
      <c r="BI230" s="297">
        <f>AZ225*BA230+BC225*BD230+BF225*BG230</f>
        <v>-22.441642333608847</v>
      </c>
      <c r="BJ230" s="256"/>
      <c r="BK230" s="297">
        <f t="shared" si="1"/>
        <v>0</v>
      </c>
      <c r="BL230" s="256"/>
      <c r="BM230" s="256"/>
      <c r="BN230" s="302"/>
      <c r="BO230" s="587"/>
      <c r="BP230" s="587"/>
      <c r="BQ230" s="621"/>
      <c r="BR230" s="621"/>
      <c r="BS230" s="621"/>
      <c r="BT230" s="621"/>
      <c r="BU230" s="621"/>
    </row>
    <row r="231" spans="1:73">
      <c r="A231" s="256"/>
      <c r="B231" s="302"/>
      <c r="C231" s="256"/>
      <c r="D231" s="145"/>
      <c r="E231" s="256"/>
      <c r="F231" s="217"/>
      <c r="G231" s="256"/>
      <c r="H231" s="2085"/>
      <c r="I231" s="256"/>
      <c r="J231" s="145"/>
      <c r="K231" s="256"/>
      <c r="L231" s="1030"/>
      <c r="M231" s="256"/>
      <c r="N231" s="177"/>
      <c r="O231" s="256"/>
      <c r="P231" s="288"/>
      <c r="Q231" s="643"/>
      <c r="R231" s="259"/>
      <c r="S231" s="587"/>
      <c r="T231" s="256"/>
      <c r="U231" s="256"/>
      <c r="V231" s="296"/>
      <c r="W231" s="256"/>
      <c r="X231" s="1031"/>
      <c r="Y231" s="256"/>
      <c r="Z231" s="219"/>
      <c r="AA231" s="643"/>
      <c r="AB231" s="256"/>
      <c r="AC231" s="256"/>
      <c r="AD231" s="256"/>
      <c r="AE231" s="254"/>
      <c r="AF231" s="256"/>
      <c r="AG231" s="1122"/>
      <c r="AH231" s="643"/>
      <c r="AI231" s="1122"/>
      <c r="AJ231" s="587"/>
      <c r="AK231" s="256"/>
      <c r="AL231" s="141"/>
      <c r="AM231" s="256"/>
      <c r="AN231" s="1032"/>
      <c r="AO231" s="256"/>
      <c r="AP231" s="1122"/>
      <c r="AQ231" s="643"/>
      <c r="AR231" s="643"/>
      <c r="AS231" s="141"/>
      <c r="AT231" s="141"/>
      <c r="AU231" s="219"/>
      <c r="AV231" s="141"/>
      <c r="AW231" s="219"/>
      <c r="AX231" s="141"/>
      <c r="AY231" s="141"/>
      <c r="AZ231" s="1017"/>
      <c r="BA231" s="1167"/>
      <c r="BB231" s="1167"/>
      <c r="BC231" s="1017"/>
      <c r="BD231" s="1167"/>
      <c r="BF231" s="1017"/>
      <c r="BG231" s="1167"/>
      <c r="BH231" s="256"/>
      <c r="BI231" s="297"/>
      <c r="BJ231" s="256"/>
      <c r="BK231" s="297">
        <f t="shared" si="1"/>
        <v>0</v>
      </c>
      <c r="BL231" s="256"/>
      <c r="BM231" s="256"/>
      <c r="BN231" s="302"/>
      <c r="BO231" s="587"/>
      <c r="BP231" s="587"/>
    </row>
    <row r="232" spans="1:73">
      <c r="A232" s="132"/>
      <c r="B232" s="174"/>
      <c r="C232" s="132"/>
      <c r="D232" s="256"/>
      <c r="E232" s="256"/>
      <c r="F232" s="256"/>
      <c r="G232" s="256"/>
      <c r="H232" s="2091"/>
      <c r="I232" s="256"/>
      <c r="J232" s="132"/>
      <c r="K232" s="132"/>
      <c r="L232" s="132"/>
      <c r="M232" s="132"/>
      <c r="N232" s="132"/>
      <c r="O232" s="132"/>
      <c r="P232" s="132"/>
      <c r="Q232" s="230"/>
      <c r="R232" s="132"/>
      <c r="S232" s="132"/>
      <c r="T232" s="132"/>
      <c r="U232" s="132"/>
      <c r="V232" s="132"/>
      <c r="W232" s="132"/>
      <c r="X232" s="132"/>
      <c r="Y232" s="132"/>
      <c r="Z232" s="132"/>
      <c r="AA232" s="132"/>
      <c r="AB232" s="132"/>
      <c r="AC232" s="132"/>
      <c r="AD232" s="132"/>
      <c r="AE232" s="132"/>
      <c r="AF232" s="132"/>
      <c r="AG232" s="132"/>
      <c r="AH232" s="230"/>
      <c r="AI232" s="143"/>
      <c r="AJ232" s="132"/>
      <c r="AK232" s="132"/>
      <c r="AL232" s="132"/>
      <c r="AM232" s="132"/>
      <c r="AN232" s="132"/>
      <c r="AO232" s="132"/>
      <c r="AP232" s="132"/>
      <c r="AQ232" s="132"/>
      <c r="AR232" s="132"/>
      <c r="AS232" s="132"/>
      <c r="AT232" s="132"/>
      <c r="AU232" s="132"/>
      <c r="AV232" s="132"/>
      <c r="AW232" s="132"/>
      <c r="AX232" s="132"/>
      <c r="AY232" s="132"/>
      <c r="AZ232" s="256"/>
      <c r="BA232" s="132"/>
      <c r="BB232" s="132"/>
      <c r="BC232" s="132"/>
      <c r="BD232" s="132"/>
      <c r="BE232" s="132"/>
      <c r="BF232" s="132"/>
      <c r="BG232" s="132"/>
      <c r="BH232" s="132"/>
      <c r="BI232" s="132"/>
      <c r="BJ232" s="132"/>
      <c r="BK232" s="132"/>
      <c r="BL232" s="132"/>
      <c r="BM232" s="132"/>
      <c r="BN232" s="132"/>
      <c r="BO232" s="587"/>
      <c r="BP232" s="587"/>
    </row>
    <row r="233" spans="1:73" hidden="1" outlineLevel="1">
      <c r="A233" s="133" t="str">
        <f>A1&amp;" - International"</f>
        <v>Tiffany and Co. - International</v>
      </c>
      <c r="B233" s="174"/>
      <c r="C233" s="132"/>
      <c r="D233" s="256"/>
      <c r="E233" s="256"/>
      <c r="F233" s="256"/>
      <c r="G233" s="256"/>
      <c r="H233" s="2091"/>
      <c r="I233" s="256"/>
      <c r="J233" s="132"/>
      <c r="K233" s="132"/>
      <c r="L233" s="132"/>
      <c r="M233" s="132"/>
      <c r="N233" s="132"/>
      <c r="O233" s="132"/>
      <c r="P233" s="132"/>
      <c r="Q233" s="230"/>
      <c r="R233" s="132"/>
      <c r="S233" s="132"/>
      <c r="T233" s="132"/>
      <c r="U233" s="132"/>
      <c r="V233" s="132"/>
      <c r="W233" s="132"/>
      <c r="X233" s="132"/>
      <c r="Y233" s="132"/>
      <c r="Z233" s="132"/>
      <c r="AA233" s="132"/>
      <c r="AB233" s="132"/>
      <c r="AC233" s="132"/>
      <c r="AD233" s="132"/>
      <c r="AE233" s="132"/>
      <c r="AF233" s="132"/>
      <c r="AG233" s="132"/>
      <c r="AH233" s="230"/>
      <c r="AI233" s="132"/>
      <c r="AJ233" s="132"/>
      <c r="AK233" s="132"/>
      <c r="AL233" s="132"/>
      <c r="AM233" s="132"/>
      <c r="AN233" s="132"/>
      <c r="AO233" s="132"/>
      <c r="AP233" s="132"/>
      <c r="AQ233" s="132"/>
      <c r="AR233" s="132"/>
      <c r="AS233" s="132"/>
      <c r="AT233" s="132"/>
      <c r="AU233" s="132"/>
      <c r="AV233" s="132"/>
      <c r="AW233" s="132"/>
      <c r="AX233" s="132"/>
      <c r="AY233" s="132"/>
      <c r="AZ233" s="132"/>
      <c r="BA233" s="132"/>
      <c r="BB233" s="132"/>
      <c r="BC233" s="132"/>
      <c r="BD233" s="132"/>
      <c r="BE233" s="132"/>
      <c r="BF233" s="132"/>
      <c r="BG233" s="132"/>
      <c r="BH233" s="132"/>
      <c r="BI233" s="132"/>
      <c r="BJ233" s="132"/>
      <c r="BK233" s="132"/>
      <c r="BL233" s="132"/>
      <c r="BM233" s="132"/>
      <c r="BN233" s="132"/>
      <c r="BO233" s="587"/>
      <c r="BP233" s="587"/>
    </row>
    <row r="234" spans="1:73" hidden="1" outlineLevel="1">
      <c r="A234" s="135" t="s">
        <v>1087</v>
      </c>
      <c r="B234" s="774"/>
      <c r="C234" s="164"/>
      <c r="D234" s="775"/>
      <c r="E234" s="775"/>
      <c r="F234" s="775"/>
      <c r="G234" s="775"/>
      <c r="H234" s="2095"/>
      <c r="I234" s="775"/>
      <c r="J234" s="164"/>
      <c r="K234" s="164"/>
      <c r="L234" s="164"/>
      <c r="M234" s="164"/>
      <c r="N234" s="164"/>
      <c r="O234" s="164"/>
      <c r="P234" s="164"/>
      <c r="Q234" s="231"/>
      <c r="R234" s="164"/>
      <c r="S234" s="164"/>
      <c r="T234" s="164"/>
      <c r="U234" s="164"/>
      <c r="V234" s="164"/>
      <c r="W234" s="164"/>
      <c r="X234" s="164"/>
      <c r="Y234" s="164"/>
      <c r="Z234" s="164"/>
      <c r="AA234" s="164"/>
      <c r="AB234" s="164"/>
      <c r="AC234" s="164"/>
      <c r="AD234" s="164"/>
      <c r="AE234" s="164"/>
      <c r="AF234" s="164"/>
      <c r="AG234" s="164"/>
      <c r="AH234" s="231"/>
      <c r="AI234" s="164"/>
      <c r="AJ234" s="164"/>
      <c r="AK234" s="164"/>
      <c r="AL234" s="164"/>
      <c r="AM234" s="164"/>
      <c r="AN234" s="164"/>
      <c r="AO234" s="164"/>
      <c r="AP234" s="164"/>
      <c r="AQ234" s="164"/>
      <c r="AR234" s="138"/>
      <c r="AS234" s="132"/>
      <c r="AT234" s="132"/>
      <c r="AU234" s="132"/>
      <c r="AV234" s="132"/>
      <c r="AW234" s="132"/>
      <c r="AX234" s="132"/>
      <c r="AY234" s="132"/>
      <c r="AZ234" s="132"/>
      <c r="BA234" s="132"/>
      <c r="BB234" s="132"/>
      <c r="BC234" s="132"/>
      <c r="BD234" s="132"/>
      <c r="BE234" s="132"/>
      <c r="BF234" s="132"/>
      <c r="BG234" s="132"/>
      <c r="BH234" s="132"/>
      <c r="BI234" s="132"/>
      <c r="BJ234" s="132"/>
      <c r="BK234" s="132"/>
      <c r="BL234" s="132"/>
      <c r="BM234" s="132"/>
      <c r="BN234" s="132"/>
      <c r="BO234" s="587"/>
      <c r="BP234" s="587"/>
    </row>
    <row r="235" spans="1:73" hidden="1" outlineLevel="1">
      <c r="A235" s="155"/>
      <c r="B235" s="174"/>
      <c r="C235" s="132"/>
      <c r="D235" s="256"/>
      <c r="E235" s="256"/>
      <c r="F235" s="256"/>
      <c r="G235" s="256"/>
      <c r="H235" s="2091"/>
      <c r="I235" s="256"/>
      <c r="J235" s="132"/>
      <c r="K235" s="132"/>
      <c r="L235" s="132"/>
      <c r="M235" s="132"/>
      <c r="N235" s="132"/>
      <c r="O235" s="132"/>
      <c r="P235" s="132"/>
      <c r="Q235" s="230"/>
      <c r="R235" s="132"/>
      <c r="S235" s="132"/>
      <c r="T235" s="132"/>
      <c r="U235" s="132"/>
      <c r="V235" s="132"/>
      <c r="W235" s="132"/>
      <c r="X235" s="132"/>
      <c r="Y235" s="132"/>
      <c r="Z235" s="132"/>
      <c r="AA235" s="132"/>
      <c r="AB235" s="132"/>
      <c r="AC235" s="132"/>
      <c r="AD235" s="132"/>
      <c r="AE235" s="132"/>
      <c r="AF235" s="132"/>
      <c r="AG235" s="132"/>
      <c r="AH235" s="230"/>
      <c r="AI235" s="132"/>
      <c r="AJ235" s="132"/>
      <c r="AK235" s="132"/>
      <c r="AL235" s="132"/>
      <c r="AM235" s="132"/>
      <c r="AN235" s="132"/>
      <c r="AO235" s="132"/>
      <c r="AP235" s="132"/>
      <c r="AQ235" s="132"/>
      <c r="AR235" s="132"/>
      <c r="AS235" s="132"/>
      <c r="AT235" s="132"/>
      <c r="AU235" s="132"/>
      <c r="AV235" s="132"/>
      <c r="AW235" s="132"/>
      <c r="AX235" s="132"/>
      <c r="AY235" s="132"/>
      <c r="AZ235" s="132"/>
      <c r="BA235" s="132"/>
      <c r="BB235" s="132"/>
      <c r="BC235" s="132"/>
      <c r="BD235" s="132"/>
      <c r="BE235" s="132"/>
      <c r="BF235" s="132"/>
      <c r="BG235" s="132"/>
      <c r="BH235" s="132"/>
      <c r="BI235" s="132"/>
      <c r="BJ235" s="132"/>
      <c r="BK235" s="132"/>
      <c r="BL235" s="132"/>
      <c r="BM235" s="132"/>
      <c r="BN235" s="132"/>
      <c r="BO235" s="587"/>
      <c r="BP235" s="587"/>
    </row>
    <row r="236" spans="1:73" hidden="1" outlineLevel="1">
      <c r="A236" s="132"/>
      <c r="B236" s="174"/>
      <c r="C236" s="132"/>
      <c r="D236" s="132"/>
      <c r="E236" s="132"/>
      <c r="F236" s="132"/>
      <c r="G236" s="132"/>
      <c r="H236" s="2085"/>
      <c r="I236" s="132"/>
      <c r="J236" s="132"/>
      <c r="K236" s="132"/>
      <c r="L236" s="260" t="s">
        <v>111</v>
      </c>
      <c r="M236" s="261"/>
      <c r="N236" s="261"/>
      <c r="O236" s="261"/>
      <c r="P236" s="261"/>
      <c r="Q236" s="261"/>
      <c r="R236" s="261"/>
      <c r="S236" s="261"/>
      <c r="T236" s="261"/>
      <c r="U236" s="261"/>
      <c r="V236" s="261"/>
      <c r="W236" s="261"/>
      <c r="X236" s="261"/>
      <c r="Y236" s="261"/>
      <c r="Z236" s="261"/>
      <c r="AA236" s="262"/>
      <c r="AB236" s="132"/>
      <c r="AC236" s="260" t="s">
        <v>1890</v>
      </c>
      <c r="AD236" s="261"/>
      <c r="AE236" s="261"/>
      <c r="AF236" s="261"/>
      <c r="AG236" s="261"/>
      <c r="AH236" s="261"/>
      <c r="AI236" s="261"/>
      <c r="AJ236" s="261"/>
      <c r="AK236" s="261"/>
      <c r="AL236" s="261"/>
      <c r="AM236" s="261"/>
      <c r="AN236" s="261"/>
      <c r="AO236" s="261"/>
      <c r="AP236" s="261"/>
      <c r="AQ236" s="262"/>
      <c r="AR236" s="167"/>
      <c r="AS236" s="132"/>
      <c r="AT236" s="132"/>
      <c r="AU236" s="132"/>
      <c r="AV236" s="132"/>
      <c r="AW236" s="132"/>
      <c r="AX236" s="132"/>
      <c r="AY236" s="132"/>
      <c r="AZ236" s="132"/>
      <c r="BA236" s="132"/>
      <c r="BB236" s="132"/>
      <c r="BC236" s="132"/>
      <c r="BD236" s="132"/>
      <c r="BE236" s="132"/>
      <c r="BF236" s="132"/>
      <c r="BG236" s="132"/>
      <c r="BH236" s="132"/>
      <c r="BI236" s="132"/>
      <c r="BJ236" s="132"/>
      <c r="BK236" s="132"/>
      <c r="BL236" s="132"/>
      <c r="BM236" s="132"/>
      <c r="BN236" s="132"/>
      <c r="BO236" s="587"/>
      <c r="BP236" s="587"/>
    </row>
    <row r="237" spans="1:73" hidden="1" outlineLevel="1">
      <c r="A237" s="132"/>
      <c r="B237" s="174"/>
      <c r="C237" s="132"/>
      <c r="D237" s="163"/>
      <c r="E237" s="165" t="s">
        <v>1015</v>
      </c>
      <c r="F237" s="163"/>
      <c r="G237" s="165"/>
      <c r="H237" s="2086"/>
      <c r="I237" s="132"/>
      <c r="J237" s="166" t="s">
        <v>47</v>
      </c>
      <c r="K237" s="132"/>
      <c r="L237" s="132"/>
      <c r="M237" s="132"/>
      <c r="N237" s="132"/>
      <c r="O237" s="132"/>
      <c r="P237" s="132"/>
      <c r="Q237" s="132"/>
      <c r="R237" s="167" t="s">
        <v>2025</v>
      </c>
      <c r="S237" s="167"/>
      <c r="T237" s="132"/>
      <c r="U237" s="132"/>
      <c r="V237" s="164"/>
      <c r="W237" s="164"/>
      <c r="X237" s="163" t="s">
        <v>109</v>
      </c>
      <c r="Y237" s="164"/>
      <c r="Z237" s="164"/>
      <c r="AA237" s="230"/>
      <c r="AB237" s="132"/>
      <c r="AC237" s="132"/>
      <c r="AD237" s="132"/>
      <c r="AE237" s="132"/>
      <c r="AF237" s="132"/>
      <c r="AG237" s="132"/>
      <c r="AH237" s="132"/>
      <c r="AI237" s="167"/>
      <c r="AJ237" s="167"/>
      <c r="AK237" s="132"/>
      <c r="AL237" s="164"/>
      <c r="AM237" s="164"/>
      <c r="AN237" s="165" t="s">
        <v>110</v>
      </c>
      <c r="AO237" s="164"/>
      <c r="AP237" s="164"/>
      <c r="AQ237" s="230"/>
      <c r="AR237" s="230"/>
      <c r="AS237" s="132"/>
      <c r="AT237" s="132"/>
      <c r="AU237" s="132"/>
      <c r="AV237" s="132"/>
      <c r="AW237" s="132"/>
      <c r="AX237" s="132"/>
      <c r="AY237" s="132"/>
      <c r="AZ237" s="132"/>
      <c r="BA237" s="132"/>
      <c r="BB237" s="132"/>
      <c r="BC237" s="132"/>
      <c r="BD237" s="132"/>
      <c r="BE237" s="132"/>
      <c r="BF237" s="132"/>
      <c r="BG237" s="132"/>
      <c r="BH237" s="132"/>
      <c r="BI237" s="132"/>
      <c r="BJ237" s="132"/>
      <c r="BK237" s="132"/>
      <c r="BL237" s="132"/>
      <c r="BM237" s="132"/>
      <c r="BN237" s="132"/>
      <c r="BO237" s="587"/>
      <c r="BP237" s="587"/>
    </row>
    <row r="238" spans="1:73" hidden="1" outlineLevel="1">
      <c r="A238" s="256"/>
      <c r="B238" s="302"/>
      <c r="C238" s="256"/>
      <c r="D238" s="274"/>
      <c r="E238" s="274"/>
      <c r="F238" s="274"/>
      <c r="G238" s="274"/>
      <c r="H238" s="2079" t="s">
        <v>46</v>
      </c>
      <c r="I238" s="274"/>
      <c r="J238" s="291" t="s">
        <v>48</v>
      </c>
      <c r="K238" s="256"/>
      <c r="L238" s="291"/>
      <c r="M238" s="291" t="s">
        <v>2020</v>
      </c>
      <c r="N238" s="291"/>
      <c r="O238" s="274"/>
      <c r="P238" s="274" t="s">
        <v>2023</v>
      </c>
      <c r="Q238" s="256"/>
      <c r="R238" s="739" t="s">
        <v>2026</v>
      </c>
      <c r="S238" s="739"/>
      <c r="T238" s="256"/>
      <c r="U238" s="256"/>
      <c r="V238" s="256"/>
      <c r="W238" s="256"/>
      <c r="X238" s="274" t="s">
        <v>616</v>
      </c>
      <c r="Y238" s="256"/>
      <c r="Z238" s="274" t="s">
        <v>618</v>
      </c>
      <c r="AA238" s="643"/>
      <c r="AB238" s="256"/>
      <c r="AC238" s="291"/>
      <c r="AD238" s="291" t="s">
        <v>442</v>
      </c>
      <c r="AE238" s="291"/>
      <c r="AF238" s="274"/>
      <c r="AG238" s="274" t="s">
        <v>2023</v>
      </c>
      <c r="AH238" s="256"/>
      <c r="AI238" s="739"/>
      <c r="AJ238" s="739"/>
      <c r="AK238" s="256"/>
      <c r="AL238" s="256"/>
      <c r="AM238" s="256"/>
      <c r="AN238" s="274" t="s">
        <v>616</v>
      </c>
      <c r="AO238" s="256"/>
      <c r="AP238" s="274" t="s">
        <v>618</v>
      </c>
      <c r="AQ238" s="643"/>
      <c r="AR238" s="643"/>
      <c r="AS238" s="256"/>
      <c r="AT238" s="256"/>
      <c r="AU238" s="256"/>
      <c r="AV238" s="256"/>
      <c r="AW238" s="256"/>
      <c r="AX238" s="256"/>
      <c r="AY238" s="256"/>
      <c r="AZ238" s="256"/>
      <c r="BA238" s="256"/>
      <c r="BB238" s="256"/>
      <c r="BC238" s="256"/>
      <c r="BD238" s="256"/>
      <c r="BE238" s="256"/>
      <c r="BF238" s="256"/>
      <c r="BG238" s="256"/>
      <c r="BH238" s="256"/>
      <c r="BI238" s="256"/>
      <c r="BJ238" s="256"/>
      <c r="BK238" s="256"/>
      <c r="BL238" s="256"/>
      <c r="BM238" s="256"/>
      <c r="BN238" s="256"/>
      <c r="BO238" s="587"/>
      <c r="BP238" s="587"/>
    </row>
    <row r="239" spans="1:73" hidden="1" outlineLevel="1">
      <c r="A239" s="256"/>
      <c r="B239" s="302"/>
      <c r="C239" s="256"/>
      <c r="D239" s="291" t="s">
        <v>45</v>
      </c>
      <c r="E239" s="274"/>
      <c r="F239" s="291"/>
      <c r="G239" s="274"/>
      <c r="H239" s="2080" t="s">
        <v>1028</v>
      </c>
      <c r="I239" s="274"/>
      <c r="J239" s="274" t="s">
        <v>2016</v>
      </c>
      <c r="K239" s="256"/>
      <c r="L239" s="291" t="s">
        <v>45</v>
      </c>
      <c r="M239" s="274"/>
      <c r="N239" s="291" t="s">
        <v>1041</v>
      </c>
      <c r="O239" s="274"/>
      <c r="P239" s="291" t="s">
        <v>1970</v>
      </c>
      <c r="Q239" s="256"/>
      <c r="R239" s="776" t="s">
        <v>2259</v>
      </c>
      <c r="S239" s="776"/>
      <c r="T239" s="256"/>
      <c r="U239" s="256"/>
      <c r="V239" s="291" t="s">
        <v>45</v>
      </c>
      <c r="W239" s="256"/>
      <c r="X239" s="291" t="s">
        <v>1456</v>
      </c>
      <c r="Y239" s="256"/>
      <c r="Z239" s="291" t="s">
        <v>1457</v>
      </c>
      <c r="AA239" s="643"/>
      <c r="AB239" s="256"/>
      <c r="AC239" s="291" t="s">
        <v>45</v>
      </c>
      <c r="AD239" s="274"/>
      <c r="AE239" s="291" t="s">
        <v>1041</v>
      </c>
      <c r="AF239" s="274"/>
      <c r="AG239" s="291" t="s">
        <v>1970</v>
      </c>
      <c r="AH239" s="256"/>
      <c r="AI239" s="776"/>
      <c r="AJ239" s="776"/>
      <c r="AK239" s="256"/>
      <c r="AL239" s="291" t="s">
        <v>45</v>
      </c>
      <c r="AM239" s="256"/>
      <c r="AN239" s="291" t="s">
        <v>103</v>
      </c>
      <c r="AO239" s="256"/>
      <c r="AP239" s="291" t="s">
        <v>1457</v>
      </c>
      <c r="AQ239" s="643"/>
      <c r="AR239" s="643"/>
      <c r="AS239" s="256"/>
      <c r="AT239" s="256"/>
      <c r="AU239" s="256"/>
      <c r="AV239" s="256"/>
      <c r="AW239" s="256"/>
      <c r="AX239" s="256"/>
      <c r="AY239" s="256"/>
      <c r="AZ239" s="256"/>
      <c r="BA239" s="256"/>
      <c r="BB239" s="256"/>
      <c r="BC239" s="256"/>
      <c r="BD239" s="256"/>
      <c r="BE239" s="256"/>
      <c r="BF239" s="256"/>
      <c r="BG239" s="256"/>
      <c r="BH239" s="256"/>
      <c r="BI239" s="256"/>
      <c r="BJ239" s="256"/>
      <c r="BK239" s="256"/>
      <c r="BL239" s="256"/>
      <c r="BM239" s="256"/>
      <c r="BN239" s="256"/>
      <c r="BO239" s="587"/>
      <c r="BP239" s="587"/>
    </row>
    <row r="240" spans="1:73" hidden="1" outlineLevel="1">
      <c r="A240" s="132"/>
      <c r="B240" s="174"/>
      <c r="C240" s="132"/>
      <c r="D240" s="277" t="s">
        <v>2018</v>
      </c>
      <c r="E240" s="166"/>
      <c r="F240" s="947"/>
      <c r="G240" s="166"/>
      <c r="H240" s="2082" t="s">
        <v>2019</v>
      </c>
      <c r="I240" s="166"/>
      <c r="J240" s="277" t="s">
        <v>2017</v>
      </c>
      <c r="K240" s="132"/>
      <c r="L240" s="277" t="s">
        <v>2021</v>
      </c>
      <c r="M240" s="166"/>
      <c r="N240" s="277" t="s">
        <v>2022</v>
      </c>
      <c r="O240" s="166"/>
      <c r="P240" s="277" t="s">
        <v>2024</v>
      </c>
      <c r="Q240" s="132"/>
      <c r="R240" s="258" t="s">
        <v>2260</v>
      </c>
      <c r="S240" s="258"/>
      <c r="T240" s="132"/>
      <c r="U240" s="132"/>
      <c r="V240" s="277" t="s">
        <v>615</v>
      </c>
      <c r="W240" s="132"/>
      <c r="X240" s="277" t="s">
        <v>617</v>
      </c>
      <c r="Y240" s="132"/>
      <c r="Z240" s="277" t="s">
        <v>619</v>
      </c>
      <c r="AA240" s="230"/>
      <c r="AB240" s="132"/>
      <c r="AC240" s="277" t="s">
        <v>100</v>
      </c>
      <c r="AD240" s="166"/>
      <c r="AE240" s="277" t="s">
        <v>101</v>
      </c>
      <c r="AF240" s="166"/>
      <c r="AG240" s="277" t="s">
        <v>102</v>
      </c>
      <c r="AH240" s="132"/>
      <c r="AI240" s="258"/>
      <c r="AJ240" s="258"/>
      <c r="AK240" s="132"/>
      <c r="AL240" s="277" t="s">
        <v>105</v>
      </c>
      <c r="AM240" s="132"/>
      <c r="AN240" s="277" t="s">
        <v>106</v>
      </c>
      <c r="AO240" s="132"/>
      <c r="AP240" s="277" t="s">
        <v>107</v>
      </c>
      <c r="AQ240" s="230"/>
      <c r="AR240" s="230"/>
      <c r="AS240" s="132"/>
      <c r="AT240" s="132"/>
      <c r="AU240" s="132"/>
      <c r="AV240" s="132"/>
      <c r="AW240" s="132"/>
      <c r="AX240" s="132"/>
      <c r="AY240" s="132"/>
      <c r="AZ240" s="132"/>
      <c r="BA240" s="132"/>
      <c r="BB240" s="132"/>
      <c r="BC240" s="132"/>
      <c r="BD240" s="132"/>
      <c r="BE240" s="132"/>
      <c r="BF240" s="132"/>
      <c r="BG240" s="132"/>
      <c r="BH240" s="132"/>
      <c r="BI240" s="132"/>
      <c r="BJ240" s="132"/>
      <c r="BK240" s="132"/>
      <c r="BL240" s="132"/>
      <c r="BM240" s="132"/>
      <c r="BN240" s="132"/>
      <c r="BO240" s="780"/>
      <c r="BP240" s="587"/>
    </row>
    <row r="241" spans="1:68" hidden="1" outlineLevel="2" collapsed="1">
      <c r="A241" s="169"/>
      <c r="B241" s="171">
        <v>1997</v>
      </c>
      <c r="C241" s="132"/>
      <c r="D241" s="132"/>
      <c r="E241" s="132"/>
      <c r="F241" s="256"/>
      <c r="G241" s="132"/>
      <c r="H241" s="2091"/>
      <c r="I241" s="132"/>
      <c r="J241" s="132"/>
      <c r="K241" s="230"/>
      <c r="L241" s="132"/>
      <c r="M241" s="132"/>
      <c r="N241" s="132"/>
      <c r="O241" s="132"/>
      <c r="P241" s="132"/>
      <c r="Q241" s="230"/>
      <c r="R241" s="138"/>
      <c r="S241" s="138"/>
      <c r="T241" s="132"/>
      <c r="U241" s="132"/>
      <c r="V241" s="256"/>
      <c r="W241" s="132"/>
      <c r="X241" s="132"/>
      <c r="Y241" s="132"/>
      <c r="Z241" s="132"/>
      <c r="AA241" s="230"/>
      <c r="AB241" s="132"/>
      <c r="AC241" s="139"/>
      <c r="AD241" s="132"/>
      <c r="AE241" s="132"/>
      <c r="AF241" s="132"/>
      <c r="AG241" s="132"/>
      <c r="AH241" s="230"/>
      <c r="AI241" s="138"/>
      <c r="AJ241" s="138"/>
      <c r="AK241" s="132"/>
      <c r="AL241" s="132"/>
      <c r="AM241" s="132"/>
      <c r="AN241" s="132"/>
      <c r="AO241" s="132"/>
      <c r="AP241" s="132"/>
      <c r="AQ241" s="230"/>
      <c r="AR241" s="230"/>
      <c r="AS241" s="132"/>
      <c r="AT241" s="132"/>
      <c r="AU241" s="132"/>
      <c r="AV241" s="132"/>
      <c r="AW241" s="132"/>
      <c r="AX241" s="132"/>
      <c r="AY241" s="132"/>
      <c r="AZ241" s="132"/>
      <c r="BA241" s="132"/>
      <c r="BB241" s="132"/>
      <c r="BC241" s="132"/>
      <c r="BD241" s="132"/>
      <c r="BE241" s="132"/>
      <c r="BF241" s="132"/>
      <c r="BG241" s="132"/>
      <c r="BH241" s="132"/>
      <c r="BI241" s="132"/>
      <c r="BJ241" s="132"/>
      <c r="BK241" s="132"/>
      <c r="BL241" s="132"/>
      <c r="BM241" s="132"/>
      <c r="BN241" s="132"/>
      <c r="BO241" s="587"/>
      <c r="BP241" s="587"/>
    </row>
    <row r="242" spans="1:68" hidden="1" outlineLevel="2">
      <c r="A242" s="132" t="str">
        <f>$A$40</f>
        <v>1Q</v>
      </c>
      <c r="B242" s="174" t="str">
        <f>$B$40</f>
        <v>Apr</v>
      </c>
      <c r="C242" s="132"/>
      <c r="D242" s="145"/>
      <c r="E242" s="230"/>
      <c r="F242" s="297"/>
      <c r="G242" s="230"/>
      <c r="H242" s="2091"/>
      <c r="I242" s="230"/>
      <c r="J242" s="145"/>
      <c r="K242" s="230"/>
      <c r="L242" s="725">
        <f>Stores!AX79</f>
        <v>61</v>
      </c>
      <c r="M242" s="132"/>
      <c r="N242" s="177">
        <f>L242</f>
        <v>61</v>
      </c>
      <c r="O242" s="132"/>
      <c r="P242" s="145"/>
      <c r="Q242" s="230"/>
      <c r="R242" s="259"/>
      <c r="S242" s="138"/>
      <c r="T242" s="132"/>
      <c r="U242" s="132"/>
      <c r="V242" s="296">
        <f>'segSales&amp;comps'!Q63</f>
        <v>95.238</v>
      </c>
      <c r="W242" s="132"/>
      <c r="X242" s="143">
        <f>V242/N242</f>
        <v>1.5612786885245902</v>
      </c>
      <c r="Y242" s="132"/>
      <c r="Z242" s="219"/>
      <c r="AA242" s="230" t="s">
        <v>1970</v>
      </c>
      <c r="AB242" s="132"/>
      <c r="AC242" s="237">
        <f>Stores!AH79</f>
        <v>0.14829999999999999</v>
      </c>
      <c r="AD242" s="132"/>
      <c r="AE242" s="254">
        <f>AC242</f>
        <v>0.14829999999999999</v>
      </c>
      <c r="AF242" s="132"/>
      <c r="AG242" s="145"/>
      <c r="AH242" s="230" t="s">
        <v>1970</v>
      </c>
      <c r="AI242" s="259"/>
      <c r="AJ242" s="138" t="s">
        <v>1970</v>
      </c>
      <c r="AK242" s="132"/>
      <c r="AL242" s="141">
        <f>+V242</f>
        <v>95.238</v>
      </c>
      <c r="AM242" s="132"/>
      <c r="AN242" s="244">
        <f>AL242/AE242</f>
        <v>642.19824679703311</v>
      </c>
      <c r="AO242" s="132"/>
      <c r="AP242" s="145"/>
      <c r="AQ242" s="230" t="s">
        <v>1970</v>
      </c>
      <c r="AR242" s="230"/>
      <c r="AS242" s="132"/>
      <c r="AT242" s="132"/>
      <c r="AU242" s="132"/>
      <c r="AV242" s="132"/>
      <c r="AW242" s="132"/>
      <c r="AX242" s="132"/>
      <c r="AY242" s="132"/>
      <c r="AZ242" s="132"/>
      <c r="BA242" s="132"/>
      <c r="BB242" s="132"/>
      <c r="BC242" s="132"/>
      <c r="BD242" s="132"/>
      <c r="BE242" s="132"/>
      <c r="BF242" s="132"/>
      <c r="BG242" s="132"/>
      <c r="BH242" s="132"/>
      <c r="BI242" s="132"/>
      <c r="BJ242" s="132"/>
      <c r="BK242" s="132"/>
      <c r="BL242" s="132"/>
      <c r="BM242" s="132"/>
      <c r="BN242" s="132"/>
      <c r="BO242" s="1592"/>
      <c r="BP242" s="587"/>
    </row>
    <row r="243" spans="1:68" hidden="1" outlineLevel="2">
      <c r="A243" s="132" t="str">
        <f>$A$41</f>
        <v>2Q</v>
      </c>
      <c r="B243" s="174" t="str">
        <f>$B$41</f>
        <v>Jul</v>
      </c>
      <c r="C243" s="132"/>
      <c r="D243" s="145"/>
      <c r="E243" s="132"/>
      <c r="F243" s="297"/>
      <c r="G243" s="132"/>
      <c r="H243" s="2091"/>
      <c r="I243" s="132"/>
      <c r="J243" s="145"/>
      <c r="K243" s="230"/>
      <c r="L243" s="725">
        <f>Stores!AX80</f>
        <v>64</v>
      </c>
      <c r="M243" s="132"/>
      <c r="N243" s="177">
        <f>L243</f>
        <v>64</v>
      </c>
      <c r="O243" s="132"/>
      <c r="P243" s="145"/>
      <c r="Q243" s="230"/>
      <c r="R243" s="259"/>
      <c r="S243" s="138"/>
      <c r="T243" s="132"/>
      <c r="U243" s="132"/>
      <c r="V243" s="296">
        <f>'segSales&amp;comps'!Q64</f>
        <v>90.908000000000001</v>
      </c>
      <c r="W243" s="132"/>
      <c r="X243" s="147">
        <f>V243/N243</f>
        <v>1.4204375</v>
      </c>
      <c r="Y243" s="132"/>
      <c r="Z243" s="219"/>
      <c r="AA243" s="230"/>
      <c r="AB243" s="132"/>
      <c r="AC243" s="237">
        <f>Stores!AH80</f>
        <v>0.15159999999999998</v>
      </c>
      <c r="AD243" s="132"/>
      <c r="AE243" s="254">
        <f>AC243</f>
        <v>0.15159999999999998</v>
      </c>
      <c r="AF243" s="132"/>
      <c r="AG243" s="145"/>
      <c r="AH243" s="230"/>
      <c r="AI243" s="259"/>
      <c r="AJ243" s="138"/>
      <c r="AK243" s="132"/>
      <c r="AL243" s="142">
        <f>+V243</f>
        <v>90.908000000000001</v>
      </c>
      <c r="AM243" s="132"/>
      <c r="AN243" s="245">
        <f>AL243/AE243</f>
        <v>599.65699208443277</v>
      </c>
      <c r="AO243" s="132"/>
      <c r="AP243" s="145"/>
      <c r="AQ243" s="230"/>
      <c r="AR243" s="230"/>
      <c r="AS243" s="132"/>
      <c r="AT243" s="132"/>
      <c r="AU243" s="132"/>
      <c r="AV243" s="132"/>
      <c r="AW243" s="132"/>
      <c r="AX243" s="132"/>
      <c r="AY243" s="132"/>
      <c r="AZ243" s="132"/>
      <c r="BA243" s="132"/>
      <c r="BB243" s="132"/>
      <c r="BC243" s="132"/>
      <c r="BD243" s="132"/>
      <c r="BE243" s="132"/>
      <c r="BF243" s="132"/>
      <c r="BG243" s="132"/>
      <c r="BH243" s="132"/>
      <c r="BI243" s="132"/>
      <c r="BJ243" s="132"/>
      <c r="BK243" s="132"/>
      <c r="BL243" s="132"/>
      <c r="BM243" s="132"/>
      <c r="BN243" s="132"/>
      <c r="BO243" s="1592"/>
      <c r="BP243" s="587"/>
    </row>
    <row r="244" spans="1:68" hidden="1" outlineLevel="2">
      <c r="A244" s="132" t="str">
        <f>$A$42</f>
        <v>3Q</v>
      </c>
      <c r="B244" s="174" t="str">
        <f>$B$42</f>
        <v>Oct</v>
      </c>
      <c r="C244" s="132"/>
      <c r="D244" s="145"/>
      <c r="E244" s="132"/>
      <c r="F244" s="297"/>
      <c r="G244" s="132"/>
      <c r="H244" s="2091"/>
      <c r="I244" s="132"/>
      <c r="J244" s="145"/>
      <c r="K244" s="230"/>
      <c r="L244" s="725">
        <f>Stores!AX81</f>
        <v>66</v>
      </c>
      <c r="M244" s="132"/>
      <c r="N244" s="177">
        <f>L244</f>
        <v>66</v>
      </c>
      <c r="O244" s="132"/>
      <c r="P244" s="145"/>
      <c r="Q244" s="230"/>
      <c r="R244" s="259"/>
      <c r="S244" s="138"/>
      <c r="T244" s="132"/>
      <c r="U244" s="132"/>
      <c r="V244" s="296">
        <f>'segSales&amp;comps'!Q65</f>
        <v>93.956000000000003</v>
      </c>
      <c r="W244" s="132"/>
      <c r="X244" s="147">
        <f>V244/N244</f>
        <v>1.4235757575757577</v>
      </c>
      <c r="Y244" s="132"/>
      <c r="Z244" s="219"/>
      <c r="AA244" s="230"/>
      <c r="AB244" s="132"/>
      <c r="AC244" s="237">
        <f>Stores!AH81</f>
        <v>0.15379999999999999</v>
      </c>
      <c r="AD244" s="132"/>
      <c r="AE244" s="254">
        <f>AC244</f>
        <v>0.15379999999999999</v>
      </c>
      <c r="AF244" s="132"/>
      <c r="AG244" s="145"/>
      <c r="AH244" s="230"/>
      <c r="AI244" s="259"/>
      <c r="AJ244" s="138"/>
      <c r="AK244" s="132"/>
      <c r="AL244" s="142">
        <f>+V244</f>
        <v>93.956000000000003</v>
      </c>
      <c r="AM244" s="132"/>
      <c r="AN244" s="245">
        <f>AL244/AE244</f>
        <v>610.89726918075428</v>
      </c>
      <c r="AO244" s="132"/>
      <c r="AP244" s="219"/>
      <c r="AQ244" s="230"/>
      <c r="AR244" s="230"/>
      <c r="AS244" s="132"/>
      <c r="AT244" s="132"/>
      <c r="AU244" s="132"/>
      <c r="AV244" s="132"/>
      <c r="AW244" s="132"/>
      <c r="AX244" s="132"/>
      <c r="AY244" s="132"/>
      <c r="AZ244" s="132"/>
      <c r="BA244" s="132"/>
      <c r="BB244" s="132"/>
      <c r="BC244" s="132"/>
      <c r="BD244" s="132"/>
      <c r="BE244" s="132"/>
      <c r="BF244" s="132"/>
      <c r="BG244" s="132"/>
      <c r="BH244" s="132"/>
      <c r="BI244" s="132"/>
      <c r="BJ244" s="132"/>
      <c r="BK244" s="132"/>
      <c r="BL244" s="132"/>
      <c r="BM244" s="132"/>
      <c r="BN244" s="132"/>
      <c r="BO244" s="1592"/>
      <c r="BP244" s="587"/>
    </row>
    <row r="245" spans="1:68" hidden="1" outlineLevel="2">
      <c r="A245" s="132" t="str">
        <f>$A$43</f>
        <v>4Q</v>
      </c>
      <c r="B245" s="174" t="str">
        <f>$B$43</f>
        <v>Jan</v>
      </c>
      <c r="C245" s="132"/>
      <c r="D245" s="176"/>
      <c r="E245" s="132"/>
      <c r="F245" s="298"/>
      <c r="G245" s="132"/>
      <c r="H245" s="2095"/>
      <c r="I245" s="132"/>
      <c r="J245" s="176"/>
      <c r="K245" s="230"/>
      <c r="L245" s="917">
        <f>Stores!AX82</f>
        <v>68</v>
      </c>
      <c r="M245" s="132"/>
      <c r="N245" s="178">
        <f>L245</f>
        <v>68</v>
      </c>
      <c r="O245" s="132"/>
      <c r="P245" s="176"/>
      <c r="Q245" s="230"/>
      <c r="R245" s="178"/>
      <c r="S245" s="138"/>
      <c r="T245" s="132"/>
      <c r="U245" s="132"/>
      <c r="V245" s="922">
        <f>'segSales&amp;comps'!Q66</f>
        <v>141.167</v>
      </c>
      <c r="W245" s="132"/>
      <c r="X245" s="148">
        <f>V245/N245</f>
        <v>2.0759852941176469</v>
      </c>
      <c r="Y245" s="132"/>
      <c r="Z245" s="218"/>
      <c r="AA245" s="230"/>
      <c r="AB245" s="132"/>
      <c r="AC245" s="237">
        <f>Stores!AH82</f>
        <v>0.156</v>
      </c>
      <c r="AD245" s="132"/>
      <c r="AE245" s="254">
        <f>AC245</f>
        <v>0.156</v>
      </c>
      <c r="AF245" s="132"/>
      <c r="AG245" s="176"/>
      <c r="AH245" s="230"/>
      <c r="AI245" s="178"/>
      <c r="AJ245" s="138"/>
      <c r="AK245" s="132"/>
      <c r="AL245" s="146">
        <f>+V245</f>
        <v>141.167</v>
      </c>
      <c r="AM245" s="132"/>
      <c r="AN245" s="257">
        <f>AL245/AE245</f>
        <v>904.91666666666663</v>
      </c>
      <c r="AO245" s="132"/>
      <c r="AP245" s="218"/>
      <c r="AQ245" s="230"/>
      <c r="AR245" s="230"/>
      <c r="AS245" s="132"/>
      <c r="AT245" s="132"/>
      <c r="AU245" s="132"/>
      <c r="AV245" s="132"/>
      <c r="AW245" s="132"/>
      <c r="AX245" s="132"/>
      <c r="AY245" s="132"/>
      <c r="AZ245" s="132"/>
      <c r="BA245" s="132"/>
      <c r="BB245" s="132"/>
      <c r="BC245" s="132"/>
      <c r="BD245" s="132"/>
      <c r="BE245" s="132"/>
      <c r="BF245" s="132"/>
      <c r="BG245" s="132"/>
      <c r="BH245" s="132"/>
      <c r="BI245" s="132"/>
      <c r="BJ245" s="132"/>
      <c r="BK245" s="132"/>
      <c r="BL245" s="132"/>
      <c r="BM245" s="132"/>
      <c r="BN245" s="132"/>
      <c r="BO245" s="1592"/>
      <c r="BP245" s="587"/>
    </row>
    <row r="246" spans="1:68" hidden="1" outlineLevel="2">
      <c r="A246" s="132"/>
      <c r="B246" s="174" t="str">
        <f>$B$44</f>
        <v>Year</v>
      </c>
      <c r="C246" s="132"/>
      <c r="D246" s="145"/>
      <c r="E246" s="132"/>
      <c r="F246" s="297"/>
      <c r="G246" s="132"/>
      <c r="H246" s="2091"/>
      <c r="I246" s="132"/>
      <c r="J246" s="145"/>
      <c r="K246" s="230"/>
      <c r="L246" s="725">
        <f>+Stores!O83+Stores!AA83+Stores!AD83</f>
        <v>68</v>
      </c>
      <c r="M246" s="132"/>
      <c r="N246" s="177">
        <f>L246</f>
        <v>68</v>
      </c>
      <c r="O246" s="132"/>
      <c r="P246" s="145"/>
      <c r="Q246" s="230"/>
      <c r="R246" s="259"/>
      <c r="S246" s="138"/>
      <c r="T246" s="132"/>
      <c r="U246" s="132"/>
      <c r="V246" s="296">
        <f>SUM(V242:V245)</f>
        <v>421.26900000000001</v>
      </c>
      <c r="W246" s="132"/>
      <c r="X246" s="143">
        <f>SUM(X242:X245)</f>
        <v>6.4812772402179952</v>
      </c>
      <c r="Y246" s="132"/>
      <c r="Z246" s="219"/>
      <c r="AA246" s="230"/>
      <c r="AB246" s="132"/>
      <c r="AC246" s="237">
        <f>Stores!AH83</f>
        <v>0.156</v>
      </c>
      <c r="AD246" s="132"/>
      <c r="AE246" s="254">
        <f>AC246</f>
        <v>0.156</v>
      </c>
      <c r="AF246" s="132"/>
      <c r="AG246" s="145"/>
      <c r="AH246" s="230"/>
      <c r="AI246" s="259"/>
      <c r="AJ246" s="138"/>
      <c r="AK246" s="132"/>
      <c r="AL246" s="141">
        <f>SUM(AL242:AL245)</f>
        <v>421.26900000000001</v>
      </c>
      <c r="AM246" s="132"/>
      <c r="AN246" s="244">
        <f>SUM(AN242:AN245)</f>
        <v>2757.6691747288869</v>
      </c>
      <c r="AO246" s="132"/>
      <c r="AP246" s="219"/>
      <c r="AQ246" s="230"/>
      <c r="AR246" s="230"/>
      <c r="AS246" s="132"/>
      <c r="AT246" s="132"/>
      <c r="AU246" s="132"/>
      <c r="AV246" s="132"/>
      <c r="AW246" s="132"/>
      <c r="AX246" s="132"/>
      <c r="AY246" s="132"/>
      <c r="AZ246" s="132"/>
      <c r="BA246" s="132"/>
      <c r="BB246" s="132"/>
      <c r="BC246" s="132"/>
      <c r="BD246" s="132"/>
      <c r="BE246" s="132"/>
      <c r="BF246" s="132"/>
      <c r="BG246" s="132"/>
      <c r="BH246" s="132"/>
      <c r="BI246" s="132"/>
      <c r="BJ246" s="132"/>
      <c r="BK246" s="132"/>
      <c r="BL246" s="132"/>
      <c r="BM246" s="132"/>
      <c r="BN246" s="132"/>
      <c r="BO246" s="587"/>
      <c r="BP246" s="587"/>
    </row>
    <row r="247" spans="1:68" hidden="1" outlineLevel="2">
      <c r="A247" s="155"/>
      <c r="B247" s="174"/>
      <c r="C247" s="132"/>
      <c r="D247" s="256"/>
      <c r="E247" s="256"/>
      <c r="F247" s="256"/>
      <c r="G247" s="256"/>
      <c r="H247" s="2091" t="s">
        <v>62</v>
      </c>
      <c r="I247" s="256"/>
      <c r="J247" s="132"/>
      <c r="K247" s="132"/>
      <c r="L247" s="132"/>
      <c r="M247" s="132"/>
      <c r="N247" s="132"/>
      <c r="O247" s="132"/>
      <c r="P247" s="132"/>
      <c r="Q247" s="230"/>
      <c r="R247" s="132"/>
      <c r="S247" s="132"/>
      <c r="T247" s="132"/>
      <c r="U247" s="132"/>
      <c r="V247" s="132"/>
      <c r="W247" s="132"/>
      <c r="X247" s="132"/>
      <c r="Y247" s="132"/>
      <c r="Z247" s="132"/>
      <c r="AA247" s="132"/>
      <c r="AB247" s="132"/>
      <c r="AC247" s="132"/>
      <c r="AD247" s="132"/>
      <c r="AE247" s="132"/>
      <c r="AF247" s="132"/>
      <c r="AG247" s="132"/>
      <c r="AH247" s="230"/>
      <c r="AI247" s="132"/>
      <c r="AJ247" s="132"/>
      <c r="AK247" s="132"/>
      <c r="AL247" s="132"/>
      <c r="AM247" s="132"/>
      <c r="AN247" s="132"/>
      <c r="AO247" s="132"/>
      <c r="AP247" s="132"/>
      <c r="AQ247" s="132"/>
      <c r="AR247" s="132"/>
      <c r="AS247" s="132"/>
      <c r="AT247" s="132"/>
      <c r="AU247" s="132"/>
      <c r="AV247" s="132"/>
      <c r="AW247" s="132"/>
      <c r="AX247" s="132"/>
      <c r="AY247" s="132"/>
      <c r="AZ247" s="132"/>
      <c r="BA247" s="132"/>
      <c r="BB247" s="132"/>
      <c r="BC247" s="132"/>
      <c r="BD247" s="132"/>
      <c r="BE247" s="132"/>
      <c r="BF247" s="132"/>
      <c r="BG247" s="132"/>
      <c r="BH247" s="132"/>
      <c r="BI247" s="132"/>
      <c r="BJ247" s="132"/>
      <c r="BK247" s="132"/>
      <c r="BL247" s="132"/>
      <c r="BM247" s="132"/>
      <c r="BN247" s="132"/>
      <c r="BO247" s="587"/>
      <c r="BP247" s="587"/>
    </row>
    <row r="248" spans="1:68" hidden="1" outlineLevel="2" collapsed="1">
      <c r="A248" s="169"/>
      <c r="B248" s="171">
        <v>1998</v>
      </c>
      <c r="C248" s="132"/>
      <c r="D248" s="132"/>
      <c r="E248" s="132"/>
      <c r="F248" s="256"/>
      <c r="G248" s="132"/>
      <c r="H248" s="2091"/>
      <c r="I248" s="132"/>
      <c r="J248" s="132"/>
      <c r="K248" s="230"/>
      <c r="L248" s="139"/>
      <c r="M248" s="132"/>
      <c r="N248" s="132"/>
      <c r="O248" s="132"/>
      <c r="P248" s="132"/>
      <c r="Q248" s="230"/>
      <c r="R248" s="138"/>
      <c r="S248" s="138"/>
      <c r="T248" s="132"/>
      <c r="U248" s="132"/>
      <c r="V248" s="256"/>
      <c r="W248" s="132"/>
      <c r="X248" s="132"/>
      <c r="Y248" s="132"/>
      <c r="Z248" s="132"/>
      <c r="AA248" s="230"/>
      <c r="AB248" s="132"/>
      <c r="AC248" s="139"/>
      <c r="AD248" s="132"/>
      <c r="AE248" s="132"/>
      <c r="AF248" s="132"/>
      <c r="AG248" s="132"/>
      <c r="AH248" s="230"/>
      <c r="AI248" s="138"/>
      <c r="AJ248" s="138"/>
      <c r="AK248" s="132"/>
      <c r="AL248" s="132"/>
      <c r="AM248" s="132"/>
      <c r="AN248" s="132"/>
      <c r="AO248" s="132"/>
      <c r="AP248" s="132"/>
      <c r="AQ248" s="230"/>
      <c r="AR248" s="230"/>
      <c r="AS248" s="132"/>
      <c r="AT248" s="132"/>
      <c r="AU248" s="132"/>
      <c r="AV248" s="132"/>
      <c r="AW248" s="132"/>
      <c r="AX248" s="132"/>
      <c r="AY248" s="132"/>
      <c r="AZ248" s="132"/>
      <c r="BA248" s="132"/>
      <c r="BB248" s="132"/>
      <c r="BC248" s="132"/>
      <c r="BD248" s="132"/>
      <c r="BE248" s="132"/>
      <c r="BF248" s="132"/>
      <c r="BG248" s="132"/>
      <c r="BH248" s="132"/>
      <c r="BI248" s="132"/>
      <c r="BJ248" s="132"/>
      <c r="BK248" s="132"/>
      <c r="BL248" s="132"/>
      <c r="BM248" s="132"/>
      <c r="BN248" s="132"/>
      <c r="BO248" s="587"/>
      <c r="BP248" s="587"/>
    </row>
    <row r="249" spans="1:68" hidden="1" outlineLevel="2">
      <c r="A249" s="132" t="str">
        <f>$A$40</f>
        <v>1Q</v>
      </c>
      <c r="B249" s="174" t="str">
        <f>$B$40</f>
        <v>Apr</v>
      </c>
      <c r="C249" s="132"/>
      <c r="D249" s="145">
        <f>(V249/V242-1)*100</f>
        <v>1.2957012957012903</v>
      </c>
      <c r="E249" s="230" t="s">
        <v>1970</v>
      </c>
      <c r="F249" s="297"/>
      <c r="G249" s="230"/>
      <c r="H249" s="2091">
        <f>+'segSales&amp;comps'!S70</f>
        <v>0</v>
      </c>
      <c r="I249" s="230" t="s">
        <v>1970</v>
      </c>
      <c r="J249" s="145">
        <f>D249-H249</f>
        <v>1.2957012957012903</v>
      </c>
      <c r="K249" s="230" t="s">
        <v>1970</v>
      </c>
      <c r="L249" s="725">
        <f>Stores!AX86</f>
        <v>68</v>
      </c>
      <c r="M249" s="132"/>
      <c r="N249" s="177">
        <f>AVERAGE(L249,L245)</f>
        <v>68</v>
      </c>
      <c r="O249" s="132"/>
      <c r="P249" s="145">
        <f>(N249/N242-1)*100</f>
        <v>11.475409836065564</v>
      </c>
      <c r="Q249" s="230" t="s">
        <v>1970</v>
      </c>
      <c r="R249" s="259">
        <f>J249/P249*100</f>
        <v>11.291111291111253</v>
      </c>
      <c r="S249" s="138" t="s">
        <v>1970</v>
      </c>
      <c r="T249" s="132"/>
      <c r="U249" s="132"/>
      <c r="V249" s="296">
        <f>'segSales&amp;comps'!Q70</f>
        <v>96.471999999999994</v>
      </c>
      <c r="W249" s="132"/>
      <c r="X249" s="143">
        <f>V249/N249</f>
        <v>1.418705882352941</v>
      </c>
      <c r="Y249" s="132"/>
      <c r="Z249" s="219">
        <f>(X249/X242-1)*100</f>
        <v>-9.1317973670914991</v>
      </c>
      <c r="AA249" s="230" t="s">
        <v>1970</v>
      </c>
      <c r="AB249" s="132"/>
      <c r="AC249" s="237">
        <f>Stores!AH86</f>
        <v>0.156</v>
      </c>
      <c r="AD249" s="132"/>
      <c r="AE249" s="254">
        <f>AVERAGE(AC249,AC245)</f>
        <v>0.156</v>
      </c>
      <c r="AF249" s="132"/>
      <c r="AG249" s="145">
        <f>(AE249/AE242-1)*100</f>
        <v>5.1921780175320453</v>
      </c>
      <c r="AH249" s="230" t="s">
        <v>1970</v>
      </c>
      <c r="AI249" s="259"/>
      <c r="AJ249" s="138" t="s">
        <v>1970</v>
      </c>
      <c r="AK249" s="132"/>
      <c r="AL249" s="141">
        <f>+V249</f>
        <v>96.471999999999994</v>
      </c>
      <c r="AM249" s="132"/>
      <c r="AN249" s="244">
        <f>AL249/AE249</f>
        <v>618.41025641025635</v>
      </c>
      <c r="AO249" s="132"/>
      <c r="AP249" s="925">
        <f>(AN249/AN242-1)*100</f>
        <v>-3.7041506272275648</v>
      </c>
      <c r="AQ249" s="230" t="s">
        <v>1970</v>
      </c>
      <c r="AR249" s="230"/>
      <c r="AS249" s="132"/>
      <c r="AT249" s="132"/>
      <c r="AU249" s="132"/>
      <c r="AV249" s="132"/>
      <c r="AW249" s="132"/>
      <c r="AX249" s="132"/>
      <c r="AY249" s="132"/>
      <c r="AZ249" s="132"/>
      <c r="BA249" s="132"/>
      <c r="BB249" s="132"/>
      <c r="BC249" s="132"/>
      <c r="BD249" s="132"/>
      <c r="BE249" s="132"/>
      <c r="BF249" s="132"/>
      <c r="BG249" s="132"/>
      <c r="BH249" s="132"/>
      <c r="BI249" s="132"/>
      <c r="BJ249" s="132"/>
      <c r="BK249" s="132"/>
      <c r="BL249" s="132"/>
      <c r="BM249" s="132"/>
      <c r="BN249" s="132"/>
      <c r="BO249" s="1592"/>
      <c r="BP249" s="1492"/>
    </row>
    <row r="250" spans="1:68" hidden="1" outlineLevel="2">
      <c r="A250" s="132" t="str">
        <f>$A$41</f>
        <v>2Q</v>
      </c>
      <c r="B250" s="174" t="str">
        <f>$B$41</f>
        <v>Jul</v>
      </c>
      <c r="C250" s="132"/>
      <c r="D250" s="145">
        <f>(V250/V243-1)*100</f>
        <v>2.5938311259735114</v>
      </c>
      <c r="E250" s="132"/>
      <c r="F250" s="297"/>
      <c r="G250" s="132"/>
      <c r="H250" s="2091">
        <f>+'segSales&amp;comps'!S71</f>
        <v>0</v>
      </c>
      <c r="I250" s="132"/>
      <c r="J250" s="145">
        <f>D250-H250</f>
        <v>2.5938311259735114</v>
      </c>
      <c r="K250" s="230"/>
      <c r="L250" s="725">
        <f>Stores!AX87</f>
        <v>69</v>
      </c>
      <c r="M250" s="132"/>
      <c r="N250" s="177">
        <f>AVERAGE(L250,L249)</f>
        <v>68.5</v>
      </c>
      <c r="O250" s="132"/>
      <c r="P250" s="145">
        <f>(N250/N243-1)*100</f>
        <v>7.03125</v>
      </c>
      <c r="Q250" s="230"/>
      <c r="R250" s="259">
        <f>J250/P250*100</f>
        <v>36.890042680512167</v>
      </c>
      <c r="S250" s="138"/>
      <c r="T250" s="132"/>
      <c r="U250" s="132"/>
      <c r="V250" s="296">
        <f>'segSales&amp;comps'!Q71</f>
        <v>93.266000000000005</v>
      </c>
      <c r="W250" s="132"/>
      <c r="X250" s="147">
        <f>V250/N250</f>
        <v>1.3615474452554746</v>
      </c>
      <c r="Y250" s="132"/>
      <c r="Z250" s="219">
        <f>(X250/X243-1)*100</f>
        <v>-4.1459096049298534</v>
      </c>
      <c r="AA250" s="230"/>
      <c r="AB250" s="132"/>
      <c r="AC250" s="237">
        <f>Stores!AH87</f>
        <v>0.1575</v>
      </c>
      <c r="AD250" s="132"/>
      <c r="AE250" s="254">
        <f>AVERAGE(AC249:AC250)</f>
        <v>0.15675</v>
      </c>
      <c r="AF250" s="132"/>
      <c r="AG250" s="145">
        <f>(AE250/AE243-1)*100</f>
        <v>3.3970976253298257</v>
      </c>
      <c r="AH250" s="230"/>
      <c r="AI250" s="259"/>
      <c r="AJ250" s="138"/>
      <c r="AK250" s="132"/>
      <c r="AL250" s="142">
        <f>+V250</f>
        <v>93.266000000000005</v>
      </c>
      <c r="AM250" s="132"/>
      <c r="AN250" s="244">
        <f>AL250/AE250</f>
        <v>594.99840510366835</v>
      </c>
      <c r="AO250" s="132"/>
      <c r="AP250" s="925">
        <f>(AN250/AN243-1)*100</f>
        <v>-0.77687528741572365</v>
      </c>
      <c r="AQ250" s="230"/>
      <c r="AR250" s="230"/>
      <c r="AS250" s="132"/>
      <c r="AT250" s="132"/>
      <c r="AU250" s="132"/>
      <c r="AV250" s="132"/>
      <c r="AW250" s="132"/>
      <c r="AX250" s="132"/>
      <c r="AY250" s="132"/>
      <c r="AZ250" s="132"/>
      <c r="BA250" s="132"/>
      <c r="BB250" s="132"/>
      <c r="BC250" s="132"/>
      <c r="BD250" s="132"/>
      <c r="BE250" s="132"/>
      <c r="BF250" s="132"/>
      <c r="BG250" s="132"/>
      <c r="BH250" s="132"/>
      <c r="BI250" s="132"/>
      <c r="BJ250" s="132"/>
      <c r="BK250" s="132"/>
      <c r="BL250" s="132"/>
      <c r="BM250" s="132"/>
      <c r="BN250" s="132"/>
      <c r="BO250" s="1592"/>
      <c r="BP250" s="1492"/>
    </row>
    <row r="251" spans="1:68" hidden="1" outlineLevel="2">
      <c r="A251" s="132" t="str">
        <f>$A$42</f>
        <v>3Q</v>
      </c>
      <c r="B251" s="174" t="str">
        <f>$B$42</f>
        <v>Oct</v>
      </c>
      <c r="C251" s="132"/>
      <c r="D251" s="145">
        <f>(V251/V244-1)*100</f>
        <v>7.7621439822895821</v>
      </c>
      <c r="E251" s="132"/>
      <c r="F251" s="297"/>
      <c r="G251" s="132"/>
      <c r="H251" s="2091">
        <f>+'segSales&amp;comps'!S72</f>
        <v>0</v>
      </c>
      <c r="I251" s="132"/>
      <c r="J251" s="145">
        <f>D251-H251</f>
        <v>7.7621439822895821</v>
      </c>
      <c r="K251" s="230"/>
      <c r="L251" s="725">
        <f>Stores!AX88</f>
        <v>70</v>
      </c>
      <c r="M251" s="132"/>
      <c r="N251" s="177">
        <f>AVERAGE(L251,L250)</f>
        <v>69.5</v>
      </c>
      <c r="O251" s="132"/>
      <c r="P251" s="145">
        <f>(N251/N244-1)*100</f>
        <v>5.3030303030302983</v>
      </c>
      <c r="Q251" s="230"/>
      <c r="R251" s="259">
        <f>J251/P251*100</f>
        <v>146.37185795174653</v>
      </c>
      <c r="S251" s="138"/>
      <c r="T251" s="132"/>
      <c r="U251" s="132"/>
      <c r="V251" s="296">
        <f>'segSales&amp;comps'!Q72</f>
        <v>101.249</v>
      </c>
      <c r="W251" s="132"/>
      <c r="X251" s="147">
        <f>V251/N251</f>
        <v>1.456820143884892</v>
      </c>
      <c r="Y251" s="132"/>
      <c r="Z251" s="219">
        <f>(X251/X244-1)*100</f>
        <v>2.3352734220303706</v>
      </c>
      <c r="AA251" s="230"/>
      <c r="AB251" s="132"/>
      <c r="AC251" s="237">
        <f>Stores!AH88</f>
        <v>0.159</v>
      </c>
      <c r="AD251" s="132"/>
      <c r="AE251" s="254">
        <f>AVERAGE(AC250:AC251)</f>
        <v>0.15825</v>
      </c>
      <c r="AF251" s="132"/>
      <c r="AG251" s="145">
        <f>(AE251/AE244-1)*100</f>
        <v>2.893368010403119</v>
      </c>
      <c r="AH251" s="230"/>
      <c r="AI251" s="259"/>
      <c r="AJ251" s="138"/>
      <c r="AK251" s="132"/>
      <c r="AL251" s="142">
        <f>+V251</f>
        <v>101.249</v>
      </c>
      <c r="AM251" s="132"/>
      <c r="AN251" s="244">
        <f>AL251/AE251</f>
        <v>639.80410742496042</v>
      </c>
      <c r="AO251" s="132"/>
      <c r="AP251" s="925">
        <f>(AN251/AN244-1)*100</f>
        <v>4.7318656838934325</v>
      </c>
      <c r="AQ251" s="230"/>
      <c r="AR251" s="230"/>
      <c r="AS251" s="132"/>
      <c r="AT251" s="132"/>
      <c r="AU251" s="132"/>
      <c r="AV251" s="132"/>
      <c r="AW251" s="132"/>
      <c r="AX251" s="132"/>
      <c r="AY251" s="132"/>
      <c r="AZ251" s="132"/>
      <c r="BA251" s="132"/>
      <c r="BB251" s="132"/>
      <c r="BC251" s="132"/>
      <c r="BD251" s="132"/>
      <c r="BE251" s="132"/>
      <c r="BF251" s="132"/>
      <c r="BG251" s="132"/>
      <c r="BH251" s="132"/>
      <c r="BI251" s="132"/>
      <c r="BJ251" s="132"/>
      <c r="BK251" s="132"/>
      <c r="BL251" s="132"/>
      <c r="BM251" s="132"/>
      <c r="BN251" s="132"/>
      <c r="BO251" s="1592"/>
      <c r="BP251" s="1492"/>
    </row>
    <row r="252" spans="1:68" hidden="1" outlineLevel="2">
      <c r="A252" s="132" t="str">
        <f>$A$43</f>
        <v>4Q</v>
      </c>
      <c r="B252" s="174" t="str">
        <f>$B$43</f>
        <v>Jan</v>
      </c>
      <c r="C252" s="132"/>
      <c r="D252" s="176">
        <f>(V252/V245-1)*100</f>
        <v>21.478107489710773</v>
      </c>
      <c r="E252" s="132"/>
      <c r="F252" s="298"/>
      <c r="G252" s="132"/>
      <c r="H252" s="2095">
        <f>+'segSales&amp;comps'!S73</f>
        <v>0</v>
      </c>
      <c r="I252" s="132"/>
      <c r="J252" s="176">
        <f>D252-H252</f>
        <v>21.478107489710773</v>
      </c>
      <c r="K252" s="230"/>
      <c r="L252" s="917">
        <f>Stores!AX89</f>
        <v>70</v>
      </c>
      <c r="M252" s="132"/>
      <c r="N252" s="178">
        <f>AVERAGE(L252,L251)</f>
        <v>70</v>
      </c>
      <c r="O252" s="132"/>
      <c r="P252" s="176">
        <f>(N252/N245-1)*100</f>
        <v>2.9411764705882248</v>
      </c>
      <c r="Q252" s="230"/>
      <c r="R252" s="178">
        <f>J252/P252*100</f>
        <v>730.25565465016882</v>
      </c>
      <c r="S252" s="138"/>
      <c r="T252" s="132"/>
      <c r="U252" s="132"/>
      <c r="V252" s="922">
        <f>'segSales&amp;comps'!Q73</f>
        <v>171.48700000000002</v>
      </c>
      <c r="W252" s="132"/>
      <c r="X252" s="148">
        <f>V252/N252</f>
        <v>2.4498142857142859</v>
      </c>
      <c r="Y252" s="132"/>
      <c r="Z252" s="218">
        <f>(X252/X245-1)*100</f>
        <v>18.007304418576187</v>
      </c>
      <c r="AA252" s="230"/>
      <c r="AB252" s="132"/>
      <c r="AC252" s="237">
        <f>Stores!AH89</f>
        <v>0.159</v>
      </c>
      <c r="AD252" s="132"/>
      <c r="AE252" s="255">
        <f>AVERAGE(AC251:AC252)</f>
        <v>0.159</v>
      </c>
      <c r="AF252" s="132"/>
      <c r="AG252" s="145">
        <f>(AE252/AE245-1)*100</f>
        <v>1.9230769230769162</v>
      </c>
      <c r="AH252" s="230"/>
      <c r="AI252" s="259"/>
      <c r="AJ252" s="138"/>
      <c r="AK252" s="132"/>
      <c r="AL252" s="146">
        <f>+V252</f>
        <v>171.48700000000002</v>
      </c>
      <c r="AM252" s="132"/>
      <c r="AN252" s="924">
        <f>AL252/AE252</f>
        <v>1078.5345911949687</v>
      </c>
      <c r="AO252" s="132"/>
      <c r="AP252" s="925">
        <f>(AN252/AN245-1)*100</f>
        <v>19.186067725753976</v>
      </c>
      <c r="AQ252" s="230"/>
      <c r="AR252" s="230"/>
      <c r="AS252" s="132"/>
      <c r="AT252" s="132"/>
      <c r="AU252" s="132"/>
      <c r="AV252" s="132"/>
      <c r="AW252" s="132"/>
      <c r="AX252" s="132"/>
      <c r="AY252" s="132"/>
      <c r="AZ252" s="132"/>
      <c r="BA252" s="132"/>
      <c r="BB252" s="132"/>
      <c r="BC252" s="132"/>
      <c r="BD252" s="132"/>
      <c r="BE252" s="132"/>
      <c r="BF252" s="132"/>
      <c r="BG252" s="132"/>
      <c r="BH252" s="132"/>
      <c r="BI252" s="132"/>
      <c r="BJ252" s="132"/>
      <c r="BK252" s="132"/>
      <c r="BL252" s="132"/>
      <c r="BM252" s="132"/>
      <c r="BN252" s="132"/>
      <c r="BO252" s="1592"/>
      <c r="BP252" s="1492"/>
    </row>
    <row r="253" spans="1:68" hidden="1" outlineLevel="2">
      <c r="A253" s="132"/>
      <c r="B253" s="174" t="str">
        <f>$B$44</f>
        <v>Year</v>
      </c>
      <c r="C253" s="132"/>
      <c r="D253" s="145">
        <f>(V253/V246-1)*100</f>
        <v>9.7811612057853825</v>
      </c>
      <c r="E253" s="132"/>
      <c r="F253" s="297"/>
      <c r="G253" s="132"/>
      <c r="H253" s="2091">
        <f>+'segSales&amp;comps'!S74</f>
        <v>0</v>
      </c>
      <c r="I253" s="132"/>
      <c r="J253" s="145">
        <f>D253-H253</f>
        <v>9.7811612057853825</v>
      </c>
      <c r="K253" s="230"/>
      <c r="L253" s="923">
        <f>Stores!AX90</f>
        <v>70</v>
      </c>
      <c r="M253" s="132"/>
      <c r="N253" s="177">
        <f>AVERAGE(N249:N252)</f>
        <v>69</v>
      </c>
      <c r="O253" s="132"/>
      <c r="P253" s="145">
        <f>(N253/N246-1)*100</f>
        <v>1.4705882352941124</v>
      </c>
      <c r="Q253" s="230"/>
      <c r="R253" s="259">
        <f>J253/P253*100</f>
        <v>665.11896199340845</v>
      </c>
      <c r="S253" s="138"/>
      <c r="T253" s="132"/>
      <c r="U253" s="132"/>
      <c r="V253" s="296">
        <f>SUM(V249:V252)</f>
        <v>462.47399999999999</v>
      </c>
      <c r="W253" s="132"/>
      <c r="X253" s="143">
        <f>SUM(X249:X252)</f>
        <v>6.6868877572075931</v>
      </c>
      <c r="Y253" s="132"/>
      <c r="Z253" s="219">
        <f>(X253/X246-1)*100</f>
        <v>3.1723765142112947</v>
      </c>
      <c r="AA253" s="230"/>
      <c r="AB253" s="132"/>
      <c r="AC253" s="237">
        <f>Stores!AH90</f>
        <v>0.159</v>
      </c>
      <c r="AD253" s="132"/>
      <c r="AE253" s="254">
        <f>AVERAGE(AE249:AE252)</f>
        <v>0.1575</v>
      </c>
      <c r="AF253" s="132"/>
      <c r="AG253" s="145">
        <f>(AE253/AE246-1)*100</f>
        <v>0.96153846153845812</v>
      </c>
      <c r="AH253" s="230"/>
      <c r="AI253" s="259"/>
      <c r="AJ253" s="138"/>
      <c r="AK253" s="132"/>
      <c r="AL253" s="141">
        <f>SUM(AL249:AL252)</f>
        <v>462.47399999999999</v>
      </c>
      <c r="AM253" s="132"/>
      <c r="AN253" s="244">
        <f>AL253/AE253</f>
        <v>2936.3428571428572</v>
      </c>
      <c r="AO253" s="132"/>
      <c r="AP253" s="925">
        <f>(AN253/AN246-1)*100</f>
        <v>6.479155804884984</v>
      </c>
      <c r="AQ253" s="230"/>
      <c r="AR253" s="230"/>
      <c r="AS253" s="132"/>
      <c r="AT253" s="132"/>
      <c r="AU253" s="132"/>
      <c r="AV253" s="132"/>
      <c r="AW253" s="132"/>
      <c r="AX253" s="132"/>
      <c r="AY253" s="132"/>
      <c r="AZ253" s="132"/>
      <c r="BA253" s="132"/>
      <c r="BB253" s="132"/>
      <c r="BC253" s="132"/>
      <c r="BD253" s="132"/>
      <c r="BE253" s="132"/>
      <c r="BF253" s="132"/>
      <c r="BG253" s="132"/>
      <c r="BH253" s="132"/>
      <c r="BI253" s="132"/>
      <c r="BJ253" s="132"/>
      <c r="BK253" s="132"/>
      <c r="BL253" s="132"/>
      <c r="BM253" s="132"/>
      <c r="BN253" s="132"/>
      <c r="BO253" s="587"/>
      <c r="BP253" s="587"/>
    </row>
    <row r="254" spans="1:68" hidden="1" outlineLevel="2">
      <c r="A254" s="132"/>
      <c r="B254" s="174"/>
      <c r="C254" s="132"/>
      <c r="D254" s="132"/>
      <c r="E254" s="132"/>
      <c r="F254" s="297"/>
      <c r="G254" s="132"/>
      <c r="H254" s="2091"/>
      <c r="I254" s="132"/>
      <c r="J254" s="132"/>
      <c r="K254" s="230"/>
      <c r="L254" s="132"/>
      <c r="M254" s="132"/>
      <c r="N254" s="132"/>
      <c r="O254" s="132"/>
      <c r="P254" s="132"/>
      <c r="Q254" s="230"/>
      <c r="R254" s="138"/>
      <c r="S254" s="138"/>
      <c r="T254" s="132"/>
      <c r="U254" s="132"/>
      <c r="V254" s="256"/>
      <c r="W254" s="132"/>
      <c r="X254" s="132"/>
      <c r="Y254" s="132"/>
      <c r="Z254" s="132"/>
      <c r="AA254" s="230"/>
      <c r="AB254" s="132"/>
      <c r="AC254" s="132"/>
      <c r="AD254" s="132"/>
      <c r="AE254" s="132"/>
      <c r="AF254" s="132"/>
      <c r="AG254" s="132"/>
      <c r="AH254" s="230"/>
      <c r="AI254" s="138"/>
      <c r="AJ254" s="138"/>
      <c r="AK254" s="132"/>
      <c r="AL254" s="132"/>
      <c r="AM254" s="132"/>
      <c r="AN254" s="132"/>
      <c r="AO254" s="132"/>
      <c r="AP254" s="925"/>
      <c r="AQ254" s="230"/>
      <c r="AR254" s="230"/>
      <c r="AS254" s="132"/>
      <c r="AT254" s="132"/>
      <c r="AU254" s="132"/>
      <c r="AV254" s="132"/>
      <c r="AW254" s="132"/>
      <c r="AX254" s="132"/>
      <c r="AY254" s="132"/>
      <c r="AZ254" s="132"/>
      <c r="BA254" s="132"/>
      <c r="BB254" s="132"/>
      <c r="BC254" s="132"/>
      <c r="BD254" s="132"/>
      <c r="BE254" s="132"/>
      <c r="BF254" s="132"/>
      <c r="BG254" s="132"/>
      <c r="BH254" s="132"/>
      <c r="BI254" s="132"/>
      <c r="BJ254" s="132"/>
      <c r="BK254" s="132"/>
      <c r="BL254" s="132"/>
      <c r="BM254" s="132"/>
      <c r="BN254" s="132"/>
      <c r="BO254" s="587"/>
      <c r="BP254" s="587"/>
    </row>
    <row r="255" spans="1:68" hidden="1" outlineLevel="2">
      <c r="A255" s="169"/>
      <c r="B255" s="171">
        <f>B248+1</f>
        <v>1999</v>
      </c>
      <c r="C255" s="132"/>
      <c r="D255" s="132"/>
      <c r="E255" s="132"/>
      <c r="F255" s="297"/>
      <c r="G255" s="132"/>
      <c r="H255" s="2091"/>
      <c r="I255" s="132"/>
      <c r="J255" s="132"/>
      <c r="K255" s="230"/>
      <c r="L255" s="132"/>
      <c r="M255" s="132"/>
      <c r="N255" s="132"/>
      <c r="O255" s="132"/>
      <c r="P255" s="132"/>
      <c r="Q255" s="230"/>
      <c r="R255" s="138"/>
      <c r="S255" s="138"/>
      <c r="T255" s="132"/>
      <c r="U255" s="132"/>
      <c r="V255" s="256"/>
      <c r="W255" s="132"/>
      <c r="X255" s="132"/>
      <c r="Y255" s="132"/>
      <c r="Z255" s="132"/>
      <c r="AA255" s="230"/>
      <c r="AB255" s="132"/>
      <c r="AC255" s="132"/>
      <c r="AD255" s="132"/>
      <c r="AE255" s="132"/>
      <c r="AF255" s="132"/>
      <c r="AG255" s="132"/>
      <c r="AH255" s="230"/>
      <c r="AI255" s="138"/>
      <c r="AJ255" s="138"/>
      <c r="AK255" s="132"/>
      <c r="AL255" s="132"/>
      <c r="AM255" s="132"/>
      <c r="AN255" s="132"/>
      <c r="AO255" s="132"/>
      <c r="AP255" s="925"/>
      <c r="AQ255" s="230"/>
      <c r="AR255" s="230"/>
      <c r="AS255" s="132"/>
      <c r="AT255" s="132"/>
      <c r="AU255" s="132"/>
      <c r="AV255" s="132"/>
      <c r="AW255" s="132"/>
      <c r="AX255" s="132"/>
      <c r="AY255" s="132"/>
      <c r="AZ255" s="132"/>
      <c r="BA255" s="132"/>
      <c r="BB255" s="132"/>
      <c r="BC255" s="132"/>
      <c r="BD255" s="132"/>
      <c r="BE255" s="132"/>
      <c r="BF255" s="132"/>
      <c r="BG255" s="132"/>
      <c r="BH255" s="132"/>
      <c r="BI255" s="132"/>
      <c r="BJ255" s="132"/>
      <c r="BK255" s="132"/>
      <c r="BL255" s="132"/>
      <c r="BM255" s="132"/>
      <c r="BN255" s="132"/>
      <c r="BO255" s="587"/>
      <c r="BP255" s="587"/>
    </row>
    <row r="256" spans="1:68" hidden="1" outlineLevel="2">
      <c r="A256" s="132" t="str">
        <f>$A$40</f>
        <v>1Q</v>
      </c>
      <c r="B256" s="174" t="str">
        <f>$B$40</f>
        <v>Apr</v>
      </c>
      <c r="C256" s="132"/>
      <c r="D256" s="145">
        <f>(V256/V249-1)*100</f>
        <v>21.770047267600965</v>
      </c>
      <c r="E256" s="230" t="s">
        <v>1970</v>
      </c>
      <c r="F256" s="297"/>
      <c r="G256" s="230"/>
      <c r="H256" s="2091">
        <f>+'segSales&amp;comps'!S77</f>
        <v>0</v>
      </c>
      <c r="I256" s="230" t="s">
        <v>1970</v>
      </c>
      <c r="J256" s="145">
        <f>D256-H256</f>
        <v>21.770047267600965</v>
      </c>
      <c r="K256" s="230" t="s">
        <v>1970</v>
      </c>
      <c r="L256" s="725">
        <f>Stores!AX93</f>
        <v>71</v>
      </c>
      <c r="M256" s="132"/>
      <c r="N256" s="177">
        <f>AVERAGE(L256,L252)</f>
        <v>70.5</v>
      </c>
      <c r="O256" s="132"/>
      <c r="P256" s="145">
        <f>(N256/N249-1)*100</f>
        <v>3.6764705882353033</v>
      </c>
      <c r="Q256" s="230" t="s">
        <v>1970</v>
      </c>
      <c r="R256" s="259">
        <f>J256/P256*100</f>
        <v>592.14528567874481</v>
      </c>
      <c r="S256" s="138" t="s">
        <v>1970</v>
      </c>
      <c r="T256" s="132"/>
      <c r="U256" s="132"/>
      <c r="V256" s="296">
        <f>'segSales&amp;comps'!Q77</f>
        <v>117.474</v>
      </c>
      <c r="W256" s="132"/>
      <c r="X256" s="143">
        <f>V256/N256</f>
        <v>1.6662978723404256</v>
      </c>
      <c r="Y256" s="132"/>
      <c r="Z256" s="219">
        <f>(X256/X249-1)*100</f>
        <v>17.451960485061946</v>
      </c>
      <c r="AA256" s="230" t="s">
        <v>1970</v>
      </c>
      <c r="AB256" s="132"/>
      <c r="AC256" s="237">
        <f>Stores!AH93</f>
        <v>0.17049999999999998</v>
      </c>
      <c r="AD256" s="132"/>
      <c r="AE256" s="254">
        <f>AVERAGE(AC256,AC252)</f>
        <v>0.16475000000000001</v>
      </c>
      <c r="AF256" s="132"/>
      <c r="AG256" s="145">
        <f>(AE256/AE249-1)*100</f>
        <v>5.6089743589743613</v>
      </c>
      <c r="AH256" s="230" t="s">
        <v>1970</v>
      </c>
      <c r="AI256" s="259"/>
      <c r="AJ256" s="138" t="s">
        <v>1970</v>
      </c>
      <c r="AK256" s="132"/>
      <c r="AL256" s="141">
        <f>+V256</f>
        <v>117.474</v>
      </c>
      <c r="AM256" s="132"/>
      <c r="AN256" s="244">
        <f>AL256/AE256</f>
        <v>713.04400606980278</v>
      </c>
      <c r="AO256" s="132"/>
      <c r="AP256" s="925">
        <f>(AN256/AN249-1)*100</f>
        <v>15.30274581939759</v>
      </c>
      <c r="AQ256" s="230" t="s">
        <v>1970</v>
      </c>
      <c r="AR256" s="230"/>
      <c r="AS256" s="132"/>
      <c r="AT256" s="132"/>
      <c r="AU256" s="132"/>
      <c r="AV256" s="132"/>
      <c r="AW256" s="132"/>
      <c r="AX256" s="132"/>
      <c r="AY256" s="132"/>
      <c r="AZ256" s="132"/>
      <c r="BA256" s="132"/>
      <c r="BB256" s="132"/>
      <c r="BC256" s="132"/>
      <c r="BD256" s="132"/>
      <c r="BE256" s="132"/>
      <c r="BF256" s="132"/>
      <c r="BG256" s="132"/>
      <c r="BH256" s="132"/>
      <c r="BI256" s="132"/>
      <c r="BJ256" s="132"/>
      <c r="BK256" s="132"/>
      <c r="BL256" s="132"/>
      <c r="BM256" s="132"/>
      <c r="BN256" s="132"/>
      <c r="BO256" s="1592"/>
      <c r="BP256" s="1492"/>
    </row>
    <row r="257" spans="1:68" hidden="1" outlineLevel="2">
      <c r="A257" s="132" t="str">
        <f>$A$41</f>
        <v>2Q</v>
      </c>
      <c r="B257" s="174" t="str">
        <f>$B$41</f>
        <v>Jul</v>
      </c>
      <c r="C257" s="132"/>
      <c r="D257" s="145">
        <f>(V257/V250-1)*100</f>
        <v>30.351896725494811</v>
      </c>
      <c r="E257" s="230"/>
      <c r="F257" s="297"/>
      <c r="G257" s="230"/>
      <c r="H257" s="2091">
        <f>+'segSales&amp;comps'!S78</f>
        <v>0</v>
      </c>
      <c r="I257" s="230"/>
      <c r="J257" s="145">
        <f>D257-H257</f>
        <v>30.351896725494811</v>
      </c>
      <c r="K257" s="230"/>
      <c r="L257" s="725">
        <f>Stores!AX94</f>
        <v>71</v>
      </c>
      <c r="M257" s="132"/>
      <c r="N257" s="177">
        <f>AVERAGE(L257,L256)</f>
        <v>71</v>
      </c>
      <c r="O257" s="132"/>
      <c r="P257" s="145">
        <f>(N257/N250-1)*100</f>
        <v>3.649635036496357</v>
      </c>
      <c r="Q257" s="230"/>
      <c r="R257" s="259">
        <f>J257/P257*100</f>
        <v>831.6419702785563</v>
      </c>
      <c r="S257" s="138"/>
      <c r="T257" s="132"/>
      <c r="U257" s="132"/>
      <c r="V257" s="296">
        <f>'segSales&amp;comps'!Q78</f>
        <v>121.574</v>
      </c>
      <c r="W257" s="132"/>
      <c r="X257" s="147">
        <f>V257/N257</f>
        <v>1.7123098591549295</v>
      </c>
      <c r="Y257" s="132"/>
      <c r="Z257" s="219">
        <f>(X257/X250-1)*100</f>
        <v>25.762041206991459</v>
      </c>
      <c r="AA257" s="230"/>
      <c r="AB257" s="132"/>
      <c r="AC257" s="237">
        <f>Stores!AH94</f>
        <v>0.17049999999999998</v>
      </c>
      <c r="AD257" s="132"/>
      <c r="AE257" s="254">
        <f>AVERAGE(AC256:AC257)</f>
        <v>0.17049999999999998</v>
      </c>
      <c r="AF257" s="132"/>
      <c r="AG257" s="145">
        <f>(AE257/AE250-1)*100</f>
        <v>8.7719298245613864</v>
      </c>
      <c r="AH257" s="230"/>
      <c r="AI257" s="259"/>
      <c r="AJ257" s="138"/>
      <c r="AK257" s="132"/>
      <c r="AL257" s="142">
        <f>+V257</f>
        <v>121.574</v>
      </c>
      <c r="AM257" s="132"/>
      <c r="AN257" s="244">
        <f>AL257/AE257</f>
        <v>713.0439882697948</v>
      </c>
      <c r="AO257" s="132"/>
      <c r="AP257" s="925">
        <f>(AN257/AN250-1)*100</f>
        <v>19.839646989567818</v>
      </c>
      <c r="AQ257" s="230"/>
      <c r="AR257" s="230"/>
      <c r="AS257" s="132"/>
      <c r="AT257" s="132"/>
      <c r="AU257" s="132"/>
      <c r="AV257" s="132"/>
      <c r="AW257" s="132"/>
      <c r="AX257" s="132"/>
      <c r="AY257" s="132"/>
      <c r="AZ257" s="132"/>
      <c r="BA257" s="132"/>
      <c r="BB257" s="132"/>
      <c r="BC257" s="132"/>
      <c r="BD257" s="132"/>
      <c r="BE257" s="132"/>
      <c r="BF257" s="132"/>
      <c r="BG257" s="132"/>
      <c r="BH257" s="132"/>
      <c r="BI257" s="132"/>
      <c r="BJ257" s="132"/>
      <c r="BK257" s="132"/>
      <c r="BL257" s="132"/>
      <c r="BM257" s="132"/>
      <c r="BN257" s="132"/>
      <c r="BO257" s="1592"/>
      <c r="BP257" s="1492"/>
    </row>
    <row r="258" spans="1:68" hidden="1" outlineLevel="2">
      <c r="A258" s="132" t="str">
        <f>$A$42</f>
        <v>3Q</v>
      </c>
      <c r="B258" s="174" t="str">
        <f>$B$42</f>
        <v>Oct</v>
      </c>
      <c r="C258" s="132"/>
      <c r="D258" s="145">
        <f>(V258/V251-1)*100</f>
        <v>31.22993807346246</v>
      </c>
      <c r="E258" s="230"/>
      <c r="F258" s="297"/>
      <c r="G258" s="230"/>
      <c r="H258" s="2091">
        <f>+'segSales&amp;comps'!S79</f>
        <v>0</v>
      </c>
      <c r="I258" s="230"/>
      <c r="J258" s="145">
        <f>D258-H258</f>
        <v>31.22993807346246</v>
      </c>
      <c r="K258" s="230"/>
      <c r="L258" s="725">
        <f>Stores!AX95</f>
        <v>74</v>
      </c>
      <c r="M258" s="132"/>
      <c r="N258" s="177">
        <f>AVERAGE(L258,L257)</f>
        <v>72.5</v>
      </c>
      <c r="O258" s="132"/>
      <c r="P258" s="145">
        <f>(N258/N251-1)*100</f>
        <v>4.3165467625899234</v>
      </c>
      <c r="Q258" s="230"/>
      <c r="R258" s="259">
        <f>J258/P258*100</f>
        <v>723.49356536854771</v>
      </c>
      <c r="S258" s="138"/>
      <c r="T258" s="132"/>
      <c r="U258" s="132"/>
      <c r="V258" s="296">
        <f>'segSales&amp;comps'!Q79</f>
        <v>132.869</v>
      </c>
      <c r="W258" s="132"/>
      <c r="X258" s="147">
        <f>V258/N258</f>
        <v>1.8326758620689656</v>
      </c>
      <c r="Y258" s="132"/>
      <c r="Z258" s="219">
        <f>(X258/X251-1)*100</f>
        <v>25.799733739388152</v>
      </c>
      <c r="AA258" s="230"/>
      <c r="AB258" s="132"/>
      <c r="AC258" s="237">
        <f>Stores!AH95</f>
        <v>0.20499999999999996</v>
      </c>
      <c r="AD258" s="132"/>
      <c r="AE258" s="254">
        <f>AVERAGE(AC257:AC258)</f>
        <v>0.18774999999999997</v>
      </c>
      <c r="AF258" s="132"/>
      <c r="AG258" s="145">
        <f>(AE258/AE251-1)*100</f>
        <v>18.641390205371234</v>
      </c>
      <c r="AH258" s="230"/>
      <c r="AI258" s="259"/>
      <c r="AJ258" s="138"/>
      <c r="AK258" s="132"/>
      <c r="AL258" s="142">
        <f>+V258</f>
        <v>132.869</v>
      </c>
      <c r="AM258" s="132"/>
      <c r="AN258" s="244">
        <f>AL258/AE258</f>
        <v>707.69107856191749</v>
      </c>
      <c r="AO258" s="132"/>
      <c r="AP258" s="925">
        <f>(AN258/AN251-1)*100</f>
        <v>10.610586951400469</v>
      </c>
      <c r="AQ258" s="230"/>
      <c r="AR258" s="230"/>
      <c r="AS258" s="132"/>
      <c r="AT258" s="132"/>
      <c r="AU258" s="132"/>
      <c r="AV258" s="132"/>
      <c r="AW258" s="132"/>
      <c r="AX258" s="132"/>
      <c r="AY258" s="132"/>
      <c r="AZ258" s="132"/>
      <c r="BA258" s="132"/>
      <c r="BB258" s="132"/>
      <c r="BC258" s="132"/>
      <c r="BD258" s="132"/>
      <c r="BE258" s="132"/>
      <c r="BF258" s="132"/>
      <c r="BG258" s="132"/>
      <c r="BH258" s="132"/>
      <c r="BI258" s="132"/>
      <c r="BJ258" s="132"/>
      <c r="BK258" s="132"/>
      <c r="BL258" s="132"/>
      <c r="BM258" s="132"/>
      <c r="BN258" s="132"/>
      <c r="BO258" s="1592"/>
      <c r="BP258" s="1492"/>
    </row>
    <row r="259" spans="1:68" hidden="1" outlineLevel="2">
      <c r="A259" s="132" t="str">
        <f>$A$43</f>
        <v>4Q</v>
      </c>
      <c r="B259" s="174" t="str">
        <f>$B$43</f>
        <v>Jan</v>
      </c>
      <c r="C259" s="132"/>
      <c r="D259" s="176">
        <f>(V259/V252-1)*100</f>
        <v>26.942567075055202</v>
      </c>
      <c r="E259" s="230"/>
      <c r="F259" s="298"/>
      <c r="G259" s="230"/>
      <c r="H259" s="2095">
        <f>+'segSales&amp;comps'!S80</f>
        <v>0</v>
      </c>
      <c r="I259" s="230"/>
      <c r="J259" s="176">
        <f>D259-H259</f>
        <v>26.942567075055202</v>
      </c>
      <c r="K259" s="230"/>
      <c r="L259" s="917">
        <f>Stores!AX96</f>
        <v>72</v>
      </c>
      <c r="M259" s="132"/>
      <c r="N259" s="178">
        <f>AVERAGE(L259,L258)</f>
        <v>73</v>
      </c>
      <c r="O259" s="132"/>
      <c r="P259" s="176">
        <f>(N259/N252-1)*100</f>
        <v>4.2857142857142927</v>
      </c>
      <c r="Q259" s="230"/>
      <c r="R259" s="178">
        <f>J259/P259*100</f>
        <v>628.65989841795363</v>
      </c>
      <c r="S259" s="138"/>
      <c r="T259" s="132"/>
      <c r="U259" s="132"/>
      <c r="V259" s="922">
        <f>'segSales&amp;comps'!Q80</f>
        <v>217.68999999999994</v>
      </c>
      <c r="W259" s="132"/>
      <c r="X259" s="148">
        <f>V259/N259</f>
        <v>2.9820547945205473</v>
      </c>
      <c r="Y259" s="132"/>
      <c r="Z259" s="218">
        <f>(X259/X252-1)*100</f>
        <v>21.725749250052949</v>
      </c>
      <c r="AA259" s="230"/>
      <c r="AB259" s="132"/>
      <c r="AC259" s="237">
        <f>Stores!AH96</f>
        <v>0.182</v>
      </c>
      <c r="AD259" s="132"/>
      <c r="AE259" s="255">
        <f>AVERAGE(AC258:AC259)</f>
        <v>0.19349999999999998</v>
      </c>
      <c r="AF259" s="132"/>
      <c r="AG259" s="145">
        <f>(AE259/AE252-1)*100</f>
        <v>21.698113207547152</v>
      </c>
      <c r="AH259" s="230"/>
      <c r="AI259" s="259"/>
      <c r="AJ259" s="138"/>
      <c r="AK259" s="132"/>
      <c r="AL259" s="146">
        <f>+V259</f>
        <v>217.68999999999994</v>
      </c>
      <c r="AM259" s="132"/>
      <c r="AN259" s="924">
        <f>AL259/AE259</f>
        <v>1125.0129198966406</v>
      </c>
      <c r="AO259" s="132"/>
      <c r="AP259" s="925">
        <f>(AN259/AN252-1)*100</f>
        <v>4.3093962012081599</v>
      </c>
      <c r="AQ259" s="230"/>
      <c r="AR259" s="230"/>
      <c r="AS259" s="132"/>
      <c r="AT259" s="132"/>
      <c r="AU259" s="132"/>
      <c r="AV259" s="132"/>
      <c r="AW259" s="132"/>
      <c r="AX259" s="132"/>
      <c r="AY259" s="132"/>
      <c r="AZ259" s="132"/>
      <c r="BA259" s="132"/>
      <c r="BB259" s="132"/>
      <c r="BC259" s="132"/>
      <c r="BD259" s="132"/>
      <c r="BE259" s="132"/>
      <c r="BF259" s="132"/>
      <c r="BG259" s="132"/>
      <c r="BH259" s="132"/>
      <c r="BI259" s="132"/>
      <c r="BJ259" s="132"/>
      <c r="BK259" s="132"/>
      <c r="BL259" s="132"/>
      <c r="BM259" s="132"/>
      <c r="BN259" s="132"/>
      <c r="BO259" s="1592"/>
      <c r="BP259" s="1492"/>
    </row>
    <row r="260" spans="1:68" hidden="1" outlineLevel="2">
      <c r="A260" s="132"/>
      <c r="B260" s="174" t="str">
        <f>$B$44</f>
        <v>Year</v>
      </c>
      <c r="C260" s="132"/>
      <c r="D260" s="145">
        <f>(V260/V253-1)*100</f>
        <v>27.489761586597304</v>
      </c>
      <c r="E260" s="230"/>
      <c r="F260" s="297"/>
      <c r="G260" s="230"/>
      <c r="H260" s="2091">
        <f>+'segSales&amp;comps'!S81</f>
        <v>0</v>
      </c>
      <c r="I260" s="230"/>
      <c r="J260" s="145">
        <f>D260-H260</f>
        <v>27.489761586597304</v>
      </c>
      <c r="K260" s="230"/>
      <c r="L260" s="923">
        <f>Stores!AX97</f>
        <v>72</v>
      </c>
      <c r="M260" s="132"/>
      <c r="N260" s="177">
        <f>AVERAGE(N256:N259)</f>
        <v>71.75</v>
      </c>
      <c r="O260" s="132"/>
      <c r="P260" s="145">
        <f>(N260/N253-1)*100</f>
        <v>3.9855072463768071</v>
      </c>
      <c r="Q260" s="230"/>
      <c r="R260" s="259">
        <f>J260/P260*100</f>
        <v>689.7431089000786</v>
      </c>
      <c r="S260" s="138"/>
      <c r="T260" s="132"/>
      <c r="U260" s="132"/>
      <c r="V260" s="296">
        <f>SUM(V256:V259)</f>
        <v>589.60699999999997</v>
      </c>
      <c r="W260" s="132"/>
      <c r="X260" s="143">
        <f>SUM(X256:X259)</f>
        <v>8.193338388084868</v>
      </c>
      <c r="Y260" s="132"/>
      <c r="Z260" s="219">
        <f>(X260/X253-1)*100</f>
        <v>22.528427058664448</v>
      </c>
      <c r="AA260" s="230"/>
      <c r="AB260" s="132"/>
      <c r="AC260" s="237">
        <f>Stores!AH97</f>
        <v>0.182</v>
      </c>
      <c r="AD260" s="132"/>
      <c r="AE260" s="254">
        <f>AVERAGE(AE256:AE259)</f>
        <v>0.17912499999999998</v>
      </c>
      <c r="AF260" s="132"/>
      <c r="AG260" s="145">
        <f>(AE260/AE253-1)*100</f>
        <v>13.730158730158726</v>
      </c>
      <c r="AH260" s="230"/>
      <c r="AI260" s="259"/>
      <c r="AJ260" s="138"/>
      <c r="AK260" s="132"/>
      <c r="AL260" s="141">
        <f>SUM(AL256:AL259)</f>
        <v>589.60699999999997</v>
      </c>
      <c r="AM260" s="132"/>
      <c r="AN260" s="244">
        <f>AL260/AE260</f>
        <v>3291.595254710398</v>
      </c>
      <c r="AO260" s="132"/>
      <c r="AP260" s="925">
        <f>(AN260/AN253-1)*100</f>
        <v>12.09846447949241</v>
      </c>
      <c r="AQ260" s="230"/>
      <c r="AR260" s="230"/>
      <c r="AS260" s="132"/>
      <c r="AT260" s="132"/>
      <c r="AU260" s="132"/>
      <c r="AV260" s="132"/>
      <c r="AW260" s="132"/>
      <c r="AX260" s="132"/>
      <c r="AY260" s="132"/>
      <c r="AZ260" s="132"/>
      <c r="BA260" s="132"/>
      <c r="BB260" s="132"/>
      <c r="BC260" s="132"/>
      <c r="BD260" s="132"/>
      <c r="BE260" s="132"/>
      <c r="BF260" s="132"/>
      <c r="BG260" s="132"/>
      <c r="BH260" s="132"/>
      <c r="BI260" s="132"/>
      <c r="BJ260" s="132"/>
      <c r="BK260" s="132"/>
      <c r="BL260" s="132"/>
      <c r="BM260" s="132"/>
      <c r="BN260" s="132"/>
      <c r="BO260" s="587"/>
      <c r="BP260" s="587"/>
    </row>
    <row r="261" spans="1:68" hidden="1" outlineLevel="2">
      <c r="A261" s="132"/>
      <c r="B261" s="174"/>
      <c r="C261" s="132"/>
      <c r="D261" s="132"/>
      <c r="E261" s="230"/>
      <c r="F261" s="297"/>
      <c r="G261" s="230"/>
      <c r="H261" s="2091"/>
      <c r="I261" s="230"/>
      <c r="J261" s="132"/>
      <c r="K261" s="230"/>
      <c r="L261" s="132"/>
      <c r="M261" s="132"/>
      <c r="N261" s="132"/>
      <c r="O261" s="132"/>
      <c r="P261" s="132"/>
      <c r="Q261" s="230"/>
      <c r="R261" s="138"/>
      <c r="S261" s="138"/>
      <c r="T261" s="132"/>
      <c r="U261" s="132"/>
      <c r="V261" s="256"/>
      <c r="W261" s="132"/>
      <c r="X261" s="132"/>
      <c r="Y261" s="132"/>
      <c r="Z261" s="132"/>
      <c r="AA261" s="230"/>
      <c r="AB261" s="132"/>
      <c r="AC261" s="132"/>
      <c r="AD261" s="132"/>
      <c r="AE261" s="132"/>
      <c r="AF261" s="132"/>
      <c r="AG261" s="132"/>
      <c r="AH261" s="230"/>
      <c r="AI261" s="138"/>
      <c r="AJ261" s="138"/>
      <c r="AK261" s="132"/>
      <c r="AL261" s="132"/>
      <c r="AM261" s="132"/>
      <c r="AN261" s="132"/>
      <c r="AO261" s="132"/>
      <c r="AP261" s="925"/>
      <c r="AQ261" s="230"/>
      <c r="AR261" s="230"/>
      <c r="AS261" s="132"/>
      <c r="AT261" s="132"/>
      <c r="AU261" s="132"/>
      <c r="AV261" s="132"/>
      <c r="AW261" s="132"/>
      <c r="AX261" s="132"/>
      <c r="AY261" s="132"/>
      <c r="AZ261" s="132"/>
      <c r="BA261" s="132"/>
      <c r="BB261" s="132"/>
      <c r="BC261" s="132"/>
      <c r="BD261" s="132"/>
      <c r="BE261" s="132"/>
      <c r="BF261" s="132"/>
      <c r="BG261" s="132"/>
      <c r="BH261" s="132"/>
      <c r="BI261" s="132"/>
      <c r="BJ261" s="132"/>
      <c r="BK261" s="132"/>
      <c r="BL261" s="132"/>
      <c r="BM261" s="132"/>
      <c r="BN261" s="132"/>
      <c r="BO261" s="587"/>
      <c r="BP261" s="587"/>
    </row>
    <row r="262" spans="1:68" hidden="1" outlineLevel="2">
      <c r="A262" s="169"/>
      <c r="B262" s="171">
        <f>B255+1</f>
        <v>2000</v>
      </c>
      <c r="C262" s="132"/>
      <c r="D262" s="132"/>
      <c r="E262" s="230"/>
      <c r="F262" s="297"/>
      <c r="G262" s="230"/>
      <c r="H262" s="2091"/>
      <c r="I262" s="230"/>
      <c r="J262" s="132"/>
      <c r="K262" s="230"/>
      <c r="L262" s="132"/>
      <c r="M262" s="132"/>
      <c r="N262" s="132"/>
      <c r="O262" s="132"/>
      <c r="P262" s="132"/>
      <c r="Q262" s="230"/>
      <c r="R262" s="138"/>
      <c r="S262" s="138"/>
      <c r="T262" s="132"/>
      <c r="U262" s="132"/>
      <c r="V262" s="256"/>
      <c r="W262" s="132"/>
      <c r="X262" s="132"/>
      <c r="Y262" s="132"/>
      <c r="Z262" s="132"/>
      <c r="AA262" s="230"/>
      <c r="AB262" s="132"/>
      <c r="AC262" s="132"/>
      <c r="AD262" s="132"/>
      <c r="AE262" s="132"/>
      <c r="AF262" s="132"/>
      <c r="AG262" s="132"/>
      <c r="AH262" s="230"/>
      <c r="AI262" s="138"/>
      <c r="AJ262" s="138"/>
      <c r="AK262" s="132"/>
      <c r="AL262" s="132"/>
      <c r="AM262" s="132"/>
      <c r="AN262" s="132"/>
      <c r="AO262" s="132"/>
      <c r="AP262" s="925"/>
      <c r="AQ262" s="230"/>
      <c r="AR262" s="230"/>
      <c r="AS262" s="132"/>
      <c r="AT262" s="132"/>
      <c r="AU262" s="132"/>
      <c r="AV262" s="132"/>
      <c r="AW262" s="132"/>
      <c r="AX262" s="132"/>
      <c r="AY262" s="132"/>
      <c r="AZ262" s="132"/>
      <c r="BA262" s="132"/>
      <c r="BB262" s="132"/>
      <c r="BC262" s="132"/>
      <c r="BD262" s="132"/>
      <c r="BE262" s="132"/>
      <c r="BF262" s="132"/>
      <c r="BG262" s="132"/>
      <c r="BH262" s="132"/>
      <c r="BI262" s="132"/>
      <c r="BJ262" s="132"/>
      <c r="BK262" s="132"/>
      <c r="BL262" s="132"/>
      <c r="BM262" s="132"/>
      <c r="BN262" s="132"/>
      <c r="BO262" s="587"/>
      <c r="BP262" s="587"/>
    </row>
    <row r="263" spans="1:68" hidden="1" outlineLevel="2">
      <c r="A263" s="132" t="str">
        <f>$A$40</f>
        <v>1Q</v>
      </c>
      <c r="B263" s="174" t="str">
        <f>$B$40</f>
        <v>Apr</v>
      </c>
      <c r="C263" s="132"/>
      <c r="D263" s="145">
        <f>(V263/V256-1)*100</f>
        <v>25.513730697856541</v>
      </c>
      <c r="E263" s="230" t="s">
        <v>1970</v>
      </c>
      <c r="F263" s="297"/>
      <c r="G263" s="230"/>
      <c r="H263" s="2091">
        <f>+'segSales&amp;comps'!S84</f>
        <v>0</v>
      </c>
      <c r="I263" s="230" t="s">
        <v>1970</v>
      </c>
      <c r="J263" s="145">
        <f>D263-H263</f>
        <v>25.513730697856541</v>
      </c>
      <c r="K263" s="230" t="s">
        <v>1970</v>
      </c>
      <c r="L263" s="725">
        <f>Stores!AX100</f>
        <v>74</v>
      </c>
      <c r="M263" s="132" t="s">
        <v>505</v>
      </c>
      <c r="N263" s="177">
        <f>AVERAGE(L263,L259)</f>
        <v>73</v>
      </c>
      <c r="O263" s="132"/>
      <c r="P263" s="145">
        <f>(N263/N256-1)*100</f>
        <v>3.5460992907801359</v>
      </c>
      <c r="Q263" s="230" t="s">
        <v>1970</v>
      </c>
      <c r="R263" s="259">
        <f>J263/P263*100</f>
        <v>719.4872056795557</v>
      </c>
      <c r="S263" s="138" t="s">
        <v>1970</v>
      </c>
      <c r="T263" s="132"/>
      <c r="U263" s="132"/>
      <c r="V263" s="296">
        <f>'segSales&amp;comps'!Q84</f>
        <v>147.446</v>
      </c>
      <c r="W263" s="132" t="s">
        <v>505</v>
      </c>
      <c r="X263" s="143">
        <f>V263/N263</f>
        <v>2.0198082191780822</v>
      </c>
      <c r="Y263" s="132"/>
      <c r="Z263" s="219">
        <f>(X263/X256-1)*100</f>
        <v>21.215315262998445</v>
      </c>
      <c r="AA263" s="230" t="s">
        <v>1970</v>
      </c>
      <c r="AB263" s="132"/>
      <c r="AC263" s="237">
        <f>Stores!AH100</f>
        <v>0.188</v>
      </c>
      <c r="AD263" s="132" t="s">
        <v>505</v>
      </c>
      <c r="AE263" s="254">
        <f>AVERAGE(AC263,AC259)</f>
        <v>0.185</v>
      </c>
      <c r="AF263" s="132"/>
      <c r="AG263" s="145">
        <f>(AE263/AE256-1)*100</f>
        <v>12.291350531107724</v>
      </c>
      <c r="AH263" s="230" t="s">
        <v>1970</v>
      </c>
      <c r="AI263" s="259"/>
      <c r="AJ263" s="138" t="s">
        <v>1970</v>
      </c>
      <c r="AK263" s="132"/>
      <c r="AL263" s="141">
        <f>+V263</f>
        <v>147.446</v>
      </c>
      <c r="AM263" s="132" t="s">
        <v>505</v>
      </c>
      <c r="AN263" s="244">
        <f>AL263/AE263</f>
        <v>797.00540540540544</v>
      </c>
      <c r="AO263" s="132"/>
      <c r="AP263" s="925">
        <f>(AN263/AN256-1)*100</f>
        <v>11.775065580929001</v>
      </c>
      <c r="AQ263" s="230" t="s">
        <v>1970</v>
      </c>
      <c r="AR263" s="230"/>
      <c r="AS263" s="132"/>
      <c r="AT263" s="132"/>
      <c r="AU263" s="132"/>
      <c r="AV263" s="132"/>
      <c r="AW263" s="132"/>
      <c r="AX263" s="132"/>
      <c r="AY263" s="132"/>
      <c r="AZ263" s="132"/>
      <c r="BA263" s="132"/>
      <c r="BB263" s="132"/>
      <c r="BC263" s="132"/>
      <c r="BD263" s="132"/>
      <c r="BE263" s="132"/>
      <c r="BF263" s="132"/>
      <c r="BG263" s="132"/>
      <c r="BH263" s="132"/>
      <c r="BI263" s="132"/>
      <c r="BJ263" s="132"/>
      <c r="BK263" s="132"/>
      <c r="BL263" s="132"/>
      <c r="BM263" s="132"/>
      <c r="BN263" s="132"/>
      <c r="BO263" s="1592"/>
      <c r="BP263" s="1492"/>
    </row>
    <row r="264" spans="1:68" hidden="1" outlineLevel="2">
      <c r="A264" s="132" t="str">
        <f>$A$41</f>
        <v>2Q</v>
      </c>
      <c r="B264" s="174" t="str">
        <f>$B$41</f>
        <v>Jul</v>
      </c>
      <c r="C264" s="132"/>
      <c r="D264" s="145">
        <f>(V264/V257-1)*100</f>
        <v>26.058203234244147</v>
      </c>
      <c r="E264" s="132"/>
      <c r="F264" s="297"/>
      <c r="G264" s="132"/>
      <c r="H264" s="2091">
        <f>+'segSales&amp;comps'!S85</f>
        <v>0</v>
      </c>
      <c r="I264" s="132"/>
      <c r="J264" s="145">
        <f>D264-H264</f>
        <v>26.058203234244147</v>
      </c>
      <c r="K264" s="132"/>
      <c r="L264" s="725">
        <f>Stores!AX101</f>
        <v>74</v>
      </c>
      <c r="M264" s="238"/>
      <c r="N264" s="177">
        <f>AVERAGE(L264,L263)</f>
        <v>74</v>
      </c>
      <c r="O264" s="132"/>
      <c r="P264" s="145">
        <f>(N264/N257-1)*100</f>
        <v>4.2253521126760507</v>
      </c>
      <c r="Q264" s="230"/>
      <c r="R264" s="259">
        <f>J264/P264*100</f>
        <v>616.7108098771123</v>
      </c>
      <c r="S264" s="138"/>
      <c r="T264" s="132"/>
      <c r="U264" s="132"/>
      <c r="V264" s="296">
        <f>'segSales&amp;comps'!Q85</f>
        <v>153.25399999999999</v>
      </c>
      <c r="W264" s="132"/>
      <c r="X264" s="147">
        <f>V264/N264</f>
        <v>2.0709999999999997</v>
      </c>
      <c r="Y264" s="132"/>
      <c r="Z264" s="219">
        <f>(X264/X257-1)*100</f>
        <v>20.947735535558575</v>
      </c>
      <c r="AA264" s="230"/>
      <c r="AB264" s="132"/>
      <c r="AC264" s="237">
        <f>Stores!AH101</f>
        <v>0.188</v>
      </c>
      <c r="AD264" s="238"/>
      <c r="AE264" s="254">
        <f>AVERAGE(AC263:AC264)</f>
        <v>0.188</v>
      </c>
      <c r="AF264" s="132"/>
      <c r="AG264" s="145">
        <f>(AE264/AE257-1)*100</f>
        <v>10.263929618768341</v>
      </c>
      <c r="AH264" s="230"/>
      <c r="AI264" s="259"/>
      <c r="AJ264" s="138"/>
      <c r="AK264" s="132"/>
      <c r="AL264" s="142">
        <f>+V264</f>
        <v>153.25399999999999</v>
      </c>
      <c r="AM264" s="132"/>
      <c r="AN264" s="244">
        <f>AL264/AE264</f>
        <v>815.18085106382978</v>
      </c>
      <c r="AO264" s="132"/>
      <c r="AP264" s="925">
        <f>(AN264/AN257-1)*100</f>
        <v>14.32406197573739</v>
      </c>
      <c r="AQ264" s="230"/>
      <c r="AR264" s="230"/>
      <c r="AS264" s="132"/>
      <c r="AT264" s="132"/>
      <c r="AU264" s="132"/>
      <c r="AV264" s="132"/>
      <c r="AW264" s="132"/>
      <c r="AX264" s="132"/>
      <c r="AY264" s="132"/>
      <c r="AZ264" s="132"/>
      <c r="BA264" s="132"/>
      <c r="BB264" s="132"/>
      <c r="BC264" s="132"/>
      <c r="BD264" s="132"/>
      <c r="BE264" s="132"/>
      <c r="BF264" s="132"/>
      <c r="BG264" s="132"/>
      <c r="BH264" s="132"/>
      <c r="BI264" s="132"/>
      <c r="BJ264" s="132"/>
      <c r="BK264" s="132"/>
      <c r="BL264" s="132"/>
      <c r="BM264" s="132"/>
      <c r="BN264" s="132"/>
      <c r="BO264" s="1592"/>
      <c r="BP264" s="1492"/>
    </row>
    <row r="265" spans="1:68" hidden="1" outlineLevel="2">
      <c r="A265" s="132" t="str">
        <f>$A$42</f>
        <v>3Q</v>
      </c>
      <c r="B265" s="174" t="str">
        <f>$B$42</f>
        <v>Oct</v>
      </c>
      <c r="C265" s="132"/>
      <c r="D265" s="145">
        <f>(V265/V258-1)*100</f>
        <v>16.453047738750183</v>
      </c>
      <c r="E265" s="132"/>
      <c r="F265" s="297"/>
      <c r="G265" s="132"/>
      <c r="H265" s="2091">
        <f>+'segSales&amp;comps'!S86</f>
        <v>0</v>
      </c>
      <c r="I265" s="132"/>
      <c r="J265" s="145">
        <f>D265-H265</f>
        <v>16.453047738750183</v>
      </c>
      <c r="K265" s="132"/>
      <c r="L265" s="725">
        <f>Stores!AX102</f>
        <v>78</v>
      </c>
      <c r="M265" s="238"/>
      <c r="N265" s="177">
        <f>AVERAGE(L265,L264)</f>
        <v>76</v>
      </c>
      <c r="O265" s="132"/>
      <c r="P265" s="145">
        <f>(N265/N258-1)*100</f>
        <v>4.8275862068965614</v>
      </c>
      <c r="Q265" s="230"/>
      <c r="R265" s="259">
        <f>J265/P265*100</f>
        <v>340.81313173125307</v>
      </c>
      <c r="S265" s="138"/>
      <c r="T265" s="132"/>
      <c r="U265" s="132"/>
      <c r="V265" s="296">
        <f>'segSales&amp;comps'!Q86</f>
        <v>154.72999999999999</v>
      </c>
      <c r="W265" s="132"/>
      <c r="X265" s="147">
        <f>V265/N265</f>
        <v>2.0359210526315787</v>
      </c>
      <c r="Y265" s="132"/>
      <c r="Z265" s="219">
        <f>(X265/X258-1)*100</f>
        <v>11.090078434991945</v>
      </c>
      <c r="AA265" s="230"/>
      <c r="AB265" s="132"/>
      <c r="AC265" s="237">
        <f>Stores!AH102</f>
        <v>0.2</v>
      </c>
      <c r="AD265" s="238"/>
      <c r="AE265" s="254">
        <f>AVERAGE(AC264:AC265)</f>
        <v>0.19400000000000001</v>
      </c>
      <c r="AF265" s="132"/>
      <c r="AG265" s="145">
        <f>(AE265/AE258-1)*100</f>
        <v>3.3288948069241098</v>
      </c>
      <c r="AH265" s="230"/>
      <c r="AI265" s="259"/>
      <c r="AJ265" s="138"/>
      <c r="AK265" s="132"/>
      <c r="AL265" s="142">
        <f>+V265</f>
        <v>154.72999999999999</v>
      </c>
      <c r="AM265" s="132"/>
      <c r="AN265" s="244">
        <f>AL265/AE265</f>
        <v>797.57731958762884</v>
      </c>
      <c r="AO265" s="132"/>
      <c r="AP265" s="925">
        <f>(AN265/AN258-1)*100</f>
        <v>12.701338726548173</v>
      </c>
      <c r="AQ265" s="230"/>
      <c r="AR265" s="230"/>
      <c r="AS265" s="132"/>
      <c r="AT265" s="132"/>
      <c r="AU265" s="132"/>
      <c r="AV265" s="132"/>
      <c r="AW265" s="132"/>
      <c r="AX265" s="132"/>
      <c r="AY265" s="132"/>
      <c r="AZ265" s="132"/>
      <c r="BA265" s="132"/>
      <c r="BB265" s="132"/>
      <c r="BC265" s="132"/>
      <c r="BD265" s="132"/>
      <c r="BE265" s="132"/>
      <c r="BF265" s="132"/>
      <c r="BG265" s="132"/>
      <c r="BH265" s="132"/>
      <c r="BI265" s="132"/>
      <c r="BJ265" s="132"/>
      <c r="BK265" s="132"/>
      <c r="BL265" s="132"/>
      <c r="BM265" s="132"/>
      <c r="BN265" s="132"/>
      <c r="BO265" s="1592"/>
      <c r="BP265" s="1492"/>
    </row>
    <row r="266" spans="1:68" hidden="1" outlineLevel="2">
      <c r="A266" s="132" t="str">
        <f>$A$43</f>
        <v>4Q</v>
      </c>
      <c r="B266" s="174" t="str">
        <f>$B$43</f>
        <v>Jan</v>
      </c>
      <c r="C266" s="132"/>
      <c r="D266" s="176">
        <f>(V266/V259-1)*100</f>
        <v>2.8269557627819575</v>
      </c>
      <c r="E266" s="132"/>
      <c r="F266" s="298"/>
      <c r="G266" s="132"/>
      <c r="H266" s="2095">
        <f>+'segSales&amp;comps'!S87</f>
        <v>0</v>
      </c>
      <c r="I266" s="132"/>
      <c r="J266" s="176">
        <f>D266-H266</f>
        <v>2.8269557627819575</v>
      </c>
      <c r="K266" s="132"/>
      <c r="L266" s="917">
        <f>Stores!AX103</f>
        <v>77</v>
      </c>
      <c r="M266" s="139"/>
      <c r="N266" s="178">
        <f>AVERAGE(L266,L265)</f>
        <v>77.5</v>
      </c>
      <c r="O266" s="132"/>
      <c r="P266" s="176">
        <f>(N266/N259-1)*100</f>
        <v>6.164383561643838</v>
      </c>
      <c r="Q266" s="230"/>
      <c r="R266" s="178">
        <f>J266/P266*100</f>
        <v>45.859504596240626</v>
      </c>
      <c r="S266" s="138"/>
      <c r="T266" s="132"/>
      <c r="U266" s="132"/>
      <c r="V266" s="922">
        <f>'segSales&amp;comps'!Q87</f>
        <v>223.84399999999999</v>
      </c>
      <c r="W266" s="132"/>
      <c r="X266" s="148">
        <f>V266/N266</f>
        <v>2.8883096774193548</v>
      </c>
      <c r="Y266" s="132"/>
      <c r="Z266" s="218">
        <f>(X266/X259-1)*100</f>
        <v>-3.1436416686053792</v>
      </c>
      <c r="AA266" s="230"/>
      <c r="AB266" s="132"/>
      <c r="AC266" s="237">
        <f>Stores!AH103</f>
        <v>0.19700000000000001</v>
      </c>
      <c r="AD266" s="139"/>
      <c r="AE266" s="255">
        <f>AVERAGE(AC265:AC266)</f>
        <v>0.19850000000000001</v>
      </c>
      <c r="AF266" s="132"/>
      <c r="AG266" s="145">
        <f>(AE266/AE259-1)*100</f>
        <v>2.5839793281653867</v>
      </c>
      <c r="AH266" s="230"/>
      <c r="AI266" s="259"/>
      <c r="AJ266" s="138"/>
      <c r="AK266" s="132"/>
      <c r="AL266" s="146">
        <f>+V266</f>
        <v>223.84399999999999</v>
      </c>
      <c r="AM266" s="132"/>
      <c r="AN266" s="924">
        <f>AL266/AE266</f>
        <v>1127.6775818639799</v>
      </c>
      <c r="AO266" s="132"/>
      <c r="AP266" s="925">
        <f>(AN266/AN259-1)*100</f>
        <v>0.23685612140205148</v>
      </c>
      <c r="AQ266" s="230"/>
      <c r="AR266" s="230"/>
      <c r="AS266" s="132"/>
      <c r="AT266" s="132"/>
      <c r="AU266" s="132"/>
      <c r="AV266" s="132"/>
      <c r="AW266" s="132"/>
      <c r="AX266" s="132"/>
      <c r="AY266" s="132"/>
      <c r="AZ266" s="132"/>
      <c r="BA266" s="132"/>
      <c r="BB266" s="132"/>
      <c r="BC266" s="132"/>
      <c r="BD266" s="132"/>
      <c r="BE266" s="132"/>
      <c r="BF266" s="132"/>
      <c r="BG266" s="132"/>
      <c r="BH266" s="132"/>
      <c r="BI266" s="132"/>
      <c r="BJ266" s="132"/>
      <c r="BK266" s="132"/>
      <c r="BL266" s="132"/>
      <c r="BM266" s="132"/>
      <c r="BN266" s="132"/>
      <c r="BO266" s="1592"/>
      <c r="BP266" s="1492"/>
    </row>
    <row r="267" spans="1:68" hidden="1" outlineLevel="2">
      <c r="A267" s="132"/>
      <c r="B267" s="174" t="str">
        <f>$B$44</f>
        <v>Year</v>
      </c>
      <c r="C267" s="132"/>
      <c r="D267" s="145">
        <f>(V267/V260-1)*100</f>
        <v>15.207926635877778</v>
      </c>
      <c r="E267" s="132"/>
      <c r="F267" s="297"/>
      <c r="G267" s="132"/>
      <c r="H267" s="2091">
        <f>+'segSales&amp;comps'!S88</f>
        <v>13</v>
      </c>
      <c r="I267" s="132"/>
      <c r="J267" s="145">
        <f>D267-H267</f>
        <v>2.2079266358777776</v>
      </c>
      <c r="K267" s="132"/>
      <c r="L267" s="923">
        <f>Stores!AX104</f>
        <v>77</v>
      </c>
      <c r="M267" s="132"/>
      <c r="N267" s="177">
        <f>AVERAGE(N263:N266)</f>
        <v>75.125</v>
      </c>
      <c r="O267" s="132"/>
      <c r="P267" s="145">
        <f>(N267/N260-1)*100</f>
        <v>4.7038327526132351</v>
      </c>
      <c r="Q267" s="230"/>
      <c r="R267" s="259">
        <f>J267/P267*100</f>
        <v>46.938884777549845</v>
      </c>
      <c r="S267" s="138"/>
      <c r="T267" s="132"/>
      <c r="U267" s="132"/>
      <c r="V267" s="296">
        <f>SUM(V263:V266)</f>
        <v>679.27399999999989</v>
      </c>
      <c r="W267" s="132"/>
      <c r="X267" s="143">
        <f>SUM(X263:X266)</f>
        <v>9.0150389492290159</v>
      </c>
      <c r="Y267" s="132"/>
      <c r="Z267" s="219">
        <f>(X267/X260-1)*100</f>
        <v>10.02888593420117</v>
      </c>
      <c r="AA267" s="230"/>
      <c r="AB267" s="132"/>
      <c r="AC267" s="237">
        <f>Stores!AH104</f>
        <v>0.19700000000000001</v>
      </c>
      <c r="AD267" s="132"/>
      <c r="AE267" s="254">
        <f>AVERAGE(AE263:AE266)</f>
        <v>0.19137499999999999</v>
      </c>
      <c r="AF267" s="132"/>
      <c r="AG267" s="145">
        <f>(AE267/AE260-1)*100</f>
        <v>6.8387997208653184</v>
      </c>
      <c r="AH267" s="230"/>
      <c r="AI267" s="259"/>
      <c r="AJ267" s="138"/>
      <c r="AK267" s="132"/>
      <c r="AL267" s="141">
        <f>SUM(AL263:AL266)</f>
        <v>679.27399999999989</v>
      </c>
      <c r="AM267" s="132"/>
      <c r="AN267" s="244">
        <f>AL267/AE267</f>
        <v>3549.4395819725664</v>
      </c>
      <c r="AO267" s="132"/>
      <c r="AP267" s="925">
        <f>(AN267/AN260-1)*100</f>
        <v>7.8334153293356357</v>
      </c>
      <c r="AQ267" s="230"/>
      <c r="AR267" s="230"/>
      <c r="AS267" s="132"/>
      <c r="AT267" s="132"/>
      <c r="AU267" s="132"/>
      <c r="AV267" s="132"/>
      <c r="AW267" s="132"/>
      <c r="AX267" s="132"/>
      <c r="AY267" s="132"/>
      <c r="AZ267" s="132"/>
      <c r="BA267" s="132"/>
      <c r="BB267" s="132"/>
      <c r="BC267" s="132"/>
      <c r="BD267" s="132"/>
      <c r="BE267" s="132"/>
      <c r="BF267" s="132"/>
      <c r="BG267" s="132"/>
      <c r="BH267" s="132"/>
      <c r="BI267" s="132"/>
      <c r="BJ267" s="132"/>
      <c r="BK267" s="132"/>
      <c r="BL267" s="132"/>
      <c r="BM267" s="132"/>
      <c r="BN267" s="132"/>
      <c r="BO267" s="587"/>
      <c r="BP267" s="587"/>
    </row>
    <row r="268" spans="1:68" hidden="1" outlineLevel="2">
      <c r="A268" s="132"/>
      <c r="B268" s="174"/>
      <c r="C268" s="132"/>
      <c r="D268" s="132"/>
      <c r="E268" s="132"/>
      <c r="F268" s="297"/>
      <c r="G268" s="132"/>
      <c r="H268" s="2091"/>
      <c r="I268" s="132"/>
      <c r="J268" s="132"/>
      <c r="K268" s="132"/>
      <c r="L268" s="132"/>
      <c r="M268" s="132"/>
      <c r="N268" s="132"/>
      <c r="O268" s="132"/>
      <c r="P268" s="132"/>
      <c r="Q268" s="230"/>
      <c r="R268" s="138"/>
      <c r="S268" s="138"/>
      <c r="T268" s="132"/>
      <c r="U268" s="132"/>
      <c r="V268" s="256"/>
      <c r="W268" s="132"/>
      <c r="X268" s="132"/>
      <c r="Y268" s="132"/>
      <c r="Z268" s="132"/>
      <c r="AA268" s="230"/>
      <c r="AB268" s="132"/>
      <c r="AC268" s="132"/>
      <c r="AD268" s="132"/>
      <c r="AE268" s="132"/>
      <c r="AF268" s="132"/>
      <c r="AG268" s="132"/>
      <c r="AH268" s="230"/>
      <c r="AI268" s="138"/>
      <c r="AJ268" s="138"/>
      <c r="AK268" s="132"/>
      <c r="AL268" s="132"/>
      <c r="AM268" s="132"/>
      <c r="AN268" s="132"/>
      <c r="AO268" s="132"/>
      <c r="AP268" s="925"/>
      <c r="AQ268" s="132"/>
      <c r="AR268" s="132"/>
      <c r="AS268" s="132"/>
      <c r="AT268" s="132"/>
      <c r="AU268" s="132"/>
      <c r="AV268" s="132"/>
      <c r="AW268" s="132"/>
      <c r="AX268" s="132"/>
      <c r="AY268" s="132"/>
      <c r="AZ268" s="132"/>
      <c r="BA268" s="132"/>
      <c r="BB268" s="132"/>
      <c r="BC268" s="132"/>
      <c r="BD268" s="132"/>
      <c r="BE268" s="132"/>
      <c r="BF268" s="132"/>
      <c r="BG268" s="132"/>
      <c r="BH268" s="132"/>
      <c r="BI268" s="132"/>
      <c r="BJ268" s="132"/>
      <c r="BK268" s="132"/>
      <c r="BL268" s="132"/>
      <c r="BM268" s="132"/>
      <c r="BN268" s="132"/>
      <c r="BO268" s="587"/>
      <c r="BP268" s="587"/>
    </row>
    <row r="269" spans="1:68" hidden="1" outlineLevel="2">
      <c r="A269" s="169"/>
      <c r="B269" s="171">
        <f>B262+1</f>
        <v>2001</v>
      </c>
      <c r="C269" s="132"/>
      <c r="D269" s="132"/>
      <c r="E269" s="230"/>
      <c r="F269" s="297"/>
      <c r="G269" s="230"/>
      <c r="H269" s="2091"/>
      <c r="I269" s="230"/>
      <c r="J269" s="132"/>
      <c r="K269" s="230"/>
      <c r="L269" s="132"/>
      <c r="M269" s="132"/>
      <c r="N269" s="132"/>
      <c r="O269" s="132"/>
      <c r="P269" s="132"/>
      <c r="Q269" s="230"/>
      <c r="R269" s="138"/>
      <c r="S269" s="138"/>
      <c r="T269" s="132"/>
      <c r="U269" s="132"/>
      <c r="V269" s="256"/>
      <c r="W269" s="132"/>
      <c r="X269" s="132"/>
      <c r="Y269" s="132"/>
      <c r="Z269" s="132"/>
      <c r="AA269" s="230"/>
      <c r="AB269" s="132"/>
      <c r="AC269" s="132"/>
      <c r="AD269" s="132"/>
      <c r="AE269" s="132"/>
      <c r="AF269" s="132"/>
      <c r="AG269" s="132"/>
      <c r="AH269" s="230"/>
      <c r="AI269" s="138"/>
      <c r="AJ269" s="138"/>
      <c r="AK269" s="132"/>
      <c r="AL269" s="132"/>
      <c r="AM269" s="132"/>
      <c r="AN269" s="132"/>
      <c r="AO269" s="132"/>
      <c r="AP269" s="925"/>
      <c r="AQ269" s="230"/>
      <c r="AR269" s="230"/>
      <c r="AS269" s="132"/>
      <c r="AT269" s="132"/>
      <c r="AU269" s="132"/>
      <c r="AV269" s="132"/>
      <c r="AW269" s="132"/>
      <c r="AX269" s="132"/>
      <c r="AY269" s="132"/>
      <c r="AZ269" s="132"/>
      <c r="BA269" s="132"/>
      <c r="BB269" s="132"/>
      <c r="BC269" s="132"/>
      <c r="BD269" s="132"/>
      <c r="BE269" s="132"/>
      <c r="BF269" s="132"/>
      <c r="BG269" s="132"/>
      <c r="BH269" s="132"/>
      <c r="BI269" s="132"/>
      <c r="BJ269" s="132"/>
      <c r="BK269" s="132"/>
      <c r="BL269" s="132"/>
      <c r="BM269" s="132"/>
      <c r="BN269" s="132"/>
      <c r="BO269" s="587"/>
      <c r="BP269" s="587"/>
    </row>
    <row r="270" spans="1:68" hidden="1" outlineLevel="2">
      <c r="A270" s="132" t="str">
        <f>$A$40</f>
        <v>1Q</v>
      </c>
      <c r="B270" s="174" t="str">
        <f>$B$40</f>
        <v>Apr</v>
      </c>
      <c r="C270" s="132"/>
      <c r="D270" s="145">
        <f>(V270/V263-1)*100</f>
        <v>-0.69381332826933262</v>
      </c>
      <c r="E270" s="230" t="s">
        <v>1970</v>
      </c>
      <c r="F270" s="297"/>
      <c r="G270" s="230"/>
      <c r="H270" s="2091">
        <f>+'segSales&amp;comps'!S91</f>
        <v>0</v>
      </c>
      <c r="I270" s="230" t="s">
        <v>1970</v>
      </c>
      <c r="J270" s="145">
        <f>D270-H270</f>
        <v>-0.69381332826933262</v>
      </c>
      <c r="K270" s="230" t="s">
        <v>1970</v>
      </c>
      <c r="L270" s="725">
        <f>Stores!AX107</f>
        <v>81</v>
      </c>
      <c r="M270" s="132" t="s">
        <v>505</v>
      </c>
      <c r="N270" s="177">
        <f>AVERAGE(L270,L266)</f>
        <v>79</v>
      </c>
      <c r="O270" s="132"/>
      <c r="P270" s="145">
        <f>(N270/N263-1)*100</f>
        <v>8.2191780821917924</v>
      </c>
      <c r="Q270" s="230" t="s">
        <v>1970</v>
      </c>
      <c r="R270" s="259">
        <f>J270/P270*100</f>
        <v>-8.4413954939435349</v>
      </c>
      <c r="S270" s="138" t="s">
        <v>1970</v>
      </c>
      <c r="T270" s="132"/>
      <c r="U270" s="132"/>
      <c r="V270" s="296">
        <f>'segSales&amp;comps'!Q91</f>
        <v>146.423</v>
      </c>
      <c r="W270" s="132" t="s">
        <v>505</v>
      </c>
      <c r="X270" s="143">
        <f>V270/N270</f>
        <v>1.8534556962025317</v>
      </c>
      <c r="Y270" s="132"/>
      <c r="Z270" s="219">
        <f>(X270/X263-1)*100</f>
        <v>-8.2360553539703947</v>
      </c>
      <c r="AA270" s="230" t="s">
        <v>1970</v>
      </c>
      <c r="AB270" s="132"/>
      <c r="AC270" s="237">
        <f>Stores!AH107</f>
        <v>0.21860000000000002</v>
      </c>
      <c r="AD270" s="132" t="s">
        <v>505</v>
      </c>
      <c r="AE270" s="254">
        <f>AVERAGE(AC270,AC266)</f>
        <v>0.20780000000000001</v>
      </c>
      <c r="AF270" s="132"/>
      <c r="AG270" s="145">
        <f>(AE270/AE263-1)*100</f>
        <v>12.324324324324332</v>
      </c>
      <c r="AH270" s="230" t="s">
        <v>1970</v>
      </c>
      <c r="AI270" s="259"/>
      <c r="AJ270" s="138" t="s">
        <v>1970</v>
      </c>
      <c r="AK270" s="132"/>
      <c r="AL270" s="141">
        <f>+V270</f>
        <v>146.423</v>
      </c>
      <c r="AM270" s="132" t="s">
        <v>505</v>
      </c>
      <c r="AN270" s="244">
        <f>AL270/AE270</f>
        <v>704.63426371511071</v>
      </c>
      <c r="AO270" s="132"/>
      <c r="AP270" s="925">
        <f>(AN270/AN263-1)*100</f>
        <v>-11.589776062222457</v>
      </c>
      <c r="AQ270" s="230" t="s">
        <v>1970</v>
      </c>
      <c r="AR270" s="230"/>
      <c r="AS270" s="132"/>
      <c r="AT270" s="132"/>
      <c r="AU270" s="132"/>
      <c r="AV270" s="132"/>
      <c r="AW270" s="132"/>
      <c r="AX270" s="132"/>
      <c r="AY270" s="132"/>
      <c r="AZ270" s="132"/>
      <c r="BA270" s="132"/>
      <c r="BB270" s="132"/>
      <c r="BC270" s="132"/>
      <c r="BD270" s="132"/>
      <c r="BE270" s="132"/>
      <c r="BF270" s="132"/>
      <c r="BG270" s="132"/>
      <c r="BH270" s="132"/>
      <c r="BI270" s="132"/>
      <c r="BJ270" s="132"/>
      <c r="BK270" s="132"/>
      <c r="BL270" s="132"/>
      <c r="BM270" s="132"/>
      <c r="BN270" s="132"/>
      <c r="BO270" s="1592"/>
      <c r="BP270" s="1492"/>
    </row>
    <row r="271" spans="1:68" hidden="1" outlineLevel="2">
      <c r="A271" s="132" t="str">
        <f>$A$41</f>
        <v>2Q</v>
      </c>
      <c r="B271" s="174" t="str">
        <f>$B$41</f>
        <v>Jul</v>
      </c>
      <c r="C271" s="132"/>
      <c r="D271" s="145">
        <f>(V271/V264-1)*100</f>
        <v>-1.7487308650997568</v>
      </c>
      <c r="E271" s="132"/>
      <c r="F271" s="297"/>
      <c r="G271" s="132"/>
      <c r="H271" s="2091">
        <f>+'segSales&amp;comps'!S92</f>
        <v>0</v>
      </c>
      <c r="I271" s="132"/>
      <c r="J271" s="145">
        <f>D271-H271</f>
        <v>-1.7487308650997568</v>
      </c>
      <c r="K271" s="132"/>
      <c r="L271" s="725">
        <f>Stores!AX108</f>
        <v>80</v>
      </c>
      <c r="M271" s="238"/>
      <c r="N271" s="177">
        <f>AVERAGE(L271,L270)</f>
        <v>80.5</v>
      </c>
      <c r="O271" s="132"/>
      <c r="P271" s="145">
        <f>(N271/N264-1)*100</f>
        <v>8.7837837837837931</v>
      </c>
      <c r="Q271" s="230"/>
      <c r="R271" s="259">
        <f>J271/P271*100</f>
        <v>-19.908628310366442</v>
      </c>
      <c r="S271" s="138"/>
      <c r="T271" s="132"/>
      <c r="U271" s="132"/>
      <c r="V271" s="296">
        <f>'segSales&amp;comps'!Q92</f>
        <v>150.57400000000001</v>
      </c>
      <c r="W271" s="132"/>
      <c r="X271" s="147">
        <f>V271/N271</f>
        <v>1.8704844720496896</v>
      </c>
      <c r="Y271" s="132"/>
      <c r="Z271" s="219">
        <f>(X271/X264-1)*100</f>
        <v>-9.682063155495424</v>
      </c>
      <c r="AA271" s="230"/>
      <c r="AB271" s="132"/>
      <c r="AC271" s="237">
        <f>Stores!AH108</f>
        <v>0.21320000000000003</v>
      </c>
      <c r="AD271" s="238"/>
      <c r="AE271" s="254">
        <f>AVERAGE(AC270:AC271)</f>
        <v>0.21590000000000004</v>
      </c>
      <c r="AF271" s="132"/>
      <c r="AG271" s="145">
        <f>(AE271/AE264-1)*100</f>
        <v>14.840425531914914</v>
      </c>
      <c r="AH271" s="230"/>
      <c r="AI271" s="259"/>
      <c r="AJ271" s="138"/>
      <c r="AK271" s="132"/>
      <c r="AL271" s="142">
        <f>+V271</f>
        <v>150.57400000000001</v>
      </c>
      <c r="AM271" s="132"/>
      <c r="AN271" s="244">
        <f>AL271/AE271</f>
        <v>697.42473367299669</v>
      </c>
      <c r="AO271" s="132"/>
      <c r="AP271" s="925">
        <f>(AN271/AN264-1)*100</f>
        <v>-14.445397881606103</v>
      </c>
      <c r="AQ271" s="230"/>
      <c r="AR271" s="230"/>
      <c r="AS271" s="132"/>
      <c r="AT271" s="132"/>
      <c r="AU271" s="132"/>
      <c r="AV271" s="132"/>
      <c r="AW271" s="132"/>
      <c r="AX271" s="132"/>
      <c r="AY271" s="132"/>
      <c r="AZ271" s="132"/>
      <c r="BA271" s="132"/>
      <c r="BB271" s="132"/>
      <c r="BC271" s="132"/>
      <c r="BD271" s="132"/>
      <c r="BE271" s="132"/>
      <c r="BF271" s="132"/>
      <c r="BG271" s="132"/>
      <c r="BH271" s="132"/>
      <c r="BI271" s="132"/>
      <c r="BJ271" s="132"/>
      <c r="BK271" s="132"/>
      <c r="BL271" s="132"/>
      <c r="BM271" s="132"/>
      <c r="BN271" s="132"/>
      <c r="BO271" s="1592"/>
      <c r="BP271" s="1492"/>
    </row>
    <row r="272" spans="1:68" hidden="1" outlineLevel="2">
      <c r="A272" s="132" t="str">
        <f>$A$42</f>
        <v>3Q</v>
      </c>
      <c r="B272" s="174" t="str">
        <f>$B$42</f>
        <v>Oct</v>
      </c>
      <c r="C272" s="132"/>
      <c r="D272" s="145">
        <f>(V272/V265-1)*100</f>
        <v>-4.8536159762166298</v>
      </c>
      <c r="E272" s="132"/>
      <c r="F272" s="297"/>
      <c r="G272" s="132"/>
      <c r="H272" s="2091">
        <f>+'segSales&amp;comps'!S93</f>
        <v>0</v>
      </c>
      <c r="I272" s="132"/>
      <c r="J272" s="145">
        <f>D272-H272</f>
        <v>-4.8536159762166298</v>
      </c>
      <c r="K272" s="132"/>
      <c r="L272" s="725">
        <f>Stores!AX109</f>
        <v>80</v>
      </c>
      <c r="M272" s="238"/>
      <c r="N272" s="177">
        <f>AVERAGE(L272,L271)</f>
        <v>80</v>
      </c>
      <c r="O272" s="132"/>
      <c r="P272" s="145">
        <f>(N272/N265-1)*100</f>
        <v>5.2631578947368363</v>
      </c>
      <c r="Q272" s="230"/>
      <c r="R272" s="259">
        <f>J272/P272*100</f>
        <v>-92.218703548116068</v>
      </c>
      <c r="S272" s="138"/>
      <c r="T272" s="132"/>
      <c r="U272" s="132"/>
      <c r="V272" s="296">
        <f>'segSales&amp;comps'!Q93</f>
        <v>147.22</v>
      </c>
      <c r="W272" s="132"/>
      <c r="X272" s="147">
        <f>V272/N272</f>
        <v>1.8402499999999999</v>
      </c>
      <c r="Y272" s="132"/>
      <c r="Z272" s="219">
        <f>(X272/X265-1)*100</f>
        <v>-9.6109351774057998</v>
      </c>
      <c r="AA272" s="230"/>
      <c r="AB272" s="132"/>
      <c r="AC272" s="237">
        <f>Stores!AH109</f>
        <v>0.21320000000000003</v>
      </c>
      <c r="AD272" s="238"/>
      <c r="AE272" s="254">
        <f>AVERAGE(AC271:AC272)</f>
        <v>0.21320000000000003</v>
      </c>
      <c r="AF272" s="132"/>
      <c r="AG272" s="145">
        <f>(AE272/AE265-1)*100</f>
        <v>9.8969072164948546</v>
      </c>
      <c r="AH272" s="230"/>
      <c r="AI272" s="259"/>
      <c r="AJ272" s="138"/>
      <c r="AK272" s="132"/>
      <c r="AL272" s="142">
        <f>+V272</f>
        <v>147.22</v>
      </c>
      <c r="AM272" s="132"/>
      <c r="AN272" s="244">
        <f>AL272/AE272</f>
        <v>690.52532833020632</v>
      </c>
      <c r="AO272" s="132"/>
      <c r="AP272" s="925">
        <f>(AN272/AN265-1)*100</f>
        <v>-13.422145869540469</v>
      </c>
      <c r="AQ272" s="230"/>
      <c r="AR272" s="230"/>
      <c r="AS272" s="132"/>
      <c r="AT272" s="132"/>
      <c r="AU272" s="132"/>
      <c r="AV272" s="132"/>
      <c r="AW272" s="132"/>
      <c r="AX272" s="132"/>
      <c r="AY272" s="132"/>
      <c r="AZ272" s="132"/>
      <c r="BA272" s="132"/>
      <c r="BB272" s="132"/>
      <c r="BC272" s="132"/>
      <c r="BD272" s="132"/>
      <c r="BE272" s="132"/>
      <c r="BF272" s="132"/>
      <c r="BG272" s="132"/>
      <c r="BH272" s="132"/>
      <c r="BI272" s="132"/>
      <c r="BJ272" s="132"/>
      <c r="BK272" s="132"/>
      <c r="BL272" s="132"/>
      <c r="BM272" s="132"/>
      <c r="BN272" s="132"/>
      <c r="BO272" s="1592"/>
      <c r="BP272" s="1492"/>
    </row>
    <row r="273" spans="1:68" hidden="1" outlineLevel="2">
      <c r="A273" s="132" t="str">
        <f>$A$43</f>
        <v>4Q</v>
      </c>
      <c r="B273" s="174" t="str">
        <f>$B$43</f>
        <v>Jan</v>
      </c>
      <c r="C273" s="132"/>
      <c r="D273" s="176">
        <f>(V273/V266-1)*100</f>
        <v>-4.0353996533299963</v>
      </c>
      <c r="E273" s="132"/>
      <c r="F273" s="298"/>
      <c r="G273" s="132"/>
      <c r="H273" s="2095">
        <f>+'segSales&amp;comps'!S94</f>
        <v>0</v>
      </c>
      <c r="I273" s="132"/>
      <c r="J273" s="176">
        <f>D273-H273</f>
        <v>-4.0353996533299963</v>
      </c>
      <c r="K273" s="132"/>
      <c r="L273" s="917">
        <f>Stores!AX110</f>
        <v>82</v>
      </c>
      <c r="M273" s="139"/>
      <c r="N273" s="178">
        <f>AVERAGE(L273,L272)</f>
        <v>81</v>
      </c>
      <c r="O273" s="132"/>
      <c r="P273" s="176">
        <f>(N273/N266-1)*100</f>
        <v>4.5161290322580649</v>
      </c>
      <c r="Q273" s="230"/>
      <c r="R273" s="178">
        <f>J273/P273*100</f>
        <v>-89.355278038021339</v>
      </c>
      <c r="S273" s="138"/>
      <c r="T273" s="132"/>
      <c r="U273" s="132"/>
      <c r="V273" s="922">
        <f>'segSales&amp;comps'!Q94</f>
        <v>214.81100000000001</v>
      </c>
      <c r="W273" s="132"/>
      <c r="X273" s="148">
        <f>V273/N273</f>
        <v>2.6519876543209877</v>
      </c>
      <c r="Y273" s="132"/>
      <c r="Z273" s="218">
        <f>(X273/X266-1)*100</f>
        <v>-8.1820181868280777</v>
      </c>
      <c r="AA273" s="230"/>
      <c r="AB273" s="132"/>
      <c r="AC273" s="237">
        <f>Stores!AH110</f>
        <v>0.224</v>
      </c>
      <c r="AD273" s="139"/>
      <c r="AE273" s="255">
        <f>AVERAGE(AC272:AC273)</f>
        <v>0.21860000000000002</v>
      </c>
      <c r="AF273" s="132"/>
      <c r="AG273" s="145">
        <f>(AE273/AE266-1)*100</f>
        <v>10.125944584382873</v>
      </c>
      <c r="AH273" s="230"/>
      <c r="AI273" s="259"/>
      <c r="AJ273" s="138"/>
      <c r="AK273" s="132"/>
      <c r="AL273" s="146">
        <f>+V273</f>
        <v>214.81100000000001</v>
      </c>
      <c r="AM273" s="132"/>
      <c r="AN273" s="924">
        <f>AL273/AE273</f>
        <v>982.66697163769436</v>
      </c>
      <c r="AO273" s="132"/>
      <c r="AP273" s="925">
        <f>(AN273/AN266-1)*100</f>
        <v>-12.85922612619399</v>
      </c>
      <c r="AQ273" s="230"/>
      <c r="AR273" s="230"/>
      <c r="AS273" s="132"/>
      <c r="AT273" s="132"/>
      <c r="AU273" s="132"/>
      <c r="AV273" s="132"/>
      <c r="AW273" s="132"/>
      <c r="AX273" s="132"/>
      <c r="AY273" s="132"/>
      <c r="AZ273" s="132"/>
      <c r="BA273" s="132"/>
      <c r="BB273" s="132"/>
      <c r="BC273" s="132"/>
      <c r="BD273" s="132"/>
      <c r="BE273" s="132"/>
      <c r="BF273" s="132"/>
      <c r="BG273" s="132"/>
      <c r="BH273" s="132"/>
      <c r="BI273" s="132"/>
      <c r="BJ273" s="132"/>
      <c r="BK273" s="132"/>
      <c r="BL273" s="132"/>
      <c r="BM273" s="132"/>
      <c r="BN273" s="132"/>
      <c r="BO273" s="1592"/>
      <c r="BP273" s="1492"/>
    </row>
    <row r="274" spans="1:68" hidden="1" outlineLevel="2">
      <c r="A274" s="132"/>
      <c r="B274" s="174" t="str">
        <f>$B$44</f>
        <v>Year</v>
      </c>
      <c r="C274" s="132"/>
      <c r="D274" s="145">
        <f>(V274/V267-1)*100</f>
        <v>-2.9805351007104464</v>
      </c>
      <c r="E274" s="132"/>
      <c r="F274" s="297"/>
      <c r="G274" s="132"/>
      <c r="H274" s="2091">
        <f>+'segSales&amp;comps'!S95</f>
        <v>-4</v>
      </c>
      <c r="I274" s="132"/>
      <c r="J274" s="145">
        <f>D274-H274</f>
        <v>1.0194648992895536</v>
      </c>
      <c r="K274" s="132"/>
      <c r="L274" s="923">
        <f>Stores!AX111</f>
        <v>82</v>
      </c>
      <c r="M274" s="132"/>
      <c r="N274" s="177">
        <f>AVERAGE(N270:N273)</f>
        <v>80.125</v>
      </c>
      <c r="O274" s="132"/>
      <c r="P274" s="145">
        <f>(N274/N267-1)*100</f>
        <v>6.6555740432612254</v>
      </c>
      <c r="Q274" s="230"/>
      <c r="R274" s="259">
        <f>J274/P274*100</f>
        <v>15.317460111825557</v>
      </c>
      <c r="S274" s="138"/>
      <c r="T274" s="132"/>
      <c r="U274" s="132"/>
      <c r="V274" s="296">
        <f>SUM(V270:V273)</f>
        <v>659.02800000000002</v>
      </c>
      <c r="W274" s="132"/>
      <c r="X274" s="143">
        <f>SUM(X270:X273)</f>
        <v>8.2161778225732078</v>
      </c>
      <c r="Y274" s="132"/>
      <c r="Z274" s="219">
        <f>(X274/X267-1)*100</f>
        <v>-8.8614273455150041</v>
      </c>
      <c r="AA274" s="230"/>
      <c r="AB274" s="132"/>
      <c r="AC274" s="237">
        <f>Stores!AH111</f>
        <v>0.224</v>
      </c>
      <c r="AD274" s="132"/>
      <c r="AE274" s="254">
        <f>AVERAGE(AE270:AE273)</f>
        <v>0.21387500000000004</v>
      </c>
      <c r="AF274" s="132"/>
      <c r="AG274" s="145">
        <f>(AE274/AE267-1)*100</f>
        <v>11.757021554539548</v>
      </c>
      <c r="AH274" s="230"/>
      <c r="AI274" s="259"/>
      <c r="AJ274" s="138"/>
      <c r="AK274" s="132"/>
      <c r="AL274" s="141">
        <f>SUM(AL270:AL273)</f>
        <v>659.02800000000002</v>
      </c>
      <c r="AM274" s="132"/>
      <c r="AN274" s="244">
        <f>AL274/AE274</f>
        <v>3081.369959088252</v>
      </c>
      <c r="AO274" s="132"/>
      <c r="AP274" s="925">
        <f>(AN274/AN267-1)*100</f>
        <v>-13.187141577549809</v>
      </c>
      <c r="AQ274" s="230"/>
      <c r="AR274" s="230"/>
      <c r="AS274" s="132"/>
      <c r="AT274" s="132"/>
      <c r="AU274" s="132"/>
      <c r="AV274" s="132"/>
      <c r="AW274" s="132"/>
      <c r="AX274" s="132"/>
      <c r="AY274" s="132"/>
      <c r="AZ274" s="132"/>
      <c r="BA274" s="132"/>
      <c r="BB274" s="132"/>
      <c r="BC274" s="132"/>
      <c r="BD274" s="132"/>
      <c r="BE274" s="132"/>
      <c r="BF274" s="132"/>
      <c r="BG274" s="132"/>
      <c r="BH274" s="132"/>
      <c r="BI274" s="132"/>
      <c r="BJ274" s="132"/>
      <c r="BK274" s="132"/>
      <c r="BL274" s="132"/>
      <c r="BM274" s="132"/>
      <c r="BN274" s="132"/>
      <c r="BO274" s="587"/>
      <c r="BP274" s="587"/>
    </row>
    <row r="275" spans="1:68" hidden="1" outlineLevel="2">
      <c r="A275" s="132"/>
      <c r="B275" s="174"/>
      <c r="C275" s="132"/>
      <c r="D275" s="132"/>
      <c r="E275" s="132"/>
      <c r="F275" s="297"/>
      <c r="G275" s="132"/>
      <c r="H275" s="2091"/>
      <c r="I275" s="132"/>
      <c r="J275" s="132"/>
      <c r="K275" s="132"/>
      <c r="L275" s="132"/>
      <c r="M275" s="132"/>
      <c r="N275" s="132"/>
      <c r="O275" s="132"/>
      <c r="P275" s="132"/>
      <c r="Q275" s="230"/>
      <c r="R275" s="132"/>
      <c r="S275" s="132"/>
      <c r="T275" s="132"/>
      <c r="U275" s="132"/>
      <c r="V275" s="132"/>
      <c r="W275" s="132"/>
      <c r="X275" s="132"/>
      <c r="Y275" s="132"/>
      <c r="Z275" s="132"/>
      <c r="AA275" s="132"/>
      <c r="AB275" s="132"/>
      <c r="AC275" s="132"/>
      <c r="AD275" s="132"/>
      <c r="AE275" s="132"/>
      <c r="AF275" s="132"/>
      <c r="AG275" s="132"/>
      <c r="AH275" s="230"/>
      <c r="AI275" s="132"/>
      <c r="AJ275" s="132"/>
      <c r="AK275" s="132"/>
      <c r="AL275" s="132"/>
      <c r="AM275" s="132"/>
      <c r="AN275" s="132"/>
      <c r="AO275" s="132"/>
      <c r="AP275" s="925"/>
      <c r="AQ275" s="132"/>
      <c r="AR275" s="132"/>
      <c r="AS275" s="132"/>
      <c r="AT275" s="132"/>
      <c r="AU275" s="132"/>
      <c r="AV275" s="132"/>
      <c r="AW275" s="132"/>
      <c r="AX275" s="132"/>
      <c r="AY275" s="132"/>
      <c r="AZ275" s="132"/>
      <c r="BA275" s="132"/>
      <c r="BB275" s="132"/>
      <c r="BC275" s="132"/>
      <c r="BD275" s="132"/>
      <c r="BE275" s="132"/>
      <c r="BF275" s="132"/>
      <c r="BG275" s="132"/>
      <c r="BH275" s="132"/>
      <c r="BI275" s="132"/>
      <c r="BJ275" s="132"/>
      <c r="BK275" s="132"/>
      <c r="BL275" s="132"/>
      <c r="BM275" s="132"/>
      <c r="BN275" s="132"/>
      <c r="BO275" s="587"/>
      <c r="BP275" s="587"/>
    </row>
    <row r="276" spans="1:68" hidden="1" outlineLevel="2">
      <c r="A276" s="169"/>
      <c r="B276" s="171">
        <v>2002</v>
      </c>
      <c r="C276" s="132"/>
      <c r="D276" s="132"/>
      <c r="E276" s="230"/>
      <c r="F276" s="297"/>
      <c r="G276" s="230"/>
      <c r="H276" s="2091"/>
      <c r="I276" s="230"/>
      <c r="J276" s="132"/>
      <c r="K276" s="230"/>
      <c r="L276" s="132"/>
      <c r="M276" s="132"/>
      <c r="N276" s="132"/>
      <c r="O276" s="132"/>
      <c r="P276" s="132"/>
      <c r="Q276" s="230"/>
      <c r="R276" s="138"/>
      <c r="S276" s="138"/>
      <c r="T276" s="132"/>
      <c r="U276" s="132"/>
      <c r="V276" s="132"/>
      <c r="W276" s="132"/>
      <c r="X276" s="132"/>
      <c r="Y276" s="132"/>
      <c r="Z276" s="132"/>
      <c r="AA276" s="230"/>
      <c r="AB276" s="132"/>
      <c r="AC276" s="132"/>
      <c r="AD276" s="132"/>
      <c r="AE276" s="132"/>
      <c r="AF276" s="132"/>
      <c r="AG276" s="132"/>
      <c r="AH276" s="230"/>
      <c r="AI276" s="138"/>
      <c r="AJ276" s="138"/>
      <c r="AK276" s="132"/>
      <c r="AL276" s="132"/>
      <c r="AM276" s="132"/>
      <c r="AN276" s="132"/>
      <c r="AO276" s="132"/>
      <c r="AP276" s="925"/>
      <c r="AQ276" s="230"/>
      <c r="AR276" s="230"/>
      <c r="AS276" s="132"/>
      <c r="AT276" s="132"/>
      <c r="AU276" s="132"/>
      <c r="AV276" s="132"/>
      <c r="AW276" s="132"/>
      <c r="AX276" s="132"/>
      <c r="AY276" s="132"/>
      <c r="AZ276" s="132"/>
      <c r="BA276" s="132"/>
      <c r="BB276" s="132"/>
      <c r="BC276" s="132"/>
      <c r="BD276" s="132"/>
      <c r="BE276" s="132"/>
      <c r="BF276" s="132"/>
      <c r="BG276" s="132"/>
      <c r="BH276" s="132"/>
      <c r="BI276" s="132"/>
      <c r="BJ276" s="132"/>
      <c r="BK276" s="132"/>
      <c r="BL276" s="132"/>
      <c r="BM276" s="132"/>
      <c r="BN276" s="132"/>
      <c r="BO276" s="587"/>
      <c r="BP276" s="587"/>
    </row>
    <row r="277" spans="1:68" hidden="1" outlineLevel="2">
      <c r="A277" s="132" t="str">
        <f>$A$40</f>
        <v>1Q</v>
      </c>
      <c r="B277" s="174" t="str">
        <f>$B$40</f>
        <v>Apr</v>
      </c>
      <c r="C277" s="132"/>
      <c r="D277" s="145">
        <f>(V277/V270-1)*100</f>
        <v>0.82978766996988362</v>
      </c>
      <c r="E277" s="230" t="s">
        <v>1970</v>
      </c>
      <c r="F277" s="297"/>
      <c r="G277" s="230"/>
      <c r="H277" s="2091">
        <f>+'segSales&amp;comps'!S98</f>
        <v>0</v>
      </c>
      <c r="I277" s="230" t="s">
        <v>1970</v>
      </c>
      <c r="J277" s="145">
        <f>D277-H277</f>
        <v>0.82978766996988362</v>
      </c>
      <c r="K277" s="230" t="s">
        <v>1970</v>
      </c>
      <c r="L277" s="725">
        <f>Stores!AX114</f>
        <v>84</v>
      </c>
      <c r="M277" s="132" t="s">
        <v>505</v>
      </c>
      <c r="N277" s="177">
        <f>AVERAGE(L277,L273)</f>
        <v>83</v>
      </c>
      <c r="O277" s="132"/>
      <c r="P277" s="145">
        <f>(N277/N270-1)*100</f>
        <v>5.0632911392405111</v>
      </c>
      <c r="Q277" s="230" t="s">
        <v>1970</v>
      </c>
      <c r="R277" s="259">
        <f>J277/P277*100</f>
        <v>16.388306481905186</v>
      </c>
      <c r="S277" s="138" t="s">
        <v>1970</v>
      </c>
      <c r="T277" s="132"/>
      <c r="U277" s="132"/>
      <c r="V277" s="296">
        <f>'segSales&amp;comps'!Q98</f>
        <v>147.63800000000001</v>
      </c>
      <c r="W277" s="132" t="s">
        <v>505</v>
      </c>
      <c r="X277" s="143">
        <f>V277/N277</f>
        <v>1.7787710843373494</v>
      </c>
      <c r="Y277" s="132"/>
      <c r="Z277" s="219">
        <f>(X277/X270-1)*100</f>
        <v>-4.029479205691322</v>
      </c>
      <c r="AA277" s="230" t="s">
        <v>1970</v>
      </c>
      <c r="AB277" s="132"/>
      <c r="AC277" s="237">
        <f>Stores!AH114</f>
        <v>0.23200000000000001</v>
      </c>
      <c r="AD277" s="132" t="s">
        <v>505</v>
      </c>
      <c r="AE277" s="254">
        <f>AVERAGE(AC277,AC273)</f>
        <v>0.22800000000000001</v>
      </c>
      <c r="AF277" s="132"/>
      <c r="AG277" s="145">
        <f>(AE277/AE270-1)*100</f>
        <v>9.7208854667949929</v>
      </c>
      <c r="AH277" s="230" t="s">
        <v>1970</v>
      </c>
      <c r="AI277" s="259"/>
      <c r="AJ277" s="138" t="s">
        <v>1970</v>
      </c>
      <c r="AK277" s="132"/>
      <c r="AL277" s="141">
        <f>+V277</f>
        <v>147.63800000000001</v>
      </c>
      <c r="AM277" s="132" t="s">
        <v>505</v>
      </c>
      <c r="AN277" s="244">
        <f>AL277/AE277</f>
        <v>647.53508771929819</v>
      </c>
      <c r="AO277" s="132"/>
      <c r="AP277" s="925">
        <f>(AN277/AN270-1)*100</f>
        <v>-8.103377728860794</v>
      </c>
      <c r="AQ277" s="230" t="s">
        <v>1970</v>
      </c>
      <c r="AR277" s="230"/>
      <c r="AS277" s="132"/>
      <c r="AT277" s="132"/>
      <c r="AU277" s="132"/>
      <c r="AV277" s="132"/>
      <c r="AW277" s="132"/>
      <c r="AX277" s="132"/>
      <c r="AY277" s="132"/>
      <c r="AZ277" s="132"/>
      <c r="BA277" s="132"/>
      <c r="BB277" s="132"/>
      <c r="BC277" s="132"/>
      <c r="BD277" s="132"/>
      <c r="BE277" s="132"/>
      <c r="BF277" s="132"/>
      <c r="BG277" s="132"/>
      <c r="BH277" s="132"/>
      <c r="BI277" s="132"/>
      <c r="BJ277" s="132"/>
      <c r="BK277" s="132"/>
      <c r="BL277" s="132"/>
      <c r="BM277" s="132"/>
      <c r="BN277" s="132"/>
      <c r="BO277" s="1592"/>
      <c r="BP277" s="1492"/>
    </row>
    <row r="278" spans="1:68" hidden="1" outlineLevel="2">
      <c r="A278" s="132" t="str">
        <f>$A$41</f>
        <v>2Q</v>
      </c>
      <c r="B278" s="174" t="str">
        <f>$B$41</f>
        <v>Jul</v>
      </c>
      <c r="C278" s="132"/>
      <c r="D278" s="145">
        <f>(V278/V271-1)*100</f>
        <v>-1.4026325926122851</v>
      </c>
      <c r="E278" s="132"/>
      <c r="F278" s="297"/>
      <c r="G278" s="132"/>
      <c r="H278" s="2091">
        <f>+'segSales&amp;comps'!S99</f>
        <v>0</v>
      </c>
      <c r="I278" s="132"/>
      <c r="J278" s="145">
        <f>D278-H278</f>
        <v>-1.4026325926122851</v>
      </c>
      <c r="K278" s="132"/>
      <c r="L278" s="725">
        <f>Stores!AX115</f>
        <v>86</v>
      </c>
      <c r="M278" s="238"/>
      <c r="N278" s="177">
        <f>AVERAGE(L278,L277)</f>
        <v>85</v>
      </c>
      <c r="O278" s="132"/>
      <c r="P278" s="145">
        <f>(N278/N271-1)*100</f>
        <v>5.5900621118012417</v>
      </c>
      <c r="Q278" s="230"/>
      <c r="R278" s="259">
        <f>J278/P278*100</f>
        <v>-25.091538601175323</v>
      </c>
      <c r="S278" s="138"/>
      <c r="T278" s="132"/>
      <c r="U278" s="132"/>
      <c r="V278" s="296">
        <f>'segSales&amp;comps'!Q99</f>
        <v>148.46199999999999</v>
      </c>
      <c r="W278" s="132"/>
      <c r="X278" s="147">
        <f>V278/N278</f>
        <v>1.7466117647058823</v>
      </c>
      <c r="Y278" s="132"/>
      <c r="Z278" s="219">
        <f>(X278/X271-1)*100</f>
        <v>-6.6224932200622195</v>
      </c>
      <c r="AA278" s="230"/>
      <c r="AB278" s="132"/>
      <c r="AC278" s="237">
        <f>Stores!AH115</f>
        <v>0.24000000000000002</v>
      </c>
      <c r="AD278" s="238"/>
      <c r="AE278" s="254">
        <f>AVERAGE(AC277:AC278)</f>
        <v>0.23600000000000002</v>
      </c>
      <c r="AF278" s="132"/>
      <c r="AG278" s="145">
        <f>(AE278/AE271-1)*100</f>
        <v>9.3098656785548748</v>
      </c>
      <c r="AH278" s="230"/>
      <c r="AI278" s="259"/>
      <c r="AJ278" s="138"/>
      <c r="AK278" s="132"/>
      <c r="AL278" s="142">
        <f>+V278</f>
        <v>148.46199999999999</v>
      </c>
      <c r="AM278" s="132"/>
      <c r="AN278" s="244">
        <f>AL278/AE278</f>
        <v>629.07627118644064</v>
      </c>
      <c r="AO278" s="132"/>
      <c r="AP278" s="925">
        <f>(AN278/AN271-1)*100</f>
        <v>-9.8001202404448655</v>
      </c>
      <c r="AQ278" s="230"/>
      <c r="AR278" s="230"/>
      <c r="AS278" s="132"/>
      <c r="AT278" s="132"/>
      <c r="AU278" s="132"/>
      <c r="AV278" s="132"/>
      <c r="AW278" s="132"/>
      <c r="AX278" s="132"/>
      <c r="AY278" s="132"/>
      <c r="AZ278" s="132"/>
      <c r="BA278" s="132"/>
      <c r="BB278" s="132"/>
      <c r="BC278" s="132"/>
      <c r="BD278" s="132"/>
      <c r="BE278" s="132"/>
      <c r="BF278" s="132"/>
      <c r="BG278" s="132"/>
      <c r="BH278" s="132"/>
      <c r="BI278" s="132"/>
      <c r="BJ278" s="132"/>
      <c r="BK278" s="132"/>
      <c r="BL278" s="132"/>
      <c r="BM278" s="132"/>
      <c r="BN278" s="132"/>
      <c r="BO278" s="1592"/>
      <c r="BP278" s="1492"/>
    </row>
    <row r="279" spans="1:68" hidden="1" outlineLevel="2">
      <c r="A279" s="132" t="str">
        <f>$A$42</f>
        <v>3Q</v>
      </c>
      <c r="B279" s="174" t="str">
        <f>$B$42</f>
        <v>Oct</v>
      </c>
      <c r="C279" s="132"/>
      <c r="D279" s="145">
        <f>(V279/V272-1)*100</f>
        <v>6.1547344110854496</v>
      </c>
      <c r="E279" s="132"/>
      <c r="F279" s="297"/>
      <c r="G279" s="132"/>
      <c r="H279" s="2091">
        <f>+'segSales&amp;comps'!S100</f>
        <v>0</v>
      </c>
      <c r="I279" s="132"/>
      <c r="J279" s="145">
        <f>D279-H279</f>
        <v>6.1547344110854496</v>
      </c>
      <c r="K279" s="132"/>
      <c r="L279" s="725">
        <f>Stores!AX116</f>
        <v>86</v>
      </c>
      <c r="M279" s="238"/>
      <c r="N279" s="177">
        <f>AVERAGE(L279,L278)</f>
        <v>86</v>
      </c>
      <c r="O279" s="132"/>
      <c r="P279" s="145">
        <f>(N279/N272-1)*100</f>
        <v>7.4999999999999956</v>
      </c>
      <c r="Q279" s="230"/>
      <c r="R279" s="259">
        <f>J279/P279*100</f>
        <v>82.06312548113938</v>
      </c>
      <c r="S279" s="138"/>
      <c r="T279" s="132"/>
      <c r="U279" s="132"/>
      <c r="V279" s="296">
        <f>'segSales&amp;comps'!Q100</f>
        <v>156.28100000000001</v>
      </c>
      <c r="W279" s="132"/>
      <c r="X279" s="147">
        <f>V279/N279</f>
        <v>1.8172209302325582</v>
      </c>
      <c r="Y279" s="132"/>
      <c r="Z279" s="219">
        <f>(X279/X272-1)*100</f>
        <v>-1.2514098501530624</v>
      </c>
      <c r="AA279" s="230"/>
      <c r="AB279" s="132"/>
      <c r="AC279" s="237">
        <f>Stores!AH116</f>
        <v>0.24000000000000002</v>
      </c>
      <c r="AD279" s="238"/>
      <c r="AE279" s="254">
        <f>AVERAGE(AC278:AC279)</f>
        <v>0.24000000000000002</v>
      </c>
      <c r="AF279" s="132"/>
      <c r="AG279" s="145">
        <f>(AE279/AE272-1)*100</f>
        <v>12.570356472795496</v>
      </c>
      <c r="AH279" s="230"/>
      <c r="AI279" s="259"/>
      <c r="AJ279" s="138"/>
      <c r="AK279" s="132"/>
      <c r="AL279" s="142">
        <f>+V279</f>
        <v>156.28100000000001</v>
      </c>
      <c r="AM279" s="132"/>
      <c r="AN279" s="244">
        <f>AL279/AE279</f>
        <v>651.17083333333335</v>
      </c>
      <c r="AO279" s="132"/>
      <c r="AP279" s="925">
        <f>(AN279/AN272-1)*100</f>
        <v>-5.6992109314857426</v>
      </c>
      <c r="AQ279" s="230"/>
      <c r="AR279" s="230"/>
      <c r="AS279" s="132"/>
      <c r="AT279" s="132"/>
      <c r="AU279" s="132"/>
      <c r="AV279" s="132"/>
      <c r="AW279" s="132"/>
      <c r="AX279" s="132"/>
      <c r="AY279" s="132"/>
      <c r="AZ279" s="132"/>
      <c r="BA279" s="132"/>
      <c r="BB279" s="132"/>
      <c r="BC279" s="132"/>
      <c r="BD279" s="132"/>
      <c r="BE279" s="132"/>
      <c r="BF279" s="132"/>
      <c r="BG279" s="132"/>
      <c r="BH279" s="132"/>
      <c r="BI279" s="132"/>
      <c r="BJ279" s="132"/>
      <c r="BK279" s="132"/>
      <c r="BL279" s="132"/>
      <c r="BM279" s="132"/>
      <c r="BN279" s="132"/>
      <c r="BO279" s="1592"/>
      <c r="BP279" s="1492"/>
    </row>
    <row r="280" spans="1:68" hidden="1" outlineLevel="2">
      <c r="A280" s="132" t="str">
        <f>$A$43</f>
        <v>4Q</v>
      </c>
      <c r="B280" s="174" t="str">
        <f>$B$43</f>
        <v>Jan</v>
      </c>
      <c r="C280" s="132"/>
      <c r="D280" s="176">
        <f>(V280/V273-1)*100</f>
        <v>7.5866692115394541</v>
      </c>
      <c r="E280" s="132"/>
      <c r="F280" s="298"/>
      <c r="G280" s="132"/>
      <c r="H280" s="2095">
        <f>+'segSales&amp;comps'!S101</f>
        <v>0</v>
      </c>
      <c r="I280" s="132"/>
      <c r="J280" s="176">
        <f>D280-H280</f>
        <v>7.5866692115394541</v>
      </c>
      <c r="K280" s="132"/>
      <c r="L280" s="917">
        <f>Stores!AX117</f>
        <v>84</v>
      </c>
      <c r="M280" s="139"/>
      <c r="N280" s="178">
        <f>AVERAGE(L280,L279)</f>
        <v>85</v>
      </c>
      <c r="O280" s="132"/>
      <c r="P280" s="176">
        <f>(N280/N273-1)*100</f>
        <v>4.9382716049382713</v>
      </c>
      <c r="Q280" s="230"/>
      <c r="R280" s="178">
        <f>J280/P280*100</f>
        <v>153.63005153367396</v>
      </c>
      <c r="S280" s="138"/>
      <c r="T280" s="132"/>
      <c r="U280" s="132"/>
      <c r="V280" s="922">
        <f>'segSales&amp;comps'!Q101</f>
        <v>231.108</v>
      </c>
      <c r="W280" s="139"/>
      <c r="X280" s="148">
        <f>V280/N280</f>
        <v>2.7189176470588237</v>
      </c>
      <c r="Y280" s="132"/>
      <c r="Z280" s="218">
        <f>(X280/X273-1)*100</f>
        <v>2.5237671309964238</v>
      </c>
      <c r="AA280" s="230"/>
      <c r="AB280" s="132"/>
      <c r="AC280" s="237">
        <f>Stores!AH117</f>
        <v>0.23200000000000001</v>
      </c>
      <c r="AD280" s="139"/>
      <c r="AE280" s="255">
        <f>AVERAGE(AC279:AC280)</f>
        <v>0.23600000000000002</v>
      </c>
      <c r="AF280" s="132"/>
      <c r="AG280" s="145">
        <f>(AE280/AE273-1)*100</f>
        <v>7.9597438243366847</v>
      </c>
      <c r="AH280" s="230"/>
      <c r="AI280" s="259"/>
      <c r="AJ280" s="138"/>
      <c r="AK280" s="132"/>
      <c r="AL280" s="146">
        <f>+V280</f>
        <v>231.108</v>
      </c>
      <c r="AM280" s="132"/>
      <c r="AN280" s="924">
        <f>AL280/AE280</f>
        <v>979.27118644067787</v>
      </c>
      <c r="AO280" s="132"/>
      <c r="AP280" s="925">
        <f>(AN280/AN273-1)*100</f>
        <v>-0.34556826422660336</v>
      </c>
      <c r="AQ280" s="230"/>
      <c r="AR280" s="230"/>
      <c r="AS280" s="132"/>
      <c r="AT280" s="132"/>
      <c r="AU280" s="132"/>
      <c r="AV280" s="132"/>
      <c r="AW280" s="132"/>
      <c r="AX280" s="132"/>
      <c r="AY280" s="132"/>
      <c r="AZ280" s="132"/>
      <c r="BA280" s="132"/>
      <c r="BB280" s="132"/>
      <c r="BC280" s="132"/>
      <c r="BD280" s="132"/>
      <c r="BE280" s="132"/>
      <c r="BF280" s="132"/>
      <c r="BG280" s="132"/>
      <c r="BH280" s="132"/>
      <c r="BI280" s="132"/>
      <c r="BJ280" s="132"/>
      <c r="BK280" s="132"/>
      <c r="BL280" s="132"/>
      <c r="BM280" s="132"/>
      <c r="BN280" s="132"/>
      <c r="BO280" s="1592"/>
      <c r="BP280" s="1492"/>
    </row>
    <row r="281" spans="1:68" hidden="1" outlineLevel="2">
      <c r="A281" s="132"/>
      <c r="B281" s="174" t="str">
        <f>$B$44</f>
        <v>Year</v>
      </c>
      <c r="C281" s="132"/>
      <c r="D281" s="145">
        <f>(V281/V274-1)*100</f>
        <v>3.7116784112359413</v>
      </c>
      <c r="E281" s="132"/>
      <c r="F281" s="297"/>
      <c r="G281" s="132"/>
      <c r="H281" s="2091">
        <f>+'segSales&amp;comps'!S102</f>
        <v>-1</v>
      </c>
      <c r="I281" s="132"/>
      <c r="J281" s="145">
        <f>D281-H281</f>
        <v>4.7116784112359413</v>
      </c>
      <c r="K281" s="132"/>
      <c r="L281" s="923">
        <f>Stores!AX118</f>
        <v>84</v>
      </c>
      <c r="M281" s="132"/>
      <c r="N281" s="177">
        <f>AVERAGE(N277:N280)</f>
        <v>84.75</v>
      </c>
      <c r="O281" s="132"/>
      <c r="P281" s="145">
        <f>(N281/N274-1)*100</f>
        <v>5.7722308892355745</v>
      </c>
      <c r="Q281" s="230"/>
      <c r="R281" s="259">
        <f>J281/P281*100</f>
        <v>81.626644908168529</v>
      </c>
      <c r="S281" s="138"/>
      <c r="T281" s="132"/>
      <c r="U281" s="132"/>
      <c r="V281" s="296">
        <f>SUM(V277:V280)</f>
        <v>683.48900000000003</v>
      </c>
      <c r="W281" s="132"/>
      <c r="X281" s="143">
        <f>SUM(X277:X280)</f>
        <v>8.0615214263346147</v>
      </c>
      <c r="Y281" s="132"/>
      <c r="Z281" s="219">
        <f>(X281/X274-1)*100</f>
        <v>-1.8823399344362834</v>
      </c>
      <c r="AA281" s="230"/>
      <c r="AB281" s="132"/>
      <c r="AC281" s="237">
        <f>Stores!AH118</f>
        <v>0.23200000000000001</v>
      </c>
      <c r="AD281" s="132"/>
      <c r="AE281" s="254">
        <f>AVERAGE(AE277:AE280)</f>
        <v>0.23500000000000001</v>
      </c>
      <c r="AF281" s="132"/>
      <c r="AG281" s="145">
        <f>(AE281/AE274-1)*100</f>
        <v>9.8772647574517656</v>
      </c>
      <c r="AH281" s="230"/>
      <c r="AI281" s="259"/>
      <c r="AJ281" s="138"/>
      <c r="AK281" s="132"/>
      <c r="AL281" s="141">
        <f>SUM(AL277:AL280)</f>
        <v>683.48900000000003</v>
      </c>
      <c r="AM281" s="132"/>
      <c r="AN281" s="244">
        <f>AL281/AE281</f>
        <v>2908.4638297872339</v>
      </c>
      <c r="AO281" s="132"/>
      <c r="AP281" s="925">
        <f>(AN281/AN274-1)*100</f>
        <v>-5.6113394884974905</v>
      </c>
      <c r="AQ281" s="230"/>
      <c r="AR281" s="230"/>
      <c r="AS281" s="132"/>
      <c r="AT281" s="132"/>
      <c r="AU281" s="132"/>
      <c r="AV281" s="132"/>
      <c r="AW281" s="132"/>
      <c r="AX281" s="132"/>
      <c r="AY281" s="132"/>
      <c r="AZ281" s="132"/>
      <c r="BA281" s="132"/>
      <c r="BB281" s="132"/>
      <c r="BC281" s="132"/>
      <c r="BD281" s="132"/>
      <c r="BE281" s="132"/>
      <c r="BF281" s="132"/>
      <c r="BG281" s="132"/>
      <c r="BH281" s="132"/>
      <c r="BI281" s="132"/>
      <c r="BJ281" s="132"/>
      <c r="BK281" s="132"/>
      <c r="BL281" s="132"/>
      <c r="BM281" s="132"/>
      <c r="BN281" s="132"/>
      <c r="BO281" s="587"/>
      <c r="BP281" s="587"/>
    </row>
    <row r="282" spans="1:68" hidden="1" outlineLevel="2">
      <c r="A282" s="132"/>
      <c r="B282" s="174"/>
      <c r="C282" s="132"/>
      <c r="D282" s="132"/>
      <c r="E282" s="132"/>
      <c r="F282" s="297"/>
      <c r="G282" s="132"/>
      <c r="H282" s="2091"/>
      <c r="I282" s="132"/>
      <c r="J282" s="132"/>
      <c r="K282" s="132"/>
      <c r="L282" s="132"/>
      <c r="M282" s="132"/>
      <c r="N282" s="132"/>
      <c r="O282" s="132"/>
      <c r="P282" s="132"/>
      <c r="Q282" s="230"/>
      <c r="R282" s="132"/>
      <c r="S282" s="132"/>
      <c r="T282" s="132"/>
      <c r="U282" s="132"/>
      <c r="V282" s="132"/>
      <c r="W282" s="132"/>
      <c r="X282" s="132"/>
      <c r="Y282" s="132"/>
      <c r="Z282" s="132"/>
      <c r="AA282" s="132"/>
      <c r="AB282" s="132"/>
      <c r="AC282" s="132"/>
      <c r="AD282" s="132"/>
      <c r="AE282" s="132"/>
      <c r="AF282" s="132"/>
      <c r="AG282" s="132"/>
      <c r="AH282" s="230"/>
      <c r="AI282" s="132"/>
      <c r="AJ282" s="132"/>
      <c r="AK282" s="132"/>
      <c r="AL282" s="132"/>
      <c r="AM282" s="132"/>
      <c r="AN282" s="132"/>
      <c r="AO282" s="132"/>
      <c r="AP282" s="925"/>
      <c r="AQ282" s="132"/>
      <c r="AR282" s="132"/>
      <c r="AS282" s="132"/>
      <c r="AT282" s="132"/>
      <c r="AU282" s="132"/>
      <c r="AV282" s="132"/>
      <c r="AW282" s="132"/>
      <c r="AX282" s="132"/>
      <c r="AY282" s="132"/>
      <c r="AZ282" s="132"/>
      <c r="BA282" s="132"/>
      <c r="BB282" s="132"/>
      <c r="BC282" s="132"/>
      <c r="BD282" s="132"/>
      <c r="BE282" s="132"/>
      <c r="BF282" s="132"/>
      <c r="BG282" s="132"/>
      <c r="BH282" s="132"/>
      <c r="BI282" s="132"/>
      <c r="BJ282" s="132"/>
      <c r="BK282" s="132"/>
      <c r="BL282" s="132"/>
      <c r="BM282" s="132"/>
      <c r="BN282" s="132"/>
      <c r="BO282" s="587"/>
      <c r="BP282" s="587"/>
    </row>
    <row r="283" spans="1:68" hidden="1" outlineLevel="2">
      <c r="A283" s="169"/>
      <c r="B283" s="171">
        <v>2003</v>
      </c>
      <c r="C283" s="132"/>
      <c r="D283" s="132"/>
      <c r="E283" s="230"/>
      <c r="F283" s="297"/>
      <c r="G283" s="230"/>
      <c r="H283" s="2091"/>
      <c r="I283" s="230"/>
      <c r="J283" s="132"/>
      <c r="K283" s="230"/>
      <c r="L283" s="704"/>
      <c r="M283" s="132"/>
      <c r="N283" s="132"/>
      <c r="O283" s="132"/>
      <c r="P283" s="132"/>
      <c r="Q283" s="230"/>
      <c r="R283" s="138"/>
      <c r="S283" s="138"/>
      <c r="T283" s="132"/>
      <c r="U283" s="132"/>
      <c r="V283" s="132"/>
      <c r="W283" s="132"/>
      <c r="X283" s="132"/>
      <c r="Y283" s="132"/>
      <c r="Z283" s="132"/>
      <c r="AA283" s="230"/>
      <c r="AB283" s="132"/>
      <c r="AC283" s="132"/>
      <c r="AD283" s="132"/>
      <c r="AE283" s="132"/>
      <c r="AF283" s="132"/>
      <c r="AG283" s="132"/>
      <c r="AH283" s="230"/>
      <c r="AI283" s="138"/>
      <c r="AJ283" s="138"/>
      <c r="AK283" s="132"/>
      <c r="AL283" s="132"/>
      <c r="AM283" s="132"/>
      <c r="AN283" s="132"/>
      <c r="AO283" s="132"/>
      <c r="AP283" s="925"/>
      <c r="AQ283" s="230"/>
      <c r="AR283" s="230"/>
      <c r="AS283" s="132"/>
      <c r="AT283" s="132"/>
      <c r="AU283" s="132"/>
      <c r="AV283" s="132"/>
      <c r="AW283" s="132"/>
      <c r="AX283" s="132"/>
      <c r="AY283" s="132"/>
      <c r="AZ283" s="132"/>
      <c r="BA283" s="132"/>
      <c r="BB283" s="132"/>
      <c r="BC283" s="132"/>
      <c r="BD283" s="132"/>
      <c r="BE283" s="132"/>
      <c r="BF283" s="132"/>
      <c r="BG283" s="132"/>
      <c r="BH283" s="132"/>
      <c r="BI283" s="132"/>
      <c r="BJ283" s="132"/>
      <c r="BK283" s="132"/>
      <c r="BL283" s="132"/>
      <c r="BM283" s="132"/>
      <c r="BN283" s="132"/>
      <c r="BO283" s="587"/>
      <c r="BP283" s="587"/>
    </row>
    <row r="284" spans="1:68" hidden="1" outlineLevel="2">
      <c r="A284" s="132" t="str">
        <f>$A$40</f>
        <v>1Q</v>
      </c>
      <c r="B284" s="174" t="str">
        <f>$B$40</f>
        <v>Apr</v>
      </c>
      <c r="C284" s="132"/>
      <c r="D284" s="145">
        <f>(V284/V277-1)*100</f>
        <v>12.114767200856136</v>
      </c>
      <c r="E284" s="230" t="s">
        <v>1970</v>
      </c>
      <c r="F284" s="297"/>
      <c r="G284" s="230"/>
      <c r="H284" s="2091">
        <f>+'segSales&amp;comps'!S105</f>
        <v>0</v>
      </c>
      <c r="I284" s="230" t="s">
        <v>1970</v>
      </c>
      <c r="J284" s="145">
        <f>D284-H284</f>
        <v>12.114767200856136</v>
      </c>
      <c r="K284" s="230" t="s">
        <v>1970</v>
      </c>
      <c r="L284" s="725">
        <f>Stores!AX121</f>
        <v>87</v>
      </c>
      <c r="M284" s="132" t="s">
        <v>505</v>
      </c>
      <c r="N284" s="177">
        <f>AVERAGE(L284,L280)</f>
        <v>85.5</v>
      </c>
      <c r="O284" s="132"/>
      <c r="P284" s="145">
        <f>(N284/N277-1)*100</f>
        <v>3.0120481927710774</v>
      </c>
      <c r="Q284" s="230" t="s">
        <v>1970</v>
      </c>
      <c r="R284" s="259">
        <f>J284/P284*100</f>
        <v>402.21027106842462</v>
      </c>
      <c r="S284" s="138" t="s">
        <v>1970</v>
      </c>
      <c r="T284" s="132"/>
      <c r="U284" s="132"/>
      <c r="V284" s="296">
        <f>'segSales&amp;comps'!Q105</f>
        <v>165.524</v>
      </c>
      <c r="W284" s="139"/>
      <c r="X284" s="143">
        <f>V284/N284</f>
        <v>1.935953216374269</v>
      </c>
      <c r="Y284" s="132"/>
      <c r="Z284" s="219">
        <f>(X284/X277-1)*100</f>
        <v>8.8365576335796447</v>
      </c>
      <c r="AA284" s="230" t="s">
        <v>1970</v>
      </c>
      <c r="AB284" s="132"/>
      <c r="AC284" s="237">
        <f>Stores!AH121</f>
        <v>0.24</v>
      </c>
      <c r="AD284" s="132" t="s">
        <v>505</v>
      </c>
      <c r="AE284" s="254">
        <f>AVERAGE(AC284,AC280)</f>
        <v>0.23599999999999999</v>
      </c>
      <c r="AF284" s="132"/>
      <c r="AG284" s="145">
        <f>(AE284/AE277-1)*100</f>
        <v>3.5087719298245501</v>
      </c>
      <c r="AH284" s="230" t="s">
        <v>1970</v>
      </c>
      <c r="AI284" s="259"/>
      <c r="AJ284" s="138" t="s">
        <v>1970</v>
      </c>
      <c r="AK284" s="132"/>
      <c r="AL284" s="141">
        <f>+V284</f>
        <v>165.524</v>
      </c>
      <c r="AM284" s="132" t="s">
        <v>505</v>
      </c>
      <c r="AN284" s="244">
        <f>AL284/AE284</f>
        <v>701.37288135593224</v>
      </c>
      <c r="AO284" s="132"/>
      <c r="AP284" s="925">
        <f>(AN284/AN277-1)*100</f>
        <v>8.3142666177763012</v>
      </c>
      <c r="AQ284" s="230" t="s">
        <v>1970</v>
      </c>
      <c r="AR284" s="230"/>
      <c r="AS284" s="132"/>
      <c r="AT284" s="132"/>
      <c r="AU284" s="132"/>
      <c r="AV284" s="132"/>
      <c r="AW284" s="132"/>
      <c r="AX284" s="132"/>
      <c r="AY284" s="132"/>
      <c r="AZ284" s="132"/>
      <c r="BA284" s="132"/>
      <c r="BB284" s="132"/>
      <c r="BC284" s="132"/>
      <c r="BD284" s="132"/>
      <c r="BE284" s="132"/>
      <c r="BF284" s="132"/>
      <c r="BG284" s="132"/>
      <c r="BH284" s="132"/>
      <c r="BI284" s="132"/>
      <c r="BJ284" s="132"/>
      <c r="BK284" s="132"/>
      <c r="BL284" s="132"/>
      <c r="BM284" s="132"/>
      <c r="BN284" s="132"/>
      <c r="BO284" s="1592"/>
      <c r="BP284" s="1492"/>
    </row>
    <row r="285" spans="1:68" hidden="1" outlineLevel="2">
      <c r="A285" s="132" t="str">
        <f>$A$41</f>
        <v>2Q</v>
      </c>
      <c r="B285" s="174" t="str">
        <f>$B$41</f>
        <v>Jul</v>
      </c>
      <c r="C285" s="132"/>
      <c r="D285" s="145">
        <f>(V285/V278-1)*100</f>
        <v>13.82508655413508</v>
      </c>
      <c r="E285" s="132"/>
      <c r="F285" s="297"/>
      <c r="G285" s="132"/>
      <c r="H285" s="2091">
        <f>+'segSales&amp;comps'!S106</f>
        <v>0</v>
      </c>
      <c r="I285" s="132"/>
      <c r="J285" s="145">
        <f>D285-H285</f>
        <v>13.82508655413508</v>
      </c>
      <c r="K285" s="132"/>
      <c r="L285" s="725">
        <f>Stores!AX122</f>
        <v>87</v>
      </c>
      <c r="M285" s="132" t="s">
        <v>505</v>
      </c>
      <c r="N285" s="177">
        <f>AVERAGE(L285,L284)</f>
        <v>87</v>
      </c>
      <c r="O285" s="132"/>
      <c r="P285" s="145">
        <f>(N285/N278-1)*100</f>
        <v>2.3529411764705799</v>
      </c>
      <c r="Q285" s="230"/>
      <c r="R285" s="259">
        <f>J285/P285*100</f>
        <v>587.56617855074296</v>
      </c>
      <c r="S285" s="138"/>
      <c r="T285" s="132"/>
      <c r="U285" s="132"/>
      <c r="V285" s="296">
        <f>'segSales&amp;comps'!Q106</f>
        <v>168.98699999999999</v>
      </c>
      <c r="W285" s="139"/>
      <c r="X285" s="147">
        <f>V285/N285</f>
        <v>1.9423793103448275</v>
      </c>
      <c r="Y285" s="132"/>
      <c r="Z285" s="219">
        <f>(X285/X278-1)*100</f>
        <v>11.20841789771816</v>
      </c>
      <c r="AA285" s="230"/>
      <c r="AB285" s="132"/>
      <c r="AC285" s="237">
        <f>Stores!AH122</f>
        <v>0.24</v>
      </c>
      <c r="AD285" s="238"/>
      <c r="AE285" s="254">
        <f>AVERAGE(AC284:AC285)</f>
        <v>0.24</v>
      </c>
      <c r="AF285" s="132"/>
      <c r="AG285" s="145">
        <f>(AE285/AE278-1)*100</f>
        <v>1.6949152542372836</v>
      </c>
      <c r="AH285" s="230"/>
      <c r="AI285" s="259"/>
      <c r="AJ285" s="138"/>
      <c r="AK285" s="132"/>
      <c r="AL285" s="142">
        <f>+V285</f>
        <v>168.98699999999999</v>
      </c>
      <c r="AM285" s="132"/>
      <c r="AN285" s="244">
        <f>AL285/AE285</f>
        <v>704.11249999999995</v>
      </c>
      <c r="AO285" s="132"/>
      <c r="AP285" s="925">
        <f>(AN285/AN278-1)*100</f>
        <v>11.928001778232812</v>
      </c>
      <c r="AQ285" s="230"/>
      <c r="AR285" s="230"/>
      <c r="AS285" s="132"/>
      <c r="AT285" s="132"/>
      <c r="AU285" s="132"/>
      <c r="AV285" s="132"/>
      <c r="AW285" s="132"/>
      <c r="AX285" s="132"/>
      <c r="AY285" s="132"/>
      <c r="AZ285" s="132"/>
      <c r="BA285" s="132"/>
      <c r="BB285" s="132"/>
      <c r="BC285" s="132"/>
      <c r="BD285" s="132"/>
      <c r="BE285" s="132"/>
      <c r="BF285" s="132"/>
      <c r="BG285" s="132"/>
      <c r="BH285" s="132"/>
      <c r="BI285" s="132"/>
      <c r="BJ285" s="132"/>
      <c r="BK285" s="132"/>
      <c r="BL285" s="132"/>
      <c r="BM285" s="132"/>
      <c r="BN285" s="132"/>
      <c r="BO285" s="1592"/>
      <c r="BP285" s="1492"/>
    </row>
    <row r="286" spans="1:68" hidden="1" outlineLevel="2">
      <c r="A286" s="132" t="str">
        <f>$A$42</f>
        <v>3Q</v>
      </c>
      <c r="B286" s="174" t="str">
        <f>$B$42</f>
        <v>Oct</v>
      </c>
      <c r="C286" s="132"/>
      <c r="D286" s="145">
        <f>(V286/V279-1)*100</f>
        <v>11.039089844574823</v>
      </c>
      <c r="E286" s="132"/>
      <c r="F286" s="297"/>
      <c r="G286" s="132"/>
      <c r="H286" s="2091">
        <f>+'segSales&amp;comps'!S107</f>
        <v>0</v>
      </c>
      <c r="I286" s="132"/>
      <c r="J286" s="145">
        <f>D286-H286</f>
        <v>11.039089844574823</v>
      </c>
      <c r="K286" s="132"/>
      <c r="L286" s="725">
        <f>Stores!AX123</f>
        <v>89</v>
      </c>
      <c r="M286" s="238"/>
      <c r="N286" s="177">
        <f>AVERAGE(L286,L285)</f>
        <v>88</v>
      </c>
      <c r="O286" s="132"/>
      <c r="P286" s="145">
        <f>(N286/N279-1)*100</f>
        <v>2.3255813953488413</v>
      </c>
      <c r="Q286" s="230"/>
      <c r="R286" s="259">
        <f>J286/P286*100</f>
        <v>474.68086331671657</v>
      </c>
      <c r="S286" s="138"/>
      <c r="T286" s="132"/>
      <c r="U286" s="132"/>
      <c r="V286" s="296">
        <f>'segSales&amp;comps'!Q107</f>
        <v>173.53299999999999</v>
      </c>
      <c r="W286" s="139"/>
      <c r="X286" s="147">
        <f>V286/N286</f>
        <v>1.971965909090909</v>
      </c>
      <c r="Y286" s="132"/>
      <c r="Z286" s="219">
        <f>(X286/X279-1)*100</f>
        <v>8.5154741662890387</v>
      </c>
      <c r="AA286" s="230"/>
      <c r="AB286" s="132"/>
      <c r="AC286" s="237">
        <f>Stores!AH123</f>
        <v>0.24533333333333332</v>
      </c>
      <c r="AD286" s="238"/>
      <c r="AE286" s="254">
        <f>AVERAGE(AC285:AC286)</f>
        <v>0.24266666666666664</v>
      </c>
      <c r="AF286" s="132"/>
      <c r="AG286" s="145">
        <f>(AE286/AE279-1)*100</f>
        <v>1.111111111111085</v>
      </c>
      <c r="AH286" s="230"/>
      <c r="AI286" s="259"/>
      <c r="AJ286" s="138"/>
      <c r="AK286" s="132"/>
      <c r="AL286" s="142">
        <f>+V286</f>
        <v>173.53299999999999</v>
      </c>
      <c r="AM286" s="132"/>
      <c r="AN286" s="244">
        <f>AL286/AE286</f>
        <v>715.1085164835165</v>
      </c>
      <c r="AO286" s="132"/>
      <c r="AP286" s="925">
        <f>(AN286/AN279-1)*100</f>
        <v>9.8188800660630182</v>
      </c>
      <c r="AQ286" s="230"/>
      <c r="AR286" s="230"/>
      <c r="AS286" s="132"/>
      <c r="AT286" s="132"/>
      <c r="AU286" s="132"/>
      <c r="AV286" s="132"/>
      <c r="AW286" s="132"/>
      <c r="AX286" s="132"/>
      <c r="AY286" s="132"/>
      <c r="AZ286" s="132"/>
      <c r="BA286" s="132"/>
      <c r="BB286" s="132"/>
      <c r="BC286" s="132"/>
      <c r="BD286" s="132"/>
      <c r="BE286" s="132"/>
      <c r="BF286" s="132"/>
      <c r="BG286" s="132"/>
      <c r="BH286" s="132"/>
      <c r="BI286" s="132"/>
      <c r="BJ286" s="132"/>
      <c r="BK286" s="132"/>
      <c r="BL286" s="132"/>
      <c r="BM286" s="132"/>
      <c r="BN286" s="132"/>
      <c r="BO286" s="1592"/>
      <c r="BP286" s="1492"/>
    </row>
    <row r="287" spans="1:68" hidden="1" outlineLevel="2">
      <c r="A287" s="132" t="str">
        <f>$A$43</f>
        <v>4Q</v>
      </c>
      <c r="B287" s="174" t="str">
        <f>$B$43</f>
        <v>Jan</v>
      </c>
      <c r="C287" s="132"/>
      <c r="D287" s="176">
        <f>(V287/V280-1)*100</f>
        <v>18.357650968378426</v>
      </c>
      <c r="E287" s="132"/>
      <c r="F287" s="298"/>
      <c r="G287" s="132"/>
      <c r="H287" s="2095">
        <f>+'segSales&amp;comps'!S108</f>
        <v>0</v>
      </c>
      <c r="I287" s="132"/>
      <c r="J287" s="176">
        <f>D287-H287</f>
        <v>18.357650968378426</v>
      </c>
      <c r="K287" s="132"/>
      <c r="L287" s="917">
        <f>Stores!AX124</f>
        <v>90</v>
      </c>
      <c r="M287" s="139"/>
      <c r="N287" s="178">
        <f>AVERAGE(L287,L286)</f>
        <v>89.5</v>
      </c>
      <c r="O287" s="132"/>
      <c r="P287" s="176">
        <f>(N287/N280-1)*100</f>
        <v>5.2941176470588269</v>
      </c>
      <c r="Q287" s="230"/>
      <c r="R287" s="178">
        <f>J287/P287*100</f>
        <v>346.75562940270339</v>
      </c>
      <c r="S287" s="138"/>
      <c r="T287" s="132"/>
      <c r="U287" s="132"/>
      <c r="V287" s="922">
        <f>'segSales&amp;comps'!Q108</f>
        <v>273.53399999999999</v>
      </c>
      <c r="W287" s="139"/>
      <c r="X287" s="148">
        <f>V287/N287</f>
        <v>3.056245810055866</v>
      </c>
      <c r="Y287" s="132"/>
      <c r="Z287" s="218">
        <f>(X287/X280-1)*100</f>
        <v>12.406707623599612</v>
      </c>
      <c r="AA287" s="230"/>
      <c r="AB287" s="132"/>
      <c r="AC287" s="237">
        <f>Stores!AH124</f>
        <v>0.248</v>
      </c>
      <c r="AD287" s="139"/>
      <c r="AE287" s="255">
        <f>AVERAGE(AC286:AC287)</f>
        <v>0.24666666666666665</v>
      </c>
      <c r="AF287" s="132"/>
      <c r="AG287" s="145">
        <f>(AE287/AE280-1)*100</f>
        <v>4.5197740112994156</v>
      </c>
      <c r="AH287" s="230"/>
      <c r="AI287" s="259"/>
      <c r="AJ287" s="138"/>
      <c r="AK287" s="132"/>
      <c r="AL287" s="146">
        <f>+V287</f>
        <v>273.53399999999999</v>
      </c>
      <c r="AM287" s="132"/>
      <c r="AN287" s="924">
        <f>AL287/AE287</f>
        <v>1108.9216216216216</v>
      </c>
      <c r="AO287" s="132"/>
      <c r="AP287" s="925">
        <f>(AN287/AN280-1)*100</f>
        <v>13.239482277853964</v>
      </c>
      <c r="AQ287" s="230"/>
      <c r="AR287" s="230"/>
      <c r="AS287" s="132"/>
      <c r="AT287" s="132"/>
      <c r="AU287" s="132"/>
      <c r="AV287" s="132"/>
      <c r="AW287" s="132"/>
      <c r="AX287" s="132"/>
      <c r="AY287" s="132"/>
      <c r="AZ287" s="132"/>
      <c r="BA287" s="132"/>
      <c r="BB287" s="132"/>
      <c r="BC287" s="132"/>
      <c r="BD287" s="132"/>
      <c r="BE287" s="132"/>
      <c r="BF287" s="132"/>
      <c r="BG287" s="132"/>
      <c r="BH287" s="132"/>
      <c r="BI287" s="132"/>
      <c r="BJ287" s="132"/>
      <c r="BK287" s="132"/>
      <c r="BL287" s="132"/>
      <c r="BM287" s="132"/>
      <c r="BN287" s="132"/>
      <c r="BO287" s="1592"/>
      <c r="BP287" s="1492"/>
    </row>
    <row r="288" spans="1:68" hidden="1" outlineLevel="2">
      <c r="A288" s="132"/>
      <c r="B288" s="174" t="str">
        <f>$B$44</f>
        <v>Year</v>
      </c>
      <c r="C288" s="132"/>
      <c r="D288" s="145">
        <f>(V288/V281-1)*100</f>
        <v>14.351218527291575</v>
      </c>
      <c r="E288" s="132"/>
      <c r="F288" s="297"/>
      <c r="G288" s="132"/>
      <c r="H288" s="2091">
        <f>+'segSales&amp;comps'!S109</f>
        <v>0</v>
      </c>
      <c r="I288" s="132"/>
      <c r="J288" s="145">
        <f>D288-H288</f>
        <v>14.351218527291575</v>
      </c>
      <c r="K288" s="132"/>
      <c r="L288" s="923">
        <f>Stores!AX125</f>
        <v>90</v>
      </c>
      <c r="M288" s="132"/>
      <c r="N288" s="177">
        <f>AVERAGE(N284:N287)</f>
        <v>87.5</v>
      </c>
      <c r="O288" s="132"/>
      <c r="P288" s="145">
        <f>(N288/N281-1)*100</f>
        <v>3.2448377581120846</v>
      </c>
      <c r="Q288" s="230"/>
      <c r="R288" s="259">
        <f>J288/P288*100</f>
        <v>442.27846188653263</v>
      </c>
      <c r="S288" s="138"/>
      <c r="T288" s="132"/>
      <c r="U288" s="132"/>
      <c r="V288" s="296">
        <f>SUM(V284:V287)</f>
        <v>781.57799999999997</v>
      </c>
      <c r="W288" s="132"/>
      <c r="X288" s="143">
        <f>SUM(X284:X287)</f>
        <v>8.9065442458658719</v>
      </c>
      <c r="Y288" s="132"/>
      <c r="Z288" s="219">
        <f>(X288/X281-1)*100</f>
        <v>10.482175446074194</v>
      </c>
      <c r="AA288" s="230"/>
      <c r="AB288" s="132"/>
      <c r="AC288" s="237">
        <f>Stores!AH125</f>
        <v>0.248</v>
      </c>
      <c r="AD288" s="132"/>
      <c r="AE288" s="254">
        <f>AVERAGE(AE284:AE287)</f>
        <v>0.24133333333333329</v>
      </c>
      <c r="AF288" s="132"/>
      <c r="AG288" s="145">
        <f>(AE288/AE281-1)*100</f>
        <v>2.6950354609928784</v>
      </c>
      <c r="AH288" s="230"/>
      <c r="AI288" s="259"/>
      <c r="AJ288" s="138"/>
      <c r="AK288" s="132"/>
      <c r="AL288" s="141">
        <f>SUM(AL284:AL287)</f>
        <v>781.57799999999997</v>
      </c>
      <c r="AM288" s="132"/>
      <c r="AN288" s="244">
        <f>AL288/AE288</f>
        <v>3238.5828729281775</v>
      </c>
      <c r="AO288" s="132"/>
      <c r="AP288" s="925">
        <f>(AN288/AN281-1)*100</f>
        <v>11.350288759310212</v>
      </c>
      <c r="AQ288" s="230"/>
      <c r="AR288" s="230"/>
      <c r="AS288" s="132"/>
      <c r="AT288" s="132"/>
      <c r="AU288" s="132"/>
      <c r="AV288" s="132"/>
      <c r="AW288" s="132"/>
      <c r="AX288" s="132"/>
      <c r="AY288" s="132"/>
      <c r="AZ288" s="132"/>
      <c r="BA288" s="132"/>
      <c r="BB288" s="132"/>
      <c r="BC288" s="132"/>
      <c r="BD288" s="132"/>
      <c r="BE288" s="132"/>
      <c r="BF288" s="132"/>
      <c r="BG288" s="132"/>
      <c r="BH288" s="132"/>
      <c r="BI288" s="132"/>
      <c r="BJ288" s="132"/>
      <c r="BK288" s="132"/>
      <c r="BL288" s="132"/>
      <c r="BM288" s="132"/>
      <c r="BN288" s="132"/>
      <c r="BO288" s="587"/>
      <c r="BP288" s="587"/>
    </row>
    <row r="289" spans="1:68" hidden="1" outlineLevel="2">
      <c r="A289" s="132"/>
      <c r="B289" s="174"/>
      <c r="C289" s="132"/>
      <c r="D289" s="132"/>
      <c r="E289" s="132"/>
      <c r="F289" s="297"/>
      <c r="G289" s="132"/>
      <c r="H289" s="2091"/>
      <c r="I289" s="132"/>
      <c r="J289" s="132"/>
      <c r="K289" s="132"/>
      <c r="L289" s="132"/>
      <c r="M289" s="132"/>
      <c r="N289" s="177"/>
      <c r="O289" s="132"/>
      <c r="P289" s="132"/>
      <c r="Q289" s="230"/>
      <c r="R289" s="132"/>
      <c r="S289" s="132"/>
      <c r="T289" s="132"/>
      <c r="U289" s="132"/>
      <c r="V289" s="132"/>
      <c r="W289" s="132"/>
      <c r="X289" s="132"/>
      <c r="Y289" s="132"/>
      <c r="Z289" s="132"/>
      <c r="AA289" s="132"/>
      <c r="AB289" s="132"/>
      <c r="AC289" s="132"/>
      <c r="AD289" s="132"/>
      <c r="AE289" s="132"/>
      <c r="AF289" s="132"/>
      <c r="AG289" s="132"/>
      <c r="AH289" s="230"/>
      <c r="AI289" s="132"/>
      <c r="AJ289" s="132"/>
      <c r="AK289" s="132"/>
      <c r="AL289" s="132"/>
      <c r="AM289" s="132"/>
      <c r="AN289" s="132"/>
      <c r="AO289" s="132"/>
      <c r="AP289" s="925"/>
      <c r="AQ289" s="132"/>
      <c r="AR289" s="132"/>
      <c r="AS289" s="132"/>
      <c r="AT289" s="132"/>
      <c r="AU289" s="132"/>
      <c r="AV289" s="132"/>
      <c r="AW289" s="132"/>
      <c r="AX289" s="132"/>
      <c r="AY289" s="132"/>
      <c r="AZ289" s="132"/>
      <c r="BA289" s="132"/>
      <c r="BB289" s="132"/>
      <c r="BC289" s="132"/>
      <c r="BD289" s="132"/>
      <c r="BE289" s="132"/>
      <c r="BF289" s="132"/>
      <c r="BG289" s="132"/>
      <c r="BH289" s="132"/>
      <c r="BI289" s="132"/>
      <c r="BJ289" s="132"/>
      <c r="BK289" s="132"/>
      <c r="BL289" s="132"/>
      <c r="BM289" s="132"/>
      <c r="BN289" s="132"/>
      <c r="BO289" s="587"/>
      <c r="BP289" s="587"/>
    </row>
    <row r="290" spans="1:68" hidden="1" outlineLevel="1" collapsed="1">
      <c r="A290" s="169"/>
      <c r="B290" s="171">
        <f>+B283+1</f>
        <v>2004</v>
      </c>
      <c r="C290" s="132"/>
      <c r="D290" s="132"/>
      <c r="E290" s="230"/>
      <c r="F290" s="297"/>
      <c r="G290" s="230"/>
      <c r="H290" s="2091"/>
      <c r="I290" s="230"/>
      <c r="J290" s="132"/>
      <c r="K290" s="230"/>
      <c r="L290" s="132"/>
      <c r="M290" s="132"/>
      <c r="N290" s="132"/>
      <c r="O290" s="132"/>
      <c r="P290" s="132"/>
      <c r="Q290" s="230"/>
      <c r="R290" s="138"/>
      <c r="S290" s="138"/>
      <c r="T290" s="132"/>
      <c r="U290" s="132"/>
      <c r="V290" s="132"/>
      <c r="W290" s="132"/>
      <c r="X290" s="132"/>
      <c r="Y290" s="132"/>
      <c r="Z290" s="132"/>
      <c r="AA290" s="230"/>
      <c r="AB290" s="132"/>
      <c r="AC290" s="132"/>
      <c r="AD290" s="132"/>
      <c r="AE290" s="132"/>
      <c r="AF290" s="132"/>
      <c r="AG290" s="132"/>
      <c r="AH290" s="230"/>
      <c r="AI290" s="138"/>
      <c r="AJ290" s="138"/>
      <c r="AK290" s="132"/>
      <c r="AL290" s="132"/>
      <c r="AM290" s="132"/>
      <c r="AN290" s="132"/>
      <c r="AO290" s="132"/>
      <c r="AP290" s="925"/>
      <c r="AQ290" s="230"/>
      <c r="AR290" s="230"/>
      <c r="AS290" s="132"/>
      <c r="AT290" s="132"/>
      <c r="AU290" s="132"/>
      <c r="AV290" s="132"/>
      <c r="AW290" s="132"/>
      <c r="AX290" s="132"/>
      <c r="AY290" s="132"/>
      <c r="AZ290" s="132"/>
      <c r="BA290" s="132"/>
      <c r="BB290" s="132"/>
      <c r="BC290" s="132"/>
      <c r="BD290" s="132"/>
      <c r="BE290" s="132"/>
      <c r="BF290" s="132"/>
      <c r="BG290" s="132"/>
      <c r="BH290" s="132"/>
      <c r="BI290" s="132"/>
      <c r="BJ290" s="132"/>
      <c r="BK290" s="132"/>
      <c r="BL290" s="132"/>
      <c r="BM290" s="132"/>
      <c r="BN290" s="132"/>
      <c r="BO290" s="587"/>
      <c r="BP290" s="587"/>
    </row>
    <row r="291" spans="1:68" hidden="1" outlineLevel="1">
      <c r="A291" s="132" t="str">
        <f>$A$40</f>
        <v>1Q</v>
      </c>
      <c r="B291" s="174" t="str">
        <f>$B$40</f>
        <v>Apr</v>
      </c>
      <c r="C291" s="132"/>
      <c r="D291" s="145">
        <f>(V291/V284-1)*100</f>
        <v>11.603755346656675</v>
      </c>
      <c r="E291" s="230" t="s">
        <v>1970</v>
      </c>
      <c r="F291" s="297"/>
      <c r="G291" s="230"/>
      <c r="H291" s="2091">
        <f>+'segSales&amp;comps'!S112</f>
        <v>-2</v>
      </c>
      <c r="I291" s="230" t="s">
        <v>1970</v>
      </c>
      <c r="J291" s="145">
        <f>D291-H291</f>
        <v>13.603755346656675</v>
      </c>
      <c r="K291" s="230" t="s">
        <v>1970</v>
      </c>
      <c r="L291" s="725">
        <f>Stores!AX128</f>
        <v>91</v>
      </c>
      <c r="M291" s="132"/>
      <c r="N291" s="177">
        <f>AVERAGE(L291,L287)</f>
        <v>90.5</v>
      </c>
      <c r="O291" s="132"/>
      <c r="P291" s="145">
        <f>(N291/N284-1)*100</f>
        <v>5.8479532163742798</v>
      </c>
      <c r="Q291" s="230" t="s">
        <v>1970</v>
      </c>
      <c r="R291" s="259">
        <f>J291/P291*100</f>
        <v>232.62421642782871</v>
      </c>
      <c r="S291" s="138" t="s">
        <v>1970</v>
      </c>
      <c r="T291" s="132"/>
      <c r="U291" s="132"/>
      <c r="V291" s="296">
        <f>'segSales&amp;comps'!Q112</f>
        <v>184.73099999999999</v>
      </c>
      <c r="W291" s="139"/>
      <c r="X291" s="143">
        <f>V291/N291</f>
        <v>2.0412265193370165</v>
      </c>
      <c r="Y291" s="132"/>
      <c r="Z291" s="219">
        <f>(X291/X284-1)*100</f>
        <v>5.4378020125872562</v>
      </c>
      <c r="AA291" s="230" t="s">
        <v>1970</v>
      </c>
      <c r="AB291" s="132"/>
      <c r="AC291" s="236">
        <f>Stores!AH128</f>
        <v>0.25316666666666665</v>
      </c>
      <c r="AD291" s="132" t="s">
        <v>505</v>
      </c>
      <c r="AE291" s="254">
        <f>AVERAGE(AC291,AC287)</f>
        <v>0.25058333333333332</v>
      </c>
      <c r="AF291" s="132"/>
      <c r="AG291" s="145">
        <f>(AE291/AE284-1)*100</f>
        <v>6.1793785310734428</v>
      </c>
      <c r="AH291" s="230" t="s">
        <v>1970</v>
      </c>
      <c r="AI291" s="259"/>
      <c r="AJ291" s="138" t="s">
        <v>1970</v>
      </c>
      <c r="AK291" s="132"/>
      <c r="AL291" s="141">
        <f>+V291</f>
        <v>184.73099999999999</v>
      </c>
      <c r="AM291" s="132" t="s">
        <v>505</v>
      </c>
      <c r="AN291" s="244">
        <f>AL291/AE291</f>
        <v>737.20385766544734</v>
      </c>
      <c r="AO291" s="132"/>
      <c r="AP291" s="925">
        <f>(AN291/AN284-1)*100</f>
        <v>5.1086914338981382</v>
      </c>
      <c r="AQ291" s="230" t="s">
        <v>1970</v>
      </c>
      <c r="AR291" s="230"/>
      <c r="AS291" s="132"/>
      <c r="AT291" s="132"/>
      <c r="AU291" s="132"/>
      <c r="AV291" s="132"/>
      <c r="AW291" s="132"/>
      <c r="AX291" s="132"/>
      <c r="AY291" s="132"/>
      <c r="AZ291" s="132"/>
      <c r="BA291" s="132"/>
      <c r="BB291" s="132"/>
      <c r="BC291" s="132"/>
      <c r="BD291" s="132"/>
      <c r="BE291" s="132"/>
      <c r="BF291" s="132"/>
      <c r="BG291" s="132"/>
      <c r="BH291" s="132"/>
      <c r="BI291" s="132"/>
      <c r="BJ291" s="132"/>
      <c r="BK291" s="132"/>
      <c r="BL291" s="132"/>
      <c r="BM291" s="132"/>
      <c r="BN291" s="132"/>
      <c r="BO291" s="1592"/>
      <c r="BP291" s="1492"/>
    </row>
    <row r="292" spans="1:68" hidden="1" outlineLevel="1">
      <c r="A292" s="132" t="str">
        <f>$A$41</f>
        <v>2Q</v>
      </c>
      <c r="B292" s="174" t="str">
        <f>$B$41</f>
        <v>Jul</v>
      </c>
      <c r="C292" s="132"/>
      <c r="D292" s="145">
        <f>(V292/V285-1)*100</f>
        <v>7.0780592589962721</v>
      </c>
      <c r="E292" s="132"/>
      <c r="F292" s="297"/>
      <c r="G292" s="132"/>
      <c r="H292" s="2091">
        <f>+'segSales&amp;comps'!S113</f>
        <v>-4</v>
      </c>
      <c r="I292" s="132"/>
      <c r="J292" s="145">
        <f>D292-H292</f>
        <v>11.078059258996273</v>
      </c>
      <c r="K292" s="132"/>
      <c r="L292" s="725">
        <f>Stores!AX129</f>
        <v>92</v>
      </c>
      <c r="M292" s="132"/>
      <c r="N292" s="177">
        <f>AVERAGE(L292,L291)</f>
        <v>91.5</v>
      </c>
      <c r="O292" s="132"/>
      <c r="P292" s="145">
        <f>(N292/N285-1)*100</f>
        <v>5.1724137931034475</v>
      </c>
      <c r="Q292" s="230"/>
      <c r="R292" s="259">
        <f>J292/P292*100</f>
        <v>214.17581234059466</v>
      </c>
      <c r="S292" s="138"/>
      <c r="T292" s="132"/>
      <c r="U292" s="132"/>
      <c r="V292" s="315">
        <f>'segSales&amp;comps'!Q113</f>
        <v>180.94800000000001</v>
      </c>
      <c r="W292" s="139"/>
      <c r="X292" s="147">
        <f>V292/N292</f>
        <v>1.9775737704918033</v>
      </c>
      <c r="Y292" s="132"/>
      <c r="Z292" s="219">
        <f>(X292/X285-1)*100</f>
        <v>1.8119251970784012</v>
      </c>
      <c r="AA292" s="230"/>
      <c r="AB292" s="132"/>
      <c r="AC292" s="236">
        <f>Stores!AH129</f>
        <v>0.2583333333333333</v>
      </c>
      <c r="AD292" s="238"/>
      <c r="AE292" s="254">
        <f>AVERAGE(AC291:AC292)</f>
        <v>0.25574999999999998</v>
      </c>
      <c r="AF292" s="132"/>
      <c r="AG292" s="145">
        <f>(AE292/AE285-1)*100</f>
        <v>6.5625000000000044</v>
      </c>
      <c r="AH292" s="230"/>
      <c r="AI292" s="259"/>
      <c r="AJ292" s="138"/>
      <c r="AK292" s="132"/>
      <c r="AL292" s="142">
        <f>+V292</f>
        <v>180.94800000000001</v>
      </c>
      <c r="AM292" s="132"/>
      <c r="AN292" s="244">
        <f>AL292/AE292</f>
        <v>707.51906158357781</v>
      </c>
      <c r="AO292" s="132"/>
      <c r="AP292" s="925">
        <f>(AN292/AN285-1)*100</f>
        <v>0.48380927530442541</v>
      </c>
      <c r="AQ292" s="230"/>
      <c r="AR292" s="230"/>
      <c r="AS292" s="132"/>
      <c r="AT292" s="132"/>
      <c r="AU292" s="132"/>
      <c r="AV292" s="132"/>
      <c r="AW292" s="132"/>
      <c r="AX292" s="132"/>
      <c r="AY292" s="132"/>
      <c r="AZ292" s="132"/>
      <c r="BA292" s="132"/>
      <c r="BB292" s="132"/>
      <c r="BC292" s="132"/>
      <c r="BD292" s="132"/>
      <c r="BE292" s="132"/>
      <c r="BF292" s="132"/>
      <c r="BG292" s="132"/>
      <c r="BH292" s="132"/>
      <c r="BI292" s="132"/>
      <c r="BJ292" s="132"/>
      <c r="BK292" s="132"/>
      <c r="BL292" s="132"/>
      <c r="BM292" s="132"/>
      <c r="BN292" s="132"/>
      <c r="BO292" s="1592"/>
      <c r="BP292" s="1492"/>
    </row>
    <row r="293" spans="1:68" hidden="1" outlineLevel="1">
      <c r="A293" s="132" t="str">
        <f>$A$42</f>
        <v>3Q</v>
      </c>
      <c r="B293" s="174" t="str">
        <f>$B$42</f>
        <v>Oct</v>
      </c>
      <c r="C293" s="132"/>
      <c r="D293" s="145">
        <f>(V293/V286-1)*100</f>
        <v>9.9796580477488526</v>
      </c>
      <c r="E293" s="132"/>
      <c r="F293" s="297"/>
      <c r="G293" s="132"/>
      <c r="H293" s="2091">
        <f>+'segSales&amp;comps'!S114</f>
        <v>-2</v>
      </c>
      <c r="I293" s="132"/>
      <c r="J293" s="145">
        <f>D293-H293</f>
        <v>11.979658047748853</v>
      </c>
      <c r="K293" s="132"/>
      <c r="L293" s="725">
        <f>Stores!AX130</f>
        <v>94</v>
      </c>
      <c r="M293" s="238"/>
      <c r="N293" s="177">
        <f>AVERAGE(L293,L292)</f>
        <v>93</v>
      </c>
      <c r="O293" s="132"/>
      <c r="P293" s="145">
        <f>(N293/N286-1)*100</f>
        <v>5.6818181818181879</v>
      </c>
      <c r="Q293" s="230"/>
      <c r="R293" s="259">
        <f>J293/P293*100</f>
        <v>210.84198164037957</v>
      </c>
      <c r="S293" s="138"/>
      <c r="T293" s="132"/>
      <c r="U293" s="132"/>
      <c r="V293" s="315">
        <f>'segSales&amp;comps'!Q114</f>
        <v>190.851</v>
      </c>
      <c r="W293" s="132"/>
      <c r="X293" s="147">
        <f>V293/N293</f>
        <v>2.0521612903225805</v>
      </c>
      <c r="Y293" s="132"/>
      <c r="Z293" s="219">
        <f>(X293/X286-1)*100</f>
        <v>4.0667732064720186</v>
      </c>
      <c r="AA293" s="230"/>
      <c r="AB293" s="132"/>
      <c r="AC293" s="236">
        <f>Stores!AH130</f>
        <v>0.26866666666666666</v>
      </c>
      <c r="AD293" s="238"/>
      <c r="AE293" s="254">
        <f>AVERAGE(AC292:AC293)</f>
        <v>0.26349999999999996</v>
      </c>
      <c r="AF293" s="132"/>
      <c r="AG293" s="145">
        <f>(AE293/AE286-1)*100</f>
        <v>8.5851648351648269</v>
      </c>
      <c r="AH293" s="230"/>
      <c r="AI293" s="259"/>
      <c r="AJ293" s="138"/>
      <c r="AK293" s="132"/>
      <c r="AL293" s="142">
        <f>+V293</f>
        <v>190.851</v>
      </c>
      <c r="AM293" s="132"/>
      <c r="AN293" s="244">
        <f>AL293/AE293</f>
        <v>724.29222011385207</v>
      </c>
      <c r="AO293" s="132"/>
      <c r="AP293" s="925">
        <f>(AN293/AN286-1)*100</f>
        <v>1.2842391635182304</v>
      </c>
      <c r="AQ293" s="230"/>
      <c r="AR293" s="230"/>
      <c r="AS293" s="132"/>
      <c r="AT293" s="132"/>
      <c r="AU293" s="132"/>
      <c r="AV293" s="132"/>
      <c r="AW293" s="132"/>
      <c r="AX293" s="132"/>
      <c r="AY293" s="132"/>
      <c r="AZ293" s="132"/>
      <c r="BA293" s="132"/>
      <c r="BB293" s="132"/>
      <c r="BC293" s="132"/>
      <c r="BD293" s="132"/>
      <c r="BE293" s="132"/>
      <c r="BF293" s="132"/>
      <c r="BG293" s="132"/>
      <c r="BH293" s="132"/>
      <c r="BI293" s="132"/>
      <c r="BJ293" s="132"/>
      <c r="BK293" s="132"/>
      <c r="BL293" s="132"/>
      <c r="BM293" s="132"/>
      <c r="BN293" s="132"/>
      <c r="BO293" s="1592"/>
      <c r="BP293" s="1492"/>
    </row>
    <row r="294" spans="1:68" hidden="1" outlineLevel="1">
      <c r="A294" s="132" t="str">
        <f>$A$43</f>
        <v>4Q</v>
      </c>
      <c r="B294" s="174" t="str">
        <f>$B$43</f>
        <v>Jan</v>
      </c>
      <c r="C294" s="132"/>
      <c r="D294" s="176">
        <f>(V294/V287-1)*100</f>
        <v>9.9790154057630929</v>
      </c>
      <c r="E294" s="132"/>
      <c r="F294" s="298"/>
      <c r="G294" s="132"/>
      <c r="H294" s="2095">
        <f>+'segSales&amp;comps'!S115</f>
        <v>-3</v>
      </c>
      <c r="I294" s="132"/>
      <c r="J294" s="176">
        <f>D294-H294</f>
        <v>12.979015405763093</v>
      </c>
      <c r="K294" s="132"/>
      <c r="L294" s="917">
        <f>Stores!AX131</f>
        <v>96</v>
      </c>
      <c r="M294" s="139"/>
      <c r="N294" s="178">
        <f>AVERAGE(L294,L293)</f>
        <v>95</v>
      </c>
      <c r="O294" s="132"/>
      <c r="P294" s="176">
        <f>(N294/N287-1)*100</f>
        <v>6.1452513966480549</v>
      </c>
      <c r="Q294" s="230"/>
      <c r="R294" s="178">
        <f>J294/P294*100</f>
        <v>211.20397796650815</v>
      </c>
      <c r="S294" s="138"/>
      <c r="T294" s="132"/>
      <c r="U294" s="132"/>
      <c r="V294" s="316">
        <f>'segSales&amp;comps'!Q115</f>
        <v>300.83</v>
      </c>
      <c r="W294" s="132"/>
      <c r="X294" s="148">
        <f>V294/N294</f>
        <v>3.1666315789473685</v>
      </c>
      <c r="Y294" s="132"/>
      <c r="Z294" s="218">
        <f>(X294/X287-1)*100</f>
        <v>3.6118092506925992</v>
      </c>
      <c r="AA294" s="230"/>
      <c r="AB294" s="132"/>
      <c r="AC294" s="236">
        <f>Stores!AH131</f>
        <v>0.27900000000000003</v>
      </c>
      <c r="AD294" s="139"/>
      <c r="AE294" s="255">
        <f>AVERAGE(AC293:AC294)</f>
        <v>0.27383333333333337</v>
      </c>
      <c r="AF294" s="132"/>
      <c r="AG294" s="145">
        <f>(AE294/AE287-1)*100</f>
        <v>11.013513513513541</v>
      </c>
      <c r="AH294" s="230"/>
      <c r="AI294" s="259"/>
      <c r="AJ294" s="138"/>
      <c r="AK294" s="132"/>
      <c r="AL294" s="146">
        <f>+V294</f>
        <v>300.83</v>
      </c>
      <c r="AM294" s="132"/>
      <c r="AN294" s="924">
        <f>AL294/AE294</f>
        <v>1098.5879488740106</v>
      </c>
      <c r="AO294" s="132"/>
      <c r="AP294" s="925">
        <f>(AN294/AN287-1)*100</f>
        <v>-0.93186682864923043</v>
      </c>
      <c r="AQ294" s="230"/>
      <c r="AR294" s="230"/>
      <c r="AS294" s="132"/>
      <c r="AT294" s="132"/>
      <c r="AU294" s="132"/>
      <c r="AV294" s="132"/>
      <c r="AW294" s="132"/>
      <c r="AX294" s="132"/>
      <c r="AY294" s="132"/>
      <c r="AZ294" s="132"/>
      <c r="BA294" s="132"/>
      <c r="BB294" s="132"/>
      <c r="BC294" s="132"/>
      <c r="BD294" s="132"/>
      <c r="BE294" s="132"/>
      <c r="BF294" s="132"/>
      <c r="BG294" s="132"/>
      <c r="BH294" s="132"/>
      <c r="BI294" s="132"/>
      <c r="BJ294" s="132"/>
      <c r="BK294" s="132"/>
      <c r="BL294" s="132"/>
      <c r="BM294" s="132"/>
      <c r="BN294" s="132"/>
      <c r="BO294" s="1592"/>
      <c r="BP294" s="1492"/>
    </row>
    <row r="295" spans="1:68" hidden="1" outlineLevel="1">
      <c r="A295" s="132"/>
      <c r="B295" s="174" t="str">
        <f>$B$44</f>
        <v>Year</v>
      </c>
      <c r="C295" s="132"/>
      <c r="D295" s="145">
        <f>(V295/V288-1)*100</f>
        <v>9.6960252207713093</v>
      </c>
      <c r="E295" s="132"/>
      <c r="F295" s="297"/>
      <c r="G295" s="132"/>
      <c r="H295" s="2091">
        <f>+'segSales&amp;comps'!S116</f>
        <v>-3</v>
      </c>
      <c r="I295" s="132"/>
      <c r="J295" s="145">
        <f>D295-H295</f>
        <v>12.696025220771309</v>
      </c>
      <c r="K295" s="132"/>
      <c r="L295" s="923">
        <f>Stores!AX132</f>
        <v>96</v>
      </c>
      <c r="M295" s="132"/>
      <c r="N295" s="177">
        <f>AVERAGE(N291:N294)</f>
        <v>92.5</v>
      </c>
      <c r="O295" s="132"/>
      <c r="P295" s="145">
        <f>(N295/N288-1)*100</f>
        <v>5.7142857142857162</v>
      </c>
      <c r="Q295" s="230"/>
      <c r="R295" s="259">
        <f>J295/P295*100</f>
        <v>222.18044136349783</v>
      </c>
      <c r="S295" s="138"/>
      <c r="T295" s="132"/>
      <c r="U295" s="132"/>
      <c r="V295" s="296">
        <f>SUM(V291:V294)</f>
        <v>857.3599999999999</v>
      </c>
      <c r="W295" s="132"/>
      <c r="X295" s="143">
        <f>SUM(X291:X294)</f>
        <v>9.2375931590987683</v>
      </c>
      <c r="Y295" s="132"/>
      <c r="Z295" s="219">
        <f>(X295/X288-1)*100</f>
        <v>3.7169176292652262</v>
      </c>
      <c r="AA295" s="230"/>
      <c r="AB295" s="132"/>
      <c r="AC295" s="236"/>
      <c r="AD295" s="132"/>
      <c r="AE295" s="254">
        <f>AVERAGE(AE291:AE294)</f>
        <v>0.26091666666666669</v>
      </c>
      <c r="AF295" s="132"/>
      <c r="AG295" s="145">
        <f>(AE295/AE288-1)*100</f>
        <v>8.1146408839779305</v>
      </c>
      <c r="AH295" s="230"/>
      <c r="AI295" s="259"/>
      <c r="AJ295" s="138"/>
      <c r="AK295" s="132"/>
      <c r="AL295" s="141">
        <f>SUM(AL291:AL294)</f>
        <v>857.3599999999999</v>
      </c>
      <c r="AM295" s="132"/>
      <c r="AN295" s="244">
        <f>AL295/AE295</f>
        <v>3285.9533695305008</v>
      </c>
      <c r="AO295" s="132"/>
      <c r="AP295" s="925">
        <f>(AN295/AN288-1)*100</f>
        <v>1.4626921237156143</v>
      </c>
      <c r="AQ295" s="230"/>
      <c r="AR295" s="230"/>
      <c r="AS295" s="132"/>
      <c r="AT295" s="132"/>
      <c r="AU295" s="132"/>
      <c r="AV295" s="132"/>
      <c r="AW295" s="132"/>
      <c r="AX295" s="132"/>
      <c r="AY295" s="132"/>
      <c r="AZ295" s="132"/>
      <c r="BA295" s="132"/>
      <c r="BB295" s="132"/>
      <c r="BC295" s="132"/>
      <c r="BD295" s="132"/>
      <c r="BE295" s="132"/>
      <c r="BF295" s="132"/>
      <c r="BG295" s="132"/>
      <c r="BH295" s="132"/>
      <c r="BI295" s="132"/>
      <c r="BJ295" s="132"/>
      <c r="BK295" s="132"/>
      <c r="BL295" s="132"/>
      <c r="BM295" s="132"/>
      <c r="BN295" s="132"/>
      <c r="BO295" s="587"/>
      <c r="BP295" s="587"/>
    </row>
    <row r="296" spans="1:68" hidden="1" outlineLevel="1">
      <c r="A296" s="132"/>
      <c r="B296" s="174"/>
      <c r="C296" s="132"/>
      <c r="D296" s="132"/>
      <c r="E296" s="132"/>
      <c r="F296" s="297"/>
      <c r="G296" s="132"/>
      <c r="H296" s="2091"/>
      <c r="I296" s="132"/>
      <c r="J296" s="132"/>
      <c r="K296" s="132"/>
      <c r="L296" s="132"/>
      <c r="M296" s="132"/>
      <c r="N296" s="177"/>
      <c r="O296" s="132"/>
      <c r="P296" s="132"/>
      <c r="Q296" s="230"/>
      <c r="R296" s="132"/>
      <c r="S296" s="132"/>
      <c r="T296" s="132"/>
      <c r="U296" s="132"/>
      <c r="V296" s="132"/>
      <c r="W296" s="132"/>
      <c r="X296" s="132"/>
      <c r="Y296" s="132"/>
      <c r="Z296" s="132"/>
      <c r="AA296" s="132"/>
      <c r="AB296" s="132"/>
      <c r="AC296" s="132"/>
      <c r="AD296" s="132"/>
      <c r="AE296" s="132"/>
      <c r="AF296" s="132"/>
      <c r="AG296" s="132"/>
      <c r="AH296" s="230"/>
      <c r="AI296" s="132"/>
      <c r="AJ296" s="132"/>
      <c r="AK296" s="132"/>
      <c r="AL296" s="132"/>
      <c r="AM296" s="132"/>
      <c r="AN296" s="132"/>
      <c r="AO296" s="132"/>
      <c r="AP296" s="925"/>
      <c r="AQ296" s="132"/>
      <c r="AR296" s="132"/>
      <c r="AS296" s="132"/>
      <c r="AT296" s="132"/>
      <c r="AU296" s="132"/>
      <c r="AV296" s="132"/>
      <c r="AW296" s="132"/>
      <c r="AX296" s="132"/>
      <c r="AY296" s="132"/>
      <c r="AZ296" s="132"/>
      <c r="BA296" s="132"/>
      <c r="BB296" s="132"/>
      <c r="BC296" s="132"/>
      <c r="BD296" s="132"/>
      <c r="BE296" s="132"/>
      <c r="BF296" s="132"/>
      <c r="BG296" s="132"/>
      <c r="BH296" s="132"/>
      <c r="BI296" s="132"/>
      <c r="BJ296" s="132"/>
      <c r="BK296" s="132"/>
      <c r="BL296" s="132"/>
      <c r="BM296" s="132"/>
      <c r="BN296" s="132"/>
      <c r="BO296" s="587"/>
      <c r="BP296" s="587"/>
    </row>
    <row r="297" spans="1:68" hidden="1" outlineLevel="1">
      <c r="A297" s="169"/>
      <c r="B297" s="171">
        <f>+B290+1</f>
        <v>2005</v>
      </c>
      <c r="C297" s="132"/>
      <c r="D297" s="132"/>
      <c r="E297" s="230"/>
      <c r="F297" s="297"/>
      <c r="G297" s="230"/>
      <c r="H297" s="2091"/>
      <c r="I297" s="230"/>
      <c r="J297" s="132"/>
      <c r="K297" s="230"/>
      <c r="L297" s="132"/>
      <c r="M297" s="132"/>
      <c r="N297" s="132"/>
      <c r="O297" s="132"/>
      <c r="P297" s="132"/>
      <c r="Q297" s="230"/>
      <c r="R297" s="138"/>
      <c r="S297" s="138"/>
      <c r="T297" s="132"/>
      <c r="U297" s="132"/>
      <c r="V297" s="132"/>
      <c r="W297" s="132"/>
      <c r="X297" s="132"/>
      <c r="Y297" s="132"/>
      <c r="Z297" s="132"/>
      <c r="AA297" s="230"/>
      <c r="AB297" s="132"/>
      <c r="AC297" s="132"/>
      <c r="AD297" s="132"/>
      <c r="AE297" s="132"/>
      <c r="AF297" s="132"/>
      <c r="AG297" s="132"/>
      <c r="AH297" s="230"/>
      <c r="AI297" s="138"/>
      <c r="AJ297" s="138"/>
      <c r="AK297" s="132"/>
      <c r="AL297" s="132"/>
      <c r="AM297" s="132"/>
      <c r="AN297" s="132"/>
      <c r="AO297" s="132"/>
      <c r="AP297" s="925"/>
      <c r="AQ297" s="230"/>
      <c r="AR297" s="230"/>
      <c r="AS297" s="132"/>
      <c r="AT297" s="132"/>
      <c r="AU297" s="132"/>
      <c r="AV297" s="132"/>
      <c r="AW297" s="132"/>
      <c r="AX297" s="132"/>
      <c r="AY297" s="132"/>
      <c r="AZ297" s="132"/>
      <c r="BA297" s="132"/>
      <c r="BB297" s="132"/>
      <c r="BC297" s="132"/>
      <c r="BD297" s="132"/>
      <c r="BE297" s="132"/>
      <c r="BF297" s="132"/>
      <c r="BG297" s="132"/>
      <c r="BH297" s="132"/>
      <c r="BI297" s="132"/>
      <c r="BJ297" s="132"/>
      <c r="BK297" s="132"/>
      <c r="BL297" s="132"/>
      <c r="BM297" s="132"/>
      <c r="BN297" s="132"/>
      <c r="BO297" s="587"/>
      <c r="BP297" s="587"/>
    </row>
    <row r="298" spans="1:68" hidden="1" outlineLevel="1">
      <c r="A298" s="132" t="str">
        <f>$A$40</f>
        <v>1Q</v>
      </c>
      <c r="B298" s="174" t="str">
        <f>$B$40</f>
        <v>Apr</v>
      </c>
      <c r="C298" s="132"/>
      <c r="D298" s="145">
        <f>(V298/V291-1)*100</f>
        <v>3.0233149823256644</v>
      </c>
      <c r="E298" s="230" t="s">
        <v>1970</v>
      </c>
      <c r="F298" s="297"/>
      <c r="G298" s="230"/>
      <c r="H298" s="2091">
        <f>+'segSales&amp;comps'!S119</f>
        <v>-6</v>
      </c>
      <c r="I298" s="230" t="s">
        <v>1970</v>
      </c>
      <c r="J298" s="145">
        <f>D298-H298</f>
        <v>9.0233149823256653</v>
      </c>
      <c r="K298" s="230" t="s">
        <v>1970</v>
      </c>
      <c r="L298" s="725">
        <f>Stores!AX135</f>
        <v>96</v>
      </c>
      <c r="M298" s="132"/>
      <c r="N298" s="177">
        <f>AVERAGE(L298,L294)</f>
        <v>96</v>
      </c>
      <c r="O298" s="132"/>
      <c r="P298" s="145">
        <f>(N298/N291-1)*100</f>
        <v>6.0773480662983381</v>
      </c>
      <c r="Q298" s="230" t="s">
        <v>1970</v>
      </c>
      <c r="R298" s="259">
        <f>J298/P298*100</f>
        <v>148.4745465273588</v>
      </c>
      <c r="S298" s="138" t="s">
        <v>1970</v>
      </c>
      <c r="T298" s="132"/>
      <c r="U298" s="132"/>
      <c r="V298" s="296">
        <f>'segSales&amp;comps'!Q119</f>
        <v>190.316</v>
      </c>
      <c r="W298" s="139"/>
      <c r="X298" s="143">
        <f>V298/N298</f>
        <v>1.9824583333333334</v>
      </c>
      <c r="Y298" s="132"/>
      <c r="Z298" s="219">
        <f>(X298/X291-1)*100</f>
        <v>-2.8790624385367503</v>
      </c>
      <c r="AA298" s="230" t="s">
        <v>1970</v>
      </c>
      <c r="AB298" s="132"/>
      <c r="AC298" s="236">
        <f>Stores!AH135</f>
        <v>0.27900000000000003</v>
      </c>
      <c r="AD298" s="132" t="s">
        <v>505</v>
      </c>
      <c r="AE298" s="254">
        <f>AVERAGE(AC298,AC294)</f>
        <v>0.27900000000000003</v>
      </c>
      <c r="AF298" s="132"/>
      <c r="AG298" s="145">
        <f>(AE298/AE291-1)*100</f>
        <v>11.340206185567014</v>
      </c>
      <c r="AH298" s="230" t="s">
        <v>1970</v>
      </c>
      <c r="AI298" s="259"/>
      <c r="AJ298" s="138" t="s">
        <v>1970</v>
      </c>
      <c r="AK298" s="132"/>
      <c r="AL298" s="141">
        <f>+V298</f>
        <v>190.316</v>
      </c>
      <c r="AM298" s="132" t="s">
        <v>505</v>
      </c>
      <c r="AN298" s="244">
        <f>AL298/AE298</f>
        <v>682.13620071684579</v>
      </c>
      <c r="AO298" s="132"/>
      <c r="AP298" s="925">
        <f>(AN298/AN291-1)*100</f>
        <v>-7.4698004325408629</v>
      </c>
      <c r="AQ298" s="230" t="s">
        <v>1970</v>
      </c>
      <c r="AR298" s="230"/>
      <c r="AS298" s="132"/>
      <c r="AT298" s="132"/>
      <c r="AU298" s="132"/>
      <c r="AV298" s="132"/>
      <c r="AW298" s="132"/>
      <c r="AX298" s="132"/>
      <c r="AY298" s="132"/>
      <c r="AZ298" s="132"/>
      <c r="BA298" s="132"/>
      <c r="BB298" s="132"/>
      <c r="BC298" s="132"/>
      <c r="BD298" s="132"/>
      <c r="BE298" s="132"/>
      <c r="BF298" s="132"/>
      <c r="BG298" s="132"/>
      <c r="BH298" s="132"/>
      <c r="BI298" s="132"/>
      <c r="BJ298" s="132"/>
      <c r="BK298" s="132"/>
      <c r="BL298" s="132"/>
      <c r="BM298" s="132"/>
      <c r="BN298" s="132"/>
      <c r="BO298" s="1592"/>
      <c r="BP298" s="1492"/>
    </row>
    <row r="299" spans="1:68" hidden="1" outlineLevel="1">
      <c r="A299" s="132" t="str">
        <f>$A$41</f>
        <v>2Q</v>
      </c>
      <c r="B299" s="174" t="str">
        <f>$B$41</f>
        <v>Jul</v>
      </c>
      <c r="C299" s="132"/>
      <c r="D299" s="145">
        <f>(V299/V292-1)*100</f>
        <v>11.691756747794946</v>
      </c>
      <c r="E299" s="132"/>
      <c r="F299" s="297"/>
      <c r="G299" s="132"/>
      <c r="H299" s="2091">
        <f>+'segSales&amp;comps'!S120</f>
        <v>3</v>
      </c>
      <c r="I299" s="132"/>
      <c r="J299" s="145">
        <f>D299-H299</f>
        <v>8.6917567477949458</v>
      </c>
      <c r="K299" s="132"/>
      <c r="L299" s="725">
        <f>Stores!AX136</f>
        <v>98</v>
      </c>
      <c r="M299" s="132"/>
      <c r="N299" s="177">
        <f>AVERAGE(L299,L298)</f>
        <v>97</v>
      </c>
      <c r="O299" s="132"/>
      <c r="P299" s="145">
        <f>(N299/N292-1)*100</f>
        <v>6.0109289617486406</v>
      </c>
      <c r="Q299" s="230"/>
      <c r="R299" s="259">
        <f>J299/P299*100</f>
        <v>144.59922589513394</v>
      </c>
      <c r="S299" s="138"/>
      <c r="T299" s="132"/>
      <c r="U299" s="132"/>
      <c r="V299" s="315">
        <f>'segSales&amp;comps'!Q120</f>
        <v>202.10400000000001</v>
      </c>
      <c r="W299" s="139"/>
      <c r="X299" s="147">
        <f>V299/N299</f>
        <v>2.0835463917525776</v>
      </c>
      <c r="Y299" s="132"/>
      <c r="Z299" s="219">
        <f>(X299/X292-1)*100</f>
        <v>5.3587189940540014</v>
      </c>
      <c r="AA299" s="230"/>
      <c r="AB299" s="132"/>
      <c r="AC299" s="236">
        <f>Stores!AH136</f>
        <v>0.28100000000000003</v>
      </c>
      <c r="AD299" s="238"/>
      <c r="AE299" s="254">
        <f>AVERAGE(AC298:AC299)</f>
        <v>0.28000000000000003</v>
      </c>
      <c r="AF299" s="132"/>
      <c r="AG299" s="145">
        <f>(AE299/AE292-1)*100</f>
        <v>9.4819159335288496</v>
      </c>
      <c r="AH299" s="230"/>
      <c r="AI299" s="259"/>
      <c r="AJ299" s="138"/>
      <c r="AK299" s="132"/>
      <c r="AL299" s="142">
        <f>+V299</f>
        <v>202.10400000000001</v>
      </c>
      <c r="AM299" s="132"/>
      <c r="AN299" s="244">
        <f>AL299/AE299</f>
        <v>721.8</v>
      </c>
      <c r="AO299" s="132"/>
      <c r="AP299" s="925">
        <f>(AN299/AN292-1)*100</f>
        <v>2.0184528151734105</v>
      </c>
      <c r="AQ299" s="230"/>
      <c r="AR299" s="230"/>
      <c r="AS299" s="132"/>
      <c r="AT299" s="132"/>
      <c r="AU299" s="132"/>
      <c r="AV299" s="132"/>
      <c r="AW299" s="132"/>
      <c r="AX299" s="132"/>
      <c r="AY299" s="132"/>
      <c r="AZ299" s="132"/>
      <c r="BA299" s="132"/>
      <c r="BB299" s="132"/>
      <c r="BC299" s="132"/>
      <c r="BD299" s="132"/>
      <c r="BE299" s="132"/>
      <c r="BF299" s="132"/>
      <c r="BG299" s="132"/>
      <c r="BH299" s="132"/>
      <c r="BI299" s="132"/>
      <c r="BJ299" s="132"/>
      <c r="BK299" s="132"/>
      <c r="BL299" s="132"/>
      <c r="BM299" s="132"/>
      <c r="BN299" s="132"/>
      <c r="BO299" s="1592"/>
      <c r="BP299" s="1492"/>
    </row>
    <row r="300" spans="1:68" hidden="1" outlineLevel="1">
      <c r="A300" s="132" t="str">
        <f>$A$42</f>
        <v>3Q</v>
      </c>
      <c r="B300" s="174" t="str">
        <f>$B$42</f>
        <v>Oct</v>
      </c>
      <c r="C300" s="132"/>
      <c r="D300" s="145">
        <f>(V300/V293-1)*100</f>
        <v>7.0400469476188166</v>
      </c>
      <c r="E300" s="132"/>
      <c r="F300" s="297"/>
      <c r="G300" s="132"/>
      <c r="H300" s="2091">
        <f>+'segSales&amp;comps'!S121</f>
        <v>1</v>
      </c>
      <c r="I300" s="132"/>
      <c r="J300" s="145">
        <f>D300-H300</f>
        <v>6.0400469476188166</v>
      </c>
      <c r="K300" s="132"/>
      <c r="L300" s="725">
        <f>Stores!AX137</f>
        <v>100</v>
      </c>
      <c r="M300" s="238"/>
      <c r="N300" s="177">
        <f>AVERAGE(L300,L299)</f>
        <v>99</v>
      </c>
      <c r="O300" s="132"/>
      <c r="P300" s="145">
        <f>(N300/N293-1)*100</f>
        <v>6.4516129032258007</v>
      </c>
      <c r="Q300" s="230"/>
      <c r="R300" s="259">
        <f>J300/P300*100</f>
        <v>93.620727688091748</v>
      </c>
      <c r="S300" s="138"/>
      <c r="T300" s="132"/>
      <c r="U300" s="132"/>
      <c r="V300" s="315">
        <f>'segSales&amp;comps'!Q121</f>
        <v>204.28700000000001</v>
      </c>
      <c r="W300" s="132"/>
      <c r="X300" s="147">
        <f>V300/N300</f>
        <v>2.0635050505050505</v>
      </c>
      <c r="Y300" s="132"/>
      <c r="Z300" s="219">
        <f>(X300/X293-1)*100</f>
        <v>0.55277137503586538</v>
      </c>
      <c r="AA300" s="230"/>
      <c r="AB300" s="132"/>
      <c r="AC300" s="236">
        <f>Stores!AH137</f>
        <v>0.28300000000000003</v>
      </c>
      <c r="AD300" s="238"/>
      <c r="AE300" s="254">
        <f>AVERAGE(AC299:AC300)</f>
        <v>0.28200000000000003</v>
      </c>
      <c r="AF300" s="132"/>
      <c r="AG300" s="145">
        <f>(AE300/AE293-1)*100</f>
        <v>7.020872865275174</v>
      </c>
      <c r="AH300" s="230"/>
      <c r="AI300" s="259"/>
      <c r="AJ300" s="138"/>
      <c r="AK300" s="132"/>
      <c r="AL300" s="142">
        <f>+V300</f>
        <v>204.28700000000001</v>
      </c>
      <c r="AM300" s="132"/>
      <c r="AN300" s="244">
        <f>AL300/AE300</f>
        <v>724.42198581560274</v>
      </c>
      <c r="AO300" s="132"/>
      <c r="AP300" s="925">
        <f>(AN300/AN293-1)*100</f>
        <v>1.791620814735051E-2</v>
      </c>
      <c r="AQ300" s="230"/>
      <c r="AR300" s="230"/>
      <c r="AS300" s="132"/>
      <c r="AT300" s="132"/>
      <c r="AU300" s="132"/>
      <c r="AV300" s="132"/>
      <c r="AW300" s="132"/>
      <c r="AX300" s="132"/>
      <c r="AY300" s="132"/>
      <c r="AZ300" s="132"/>
      <c r="BA300" s="132"/>
      <c r="BB300" s="132"/>
      <c r="BC300" s="132"/>
      <c r="BD300" s="132"/>
      <c r="BE300" s="132"/>
      <c r="BF300" s="132"/>
      <c r="BG300" s="132"/>
      <c r="BH300" s="132"/>
      <c r="BI300" s="132"/>
      <c r="BJ300" s="132"/>
      <c r="BK300" s="132"/>
      <c r="BL300" s="132"/>
      <c r="BM300" s="132"/>
      <c r="BN300" s="132"/>
      <c r="BO300" s="1592"/>
      <c r="BP300" s="1492"/>
    </row>
    <row r="301" spans="1:68" hidden="1" outlineLevel="1">
      <c r="A301" s="132" t="str">
        <f>$A$43</f>
        <v>4Q</v>
      </c>
      <c r="B301" s="174" t="str">
        <f>$B$43</f>
        <v>Jan</v>
      </c>
      <c r="C301" s="132"/>
      <c r="D301" s="176">
        <f>(V301/V294-1)*100</f>
        <v>1.0477678423029824</v>
      </c>
      <c r="E301" s="132"/>
      <c r="F301" s="298"/>
      <c r="G301" s="132"/>
      <c r="H301" s="2095">
        <f>+'segSales&amp;comps'!S122</f>
        <v>7</v>
      </c>
      <c r="I301" s="132"/>
      <c r="J301" s="176">
        <f>D301-H301</f>
        <v>-5.9522321576970176</v>
      </c>
      <c r="K301" s="132"/>
      <c r="L301" s="917">
        <f>Stores!AX138</f>
        <v>95</v>
      </c>
      <c r="M301" s="139"/>
      <c r="N301" s="178">
        <f>AVERAGE(L301,L300)</f>
        <v>97.5</v>
      </c>
      <c r="O301" s="132"/>
      <c r="P301" s="176">
        <f>(N301/N294-1)*100</f>
        <v>2.6315789473684292</v>
      </c>
      <c r="Q301" s="230"/>
      <c r="R301" s="178">
        <f>J301/P301*100</f>
        <v>-226.18482199248598</v>
      </c>
      <c r="S301" s="138"/>
      <c r="T301" s="132"/>
      <c r="U301" s="132"/>
      <c r="V301" s="316">
        <f>'segSales&amp;comps'!Q122</f>
        <v>303.98200000000003</v>
      </c>
      <c r="W301" s="132"/>
      <c r="X301" s="148">
        <f>V301/N301</f>
        <v>3.1177641025641027</v>
      </c>
      <c r="Y301" s="132"/>
      <c r="Z301" s="218">
        <f>(X301/X294-1)*100</f>
        <v>-1.54320056390993</v>
      </c>
      <c r="AA301" s="230"/>
      <c r="AB301" s="132"/>
      <c r="AC301" s="236">
        <f>Stores!AH138</f>
        <v>0.27800000000000002</v>
      </c>
      <c r="AD301" s="139"/>
      <c r="AE301" s="255">
        <f>AVERAGE(AC300:AC301)</f>
        <v>0.28050000000000003</v>
      </c>
      <c r="AF301" s="132"/>
      <c r="AG301" s="145">
        <f>(AE301/AE294-1)*100</f>
        <v>2.4345709068776644</v>
      </c>
      <c r="AH301" s="230"/>
      <c r="AI301" s="259"/>
      <c r="AJ301" s="138"/>
      <c r="AK301" s="132"/>
      <c r="AL301" s="146">
        <f>+V301</f>
        <v>303.98200000000003</v>
      </c>
      <c r="AM301" s="132"/>
      <c r="AN301" s="924">
        <f>AL301/AE301</f>
        <v>1083.7147950089127</v>
      </c>
      <c r="AO301" s="132"/>
      <c r="AP301" s="925">
        <f>(AN301/AN294-1)*100</f>
        <v>-1.3538428016020121</v>
      </c>
      <c r="AQ301" s="230"/>
      <c r="AR301" s="230"/>
      <c r="AS301" s="132"/>
      <c r="AT301" s="132"/>
      <c r="AU301" s="132"/>
      <c r="AV301" s="132"/>
      <c r="AW301" s="132"/>
      <c r="AX301" s="132"/>
      <c r="AY301" s="132"/>
      <c r="AZ301" s="132"/>
      <c r="BA301" s="132"/>
      <c r="BB301" s="132"/>
      <c r="BC301" s="132"/>
      <c r="BD301" s="132"/>
      <c r="BE301" s="132"/>
      <c r="BF301" s="132"/>
      <c r="BG301" s="132"/>
      <c r="BH301" s="132"/>
      <c r="BI301" s="132"/>
      <c r="BJ301" s="132"/>
      <c r="BK301" s="132"/>
      <c r="BL301" s="132"/>
      <c r="BM301" s="132"/>
      <c r="BN301" s="132"/>
      <c r="BO301" s="1592"/>
      <c r="BP301" s="1492"/>
    </row>
    <row r="302" spans="1:68" hidden="1" outlineLevel="1">
      <c r="A302" s="132"/>
      <c r="B302" s="174" t="str">
        <f>$B$44</f>
        <v>Year</v>
      </c>
      <c r="C302" s="132"/>
      <c r="D302" s="145">
        <f>(V302/V295-1)*100</f>
        <v>5.0537697116730618</v>
      </c>
      <c r="E302" s="132"/>
      <c r="F302" s="297"/>
      <c r="G302" s="132"/>
      <c r="H302" s="2091">
        <f>+'segSales&amp;comps'!S123</f>
        <v>2</v>
      </c>
      <c r="I302" s="132"/>
      <c r="J302" s="145">
        <f>D302-H302</f>
        <v>3.0537697116730618</v>
      </c>
      <c r="K302" s="132"/>
      <c r="L302" s="923">
        <f>Stores!AX139</f>
        <v>95</v>
      </c>
      <c r="M302" s="132"/>
      <c r="N302" s="177">
        <f>AVERAGE(N298:N301)</f>
        <v>97.375</v>
      </c>
      <c r="O302" s="132"/>
      <c r="P302" s="145">
        <f>(N302/N295-1)*100</f>
        <v>5.270270270270272</v>
      </c>
      <c r="Q302" s="230"/>
      <c r="R302" s="259">
        <f>J302/P302*100</f>
        <v>57.943322734309355</v>
      </c>
      <c r="S302" s="138"/>
      <c r="T302" s="132"/>
      <c r="U302" s="132"/>
      <c r="V302" s="296">
        <f>SUM(V298:V301)</f>
        <v>900.68900000000008</v>
      </c>
      <c r="W302" s="132"/>
      <c r="X302" s="143">
        <f>SUM(X298:X301)</f>
        <v>9.2472738781550632</v>
      </c>
      <c r="Y302" s="132"/>
      <c r="Z302" s="219">
        <f>(X302/X295-1)*100</f>
        <v>0.10479698433958351</v>
      </c>
      <c r="AA302" s="230"/>
      <c r="AB302" s="132"/>
      <c r="AC302" s="236"/>
      <c r="AD302" s="132"/>
      <c r="AE302" s="254">
        <f>AVERAGE(AE298:AE301)</f>
        <v>0.28037500000000004</v>
      </c>
      <c r="AF302" s="132"/>
      <c r="AG302" s="145">
        <f>(AE302/AE295-1)*100</f>
        <v>7.4576812519961733</v>
      </c>
      <c r="AH302" s="230"/>
      <c r="AI302" s="259"/>
      <c r="AJ302" s="138"/>
      <c r="AK302" s="132"/>
      <c r="AL302" s="141">
        <f>SUM(AL298:AL301)</f>
        <v>900.68900000000008</v>
      </c>
      <c r="AM302" s="132"/>
      <c r="AN302" s="244">
        <f>AL302/AE302</f>
        <v>3212.4440481497991</v>
      </c>
      <c r="AO302" s="132"/>
      <c r="AP302" s="925">
        <f>(AN302/AN295-1)*100</f>
        <v>-2.2370774358007606</v>
      </c>
      <c r="AQ302" s="230"/>
      <c r="AR302" s="230"/>
      <c r="AS302" s="132"/>
      <c r="AT302" s="132"/>
      <c r="AU302" s="132"/>
      <c r="AV302" s="132"/>
      <c r="AW302" s="132"/>
      <c r="AX302" s="132"/>
      <c r="AY302" s="132"/>
      <c r="AZ302" s="132"/>
      <c r="BA302" s="132"/>
      <c r="BB302" s="132"/>
      <c r="BC302" s="132"/>
      <c r="BD302" s="132"/>
      <c r="BE302" s="132"/>
      <c r="BF302" s="132"/>
      <c r="BG302" s="132"/>
      <c r="BH302" s="132"/>
      <c r="BI302" s="132"/>
      <c r="BJ302" s="132"/>
      <c r="BK302" s="132"/>
      <c r="BL302" s="132"/>
      <c r="BM302" s="132"/>
      <c r="BN302" s="132"/>
      <c r="BO302" s="587"/>
      <c r="BP302" s="587"/>
    </row>
    <row r="303" spans="1:68" hidden="1" outlineLevel="1">
      <c r="A303" s="132"/>
      <c r="B303" s="174"/>
      <c r="C303" s="132"/>
      <c r="D303" s="256"/>
      <c r="E303" s="256"/>
      <c r="F303" s="297"/>
      <c r="G303" s="256"/>
      <c r="H303" s="2091"/>
      <c r="I303" s="256"/>
      <c r="J303" s="132"/>
      <c r="K303" s="132"/>
      <c r="L303" s="132"/>
      <c r="M303" s="132"/>
      <c r="N303" s="132"/>
      <c r="O303" s="132"/>
      <c r="P303" s="132"/>
      <c r="Q303" s="230"/>
      <c r="R303" s="132"/>
      <c r="S303" s="132"/>
      <c r="T303" s="132"/>
      <c r="U303" s="132"/>
      <c r="V303" s="132"/>
      <c r="W303" s="132"/>
      <c r="X303" s="132"/>
      <c r="Y303" s="132"/>
      <c r="Z303" s="132"/>
      <c r="AA303" s="132"/>
      <c r="AB303" s="132"/>
      <c r="AC303" s="132"/>
      <c r="AD303" s="132"/>
      <c r="AE303" s="132"/>
      <c r="AF303" s="132"/>
      <c r="AG303" s="132"/>
      <c r="AH303" s="230"/>
      <c r="AI303" s="132"/>
      <c r="AJ303" s="132"/>
      <c r="AK303" s="132"/>
      <c r="AL303" s="132"/>
      <c r="AM303" s="132"/>
      <c r="AN303" s="132"/>
      <c r="AO303" s="132"/>
      <c r="AP303" s="925"/>
      <c r="AQ303" s="132"/>
      <c r="AR303" s="132"/>
      <c r="AS303" s="132"/>
      <c r="AT303" s="132"/>
      <c r="AU303" s="132"/>
      <c r="AV303" s="132"/>
      <c r="AW303" s="132"/>
      <c r="AX303" s="132"/>
      <c r="AY303" s="132"/>
      <c r="AZ303" s="132"/>
      <c r="BA303" s="132"/>
      <c r="BB303" s="132"/>
      <c r="BC303" s="132"/>
      <c r="BD303" s="132"/>
      <c r="BE303" s="132"/>
      <c r="BF303" s="132"/>
      <c r="BG303" s="132"/>
      <c r="BH303" s="132"/>
      <c r="BI303" s="132"/>
      <c r="BJ303" s="132"/>
      <c r="BK303" s="132"/>
      <c r="BL303" s="132"/>
      <c r="BM303" s="132"/>
      <c r="BN303" s="132"/>
      <c r="BO303" s="587"/>
      <c r="BP303" s="587"/>
    </row>
    <row r="304" spans="1:68" hidden="1" outlineLevel="1">
      <c r="A304" s="810"/>
      <c r="B304" s="171">
        <f>+B297+1</f>
        <v>2006</v>
      </c>
      <c r="C304" s="256"/>
      <c r="D304" s="256"/>
      <c r="E304" s="643"/>
      <c r="F304" s="297"/>
      <c r="G304" s="643"/>
      <c r="H304" s="2091"/>
      <c r="I304" s="643"/>
      <c r="J304" s="256"/>
      <c r="K304" s="643"/>
      <c r="L304" s="256"/>
      <c r="M304" s="256"/>
      <c r="N304" s="256"/>
      <c r="O304" s="256"/>
      <c r="P304" s="256"/>
      <c r="Q304" s="643"/>
      <c r="R304" s="587"/>
      <c r="S304" s="587"/>
      <c r="T304" s="256"/>
      <c r="U304" s="256"/>
      <c r="V304" s="256"/>
      <c r="W304" s="256"/>
      <c r="X304" s="256"/>
      <c r="Y304" s="256"/>
      <c r="Z304" s="256"/>
      <c r="AA304" s="643"/>
      <c r="AB304" s="256"/>
      <c r="AC304" s="256"/>
      <c r="AD304" s="256"/>
      <c r="AE304" s="256"/>
      <c r="AF304" s="256"/>
      <c r="AG304" s="256"/>
      <c r="AH304" s="643"/>
      <c r="AI304" s="587"/>
      <c r="AJ304" s="587"/>
      <c r="AK304" s="256"/>
      <c r="AL304" s="256"/>
      <c r="AM304" s="256"/>
      <c r="AN304" s="256"/>
      <c r="AO304" s="256"/>
      <c r="AP304" s="320"/>
      <c r="AQ304" s="643"/>
      <c r="AR304" s="643"/>
      <c r="AS304" s="256"/>
      <c r="AT304" s="256"/>
      <c r="AU304" s="256"/>
      <c r="AV304" s="256"/>
      <c r="AW304" s="256"/>
      <c r="AX304" s="256"/>
      <c r="AY304" s="256"/>
      <c r="AZ304" s="256"/>
      <c r="BA304" s="256"/>
      <c r="BB304" s="256"/>
      <c r="BC304" s="256"/>
      <c r="BD304" s="256"/>
      <c r="BE304" s="256"/>
      <c r="BF304" s="256"/>
      <c r="BG304" s="256"/>
      <c r="BH304" s="256"/>
      <c r="BI304" s="256"/>
      <c r="BJ304" s="256"/>
      <c r="BK304" s="256"/>
      <c r="BL304" s="256"/>
      <c r="BM304" s="256"/>
      <c r="BN304" s="256"/>
      <c r="BO304" s="587"/>
      <c r="BP304" s="587"/>
    </row>
    <row r="305" spans="1:73" hidden="1" outlineLevel="1">
      <c r="A305" s="256" t="str">
        <f>$A$40</f>
        <v>1Q</v>
      </c>
      <c r="B305" s="302" t="str">
        <f>$B$40</f>
        <v>Apr</v>
      </c>
      <c r="C305" s="256"/>
      <c r="D305" s="288">
        <f>(V305/V298-1)*100</f>
        <v>13.056180247588212</v>
      </c>
      <c r="E305" s="643" t="s">
        <v>1970</v>
      </c>
      <c r="F305" s="297"/>
      <c r="G305" s="643"/>
      <c r="H305" s="2091">
        <f>+'segSales&amp;comps'!S126</f>
        <v>16</v>
      </c>
      <c r="I305" s="643" t="s">
        <v>1970</v>
      </c>
      <c r="J305" s="145">
        <f>D305-H305</f>
        <v>-2.9438197524117875</v>
      </c>
      <c r="K305" s="643" t="s">
        <v>1970</v>
      </c>
      <c r="L305" s="725">
        <f>Stores!AX142</f>
        <v>97</v>
      </c>
      <c r="M305" s="256"/>
      <c r="N305" s="177">
        <f>AVERAGE(L305,L301)</f>
        <v>96</v>
      </c>
      <c r="O305" s="256"/>
      <c r="P305" s="145">
        <f>(N305/N298-1)*100</f>
        <v>0</v>
      </c>
      <c r="Q305" s="643" t="s">
        <v>1970</v>
      </c>
      <c r="R305" s="952" t="s">
        <v>814</v>
      </c>
      <c r="S305" s="587" t="s">
        <v>1970</v>
      </c>
      <c r="T305" s="256"/>
      <c r="U305" s="256"/>
      <c r="V305" s="296">
        <f>'segSales&amp;comps'!Q126</f>
        <v>215.16399999999999</v>
      </c>
      <c r="W305" s="238"/>
      <c r="X305" s="143">
        <f>V305/N305</f>
        <v>2.2412916666666667</v>
      </c>
      <c r="Y305" s="256"/>
      <c r="Z305" s="219">
        <f>(X305/X298-1)*100</f>
        <v>13.056180247588212</v>
      </c>
      <c r="AA305" s="643" t="s">
        <v>1970</v>
      </c>
      <c r="AB305" s="256"/>
      <c r="AC305" s="1017">
        <f>Stores!AH142</f>
        <v>0.28500000000000003</v>
      </c>
      <c r="AD305" s="256" t="s">
        <v>505</v>
      </c>
      <c r="AE305" s="254">
        <f>AVERAGE(AC305,AC301)</f>
        <v>0.28150000000000003</v>
      </c>
      <c r="AF305" s="256"/>
      <c r="AG305" s="145">
        <f>(AE305/AE298-1)*100</f>
        <v>0.8960573476702427</v>
      </c>
      <c r="AH305" s="643" t="s">
        <v>1970</v>
      </c>
      <c r="AI305" s="259"/>
      <c r="AJ305" s="587" t="s">
        <v>1970</v>
      </c>
      <c r="AK305" s="256"/>
      <c r="AL305" s="141">
        <f>+V305</f>
        <v>215.16399999999999</v>
      </c>
      <c r="AM305" s="256" t="s">
        <v>505</v>
      </c>
      <c r="AN305" s="244">
        <f>AL305/AE305</f>
        <v>764.34813499111885</v>
      </c>
      <c r="AO305" s="256"/>
      <c r="AP305" s="925">
        <f>(AN305/AN298-1)*100</f>
        <v>12.052128913240189</v>
      </c>
      <c r="AQ305" s="643" t="s">
        <v>1970</v>
      </c>
      <c r="AR305" s="643"/>
      <c r="AS305" s="256"/>
      <c r="AT305" s="256"/>
      <c r="AU305" s="256"/>
      <c r="AV305" s="256"/>
      <c r="AW305" s="256"/>
      <c r="AX305" s="256"/>
      <c r="AY305" s="256"/>
      <c r="AZ305" s="256"/>
      <c r="BA305" s="256"/>
      <c r="BB305" s="256"/>
      <c r="BC305" s="256"/>
      <c r="BD305" s="256"/>
      <c r="BE305" s="256"/>
      <c r="BF305" s="256"/>
      <c r="BG305" s="256"/>
      <c r="BH305" s="256"/>
      <c r="BI305" s="256"/>
      <c r="BJ305" s="256"/>
      <c r="BK305" s="256"/>
      <c r="BL305" s="256"/>
      <c r="BM305" s="256"/>
      <c r="BN305" s="256"/>
      <c r="BO305" s="1592"/>
      <c r="BP305" s="1492"/>
    </row>
    <row r="306" spans="1:73" hidden="1" outlineLevel="1">
      <c r="A306" s="256" t="str">
        <f>$A$41</f>
        <v>2Q</v>
      </c>
      <c r="B306" s="302" t="str">
        <f>$B$41</f>
        <v>Jul</v>
      </c>
      <c r="C306" s="256"/>
      <c r="D306" s="288">
        <f>(V306/V299-1)*100</f>
        <v>10.414934885009686</v>
      </c>
      <c r="E306" s="256"/>
      <c r="F306" s="297"/>
      <c r="G306" s="256"/>
      <c r="H306" s="2091">
        <f>+'segSales&amp;comps'!S127</f>
        <v>10</v>
      </c>
      <c r="I306" s="256"/>
      <c r="J306" s="145">
        <f>D306-H306</f>
        <v>0.41493488500968567</v>
      </c>
      <c r="K306" s="256"/>
      <c r="L306" s="725">
        <f>Stores!AX143</f>
        <v>97</v>
      </c>
      <c r="M306" s="256"/>
      <c r="N306" s="177">
        <f>AVERAGE(L306,L305)</f>
        <v>97</v>
      </c>
      <c r="O306" s="256"/>
      <c r="P306" s="145">
        <f>(N306/N299-1)*100</f>
        <v>0</v>
      </c>
      <c r="Q306" s="643"/>
      <c r="R306" s="952" t="s">
        <v>814</v>
      </c>
      <c r="S306" s="587"/>
      <c r="T306" s="256"/>
      <c r="U306" s="256"/>
      <c r="V306" s="315">
        <f>'segSales&amp;comps'!Q127</f>
        <v>223.15299999999999</v>
      </c>
      <c r="W306" s="238"/>
      <c r="X306" s="147">
        <f>V306/N306</f>
        <v>2.3005463917525772</v>
      </c>
      <c r="Y306" s="256"/>
      <c r="Z306" s="219">
        <f>(X306/X299-1)*100</f>
        <v>10.414934885009686</v>
      </c>
      <c r="AA306" s="643"/>
      <c r="AB306" s="256"/>
      <c r="AC306" s="1017">
        <f>Stores!AH143</f>
        <v>0.28500000000000003</v>
      </c>
      <c r="AD306" s="238"/>
      <c r="AE306" s="254">
        <f>AVERAGE(AC305:AC306)</f>
        <v>0.28500000000000003</v>
      </c>
      <c r="AF306" s="256"/>
      <c r="AG306" s="145">
        <f>(AE306/AE299-1)*100</f>
        <v>1.7857142857142794</v>
      </c>
      <c r="AH306" s="643"/>
      <c r="AI306" s="259"/>
      <c r="AJ306" s="587"/>
      <c r="AK306" s="256"/>
      <c r="AL306" s="142">
        <f>+V306</f>
        <v>223.15299999999999</v>
      </c>
      <c r="AM306" s="256"/>
      <c r="AN306" s="244">
        <f>AL306/AE306</f>
        <v>782.99298245614023</v>
      </c>
      <c r="AO306" s="256"/>
      <c r="AP306" s="925">
        <f>(AN306/AN299-1)*100</f>
        <v>8.477830764220041</v>
      </c>
      <c r="AQ306" s="643"/>
      <c r="AR306" s="643"/>
      <c r="AS306" s="256"/>
      <c r="AT306" s="256"/>
      <c r="AU306" s="256"/>
      <c r="AV306" s="256"/>
      <c r="AW306" s="256"/>
      <c r="AX306" s="256"/>
      <c r="AY306" s="256"/>
      <c r="AZ306" s="256"/>
      <c r="BA306" s="256"/>
      <c r="BB306" s="256"/>
      <c r="BC306" s="256"/>
      <c r="BD306" s="256"/>
      <c r="BE306" s="256"/>
      <c r="BF306" s="256"/>
      <c r="BG306" s="256"/>
      <c r="BH306" s="256"/>
      <c r="BI306" s="256"/>
      <c r="BJ306" s="256"/>
      <c r="BK306" s="256"/>
      <c r="BL306" s="256"/>
      <c r="BM306" s="256"/>
      <c r="BN306" s="256"/>
      <c r="BO306" s="1592"/>
      <c r="BP306" s="1492"/>
    </row>
    <row r="307" spans="1:73" hidden="1" outlineLevel="1">
      <c r="A307" s="256" t="str">
        <f>$A$42</f>
        <v>3Q</v>
      </c>
      <c r="B307" s="302" t="str">
        <f>$B$42</f>
        <v>Oct</v>
      </c>
      <c r="C307" s="256"/>
      <c r="D307" s="288">
        <f>(V307/V300-1)*100</f>
        <v>8.5144918668344172</v>
      </c>
      <c r="E307" s="256"/>
      <c r="F307" s="297"/>
      <c r="G307" s="256"/>
      <c r="H307" s="2091">
        <f>+'segSales&amp;comps'!S128</f>
        <v>4</v>
      </c>
      <c r="I307" s="256"/>
      <c r="J307" s="145">
        <f>D307-H307</f>
        <v>4.5144918668344172</v>
      </c>
      <c r="K307" s="256"/>
      <c r="L307" s="725">
        <f>Stores!AX144</f>
        <v>101</v>
      </c>
      <c r="M307" s="238"/>
      <c r="N307" s="177">
        <f>AVERAGE(L307,L306)</f>
        <v>99</v>
      </c>
      <c r="O307" s="256"/>
      <c r="P307" s="145">
        <f>(N307/N300-1)*100</f>
        <v>0</v>
      </c>
      <c r="Q307" s="643"/>
      <c r="R307" s="952" t="s">
        <v>814</v>
      </c>
      <c r="S307" s="587"/>
      <c r="T307" s="256"/>
      <c r="U307" s="256"/>
      <c r="V307" s="315">
        <f>'segSales&amp;comps'!Q128</f>
        <v>221.68100000000001</v>
      </c>
      <c r="W307" s="256"/>
      <c r="X307" s="147">
        <f>V307/N307</f>
        <v>2.2392020202020202</v>
      </c>
      <c r="Y307" s="256"/>
      <c r="Z307" s="219">
        <f>(X307/X300-1)*100</f>
        <v>8.5144918668343941</v>
      </c>
      <c r="AA307" s="643"/>
      <c r="AB307" s="256"/>
      <c r="AC307" s="1017">
        <f>Stores!AH144</f>
        <v>0.29900000000000004</v>
      </c>
      <c r="AD307" s="238"/>
      <c r="AE307" s="254">
        <f>AVERAGE(AC306:AC307)</f>
        <v>0.29200000000000004</v>
      </c>
      <c r="AF307" s="256"/>
      <c r="AG307" s="145">
        <f>(AE307/AE300-1)*100</f>
        <v>3.5460992907801359</v>
      </c>
      <c r="AH307" s="643"/>
      <c r="AI307" s="259"/>
      <c r="AJ307" s="587"/>
      <c r="AK307" s="256"/>
      <c r="AL307" s="142">
        <f>+V307</f>
        <v>221.68100000000001</v>
      </c>
      <c r="AM307" s="256"/>
      <c r="AN307" s="244">
        <f>AL307/AE307</f>
        <v>759.18150684931504</v>
      </c>
      <c r="AO307" s="256"/>
      <c r="AP307" s="925">
        <f>(AN307/AN300-1)*100</f>
        <v>4.7982421453674817</v>
      </c>
      <c r="AQ307" s="643"/>
      <c r="AR307" s="643"/>
      <c r="AS307" s="256"/>
      <c r="AT307" s="256"/>
      <c r="AU307" s="256"/>
      <c r="AV307" s="256"/>
      <c r="AW307" s="256"/>
      <c r="AX307" s="256"/>
      <c r="AY307" s="256"/>
      <c r="AZ307" s="256"/>
      <c r="BA307" s="256"/>
      <c r="BB307" s="256"/>
      <c r="BC307" s="256"/>
      <c r="BD307" s="256"/>
      <c r="BE307" s="256"/>
      <c r="BF307" s="256"/>
      <c r="BG307" s="256"/>
      <c r="BH307" s="256"/>
      <c r="BI307" s="256"/>
      <c r="BJ307" s="256"/>
      <c r="BK307" s="256"/>
      <c r="BL307" s="256"/>
      <c r="BM307" s="256"/>
      <c r="BN307" s="256"/>
      <c r="BO307" s="1592"/>
      <c r="BP307" s="1492"/>
    </row>
    <row r="308" spans="1:73" hidden="1" outlineLevel="1">
      <c r="A308" s="256" t="str">
        <f>$A$43</f>
        <v>4Q</v>
      </c>
      <c r="B308" s="302" t="str">
        <f>$B$43</f>
        <v>Jan</v>
      </c>
      <c r="C308" s="256"/>
      <c r="D308" s="318">
        <f>(V308/V301-1)*100</f>
        <v>15.345316499003236</v>
      </c>
      <c r="E308" s="256"/>
      <c r="F308" s="298"/>
      <c r="G308" s="256"/>
      <c r="H308" s="2095">
        <f>+'segSales&amp;comps'!S129</f>
        <v>6</v>
      </c>
      <c r="I308" s="256"/>
      <c r="J308" s="176">
        <f>D308-H308</f>
        <v>9.3453164990032356</v>
      </c>
      <c r="K308" s="256"/>
      <c r="L308" s="917">
        <f>Stores!AX145</f>
        <v>103</v>
      </c>
      <c r="M308" s="238"/>
      <c r="N308" s="178">
        <f>AVERAGE(L308,L307)</f>
        <v>102</v>
      </c>
      <c r="O308" s="256"/>
      <c r="P308" s="176">
        <f>(N308/N301-1)*100</f>
        <v>4.6153846153846212</v>
      </c>
      <c r="Q308" s="643"/>
      <c r="R308" s="178">
        <f>J308/P308*100</f>
        <v>202.48185747840319</v>
      </c>
      <c r="S308" s="587"/>
      <c r="T308" s="256"/>
      <c r="U308" s="256"/>
      <c r="V308" s="316">
        <f>'segSales&amp;comps'!Q129</f>
        <v>350.62900000000002</v>
      </c>
      <c r="W308" s="256"/>
      <c r="X308" s="148">
        <f>V308/N308</f>
        <v>3.4375392156862747</v>
      </c>
      <c r="Y308" s="256"/>
      <c r="Z308" s="218">
        <f>(X308/X301-1)*100</f>
        <v>10.256552535811903</v>
      </c>
      <c r="AA308" s="643"/>
      <c r="AB308" s="256"/>
      <c r="AC308" s="1017">
        <f>Stores!AH145</f>
        <v>0.30599999999999999</v>
      </c>
      <c r="AD308" s="238"/>
      <c r="AE308" s="255">
        <f>AVERAGE(AC307:AC308)</f>
        <v>0.30249999999999999</v>
      </c>
      <c r="AF308" s="256"/>
      <c r="AG308" s="145">
        <f>(AE308/AE301-1)*100</f>
        <v>7.8431372549019551</v>
      </c>
      <c r="AH308" s="643"/>
      <c r="AI308" s="259"/>
      <c r="AJ308" s="587"/>
      <c r="AK308" s="256"/>
      <c r="AL308" s="146">
        <f>+V308</f>
        <v>350.62900000000002</v>
      </c>
      <c r="AM308" s="256"/>
      <c r="AN308" s="924">
        <f>AL308/AE308</f>
        <v>1159.1041322314049</v>
      </c>
      <c r="AO308" s="256"/>
      <c r="AP308" s="925">
        <f>(AN308/AN301-1)*100</f>
        <v>6.9565662081666257</v>
      </c>
      <c r="AQ308" s="643"/>
      <c r="AR308" s="643"/>
      <c r="AS308" s="256"/>
      <c r="AT308" s="256"/>
      <c r="AU308" s="256"/>
      <c r="AV308" s="256"/>
      <c r="AW308" s="256"/>
      <c r="AX308" s="256"/>
      <c r="AY308" s="256"/>
      <c r="AZ308" s="256"/>
      <c r="BA308" s="256"/>
      <c r="BB308" s="256"/>
      <c r="BC308" s="256"/>
      <c r="BD308" s="256"/>
      <c r="BE308" s="256"/>
      <c r="BF308" s="256"/>
      <c r="BG308" s="256"/>
      <c r="BH308" s="256"/>
      <c r="BI308" s="256"/>
      <c r="BJ308" s="256"/>
      <c r="BK308" s="256"/>
      <c r="BL308" s="256"/>
      <c r="BM308" s="256"/>
      <c r="BN308" s="256"/>
      <c r="BO308" s="1592"/>
      <c r="BP308" s="1492"/>
    </row>
    <row r="309" spans="1:73" hidden="1" outlineLevel="1">
      <c r="A309" s="256"/>
      <c r="B309" s="302" t="str">
        <f>$B$44</f>
        <v>Year</v>
      </c>
      <c r="C309" s="256"/>
      <c r="D309" s="288">
        <f>(V309/V302-1)*100</f>
        <v>12.205988970665782</v>
      </c>
      <c r="E309" s="256"/>
      <c r="F309" s="297"/>
      <c r="G309" s="256"/>
      <c r="H309" s="2091">
        <f>+'segSales&amp;comps'!S130</f>
        <v>8</v>
      </c>
      <c r="I309" s="256"/>
      <c r="J309" s="288">
        <f>D309-H309</f>
        <v>4.205988970665782</v>
      </c>
      <c r="K309" s="256"/>
      <c r="L309" s="951">
        <f>Stores!AX146</f>
        <v>103</v>
      </c>
      <c r="M309" s="256"/>
      <c r="N309" s="811">
        <f>AVERAGE(N305:N308)</f>
        <v>98.5</v>
      </c>
      <c r="O309" s="256"/>
      <c r="P309" s="288">
        <f>(N309/N302-1)*100</f>
        <v>1.1553273427471034</v>
      </c>
      <c r="Q309" s="643"/>
      <c r="R309" s="812">
        <f>J309/P309*100</f>
        <v>364.05171201651865</v>
      </c>
      <c r="S309" s="587"/>
      <c r="T309" s="256"/>
      <c r="U309" s="256"/>
      <c r="V309" s="296">
        <f>SUM(V305:V308)</f>
        <v>1010.6270000000001</v>
      </c>
      <c r="W309" s="256"/>
      <c r="X309" s="813">
        <f>SUM(X305:X308)</f>
        <v>10.218579294307538</v>
      </c>
      <c r="Y309" s="256"/>
      <c r="Z309" s="814">
        <f>(X309/X302-1)*100</f>
        <v>10.503694699115606</v>
      </c>
      <c r="AA309" s="643"/>
      <c r="AB309" s="256"/>
      <c r="AC309" s="1017"/>
      <c r="AD309" s="256"/>
      <c r="AE309" s="816">
        <f>AVERAGE(AE305:AE308)</f>
        <v>0.29025000000000001</v>
      </c>
      <c r="AF309" s="256"/>
      <c r="AG309" s="288">
        <f>(AE309/AE302-1)*100</f>
        <v>3.5220686580472504</v>
      </c>
      <c r="AH309" s="643"/>
      <c r="AI309" s="812"/>
      <c r="AJ309" s="587"/>
      <c r="AK309" s="256"/>
      <c r="AL309" s="296">
        <f>SUM(AL305:AL308)</f>
        <v>1010.6270000000001</v>
      </c>
      <c r="AM309" s="256"/>
      <c r="AN309" s="817">
        <f>AL309/AE309</f>
        <v>3481.9190353143845</v>
      </c>
      <c r="AO309" s="256"/>
      <c r="AP309" s="320">
        <f>(AN309/AN302-1)*100</f>
        <v>8.3884725500445345</v>
      </c>
      <c r="AQ309" s="643"/>
      <c r="AR309" s="643"/>
      <c r="AS309" s="256"/>
      <c r="AT309" s="256"/>
      <c r="AU309" s="256"/>
      <c r="AV309" s="256"/>
      <c r="AW309" s="256"/>
      <c r="AX309" s="256"/>
      <c r="AY309" s="256"/>
      <c r="AZ309" s="256"/>
      <c r="BA309" s="256"/>
      <c r="BB309" s="256"/>
      <c r="BC309" s="256"/>
      <c r="BD309" s="256"/>
      <c r="BE309" s="256"/>
      <c r="BF309" s="256"/>
      <c r="BG309" s="256"/>
      <c r="BH309" s="256"/>
      <c r="BI309" s="256"/>
      <c r="BJ309" s="256"/>
      <c r="BK309" s="256"/>
      <c r="BL309" s="256"/>
      <c r="BM309" s="256"/>
      <c r="BN309" s="256"/>
      <c r="BO309" s="587"/>
      <c r="BP309" s="587"/>
      <c r="BQ309" s="621"/>
      <c r="BR309" s="621"/>
      <c r="BS309" s="621"/>
      <c r="BT309" s="621"/>
      <c r="BU309" s="621"/>
    </row>
    <row r="310" spans="1:73" hidden="1" outlineLevel="1">
      <c r="A310" s="2262"/>
      <c r="B310" s="2293"/>
      <c r="C310" s="2262"/>
      <c r="D310" s="2262"/>
      <c r="E310" s="2262"/>
      <c r="F310" s="2294"/>
      <c r="G310" s="2262"/>
      <c r="H310" s="2295"/>
      <c r="I310" s="2262"/>
      <c r="J310" s="2262"/>
      <c r="K310" s="2262"/>
      <c r="L310" s="2262"/>
      <c r="M310" s="2262"/>
      <c r="N310" s="2262"/>
      <c r="O310" s="2262"/>
      <c r="P310" s="2262"/>
      <c r="Q310" s="2296"/>
      <c r="R310" s="2262"/>
      <c r="S310" s="2262"/>
      <c r="T310" s="2262"/>
      <c r="U310" s="2262"/>
      <c r="V310" s="2262"/>
      <c r="W310" s="2262"/>
      <c r="X310" s="2262"/>
      <c r="Y310" s="2262"/>
      <c r="Z310" s="2262"/>
      <c r="AA310" s="2262"/>
      <c r="AB310" s="2262"/>
      <c r="AC310" s="2262"/>
      <c r="AD310" s="2297">
        <f>SeqQtrSales!AC507</f>
        <v>0.18490000000000009</v>
      </c>
      <c r="AE310" s="2262"/>
      <c r="AF310" s="2262"/>
      <c r="AG310" s="2262"/>
      <c r="AH310" s="2296"/>
      <c r="AI310" s="2262"/>
      <c r="AJ310" s="2298" t="str">
        <f>SeqQtrSales!AI507</f>
        <v>N/A</v>
      </c>
      <c r="AK310" s="2262"/>
      <c r="AL310" s="2262"/>
      <c r="AM310" s="2262"/>
      <c r="AN310" s="2262"/>
      <c r="AO310" s="2262"/>
      <c r="AP310" s="2299"/>
      <c r="AQ310" s="2262"/>
      <c r="AR310" s="2262"/>
      <c r="AS310" s="2262"/>
      <c r="AT310" s="2262"/>
      <c r="AU310" s="2262"/>
      <c r="AV310" s="2262"/>
      <c r="AW310" s="2262"/>
      <c r="AX310" s="2262"/>
      <c r="AY310" s="2262"/>
      <c r="AZ310" s="2262"/>
      <c r="BA310" s="2262"/>
      <c r="BB310" s="2262"/>
      <c r="BC310" s="2262"/>
      <c r="BD310" s="2262"/>
      <c r="BE310" s="2262"/>
      <c r="BF310" s="2262"/>
      <c r="BG310" s="2262"/>
      <c r="BH310" s="2262"/>
      <c r="BI310" s="2262"/>
      <c r="BJ310" s="2262"/>
      <c r="BK310" s="2262"/>
      <c r="BL310" s="2262"/>
      <c r="BM310" s="2262"/>
      <c r="BN310" s="2262"/>
      <c r="BO310" s="2300"/>
      <c r="BP310" s="2300"/>
      <c r="BQ310" s="2281"/>
      <c r="BR310" s="2281"/>
      <c r="BS310" s="2281"/>
      <c r="BT310" s="2281"/>
      <c r="BU310" s="2281"/>
    </row>
    <row r="311" spans="1:73" hidden="1" outlineLevel="1">
      <c r="A311" s="2301"/>
      <c r="B311" s="2302">
        <f>+B304+1</f>
        <v>2007</v>
      </c>
      <c r="C311" s="2262"/>
      <c r="D311" s="2262"/>
      <c r="E311" s="2296"/>
      <c r="F311" s="2294"/>
      <c r="G311" s="2296"/>
      <c r="H311" s="2295"/>
      <c r="I311" s="2296"/>
      <c r="J311" s="2262"/>
      <c r="K311" s="2296"/>
      <c r="L311" s="2262"/>
      <c r="M311" s="2262"/>
      <c r="N311" s="2262"/>
      <c r="O311" s="2262"/>
      <c r="P311" s="2262"/>
      <c r="Q311" s="2296"/>
      <c r="R311" s="2300"/>
      <c r="S311" s="2300"/>
      <c r="T311" s="2262"/>
      <c r="U311" s="2262"/>
      <c r="V311" s="2262"/>
      <c r="W311" s="2262"/>
      <c r="X311" s="2262"/>
      <c r="Y311" s="2262"/>
      <c r="Z311" s="2262"/>
      <c r="AA311" s="2296"/>
      <c r="AB311" s="2262"/>
      <c r="AC311" s="2262"/>
      <c r="AD311" s="2262">
        <f>SeqQtrSales!AC508</f>
        <v>0.1959000000000001</v>
      </c>
      <c r="AE311" s="2262"/>
      <c r="AF311" s="2262"/>
      <c r="AG311" s="2262"/>
      <c r="AH311" s="2296"/>
      <c r="AI311" s="2300"/>
      <c r="AJ311" s="2300" t="str">
        <f>SeqQtrSales!AI508</f>
        <v>N/A</v>
      </c>
      <c r="AK311" s="2262"/>
      <c r="AL311" s="2262"/>
      <c r="AM311" s="2262"/>
      <c r="AN311" s="2262"/>
      <c r="AO311" s="2262"/>
      <c r="AP311" s="2299"/>
      <c r="AQ311" s="2296"/>
      <c r="AR311" s="2296"/>
      <c r="AS311" s="2262"/>
      <c r="AT311" s="2262"/>
      <c r="AU311" s="2262"/>
      <c r="AV311" s="2262"/>
      <c r="AW311" s="2262"/>
      <c r="AX311" s="2262"/>
      <c r="AY311" s="2262"/>
      <c r="AZ311" s="2262"/>
      <c r="BA311" s="2262"/>
      <c r="BB311" s="2262"/>
      <c r="BC311" s="2262"/>
      <c r="BD311" s="2262"/>
      <c r="BE311" s="2262"/>
      <c r="BF311" s="2262"/>
      <c r="BG311" s="2262"/>
      <c r="BH311" s="2262"/>
      <c r="BI311" s="2262"/>
      <c r="BJ311" s="2262"/>
      <c r="BK311" s="2262"/>
      <c r="BL311" s="2262"/>
      <c r="BM311" s="2262"/>
      <c r="BN311" s="2262"/>
      <c r="BO311" s="2300"/>
      <c r="BP311" s="2300"/>
      <c r="BQ311" s="2281"/>
      <c r="BR311" s="2281"/>
      <c r="BS311" s="2281"/>
      <c r="BT311" s="2281"/>
      <c r="BU311" s="2281"/>
    </row>
    <row r="312" spans="1:73" hidden="1" outlineLevel="1">
      <c r="A312" s="2262" t="str">
        <f>$A$40</f>
        <v>1Q</v>
      </c>
      <c r="B312" s="2293" t="str">
        <f>$B$40</f>
        <v>Apr</v>
      </c>
      <c r="C312" s="2262"/>
      <c r="D312" s="2298">
        <f>(V312/V305-1)*100</f>
        <v>15.264170586157544</v>
      </c>
      <c r="E312" s="2296" t="s">
        <v>1970</v>
      </c>
      <c r="F312" s="2294"/>
      <c r="G312" s="2296"/>
      <c r="H312" s="2295">
        <f>+'segSales&amp;comps'!S133</f>
        <v>4</v>
      </c>
      <c r="I312" s="2296" t="s">
        <v>1970</v>
      </c>
      <c r="J312" s="2298">
        <f>D312-H312</f>
        <v>11.264170586157544</v>
      </c>
      <c r="K312" s="2296" t="s">
        <v>1970</v>
      </c>
      <c r="L312" s="2303">
        <f>Stores!AX149</f>
        <v>107</v>
      </c>
      <c r="M312" s="2262"/>
      <c r="N312" s="2304">
        <f>AVERAGE(L312,L308)</f>
        <v>105</v>
      </c>
      <c r="O312" s="2262"/>
      <c r="P312" s="2298">
        <f>(N312/N305-1)*100</f>
        <v>9.375</v>
      </c>
      <c r="Q312" s="2296" t="s">
        <v>1970</v>
      </c>
      <c r="R312" s="2305">
        <f>J312/P312*100</f>
        <v>120.1511529190138</v>
      </c>
      <c r="S312" s="2300" t="s">
        <v>1970</v>
      </c>
      <c r="T312" s="2262"/>
      <c r="U312" s="2262"/>
      <c r="V312" s="2306">
        <f>'segSales&amp;comps'!Q133</f>
        <v>248.00700000000001</v>
      </c>
      <c r="W312" s="2307"/>
      <c r="X312" s="2308">
        <f>V312/N312</f>
        <v>2.3619714285714286</v>
      </c>
      <c r="Y312" s="2262"/>
      <c r="Z312" s="2309">
        <f>(X312/X305-1)*100</f>
        <v>5.3843845359154541</v>
      </c>
      <c r="AA312" s="2296" t="s">
        <v>1970</v>
      </c>
      <c r="AB312" s="2262"/>
      <c r="AC312" s="2297">
        <f>Stores!AH149</f>
        <v>0.31464174757281554</v>
      </c>
      <c r="AD312" s="2262">
        <f>SeqQtrSales!AC509</f>
        <v>0.1959000000000001</v>
      </c>
      <c r="AE312" s="2310">
        <f>AVERAGE(AC312,AC308)</f>
        <v>0.31032087378640777</v>
      </c>
      <c r="AF312" s="2262"/>
      <c r="AG312" s="2298">
        <f>(AE312/AE305-1)*100</f>
        <v>10.238321060890843</v>
      </c>
      <c r="AH312" s="2296" t="s">
        <v>1970</v>
      </c>
      <c r="AI312" s="2305"/>
      <c r="AJ312" s="2300" t="str">
        <f>SeqQtrSales!AI509</f>
        <v>N/A</v>
      </c>
      <c r="AK312" s="2262"/>
      <c r="AL312" s="2306">
        <f>+V312</f>
        <v>248.00700000000001</v>
      </c>
      <c r="AM312" s="2262" t="s">
        <v>505</v>
      </c>
      <c r="AN312" s="2311">
        <f>AL312/AE312</f>
        <v>799.19535213316624</v>
      </c>
      <c r="AO312" s="2262"/>
      <c r="AP312" s="2299">
        <f>(AN312/AN305-1)*100</f>
        <v>4.5590766231741187</v>
      </c>
      <c r="AQ312" s="2296" t="s">
        <v>1970</v>
      </c>
      <c r="AR312" s="2296"/>
      <c r="AS312" s="2262"/>
      <c r="AT312" s="2262"/>
      <c r="AU312" s="2262"/>
      <c r="AV312" s="2262"/>
      <c r="AW312" s="2262"/>
      <c r="AX312" s="2262"/>
      <c r="AY312" s="2262"/>
      <c r="AZ312" s="2262"/>
      <c r="BA312" s="2262"/>
      <c r="BB312" s="2262"/>
      <c r="BC312" s="2262"/>
      <c r="BD312" s="2262"/>
      <c r="BE312" s="2262"/>
      <c r="BF312" s="2262"/>
      <c r="BG312" s="2262"/>
      <c r="BH312" s="2262"/>
      <c r="BI312" s="2262"/>
      <c r="BJ312" s="2262"/>
      <c r="BK312" s="2262"/>
      <c r="BL312" s="2262"/>
      <c r="BM312" s="2262"/>
      <c r="BN312" s="2262"/>
      <c r="BO312" s="2312"/>
      <c r="BP312" s="2313"/>
      <c r="BQ312" s="2281"/>
      <c r="BR312" s="2281"/>
      <c r="BS312" s="2281"/>
      <c r="BT312" s="2281"/>
      <c r="BU312" s="2281"/>
    </row>
    <row r="313" spans="1:73" hidden="1" outlineLevel="1">
      <c r="A313" s="2262" t="str">
        <f>$A$41</f>
        <v>2Q</v>
      </c>
      <c r="B313" s="2293" t="str">
        <f>$B$41</f>
        <v>Jul</v>
      </c>
      <c r="C313" s="2262"/>
      <c r="D313" s="2298">
        <f>(V313/V306-1)*100</f>
        <v>16.074173325028141</v>
      </c>
      <c r="E313" s="2262"/>
      <c r="F313" s="2294"/>
      <c r="G313" s="2262"/>
      <c r="H313" s="2295">
        <f>+'segSales&amp;comps'!S134</f>
        <v>7</v>
      </c>
      <c r="I313" s="2262"/>
      <c r="J313" s="2298">
        <f>D313-H313</f>
        <v>9.0741733250281413</v>
      </c>
      <c r="K313" s="2262"/>
      <c r="L313" s="2303">
        <f>Stores!AX150</f>
        <v>110</v>
      </c>
      <c r="M313" s="2262"/>
      <c r="N313" s="2304">
        <f>AVERAGE(L313,L312)</f>
        <v>108.5</v>
      </c>
      <c r="O313" s="2262"/>
      <c r="P313" s="2298">
        <f>(N313/N306-1)*100</f>
        <v>11.855670103092786</v>
      </c>
      <c r="Q313" s="2296"/>
      <c r="R313" s="2305">
        <f>J313/P313*100</f>
        <v>76.538679350237345</v>
      </c>
      <c r="S313" s="2300"/>
      <c r="T313" s="2262"/>
      <c r="U313" s="2262"/>
      <c r="V313" s="2314">
        <f>'segSales&amp;comps'!Q134</f>
        <v>259.02300000000002</v>
      </c>
      <c r="W313" s="2307"/>
      <c r="X313" s="2315">
        <f>V313/N313</f>
        <v>2.3873087557603689</v>
      </c>
      <c r="Y313" s="2262"/>
      <c r="Z313" s="2309">
        <f>(X313/X306-1)*100</f>
        <v>3.7713807606242433</v>
      </c>
      <c r="AA313" s="2296"/>
      <c r="AB313" s="2262"/>
      <c r="AC313" s="2297">
        <f>Stores!AH150</f>
        <v>0.31704174757281556</v>
      </c>
      <c r="AD313" s="2307">
        <f>SeqQtrSales!AC510</f>
        <v>0.1959000000000001</v>
      </c>
      <c r="AE313" s="2310">
        <f>AVERAGE(AC312:AC313)</f>
        <v>0.31584174757281558</v>
      </c>
      <c r="AF313" s="2262"/>
      <c r="AG313" s="2298">
        <f>(AE313/AE306-1)*100</f>
        <v>10.821665815022996</v>
      </c>
      <c r="AH313" s="2296"/>
      <c r="AI313" s="2305"/>
      <c r="AJ313" s="2300" t="str">
        <f>SeqQtrSales!AI510</f>
        <v>N/A</v>
      </c>
      <c r="AK313" s="2262"/>
      <c r="AL313" s="2314">
        <f>+V313</f>
        <v>259.02300000000002</v>
      </c>
      <c r="AM313" s="2262"/>
      <c r="AN313" s="2311">
        <f>AL313/AE313</f>
        <v>820.10374496260567</v>
      </c>
      <c r="AO313" s="2262"/>
      <c r="AP313" s="2299">
        <f>(AN313/AN306-1)*100</f>
        <v>4.7396034623521377</v>
      </c>
      <c r="AQ313" s="2296"/>
      <c r="AR313" s="2296"/>
      <c r="AS313" s="2262"/>
      <c r="AT313" s="2262"/>
      <c r="AU313" s="2262"/>
      <c r="AV313" s="2262"/>
      <c r="AW313" s="2262"/>
      <c r="AX313" s="2262"/>
      <c r="AY313" s="2262"/>
      <c r="AZ313" s="2262"/>
      <c r="BA313" s="2262"/>
      <c r="BB313" s="2262"/>
      <c r="BC313" s="2262"/>
      <c r="BD313" s="2262"/>
      <c r="BE313" s="2262"/>
      <c r="BF313" s="2262"/>
      <c r="BG313" s="2262"/>
      <c r="BH313" s="2262"/>
      <c r="BI313" s="2262"/>
      <c r="BJ313" s="2262"/>
      <c r="BK313" s="2262"/>
      <c r="BL313" s="2262"/>
      <c r="BM313" s="2262"/>
      <c r="BN313" s="2262"/>
      <c r="BO313" s="2312"/>
      <c r="BP313" s="2313"/>
      <c r="BQ313" s="2281"/>
      <c r="BR313" s="2281"/>
      <c r="BS313" s="2281"/>
      <c r="BT313" s="2281"/>
      <c r="BU313" s="2281"/>
    </row>
    <row r="314" spans="1:73" hidden="1" outlineLevel="1">
      <c r="A314" s="2262" t="str">
        <f>$A$42</f>
        <v>3Q</v>
      </c>
      <c r="B314" s="2293" t="str">
        <f>$B$42</f>
        <v>Oct</v>
      </c>
      <c r="C314" s="2262"/>
      <c r="D314" s="2298">
        <f>(V314/V307-1)*100</f>
        <v>22.177814066158131</v>
      </c>
      <c r="E314" s="2262"/>
      <c r="F314" s="2294"/>
      <c r="G314" s="2262"/>
      <c r="H314" s="2295">
        <f>+'segSales&amp;comps'!S135</f>
        <v>10</v>
      </c>
      <c r="I314" s="2262"/>
      <c r="J314" s="2298">
        <f>D314-H314</f>
        <v>12.177814066158131</v>
      </c>
      <c r="K314" s="2262"/>
      <c r="L314" s="2303">
        <f>Stores!AX151</f>
        <v>118</v>
      </c>
      <c r="M314" s="2307"/>
      <c r="N314" s="2304">
        <f>AVERAGE(L314,L313)</f>
        <v>114</v>
      </c>
      <c r="O314" s="2262"/>
      <c r="P314" s="2298">
        <f>(N314/N307-1)*100</f>
        <v>15.151515151515159</v>
      </c>
      <c r="Q314" s="2296"/>
      <c r="R314" s="2305">
        <f>J314/P314*100</f>
        <v>80.373572836643632</v>
      </c>
      <c r="S314" s="2300"/>
      <c r="T314" s="2262"/>
      <c r="U314" s="2262"/>
      <c r="V314" s="2314">
        <f>'segSales&amp;comps'!Q135</f>
        <v>270.84500000000003</v>
      </c>
      <c r="W314" s="2262"/>
      <c r="X314" s="2315">
        <f>V314/N314</f>
        <v>2.3758333333333335</v>
      </c>
      <c r="Y314" s="2262"/>
      <c r="Z314" s="2309">
        <f>(X314/X307-1)*100</f>
        <v>6.1017858995583873</v>
      </c>
      <c r="AA314" s="2296"/>
      <c r="AB314" s="2262"/>
      <c r="AC314" s="2297">
        <f>Stores!AH151</f>
        <v>0.34080873786407767</v>
      </c>
      <c r="AD314" s="2307"/>
      <c r="AE314" s="2310">
        <f>AVERAGE(AC313:AC314)</f>
        <v>0.32892524271844659</v>
      </c>
      <c r="AF314" s="2262"/>
      <c r="AG314" s="2298">
        <f>(AE314/AE307-1)*100</f>
        <v>12.645631067961149</v>
      </c>
      <c r="AH314" s="2296"/>
      <c r="AI314" s="2305"/>
      <c r="AJ314" s="2300"/>
      <c r="AK314" s="2262"/>
      <c r="AL314" s="2314">
        <f>+V314</f>
        <v>270.84500000000003</v>
      </c>
      <c r="AM314" s="2262"/>
      <c r="AN314" s="2311">
        <f>AL314/AE314</f>
        <v>823.42418526947142</v>
      </c>
      <c r="AO314" s="2262"/>
      <c r="AP314" s="2299">
        <f>(AN314/AN307-1)*100</f>
        <v>8.462097382583833</v>
      </c>
      <c r="AQ314" s="2296"/>
      <c r="AR314" s="2296"/>
      <c r="AS314" s="2262"/>
      <c r="AT314" s="2262"/>
      <c r="AU314" s="2262"/>
      <c r="AV314" s="2262"/>
      <c r="AW314" s="2262"/>
      <c r="AX314" s="2262"/>
      <c r="AY314" s="2262"/>
      <c r="AZ314" s="2262"/>
      <c r="BA314" s="2262"/>
      <c r="BB314" s="2262"/>
      <c r="BC314" s="2262"/>
      <c r="BD314" s="2262"/>
      <c r="BE314" s="2262"/>
      <c r="BF314" s="2262"/>
      <c r="BG314" s="2262"/>
      <c r="BH314" s="2262"/>
      <c r="BI314" s="2262"/>
      <c r="BJ314" s="2262"/>
      <c r="BK314" s="2262"/>
      <c r="BL314" s="2262"/>
      <c r="BM314" s="2262"/>
      <c r="BN314" s="2262"/>
      <c r="BO314" s="2312"/>
      <c r="BP314" s="2313"/>
      <c r="BQ314" s="2281"/>
      <c r="BR314" s="2281"/>
      <c r="BS314" s="2281"/>
      <c r="BT314" s="2281"/>
      <c r="BU314" s="2281"/>
    </row>
    <row r="315" spans="1:73" hidden="1" outlineLevel="1">
      <c r="A315" s="256" t="str">
        <f>$A$43</f>
        <v>4Q</v>
      </c>
      <c r="B315" s="302" t="str">
        <f>$B$43</f>
        <v>Jan</v>
      </c>
      <c r="C315" s="256"/>
      <c r="D315" s="318">
        <f>(V315/V308-1)*100</f>
        <v>20.516842588605044</v>
      </c>
      <c r="E315" s="256"/>
      <c r="F315" s="298"/>
      <c r="G315" s="256"/>
      <c r="H315" s="2095">
        <f>+'segSales&amp;comps'!S136</f>
        <v>6</v>
      </c>
      <c r="I315" s="256"/>
      <c r="J315" s="318">
        <f>D315-H315</f>
        <v>14.516842588605044</v>
      </c>
      <c r="K315" s="256"/>
      <c r="L315" s="949">
        <f>Stores!AX152</f>
        <v>114</v>
      </c>
      <c r="M315" s="238"/>
      <c r="N315" s="820">
        <f>AVERAGE(L315,L314)</f>
        <v>116</v>
      </c>
      <c r="O315" s="256"/>
      <c r="P315" s="318">
        <f>(N315/N308-1)*100</f>
        <v>13.725490196078427</v>
      </c>
      <c r="Q315" s="643"/>
      <c r="R315" s="820">
        <f>J315/P315*100</f>
        <v>105.76556743126535</v>
      </c>
      <c r="S315" s="587"/>
      <c r="T315" s="256"/>
      <c r="U315" s="256"/>
      <c r="V315" s="316">
        <f>'segSales&amp;comps'!Q136</f>
        <v>422.56700000000001</v>
      </c>
      <c r="W315" s="256"/>
      <c r="X315" s="821">
        <f>V315/N315</f>
        <v>3.6428189655172414</v>
      </c>
      <c r="Y315" s="256"/>
      <c r="Z315" s="298">
        <f>(X315/X308-1)*100</f>
        <v>5.9717064141182163</v>
      </c>
      <c r="AA315" s="643"/>
      <c r="AB315" s="256"/>
      <c r="AC315" s="1017">
        <f>Stores!AH152</f>
        <v>0.32700000000000001</v>
      </c>
      <c r="AD315" s="238"/>
      <c r="AE315" s="822">
        <f>AVERAGE(AC314:AC315)</f>
        <v>0.33390436893203884</v>
      </c>
      <c r="AF315" s="256"/>
      <c r="AG315" s="288">
        <f>(AE315/AE308-1)*100</f>
        <v>10.381609564310356</v>
      </c>
      <c r="AH315" s="643"/>
      <c r="AI315" s="812"/>
      <c r="AJ315" s="587"/>
      <c r="AK315" s="256"/>
      <c r="AL315" s="316">
        <f>+V315</f>
        <v>422.56700000000001</v>
      </c>
      <c r="AM315" s="256"/>
      <c r="AN315" s="950">
        <f>AL315/AE315</f>
        <v>1265.533006805332</v>
      </c>
      <c r="AO315" s="256"/>
      <c r="AP315" s="320">
        <f>(AN315/AN308-1)*100</f>
        <v>9.1819942328252644</v>
      </c>
      <c r="AQ315" s="643"/>
      <c r="AR315" s="643"/>
      <c r="AS315" s="256"/>
      <c r="AT315" s="256"/>
      <c r="AU315" s="256"/>
      <c r="AV315" s="256"/>
      <c r="AW315" s="256"/>
      <c r="AX315" s="256"/>
      <c r="AY315" s="256"/>
      <c r="AZ315" s="256"/>
      <c r="BA315" s="256"/>
      <c r="BB315" s="256"/>
      <c r="BC315" s="256"/>
      <c r="BD315" s="256"/>
      <c r="BE315" s="256"/>
      <c r="BF315" s="256"/>
      <c r="BG315" s="256"/>
      <c r="BH315" s="256"/>
      <c r="BI315" s="256"/>
      <c r="BJ315" s="256"/>
      <c r="BK315" s="256"/>
      <c r="BL315" s="256"/>
      <c r="BM315" s="256"/>
      <c r="BN315" s="256"/>
      <c r="BO315" s="1592"/>
      <c r="BP315" s="1492"/>
    </row>
    <row r="316" spans="1:73" hidden="1" outlineLevel="1">
      <c r="A316" s="256"/>
      <c r="B316" s="302" t="str">
        <f>$B$44</f>
        <v>Year</v>
      </c>
      <c r="C316" s="256"/>
      <c r="D316" s="288">
        <f>(V316/V309-1)*100</f>
        <v>18.781904698766194</v>
      </c>
      <c r="E316" s="256"/>
      <c r="F316" s="297"/>
      <c r="G316" s="256"/>
      <c r="H316" s="2091">
        <f>H312*V312/$V316+H313*V313/$V316+H314*V314/$V316+H315*V315/$V316</f>
        <v>6.705064467920983</v>
      </c>
      <c r="I316" s="256"/>
      <c r="J316" s="288">
        <f>D316-H316</f>
        <v>12.07684023084521</v>
      </c>
      <c r="K316" s="256"/>
      <c r="L316" s="951">
        <f>Stores!AX153</f>
        <v>114</v>
      </c>
      <c r="M316" s="256"/>
      <c r="N316" s="811">
        <f>AVERAGE(N312:N315)</f>
        <v>110.875</v>
      </c>
      <c r="O316" s="256"/>
      <c r="P316" s="288">
        <f>(N316/N309-1)*100</f>
        <v>12.563451776649748</v>
      </c>
      <c r="Q316" s="643"/>
      <c r="R316" s="812">
        <f>J316/P316*100</f>
        <v>96.126768706121453</v>
      </c>
      <c r="S316" s="587"/>
      <c r="T316" s="256"/>
      <c r="U316" s="256"/>
      <c r="V316" s="296">
        <f>SUM(V312:V315)</f>
        <v>1200.442</v>
      </c>
      <c r="W316" s="256"/>
      <c r="X316" s="813">
        <f>SUM(X312:X315)</f>
        <v>10.767932483182372</v>
      </c>
      <c r="Y316" s="256"/>
      <c r="Z316" s="814">
        <f>(X316/X309-1)*100</f>
        <v>5.3760231540294745</v>
      </c>
      <c r="AA316" s="643"/>
      <c r="AB316" s="256"/>
      <c r="AC316" s="815"/>
      <c r="AD316" s="256"/>
      <c r="AE316" s="816">
        <f>AVERAGE(AE312:AE315)</f>
        <v>0.32224805825242719</v>
      </c>
      <c r="AF316" s="256"/>
      <c r="AG316" s="288">
        <f>(AE316/AE309-1)*100</f>
        <v>11.024309475427119</v>
      </c>
      <c r="AH316" s="643"/>
      <c r="AI316" s="812"/>
      <c r="AJ316" s="587"/>
      <c r="AK316" s="256"/>
      <c r="AL316" s="296">
        <f>SUM(AL312:AL315)</f>
        <v>1200.442</v>
      </c>
      <c r="AM316" s="256"/>
      <c r="AN316" s="817">
        <f>AL316/AE316</f>
        <v>3725.2109648389423</v>
      </c>
      <c r="AO316" s="256"/>
      <c r="AP316" s="320">
        <f>(AN316/AN309-1)*100</f>
        <v>6.9872942781563196</v>
      </c>
      <c r="AQ316" s="643"/>
      <c r="AR316" s="643"/>
      <c r="AS316" s="256"/>
      <c r="AT316" s="256"/>
      <c r="AU316" s="256"/>
      <c r="AV316" s="256"/>
      <c r="AW316" s="256"/>
      <c r="AX316" s="256"/>
      <c r="AY316" s="256"/>
      <c r="AZ316" s="256"/>
      <c r="BA316" s="256"/>
      <c r="BB316" s="256"/>
      <c r="BC316" s="256"/>
      <c r="BD316" s="256"/>
      <c r="BE316" s="256"/>
      <c r="BF316" s="256"/>
      <c r="BG316" s="256"/>
      <c r="BH316" s="256"/>
      <c r="BI316" s="256"/>
      <c r="BJ316" s="256"/>
      <c r="BK316" s="256"/>
      <c r="BL316" s="256"/>
      <c r="BM316" s="256"/>
      <c r="BN316" s="256"/>
      <c r="BO316" s="587"/>
      <c r="BP316" s="587"/>
    </row>
    <row r="317" spans="1:73" hidden="1" outlineLevel="1">
      <c r="A317" s="256"/>
      <c r="B317" s="302"/>
      <c r="C317" s="256"/>
      <c r="D317" s="288"/>
      <c r="E317" s="256"/>
      <c r="F317" s="297"/>
      <c r="G317" s="256"/>
      <c r="H317" s="2091"/>
      <c r="I317" s="256"/>
      <c r="J317" s="288"/>
      <c r="K317" s="256"/>
      <c r="L317" s="1033"/>
      <c r="M317" s="256"/>
      <c r="N317" s="811"/>
      <c r="O317" s="256"/>
      <c r="P317" s="288"/>
      <c r="Q317" s="643"/>
      <c r="R317" s="812"/>
      <c r="S317" s="587"/>
      <c r="T317" s="256"/>
      <c r="U317" s="256"/>
      <c r="V317" s="296"/>
      <c r="W317" s="256"/>
      <c r="X317" s="813"/>
      <c r="Y317" s="256"/>
      <c r="Z317" s="814"/>
      <c r="AA317" s="643"/>
      <c r="AB317" s="256"/>
      <c r="AC317" s="815"/>
      <c r="AD317" s="256"/>
      <c r="AE317" s="816"/>
      <c r="AF317" s="256"/>
      <c r="AG317" s="288"/>
      <c r="AH317" s="643"/>
      <c r="AI317" s="812"/>
      <c r="AJ317" s="587"/>
      <c r="AK317" s="256"/>
      <c r="AL317" s="296"/>
      <c r="AM317" s="256"/>
      <c r="AN317" s="817"/>
      <c r="AO317" s="256"/>
      <c r="AP317" s="320"/>
      <c r="AQ317" s="643"/>
      <c r="AR317" s="643"/>
      <c r="AS317" s="256"/>
      <c r="AT317" s="256"/>
      <c r="AU317" s="256"/>
      <c r="AV317" s="256"/>
      <c r="AW317" s="256"/>
      <c r="AX317" s="256"/>
      <c r="AY317" s="256"/>
      <c r="AZ317" s="256"/>
      <c r="BA317" s="256"/>
      <c r="BB317" s="256"/>
      <c r="BC317" s="256"/>
      <c r="BD317" s="256"/>
      <c r="BE317" s="256"/>
      <c r="BF317" s="256"/>
      <c r="BG317" s="256"/>
      <c r="BH317" s="256"/>
      <c r="BI317" s="256"/>
      <c r="BJ317" s="256"/>
      <c r="BK317" s="256"/>
      <c r="BL317" s="256"/>
      <c r="BM317" s="256"/>
      <c r="BN317" s="256"/>
      <c r="BO317" s="587"/>
      <c r="BP317" s="587"/>
    </row>
    <row r="318" spans="1:73" hidden="1" outlineLevel="1">
      <c r="A318" s="810"/>
      <c r="B318" s="171">
        <f>+B311+1</f>
        <v>2008</v>
      </c>
      <c r="C318" s="256"/>
      <c r="D318" s="256"/>
      <c r="E318" s="643"/>
      <c r="F318" s="297"/>
      <c r="G318" s="643"/>
      <c r="H318" s="2091"/>
      <c r="I318" s="643"/>
      <c r="J318" s="256"/>
      <c r="K318" s="643"/>
      <c r="L318" s="256"/>
      <c r="M318" s="256"/>
      <c r="N318" s="256"/>
      <c r="O318" s="256"/>
      <c r="P318" s="256"/>
      <c r="Q318" s="643"/>
      <c r="R318" s="587"/>
      <c r="S318" s="587"/>
      <c r="T318" s="256"/>
      <c r="U318" s="256"/>
      <c r="V318" s="256"/>
      <c r="W318" s="256"/>
      <c r="X318" s="256"/>
      <c r="Y318" s="256"/>
      <c r="Z318" s="256"/>
      <c r="AA318" s="643"/>
      <c r="AB318" s="256"/>
      <c r="AC318" s="256"/>
      <c r="AD318" s="256"/>
      <c r="AE318" s="256"/>
      <c r="AF318" s="256"/>
      <c r="AG318" s="256"/>
      <c r="AH318" s="643"/>
      <c r="AI318" s="587"/>
      <c r="AJ318" s="587"/>
      <c r="AK318" s="256"/>
      <c r="AL318" s="256"/>
      <c r="AM318" s="256"/>
      <c r="AN318" s="256"/>
      <c r="AO318" s="256"/>
      <c r="AP318" s="320"/>
      <c r="AQ318" s="643"/>
      <c r="AR318" s="643"/>
      <c r="AS318" s="256"/>
      <c r="AT318" s="256"/>
      <c r="AU318" s="256"/>
      <c r="AV318" s="256"/>
      <c r="AW318" s="256"/>
      <c r="AX318" s="256"/>
      <c r="AY318" s="256"/>
      <c r="AZ318" s="256"/>
      <c r="BA318" s="256"/>
      <c r="BB318" s="256"/>
      <c r="BC318" s="256"/>
      <c r="BD318" s="256"/>
      <c r="BE318" s="256"/>
      <c r="BF318" s="256"/>
      <c r="BG318" s="256"/>
      <c r="BH318" s="256"/>
      <c r="BI318" s="256"/>
      <c r="BJ318" s="256"/>
      <c r="BK318" s="256"/>
      <c r="BL318" s="256"/>
      <c r="BM318" s="256"/>
      <c r="BN318" s="256"/>
      <c r="BO318" s="587"/>
      <c r="BP318" s="587"/>
    </row>
    <row r="319" spans="1:73" hidden="1" outlineLevel="1">
      <c r="A319" s="256" t="str">
        <f>$A$40</f>
        <v>1Q</v>
      </c>
      <c r="B319" s="302" t="str">
        <f>$B$40</f>
        <v>Apr</v>
      </c>
      <c r="C319" s="256"/>
      <c r="D319" s="288">
        <f>+H319+J319</f>
        <v>13.487619047619059</v>
      </c>
      <c r="E319" s="643" t="s">
        <v>1970</v>
      </c>
      <c r="F319" s="297"/>
      <c r="G319" s="643"/>
      <c r="H319" s="2091">
        <f>0.54*'segSales&amp;comps'!X140+0.26*'segSales&amp;comps'!AD140+0.2*'segSales&amp;comps'!AE140</f>
        <v>4.4400000000000004</v>
      </c>
      <c r="I319" s="643" t="s">
        <v>1970</v>
      </c>
      <c r="J319" s="288">
        <f>+P319*R319/100</f>
        <v>9.0476190476190581</v>
      </c>
      <c r="K319" s="643" t="s">
        <v>1970</v>
      </c>
      <c r="L319" s="948">
        <f>Stores!AX156</f>
        <v>116</v>
      </c>
      <c r="M319" s="256"/>
      <c r="N319" s="811">
        <f>AVERAGE(L319,L315)</f>
        <v>115</v>
      </c>
      <c r="O319" s="256"/>
      <c r="P319" s="288">
        <f>(N319/N312-1)*100</f>
        <v>9.5238095238095344</v>
      </c>
      <c r="Q319" s="643" t="s">
        <v>1970</v>
      </c>
      <c r="R319" s="1034">
        <v>95</v>
      </c>
      <c r="S319" s="587" t="s">
        <v>1970</v>
      </c>
      <c r="T319" s="256"/>
      <c r="U319" s="256"/>
      <c r="V319" s="296">
        <f>+V312*(1+D319/100)</f>
        <v>281.45723937142861</v>
      </c>
      <c r="W319" s="238"/>
      <c r="X319" s="813">
        <f>V319/N319</f>
        <v>2.4474542554037271</v>
      </c>
      <c r="Y319" s="256"/>
      <c r="Z319" s="814">
        <f>(X319/X312-1)*100</f>
        <v>3.6191304347826136</v>
      </c>
      <c r="AA319" s="643" t="s">
        <v>1970</v>
      </c>
      <c r="AB319" s="256"/>
      <c r="AC319" s="1017">
        <f>Stores!AH156</f>
        <v>0.33294174757281553</v>
      </c>
      <c r="AD319" s="256" t="s">
        <v>505</v>
      </c>
      <c r="AE319" s="816">
        <f>AVERAGE(AC319,AC315)</f>
        <v>0.32997087378640777</v>
      </c>
      <c r="AF319" s="256"/>
      <c r="AG319" s="288">
        <f>(AE319/AE312-1)*100</f>
        <v>6.3321554107008016</v>
      </c>
      <c r="AH319" s="643" t="s">
        <v>1970</v>
      </c>
      <c r="AI319" s="812"/>
      <c r="AJ319" s="587" t="s">
        <v>1970</v>
      </c>
      <c r="AK319" s="256"/>
      <c r="AL319" s="296">
        <f>+V319</f>
        <v>281.45723937142861</v>
      </c>
      <c r="AM319" s="256" t="s">
        <v>505</v>
      </c>
      <c r="AN319" s="817">
        <f>AL319/AE319</f>
        <v>852.97601009966013</v>
      </c>
      <c r="AO319" s="256"/>
      <c r="AP319" s="320">
        <f>(AN319/AN312-1)*100</f>
        <v>6.7293506929120284</v>
      </c>
      <c r="AQ319" s="643" t="s">
        <v>1970</v>
      </c>
      <c r="AR319" s="643"/>
      <c r="AS319" s="256"/>
      <c r="AT319" s="256"/>
      <c r="AU319" s="256"/>
      <c r="AV319" s="256"/>
      <c r="AW319" s="256"/>
      <c r="AX319" s="256"/>
      <c r="AY319" s="256"/>
      <c r="AZ319" s="256"/>
      <c r="BA319" s="256"/>
      <c r="BB319" s="256"/>
      <c r="BC319" s="256"/>
      <c r="BD319" s="256"/>
      <c r="BE319" s="256"/>
      <c r="BF319" s="256"/>
      <c r="BG319" s="256"/>
      <c r="BH319" s="256"/>
      <c r="BI319" s="256"/>
      <c r="BJ319" s="256"/>
      <c r="BK319" s="256"/>
      <c r="BL319" s="256"/>
      <c r="BM319" s="256"/>
      <c r="BN319" s="256"/>
      <c r="BO319" s="1592"/>
      <c r="BP319" s="1492"/>
    </row>
    <row r="320" spans="1:73" hidden="1" outlineLevel="1">
      <c r="A320" s="256" t="str">
        <f>$A$41</f>
        <v>2Q</v>
      </c>
      <c r="B320" s="302" t="str">
        <f>$B$41</f>
        <v>Jul</v>
      </c>
      <c r="C320" s="256"/>
      <c r="D320" s="288">
        <f>+H320+J320</f>
        <v>13.195760368663599</v>
      </c>
      <c r="E320" s="256"/>
      <c r="F320" s="297"/>
      <c r="G320" s="256"/>
      <c r="H320" s="2091">
        <f>0.54*'segSales&amp;comps'!X141+0.26*'segSales&amp;comps'!AD141+0.2*'segSales&amp;comps'!AE141</f>
        <v>4.4400000000000004</v>
      </c>
      <c r="I320" s="256"/>
      <c r="J320" s="288">
        <f>+P320*R320/100</f>
        <v>8.7557603686635996</v>
      </c>
      <c r="K320" s="256"/>
      <c r="L320" s="948">
        <f>Stores!AX157</f>
        <v>121</v>
      </c>
      <c r="M320" s="256"/>
      <c r="N320" s="811">
        <f>AVERAGE(L320,L319)</f>
        <v>118.5</v>
      </c>
      <c r="O320" s="256"/>
      <c r="P320" s="288">
        <f>(N320/N313-1)*100</f>
        <v>9.2165898617511566</v>
      </c>
      <c r="Q320" s="643"/>
      <c r="R320" s="1034">
        <v>95</v>
      </c>
      <c r="S320" s="587"/>
      <c r="T320" s="256"/>
      <c r="U320" s="256"/>
      <c r="V320" s="315">
        <f>+V313*(1+D320/100)</f>
        <v>293.2030543797236</v>
      </c>
      <c r="W320" s="238"/>
      <c r="X320" s="818">
        <f>V320/N320</f>
        <v>2.4742873787318449</v>
      </c>
      <c r="Y320" s="256"/>
      <c r="Z320" s="814">
        <f>(X320/X313-1)*100</f>
        <v>3.6433755274261959</v>
      </c>
      <c r="AA320" s="643"/>
      <c r="AB320" s="256"/>
      <c r="AC320" s="1017">
        <f>Stores!AH157</f>
        <v>0.34779611650485437</v>
      </c>
      <c r="AD320" s="238"/>
      <c r="AE320" s="816">
        <f>AVERAGE(AC319:AC320)</f>
        <v>0.34036893203883495</v>
      </c>
      <c r="AF320" s="256"/>
      <c r="AG320" s="288">
        <f>(AE320/AE313-1)*100</f>
        <v>7.7656562675789909</v>
      </c>
      <c r="AH320" s="643"/>
      <c r="AI320" s="812"/>
      <c r="AJ320" s="587"/>
      <c r="AK320" s="256"/>
      <c r="AL320" s="315">
        <f>+V320</f>
        <v>293.2030543797236</v>
      </c>
      <c r="AM320" s="256"/>
      <c r="AN320" s="817">
        <f>AL320/AE320</f>
        <v>861.42719496581469</v>
      </c>
      <c r="AO320" s="256"/>
      <c r="AP320" s="320">
        <f>(AN320/AN313-1)*100</f>
        <v>5.038807621234942</v>
      </c>
      <c r="AQ320" s="643"/>
      <c r="AR320" s="643"/>
      <c r="AS320" s="256"/>
      <c r="AT320" s="256"/>
      <c r="AU320" s="256"/>
      <c r="AV320" s="256"/>
      <c r="AW320" s="256"/>
      <c r="AX320" s="256"/>
      <c r="AY320" s="256"/>
      <c r="AZ320" s="256"/>
      <c r="BA320" s="256"/>
      <c r="BB320" s="256"/>
      <c r="BC320" s="256"/>
      <c r="BD320" s="256"/>
      <c r="BE320" s="256"/>
      <c r="BF320" s="256"/>
      <c r="BG320" s="256"/>
      <c r="BH320" s="256"/>
      <c r="BI320" s="256"/>
      <c r="BJ320" s="256"/>
      <c r="BK320" s="256"/>
      <c r="BL320" s="256"/>
      <c r="BM320" s="256"/>
      <c r="BN320" s="256"/>
      <c r="BO320" s="1592"/>
      <c r="BP320" s="1492"/>
    </row>
    <row r="321" spans="1:68" hidden="1" outlineLevel="1">
      <c r="A321" s="256" t="str">
        <f>$A$42</f>
        <v>3Q</v>
      </c>
      <c r="B321" s="302" t="str">
        <f>$B$42</f>
        <v>Oct</v>
      </c>
      <c r="C321" s="256"/>
      <c r="D321" s="288">
        <f>+H321+J321</f>
        <v>13.606666666666676</v>
      </c>
      <c r="E321" s="256"/>
      <c r="F321" s="297"/>
      <c r="G321" s="256"/>
      <c r="H321" s="2091">
        <f>0.54*'segSales&amp;comps'!X142+0.26*'segSales&amp;comps'!AD142+0.2*'segSales&amp;comps'!AE142</f>
        <v>4.4400000000000004</v>
      </c>
      <c r="I321" s="256"/>
      <c r="J321" s="288">
        <f>+P321*R321/100</f>
        <v>9.166666666666675</v>
      </c>
      <c r="K321" s="256"/>
      <c r="L321" s="948">
        <f>Stores!AX158</f>
        <v>129</v>
      </c>
      <c r="M321" s="238"/>
      <c r="N321" s="811">
        <f>AVERAGE(L321,L320)</f>
        <v>125</v>
      </c>
      <c r="O321" s="256"/>
      <c r="P321" s="288">
        <f>(N321/N314-1)*100</f>
        <v>9.6491228070175517</v>
      </c>
      <c r="Q321" s="643"/>
      <c r="R321" s="1034">
        <v>95</v>
      </c>
      <c r="S321" s="587"/>
      <c r="T321" s="256"/>
      <c r="U321" s="256"/>
      <c r="V321" s="315">
        <f>+V314*(1+D321/100)</f>
        <v>307.69797633333337</v>
      </c>
      <c r="W321" s="256"/>
      <c r="X321" s="818">
        <f>V321/N321</f>
        <v>2.4615838106666668</v>
      </c>
      <c r="Y321" s="256"/>
      <c r="Z321" s="814">
        <f>(X321/X314-1)*100</f>
        <v>3.6092800000000036</v>
      </c>
      <c r="AA321" s="643"/>
      <c r="AB321" s="256"/>
      <c r="AC321" s="1017">
        <f>Stores!AH158</f>
        <v>0.37156310679611648</v>
      </c>
      <c r="AD321" s="238"/>
      <c r="AE321" s="816">
        <f>AVERAGE(AC320:AC321)</f>
        <v>0.35967961165048545</v>
      </c>
      <c r="AF321" s="256"/>
      <c r="AG321" s="288">
        <f>(AE321/AE314-1)*100</f>
        <v>9.3499570534220098</v>
      </c>
      <c r="AH321" s="643"/>
      <c r="AI321" s="812"/>
      <c r="AJ321" s="587"/>
      <c r="AK321" s="256"/>
      <c r="AL321" s="315">
        <f>+V321</f>
        <v>307.69797633333337</v>
      </c>
      <c r="AM321" s="256"/>
      <c r="AN321" s="817">
        <f>AL321/AE321</f>
        <v>855.47794861482271</v>
      </c>
      <c r="AO321" s="256"/>
      <c r="AP321" s="320">
        <f>(AN321/AN314-1)*100</f>
        <v>3.892740086916624</v>
      </c>
      <c r="AQ321" s="643"/>
      <c r="AR321" s="643"/>
      <c r="AS321" s="256"/>
      <c r="AT321" s="256"/>
      <c r="AU321" s="256"/>
      <c r="AV321" s="256"/>
      <c r="AW321" s="256"/>
      <c r="AX321" s="256"/>
      <c r="AY321" s="256"/>
      <c r="AZ321" s="256"/>
      <c r="BA321" s="256"/>
      <c r="BB321" s="256"/>
      <c r="BC321" s="256"/>
      <c r="BD321" s="256"/>
      <c r="BE321" s="256"/>
      <c r="BF321" s="256"/>
      <c r="BG321" s="256"/>
      <c r="BH321" s="256"/>
      <c r="BI321" s="256"/>
      <c r="BJ321" s="256"/>
      <c r="BK321" s="256"/>
      <c r="BL321" s="256"/>
      <c r="BM321" s="256"/>
      <c r="BN321" s="256"/>
      <c r="BO321" s="1592"/>
      <c r="BP321" s="1492"/>
    </row>
    <row r="322" spans="1:68" hidden="1" outlineLevel="1">
      <c r="A322" s="256" t="str">
        <f>$A$43</f>
        <v>4Q</v>
      </c>
      <c r="B322" s="302" t="str">
        <f>$B$43</f>
        <v>Jan</v>
      </c>
      <c r="C322" s="256"/>
      <c r="D322" s="318">
        <f>+H322+J322</f>
        <v>15.496034482758624</v>
      </c>
      <c r="E322" s="256"/>
      <c r="F322" s="298"/>
      <c r="G322" s="256"/>
      <c r="H322" s="2095">
        <f>0.54*'segSales&amp;comps'!X143+0.26*'segSales&amp;comps'!AD143+0.2*'segSales&amp;comps'!AE143</f>
        <v>4.4400000000000004</v>
      </c>
      <c r="I322" s="256"/>
      <c r="J322" s="318">
        <f>+P322*R322/100</f>
        <v>11.056034482758623</v>
      </c>
      <c r="K322" s="256"/>
      <c r="L322" s="949">
        <f>Stores!AX159</f>
        <v>130</v>
      </c>
      <c r="M322" s="238"/>
      <c r="N322" s="820">
        <f>AVERAGE(L322,L321)</f>
        <v>129.5</v>
      </c>
      <c r="O322" s="256"/>
      <c r="P322" s="318">
        <f>(N322/N315-1)*100</f>
        <v>11.637931034482762</v>
      </c>
      <c r="Q322" s="643"/>
      <c r="R322" s="965">
        <v>95</v>
      </c>
      <c r="S322" s="587"/>
      <c r="T322" s="256"/>
      <c r="U322" s="256"/>
      <c r="V322" s="316">
        <f>+V315*(1+D322/100)</f>
        <v>488.04812803275865</v>
      </c>
      <c r="W322" s="256"/>
      <c r="X322" s="821">
        <f>V322/N322</f>
        <v>3.7687114133803759</v>
      </c>
      <c r="Y322" s="256"/>
      <c r="Z322" s="298">
        <f>(X322/X315-1)*100</f>
        <v>3.4559073359073489</v>
      </c>
      <c r="AA322" s="643"/>
      <c r="AB322" s="256"/>
      <c r="AC322" s="1017">
        <f>Stores!AH159</f>
        <v>0.37453398058252424</v>
      </c>
      <c r="AD322" s="238"/>
      <c r="AE322" s="822">
        <f>AVERAGE(AC321:AC322)</f>
        <v>0.37304854368932039</v>
      </c>
      <c r="AF322" s="256"/>
      <c r="AG322" s="288">
        <f>(AE322/AE315-1)*100</f>
        <v>11.723169386037213</v>
      </c>
      <c r="AH322" s="643"/>
      <c r="AI322" s="812"/>
      <c r="AJ322" s="587"/>
      <c r="AK322" s="256"/>
      <c r="AL322" s="316">
        <f>+V322</f>
        <v>488.04812803275865</v>
      </c>
      <c r="AM322" s="256"/>
      <c r="AN322" s="950">
        <f>AL322/AE322</f>
        <v>1308.2697581556877</v>
      </c>
      <c r="AO322" s="256"/>
      <c r="AP322" s="320">
        <f>(AN322/AN315-1)*100</f>
        <v>3.3769764297368221</v>
      </c>
      <c r="AQ322" s="643"/>
      <c r="AR322" s="643"/>
      <c r="AS322" s="256"/>
      <c r="AT322" s="256"/>
      <c r="AU322" s="256"/>
      <c r="AV322" s="256"/>
      <c r="AW322" s="256"/>
      <c r="AX322" s="256"/>
      <c r="AY322" s="256"/>
      <c r="AZ322" s="256"/>
      <c r="BA322" s="256"/>
      <c r="BB322" s="256"/>
      <c r="BC322" s="256"/>
      <c r="BD322" s="256"/>
      <c r="BE322" s="256"/>
      <c r="BF322" s="256"/>
      <c r="BG322" s="256"/>
      <c r="BH322" s="256"/>
      <c r="BI322" s="256"/>
      <c r="BJ322" s="256"/>
      <c r="BK322" s="256"/>
      <c r="BL322" s="256"/>
      <c r="BM322" s="256"/>
      <c r="BN322" s="256"/>
      <c r="BO322" s="1592"/>
      <c r="BP322" s="1492"/>
    </row>
    <row r="323" spans="1:68" hidden="1" outlineLevel="1">
      <c r="A323" s="256"/>
      <c r="B323" s="302" t="str">
        <f>$B$44</f>
        <v>Year</v>
      </c>
      <c r="C323" s="256"/>
      <c r="D323" s="288">
        <f>(V323/V316-1)*100</f>
        <v>14.15848480120192</v>
      </c>
      <c r="E323" s="256"/>
      <c r="F323" s="297"/>
      <c r="G323" s="256"/>
      <c r="H323" s="2091">
        <f>H319*V319/$V323+H320*V320/$V323+H321*V321/$V323+H322*V322/$V323</f>
        <v>4.4399999999999995</v>
      </c>
      <c r="I323" s="256"/>
      <c r="J323" s="288">
        <f>D323-H323</f>
        <v>9.7184848012019209</v>
      </c>
      <c r="K323" s="256"/>
      <c r="L323" s="951">
        <f>Stores!AX160</f>
        <v>130</v>
      </c>
      <c r="M323" s="256"/>
      <c r="N323" s="811">
        <f>AVERAGE(N319:N322)</f>
        <v>122</v>
      </c>
      <c r="O323" s="256"/>
      <c r="P323" s="288">
        <f>(N323/N316-1)*100</f>
        <v>10.033821871476878</v>
      </c>
      <c r="Q323" s="643"/>
      <c r="R323" s="812">
        <f>J323/P323*100</f>
        <v>96.857258636697892</v>
      </c>
      <c r="S323" s="587"/>
      <c r="T323" s="256"/>
      <c r="U323" s="256"/>
      <c r="V323" s="296">
        <f>SUM(V319:V322)</f>
        <v>1370.4063981172444</v>
      </c>
      <c r="W323" s="256"/>
      <c r="X323" s="813">
        <f>SUM(X319:X322)</f>
        <v>11.152036858182615</v>
      </c>
      <c r="Y323" s="256"/>
      <c r="Z323" s="814">
        <f>(X323/X316-1)*100</f>
        <v>3.5671135159896838</v>
      </c>
      <c r="AA323" s="643"/>
      <c r="AB323" s="256"/>
      <c r="AC323" s="815"/>
      <c r="AD323" s="256"/>
      <c r="AE323" s="816">
        <f>AVERAGE(AE319:AE322)</f>
        <v>0.35076699029126213</v>
      </c>
      <c r="AF323" s="256"/>
      <c r="AG323" s="288">
        <f>(AE323/AE316-1)*100</f>
        <v>8.8499934471273569</v>
      </c>
      <c r="AH323" s="643"/>
      <c r="AI323" s="812"/>
      <c r="AJ323" s="587"/>
      <c r="AK323" s="256"/>
      <c r="AL323" s="296">
        <f>SUM(AL319:AL322)</f>
        <v>1370.4063981172444</v>
      </c>
      <c r="AM323" s="256"/>
      <c r="AN323" s="817">
        <f>AL323/AE323</f>
        <v>3906.8853000657691</v>
      </c>
      <c r="AO323" s="256"/>
      <c r="AP323" s="320">
        <f>(AN323/AN316-1)*100</f>
        <v>4.8768871599915276</v>
      </c>
      <c r="AQ323" s="643"/>
      <c r="AR323" s="643"/>
      <c r="AS323" s="256"/>
      <c r="AT323" s="256"/>
      <c r="AU323" s="256"/>
      <c r="AV323" s="256"/>
      <c r="AW323" s="256"/>
      <c r="AX323" s="256"/>
      <c r="AY323" s="256"/>
      <c r="AZ323" s="256"/>
      <c r="BA323" s="256"/>
      <c r="BB323" s="256"/>
      <c r="BC323" s="256"/>
      <c r="BD323" s="256"/>
      <c r="BE323" s="256"/>
      <c r="BF323" s="256"/>
      <c r="BG323" s="256"/>
      <c r="BH323" s="256"/>
      <c r="BI323" s="256"/>
      <c r="BJ323" s="256"/>
      <c r="BK323" s="256"/>
      <c r="BL323" s="256"/>
      <c r="BM323" s="256"/>
      <c r="BN323" s="256"/>
      <c r="BO323" s="587"/>
      <c r="BP323" s="587"/>
    </row>
    <row r="324" spans="1:68" collapsed="1">
      <c r="A324" s="132" t="s">
        <v>544</v>
      </c>
      <c r="B324" s="174"/>
      <c r="C324" s="132"/>
      <c r="D324" s="132"/>
      <c r="E324" s="132"/>
      <c r="F324" s="132"/>
      <c r="G324" s="132"/>
      <c r="H324" s="2085"/>
      <c r="I324" s="132"/>
      <c r="J324" s="132"/>
      <c r="K324" s="132"/>
      <c r="L324" s="132"/>
      <c r="M324" s="132"/>
      <c r="N324" s="132"/>
      <c r="O324" s="132"/>
      <c r="P324" s="132"/>
      <c r="Q324" s="132"/>
      <c r="R324" s="132"/>
      <c r="S324" s="132"/>
      <c r="T324" s="132"/>
      <c r="U324" s="132"/>
      <c r="V324" s="132"/>
      <c r="W324" s="132"/>
      <c r="X324" s="132"/>
      <c r="Y324" s="132"/>
      <c r="Z324" s="132"/>
      <c r="AA324" s="132"/>
      <c r="AB324" s="132"/>
      <c r="AC324" s="132"/>
      <c r="AD324" s="132"/>
      <c r="AE324" s="132"/>
      <c r="AF324" s="132"/>
      <c r="AG324" s="132"/>
      <c r="AH324" s="132"/>
      <c r="AI324" s="143"/>
      <c r="AJ324" s="132"/>
      <c r="AK324" s="132"/>
      <c r="AL324" s="132"/>
      <c r="AM324" s="132"/>
      <c r="AN324" s="132"/>
      <c r="AO324" s="132"/>
      <c r="AP324" s="132"/>
      <c r="AQ324" s="132"/>
      <c r="AR324" s="132"/>
      <c r="AS324" s="132"/>
      <c r="AT324" s="132"/>
      <c r="AU324" s="132"/>
      <c r="AV324" s="132"/>
      <c r="AW324" s="132"/>
      <c r="AX324" s="132"/>
      <c r="AY324" s="132"/>
      <c r="AZ324" s="132"/>
      <c r="BA324" s="132"/>
      <c r="BB324" s="132"/>
      <c r="BC324" s="132"/>
      <c r="BD324" s="132"/>
      <c r="BE324" s="132"/>
      <c r="BF324" s="132"/>
      <c r="BG324" s="132"/>
      <c r="BH324" s="132"/>
      <c r="BI324" s="132"/>
      <c r="BJ324" s="132"/>
      <c r="BK324" s="132"/>
      <c r="BL324" s="132"/>
      <c r="BM324" s="132"/>
      <c r="BN324" s="132"/>
      <c r="BO324" s="587"/>
      <c r="BP324" s="587"/>
    </row>
    <row r="325" spans="1:68">
      <c r="A325" s="860" t="s">
        <v>2257</v>
      </c>
      <c r="B325" s="1126"/>
      <c r="C325" s="860"/>
      <c r="D325" s="860"/>
      <c r="E325" s="1127"/>
      <c r="F325" s="860"/>
      <c r="G325" s="1127"/>
      <c r="H325" s="2092"/>
      <c r="I325" s="860"/>
      <c r="J325" s="860"/>
      <c r="K325" s="1128"/>
      <c r="L325" s="1129"/>
      <c r="M325" s="1128"/>
      <c r="N325" s="1130"/>
      <c r="O325" s="1128"/>
      <c r="P325" s="1131"/>
      <c r="Q325" s="1132"/>
      <c r="R325" s="1133"/>
      <c r="S325" s="1134"/>
      <c r="T325" s="1128"/>
      <c r="U325" s="1128"/>
      <c r="V325" s="1135"/>
      <c r="W325" s="1128"/>
      <c r="X325" s="1136"/>
      <c r="Y325" s="1128"/>
      <c r="Z325" s="1137"/>
      <c r="AA325" s="1132"/>
      <c r="AB325" s="1128"/>
      <c r="AC325" s="1128"/>
      <c r="AD325" s="1128"/>
      <c r="AE325" s="1138"/>
      <c r="AF325" s="1128"/>
      <c r="AG325" s="1131"/>
      <c r="AH325" s="1132"/>
      <c r="AI325" s="1133"/>
      <c r="AJ325" s="1134"/>
      <c r="AK325" s="1128"/>
      <c r="AL325" s="1135"/>
      <c r="AM325" s="1128"/>
      <c r="AN325" s="1139"/>
      <c r="AO325" s="1128"/>
      <c r="AP325" s="1140"/>
      <c r="AQ325" s="1132"/>
      <c r="AR325" s="1132"/>
      <c r="AS325" s="1128"/>
      <c r="AT325" s="1128"/>
      <c r="AU325" s="1128"/>
      <c r="AV325" s="1128"/>
      <c r="AW325" s="1128"/>
      <c r="AX325" s="1128"/>
      <c r="AY325" s="1128"/>
      <c r="AZ325" s="1128"/>
      <c r="BA325" s="1128"/>
      <c r="BB325" s="1128"/>
      <c r="BC325" s="1128"/>
      <c r="BD325" s="1128"/>
      <c r="BE325" s="1128"/>
      <c r="BF325" s="1128"/>
      <c r="BG325" s="1128"/>
      <c r="BH325" s="1128"/>
      <c r="BI325" s="1128"/>
      <c r="BJ325" s="1128"/>
      <c r="BK325" s="1128"/>
      <c r="BL325" s="1128"/>
      <c r="BM325" s="1128"/>
      <c r="BN325" s="1128"/>
      <c r="BO325" s="587"/>
      <c r="BP325" s="587"/>
    </row>
    <row r="326" spans="1:68">
      <c r="A326" s="135" t="s">
        <v>1088</v>
      </c>
      <c r="B326" s="173"/>
      <c r="C326" s="135"/>
      <c r="D326" s="135"/>
      <c r="E326" s="153"/>
      <c r="F326" s="135"/>
      <c r="G326" s="153"/>
      <c r="H326" s="2084"/>
      <c r="I326" s="135"/>
      <c r="J326" s="135"/>
      <c r="K326" s="153"/>
      <c r="L326" s="135"/>
      <c r="M326" s="135"/>
      <c r="N326" s="135"/>
      <c r="O326" s="153"/>
      <c r="P326" s="135"/>
      <c r="Q326" s="153"/>
      <c r="R326" s="135"/>
      <c r="S326" s="135"/>
      <c r="T326" s="153"/>
      <c r="U326" s="153"/>
      <c r="V326" s="135"/>
      <c r="W326" s="135"/>
      <c r="X326" s="153"/>
      <c r="Y326" s="153"/>
      <c r="Z326" s="135"/>
      <c r="AA326" s="187"/>
      <c r="AB326" s="135"/>
      <c r="AC326" s="135"/>
      <c r="AD326" s="135"/>
      <c r="AE326" s="135"/>
      <c r="AF326" s="153"/>
      <c r="AG326" s="135"/>
      <c r="AH326" s="153"/>
      <c r="AI326" s="135"/>
      <c r="AJ326" s="135"/>
      <c r="AK326" s="153"/>
      <c r="AL326" s="135"/>
      <c r="AM326" s="135"/>
      <c r="AN326" s="153"/>
      <c r="AO326" s="153"/>
      <c r="AP326" s="135"/>
      <c r="AQ326" s="246"/>
      <c r="AR326" s="246"/>
      <c r="AS326" s="155"/>
      <c r="AT326" s="155"/>
      <c r="AU326" s="155"/>
      <c r="AV326" s="155"/>
      <c r="AW326" s="155"/>
      <c r="AX326" s="155"/>
      <c r="AY326" s="155"/>
      <c r="AZ326" s="776" t="s">
        <v>1614</v>
      </c>
      <c r="BA326" s="776"/>
      <c r="BB326" s="268"/>
      <c r="BC326" s="776" t="s">
        <v>1615</v>
      </c>
      <c r="BD326" s="776"/>
      <c r="BE326" s="268"/>
      <c r="BF326" s="776" t="s">
        <v>241</v>
      </c>
      <c r="BG326" s="776"/>
      <c r="BH326" s="155"/>
      <c r="BI326" s="155"/>
      <c r="BJ326" s="155"/>
      <c r="BK326" s="155"/>
      <c r="BL326" s="155"/>
      <c r="BM326" s="155"/>
      <c r="BN326" s="155"/>
      <c r="BO326" s="283"/>
      <c r="BP326" s="283"/>
    </row>
    <row r="327" spans="1:68" ht="13.5" thickBot="1">
      <c r="A327" s="281"/>
      <c r="B327" s="282"/>
      <c r="C327" s="281"/>
      <c r="D327" s="281"/>
      <c r="E327" s="1744"/>
      <c r="F327" s="281"/>
      <c r="G327" s="1744"/>
      <c r="H327" s="2096"/>
      <c r="I327" s="281"/>
      <c r="J327" s="281"/>
      <c r="K327" s="256"/>
      <c r="L327" s="1030"/>
      <c r="M327" s="256"/>
      <c r="N327" s="177"/>
      <c r="O327" s="256"/>
      <c r="P327" s="145"/>
      <c r="Q327" s="643"/>
      <c r="R327" s="259"/>
      <c r="S327" s="587"/>
      <c r="T327" s="256"/>
      <c r="U327" s="256"/>
      <c r="V327" s="296"/>
      <c r="W327" s="256"/>
      <c r="X327" s="1031"/>
      <c r="Y327" s="256"/>
      <c r="Z327" s="219"/>
      <c r="AA327" s="643"/>
      <c r="AB327" s="256"/>
      <c r="AC327" s="256"/>
      <c r="AD327" s="256"/>
      <c r="AE327" s="254"/>
      <c r="AF327" s="256"/>
      <c r="AG327" s="145"/>
      <c r="AH327" s="643"/>
      <c r="AI327" s="259"/>
      <c r="AJ327" s="587"/>
      <c r="AK327" s="256"/>
      <c r="AL327" s="141"/>
      <c r="AM327" s="256"/>
      <c r="AN327" s="1032"/>
      <c r="AO327" s="256"/>
      <c r="AP327" s="920"/>
      <c r="AQ327" s="643"/>
      <c r="AR327" s="643"/>
      <c r="AS327" s="256"/>
      <c r="AT327" s="256"/>
      <c r="AU327" s="256"/>
      <c r="AV327" s="256"/>
      <c r="AW327" s="256"/>
      <c r="AX327" s="256"/>
      <c r="AY327" s="256"/>
      <c r="AZ327" s="256"/>
      <c r="BA327" s="256"/>
      <c r="BB327" s="256"/>
      <c r="BC327" s="256"/>
      <c r="BD327" s="256"/>
      <c r="BE327" s="256"/>
      <c r="BF327" s="256"/>
      <c r="BG327" s="256"/>
      <c r="BH327" s="256"/>
      <c r="BI327" s="256"/>
      <c r="BJ327" s="256"/>
      <c r="BK327" s="256"/>
      <c r="BL327" s="256"/>
      <c r="BM327" s="256"/>
      <c r="BN327" s="256"/>
      <c r="BO327" s="587"/>
      <c r="BP327" s="587"/>
    </row>
    <row r="328" spans="1:68" hidden="1" outlineLevel="1">
      <c r="A328" s="810"/>
      <c r="B328" s="171">
        <v>2006</v>
      </c>
      <c r="C328" s="256"/>
      <c r="D328" s="256"/>
      <c r="E328" s="643"/>
      <c r="F328" s="297"/>
      <c r="G328" s="643"/>
      <c r="H328" s="2091"/>
      <c r="I328" s="643"/>
      <c r="J328" s="256"/>
      <c r="K328" s="643"/>
      <c r="L328" s="256"/>
      <c r="M328" s="256"/>
      <c r="N328" s="256"/>
      <c r="O328" s="256"/>
      <c r="P328" s="256"/>
      <c r="Q328" s="643"/>
      <c r="R328" s="587"/>
      <c r="S328" s="587"/>
      <c r="T328" s="256"/>
      <c r="U328" s="256"/>
      <c r="V328" s="256"/>
      <c r="W328" s="256"/>
      <c r="X328" s="256"/>
      <c r="Y328" s="256"/>
      <c r="Z328" s="256"/>
      <c r="AA328" s="643"/>
      <c r="AB328" s="256"/>
      <c r="AC328" s="256"/>
      <c r="AD328" s="256"/>
      <c r="AE328" s="256"/>
      <c r="AF328" s="256"/>
      <c r="AG328" s="256"/>
      <c r="AH328" s="643"/>
      <c r="AI328" s="587"/>
      <c r="AJ328" s="587"/>
      <c r="AK328" s="256"/>
      <c r="AL328" s="256"/>
      <c r="AM328" s="256"/>
      <c r="AN328" s="256"/>
      <c r="AO328" s="256"/>
      <c r="AP328" s="320"/>
      <c r="AQ328" s="643"/>
      <c r="AR328" s="643"/>
      <c r="AS328" s="256"/>
      <c r="AT328" s="256"/>
      <c r="AU328" s="256"/>
      <c r="AV328" s="256"/>
      <c r="AW328" s="256"/>
      <c r="AX328" s="256"/>
      <c r="AY328" s="256"/>
      <c r="AZ328" s="256"/>
      <c r="BA328" s="256"/>
      <c r="BB328" s="256"/>
      <c r="BC328" s="256"/>
      <c r="BD328" s="256"/>
      <c r="BE328" s="256"/>
      <c r="BF328" s="256"/>
      <c r="BG328" s="256"/>
      <c r="BH328" s="256"/>
      <c r="BI328" s="256"/>
      <c r="BJ328" s="256"/>
      <c r="BK328" s="256"/>
      <c r="BL328" s="256"/>
      <c r="BM328" s="256"/>
      <c r="BN328" s="256"/>
      <c r="BO328" s="587"/>
      <c r="BP328" s="587"/>
    </row>
    <row r="329" spans="1:68" hidden="1" outlineLevel="1">
      <c r="A329" s="256" t="str">
        <f>$A$40</f>
        <v>1Q</v>
      </c>
      <c r="B329" s="302" t="str">
        <f>$B$40</f>
        <v>Apr</v>
      </c>
      <c r="C329" s="256"/>
      <c r="D329" s="1122" t="s">
        <v>1086</v>
      </c>
      <c r="E329" s="643" t="s">
        <v>1970</v>
      </c>
      <c r="F329" s="1122"/>
      <c r="G329" s="643"/>
      <c r="H329" s="2085" t="s">
        <v>1086</v>
      </c>
      <c r="I329" s="643" t="s">
        <v>1970</v>
      </c>
      <c r="J329" s="1122" t="s">
        <v>1086</v>
      </c>
      <c r="K329" s="643" t="s">
        <v>1970</v>
      </c>
      <c r="L329" s="1143">
        <f>Stores!K226-Stores!U226</f>
        <v>24</v>
      </c>
      <c r="M329" s="256"/>
      <c r="N329" s="811">
        <f>L329</f>
        <v>24</v>
      </c>
      <c r="O329" s="256"/>
      <c r="P329" s="1122" t="s">
        <v>1086</v>
      </c>
      <c r="Q329" s="643" t="s">
        <v>1970</v>
      </c>
      <c r="R329" s="1122" t="s">
        <v>1086</v>
      </c>
      <c r="S329" s="587" t="s">
        <v>1970</v>
      </c>
      <c r="T329" s="256"/>
      <c r="U329" s="256"/>
      <c r="V329" s="1122" t="s">
        <v>1086</v>
      </c>
      <c r="W329" s="238"/>
      <c r="X329" s="1122" t="s">
        <v>1086</v>
      </c>
      <c r="Y329" s="256"/>
      <c r="Z329" s="1122" t="s">
        <v>1086</v>
      </c>
      <c r="AA329" s="643" t="s">
        <v>1970</v>
      </c>
      <c r="AB329" s="256"/>
      <c r="AC329" s="1122"/>
      <c r="AD329" s="256"/>
      <c r="AE329" s="1122"/>
      <c r="AF329" s="256"/>
      <c r="AG329" s="1122"/>
      <c r="AH329" s="643"/>
      <c r="AI329" s="1122"/>
      <c r="AJ329" s="587"/>
      <c r="AK329" s="256"/>
      <c r="AL329" s="141"/>
      <c r="AM329" s="256"/>
      <c r="AN329" s="1122"/>
      <c r="AO329" s="256"/>
      <c r="AP329" s="1122"/>
      <c r="AQ329" s="643"/>
      <c r="AR329" s="643"/>
      <c r="AS329" s="256"/>
      <c r="AT329" s="256"/>
      <c r="AU329" s="256"/>
      <c r="AV329" s="256"/>
      <c r="AW329" s="256"/>
      <c r="AX329" s="256"/>
      <c r="AY329" s="256"/>
      <c r="AZ329" s="256"/>
      <c r="BA329" s="256"/>
      <c r="BB329" s="256"/>
      <c r="BC329" s="256"/>
      <c r="BD329" s="256"/>
      <c r="BE329" s="256"/>
      <c r="BF329" s="256"/>
      <c r="BG329" s="256"/>
      <c r="BH329" s="256"/>
      <c r="BI329" s="256"/>
      <c r="BJ329" s="256"/>
      <c r="BK329" s="256"/>
      <c r="BL329" s="256"/>
      <c r="BM329" s="256"/>
      <c r="BN329" s="256"/>
      <c r="BO329" s="1592"/>
      <c r="BP329" s="1492"/>
    </row>
    <row r="330" spans="1:68" hidden="1" outlineLevel="1">
      <c r="A330" s="256" t="str">
        <f>$A$41</f>
        <v>2Q</v>
      </c>
      <c r="B330" s="302" t="str">
        <f>$B$41</f>
        <v>Jul</v>
      </c>
      <c r="C330" s="256"/>
      <c r="D330" s="1122" t="s">
        <v>1086</v>
      </c>
      <c r="E330" s="256"/>
      <c r="F330" s="1122"/>
      <c r="G330" s="256"/>
      <c r="H330" s="2085" t="s">
        <v>1086</v>
      </c>
      <c r="I330" s="256"/>
      <c r="J330" s="1122" t="s">
        <v>1086</v>
      </c>
      <c r="K330" s="256"/>
      <c r="L330" s="1143">
        <f>Stores!K227-Stores!U227</f>
        <v>25</v>
      </c>
      <c r="M330" s="256"/>
      <c r="N330" s="811">
        <f>AVERAGE(L330,L329)</f>
        <v>24.5</v>
      </c>
      <c r="O330" s="256"/>
      <c r="P330" s="1122" t="s">
        <v>1086</v>
      </c>
      <c r="Q330" s="643"/>
      <c r="R330" s="1122" t="s">
        <v>1086</v>
      </c>
      <c r="S330" s="587"/>
      <c r="T330" s="256"/>
      <c r="U330" s="256"/>
      <c r="V330" s="1122" t="s">
        <v>1086</v>
      </c>
      <c r="W330" s="238"/>
      <c r="X330" s="1122" t="s">
        <v>1086</v>
      </c>
      <c r="Y330" s="256"/>
      <c r="Z330" s="1122" t="s">
        <v>1086</v>
      </c>
      <c r="AA330" s="643"/>
      <c r="AB330" s="256"/>
      <c r="AC330" s="1122"/>
      <c r="AD330" s="238"/>
      <c r="AE330" s="1122"/>
      <c r="AF330" s="256"/>
      <c r="AG330" s="1122"/>
      <c r="AH330" s="643"/>
      <c r="AI330" s="1122"/>
      <c r="AJ330" s="587"/>
      <c r="AK330" s="256"/>
      <c r="AL330" s="142"/>
      <c r="AM330" s="256"/>
      <c r="AN330" s="1122"/>
      <c r="AO330" s="256"/>
      <c r="AP330" s="1122"/>
      <c r="AQ330" s="643"/>
      <c r="AR330" s="643"/>
      <c r="AS330" s="256"/>
      <c r="AT330" s="256"/>
      <c r="AU330" s="256"/>
      <c r="AV330" s="256"/>
      <c r="AW330" s="256"/>
      <c r="AX330" s="256"/>
      <c r="AY330" s="256"/>
      <c r="AZ330" s="256"/>
      <c r="BA330" s="256"/>
      <c r="BB330" s="256"/>
      <c r="BC330" s="256"/>
      <c r="BD330" s="256"/>
      <c r="BE330" s="256"/>
      <c r="BF330" s="256"/>
      <c r="BG330" s="256"/>
      <c r="BH330" s="256"/>
      <c r="BI330" s="256"/>
      <c r="BJ330" s="256"/>
      <c r="BK330" s="256"/>
      <c r="BL330" s="256"/>
      <c r="BM330" s="256"/>
      <c r="BN330" s="256"/>
      <c r="BO330" s="1592"/>
      <c r="BP330" s="1492"/>
    </row>
    <row r="331" spans="1:68" hidden="1" outlineLevel="1">
      <c r="A331" s="256" t="str">
        <f>$A$42</f>
        <v>3Q</v>
      </c>
      <c r="B331" s="302" t="str">
        <f>$B$42</f>
        <v>Oct</v>
      </c>
      <c r="C331" s="256"/>
      <c r="D331" s="1122" t="s">
        <v>1086</v>
      </c>
      <c r="E331" s="256"/>
      <c r="F331" s="1122"/>
      <c r="G331" s="256"/>
      <c r="H331" s="2085" t="s">
        <v>1086</v>
      </c>
      <c r="I331" s="256"/>
      <c r="J331" s="1122" t="s">
        <v>1086</v>
      </c>
      <c r="K331" s="256"/>
      <c r="L331" s="1143">
        <f>Stores!K228-Stores!U228</f>
        <v>27</v>
      </c>
      <c r="M331" s="238"/>
      <c r="N331" s="811">
        <f>AVERAGE(L331,L330)</f>
        <v>26</v>
      </c>
      <c r="O331" s="256"/>
      <c r="P331" s="1122" t="s">
        <v>1086</v>
      </c>
      <c r="Q331" s="643"/>
      <c r="R331" s="1122" t="s">
        <v>1086</v>
      </c>
      <c r="S331" s="587"/>
      <c r="T331" s="256"/>
      <c r="U331" s="256"/>
      <c r="V331" s="1122" t="s">
        <v>1086</v>
      </c>
      <c r="W331" s="256"/>
      <c r="X331" s="1122" t="s">
        <v>1086</v>
      </c>
      <c r="Y331" s="256"/>
      <c r="Z331" s="1122" t="s">
        <v>1086</v>
      </c>
      <c r="AA331" s="643"/>
      <c r="AB331" s="256"/>
      <c r="AC331" s="1122"/>
      <c r="AD331" s="238"/>
      <c r="AE331" s="1122"/>
      <c r="AF331" s="256"/>
      <c r="AG331" s="1122"/>
      <c r="AH331" s="643"/>
      <c r="AI331" s="1122"/>
      <c r="AJ331" s="587"/>
      <c r="AK331" s="256"/>
      <c r="AL331" s="142"/>
      <c r="AM331" s="256"/>
      <c r="AN331" s="1122"/>
      <c r="AO331" s="256"/>
      <c r="AP331" s="1122"/>
      <c r="AQ331" s="643"/>
      <c r="AR331" s="643"/>
      <c r="AS331" s="256"/>
      <c r="AT331" s="256"/>
      <c r="AU331" s="256"/>
      <c r="AV331" s="256"/>
      <c r="AW331" s="256"/>
      <c r="AX331" s="256"/>
      <c r="AY331" s="256"/>
      <c r="AZ331" s="256"/>
      <c r="BA331" s="256"/>
      <c r="BB331" s="256"/>
      <c r="BC331" s="256"/>
      <c r="BD331" s="256"/>
      <c r="BE331" s="256"/>
      <c r="BF331" s="256"/>
      <c r="BG331" s="256"/>
      <c r="BH331" s="256"/>
      <c r="BI331" s="256"/>
      <c r="BJ331" s="256"/>
      <c r="BK331" s="256"/>
      <c r="BL331" s="256"/>
      <c r="BM331" s="256"/>
      <c r="BN331" s="256"/>
      <c r="BO331" s="1592"/>
      <c r="BP331" s="1492"/>
    </row>
    <row r="332" spans="1:68" hidden="1" outlineLevel="1">
      <c r="A332" s="256" t="str">
        <f>$A$43</f>
        <v>4Q</v>
      </c>
      <c r="B332" s="302" t="str">
        <f>$B$43</f>
        <v>Jan</v>
      </c>
      <c r="C332" s="256"/>
      <c r="D332" s="1123" t="s">
        <v>1086</v>
      </c>
      <c r="E332" s="256"/>
      <c r="F332" s="1123"/>
      <c r="G332" s="256"/>
      <c r="H332" s="2090" t="s">
        <v>1086</v>
      </c>
      <c r="I332" s="256"/>
      <c r="J332" s="1123" t="s">
        <v>1086</v>
      </c>
      <c r="K332" s="256"/>
      <c r="L332" s="1144">
        <f>Stores!K229-Stores!U229</f>
        <v>28</v>
      </c>
      <c r="M332" s="238"/>
      <c r="N332" s="820">
        <f>AVERAGE(L332,L331)</f>
        <v>27.5</v>
      </c>
      <c r="O332" s="256"/>
      <c r="P332" s="1123" t="s">
        <v>1086</v>
      </c>
      <c r="Q332" s="643"/>
      <c r="R332" s="1123" t="s">
        <v>1086</v>
      </c>
      <c r="S332" s="587"/>
      <c r="T332" s="256"/>
      <c r="U332" s="256"/>
      <c r="V332" s="1123" t="s">
        <v>1086</v>
      </c>
      <c r="W332" s="256"/>
      <c r="X332" s="1123" t="s">
        <v>1086</v>
      </c>
      <c r="Y332" s="256"/>
      <c r="Z332" s="1123" t="s">
        <v>1086</v>
      </c>
      <c r="AA332" s="643"/>
      <c r="AB332" s="256"/>
      <c r="AC332" s="1123"/>
      <c r="AD332" s="238"/>
      <c r="AE332" s="1123"/>
      <c r="AF332" s="256"/>
      <c r="AG332" s="1123"/>
      <c r="AH332" s="643"/>
      <c r="AI332" s="1123"/>
      <c r="AJ332" s="587"/>
      <c r="AK332" s="256"/>
      <c r="AL332" s="146"/>
      <c r="AM332" s="256"/>
      <c r="AN332" s="1123"/>
      <c r="AO332" s="256"/>
      <c r="AP332" s="1123"/>
      <c r="AQ332" s="643"/>
      <c r="AR332" s="643"/>
      <c r="AS332" s="256"/>
      <c r="AT332" s="256"/>
      <c r="AU332" s="256"/>
      <c r="AV332" s="256"/>
      <c r="AW332" s="256"/>
      <c r="AX332" s="256"/>
      <c r="AY332" s="256"/>
      <c r="AZ332" s="256"/>
      <c r="BA332" s="256"/>
      <c r="BB332" s="256"/>
      <c r="BC332" s="256"/>
      <c r="BD332" s="256"/>
      <c r="BE332" s="256"/>
      <c r="BF332" s="256"/>
      <c r="BG332" s="256"/>
      <c r="BH332" s="256"/>
      <c r="BI332" s="256"/>
      <c r="BJ332" s="256"/>
      <c r="BK332" s="256"/>
      <c r="BL332" s="256"/>
      <c r="BM332" s="256"/>
      <c r="BN332" s="256"/>
      <c r="BO332" s="1592"/>
      <c r="BP332" s="1492"/>
    </row>
    <row r="333" spans="1:68" hidden="1" outlineLevel="1">
      <c r="A333" s="256"/>
      <c r="B333" s="302" t="str">
        <f>$B$44</f>
        <v>Year</v>
      </c>
      <c r="C333" s="256"/>
      <c r="D333" s="1122" t="s">
        <v>1086</v>
      </c>
      <c r="E333" s="256"/>
      <c r="F333" s="1122"/>
      <c r="G333" s="256"/>
      <c r="H333" s="2085" t="s">
        <v>1086</v>
      </c>
      <c r="I333" s="256"/>
      <c r="J333" s="1122" t="s">
        <v>1086</v>
      </c>
      <c r="K333" s="256"/>
      <c r="L333" s="1143">
        <f>Stores!K230-Stores!U230</f>
        <v>28</v>
      </c>
      <c r="M333" s="256"/>
      <c r="N333" s="811">
        <f>AVERAGE(N329:N332)</f>
        <v>25.5</v>
      </c>
      <c r="O333" s="256"/>
      <c r="P333" s="1122" t="s">
        <v>1086</v>
      </c>
      <c r="Q333" s="643"/>
      <c r="R333" s="1122" t="s">
        <v>1086</v>
      </c>
      <c r="S333" s="587"/>
      <c r="T333" s="256"/>
      <c r="U333" s="256"/>
      <c r="V333" s="1122" t="s">
        <v>1086</v>
      </c>
      <c r="W333" s="256"/>
      <c r="X333" s="1122" t="s">
        <v>1086</v>
      </c>
      <c r="Y333" s="256"/>
      <c r="Z333" s="1122" t="s">
        <v>1086</v>
      </c>
      <c r="AA333" s="643"/>
      <c r="AB333" s="256"/>
      <c r="AC333" s="1122"/>
      <c r="AD333" s="256"/>
      <c r="AE333" s="1122"/>
      <c r="AF333" s="256"/>
      <c r="AG333" s="1122"/>
      <c r="AH333" s="643"/>
      <c r="AI333" s="1122"/>
      <c r="AJ333" s="587"/>
      <c r="AK333" s="256"/>
      <c r="AL333" s="141"/>
      <c r="AM333" s="256"/>
      <c r="AN333" s="1122"/>
      <c r="AO333" s="256"/>
      <c r="AP333" s="1122"/>
      <c r="AQ333" s="643"/>
      <c r="AR333" s="643"/>
      <c r="AS333" s="256"/>
      <c r="AT333" s="256"/>
      <c r="AU333" s="256"/>
      <c r="AV333" s="256"/>
      <c r="AW333" s="256"/>
      <c r="AX333" s="256"/>
      <c r="AY333" s="256"/>
      <c r="AZ333" s="256"/>
      <c r="BA333" s="256"/>
      <c r="BB333" s="256"/>
      <c r="BC333" s="256"/>
      <c r="BD333" s="256"/>
      <c r="BE333" s="256"/>
      <c r="BF333" s="256"/>
      <c r="BG333" s="256"/>
      <c r="BH333" s="256"/>
      <c r="BI333" s="256"/>
      <c r="BJ333" s="256"/>
      <c r="BK333" s="256"/>
      <c r="BL333" s="256"/>
      <c r="BM333" s="256"/>
      <c r="BN333" s="256"/>
      <c r="BO333" s="587"/>
      <c r="BP333" s="587"/>
    </row>
    <row r="334" spans="1:68" ht="13.5" hidden="1" outlineLevel="1" thickBot="1">
      <c r="A334" s="256"/>
      <c r="B334" s="302"/>
      <c r="C334" s="256"/>
      <c r="D334" s="256"/>
      <c r="E334" s="256"/>
      <c r="F334" s="297"/>
      <c r="G334" s="256"/>
      <c r="H334" s="2091"/>
      <c r="I334" s="256"/>
      <c r="J334" s="256"/>
      <c r="K334" s="256"/>
      <c r="L334" s="256"/>
      <c r="M334" s="256"/>
      <c r="N334" s="256"/>
      <c r="O334" s="256"/>
      <c r="P334" s="256"/>
      <c r="Q334" s="643"/>
      <c r="R334" s="256"/>
      <c r="S334" s="256"/>
      <c r="T334" s="256"/>
      <c r="U334" s="256"/>
      <c r="V334" s="256"/>
      <c r="W334" s="256"/>
      <c r="X334" s="256"/>
      <c r="Y334" s="256"/>
      <c r="Z334" s="256"/>
      <c r="AA334" s="256"/>
      <c r="AB334" s="256"/>
      <c r="AC334" s="256"/>
      <c r="AD334" s="256"/>
      <c r="AE334" s="256"/>
      <c r="AF334" s="256"/>
      <c r="AG334" s="256"/>
      <c r="AH334" s="643"/>
      <c r="AI334" s="256"/>
      <c r="AJ334" s="256"/>
      <c r="AK334" s="256"/>
      <c r="AL334" s="256"/>
      <c r="AM334" s="256"/>
      <c r="AN334" s="256"/>
      <c r="AO334" s="256"/>
      <c r="AP334" s="320"/>
      <c r="AQ334" s="256"/>
      <c r="AR334" s="256"/>
      <c r="AS334" s="256"/>
      <c r="AT334" s="256"/>
      <c r="AU334" s="256"/>
      <c r="AV334" s="256"/>
      <c r="AW334" s="256"/>
      <c r="AX334" s="256"/>
      <c r="AY334" s="256"/>
      <c r="BH334" s="256"/>
      <c r="BI334" s="256"/>
      <c r="BJ334" s="256"/>
      <c r="BK334" s="256"/>
      <c r="BL334" s="256"/>
      <c r="BM334" s="256"/>
      <c r="BN334" s="256"/>
      <c r="BO334" s="587"/>
      <c r="BP334" s="587"/>
    </row>
    <row r="335" spans="1:68" ht="13.5" hidden="1" outlineLevel="1" thickBot="1">
      <c r="A335" s="810"/>
      <c r="B335" s="171">
        <f>+B328+1</f>
        <v>2007</v>
      </c>
      <c r="C335" s="256"/>
      <c r="D335" s="256"/>
      <c r="E335" s="643"/>
      <c r="F335" s="297"/>
      <c r="G335" s="643"/>
      <c r="H335" s="2091"/>
      <c r="I335" s="643"/>
      <c r="J335" s="256"/>
      <c r="K335" s="643"/>
      <c r="L335" s="256"/>
      <c r="M335" s="256"/>
      <c r="N335" s="256"/>
      <c r="O335" s="256"/>
      <c r="P335" s="256"/>
      <c r="Q335" s="643"/>
      <c r="R335" s="587"/>
      <c r="S335" s="587"/>
      <c r="T335" s="256"/>
      <c r="U335" s="256"/>
      <c r="V335" s="256"/>
      <c r="W335" s="256"/>
      <c r="X335" s="256"/>
      <c r="Y335" s="256"/>
      <c r="Z335" s="256"/>
      <c r="AA335" s="643"/>
      <c r="AB335" s="256"/>
      <c r="AC335" s="256"/>
      <c r="AD335" s="256"/>
      <c r="AE335" s="256"/>
      <c r="AF335" s="256"/>
      <c r="AG335" s="256"/>
      <c r="AH335" s="643"/>
      <c r="AI335" s="587"/>
      <c r="AJ335" s="587"/>
      <c r="AK335" s="256"/>
      <c r="AL335" s="256"/>
      <c r="AM335" s="256"/>
      <c r="AN335" s="256"/>
      <c r="AO335" s="256"/>
      <c r="AP335" s="320"/>
      <c r="AQ335" s="643"/>
      <c r="AR335" s="643"/>
      <c r="AS335" s="256"/>
      <c r="AT335" s="256"/>
      <c r="AU335" s="256"/>
      <c r="AV335" s="256"/>
      <c r="AW335" s="256"/>
      <c r="AX335" s="256"/>
      <c r="AZ335" s="1605"/>
      <c r="BA335" s="238"/>
      <c r="BB335" s="256"/>
      <c r="BC335" s="1605"/>
      <c r="BD335" s="238"/>
      <c r="BF335" s="1605"/>
      <c r="BG335" s="238"/>
      <c r="BH335" s="256"/>
      <c r="BI335" s="256"/>
      <c r="BJ335" s="256"/>
      <c r="BK335" s="256"/>
      <c r="BL335" s="256"/>
      <c r="BM335" s="256"/>
      <c r="BN335" s="256"/>
      <c r="BO335" s="587"/>
      <c r="BP335" s="587"/>
    </row>
    <row r="336" spans="1:68" hidden="1" outlineLevel="1">
      <c r="A336" s="256" t="str">
        <f>$A$40</f>
        <v>1Q</v>
      </c>
      <c r="B336" s="302" t="str">
        <f>$B$40</f>
        <v>Apr</v>
      </c>
      <c r="C336" s="256"/>
      <c r="D336" s="1122" t="s">
        <v>1086</v>
      </c>
      <c r="E336" s="643" t="s">
        <v>1970</v>
      </c>
      <c r="F336" s="297"/>
      <c r="G336" s="643"/>
      <c r="H336" s="2097">
        <f>'segSales&amp;comps'!S159</f>
        <v>2</v>
      </c>
      <c r="I336" s="643" t="s">
        <v>1970</v>
      </c>
      <c r="J336" s="1122" t="s">
        <v>1086</v>
      </c>
      <c r="K336" s="643" t="s">
        <v>1970</v>
      </c>
      <c r="L336" s="948">
        <f>Stores!K233-Stores!U233</f>
        <v>30</v>
      </c>
      <c r="M336" s="256"/>
      <c r="N336" s="811">
        <f>AVERAGE(L336,L332)</f>
        <v>29</v>
      </c>
      <c r="O336" s="256"/>
      <c r="P336" s="288">
        <f>(N336/N329-1)*100</f>
        <v>20.833333333333325</v>
      </c>
      <c r="Q336" s="643" t="s">
        <v>1970</v>
      </c>
      <c r="R336" s="1122" t="s">
        <v>1086</v>
      </c>
      <c r="S336" s="587" t="s">
        <v>1970</v>
      </c>
      <c r="T336" s="256"/>
      <c r="U336" s="256"/>
      <c r="V336" s="296">
        <f>'segSales&amp;comps'!Q159-'segSales&amp;comps'!W159</f>
        <v>72.255061946902629</v>
      </c>
      <c r="W336" s="238"/>
      <c r="X336" s="813">
        <f>V336/N336</f>
        <v>2.4915538602380218</v>
      </c>
      <c r="Y336" s="256"/>
      <c r="Z336" s="1122" t="s">
        <v>1086</v>
      </c>
      <c r="AA336" s="643" t="s">
        <v>1970</v>
      </c>
      <c r="AB336" s="256"/>
      <c r="AC336" s="1017"/>
      <c r="AD336" s="256"/>
      <c r="AE336" s="816"/>
      <c r="AF336" s="256"/>
      <c r="AG336" s="288"/>
      <c r="AH336" s="643"/>
      <c r="AI336" s="812"/>
      <c r="AJ336" s="587"/>
      <c r="AK336" s="256"/>
      <c r="AL336" s="296"/>
      <c r="AM336" s="256"/>
      <c r="AN336" s="817"/>
      <c r="AO336" s="256"/>
      <c r="AP336" s="320"/>
      <c r="AQ336" s="643"/>
      <c r="AR336" s="643"/>
      <c r="AS336" s="1477"/>
      <c r="AT336" s="1477"/>
      <c r="AU336" s="1477"/>
      <c r="AV336" s="1477"/>
      <c r="AW336" s="1477"/>
      <c r="AX336" s="1477"/>
      <c r="AZ336" s="1017">
        <v>0.12922314217608397</v>
      </c>
      <c r="BA336" s="1167"/>
      <c r="BB336" s="1167"/>
      <c r="BC336" s="1017">
        <v>1.0668753793729468E-3</v>
      </c>
      <c r="BD336" s="1167"/>
      <c r="BF336" s="1017"/>
      <c r="BG336" s="1167"/>
      <c r="BH336" s="256"/>
      <c r="BI336" s="256"/>
      <c r="BJ336" s="256"/>
      <c r="BK336" s="1017"/>
      <c r="BL336" s="256"/>
      <c r="BM336" s="256"/>
      <c r="BN336" s="256"/>
      <c r="BO336" s="1592"/>
      <c r="BP336" s="1492"/>
    </row>
    <row r="337" spans="1:68" hidden="1" outlineLevel="1">
      <c r="A337" s="256" t="str">
        <f>$A$41</f>
        <v>2Q</v>
      </c>
      <c r="B337" s="302" t="str">
        <f>$B$41</f>
        <v>Jul</v>
      </c>
      <c r="C337" s="256"/>
      <c r="D337" s="1122" t="s">
        <v>1086</v>
      </c>
      <c r="E337" s="256"/>
      <c r="F337" s="297"/>
      <c r="G337" s="256"/>
      <c r="H337" s="2091">
        <f>'segSales&amp;comps'!AD160</f>
        <v>24</v>
      </c>
      <c r="I337" s="256"/>
      <c r="J337" s="1122" t="s">
        <v>1086</v>
      </c>
      <c r="K337" s="256"/>
      <c r="L337" s="948">
        <f>Stores!K234-Stores!U234</f>
        <v>30</v>
      </c>
      <c r="M337" s="256"/>
      <c r="N337" s="811">
        <f>AVERAGE(L337,L336)</f>
        <v>30</v>
      </c>
      <c r="O337" s="256"/>
      <c r="P337" s="288">
        <f>(N337/N330-1)*100</f>
        <v>22.448979591836739</v>
      </c>
      <c r="Q337" s="643"/>
      <c r="R337" s="1122" t="s">
        <v>1086</v>
      </c>
      <c r="S337" s="587"/>
      <c r="T337" s="256"/>
      <c r="U337" s="256"/>
      <c r="V337" s="315">
        <f>'segSales&amp;comps'!Q160-'segSales&amp;comps'!W160</f>
        <v>77.093250000000012</v>
      </c>
      <c r="W337" s="238"/>
      <c r="X337" s="818">
        <f>V337/N337</f>
        <v>2.5697750000000004</v>
      </c>
      <c r="Y337" s="256"/>
      <c r="Z337" s="1122" t="s">
        <v>1086</v>
      </c>
      <c r="AA337" s="643"/>
      <c r="AB337" s="256"/>
      <c r="AC337" s="1017"/>
      <c r="AD337" s="238"/>
      <c r="AE337" s="816"/>
      <c r="AF337" s="256"/>
      <c r="AG337" s="288"/>
      <c r="AH337" s="643"/>
      <c r="AI337" s="812"/>
      <c r="AJ337" s="587"/>
      <c r="AK337" s="256"/>
      <c r="AL337" s="315"/>
      <c r="AM337" s="256"/>
      <c r="AN337" s="817"/>
      <c r="AO337" s="256"/>
      <c r="AP337" s="320"/>
      <c r="AQ337" s="643"/>
      <c r="AR337" s="643"/>
      <c r="AS337" s="1477"/>
      <c r="AT337" s="1477"/>
      <c r="AU337" s="1477"/>
      <c r="AV337" s="1477"/>
      <c r="AW337" s="1477"/>
      <c r="AX337" s="1477"/>
      <c r="AZ337" s="1017">
        <v>0.13105338314470419</v>
      </c>
      <c r="BA337" s="1167"/>
      <c r="BB337" s="1167"/>
      <c r="BC337" s="1017">
        <v>1.0810581171400812E-3</v>
      </c>
      <c r="BD337" s="1167"/>
      <c r="BF337" s="1017"/>
      <c r="BG337" s="1167"/>
      <c r="BH337" s="256"/>
      <c r="BI337" s="256"/>
      <c r="BJ337" s="256"/>
      <c r="BK337" s="1017"/>
      <c r="BL337" s="256"/>
      <c r="BM337" s="256"/>
      <c r="BN337" s="256"/>
      <c r="BO337" s="1592"/>
      <c r="BP337" s="1492"/>
    </row>
    <row r="338" spans="1:68" hidden="1" outlineLevel="1">
      <c r="A338" s="256" t="str">
        <f>$A$42</f>
        <v>3Q</v>
      </c>
      <c r="B338" s="302" t="str">
        <f>$B$42</f>
        <v>Oct</v>
      </c>
      <c r="C338" s="256"/>
      <c r="D338" s="1122" t="s">
        <v>1086</v>
      </c>
      <c r="E338" s="256"/>
      <c r="F338" s="297"/>
      <c r="G338" s="256"/>
      <c r="H338" s="2091">
        <f>'segSales&amp;comps'!AD161</f>
        <v>29</v>
      </c>
      <c r="I338" s="256"/>
      <c r="J338" s="1122" t="s">
        <v>1086</v>
      </c>
      <c r="K338" s="256"/>
      <c r="L338" s="948">
        <f>Stores!K235-Stores!U235</f>
        <v>34</v>
      </c>
      <c r="M338" s="238"/>
      <c r="N338" s="811">
        <f>AVERAGE(L338,L337)</f>
        <v>32</v>
      </c>
      <c r="O338" s="256"/>
      <c r="P338" s="288">
        <f>(N338/N331-1)*100</f>
        <v>23.076923076923084</v>
      </c>
      <c r="Q338" s="643"/>
      <c r="R338" s="1122" t="s">
        <v>1086</v>
      </c>
      <c r="S338" s="587"/>
      <c r="T338" s="256"/>
      <c r="U338" s="256"/>
      <c r="V338" s="315">
        <f>'segSales&amp;comps'!Q161-'segSales&amp;comps'!W161</f>
        <v>87.034356435643559</v>
      </c>
      <c r="W338" s="256"/>
      <c r="X338" s="818">
        <f>V338/N338</f>
        <v>2.7198236386138612</v>
      </c>
      <c r="Y338" s="256"/>
      <c r="Z338" s="1122" t="s">
        <v>1086</v>
      </c>
      <c r="AA338" s="643"/>
      <c r="AB338" s="256"/>
      <c r="AC338" s="1017"/>
      <c r="AD338" s="238"/>
      <c r="AE338" s="816"/>
      <c r="AF338" s="256"/>
      <c r="AG338" s="288"/>
      <c r="AH338" s="643"/>
      <c r="AI338" s="812"/>
      <c r="AJ338" s="587"/>
      <c r="AK338" s="256"/>
      <c r="AL338" s="315"/>
      <c r="AM338" s="256"/>
      <c r="AN338" s="817"/>
      <c r="AO338" s="256"/>
      <c r="AP338" s="320"/>
      <c r="AQ338" s="643"/>
      <c r="AR338" s="643"/>
      <c r="AS338" s="1477"/>
      <c r="AT338" s="1477"/>
      <c r="AU338" s="1477"/>
      <c r="AV338" s="1477"/>
      <c r="AW338" s="1477"/>
      <c r="AX338" s="1477"/>
      <c r="AZ338" s="1017">
        <v>0.13271753213496035</v>
      </c>
      <c r="BA338" s="1167"/>
      <c r="BB338" s="1167"/>
      <c r="BC338" s="1017">
        <v>1.0793194492897714E-3</v>
      </c>
      <c r="BD338" s="1167"/>
      <c r="BF338" s="1017"/>
      <c r="BG338" s="1167"/>
      <c r="BH338" s="256"/>
      <c r="BI338" s="256"/>
      <c r="BJ338" s="256"/>
      <c r="BK338" s="1017"/>
      <c r="BL338" s="256"/>
      <c r="BM338" s="256"/>
      <c r="BN338" s="256"/>
      <c r="BO338" s="1592"/>
      <c r="BP338" s="1492"/>
    </row>
    <row r="339" spans="1:68" hidden="1" outlineLevel="1">
      <c r="A339" s="256" t="str">
        <f>$A$43</f>
        <v>4Q</v>
      </c>
      <c r="B339" s="302" t="str">
        <f>$B$43</f>
        <v>Jan</v>
      </c>
      <c r="C339" s="256"/>
      <c r="D339" s="1123" t="s">
        <v>1086</v>
      </c>
      <c r="E339" s="256"/>
      <c r="F339" s="298"/>
      <c r="G339" s="256"/>
      <c r="H339" s="2095">
        <f>'segSales&amp;comps'!AD162</f>
        <v>28</v>
      </c>
      <c r="I339" s="256"/>
      <c r="J339" s="1123" t="s">
        <v>1086</v>
      </c>
      <c r="K339" s="256"/>
      <c r="L339" s="949">
        <f>Stores!K236-Stores!U236</f>
        <v>34</v>
      </c>
      <c r="M339" s="238"/>
      <c r="N339" s="820">
        <f>AVERAGE(L339,L338)</f>
        <v>34</v>
      </c>
      <c r="O339" s="256"/>
      <c r="P339" s="318">
        <f>(N339/N332-1)*100</f>
        <v>23.636363636363633</v>
      </c>
      <c r="Q339" s="643"/>
      <c r="R339" s="1123" t="s">
        <v>1086</v>
      </c>
      <c r="S339" s="587"/>
      <c r="T339" s="256"/>
      <c r="U339" s="256"/>
      <c r="V339" s="316">
        <f>'segSales&amp;comps'!Q162-'segSales&amp;comps'!W162</f>
        <v>118.91280769230772</v>
      </c>
      <c r="W339" s="256"/>
      <c r="X339" s="821">
        <f>V339/N339</f>
        <v>3.497435520361992</v>
      </c>
      <c r="Y339" s="256"/>
      <c r="Z339" s="1123" t="s">
        <v>1086</v>
      </c>
      <c r="AA339" s="643"/>
      <c r="AB339" s="256"/>
      <c r="AC339" s="1017"/>
      <c r="AD339" s="238"/>
      <c r="AE339" s="822"/>
      <c r="AF339" s="256"/>
      <c r="AG339" s="288"/>
      <c r="AH339" s="643"/>
      <c r="AI339" s="812"/>
      <c r="AJ339" s="587"/>
      <c r="AK339" s="256"/>
      <c r="AL339" s="316"/>
      <c r="AM339" s="256"/>
      <c r="AN339" s="950"/>
      <c r="AO339" s="256"/>
      <c r="AP339" s="320"/>
      <c r="AQ339" s="643"/>
      <c r="AR339" s="643"/>
      <c r="AS339" s="1477"/>
      <c r="AT339" s="1477"/>
      <c r="AU339" s="1477"/>
      <c r="AV339" s="1477"/>
      <c r="AW339" s="1477"/>
      <c r="AX339" s="1477"/>
      <c r="AZ339" s="1601">
        <v>0.13610380119639051</v>
      </c>
      <c r="BA339" s="1602"/>
      <c r="BB339" s="256"/>
      <c r="BC339" s="1601">
        <v>1.0750066610472357E-3</v>
      </c>
      <c r="BD339" s="1602"/>
      <c r="BF339" s="1601"/>
      <c r="BG339" s="1602"/>
      <c r="BH339" s="256"/>
      <c r="BI339" s="256"/>
      <c r="BJ339" s="256"/>
      <c r="BK339" s="1017"/>
      <c r="BL339" s="256"/>
      <c r="BM339" s="256"/>
      <c r="BN339" s="256"/>
      <c r="BO339" s="1592"/>
      <c r="BP339" s="1492"/>
    </row>
    <row r="340" spans="1:68" hidden="1" outlineLevel="1">
      <c r="A340" s="256"/>
      <c r="B340" s="302" t="str">
        <f>$B$44</f>
        <v>Year</v>
      </c>
      <c r="C340" s="256"/>
      <c r="D340" s="1122" t="s">
        <v>1086</v>
      </c>
      <c r="E340" s="256"/>
      <c r="F340" s="297"/>
      <c r="G340" s="256"/>
      <c r="H340" s="2097">
        <f>'segSales&amp;comps'!AD163</f>
        <v>0</v>
      </c>
      <c r="I340" s="256"/>
      <c r="J340" s="1122" t="s">
        <v>1086</v>
      </c>
      <c r="K340" s="256"/>
      <c r="L340" s="951">
        <f>Stores!K237-Stores!U237</f>
        <v>34</v>
      </c>
      <c r="M340" s="256"/>
      <c r="N340" s="811">
        <f>AVERAGE(N336:N339)</f>
        <v>31.25</v>
      </c>
      <c r="O340" s="256"/>
      <c r="P340" s="288">
        <f>(N340/N333-1)*100</f>
        <v>22.549019607843146</v>
      </c>
      <c r="Q340" s="643"/>
      <c r="R340" s="1122" t="s">
        <v>1086</v>
      </c>
      <c r="S340" s="587"/>
      <c r="T340" s="256"/>
      <c r="U340" s="256"/>
      <c r="V340" s="296">
        <f>SUM(V336:V339)</f>
        <v>355.29547607485392</v>
      </c>
      <c r="W340" s="256"/>
      <c r="X340" s="813">
        <f>SUM(X336:X339)</f>
        <v>11.278588019213876</v>
      </c>
      <c r="Y340" s="256"/>
      <c r="Z340" s="1122" t="s">
        <v>1086</v>
      </c>
      <c r="AA340" s="643"/>
      <c r="AB340" s="256"/>
      <c r="AC340" s="815"/>
      <c r="AD340" s="256"/>
      <c r="AE340" s="816"/>
      <c r="AF340" s="256"/>
      <c r="AG340" s="288"/>
      <c r="AH340" s="643"/>
      <c r="AI340" s="812"/>
      <c r="AJ340" s="587"/>
      <c r="AK340" s="256"/>
      <c r="AL340" s="296"/>
      <c r="AM340" s="256"/>
      <c r="AN340" s="817"/>
      <c r="AO340" s="256"/>
      <c r="AP340" s="320"/>
      <c r="AQ340" s="643"/>
      <c r="AR340" s="643"/>
      <c r="AS340" s="256"/>
      <c r="AT340" s="256"/>
      <c r="AU340" s="256"/>
      <c r="AV340" s="256"/>
      <c r="AW340" s="256"/>
      <c r="AX340" s="256"/>
      <c r="AZ340" s="1017">
        <v>0.1322472926860179</v>
      </c>
      <c r="BA340" s="1167"/>
      <c r="BB340" s="1167"/>
      <c r="BC340" s="1017">
        <v>1.0756396950130935E-3</v>
      </c>
      <c r="BD340" s="1167"/>
      <c r="BF340" s="1017"/>
      <c r="BG340" s="1167"/>
      <c r="BH340" s="256"/>
      <c r="BI340" s="256"/>
      <c r="BJ340" s="256"/>
      <c r="BK340" s="1017"/>
      <c r="BL340" s="256"/>
      <c r="BM340" s="256"/>
      <c r="BN340" s="302"/>
      <c r="BO340" s="587"/>
      <c r="BP340" s="587"/>
    </row>
    <row r="341" spans="1:68" ht="13.5" hidden="1" outlineLevel="1" thickBot="1">
      <c r="A341" s="256"/>
      <c r="B341" s="302"/>
      <c r="C341" s="256"/>
      <c r="D341" s="288"/>
      <c r="E341" s="256"/>
      <c r="F341" s="297"/>
      <c r="G341" s="256"/>
      <c r="H341" s="2091"/>
      <c r="I341" s="256"/>
      <c r="J341" s="288"/>
      <c r="K341" s="256"/>
      <c r="L341" s="1033"/>
      <c r="M341" s="256"/>
      <c r="N341" s="811"/>
      <c r="O341" s="256"/>
      <c r="P341" s="288"/>
      <c r="Q341" s="643"/>
      <c r="R341" s="812"/>
      <c r="S341" s="587"/>
      <c r="T341" s="256"/>
      <c r="U341" s="256"/>
      <c r="V341" s="296"/>
      <c r="W341" s="256"/>
      <c r="X341" s="813"/>
      <c r="Y341" s="256"/>
      <c r="Z341" s="814"/>
      <c r="AA341" s="643"/>
      <c r="AB341" s="256"/>
      <c r="AC341" s="815"/>
      <c r="AD341" s="256"/>
      <c r="AE341" s="816"/>
      <c r="AF341" s="256"/>
      <c r="AG341" s="288"/>
      <c r="AH341" s="643"/>
      <c r="AI341" s="812"/>
      <c r="AJ341" s="587"/>
      <c r="AK341" s="256"/>
      <c r="AL341" s="296"/>
      <c r="AM341" s="256"/>
      <c r="AN341" s="817"/>
      <c r="AO341" s="256"/>
      <c r="AP341" s="320"/>
      <c r="AQ341" s="643"/>
      <c r="AR341" s="643"/>
      <c r="AS341" s="256"/>
      <c r="AT341" s="256"/>
      <c r="AU341" s="256"/>
      <c r="AV341" s="256"/>
      <c r="AW341" s="256"/>
      <c r="AX341" s="256"/>
      <c r="AZ341" s="256"/>
      <c r="BA341" s="256"/>
      <c r="BB341" s="256"/>
      <c r="BC341" s="288"/>
      <c r="BD341" s="256"/>
      <c r="BE341" s="256"/>
      <c r="BF341" s="256"/>
      <c r="BG341" s="256"/>
      <c r="BH341" s="256"/>
      <c r="BI341" s="256"/>
      <c r="BJ341" s="256"/>
      <c r="BK341" s="256"/>
      <c r="BL341" s="256"/>
      <c r="BM341" s="256"/>
      <c r="BN341" s="256"/>
      <c r="BO341" s="587"/>
      <c r="BP341" s="587"/>
    </row>
    <row r="342" spans="1:68" ht="13.5" hidden="1" outlineLevel="1" thickBot="1">
      <c r="A342" s="810"/>
      <c r="B342" s="171">
        <f>+B335+1</f>
        <v>2008</v>
      </c>
      <c r="C342" s="256"/>
      <c r="D342" s="256"/>
      <c r="E342" s="643"/>
      <c r="F342" s="1473"/>
      <c r="G342" s="643"/>
      <c r="H342" s="2091"/>
      <c r="I342" s="643"/>
      <c r="J342" s="256"/>
      <c r="K342" s="643"/>
      <c r="L342" s="256"/>
      <c r="M342" s="256"/>
      <c r="N342" s="256"/>
      <c r="O342" s="256"/>
      <c r="P342" s="256"/>
      <c r="Q342" s="643"/>
      <c r="R342" s="587"/>
      <c r="S342" s="587"/>
      <c r="T342" s="256"/>
      <c r="U342" s="256"/>
      <c r="V342" s="256"/>
      <c r="W342" s="256"/>
      <c r="X342" s="256"/>
      <c r="Y342" s="256"/>
      <c r="Z342" s="256"/>
      <c r="AA342" s="643"/>
      <c r="AB342" s="256"/>
      <c r="AC342" s="256"/>
      <c r="AD342" s="256"/>
      <c r="AE342" s="256"/>
      <c r="AF342" s="256"/>
      <c r="AG342" s="256"/>
      <c r="AH342" s="643"/>
      <c r="AI342" s="587"/>
      <c r="AJ342" s="587"/>
      <c r="AK342" s="256"/>
      <c r="AL342" s="256"/>
      <c r="AM342" s="256"/>
      <c r="AN342" s="256"/>
      <c r="AO342" s="256"/>
      <c r="AP342" s="320"/>
      <c r="AQ342" s="643"/>
      <c r="AR342" s="643"/>
      <c r="AS342" s="256"/>
      <c r="AT342" s="256"/>
      <c r="AU342" s="256"/>
      <c r="AV342" s="256"/>
      <c r="AW342" s="256"/>
      <c r="AX342" s="256"/>
      <c r="AZ342" s="1605">
        <v>0.4</v>
      </c>
      <c r="BA342" s="238"/>
      <c r="BB342" s="256"/>
      <c r="BC342" s="1605">
        <v>0.3</v>
      </c>
      <c r="BD342" s="238"/>
      <c r="BF342" s="1605"/>
      <c r="BG342" s="238"/>
      <c r="BH342" s="256"/>
      <c r="BI342" s="256"/>
      <c r="BJ342" s="256"/>
      <c r="BK342" s="256"/>
      <c r="BL342" s="256"/>
      <c r="BM342" s="256"/>
      <c r="BN342" s="256"/>
      <c r="BO342" s="587"/>
      <c r="BP342" s="587"/>
    </row>
    <row r="343" spans="1:68" hidden="1" outlineLevel="1">
      <c r="A343" s="256" t="str">
        <f>$A$40</f>
        <v>1Q</v>
      </c>
      <c r="B343" s="302" t="str">
        <f>$B$40</f>
        <v>Apr</v>
      </c>
      <c r="C343" s="256"/>
      <c r="D343" s="288">
        <f>(V343/V336-1)*100</f>
        <v>26.035460417875655</v>
      </c>
      <c r="E343" s="643" t="s">
        <v>1970</v>
      </c>
      <c r="F343" s="1473">
        <v>6</v>
      </c>
      <c r="G343" s="643"/>
      <c r="H343" s="2091">
        <f>'segSales&amp;comps'!AD166</f>
        <v>22</v>
      </c>
      <c r="I343" s="643" t="s">
        <v>1970</v>
      </c>
      <c r="J343" s="288">
        <f>D343-H343-F343</f>
        <v>-1.9645395821243454</v>
      </c>
      <c r="K343" s="643" t="s">
        <v>1970</v>
      </c>
      <c r="L343" s="948">
        <f>Stores!K240</f>
        <v>36</v>
      </c>
      <c r="M343" s="256"/>
      <c r="N343" s="811">
        <f>AVERAGE(L343,L339)</f>
        <v>35</v>
      </c>
      <c r="O343" s="256"/>
      <c r="P343" s="288">
        <f>(N343/N336-1)*100</f>
        <v>20.68965517241379</v>
      </c>
      <c r="Q343" s="643" t="s">
        <v>1970</v>
      </c>
      <c r="R343" s="812">
        <f>J343/P343*100</f>
        <v>-9.4952746469343374</v>
      </c>
      <c r="S343" s="587" t="s">
        <v>1970</v>
      </c>
      <c r="T343" s="256"/>
      <c r="U343" s="256"/>
      <c r="V343" s="296">
        <f>'segSales&amp;comps'!Q166</f>
        <v>91.066999999999993</v>
      </c>
      <c r="W343" s="238"/>
      <c r="X343" s="813">
        <f>V343/N343</f>
        <v>2.6019142857142854</v>
      </c>
      <c r="Y343" s="256"/>
      <c r="Z343" s="814">
        <f>(X343/X336-1)*100</f>
        <v>4.4293814890969507</v>
      </c>
      <c r="AA343" s="643" t="s">
        <v>1970</v>
      </c>
      <c r="AB343" s="256"/>
      <c r="AC343" s="1017"/>
      <c r="AD343" s="256"/>
      <c r="AE343" s="1122" t="s">
        <v>1086</v>
      </c>
      <c r="AF343" s="256"/>
      <c r="AG343" s="1122" t="s">
        <v>1086</v>
      </c>
      <c r="AH343" s="643" t="s">
        <v>1970</v>
      </c>
      <c r="AI343" s="1122" t="s">
        <v>1086</v>
      </c>
      <c r="AJ343" s="587" t="s">
        <v>1970</v>
      </c>
      <c r="AK343" s="256"/>
      <c r="AL343" s="296">
        <f>+V343</f>
        <v>91.066999999999993</v>
      </c>
      <c r="AM343" s="256" t="s">
        <v>505</v>
      </c>
      <c r="AN343" s="1122" t="s">
        <v>1086</v>
      </c>
      <c r="AO343" s="256"/>
      <c r="AP343" s="1122" t="s">
        <v>1086</v>
      </c>
      <c r="AQ343" s="643" t="s">
        <v>1970</v>
      </c>
      <c r="AR343" s="643"/>
      <c r="AS343" s="1477"/>
      <c r="AT343" s="1477"/>
      <c r="AU343" s="1477"/>
      <c r="AV343" s="1477"/>
      <c r="AW343" s="1477"/>
      <c r="AX343" s="1477"/>
      <c r="AZ343" s="1017">
        <v>0.1412277376069577</v>
      </c>
      <c r="BA343" s="1167">
        <f>+(AZ343/AZ336-1)*100</f>
        <v>9.2898185485351004</v>
      </c>
      <c r="BB343" s="1609" t="s">
        <v>1970</v>
      </c>
      <c r="BC343" s="1017">
        <v>1.030375244210565E-3</v>
      </c>
      <c r="BD343" s="1167">
        <f>+(BC343/BC336-1)*100</f>
        <v>-3.421218247986435</v>
      </c>
      <c r="BF343" s="1017"/>
      <c r="BG343" s="1167"/>
      <c r="BH343" s="1167"/>
      <c r="BI343" s="1479">
        <f>(AZ342*BA343)+(BC342*BD343)+(BF342*BG343)</f>
        <v>2.6895619450181094</v>
      </c>
      <c r="BJ343" s="643" t="s">
        <v>1970</v>
      </c>
      <c r="BK343" s="297">
        <f>F343</f>
        <v>6</v>
      </c>
      <c r="BL343" s="643" t="s">
        <v>1970</v>
      </c>
      <c r="BM343" s="256"/>
      <c r="BN343" s="256"/>
      <c r="BO343" s="1592"/>
      <c r="BP343" s="1492"/>
    </row>
    <row r="344" spans="1:68" hidden="1" outlineLevel="1">
      <c r="A344" s="256" t="str">
        <f>$A$41</f>
        <v>2Q</v>
      </c>
      <c r="B344" s="302" t="str">
        <f>$B$41</f>
        <v>Jul</v>
      </c>
      <c r="C344" s="256"/>
      <c r="D344" s="288">
        <f>(V344/V337-1)*100</f>
        <v>13.850434376550469</v>
      </c>
      <c r="E344" s="256"/>
      <c r="F344" s="1473">
        <v>5</v>
      </c>
      <c r="G344" s="256"/>
      <c r="H344" s="2091">
        <f>'segSales&amp;comps'!AD167</f>
        <v>13</v>
      </c>
      <c r="I344" s="256"/>
      <c r="J344" s="288">
        <f>D344-H344-F344</f>
        <v>-4.1495656234495311</v>
      </c>
      <c r="K344" s="256"/>
      <c r="L344" s="948">
        <f>Stores!K241</f>
        <v>38</v>
      </c>
      <c r="M344" s="256"/>
      <c r="N344" s="811">
        <f>AVERAGE(L344,L343)</f>
        <v>37</v>
      </c>
      <c r="O344" s="256"/>
      <c r="P344" s="288">
        <f>(N344/N337-1)*100</f>
        <v>23.333333333333339</v>
      </c>
      <c r="Q344" s="643"/>
      <c r="R344" s="812">
        <f>J344/P344*100</f>
        <v>-17.783852671926557</v>
      </c>
      <c r="S344" s="587"/>
      <c r="T344" s="256"/>
      <c r="U344" s="256"/>
      <c r="V344" s="315">
        <f>'segSales&amp;comps'!Q167</f>
        <v>87.771000000000001</v>
      </c>
      <c r="W344" s="238"/>
      <c r="X344" s="818">
        <f>V344/N344</f>
        <v>2.3721891891891893</v>
      </c>
      <c r="Y344" s="256"/>
      <c r="Z344" s="814">
        <f>(X344/X337-1)*100</f>
        <v>-7.6888369919861148</v>
      </c>
      <c r="AA344" s="643"/>
      <c r="AB344" s="256"/>
      <c r="AC344" s="1017"/>
      <c r="AD344" s="238"/>
      <c r="AE344" s="1122" t="s">
        <v>1086</v>
      </c>
      <c r="AF344" s="256"/>
      <c r="AG344" s="1122" t="s">
        <v>1086</v>
      </c>
      <c r="AH344" s="643"/>
      <c r="AI344" s="1122" t="s">
        <v>1086</v>
      </c>
      <c r="AJ344" s="587"/>
      <c r="AK344" s="256"/>
      <c r="AL344" s="315">
        <f>+V344</f>
        <v>87.771000000000001</v>
      </c>
      <c r="AM344" s="256"/>
      <c r="AN344" s="1122" t="s">
        <v>1086</v>
      </c>
      <c r="AO344" s="256"/>
      <c r="AP344" s="1122" t="s">
        <v>1086</v>
      </c>
      <c r="AQ344" s="643"/>
      <c r="AR344" s="643"/>
      <c r="AS344" s="1477"/>
      <c r="AT344" s="1477"/>
      <c r="AU344" s="1477"/>
      <c r="AV344" s="1477"/>
      <c r="AW344" s="1477"/>
      <c r="AX344" s="1477"/>
      <c r="AZ344" s="1017">
        <v>0.14484049498206847</v>
      </c>
      <c r="BA344" s="1167">
        <f>+(AZ344/AZ337-1)*100</f>
        <v>10.520225809158301</v>
      </c>
      <c r="BB344" s="1167"/>
      <c r="BC344" s="1017">
        <v>9.7289246671895195E-4</v>
      </c>
      <c r="BD344" s="1167">
        <f>+(BC344/BC337-1)*100</f>
        <v>-10.005535197985427</v>
      </c>
      <c r="BF344" s="1017"/>
      <c r="BG344" s="1167"/>
      <c r="BH344" s="1167"/>
      <c r="BI344" s="1479">
        <f>(AZ342*BA344)+(BC342*BD344)+(BF342*BG344)</f>
        <v>1.2064297642676922</v>
      </c>
      <c r="BK344" s="297">
        <f>F344</f>
        <v>5</v>
      </c>
      <c r="BM344" s="256"/>
      <c r="BN344" s="256"/>
      <c r="BO344" s="1592"/>
      <c r="BP344" s="1492"/>
    </row>
    <row r="345" spans="1:68" hidden="1" outlineLevel="1">
      <c r="A345" s="256" t="str">
        <f>$A$42</f>
        <v>3Q</v>
      </c>
      <c r="B345" s="302" t="str">
        <f>$B$42</f>
        <v>Oct</v>
      </c>
      <c r="C345" s="256"/>
      <c r="D345" s="288">
        <f>(V345/V338-1)*100</f>
        <v>-2.2730752735632964</v>
      </c>
      <c r="E345" s="256"/>
      <c r="F345" s="1473">
        <v>-2</v>
      </c>
      <c r="G345" s="256"/>
      <c r="H345" s="2098">
        <f>'segSales&amp;comps'!AD168</f>
        <v>4</v>
      </c>
      <c r="I345" s="256"/>
      <c r="J345" s="288">
        <f>D345-H345-F345</f>
        <v>-4.2730752735632969</v>
      </c>
      <c r="K345" s="256"/>
      <c r="L345" s="948">
        <f>Stores!K242</f>
        <v>39</v>
      </c>
      <c r="M345" s="238"/>
      <c r="N345" s="811">
        <f>AVERAGE(L345,L344)</f>
        <v>38.5</v>
      </c>
      <c r="O345" s="256"/>
      <c r="P345" s="288">
        <f>(N345/N338-1)*100</f>
        <v>20.3125</v>
      </c>
      <c r="Q345" s="643"/>
      <c r="R345" s="812">
        <f>J345/P345*100</f>
        <v>-21.036678269850075</v>
      </c>
      <c r="S345" s="587"/>
      <c r="T345" s="256"/>
      <c r="U345" s="256"/>
      <c r="V345" s="315">
        <f>'segSales&amp;comps'!Q168</f>
        <v>85.055999999999997</v>
      </c>
      <c r="W345" s="256"/>
      <c r="X345" s="818">
        <f>V345/N345</f>
        <v>2.2092467532467532</v>
      </c>
      <c r="Y345" s="256"/>
      <c r="Z345" s="814">
        <f>(X345/X338-1)*100</f>
        <v>-18.77242620140326</v>
      </c>
      <c r="AA345" s="643"/>
      <c r="AB345" s="256"/>
      <c r="AC345" s="1017"/>
      <c r="AD345" s="238"/>
      <c r="AE345" s="1122" t="s">
        <v>1086</v>
      </c>
      <c r="AF345" s="256"/>
      <c r="AG345" s="1122" t="s">
        <v>1086</v>
      </c>
      <c r="AH345" s="643"/>
      <c r="AI345" s="1122" t="s">
        <v>1086</v>
      </c>
      <c r="AJ345" s="587"/>
      <c r="AK345" s="256"/>
      <c r="AL345" s="315">
        <f>+V345</f>
        <v>85.055999999999997</v>
      </c>
      <c r="AM345" s="256"/>
      <c r="AN345" s="1122" t="s">
        <v>1086</v>
      </c>
      <c r="AO345" s="256"/>
      <c r="AP345" s="1122" t="s">
        <v>1086</v>
      </c>
      <c r="AQ345" s="643"/>
      <c r="AR345" s="643"/>
      <c r="AS345" s="1477"/>
      <c r="AT345" s="1477"/>
      <c r="AU345" s="1477"/>
      <c r="AV345" s="1477"/>
      <c r="AW345" s="1477"/>
      <c r="AX345" s="1477"/>
      <c r="AZ345" s="1017">
        <v>0.14616636492480925</v>
      </c>
      <c r="BA345" s="1167">
        <f>+(AZ345/AZ338-1)*100</f>
        <v>10.133425911033967</v>
      </c>
      <c r="BB345" s="1167"/>
      <c r="BC345" s="1017">
        <v>8.5601171770057014E-4</v>
      </c>
      <c r="BD345" s="1167">
        <f>+(BC345/BC338-1)*100</f>
        <v>-20.689679198882715</v>
      </c>
      <c r="BF345" s="1017"/>
      <c r="BG345" s="1167"/>
      <c r="BH345" s="1167"/>
      <c r="BI345" s="1479">
        <f>(AZ342*BA345)+(BC342*BD345)+(BF342*BG345)</f>
        <v>-2.1535333952512268</v>
      </c>
      <c r="BK345" s="297">
        <f>F345</f>
        <v>-2</v>
      </c>
      <c r="BM345" s="256"/>
      <c r="BN345" s="256"/>
      <c r="BO345" s="1592"/>
      <c r="BP345" s="1492"/>
    </row>
    <row r="346" spans="1:68" hidden="1" outlineLevel="1">
      <c r="A346" s="256" t="str">
        <f>$A$43</f>
        <v>4Q</v>
      </c>
      <c r="B346" s="302" t="str">
        <f>$B$43</f>
        <v>Jan</v>
      </c>
      <c r="C346" s="256"/>
      <c r="D346" s="318">
        <f>(V346/V339-1)*100</f>
        <v>-16.576690160502238</v>
      </c>
      <c r="E346" s="256"/>
      <c r="F346" s="1515">
        <v>-9</v>
      </c>
      <c r="G346" s="256"/>
      <c r="H346" s="2099">
        <f>'segSales&amp;comps'!AD169</f>
        <v>-9</v>
      </c>
      <c r="I346" s="256"/>
      <c r="J346" s="318">
        <f>D346-H346-F346</f>
        <v>1.4233098394977617</v>
      </c>
      <c r="K346" s="256"/>
      <c r="L346" s="949">
        <f>Stores!K243</f>
        <v>39</v>
      </c>
      <c r="M346" s="238"/>
      <c r="N346" s="820">
        <f>AVERAGE(L346,L345)</f>
        <v>39</v>
      </c>
      <c r="O346" s="256"/>
      <c r="P346" s="318">
        <f>(N346/N339-1)*100</f>
        <v>14.705882352941169</v>
      </c>
      <c r="Q346" s="643"/>
      <c r="R346" s="820">
        <f>J346/P346*100</f>
        <v>9.6785069085847848</v>
      </c>
      <c r="S346" s="587"/>
      <c r="T346" s="256"/>
      <c r="U346" s="256"/>
      <c r="V346" s="316">
        <f>'segSales&amp;comps'!Q169</f>
        <v>99.200999999999993</v>
      </c>
      <c r="W346" s="256"/>
      <c r="X346" s="821">
        <f>V346/N346</f>
        <v>2.5436153846153844</v>
      </c>
      <c r="Y346" s="256"/>
      <c r="Z346" s="298">
        <f>(X346/X339-1)*100</f>
        <v>-27.271986293771189</v>
      </c>
      <c r="AA346" s="643"/>
      <c r="AB346" s="256"/>
      <c r="AC346" s="1017">
        <f>Stores!R244</f>
        <v>8.7500000000000022E-2</v>
      </c>
      <c r="AD346" s="238"/>
      <c r="AE346" s="1123" t="s">
        <v>1086</v>
      </c>
      <c r="AF346" s="256"/>
      <c r="AG346" s="1123" t="s">
        <v>1086</v>
      </c>
      <c r="AH346" s="643"/>
      <c r="AI346" s="1123" t="s">
        <v>1086</v>
      </c>
      <c r="AJ346" s="587"/>
      <c r="AK346" s="256"/>
      <c r="AL346" s="316">
        <f>+V346</f>
        <v>99.200999999999993</v>
      </c>
      <c r="AM346" s="256"/>
      <c r="AN346" s="1123" t="s">
        <v>1086</v>
      </c>
      <c r="AO346" s="256"/>
      <c r="AP346" s="1123" t="s">
        <v>1086</v>
      </c>
      <c r="AQ346" s="643"/>
      <c r="AR346" s="643"/>
      <c r="AS346" s="1477"/>
      <c r="AT346" s="1477"/>
      <c r="AU346" s="1477"/>
      <c r="AV346" s="1477"/>
      <c r="AW346" s="1477"/>
      <c r="AX346" s="1477"/>
      <c r="AZ346" s="1601">
        <v>0.14618384649830346</v>
      </c>
      <c r="BA346" s="1602">
        <f>+(AZ346/AZ339-1)*100</f>
        <v>7.4061453194595117</v>
      </c>
      <c r="BB346" s="256"/>
      <c r="BC346" s="1601">
        <v>7.2919184170642463E-4</v>
      </c>
      <c r="BD346" s="1602">
        <f>+(BC346/BC339-1)*100</f>
        <v>-32.1686210766294</v>
      </c>
      <c r="BF346" s="1601"/>
      <c r="BG346" s="1602"/>
      <c r="BH346" s="1167"/>
      <c r="BI346" s="1608">
        <f>(AZ342*BA346)+(BC342*BD346)+(BF342*BG346)</f>
        <v>-6.6881281952050156</v>
      </c>
      <c r="BK346" s="298">
        <f>F346</f>
        <v>-9</v>
      </c>
      <c r="BM346" s="256"/>
      <c r="BN346" s="256"/>
      <c r="BO346" s="1592"/>
      <c r="BP346" s="1492"/>
    </row>
    <row r="347" spans="1:68" hidden="1" outlineLevel="1">
      <c r="A347" s="256"/>
      <c r="B347" s="302" t="str">
        <f>$B$44</f>
        <v>Year</v>
      </c>
      <c r="C347" s="256"/>
      <c r="D347" s="288">
        <f>(V347/V340-1)*100</f>
        <v>2.1952218506443577</v>
      </c>
      <c r="E347" s="256"/>
      <c r="F347" s="1473">
        <v>-2</v>
      </c>
      <c r="G347" s="256"/>
      <c r="H347" s="2091">
        <f>'segSales&amp;comps'!AD170</f>
        <v>5</v>
      </c>
      <c r="I347" s="256"/>
      <c r="J347" s="288">
        <f>D347-H347</f>
        <v>-2.8047781493556423</v>
      </c>
      <c r="K347" s="256"/>
      <c r="L347" s="951">
        <f>Stores!K244</f>
        <v>39</v>
      </c>
      <c r="M347" s="256"/>
      <c r="N347" s="811">
        <f>AVERAGE(N343:N346)</f>
        <v>37.375</v>
      </c>
      <c r="O347" s="256"/>
      <c r="P347" s="288">
        <f>(N347/N340-1)*100</f>
        <v>19.599999999999994</v>
      </c>
      <c r="Q347" s="643"/>
      <c r="R347" s="812">
        <f>J347/P347*100</f>
        <v>-14.310092598753283</v>
      </c>
      <c r="S347" s="587"/>
      <c r="T347" s="256"/>
      <c r="U347" s="256"/>
      <c r="V347" s="296">
        <f>SUM(V343:V346)</f>
        <v>363.09500000000003</v>
      </c>
      <c r="W347" s="256"/>
      <c r="X347" s="813">
        <f>SUM(X343:X346)</f>
        <v>9.7269656127656123</v>
      </c>
      <c r="Y347" s="256"/>
      <c r="Z347" s="814">
        <f>(X347/X340-1)*100</f>
        <v>-13.757239858437643</v>
      </c>
      <c r="AA347" s="643"/>
      <c r="AB347" s="256"/>
      <c r="AC347" s="815"/>
      <c r="AD347" s="256"/>
      <c r="AE347" s="1122" t="s">
        <v>1086</v>
      </c>
      <c r="AF347" s="256"/>
      <c r="AG347" s="1122" t="s">
        <v>1086</v>
      </c>
      <c r="AH347" s="643"/>
      <c r="AI347" s="1122" t="s">
        <v>1086</v>
      </c>
      <c r="AJ347" s="587"/>
      <c r="AK347" s="256"/>
      <c r="AL347" s="296">
        <f>SUM(AL343:AL346)</f>
        <v>363.09500000000003</v>
      </c>
      <c r="AM347" s="256"/>
      <c r="AN347" s="1122" t="s">
        <v>1086</v>
      </c>
      <c r="AO347" s="256"/>
      <c r="AP347" s="1122" t="s">
        <v>1086</v>
      </c>
      <c r="AQ347" s="643"/>
      <c r="AR347" s="643"/>
      <c r="AS347" s="256"/>
      <c r="AT347" s="256"/>
      <c r="AU347" s="256"/>
      <c r="AV347" s="256"/>
      <c r="AW347" s="256"/>
      <c r="AX347" s="256"/>
      <c r="AZ347" s="1017">
        <v>0.14459003206740534</v>
      </c>
      <c r="BA347" s="1167">
        <f>+(AZ347/AZ340-1)*100</f>
        <v>9.3330752794249072</v>
      </c>
      <c r="BB347" s="1167"/>
      <c r="BC347" s="1017">
        <v>8.81886897949439E-4</v>
      </c>
      <c r="BD347" s="1167">
        <f>+(BC347/BC340-1)*100</f>
        <v>-18.012797218430656</v>
      </c>
      <c r="BF347" s="1017"/>
      <c r="BG347" s="1167"/>
      <c r="BH347" s="1167"/>
      <c r="BI347" s="1479">
        <f>(AZ342*BA347)+(BC342*BD347)+(BF342*BG347)</f>
        <v>-1.6706090537592333</v>
      </c>
      <c r="BK347" s="297">
        <f>F347</f>
        <v>-2</v>
      </c>
      <c r="BM347" s="256"/>
      <c r="BN347" s="302"/>
      <c r="BO347" s="587"/>
      <c r="BP347" s="587"/>
    </row>
    <row r="348" spans="1:68" ht="13.5" hidden="1" outlineLevel="1" thickBot="1">
      <c r="A348" s="256"/>
      <c r="B348" s="302"/>
      <c r="C348" s="256"/>
      <c r="D348" s="288"/>
      <c r="E348" s="256"/>
      <c r="F348" s="1473"/>
      <c r="G348" s="256"/>
      <c r="H348" s="2091"/>
      <c r="I348" s="256"/>
      <c r="J348" s="288"/>
      <c r="K348" s="256"/>
      <c r="L348" s="1033"/>
      <c r="M348" s="256"/>
      <c r="N348" s="811"/>
      <c r="O348" s="256"/>
      <c r="P348" s="288"/>
      <c r="Q348" s="643"/>
      <c r="R348" s="812"/>
      <c r="S348" s="587"/>
      <c r="T348" s="256"/>
      <c r="U348" s="256"/>
      <c r="V348" s="296"/>
      <c r="W348" s="256"/>
      <c r="X348" s="813"/>
      <c r="Y348" s="256"/>
      <c r="Z348" s="814"/>
      <c r="AA348" s="643"/>
      <c r="AB348" s="256"/>
      <c r="AC348" s="815"/>
      <c r="AD348" s="256"/>
      <c r="AE348" s="816"/>
      <c r="AF348" s="256"/>
      <c r="AG348" s="288"/>
      <c r="AH348" s="643"/>
      <c r="AI348" s="812"/>
      <c r="AJ348" s="587"/>
      <c r="AK348" s="256"/>
      <c r="AL348" s="296"/>
      <c r="AM348" s="256"/>
      <c r="AN348" s="817"/>
      <c r="AO348" s="256"/>
      <c r="AP348" s="320"/>
      <c r="AQ348" s="643"/>
      <c r="AR348" s="643"/>
      <c r="AS348" s="256"/>
      <c r="AT348" s="256"/>
      <c r="AU348" s="256"/>
      <c r="AV348" s="256"/>
      <c r="AW348" s="256"/>
      <c r="AX348" s="256"/>
      <c r="AZ348" s="256"/>
      <c r="BA348" s="132"/>
      <c r="BB348" s="132"/>
      <c r="BC348" s="256"/>
      <c r="BD348" s="132"/>
      <c r="BE348" s="132"/>
      <c r="BF348" s="256"/>
      <c r="BG348" s="256"/>
      <c r="BH348" s="256"/>
      <c r="BI348" s="256"/>
      <c r="BK348" s="256"/>
      <c r="BM348" s="256"/>
      <c r="BN348" s="132"/>
      <c r="BO348" s="587"/>
      <c r="BP348" s="587"/>
    </row>
    <row r="349" spans="1:68" ht="13.5" hidden="1" outlineLevel="1" thickBot="1">
      <c r="A349" s="810"/>
      <c r="B349" s="171">
        <f>+B342+1</f>
        <v>2009</v>
      </c>
      <c r="C349" s="256"/>
      <c r="D349" s="256"/>
      <c r="E349" s="643"/>
      <c r="F349" s="1473"/>
      <c r="G349" s="643"/>
      <c r="H349" s="2091"/>
      <c r="I349" s="643"/>
      <c r="J349" s="256"/>
      <c r="K349" s="643"/>
      <c r="L349" s="256"/>
      <c r="M349" s="256"/>
      <c r="N349" s="256"/>
      <c r="O349" s="256"/>
      <c r="P349" s="256"/>
      <c r="Q349" s="643"/>
      <c r="R349" s="587"/>
      <c r="S349" s="587"/>
      <c r="T349" s="256"/>
      <c r="U349" s="256"/>
      <c r="V349" s="256"/>
      <c r="W349" s="256"/>
      <c r="X349" s="256"/>
      <c r="Y349" s="256"/>
      <c r="Z349" s="256"/>
      <c r="AA349" s="643"/>
      <c r="AB349" s="256"/>
      <c r="AC349" s="256"/>
      <c r="AD349" s="256"/>
      <c r="AE349" s="256"/>
      <c r="AF349" s="256"/>
      <c r="AG349" s="256"/>
      <c r="AH349" s="643"/>
      <c r="AI349" s="587"/>
      <c r="AJ349" s="587"/>
      <c r="AK349" s="256"/>
      <c r="AL349" s="256"/>
      <c r="AM349" s="256"/>
      <c r="AN349" s="256"/>
      <c r="AO349" s="256"/>
      <c r="AP349" s="320"/>
      <c r="AQ349" s="643"/>
      <c r="AR349" s="643"/>
      <c r="AS349" s="256"/>
      <c r="AT349" s="256"/>
      <c r="AU349" s="256"/>
      <c r="AV349" s="256"/>
      <c r="AW349" s="256"/>
      <c r="AX349" s="256"/>
      <c r="AZ349" s="1605">
        <v>0.45</v>
      </c>
      <c r="BA349" s="238"/>
      <c r="BB349" s="256"/>
      <c r="BC349" s="1605">
        <v>0.2</v>
      </c>
      <c r="BD349" s="238"/>
      <c r="BF349" s="1605"/>
      <c r="BG349" s="238"/>
      <c r="BH349" s="256"/>
      <c r="BI349" s="256"/>
      <c r="BK349" s="256"/>
      <c r="BM349" s="256"/>
      <c r="BN349" s="256"/>
      <c r="BO349" s="587"/>
      <c r="BP349" s="587"/>
    </row>
    <row r="350" spans="1:68" hidden="1" outlineLevel="1">
      <c r="A350" s="256" t="str">
        <f>$A$40</f>
        <v>1Q</v>
      </c>
      <c r="B350" s="302" t="str">
        <f>$B$40</f>
        <v>Apr</v>
      </c>
      <c r="C350" s="256"/>
      <c r="D350" s="288">
        <f>(V350/V343-1)*100</f>
        <v>-10.290225877650517</v>
      </c>
      <c r="E350" s="643" t="s">
        <v>1970</v>
      </c>
      <c r="F350" s="1473">
        <v>-11</v>
      </c>
      <c r="G350" s="643"/>
      <c r="H350" s="2091">
        <f>'segSales&amp;comps'!AD173</f>
        <v>-5</v>
      </c>
      <c r="I350" s="643" t="s">
        <v>1970</v>
      </c>
      <c r="J350" s="288">
        <f>D350-H350-F350</f>
        <v>5.7097741223494829</v>
      </c>
      <c r="K350" s="643" t="s">
        <v>1970</v>
      </c>
      <c r="L350" s="948">
        <f>Stores!K247</f>
        <v>41</v>
      </c>
      <c r="M350" s="256"/>
      <c r="N350" s="811">
        <f>AVERAGE(L350,L346)</f>
        <v>40</v>
      </c>
      <c r="O350" s="256"/>
      <c r="P350" s="288">
        <f>(N350/N343-1)*100</f>
        <v>14.285714285714279</v>
      </c>
      <c r="Q350" s="643" t="s">
        <v>1970</v>
      </c>
      <c r="R350" s="812">
        <f>J350/P350*100</f>
        <v>39.968418856446398</v>
      </c>
      <c r="S350" s="587" t="s">
        <v>1970</v>
      </c>
      <c r="T350" s="256"/>
      <c r="U350" s="256"/>
      <c r="V350" s="296">
        <f>'segSales&amp;comps'!Q173</f>
        <v>81.695999999999998</v>
      </c>
      <c r="W350" s="238"/>
      <c r="X350" s="813">
        <f>V350/N350</f>
        <v>2.0423999999999998</v>
      </c>
      <c r="Y350" s="256"/>
      <c r="Z350" s="814">
        <f>(X350/X343-1)*100</f>
        <v>-21.503947642944212</v>
      </c>
      <c r="AA350" s="643" t="s">
        <v>1970</v>
      </c>
      <c r="AB350" s="256"/>
      <c r="AC350" s="1017">
        <f>AC346+(L350-L347)*yrSales!$U$162/1000000</f>
        <v>9.2300000000000021E-2</v>
      </c>
      <c r="AD350" s="256" t="s">
        <v>505</v>
      </c>
      <c r="AE350" s="816">
        <f>AVERAGE(AC350,AC346)</f>
        <v>8.9900000000000022E-2</v>
      </c>
      <c r="AF350" s="256"/>
      <c r="AG350" s="1122" t="s">
        <v>1086</v>
      </c>
      <c r="AH350" s="643" t="s">
        <v>1970</v>
      </c>
      <c r="AI350" s="1122" t="s">
        <v>1086</v>
      </c>
      <c r="AJ350" s="587" t="s">
        <v>1970</v>
      </c>
      <c r="AK350" s="256"/>
      <c r="AL350" s="296">
        <f>+V350</f>
        <v>81.695999999999998</v>
      </c>
      <c r="AM350" s="256" t="s">
        <v>505</v>
      </c>
      <c r="AN350" s="296">
        <f>AL350/AE350</f>
        <v>908.74304783092305</v>
      </c>
      <c r="AO350" s="256"/>
      <c r="AP350" s="1122" t="s">
        <v>1086</v>
      </c>
      <c r="AQ350" s="643" t="s">
        <v>1970</v>
      </c>
      <c r="AR350" s="643"/>
      <c r="AS350" s="297"/>
      <c r="AT350" s="297"/>
      <c r="AU350" s="297"/>
      <c r="AV350" s="297"/>
      <c r="AW350" s="297"/>
      <c r="AX350" s="297"/>
      <c r="AZ350" s="1017">
        <v>0.14630043802867765</v>
      </c>
      <c r="BA350" s="1167">
        <f>+(AZ350/AZ343-1)*100</f>
        <v>3.5918584462759418</v>
      </c>
      <c r="BB350" s="1609" t="s">
        <v>1970</v>
      </c>
      <c r="BC350" s="1017">
        <v>7.0904740343284559E-4</v>
      </c>
      <c r="BD350" s="1167">
        <f>+(BC350/BC343-1)*100</f>
        <v>-31.185516401251355</v>
      </c>
      <c r="BF350" s="1017"/>
      <c r="BG350" s="1167"/>
      <c r="BH350" s="1167"/>
      <c r="BI350" s="1479">
        <f>(AZ349*BA350)+(BC349*BD350)+(BF349*BG350)</f>
        <v>-4.6207669794260973</v>
      </c>
      <c r="BJ350" s="643" t="s">
        <v>1970</v>
      </c>
      <c r="BK350" s="297">
        <f>F350</f>
        <v>-11</v>
      </c>
      <c r="BL350" s="643" t="s">
        <v>1970</v>
      </c>
      <c r="BM350" s="256"/>
      <c r="BN350" s="256"/>
      <c r="BO350" s="1592"/>
      <c r="BP350" s="1492"/>
    </row>
    <row r="351" spans="1:68" hidden="1" outlineLevel="1">
      <c r="A351" s="256" t="str">
        <f>$A$41</f>
        <v>2Q</v>
      </c>
      <c r="B351" s="302" t="str">
        <f>$B$41</f>
        <v>Jul</v>
      </c>
      <c r="C351" s="256"/>
      <c r="D351" s="288">
        <f>(V351/V344-1)*100</f>
        <v>4.7270738626653541</v>
      </c>
      <c r="E351" s="256"/>
      <c r="F351" s="1473">
        <v>-8</v>
      </c>
      <c r="G351" s="256"/>
      <c r="H351" s="2091">
        <f>'segSales&amp;comps'!AD174</f>
        <v>5</v>
      </c>
      <c r="I351" s="256"/>
      <c r="J351" s="288">
        <f>D351-H351-F351</f>
        <v>7.7270738626653541</v>
      </c>
      <c r="K351" s="256"/>
      <c r="L351" s="948">
        <f>Stores!K248</f>
        <v>42</v>
      </c>
      <c r="M351" s="256"/>
      <c r="N351" s="811">
        <f>AVERAGE(L351,L350)</f>
        <v>41.5</v>
      </c>
      <c r="O351" s="256"/>
      <c r="P351" s="288">
        <f>(N351/N344-1)*100</f>
        <v>12.162162162162172</v>
      </c>
      <c r="Q351" s="643"/>
      <c r="R351" s="812">
        <f>J351/P351*100</f>
        <v>63.533718426359528</v>
      </c>
      <c r="S351" s="587"/>
      <c r="T351" s="256"/>
      <c r="U351" s="256"/>
      <c r="V351" s="315">
        <f>'segSales&amp;comps'!Q174</f>
        <v>91.92</v>
      </c>
      <c r="W351" s="238"/>
      <c r="X351" s="818">
        <f>V351/N351</f>
        <v>2.2149397590361448</v>
      </c>
      <c r="Y351" s="256"/>
      <c r="Z351" s="814">
        <f>(X351/X344-1)*100</f>
        <v>-6.628873905575472</v>
      </c>
      <c r="AA351" s="643"/>
      <c r="AB351" s="256"/>
      <c r="AC351" s="1017">
        <f>AC350+(L351-L350)*yrSales!$U$162/1000000</f>
        <v>9.470000000000002E-2</v>
      </c>
      <c r="AD351" s="238"/>
      <c r="AE351" s="816">
        <f>AVERAGE(AC350:AC351)</f>
        <v>9.3500000000000028E-2</v>
      </c>
      <c r="AF351" s="256"/>
      <c r="AG351" s="1122" t="s">
        <v>1086</v>
      </c>
      <c r="AH351" s="643"/>
      <c r="AI351" s="1122" t="s">
        <v>1086</v>
      </c>
      <c r="AJ351" s="587"/>
      <c r="AK351" s="256"/>
      <c r="AL351" s="315">
        <f>+V351</f>
        <v>91.92</v>
      </c>
      <c r="AM351" s="256"/>
      <c r="AN351" s="315">
        <f>AL351/AE351</f>
        <v>983.10160427807455</v>
      </c>
      <c r="AO351" s="256"/>
      <c r="AP351" s="1122" t="s">
        <v>1086</v>
      </c>
      <c r="AQ351" s="643"/>
      <c r="AR351" s="643"/>
      <c r="AS351" s="256"/>
      <c r="AT351" s="256"/>
      <c r="AU351" s="256"/>
      <c r="AV351" s="256"/>
      <c r="AW351" s="256"/>
      <c r="AX351" s="256"/>
      <c r="AZ351" s="1017">
        <v>0.14641269786696431</v>
      </c>
      <c r="BA351" s="1167">
        <f>+(AZ351/AZ344-1)*100</f>
        <v>1.0854719083157605</v>
      </c>
      <c r="BB351" s="1167"/>
      <c r="BC351" s="1017">
        <v>7.9268569310021145E-4</v>
      </c>
      <c r="BD351" s="1167">
        <f>+(BC351/BC344-1)*100</f>
        <v>-18.522784355241427</v>
      </c>
      <c r="BF351" s="1017"/>
      <c r="BG351" s="1167"/>
      <c r="BH351" s="1167"/>
      <c r="BI351" s="1479">
        <f>(AZ349*BA351)+(BC349*BD351)+(BF349*BG351)</f>
        <v>-3.2160945123061935</v>
      </c>
      <c r="BK351" s="297">
        <f>F351</f>
        <v>-8</v>
      </c>
      <c r="BM351" s="256"/>
      <c r="BN351" s="256"/>
      <c r="BO351" s="1592"/>
      <c r="BP351" s="1492"/>
    </row>
    <row r="352" spans="1:68" hidden="1" outlineLevel="1">
      <c r="A352" s="256" t="str">
        <f>$A$42</f>
        <v>3Q</v>
      </c>
      <c r="B352" s="302" t="str">
        <f>$B$42</f>
        <v>Oct</v>
      </c>
      <c r="C352" s="256"/>
      <c r="D352" s="288">
        <f>(V352/V345-1)*100</f>
        <v>20.368933408577881</v>
      </c>
      <c r="E352" s="256"/>
      <c r="F352" s="1473">
        <v>1</v>
      </c>
      <c r="G352" s="256"/>
      <c r="H352" s="2098">
        <f>'segSales&amp;comps'!AD175</f>
        <v>9</v>
      </c>
      <c r="I352" s="256"/>
      <c r="J352" s="288">
        <f>D352-H352-F352</f>
        <v>10.368933408577881</v>
      </c>
      <c r="K352" s="256"/>
      <c r="L352" s="948">
        <f>Stores!K249</f>
        <v>43</v>
      </c>
      <c r="M352" s="238"/>
      <c r="N352" s="811">
        <f>AVERAGE(L352,L351)</f>
        <v>42.5</v>
      </c>
      <c r="O352" s="256"/>
      <c r="P352" s="288">
        <f>(N352/N345-1)*100</f>
        <v>10.389610389610393</v>
      </c>
      <c r="Q352" s="643"/>
      <c r="R352" s="812">
        <f>J352/P352*100</f>
        <v>99.800984057562076</v>
      </c>
      <c r="S352" s="587"/>
      <c r="T352" s="256"/>
      <c r="U352" s="256"/>
      <c r="V352" s="315">
        <f>'segSales&amp;comps'!Q175</f>
        <v>102.381</v>
      </c>
      <c r="W352" s="256"/>
      <c r="X352" s="818">
        <f>V352/N352</f>
        <v>2.4089647058823531</v>
      </c>
      <c r="Y352" s="256"/>
      <c r="Z352" s="814">
        <f>(X352/X345-1)*100</f>
        <v>9.0400926171823279</v>
      </c>
      <c r="AA352" s="643"/>
      <c r="AB352" s="256"/>
      <c r="AC352" s="1017">
        <f>AC351+(L352-L351)*yrSales!$U$162/1000000</f>
        <v>9.710000000000002E-2</v>
      </c>
      <c r="AD352" s="238"/>
      <c r="AE352" s="816">
        <f>AVERAGE(AC351:AC352)</f>
        <v>9.5900000000000013E-2</v>
      </c>
      <c r="AF352" s="256"/>
      <c r="AG352" s="1122" t="s">
        <v>1086</v>
      </c>
      <c r="AH352" s="643"/>
      <c r="AI352" s="1122" t="s">
        <v>1086</v>
      </c>
      <c r="AJ352" s="587"/>
      <c r="AK352" s="256"/>
      <c r="AL352" s="315">
        <f>+V352</f>
        <v>102.381</v>
      </c>
      <c r="AM352" s="256"/>
      <c r="AN352" s="315">
        <f>AL352/AE352</f>
        <v>1067.5808133472365</v>
      </c>
      <c r="AO352" s="256"/>
      <c r="AP352" s="1122" t="s">
        <v>1086</v>
      </c>
      <c r="AQ352" s="643"/>
      <c r="AR352" s="643"/>
      <c r="AS352" s="256"/>
      <c r="AT352" s="256"/>
      <c r="AU352" s="256"/>
      <c r="AV352" s="256"/>
      <c r="AW352" s="256"/>
      <c r="AX352" s="256"/>
      <c r="AZ352" s="1017">
        <v>0.14642819753382361</v>
      </c>
      <c r="BA352" s="1167">
        <f>+(AZ352/AZ345-1)*100</f>
        <v>0.17913328360394942</v>
      </c>
      <c r="BB352" s="1167"/>
      <c r="BC352" s="1017">
        <v>8.2635899583778899E-4</v>
      </c>
      <c r="BD352" s="1167">
        <f>+(BC352/BC345-1)*100</f>
        <v>-3.464055602233429</v>
      </c>
      <c r="BF352" s="1017"/>
      <c r="BG352" s="1167"/>
      <c r="BH352" s="1167"/>
      <c r="BI352" s="1479">
        <f>(AZ349*BA352)+(BC349*BD352)+(BF349*BG352)</f>
        <v>-0.61220114282490856</v>
      </c>
      <c r="BK352" s="297">
        <f>F352</f>
        <v>1</v>
      </c>
      <c r="BM352" s="256"/>
      <c r="BN352" s="256"/>
      <c r="BO352" s="1592"/>
      <c r="BP352" s="1492"/>
    </row>
    <row r="353" spans="1:68" hidden="1" outlineLevel="1">
      <c r="A353" s="256" t="str">
        <f>$A$43</f>
        <v>4Q</v>
      </c>
      <c r="B353" s="302" t="str">
        <f>$B$43</f>
        <v>Jan</v>
      </c>
      <c r="C353" s="256"/>
      <c r="D353" s="318">
        <f>(V353/V346-1)*100</f>
        <v>51.509561395550477</v>
      </c>
      <c r="E353" s="256"/>
      <c r="F353" s="1515">
        <v>12</v>
      </c>
      <c r="G353" s="256"/>
      <c r="H353" s="2095">
        <f>'segSales&amp;comps'!AD176</f>
        <v>24</v>
      </c>
      <c r="I353" s="256"/>
      <c r="J353" s="318">
        <f>D353-H353-F353</f>
        <v>15.509561395550477</v>
      </c>
      <c r="K353" s="256"/>
      <c r="L353" s="949">
        <f>Stores!K250</f>
        <v>45</v>
      </c>
      <c r="M353" s="238"/>
      <c r="N353" s="820">
        <f>AVERAGE(L353,L352)</f>
        <v>44</v>
      </c>
      <c r="O353" s="256"/>
      <c r="P353" s="318">
        <f>(N353/N346-1)*100</f>
        <v>12.820512820512819</v>
      </c>
      <c r="Q353" s="643"/>
      <c r="R353" s="820">
        <f>J353/P353*100</f>
        <v>120.97457888529372</v>
      </c>
      <c r="S353" s="587"/>
      <c r="T353" s="256"/>
      <c r="U353" s="256"/>
      <c r="V353" s="316">
        <f>'segSales&amp;comps'!Q176</f>
        <v>150.29900000000001</v>
      </c>
      <c r="W353" s="256"/>
      <c r="X353" s="821">
        <f>V353/N353</f>
        <v>3.4158863636363637</v>
      </c>
      <c r="Y353" s="256"/>
      <c r="Z353" s="298">
        <f>(X353/X346-1)*100</f>
        <v>34.292565782419729</v>
      </c>
      <c r="AA353" s="643"/>
      <c r="AB353" s="256"/>
      <c r="AC353" s="1017">
        <f>Stores!R251</f>
        <v>0.10030000000000003</v>
      </c>
      <c r="AD353" s="238"/>
      <c r="AE353" s="822">
        <f>AVERAGE(AC352:AC353)</f>
        <v>9.8700000000000024E-2</v>
      </c>
      <c r="AF353" s="256"/>
      <c r="AG353" s="1123" t="s">
        <v>1086</v>
      </c>
      <c r="AH353" s="643"/>
      <c r="AI353" s="1123" t="s">
        <v>1086</v>
      </c>
      <c r="AJ353" s="587"/>
      <c r="AK353" s="256"/>
      <c r="AL353" s="316">
        <f>+V353</f>
        <v>150.29900000000001</v>
      </c>
      <c r="AM353" s="256"/>
      <c r="AN353" s="316">
        <f>AL353/AE353</f>
        <v>1522.786220871327</v>
      </c>
      <c r="AO353" s="256"/>
      <c r="AP353" s="1123" t="s">
        <v>1086</v>
      </c>
      <c r="AQ353" s="643"/>
      <c r="AR353" s="643"/>
      <c r="AS353" s="256"/>
      <c r="AT353" s="256"/>
      <c r="AU353" s="256"/>
      <c r="AV353" s="256"/>
      <c r="AW353" s="256"/>
      <c r="AX353" s="256"/>
      <c r="AZ353" s="1601">
        <v>0.14646784613172401</v>
      </c>
      <c r="BA353" s="1602">
        <f>+(AZ353/AZ346-1)*100</f>
        <v>0.19427566056269274</v>
      </c>
      <c r="BB353" s="256"/>
      <c r="BC353" s="1601">
        <v>8.6426405418872979E-4</v>
      </c>
      <c r="BD353" s="1602">
        <f>+(BC353/BC346-1)*100</f>
        <v>18.523549600639356</v>
      </c>
      <c r="BF353" s="1601"/>
      <c r="BG353" s="1602"/>
      <c r="BH353" s="1167"/>
      <c r="BI353" s="1608">
        <f>(AZ349*BA353)+(BC349*BD353)+(BF349*BG353)</f>
        <v>3.7921339673810834</v>
      </c>
      <c r="BK353" s="298">
        <f>F353</f>
        <v>12</v>
      </c>
      <c r="BM353" s="256"/>
      <c r="BN353" s="256"/>
      <c r="BO353" s="1592"/>
      <c r="BP353" s="1492"/>
    </row>
    <row r="354" spans="1:68" hidden="1" outlineLevel="1">
      <c r="A354" s="256"/>
      <c r="B354" s="302" t="str">
        <f>$B$44</f>
        <v>Year</v>
      </c>
      <c r="C354" s="256"/>
      <c r="D354" s="288">
        <f>(V354/V347-1)*100</f>
        <v>17.406188463074379</v>
      </c>
      <c r="E354" s="256"/>
      <c r="F354" s="1473">
        <v>0</v>
      </c>
      <c r="G354" s="256"/>
      <c r="H354" s="2091">
        <f>'segSales&amp;comps'!AD177</f>
        <v>8</v>
      </c>
      <c r="I354" s="256"/>
      <c r="J354" s="288">
        <f>D354-H354-F354</f>
        <v>9.4061884630743791</v>
      </c>
      <c r="K354" s="256"/>
      <c r="L354" s="951">
        <f>Stores!K251</f>
        <v>45</v>
      </c>
      <c r="M354" s="256"/>
      <c r="N354" s="811">
        <f>AVERAGE(N350:N353)</f>
        <v>42</v>
      </c>
      <c r="O354" s="256"/>
      <c r="P354" s="288">
        <f>(N354/N347-1)*100</f>
        <v>12.374581939799324</v>
      </c>
      <c r="Q354" s="643"/>
      <c r="R354" s="812">
        <f>J354/P354*100</f>
        <v>76.01217163403355</v>
      </c>
      <c r="S354" s="587"/>
      <c r="T354" s="256"/>
      <c r="U354" s="256"/>
      <c r="V354" s="296">
        <f>SUM(V350:V353)</f>
        <v>426.29599999999994</v>
      </c>
      <c r="W354" s="256"/>
      <c r="X354" s="813">
        <f>SUM(X350:X353)</f>
        <v>10.082190828554861</v>
      </c>
      <c r="Y354" s="256"/>
      <c r="Z354" s="814">
        <f>(X354/X347-1)*100</f>
        <v>3.6519633144693531</v>
      </c>
      <c r="AA354" s="643"/>
      <c r="AB354" s="256"/>
      <c r="AC354" s="815"/>
      <c r="AD354" s="256"/>
      <c r="AE354" s="816">
        <f>AVERAGE(AE350:AE353)</f>
        <v>9.4500000000000028E-2</v>
      </c>
      <c r="AF354" s="256"/>
      <c r="AG354" s="1122" t="s">
        <v>1086</v>
      </c>
      <c r="AH354" s="643"/>
      <c r="AI354" s="1122" t="s">
        <v>1086</v>
      </c>
      <c r="AJ354" s="587"/>
      <c r="AK354" s="256"/>
      <c r="AL354" s="296">
        <f>SUM(AL350:AL353)</f>
        <v>426.29599999999994</v>
      </c>
      <c r="AM354" s="256"/>
      <c r="AN354" s="296">
        <f>AL354/AE354</f>
        <v>4511.0687830687812</v>
      </c>
      <c r="AO354" s="256"/>
      <c r="AP354" s="1122" t="s">
        <v>1086</v>
      </c>
      <c r="AQ354" s="643"/>
      <c r="AR354" s="643"/>
      <c r="AS354" s="256"/>
      <c r="AT354" s="256"/>
      <c r="AU354" s="256"/>
      <c r="AV354" s="256"/>
      <c r="AW354" s="256"/>
      <c r="AX354" s="256"/>
      <c r="AZ354" s="1017">
        <v>0.14640244912159936</v>
      </c>
      <c r="BA354" s="1167">
        <f>+(AZ354/AZ347-1)*100</f>
        <v>1.2534868609401117</v>
      </c>
      <c r="BB354" s="1167"/>
      <c r="BC354" s="1017">
        <v>7.9391123127465341E-4</v>
      </c>
      <c r="BD354" s="1167">
        <f>+(BC354/BC347-1)*100</f>
        <v>-9.9758446212713245</v>
      </c>
      <c r="BF354" s="1017"/>
      <c r="BG354" s="1167"/>
      <c r="BH354" s="1167"/>
      <c r="BI354" s="1479">
        <f>(AZ349*BA354)+(BC349*BD354)+(BF349*BG354)</f>
        <v>-1.4310998368312147</v>
      </c>
      <c r="BK354" s="297">
        <f>F354</f>
        <v>0</v>
      </c>
      <c r="BM354" s="256"/>
      <c r="BN354" s="302"/>
      <c r="BO354" s="587"/>
      <c r="BP354" s="587"/>
    </row>
    <row r="355" spans="1:68" ht="13.5" hidden="1" outlineLevel="1" thickBot="1">
      <c r="A355" s="256"/>
      <c r="B355" s="302"/>
      <c r="C355" s="256"/>
      <c r="D355" s="288"/>
      <c r="E355" s="256"/>
      <c r="F355" s="1473"/>
      <c r="G355" s="256"/>
      <c r="H355" s="2091"/>
      <c r="I355" s="256"/>
      <c r="J355" s="288"/>
      <c r="K355" s="256"/>
      <c r="L355" s="1033"/>
      <c r="M355" s="256"/>
      <c r="N355" s="811"/>
      <c r="O355" s="256"/>
      <c r="P355" s="288"/>
      <c r="Q355" s="643"/>
      <c r="R355" s="812"/>
      <c r="S355" s="587"/>
      <c r="T355" s="256"/>
      <c r="U355" s="256"/>
      <c r="V355" s="296"/>
      <c r="W355" s="256"/>
      <c r="X355" s="813"/>
      <c r="Y355" s="256"/>
      <c r="Z355" s="814"/>
      <c r="AA355" s="643"/>
      <c r="AB355" s="256"/>
      <c r="AC355" s="815"/>
      <c r="AD355" s="256"/>
      <c r="AE355" s="816"/>
      <c r="AF355" s="256"/>
      <c r="AG355" s="288"/>
      <c r="AH355" s="643"/>
      <c r="AI355" s="812"/>
      <c r="AJ355" s="587"/>
      <c r="AK355" s="256"/>
      <c r="AL355" s="296"/>
      <c r="AM355" s="256"/>
      <c r="AN355" s="817"/>
      <c r="AO355" s="256"/>
      <c r="AP355" s="320"/>
      <c r="AQ355" s="643"/>
      <c r="AR355" s="643"/>
      <c r="AS355" s="256"/>
      <c r="AT355" s="256"/>
      <c r="AU355" s="256"/>
      <c r="AV355" s="256"/>
      <c r="AW355" s="256"/>
      <c r="AX355" s="256"/>
      <c r="AZ355" s="256"/>
      <c r="BA355" s="132"/>
      <c r="BB355" s="132"/>
      <c r="BC355" s="256"/>
      <c r="BD355" s="132"/>
      <c r="BE355" s="132"/>
      <c r="BF355" s="256"/>
      <c r="BG355" s="256"/>
      <c r="BH355" s="256"/>
      <c r="BI355" s="256"/>
      <c r="BK355" s="256"/>
      <c r="BM355" s="256"/>
      <c r="BN355" s="132"/>
      <c r="BO355" s="587"/>
      <c r="BP355" s="587"/>
    </row>
    <row r="356" spans="1:68" ht="13.5" hidden="1" outlineLevel="1" thickBot="1">
      <c r="A356" s="810"/>
      <c r="B356" s="171">
        <f>+B349+1</f>
        <v>2010</v>
      </c>
      <c r="C356" s="256"/>
      <c r="D356" s="256"/>
      <c r="E356" s="643"/>
      <c r="F356" s="1473"/>
      <c r="G356" s="643"/>
      <c r="H356" s="2091"/>
      <c r="I356" s="643"/>
      <c r="J356" s="256"/>
      <c r="K356" s="643"/>
      <c r="L356" s="256"/>
      <c r="M356" s="256"/>
      <c r="N356" s="256"/>
      <c r="O356" s="256"/>
      <c r="P356" s="256"/>
      <c r="Q356" s="643"/>
      <c r="R356" s="587"/>
      <c r="S356" s="587"/>
      <c r="T356" s="256"/>
      <c r="U356" s="256"/>
      <c r="V356" s="256"/>
      <c r="W356" s="256"/>
      <c r="X356" s="256"/>
      <c r="Y356" s="256"/>
      <c r="Z356" s="256"/>
      <c r="AA356" s="643"/>
      <c r="AB356" s="256"/>
      <c r="AC356" s="256"/>
      <c r="AD356" s="256"/>
      <c r="AE356" s="256"/>
      <c r="AF356" s="256"/>
      <c r="AG356" s="256"/>
      <c r="AH356" s="643"/>
      <c r="AI356" s="587"/>
      <c r="AJ356" s="587"/>
      <c r="AK356" s="256"/>
      <c r="AL356" s="256"/>
      <c r="AM356" s="256"/>
      <c r="AN356" s="256"/>
      <c r="AO356" s="256"/>
      <c r="AP356" s="320"/>
      <c r="AQ356" s="643"/>
      <c r="AR356" s="643"/>
      <c r="AS356" s="256"/>
      <c r="AT356" s="256"/>
      <c r="AU356" s="256"/>
      <c r="AV356" s="256"/>
      <c r="AW356" s="256"/>
      <c r="AX356" s="256"/>
      <c r="AZ356" s="1605">
        <v>0.51</v>
      </c>
      <c r="BA356" s="238"/>
      <c r="BB356" s="256"/>
      <c r="BC356" s="1605">
        <v>0.21</v>
      </c>
      <c r="BD356" s="238"/>
      <c r="BF356" s="1605"/>
      <c r="BG356" s="238"/>
      <c r="BH356" s="256"/>
      <c r="BI356" s="256"/>
      <c r="BK356" s="256"/>
      <c r="BM356" s="256"/>
      <c r="BN356" s="256"/>
      <c r="BO356" s="587"/>
      <c r="BP356" s="587"/>
    </row>
    <row r="357" spans="1:68" hidden="1" outlineLevel="1">
      <c r="A357" s="256" t="str">
        <f>$A$40</f>
        <v>1Q</v>
      </c>
      <c r="B357" s="302" t="str">
        <f>$B$40</f>
        <v>Apr</v>
      </c>
      <c r="C357" s="256"/>
      <c r="D357" s="288">
        <f>(V357/V350-1)*100</f>
        <v>49.745397571484531</v>
      </c>
      <c r="E357" s="643" t="s">
        <v>1970</v>
      </c>
      <c r="F357" s="1473">
        <v>12</v>
      </c>
      <c r="G357" s="643"/>
      <c r="H357" s="2091">
        <f>'segSales&amp;comps'!S180</f>
        <v>21</v>
      </c>
      <c r="I357" s="643" t="s">
        <v>1970</v>
      </c>
      <c r="J357" s="288">
        <f>D357-H357-F357</f>
        <v>16.745397571484531</v>
      </c>
      <c r="K357" s="643" t="s">
        <v>1970</v>
      </c>
      <c r="L357" s="948">
        <f>Stores!K254</f>
        <v>46</v>
      </c>
      <c r="M357" s="256"/>
      <c r="N357" s="811">
        <f>AVERAGE(L357,L353)</f>
        <v>45.5</v>
      </c>
      <c r="O357" s="256"/>
      <c r="P357" s="288">
        <f>(N357/N350-1)*100</f>
        <v>13.749999999999996</v>
      </c>
      <c r="Q357" s="643" t="s">
        <v>1970</v>
      </c>
      <c r="R357" s="812">
        <f>J357/P357*100</f>
        <v>121.78470961079661</v>
      </c>
      <c r="S357" s="587" t="s">
        <v>1970</v>
      </c>
      <c r="T357" s="256"/>
      <c r="U357" s="256"/>
      <c r="V357" s="296">
        <f>'segSales&amp;comps'!Q180</f>
        <v>122.336</v>
      </c>
      <c r="W357" s="238"/>
      <c r="X357" s="813">
        <f>V357/N357</f>
        <v>2.6887032967032969</v>
      </c>
      <c r="Y357" s="256"/>
      <c r="Z357" s="814">
        <f>(X357/X350-1)*100</f>
        <v>31.64430555734905</v>
      </c>
      <c r="AA357" s="643" t="s">
        <v>1970</v>
      </c>
      <c r="AB357" s="256"/>
      <c r="AC357" s="1017">
        <f>AC353+(L357-L354)*6400/1000000</f>
        <v>0.10670000000000003</v>
      </c>
      <c r="AD357" s="256" t="s">
        <v>505</v>
      </c>
      <c r="AE357" s="816">
        <f>AVERAGE(AC357,AC353)</f>
        <v>0.10350000000000004</v>
      </c>
      <c r="AF357" s="256"/>
      <c r="AG357" s="1122" t="s">
        <v>1086</v>
      </c>
      <c r="AH357" s="643" t="s">
        <v>1970</v>
      </c>
      <c r="AI357" s="1122" t="s">
        <v>1086</v>
      </c>
      <c r="AJ357" s="587" t="s">
        <v>1970</v>
      </c>
      <c r="AK357" s="256"/>
      <c r="AL357" s="296">
        <f>+V357</f>
        <v>122.336</v>
      </c>
      <c r="AM357" s="256" t="s">
        <v>505</v>
      </c>
      <c r="AN357" s="296">
        <f>AL357/AE357</f>
        <v>1181.9903381642507</v>
      </c>
      <c r="AO357" s="256"/>
      <c r="AP357" s="1122" t="s">
        <v>1086</v>
      </c>
      <c r="AQ357" s="643" t="s">
        <v>1970</v>
      </c>
      <c r="AR357" s="643"/>
      <c r="AS357" s="297"/>
      <c r="AT357" s="297"/>
      <c r="AU357" s="297"/>
      <c r="AV357" s="297"/>
      <c r="AW357" s="297"/>
      <c r="AX357" s="297"/>
      <c r="AZ357" s="1017">
        <v>0.14647571438131496</v>
      </c>
      <c r="BA357" s="1167">
        <f>+(AZ357/AZ350-1)*100</f>
        <v>0.11980576066557003</v>
      </c>
      <c r="BB357" s="1609" t="s">
        <v>1970</v>
      </c>
      <c r="BC357" s="1017">
        <v>8.7970724571745916E-4</v>
      </c>
      <c r="BD357" s="1167">
        <f>+(BC357/BC350-1)*100</f>
        <v>24.068890381428055</v>
      </c>
      <c r="BF357" s="1017"/>
      <c r="BG357" s="1167"/>
      <c r="BH357" s="1167"/>
      <c r="BI357" s="1479">
        <f>(AZ356*BA357)+(BC356*BD357)+(BF356*BG357)</f>
        <v>5.1155679180393321</v>
      </c>
      <c r="BJ357" s="643" t="s">
        <v>1970</v>
      </c>
      <c r="BK357" s="297">
        <f>F357</f>
        <v>12</v>
      </c>
      <c r="BL357" s="643" t="s">
        <v>1970</v>
      </c>
      <c r="BM357" s="256"/>
      <c r="BN357" s="256"/>
      <c r="BO357" s="1592"/>
      <c r="BP357" s="1492"/>
    </row>
    <row r="358" spans="1:68" hidden="1" outlineLevel="1">
      <c r="A358" s="256" t="str">
        <f>$A$41</f>
        <v>2Q</v>
      </c>
      <c r="B358" s="302" t="str">
        <f>$B$41</f>
        <v>Jul</v>
      </c>
      <c r="C358" s="256"/>
      <c r="D358" s="288">
        <f>(V358/V351-1)*100</f>
        <v>21.290252393385558</v>
      </c>
      <c r="E358" s="256"/>
      <c r="F358" s="1473">
        <v>3</v>
      </c>
      <c r="G358" s="256"/>
      <c r="H358" s="2091">
        <f>'segSales&amp;comps'!S181</f>
        <v>7</v>
      </c>
      <c r="I358" s="256"/>
      <c r="J358" s="288">
        <f>D358-H358-F358</f>
        <v>11.290252393385558</v>
      </c>
      <c r="K358" s="256"/>
      <c r="L358" s="948">
        <f>Stores!K255</f>
        <v>48</v>
      </c>
      <c r="M358" s="256"/>
      <c r="N358" s="811">
        <f>AVERAGE(L358,L357)</f>
        <v>47</v>
      </c>
      <c r="O358" s="256"/>
      <c r="P358" s="288">
        <f>(N358/N351-1)*100</f>
        <v>13.25301204819278</v>
      </c>
      <c r="Q358" s="643"/>
      <c r="R358" s="812">
        <f>J358/P358*100</f>
        <v>85.19008624100006</v>
      </c>
      <c r="S358" s="587"/>
      <c r="T358" s="256"/>
      <c r="U358" s="256"/>
      <c r="V358" s="315">
        <f>'segSales&amp;comps'!Q181</f>
        <v>111.49</v>
      </c>
      <c r="W358" s="238"/>
      <c r="X358" s="818">
        <f>V358/N358</f>
        <v>2.3721276595744678</v>
      </c>
      <c r="Y358" s="256"/>
      <c r="Z358" s="814">
        <f>(X358/X351-1)*100</f>
        <v>7.0967122196914811</v>
      </c>
      <c r="AA358" s="643"/>
      <c r="AB358" s="256"/>
      <c r="AC358" s="1017">
        <f>AC357+(L358-L357)*yrSales!$U$162/1000000</f>
        <v>0.11150000000000003</v>
      </c>
      <c r="AD358" s="238"/>
      <c r="AE358" s="816">
        <f>AVERAGE(AC357:AC358)</f>
        <v>0.10910000000000003</v>
      </c>
      <c r="AF358" s="256"/>
      <c r="AG358" s="1122" t="s">
        <v>1086</v>
      </c>
      <c r="AH358" s="643"/>
      <c r="AI358" s="1122" t="s">
        <v>1086</v>
      </c>
      <c r="AJ358" s="587"/>
      <c r="AK358" s="256"/>
      <c r="AL358" s="315">
        <f>+V358</f>
        <v>111.49</v>
      </c>
      <c r="AM358" s="256"/>
      <c r="AN358" s="315">
        <f>AL358/AE358</f>
        <v>1021.9065077910171</v>
      </c>
      <c r="AO358" s="256"/>
      <c r="AP358" s="1122" t="s">
        <v>1086</v>
      </c>
      <c r="AQ358" s="643"/>
      <c r="AR358" s="643"/>
      <c r="AS358" s="256"/>
      <c r="AT358" s="256"/>
      <c r="AU358" s="256"/>
      <c r="AV358" s="256"/>
      <c r="AW358" s="256"/>
      <c r="AX358" s="256"/>
      <c r="AZ358" s="1017">
        <v>0.14688171123582264</v>
      </c>
      <c r="BA358" s="1167">
        <f>+(AZ358/AZ351-1)*100</f>
        <v>0.3203365389008006</v>
      </c>
      <c r="BB358" s="1167"/>
      <c r="BC358" s="1017">
        <v>8.3705169726062316E-4</v>
      </c>
      <c r="BD358" s="1167">
        <f>+(BC358/BC351-1)*100</f>
        <v>5.5969225314128401</v>
      </c>
      <c r="BF358" s="1017"/>
      <c r="BG358" s="1167"/>
      <c r="BH358" s="1167"/>
      <c r="BI358" s="1479">
        <f>(AZ356*BA358)+(BC356*BD358)+(BF356*BG358)</f>
        <v>1.3387253664361047</v>
      </c>
      <c r="BK358" s="297">
        <f>F358</f>
        <v>3</v>
      </c>
      <c r="BM358" s="256"/>
      <c r="BN358" s="256"/>
      <c r="BO358" s="1592"/>
      <c r="BP358" s="1492"/>
    </row>
    <row r="359" spans="1:68" hidden="1" outlineLevel="1">
      <c r="A359" s="256" t="str">
        <f>$A$42</f>
        <v>3Q</v>
      </c>
      <c r="B359" s="302" t="str">
        <f>$B$42</f>
        <v>Oct</v>
      </c>
      <c r="C359" s="256"/>
      <c r="D359" s="288">
        <f>(V359/V352-1)*100</f>
        <v>24.102128324591487</v>
      </c>
      <c r="E359" s="256"/>
      <c r="F359" s="1473">
        <v>4</v>
      </c>
      <c r="G359" s="256"/>
      <c r="H359" s="2091">
        <f>'segSales&amp;comps'!S182</f>
        <v>11</v>
      </c>
      <c r="I359" s="256"/>
      <c r="J359" s="288">
        <f>D359-H359-F359</f>
        <v>9.1021283245914866</v>
      </c>
      <c r="K359" s="256"/>
      <c r="L359" s="948">
        <f>Stores!K256</f>
        <v>49</v>
      </c>
      <c r="M359" s="238"/>
      <c r="N359" s="811">
        <f>AVERAGE(L359,L358)</f>
        <v>48.5</v>
      </c>
      <c r="O359" s="256"/>
      <c r="P359" s="288">
        <f>(N359/N352-1)*100</f>
        <v>14.117647058823524</v>
      </c>
      <c r="Q359" s="643"/>
      <c r="R359" s="812">
        <f>J359/P359*100</f>
        <v>64.473408965856393</v>
      </c>
      <c r="S359" s="587"/>
      <c r="T359" s="256"/>
      <c r="U359" s="256"/>
      <c r="V359" s="315">
        <f>'segSales&amp;comps'!Q182</f>
        <v>127.057</v>
      </c>
      <c r="W359" s="256"/>
      <c r="X359" s="818">
        <f>V359/N359</f>
        <v>2.6197319587628867</v>
      </c>
      <c r="Y359" s="256"/>
      <c r="Z359" s="814">
        <f>(X359/X352-1)*100</f>
        <v>8.7492877071162276</v>
      </c>
      <c r="AA359" s="643"/>
      <c r="AB359" s="256"/>
      <c r="AC359" s="1017">
        <f>AC358+(L359-L358)*yrSales!$U$162/1000000</f>
        <v>0.11390000000000003</v>
      </c>
      <c r="AD359" s="238"/>
      <c r="AE359" s="816">
        <f>AVERAGE(AC358:AC359)</f>
        <v>0.11270000000000002</v>
      </c>
      <c r="AF359" s="256"/>
      <c r="AG359" s="1122" t="s">
        <v>1086</v>
      </c>
      <c r="AH359" s="643"/>
      <c r="AI359" s="1122" t="s">
        <v>1086</v>
      </c>
      <c r="AJ359" s="587"/>
      <c r="AK359" s="256"/>
      <c r="AL359" s="315">
        <f>+V359</f>
        <v>127.057</v>
      </c>
      <c r="AM359" s="256"/>
      <c r="AN359" s="315">
        <f>AL359/AE359</f>
        <v>1127.3913043478258</v>
      </c>
      <c r="AO359" s="256"/>
      <c r="AP359" s="1122" t="s">
        <v>1086</v>
      </c>
      <c r="AQ359" s="643"/>
      <c r="AR359" s="643"/>
      <c r="AS359" s="256"/>
      <c r="AT359" s="256"/>
      <c r="AU359" s="256"/>
      <c r="AV359" s="256"/>
      <c r="AW359" s="256"/>
      <c r="AX359" s="256"/>
      <c r="AZ359" s="1017">
        <v>0.14846345976740577</v>
      </c>
      <c r="BA359" s="1167">
        <f>+(AZ359/AZ352-1)*100</f>
        <v>1.389938733017626</v>
      </c>
      <c r="BB359" s="1167"/>
      <c r="BC359" s="1017">
        <v>8.6472596794165532E-4</v>
      </c>
      <c r="BD359" s="1167">
        <f>+(BC359/BC352-1)*100</f>
        <v>4.6428939839843641</v>
      </c>
      <c r="BF359" s="1017"/>
      <c r="BG359" s="1167"/>
      <c r="BH359" s="1167"/>
      <c r="BI359" s="1479">
        <f>(AZ356*BA359)+(BC356*BD359)+(BF356*BG359)</f>
        <v>1.6838764904757058</v>
      </c>
      <c r="BK359" s="297">
        <f>F359</f>
        <v>4</v>
      </c>
      <c r="BM359" s="256"/>
      <c r="BN359" s="256"/>
      <c r="BO359" s="1592"/>
      <c r="BP359" s="1492"/>
    </row>
    <row r="360" spans="1:68" hidden="1" outlineLevel="1">
      <c r="A360" s="256" t="str">
        <f>$A$43</f>
        <v>4Q</v>
      </c>
      <c r="B360" s="302" t="str">
        <f>$B$43</f>
        <v>Jan</v>
      </c>
      <c r="C360" s="256"/>
      <c r="D360" s="318">
        <f>(V360/V353-1)*100</f>
        <v>25.292916120533036</v>
      </c>
      <c r="E360" s="256"/>
      <c r="F360" s="1515">
        <v>4</v>
      </c>
      <c r="G360" s="256"/>
      <c r="H360" s="2095">
        <f>'segSales&amp;comps'!S183</f>
        <v>16</v>
      </c>
      <c r="I360" s="256"/>
      <c r="J360" s="318">
        <f>D360-H360-F360</f>
        <v>5.292916120533036</v>
      </c>
      <c r="K360" s="256"/>
      <c r="L360" s="949">
        <f>Stores!K257</f>
        <v>52</v>
      </c>
      <c r="M360" s="238"/>
      <c r="N360" s="820">
        <f>AVERAGE(L360,L359)</f>
        <v>50.5</v>
      </c>
      <c r="O360" s="256"/>
      <c r="P360" s="318">
        <f>(N360/N353-1)*100</f>
        <v>14.77272727272727</v>
      </c>
      <c r="Q360" s="643"/>
      <c r="R360" s="820">
        <f>J360/P360*100</f>
        <v>35.828970662069786</v>
      </c>
      <c r="S360" s="587"/>
      <c r="T360" s="256"/>
      <c r="U360" s="256"/>
      <c r="V360" s="316">
        <f>'segSales&amp;comps'!Q183</f>
        <v>188.31399999999996</v>
      </c>
      <c r="W360" s="256"/>
      <c r="X360" s="821">
        <f>V360/N360</f>
        <v>3.7289900990099003</v>
      </c>
      <c r="Y360" s="256"/>
      <c r="Z360" s="298">
        <f>(X360/X353-1)*100</f>
        <v>9.1661051347218692</v>
      </c>
      <c r="AA360" s="643"/>
      <c r="AB360" s="256"/>
      <c r="AC360" s="1017">
        <f>+Stores!R258</f>
        <v>0.14070000000000002</v>
      </c>
      <c r="AD360" s="238"/>
      <c r="AE360" s="822">
        <f>AVERAGE(AC359:AC360)</f>
        <v>0.12730000000000002</v>
      </c>
      <c r="AF360" s="256"/>
      <c r="AG360" s="1123" t="s">
        <v>1086</v>
      </c>
      <c r="AH360" s="643"/>
      <c r="AI360" s="1123" t="s">
        <v>1086</v>
      </c>
      <c r="AJ360" s="587"/>
      <c r="AK360" s="256"/>
      <c r="AL360" s="316">
        <f>+V360</f>
        <v>188.31399999999996</v>
      </c>
      <c r="AM360" s="256"/>
      <c r="AN360" s="316">
        <f>AL360/AE360</f>
        <v>1479.2930086410049</v>
      </c>
      <c r="AO360" s="256"/>
      <c r="AP360" s="1123" t="s">
        <v>1086</v>
      </c>
      <c r="AQ360" s="643"/>
      <c r="AR360" s="643"/>
      <c r="AS360" s="256"/>
      <c r="AT360" s="256"/>
      <c r="AU360" s="256"/>
      <c r="AV360" s="256"/>
      <c r="AW360" s="256"/>
      <c r="AX360" s="256"/>
      <c r="AZ360" s="1601">
        <v>0.1507281627872471</v>
      </c>
      <c r="BA360" s="1602">
        <f>+(AZ360/AZ353-1)*100</f>
        <v>2.9087043798620815</v>
      </c>
      <c r="BB360" s="256"/>
      <c r="BC360" s="1601">
        <v>8.8376545830986717E-4</v>
      </c>
      <c r="BD360" s="1602">
        <f>+(BC360/BC353-1)*100</f>
        <v>2.2564173560871925</v>
      </c>
      <c r="BF360" s="1601"/>
      <c r="BG360" s="1602"/>
      <c r="BH360" s="1167"/>
      <c r="BI360" s="1608">
        <f>(AZ356*BA360)+(BC356*BD360)+(BF356*BG360)</f>
        <v>1.957286878507972</v>
      </c>
      <c r="BK360" s="298">
        <f>F360</f>
        <v>4</v>
      </c>
      <c r="BM360" s="256"/>
      <c r="BN360" s="256"/>
      <c r="BO360" s="1592"/>
      <c r="BP360" s="1492"/>
    </row>
    <row r="361" spans="1:68" hidden="1" outlineLevel="1">
      <c r="A361" s="256"/>
      <c r="B361" s="302" t="str">
        <f>$B$44</f>
        <v>Year</v>
      </c>
      <c r="C361" s="256"/>
      <c r="D361" s="288">
        <f>(V361/V354-1)*100</f>
        <v>28.829967909621466</v>
      </c>
      <c r="E361" s="256"/>
      <c r="F361" s="1473">
        <f>F357*V357/V361+F358*V358/V361+F359*V359/V361+F360*V360/V361</f>
        <v>5.5790290187309841</v>
      </c>
      <c r="G361" s="256"/>
      <c r="H361" s="2091">
        <f>'segSales&amp;comps'!S184</f>
        <v>14</v>
      </c>
      <c r="I361" s="256"/>
      <c r="J361" s="288">
        <f>D361-H361-F361</f>
        <v>9.250938890890481</v>
      </c>
      <c r="K361" s="256"/>
      <c r="L361" s="951">
        <f>Stores!K258</f>
        <v>52</v>
      </c>
      <c r="M361" s="256"/>
      <c r="N361" s="811">
        <f>AVERAGE(N357:N360)</f>
        <v>47.875</v>
      </c>
      <c r="O361" s="256"/>
      <c r="P361" s="288">
        <f>(N361/N354-1)*100</f>
        <v>13.988095238095234</v>
      </c>
      <c r="Q361" s="643"/>
      <c r="R361" s="812">
        <f>J361/P361*100</f>
        <v>66.134371645514946</v>
      </c>
      <c r="S361" s="587"/>
      <c r="T361" s="256"/>
      <c r="U361" s="256"/>
      <c r="V361" s="296">
        <f>SUM(V357:V360)</f>
        <v>549.19699999999989</v>
      </c>
      <c r="W361" s="256"/>
      <c r="X361" s="813">
        <f>SUM(X357:X360)</f>
        <v>11.409553014050552</v>
      </c>
      <c r="Y361" s="256"/>
      <c r="Z361" s="814">
        <f>(X361/X354-1)*100</f>
        <v>13.165414224617965</v>
      </c>
      <c r="AA361" s="643"/>
      <c r="AB361" s="256"/>
      <c r="AC361" s="815"/>
      <c r="AD361" s="256"/>
      <c r="AE361" s="816">
        <f>AVERAGE(AE357:AE360)</f>
        <v>0.11315000000000003</v>
      </c>
      <c r="AF361" s="256"/>
      <c r="AG361" s="1122" t="s">
        <v>1086</v>
      </c>
      <c r="AH361" s="643"/>
      <c r="AI361" s="1122" t="s">
        <v>1086</v>
      </c>
      <c r="AJ361" s="587"/>
      <c r="AK361" s="256"/>
      <c r="AL361" s="296">
        <f>SUM(AL357:AL360)</f>
        <v>549.19699999999989</v>
      </c>
      <c r="AM361" s="256"/>
      <c r="AN361" s="296">
        <f>AL361/AE361</f>
        <v>4853.7074679628786</v>
      </c>
      <c r="AO361" s="256"/>
      <c r="AP361" s="1122" t="s">
        <v>1086</v>
      </c>
      <c r="AQ361" s="643"/>
      <c r="AR361" s="643"/>
      <c r="AS361" s="256"/>
      <c r="AT361" s="256"/>
      <c r="AU361" s="256"/>
      <c r="AV361" s="256"/>
      <c r="AW361" s="256"/>
      <c r="AX361" s="256"/>
      <c r="AZ361" s="1017">
        <v>0.14812838230208064</v>
      </c>
      <c r="BA361" s="1167">
        <f>+(AZ361/AZ354-1)*100</f>
        <v>1.1788963851607104</v>
      </c>
      <c r="BB361" s="1167"/>
      <c r="BC361" s="1017">
        <v>8.6598617155887834E-4</v>
      </c>
      <c r="BD361" s="1167">
        <f>+(BC361/BC354-1)*100</f>
        <v>9.0784633652941196</v>
      </c>
      <c r="BF361" s="1017"/>
      <c r="BG361" s="1167"/>
      <c r="BH361" s="1167"/>
      <c r="BI361" s="1479">
        <f>(AZ356*BA361)+(BC356*BD361)+(BF356*BG361)</f>
        <v>2.5077144631437274</v>
      </c>
      <c r="BK361" s="297">
        <f>F361</f>
        <v>5.5790290187309841</v>
      </c>
      <c r="BM361" s="256"/>
      <c r="BN361" s="302"/>
      <c r="BO361" s="587"/>
      <c r="BP361" s="587"/>
    </row>
    <row r="362" spans="1:68" ht="13.5" hidden="1" outlineLevel="1" thickBot="1">
      <c r="A362" s="256"/>
      <c r="B362" s="302"/>
      <c r="C362" s="256"/>
      <c r="D362" s="288"/>
      <c r="E362" s="256"/>
      <c r="F362" s="297"/>
      <c r="G362" s="256"/>
      <c r="H362" s="2091"/>
      <c r="I362" s="256"/>
      <c r="J362" s="288"/>
      <c r="K362" s="256"/>
      <c r="L362" s="1033"/>
      <c r="M362" s="256"/>
      <c r="N362" s="811"/>
      <c r="O362" s="256"/>
      <c r="P362" s="288"/>
      <c r="Q362" s="643"/>
      <c r="R362" s="812"/>
      <c r="S362" s="587"/>
      <c r="T362" s="256"/>
      <c r="U362" s="256"/>
      <c r="V362" s="296"/>
      <c r="W362" s="256"/>
      <c r="X362" s="813"/>
      <c r="Y362" s="256"/>
      <c r="Z362" s="814"/>
      <c r="AA362" s="643"/>
      <c r="AB362" s="256"/>
      <c r="AC362" s="815"/>
      <c r="AD362" s="256"/>
      <c r="AE362" s="816"/>
      <c r="AF362" s="256"/>
      <c r="AG362" s="1122"/>
      <c r="AH362" s="643"/>
      <c r="AI362" s="1122"/>
      <c r="AJ362" s="587"/>
      <c r="AK362" s="256"/>
      <c r="AL362" s="296"/>
      <c r="AM362" s="256"/>
      <c r="AN362" s="817"/>
      <c r="AO362" s="256"/>
      <c r="AP362" s="1122"/>
      <c r="AQ362" s="643"/>
      <c r="AR362" s="643"/>
      <c r="AS362" s="256"/>
      <c r="AT362" s="256"/>
      <c r="AU362" s="256"/>
      <c r="AV362" s="256"/>
      <c r="AW362" s="256"/>
      <c r="AX362" s="256"/>
      <c r="AZ362" s="256"/>
      <c r="BA362" s="256"/>
      <c r="BB362" s="256"/>
      <c r="BC362" s="256"/>
      <c r="BD362" s="256"/>
      <c r="BE362" s="256"/>
      <c r="BF362" s="1017"/>
      <c r="BG362" s="1017"/>
      <c r="BH362" s="1167"/>
      <c r="BI362" s="256"/>
      <c r="BK362" s="256"/>
      <c r="BM362" s="256"/>
      <c r="BN362" s="302"/>
      <c r="BO362" s="587"/>
      <c r="BP362" s="587"/>
    </row>
    <row r="363" spans="1:68" ht="13.5" hidden="1" outlineLevel="1" thickBot="1">
      <c r="A363" s="810"/>
      <c r="B363" s="171">
        <f>+B356+1</f>
        <v>2011</v>
      </c>
      <c r="C363" s="256"/>
      <c r="D363" s="256"/>
      <c r="E363" s="643"/>
      <c r="F363" s="297"/>
      <c r="G363" s="643"/>
      <c r="H363" s="2091"/>
      <c r="I363" s="643"/>
      <c r="J363" s="256"/>
      <c r="K363" s="643"/>
      <c r="L363" s="256"/>
      <c r="M363" s="256"/>
      <c r="N363" s="256"/>
      <c r="O363" s="256"/>
      <c r="P363" s="256"/>
      <c r="Q363" s="643"/>
      <c r="R363" s="587"/>
      <c r="S363" s="587"/>
      <c r="T363" s="256"/>
      <c r="U363" s="256"/>
      <c r="V363" s="256"/>
      <c r="W363" s="256"/>
      <c r="X363" s="256"/>
      <c r="Y363" s="256"/>
      <c r="Z363" s="256"/>
      <c r="AA363" s="643"/>
      <c r="AB363" s="256"/>
      <c r="AC363" s="256"/>
      <c r="AD363" s="256"/>
      <c r="AE363" s="256"/>
      <c r="AF363" s="256"/>
      <c r="AG363" s="256"/>
      <c r="AH363" s="643"/>
      <c r="AI363" s="587"/>
      <c r="AJ363" s="587"/>
      <c r="AK363" s="256"/>
      <c r="AL363" s="256"/>
      <c r="AM363" s="256"/>
      <c r="AN363" s="256"/>
      <c r="AO363" s="256"/>
      <c r="AP363" s="320"/>
      <c r="AQ363" s="643"/>
      <c r="AR363" s="643"/>
      <c r="AS363" s="256"/>
      <c r="AT363" s="256"/>
      <c r="AU363" s="256"/>
      <c r="AV363" s="256"/>
      <c r="AW363" s="256"/>
      <c r="AX363" s="256"/>
      <c r="AZ363" s="1605">
        <v>0.55000000000000004</v>
      </c>
      <c r="BA363" s="238"/>
      <c r="BB363" s="256"/>
      <c r="BC363" s="1605">
        <v>0.21</v>
      </c>
      <c r="BD363" s="238"/>
      <c r="BF363" s="1605"/>
      <c r="BG363" s="238"/>
      <c r="BH363" s="256"/>
      <c r="BI363" s="256"/>
      <c r="BK363" s="256"/>
      <c r="BM363" s="256"/>
      <c r="BN363" s="256"/>
      <c r="BO363" s="587"/>
      <c r="BP363" s="587"/>
    </row>
    <row r="364" spans="1:68" hidden="1" outlineLevel="1">
      <c r="A364" s="256" t="str">
        <f>$A$40</f>
        <v>1Q</v>
      </c>
      <c r="B364" s="302" t="str">
        <f>$B$40</f>
        <v>Apr</v>
      </c>
      <c r="C364" s="256"/>
      <c r="D364" s="288">
        <f>(V364/V357-1)*100</f>
        <v>36.672770075856654</v>
      </c>
      <c r="E364" s="643" t="s">
        <v>1970</v>
      </c>
      <c r="F364" s="1473">
        <v>6</v>
      </c>
      <c r="G364" s="643"/>
      <c r="H364" s="2091">
        <f>'segSales&amp;comps'!S187</f>
        <v>26</v>
      </c>
      <c r="I364" s="643" t="s">
        <v>1970</v>
      </c>
      <c r="J364" s="288">
        <f>D364-H364-F364</f>
        <v>4.6727700758566542</v>
      </c>
      <c r="K364" s="643" t="s">
        <v>1970</v>
      </c>
      <c r="L364" s="948">
        <f>Stores!K261</f>
        <v>53</v>
      </c>
      <c r="M364" s="256"/>
      <c r="N364" s="811">
        <f>AVERAGE(L364,L360)</f>
        <v>52.5</v>
      </c>
      <c r="O364" s="256"/>
      <c r="P364" s="288">
        <f>(N364/N357-1)*100</f>
        <v>15.384615384615374</v>
      </c>
      <c r="Q364" s="643" t="s">
        <v>1970</v>
      </c>
      <c r="R364" s="812">
        <f>J364/P364*100</f>
        <v>30.373005493068273</v>
      </c>
      <c r="S364" s="587" t="s">
        <v>1970</v>
      </c>
      <c r="T364" s="256"/>
      <c r="U364" s="256"/>
      <c r="V364" s="296">
        <f>'segSales&amp;comps'!Q187</f>
        <v>167.2</v>
      </c>
      <c r="W364" s="238"/>
      <c r="X364" s="813">
        <f>V364/N364</f>
        <v>3.1847619047619045</v>
      </c>
      <c r="Y364" s="256"/>
      <c r="Z364" s="814">
        <f>(X364/X357-1)*100</f>
        <v>18.449734065742419</v>
      </c>
      <c r="AA364" s="643" t="s">
        <v>1970</v>
      </c>
      <c r="AB364" s="256"/>
      <c r="AC364" s="1017">
        <f>0.1287+(L364-L361)*6400/1000000</f>
        <v>0.1351</v>
      </c>
      <c r="AD364" s="256" t="s">
        <v>505</v>
      </c>
      <c r="AE364" s="816">
        <f>AVERAGE(AC364,AC360)</f>
        <v>0.13790000000000002</v>
      </c>
      <c r="AF364" s="256"/>
      <c r="AG364" s="1122" t="s">
        <v>1086</v>
      </c>
      <c r="AH364" s="643" t="s">
        <v>1970</v>
      </c>
      <c r="AI364" s="1122" t="s">
        <v>1086</v>
      </c>
      <c r="AJ364" s="587" t="s">
        <v>1970</v>
      </c>
      <c r="AK364" s="256"/>
      <c r="AL364" s="296">
        <f>+V364</f>
        <v>167.2</v>
      </c>
      <c r="AM364" s="256" t="s">
        <v>505</v>
      </c>
      <c r="AN364" s="296">
        <f>AL364/AE364</f>
        <v>1212.4728063814355</v>
      </c>
      <c r="AO364" s="256"/>
      <c r="AP364" s="1122" t="s">
        <v>1086</v>
      </c>
      <c r="AQ364" s="643" t="s">
        <v>1970</v>
      </c>
      <c r="AR364" s="643"/>
      <c r="AS364" s="297"/>
      <c r="AT364" s="297"/>
      <c r="AU364" s="297"/>
      <c r="AV364" s="297"/>
      <c r="AW364" s="297"/>
      <c r="AX364" s="297"/>
      <c r="AZ364" s="1017">
        <v>0.15238963510696191</v>
      </c>
      <c r="BA364" s="1167">
        <f>+(AZ364/AZ357-1)*100</f>
        <v>4.0374752569913852</v>
      </c>
      <c r="BB364" s="1609" t="s">
        <v>1970</v>
      </c>
      <c r="BC364" s="1017">
        <v>9.0150814734748412E-4</v>
      </c>
      <c r="BD364" s="1167">
        <f>+(BC364/BC357-1)*100</f>
        <v>2.4781996210847312</v>
      </c>
      <c r="BF364" s="1017"/>
      <c r="BG364" s="1167"/>
      <c r="BH364" s="1167"/>
      <c r="BI364" s="1479">
        <f>(AZ363*BA364)+(BC363*BD364)+(BF363*BG364)</f>
        <v>2.7410333117730552</v>
      </c>
      <c r="BJ364" s="643" t="s">
        <v>1970</v>
      </c>
      <c r="BK364" s="297">
        <f>F364</f>
        <v>6</v>
      </c>
      <c r="BL364" s="643" t="s">
        <v>1970</v>
      </c>
      <c r="BM364" s="256"/>
      <c r="BN364" s="256"/>
      <c r="BO364" s="1592"/>
      <c r="BP364" s="1492"/>
    </row>
    <row r="365" spans="1:68" hidden="1" outlineLevel="1">
      <c r="A365" s="256" t="str">
        <f>$A$41</f>
        <v>2Q</v>
      </c>
      <c r="B365" s="302" t="str">
        <f>$B$41</f>
        <v>Jul</v>
      </c>
      <c r="C365" s="256"/>
      <c r="D365" s="288">
        <f>(V365/V358-1)*100</f>
        <v>55.387030226926193</v>
      </c>
      <c r="E365" s="256"/>
      <c r="F365" s="1473">
        <v>10</v>
      </c>
      <c r="G365" s="256"/>
      <c r="H365" s="2091">
        <f>'segSales&amp;comps'!S188</f>
        <v>41</v>
      </c>
      <c r="I365" s="256"/>
      <c r="J365" s="288">
        <f>D365-H365-F365</f>
        <v>4.3870302269261927</v>
      </c>
      <c r="K365" s="256"/>
      <c r="L365" s="948">
        <f>Stores!K262</f>
        <v>53</v>
      </c>
      <c r="M365" s="256"/>
      <c r="N365" s="811">
        <f>AVERAGE(L365,L364)</f>
        <v>53</v>
      </c>
      <c r="O365" s="256"/>
      <c r="P365" s="288">
        <f>(N365/N358-1)*100</f>
        <v>12.765957446808507</v>
      </c>
      <c r="Q365" s="643"/>
      <c r="R365" s="812">
        <f>J365/P365*100</f>
        <v>34.365070110921856</v>
      </c>
      <c r="S365" s="587"/>
      <c r="T365" s="256"/>
      <c r="U365" s="256"/>
      <c r="V365" s="315">
        <f>'segSales&amp;comps'!Q188</f>
        <v>173.24100000000001</v>
      </c>
      <c r="W365" s="238"/>
      <c r="X365" s="818">
        <f>V365/N365</f>
        <v>3.2686981132075474</v>
      </c>
      <c r="Y365" s="256"/>
      <c r="Z365" s="814">
        <f>(X365/X358-1)*100</f>
        <v>37.796045672934575</v>
      </c>
      <c r="AA365" s="643"/>
      <c r="AB365" s="256"/>
      <c r="AC365" s="1017">
        <f>AC364+(L365-L364)*yrSales!$W$124/1000000</f>
        <v>0.1351</v>
      </c>
      <c r="AD365" s="238"/>
      <c r="AE365" s="816">
        <f>AVERAGE(AC364:AC365)</f>
        <v>0.1351</v>
      </c>
      <c r="AF365" s="256"/>
      <c r="AG365" s="1122" t="s">
        <v>1086</v>
      </c>
      <c r="AH365" s="643"/>
      <c r="AI365" s="1122" t="s">
        <v>1086</v>
      </c>
      <c r="AJ365" s="587"/>
      <c r="AK365" s="256"/>
      <c r="AL365" s="315">
        <f>+V365</f>
        <v>173.24100000000001</v>
      </c>
      <c r="AM365" s="256"/>
      <c r="AN365" s="315">
        <f>AL365/AE365</f>
        <v>1282.316802368616</v>
      </c>
      <c r="AO365" s="256"/>
      <c r="AP365" s="1122" t="s">
        <v>1086</v>
      </c>
      <c r="AQ365" s="643"/>
      <c r="AR365" s="643"/>
      <c r="AS365" s="256"/>
      <c r="AT365" s="256"/>
      <c r="AU365" s="256"/>
      <c r="AV365" s="256"/>
      <c r="AW365" s="256"/>
      <c r="AX365" s="256"/>
      <c r="AZ365" s="1017">
        <v>0.15438587509928756</v>
      </c>
      <c r="BA365" s="1167">
        <f>+(AZ365/AZ358-1)*100</f>
        <v>5.108984502105085</v>
      </c>
      <c r="BB365" s="1167"/>
      <c r="BC365" s="1017">
        <v>9.3039702969860839E-4</v>
      </c>
      <c r="BD365" s="1167">
        <f>+(BC365/BC358-1)*100</f>
        <v>11.151680683937659</v>
      </c>
      <c r="BF365" s="1017"/>
      <c r="BG365" s="1167"/>
      <c r="BH365" s="1167"/>
      <c r="BI365" s="1479">
        <f>(AZ363*BA365)+(BC363*BD365)+(BF363*BG365)</f>
        <v>5.1517944197847054</v>
      </c>
      <c r="BK365" s="297">
        <f>F365</f>
        <v>10</v>
      </c>
      <c r="BM365" s="256"/>
      <c r="BN365" s="256"/>
      <c r="BO365" s="1592"/>
      <c r="BP365" s="1492"/>
    </row>
    <row r="366" spans="1:68" hidden="1" outlineLevel="1">
      <c r="A366" s="256" t="str">
        <f>$A$42</f>
        <v>3Q</v>
      </c>
      <c r="B366" s="302" t="str">
        <f>$B$42</f>
        <v>Oct</v>
      </c>
      <c r="C366" s="256"/>
      <c r="D366" s="288">
        <f>(V366/V359-1)*100</f>
        <v>44.202995505954014</v>
      </c>
      <c r="E366" s="256"/>
      <c r="F366" s="1473">
        <v>4</v>
      </c>
      <c r="G366" s="256"/>
      <c r="H366" s="2091">
        <f>'segSales&amp;comps'!S189</f>
        <v>36</v>
      </c>
      <c r="I366" s="256"/>
      <c r="J366" s="288">
        <f>D366-H366-F366</f>
        <v>4.2029955059540143</v>
      </c>
      <c r="K366" s="256"/>
      <c r="L366" s="948">
        <f>Stores!K263</f>
        <v>55</v>
      </c>
      <c r="M366" s="256"/>
      <c r="N366" s="811">
        <f>AVERAGE(L366,L365)</f>
        <v>54</v>
      </c>
      <c r="O366" s="256"/>
      <c r="P366" s="288">
        <f>(N366/N359-1)*100</f>
        <v>11.340206185567014</v>
      </c>
      <c r="Q366" s="643"/>
      <c r="R366" s="812">
        <f>J366/P366*100</f>
        <v>37.062778552503566</v>
      </c>
      <c r="S366" s="587"/>
      <c r="T366" s="256"/>
      <c r="U366" s="256"/>
      <c r="V366" s="315">
        <f>'segSales&amp;comps'!Q189</f>
        <v>183.22</v>
      </c>
      <c r="W366" s="238"/>
      <c r="X366" s="818">
        <f>V366/N366</f>
        <v>3.392962962962963</v>
      </c>
      <c r="Y366" s="256"/>
      <c r="Z366" s="814">
        <f>(X366/X359-1)*100</f>
        <v>29.515653371088323</v>
      </c>
      <c r="AA366" s="643"/>
      <c r="AB366" s="256"/>
      <c r="AC366" s="1017">
        <f>AC365+(L366-L365)*yrSales!$W$124/1000000</f>
        <v>0.13792857142857143</v>
      </c>
      <c r="AD366" s="238"/>
      <c r="AE366" s="816">
        <f>AVERAGE(AC365:AC366)</f>
        <v>0.1365142857142857</v>
      </c>
      <c r="AF366" s="256"/>
      <c r="AG366" s="1122" t="s">
        <v>1086</v>
      </c>
      <c r="AH366" s="643"/>
      <c r="AI366" s="1122" t="s">
        <v>1086</v>
      </c>
      <c r="AJ366" s="587"/>
      <c r="AK366" s="256"/>
      <c r="AL366" s="315">
        <f>+V366</f>
        <v>183.22</v>
      </c>
      <c r="AM366" s="256"/>
      <c r="AN366" s="315">
        <f>AL366/AE366</f>
        <v>1342.1305985768106</v>
      </c>
      <c r="AO366" s="256"/>
      <c r="AP366" s="1122" t="s">
        <v>1086</v>
      </c>
      <c r="AQ366" s="643"/>
      <c r="AR366" s="643"/>
      <c r="AS366" s="256"/>
      <c r="AT366" s="256"/>
      <c r="AU366" s="256"/>
      <c r="AV366" s="256"/>
      <c r="AW366" s="256"/>
      <c r="AX366" s="256"/>
      <c r="AZ366" s="1017">
        <v>0.15647705680380611</v>
      </c>
      <c r="BA366" s="1167">
        <f>+(AZ366/AZ359-1)*100</f>
        <v>5.3976898079534541</v>
      </c>
      <c r="BB366" s="1167"/>
      <c r="BC366" s="1017">
        <v>8.9801542020919931E-4</v>
      </c>
      <c r="BD366" s="1167">
        <f>+(BC366/BC359-1)*100</f>
        <v>3.8497111803851958</v>
      </c>
      <c r="BF366" s="1017"/>
      <c r="BG366" s="1167"/>
      <c r="BH366" s="1167"/>
      <c r="BI366" s="1479">
        <f>(AZ363*BA366)+(BC363*BD366)+(BF363*BG366)</f>
        <v>3.7771687422552911</v>
      </c>
      <c r="BK366" s="297">
        <f>F366</f>
        <v>4</v>
      </c>
      <c r="BM366" s="256"/>
      <c r="BN366" s="256"/>
      <c r="BO366" s="1592"/>
      <c r="BP366" s="1492"/>
    </row>
    <row r="367" spans="1:68" hidden="1" outlineLevel="1">
      <c r="A367" s="256" t="str">
        <f>$A$43</f>
        <v>4Q</v>
      </c>
      <c r="B367" s="302" t="str">
        <f>$B$43</f>
        <v>Jan</v>
      </c>
      <c r="C367" s="256"/>
      <c r="D367" s="318">
        <f>(V367/V360-1)*100</f>
        <v>19.24392238495285</v>
      </c>
      <c r="E367" s="256"/>
      <c r="F367" s="298">
        <v>1</v>
      </c>
      <c r="G367" s="256"/>
      <c r="H367" s="2095">
        <f>'segSales&amp;comps'!S190</f>
        <v>13</v>
      </c>
      <c r="I367" s="256"/>
      <c r="J367" s="318">
        <f>D367-H367-F367</f>
        <v>5.2439223849528496</v>
      </c>
      <c r="K367" s="256"/>
      <c r="L367" s="949">
        <f>Stores!K264</f>
        <v>59</v>
      </c>
      <c r="M367" s="238"/>
      <c r="N367" s="820">
        <f>AVERAGE(L367,L366)</f>
        <v>57</v>
      </c>
      <c r="O367" s="256"/>
      <c r="P367" s="318">
        <f>(N367/N360-1)*100</f>
        <v>12.871287128712861</v>
      </c>
      <c r="Q367" s="643"/>
      <c r="R367" s="820">
        <f>J367/P367*100</f>
        <v>40.741243144633707</v>
      </c>
      <c r="S367" s="587"/>
      <c r="T367" s="256"/>
      <c r="U367" s="256"/>
      <c r="V367" s="316">
        <f>'segSales&amp;comps'!Q190</f>
        <v>224.55300000000005</v>
      </c>
      <c r="W367" s="256"/>
      <c r="X367" s="821">
        <f>V367/N367</f>
        <v>3.9395263157894744</v>
      </c>
      <c r="Y367" s="256"/>
      <c r="Z367" s="298">
        <f>(X367/X360-1)*100</f>
        <v>5.645931235791557</v>
      </c>
      <c r="AA367" s="643"/>
      <c r="AB367" s="256"/>
      <c r="AC367" s="1017">
        <f>+Stores!R265</f>
        <v>0.15060000000000001</v>
      </c>
      <c r="AD367" s="238"/>
      <c r="AE367" s="822">
        <f>AVERAGE(AC366:AC367)</f>
        <v>0.14426428571428573</v>
      </c>
      <c r="AF367" s="256"/>
      <c r="AG367" s="1123" t="s">
        <v>1086</v>
      </c>
      <c r="AH367" s="643"/>
      <c r="AI367" s="1123" t="s">
        <v>1086</v>
      </c>
      <c r="AJ367" s="587"/>
      <c r="AK367" s="256"/>
      <c r="AL367" s="316">
        <f>+V367</f>
        <v>224.55300000000005</v>
      </c>
      <c r="AM367" s="256"/>
      <c r="AN367" s="316">
        <f>AL367/AE367</f>
        <v>1556.5390899638562</v>
      </c>
      <c r="AO367" s="256"/>
      <c r="AP367" s="1123" t="s">
        <v>1086</v>
      </c>
      <c r="AQ367" s="643"/>
      <c r="AR367" s="643"/>
      <c r="AS367" s="256"/>
      <c r="AT367" s="256"/>
      <c r="AU367" s="256"/>
      <c r="AV367" s="256"/>
      <c r="AW367" s="256"/>
      <c r="AX367" s="256"/>
      <c r="AZ367" s="1601">
        <v>0.15769095572485536</v>
      </c>
      <c r="BA367" s="1602">
        <f>+(AZ367/AZ360-1)*100</f>
        <v>4.6194372762549119</v>
      </c>
      <c r="BB367" s="256"/>
      <c r="BC367" s="1601">
        <v>8.7587175017640696E-4</v>
      </c>
      <c r="BD367" s="1602">
        <f>+(BC367/BC360-1)*100</f>
        <v>-0.89319038883419744</v>
      </c>
      <c r="BF367" s="1601"/>
      <c r="BG367" s="1602"/>
      <c r="BH367" s="1167"/>
      <c r="BI367" s="1608">
        <f>(AZ363*BA367)+(BC363*BD367)+(BF363*BG367)</f>
        <v>2.3531205202850201</v>
      </c>
      <c r="BK367" s="298">
        <f>F367</f>
        <v>1</v>
      </c>
      <c r="BM367" s="256"/>
      <c r="BN367" s="256"/>
      <c r="BO367" s="1592"/>
      <c r="BP367" s="1492"/>
    </row>
    <row r="368" spans="1:68" hidden="1" outlineLevel="1">
      <c r="A368" s="256"/>
      <c r="B368" s="302" t="str">
        <f>$B$44</f>
        <v>Year</v>
      </c>
      <c r="C368" s="256"/>
      <c r="D368" s="288">
        <f>(V368/V361-1)*100</f>
        <v>36.237816302711103</v>
      </c>
      <c r="E368" s="256"/>
      <c r="F368" s="217">
        <f>F364*V357/V361+F365*V358/V361+F366*V359/V361+F367*V360/V361</f>
        <v>4.6348723682030322</v>
      </c>
      <c r="G368" s="256"/>
      <c r="H368" s="2085">
        <f>H364*V357/V361+H365*V358/V361+H366*V359/V361+H367*V360/V361</f>
        <v>26.901020945125339</v>
      </c>
      <c r="I368" s="256"/>
      <c r="J368" s="288">
        <f>D368-H368-F368</f>
        <v>4.7019229893827319</v>
      </c>
      <c r="K368" s="256"/>
      <c r="L368" s="951">
        <f>Stores!K265</f>
        <v>59</v>
      </c>
      <c r="M368" s="256"/>
      <c r="N368" s="811">
        <f>AVERAGE(N364:N367)</f>
        <v>54.125</v>
      </c>
      <c r="O368" s="256"/>
      <c r="P368" s="288">
        <f>(N368/N361-1)*100</f>
        <v>13.054830287206265</v>
      </c>
      <c r="Q368" s="643"/>
      <c r="R368" s="812">
        <f>J368/P368*100</f>
        <v>36.016730098671729</v>
      </c>
      <c r="S368" s="587"/>
      <c r="T368" s="256"/>
      <c r="U368" s="256"/>
      <c r="V368" s="296">
        <f>SUM(V364:V367)</f>
        <v>748.21400000000017</v>
      </c>
      <c r="W368" s="256"/>
      <c r="X368" s="813">
        <f>SUM(X364:X367)</f>
        <v>13.785949296721888</v>
      </c>
      <c r="Y368" s="256"/>
      <c r="Z368" s="814">
        <f>(X368/X361-1)*100</f>
        <v>20.82812779558385</v>
      </c>
      <c r="AA368" s="643"/>
      <c r="AB368" s="256"/>
      <c r="AC368" s="815"/>
      <c r="AD368" s="256"/>
      <c r="AE368" s="816">
        <f>AVERAGE(AE364:AE367)</f>
        <v>0.13844464285714286</v>
      </c>
      <c r="AF368" s="256"/>
      <c r="AG368" s="1122" t="s">
        <v>1086</v>
      </c>
      <c r="AH368" s="643"/>
      <c r="AI368" s="1122" t="s">
        <v>1086</v>
      </c>
      <c r="AJ368" s="587"/>
      <c r="AK368" s="256"/>
      <c r="AL368" s="296">
        <f>SUM(AL364:AL367)</f>
        <v>748.21400000000017</v>
      </c>
      <c r="AM368" s="256"/>
      <c r="AN368" s="296">
        <f>AL368/AE368</f>
        <v>5404.4272465787008</v>
      </c>
      <c r="AO368" s="256"/>
      <c r="AP368" s="1122" t="s">
        <v>1086</v>
      </c>
      <c r="AQ368" s="643"/>
      <c r="AR368" s="643"/>
      <c r="AS368" s="256"/>
      <c r="AT368" s="256"/>
      <c r="AU368" s="256"/>
      <c r="AV368" s="256"/>
      <c r="AW368" s="256"/>
      <c r="AX368" s="256"/>
      <c r="AZ368" s="1017">
        <v>0.15523459162440353</v>
      </c>
      <c r="BA368" s="1167">
        <f>+(AZ368/AZ361-1)*100</f>
        <v>4.797331349930678</v>
      </c>
      <c r="BB368" s="1167"/>
      <c r="BC368" s="1017">
        <v>9.0092052020144847E-4</v>
      </c>
      <c r="BD368" s="1167">
        <f>+(BC368/BC361-1)*100</f>
        <v>4.0340538671286286</v>
      </c>
      <c r="BF368" s="1017"/>
      <c r="BG368" s="1167"/>
      <c r="BH368" s="1167"/>
      <c r="BI368" s="1479">
        <f>(AZ363*BA368)+(BC363*BD368)+(BF363*BG368)</f>
        <v>3.4856835545588849</v>
      </c>
      <c r="BK368" s="297">
        <f>F368</f>
        <v>4.6348723682030322</v>
      </c>
      <c r="BM368" s="256"/>
      <c r="BN368" s="302"/>
      <c r="BO368" s="587"/>
      <c r="BP368" s="587"/>
    </row>
    <row r="369" spans="1:68" ht="13.5" hidden="1" outlineLevel="1" thickBot="1">
      <c r="A369" s="256"/>
      <c r="B369" s="302"/>
      <c r="C369" s="256"/>
      <c r="D369" s="288"/>
      <c r="E369" s="256"/>
      <c r="F369" s="297"/>
      <c r="G369" s="256"/>
      <c r="H369" s="2091"/>
      <c r="I369" s="256"/>
      <c r="J369" s="288"/>
      <c r="K369" s="256"/>
      <c r="L369" s="1033"/>
      <c r="M369" s="256"/>
      <c r="N369" s="811"/>
      <c r="O369" s="256"/>
      <c r="P369" s="288"/>
      <c r="Q369" s="643"/>
      <c r="R369" s="812"/>
      <c r="S369" s="587"/>
      <c r="T369" s="256"/>
      <c r="U369" s="256"/>
      <c r="V369" s="296"/>
      <c r="W369" s="256"/>
      <c r="X369" s="813"/>
      <c r="Y369" s="256"/>
      <c r="Z369" s="814"/>
      <c r="AA369" s="643"/>
      <c r="AB369" s="256"/>
      <c r="AC369" s="815"/>
      <c r="AD369" s="256"/>
      <c r="AE369" s="816"/>
      <c r="AF369" s="256"/>
      <c r="AG369" s="1122"/>
      <c r="AH369" s="643"/>
      <c r="AI369" s="1122"/>
      <c r="AJ369" s="587"/>
      <c r="AK369" s="256"/>
      <c r="AL369" s="296"/>
      <c r="AM369" s="256"/>
      <c r="AN369" s="817"/>
      <c r="AO369" s="256"/>
      <c r="AP369" s="1122"/>
      <c r="AQ369" s="643"/>
      <c r="AR369" s="643"/>
      <c r="AS369" s="256"/>
      <c r="AT369" s="256"/>
      <c r="AU369" s="256"/>
      <c r="AV369" s="256"/>
      <c r="AW369" s="256"/>
      <c r="AX369" s="256"/>
      <c r="AZ369" s="256"/>
      <c r="BA369" s="256"/>
      <c r="BB369" s="256"/>
      <c r="BC369" s="256"/>
      <c r="BD369" s="256"/>
      <c r="BE369" s="256"/>
      <c r="BF369" s="1017"/>
      <c r="BG369" s="1017"/>
      <c r="BH369" s="1167"/>
      <c r="BI369" s="256"/>
      <c r="BJ369" s="256"/>
      <c r="BK369" s="256"/>
      <c r="BL369" s="256"/>
      <c r="BM369" s="256"/>
      <c r="BN369" s="302"/>
      <c r="BO369" s="587"/>
      <c r="BP369" s="587"/>
    </row>
    <row r="370" spans="1:68" ht="13.5" hidden="1" outlineLevel="1" thickBot="1">
      <c r="A370" s="810"/>
      <c r="B370" s="171">
        <f>+B363+1</f>
        <v>2012</v>
      </c>
      <c r="C370" s="256"/>
      <c r="D370" s="256"/>
      <c r="E370" s="643"/>
      <c r="F370" s="297"/>
      <c r="G370" s="643"/>
      <c r="H370" s="2091"/>
      <c r="I370" s="643"/>
      <c r="J370" s="256"/>
      <c r="K370" s="643"/>
      <c r="L370" s="256"/>
      <c r="M370" s="256"/>
      <c r="N370" s="256"/>
      <c r="O370" s="256"/>
      <c r="P370" s="256"/>
      <c r="Q370" s="643"/>
      <c r="R370" s="587"/>
      <c r="S370" s="587"/>
      <c r="T370" s="256"/>
      <c r="U370" s="256"/>
      <c r="V370" s="256"/>
      <c r="W370" s="256"/>
      <c r="X370" s="256"/>
      <c r="Y370" s="256"/>
      <c r="Z370" s="256"/>
      <c r="AA370" s="643"/>
      <c r="AB370" s="256"/>
      <c r="AC370" s="256"/>
      <c r="AD370" s="256"/>
      <c r="AE370" s="256"/>
      <c r="AF370" s="256"/>
      <c r="AG370" s="256"/>
      <c r="AH370" s="643"/>
      <c r="AI370" s="587"/>
      <c r="AJ370" s="587"/>
      <c r="AK370" s="256"/>
      <c r="AL370" s="256"/>
      <c r="AM370" s="256"/>
      <c r="AN370" s="256"/>
      <c r="AO370" s="256"/>
      <c r="AP370" s="320"/>
      <c r="AQ370" s="643"/>
      <c r="AR370" s="643"/>
      <c r="AS370" s="256"/>
      <c r="AT370" s="256"/>
      <c r="AU370" s="256"/>
      <c r="AV370" s="256"/>
      <c r="AW370" s="256"/>
      <c r="AX370" s="256"/>
      <c r="AZ370" s="1605">
        <v>0.56999999999999995</v>
      </c>
      <c r="BA370" s="238"/>
      <c r="BB370" s="256"/>
      <c r="BC370" s="1605">
        <v>0.21</v>
      </c>
      <c r="BD370" s="238"/>
      <c r="BF370" s="1605">
        <v>0.08</v>
      </c>
      <c r="BG370" s="238"/>
      <c r="BH370" s="256"/>
      <c r="BI370" s="256"/>
      <c r="BJ370" s="256"/>
      <c r="BK370" s="256"/>
      <c r="BL370" s="256"/>
      <c r="BM370" s="256"/>
      <c r="BN370" s="256"/>
      <c r="BO370" s="587"/>
      <c r="BP370" s="587"/>
    </row>
    <row r="371" spans="1:68" hidden="1" outlineLevel="1">
      <c r="A371" s="256" t="str">
        <f>$A$40</f>
        <v>1Q</v>
      </c>
      <c r="B371" s="302" t="str">
        <f>$B$40</f>
        <v>Apr</v>
      </c>
      <c r="C371" s="256"/>
      <c r="D371" s="288">
        <f>(V371/V364-1)*100</f>
        <v>16.668660287081337</v>
      </c>
      <c r="E371" s="643" t="s">
        <v>1970</v>
      </c>
      <c r="F371" s="1156">
        <v>1</v>
      </c>
      <c r="G371" s="643"/>
      <c r="H371" s="2091">
        <f>'segSales&amp;comps'!S194</f>
        <v>10</v>
      </c>
      <c r="I371" s="643" t="s">
        <v>1970</v>
      </c>
      <c r="J371" s="288">
        <f>D371-H371-F371</f>
        <v>5.6686602870813374</v>
      </c>
      <c r="K371" s="643" t="s">
        <v>1970</v>
      </c>
      <c r="L371" s="948">
        <f>Stores!K268</f>
        <v>60</v>
      </c>
      <c r="M371" s="256"/>
      <c r="N371" s="811">
        <f>AVERAGE(L371,L367)</f>
        <v>59.5</v>
      </c>
      <c r="O371" s="256"/>
      <c r="P371" s="288">
        <f>(N371/N364-1)*100</f>
        <v>13.33333333333333</v>
      </c>
      <c r="Q371" s="643" t="s">
        <v>1970</v>
      </c>
      <c r="R371" s="812">
        <f>J371/P371*100</f>
        <v>42.514952153110045</v>
      </c>
      <c r="S371" s="587" t="s">
        <v>1970</v>
      </c>
      <c r="T371" s="256"/>
      <c r="U371" s="256"/>
      <c r="V371" s="296">
        <f>'segSales&amp;comps'!Q194</f>
        <v>195.07</v>
      </c>
      <c r="W371" s="238"/>
      <c r="X371" s="813">
        <f>V371/N371</f>
        <v>3.2784873949579829</v>
      </c>
      <c r="Y371" s="256"/>
      <c r="Z371" s="814">
        <f>(X371/X364-1)*100</f>
        <v>2.9429355474247076</v>
      </c>
      <c r="AA371" s="643" t="s">
        <v>1970</v>
      </c>
      <c r="AB371" s="256"/>
      <c r="AC371" s="1017">
        <f>AC367+(L371-L367)*yrSales!$X$124/1000000</f>
        <v>0.15300000000000002</v>
      </c>
      <c r="AD371" s="256" t="s">
        <v>505</v>
      </c>
      <c r="AE371" s="816">
        <f>AVERAGE(AC371,AC367)</f>
        <v>0.15180000000000002</v>
      </c>
      <c r="AF371" s="256"/>
      <c r="AG371" s="1122" t="s">
        <v>1086</v>
      </c>
      <c r="AH371" s="643" t="s">
        <v>1970</v>
      </c>
      <c r="AI371" s="1122" t="s">
        <v>1086</v>
      </c>
      <c r="AJ371" s="587" t="s">
        <v>1970</v>
      </c>
      <c r="AK371" s="256"/>
      <c r="AL371" s="296">
        <f>+V371</f>
        <v>195.07</v>
      </c>
      <c r="AM371" s="256" t="s">
        <v>505</v>
      </c>
      <c r="AN371" s="296">
        <f>AL371/AE371</f>
        <v>1285.0461133069828</v>
      </c>
      <c r="AO371" s="256"/>
      <c r="AP371" s="1122" t="s">
        <v>1086</v>
      </c>
      <c r="AQ371" s="643" t="s">
        <v>1970</v>
      </c>
      <c r="AR371" s="643"/>
      <c r="AS371" s="297"/>
      <c r="AT371" s="297"/>
      <c r="AU371" s="297"/>
      <c r="AV371" s="297"/>
      <c r="AW371" s="297"/>
      <c r="AX371" s="297"/>
      <c r="AZ371" s="1017">
        <v>0.15855863352393776</v>
      </c>
      <c r="BA371" s="1167">
        <f>+(AZ371/AZ364-1)*100</f>
        <v>4.0481745445783313</v>
      </c>
      <c r="BB371" s="1609" t="s">
        <v>1970</v>
      </c>
      <c r="BC371" s="1017">
        <v>8.8630509289075617E-4</v>
      </c>
      <c r="BD371" s="1167">
        <f>+(BC371/BC364-1)*100</f>
        <v>-1.6864023360698477</v>
      </c>
      <c r="BF371" s="1017"/>
      <c r="BG371" s="1167"/>
      <c r="BH371" s="1167"/>
      <c r="BI371" s="1479">
        <f>(AZ370*BA371)+(BC370*BD371)+(BF370*BG371)</f>
        <v>1.9533149998349806</v>
      </c>
      <c r="BJ371" s="643" t="s">
        <v>1970</v>
      </c>
      <c r="BK371" s="297">
        <f>F371</f>
        <v>1</v>
      </c>
      <c r="BL371" s="643" t="s">
        <v>1970</v>
      </c>
      <c r="BM371" s="256"/>
      <c r="BN371" s="256"/>
      <c r="BO371" s="1592"/>
      <c r="BP371" s="1492"/>
    </row>
    <row r="372" spans="1:68" hidden="1" outlineLevel="1">
      <c r="A372" s="256" t="str">
        <f>$A$41</f>
        <v>2Q</v>
      </c>
      <c r="B372" s="302" t="str">
        <f>$B$41</f>
        <v>Jul</v>
      </c>
      <c r="C372" s="256"/>
      <c r="D372" s="288">
        <f>(V372/V365-1)*100</f>
        <v>0.51777581519385496</v>
      </c>
      <c r="E372" s="256"/>
      <c r="F372" s="1156">
        <v>-5</v>
      </c>
      <c r="G372" s="256"/>
      <c r="H372" s="2091">
        <f>'segSales&amp;comps'!S195</f>
        <v>-5</v>
      </c>
      <c r="I372" s="256"/>
      <c r="J372" s="288">
        <f>D372-H372-F372</f>
        <v>10.517775815193854</v>
      </c>
      <c r="K372" s="256"/>
      <c r="L372" s="948">
        <f>Stores!K269</f>
        <v>62</v>
      </c>
      <c r="M372" s="256"/>
      <c r="N372" s="811">
        <f>AVERAGE(L372,L371)</f>
        <v>61</v>
      </c>
      <c r="O372" s="256"/>
      <c r="P372" s="288">
        <f>(N372/N365-1)*100</f>
        <v>15.094339622641506</v>
      </c>
      <c r="Q372" s="643"/>
      <c r="R372" s="812">
        <f>J372/P372*100</f>
        <v>69.680264775659296</v>
      </c>
      <c r="S372" s="587"/>
      <c r="T372" s="256"/>
      <c r="U372" s="256"/>
      <c r="V372" s="315">
        <f>'segSales&amp;comps'!Q195</f>
        <v>174.13800000000001</v>
      </c>
      <c r="W372" s="238"/>
      <c r="X372" s="818">
        <f>V372/N372</f>
        <v>2.85472131147541</v>
      </c>
      <c r="Y372" s="256"/>
      <c r="Z372" s="814">
        <f>(X372/X365-1)*100</f>
        <v>-12.664883308110253</v>
      </c>
      <c r="AA372" s="643"/>
      <c r="AB372" s="256"/>
      <c r="AC372" s="1017">
        <f>AC371+(L372-L371)*yrSales!$X$124/1000000</f>
        <v>0.15780000000000002</v>
      </c>
      <c r="AD372" s="238"/>
      <c r="AE372" s="816">
        <f>AVERAGE(AC371:AC372)</f>
        <v>0.15540000000000004</v>
      </c>
      <c r="AF372" s="256"/>
      <c r="AG372" s="1122" t="s">
        <v>1086</v>
      </c>
      <c r="AH372" s="643"/>
      <c r="AI372" s="1122" t="s">
        <v>1086</v>
      </c>
      <c r="AJ372" s="587"/>
      <c r="AK372" s="256"/>
      <c r="AL372" s="315">
        <f>+V372</f>
        <v>174.13800000000001</v>
      </c>
      <c r="AM372" s="256"/>
      <c r="AN372" s="315">
        <f>AL372/AE372</f>
        <v>1120.5791505791503</v>
      </c>
      <c r="AO372" s="256"/>
      <c r="AP372" s="1122" t="s">
        <v>1086</v>
      </c>
      <c r="AQ372" s="643"/>
      <c r="AR372" s="643"/>
      <c r="AS372" s="256"/>
      <c r="AT372" s="256"/>
      <c r="AU372" s="256"/>
      <c r="AV372" s="256"/>
      <c r="AW372" s="256"/>
      <c r="AX372" s="256"/>
      <c r="AZ372" s="1017">
        <v>0.1574258223147286</v>
      </c>
      <c r="BA372" s="1167">
        <f>+(AZ372/AZ365-1)*100</f>
        <v>1.9690578645786161</v>
      </c>
      <c r="BB372" s="1167"/>
      <c r="BC372" s="1017">
        <v>8.664500175213656E-4</v>
      </c>
      <c r="BD372" s="1167">
        <f>+(BC372/BC365-1)*100</f>
        <v>-6.8730885993861897</v>
      </c>
      <c r="BF372" s="1017"/>
      <c r="BG372" s="1167"/>
      <c r="BH372" s="1167"/>
      <c r="BI372" s="1479">
        <f>(AZ370*BA372)+(BC370*BD372)+(BF370*BG372)</f>
        <v>-0.32098562306128864</v>
      </c>
      <c r="BJ372" s="256"/>
      <c r="BK372" s="297">
        <f>F372</f>
        <v>-5</v>
      </c>
      <c r="BM372" s="256"/>
      <c r="BN372" s="256"/>
      <c r="BO372" s="1592"/>
      <c r="BP372" s="1492"/>
    </row>
    <row r="373" spans="1:68" hidden="1" outlineLevel="1">
      <c r="A373" s="256" t="str">
        <f>$A$42</f>
        <v>3Q</v>
      </c>
      <c r="B373" s="302" t="str">
        <f>$B$42</f>
        <v>Oct</v>
      </c>
      <c r="C373" s="256"/>
      <c r="D373" s="288">
        <f>(V373/V366-1)*100</f>
        <v>2.436961030455187</v>
      </c>
      <c r="E373" s="256"/>
      <c r="F373" s="1156">
        <v>0</v>
      </c>
      <c r="G373" s="256"/>
      <c r="H373" s="2091">
        <f>'segSales&amp;comps'!S196</f>
        <v>-4</v>
      </c>
      <c r="I373" s="256"/>
      <c r="J373" s="288">
        <f>D373-H373-F373</f>
        <v>6.436961030455187</v>
      </c>
      <c r="K373" s="256"/>
      <c r="L373" s="948">
        <f>Stores!K270</f>
        <v>66</v>
      </c>
      <c r="M373" s="238"/>
      <c r="N373" s="811">
        <f>AVERAGE(L373,L372)</f>
        <v>64</v>
      </c>
      <c r="O373" s="256"/>
      <c r="P373" s="288">
        <f>(N373/N366-1)*100</f>
        <v>18.518518518518512</v>
      </c>
      <c r="Q373" s="643"/>
      <c r="R373" s="812">
        <f>J373/P373*100</f>
        <v>34.759589564458018</v>
      </c>
      <c r="S373" s="587"/>
      <c r="T373" s="256"/>
      <c r="U373" s="256"/>
      <c r="V373" s="315">
        <f>'segSales&amp;comps'!Q196</f>
        <v>187.685</v>
      </c>
      <c r="W373" s="256"/>
      <c r="X373" s="818">
        <f>V373/N373</f>
        <v>2.932578125</v>
      </c>
      <c r="Y373" s="256"/>
      <c r="Z373" s="814">
        <f>(X373/X366-1)*100</f>
        <v>-13.568814130553431</v>
      </c>
      <c r="AA373" s="643"/>
      <c r="AB373" s="256"/>
      <c r="AC373" s="1017">
        <f>AC372+(L373-L372)*yrSales!$X$124/1000000</f>
        <v>0.16740000000000002</v>
      </c>
      <c r="AD373" s="238"/>
      <c r="AE373" s="816">
        <f>AVERAGE(AC372:AC373)</f>
        <v>0.16260000000000002</v>
      </c>
      <c r="AF373" s="256"/>
      <c r="AG373" s="1122" t="s">
        <v>1086</v>
      </c>
      <c r="AH373" s="643"/>
      <c r="AI373" s="1122" t="s">
        <v>1086</v>
      </c>
      <c r="AJ373" s="587"/>
      <c r="AK373" s="256"/>
      <c r="AL373" s="315">
        <f>+V373</f>
        <v>187.685</v>
      </c>
      <c r="AM373" s="256"/>
      <c r="AN373" s="315">
        <f>AL373/AE373</f>
        <v>1154.2742927429272</v>
      </c>
      <c r="AO373" s="256"/>
      <c r="AP373" s="1122" t="s">
        <v>1086</v>
      </c>
      <c r="AQ373" s="643"/>
      <c r="AR373" s="643"/>
      <c r="AS373" s="256"/>
      <c r="AT373" s="256"/>
      <c r="AU373" s="256"/>
      <c r="AV373" s="256"/>
      <c r="AW373" s="256"/>
      <c r="AX373" s="256"/>
      <c r="AZ373" s="1017">
        <v>0.15835670832906015</v>
      </c>
      <c r="BA373" s="1167">
        <f>+(AZ373/AZ366-1)*100</f>
        <v>1.2012313904975702</v>
      </c>
      <c r="BB373" s="1167"/>
      <c r="BC373" s="1017">
        <v>8.9250250109627048E-4</v>
      </c>
      <c r="BD373" s="1167">
        <f>+(BC373/BC366-1)*100</f>
        <v>-0.61390027263057423</v>
      </c>
      <c r="BF373" s="1017"/>
      <c r="BG373" s="1167"/>
      <c r="BH373" s="1167"/>
      <c r="BI373" s="1479">
        <f>(AZ370*BA373)+(BC370*BD373)+(BF370*BG373)</f>
        <v>0.55578283533119432</v>
      </c>
      <c r="BJ373" s="256"/>
      <c r="BK373" s="297">
        <f>F373</f>
        <v>0</v>
      </c>
      <c r="BM373" s="256"/>
      <c r="BN373" s="256"/>
      <c r="BO373" s="1592"/>
      <c r="BP373" s="1492"/>
    </row>
    <row r="374" spans="1:68" hidden="1" outlineLevel="1">
      <c r="A374" s="256" t="str">
        <f>$A$43</f>
        <v>4Q</v>
      </c>
      <c r="B374" s="302" t="str">
        <f>$B$43</f>
        <v>Jan</v>
      </c>
      <c r="C374" s="256"/>
      <c r="D374" s="318">
        <f>(V374/V367-1)*100</f>
        <v>12.902967228226657</v>
      </c>
      <c r="E374" s="256"/>
      <c r="F374" s="1148">
        <v>3</v>
      </c>
      <c r="G374" s="256"/>
      <c r="H374" s="2095">
        <f>'segSales&amp;comps'!S197</f>
        <v>6</v>
      </c>
      <c r="I374" s="256"/>
      <c r="J374" s="318">
        <f>D374-H374-F374</f>
        <v>3.9029672282266574</v>
      </c>
      <c r="K374" s="256"/>
      <c r="L374" s="949">
        <f>Stores!K271</f>
        <v>67</v>
      </c>
      <c r="M374" s="238"/>
      <c r="N374" s="820">
        <f>AVERAGE(L374,L373)</f>
        <v>66.5</v>
      </c>
      <c r="O374" s="256"/>
      <c r="P374" s="318">
        <f>(N374/N367-1)*100</f>
        <v>16.666666666666675</v>
      </c>
      <c r="Q374" s="643"/>
      <c r="R374" s="820">
        <f>J374/P374*100</f>
        <v>23.417803369359934</v>
      </c>
      <c r="S374" s="587"/>
      <c r="T374" s="256"/>
      <c r="U374" s="256"/>
      <c r="V374" s="316">
        <f>'segSales&amp;comps'!Q197</f>
        <v>253.52699999999987</v>
      </c>
      <c r="W374" s="256"/>
      <c r="X374" s="821">
        <f>V374/N374</f>
        <v>3.8124360902255621</v>
      </c>
      <c r="Y374" s="256"/>
      <c r="Z374" s="298">
        <f>(X374/X367-1)*100</f>
        <v>-3.2260280900914262</v>
      </c>
      <c r="AA374" s="643"/>
      <c r="AB374" s="256"/>
      <c r="AC374" s="1017">
        <f>AC373+(L374-L373)*yrSales!$X$124/1000000</f>
        <v>0.16980000000000003</v>
      </c>
      <c r="AD374" s="238"/>
      <c r="AE374" s="822">
        <f>AVERAGE(AC373:AC374)</f>
        <v>0.16860000000000003</v>
      </c>
      <c r="AF374" s="256"/>
      <c r="AG374" s="1123" t="s">
        <v>1086</v>
      </c>
      <c r="AH374" s="643"/>
      <c r="AI374" s="1123" t="s">
        <v>1086</v>
      </c>
      <c r="AJ374" s="587"/>
      <c r="AK374" s="256"/>
      <c r="AL374" s="316">
        <f>+V374</f>
        <v>253.52699999999987</v>
      </c>
      <c r="AM374" s="256"/>
      <c r="AN374" s="316">
        <f>AL374/AE374</f>
        <v>1503.7188612099635</v>
      </c>
      <c r="AO374" s="256"/>
      <c r="AP374" s="1123" t="s">
        <v>1086</v>
      </c>
      <c r="AQ374" s="643"/>
      <c r="AR374" s="643"/>
      <c r="AS374" s="256"/>
      <c r="AT374" s="256"/>
      <c r="AU374" s="256"/>
      <c r="AV374" s="256"/>
      <c r="AW374" s="256"/>
      <c r="AX374" s="256"/>
      <c r="AZ374" s="1601">
        <v>0.1605224526736746</v>
      </c>
      <c r="BA374" s="1602">
        <f>+(AZ374/AZ367-1)*100</f>
        <v>1.7955988254391153</v>
      </c>
      <c r="BB374" s="256"/>
      <c r="BC374" s="1601">
        <v>9.2888608607912763E-4</v>
      </c>
      <c r="BD374" s="1602">
        <f>+(BC374/BC367-1)*100</f>
        <v>6.0527509754759512</v>
      </c>
      <c r="BF374" s="1601"/>
      <c r="BG374" s="1602"/>
      <c r="BH374" s="1167"/>
      <c r="BI374" s="1608">
        <f>(AZ370*BA374)+(BC370*BD374)+(BF370*BG374)</f>
        <v>2.2945690353502455</v>
      </c>
      <c r="BJ374" s="256"/>
      <c r="BK374" s="298">
        <f>F374</f>
        <v>3</v>
      </c>
      <c r="BM374" s="256"/>
      <c r="BN374" s="256"/>
      <c r="BO374" s="1592"/>
      <c r="BP374" s="1492"/>
    </row>
    <row r="375" spans="1:68" hidden="1" outlineLevel="1">
      <c r="A375" s="256"/>
      <c r="B375" s="302" t="str">
        <f>$B$44</f>
        <v>Year</v>
      </c>
      <c r="C375" s="256"/>
      <c r="D375" s="288">
        <f>(V375/V368-1)*100</f>
        <v>8.3139315757256185</v>
      </c>
      <c r="E375" s="256"/>
      <c r="F375" s="217">
        <f>F371*V364/V368+F372*V365/V368+F373*V366/V368+F374*V367/V368</f>
        <v>-3.3875335131392736E-2</v>
      </c>
      <c r="G375" s="256"/>
      <c r="H375" s="2085">
        <f>H371*V364/V368+H372*V365/V368+H373*V366/V368+H374*V367/V368</f>
        <v>1.8981641615901332</v>
      </c>
      <c r="I375" s="256"/>
      <c r="J375" s="288">
        <f>D375-H375-F375</f>
        <v>6.4496427492668786</v>
      </c>
      <c r="K375" s="256"/>
      <c r="L375" s="951">
        <f>Stores!K272</f>
        <v>67</v>
      </c>
      <c r="M375" s="256"/>
      <c r="N375" s="811">
        <f>AVERAGE(N371:N374)</f>
        <v>62.75</v>
      </c>
      <c r="O375" s="256"/>
      <c r="P375" s="288">
        <f>(N375/N368-1)*100</f>
        <v>15.935334872979222</v>
      </c>
      <c r="Q375" s="643"/>
      <c r="R375" s="812">
        <f>J375/P375*100</f>
        <v>40.473845078732715</v>
      </c>
      <c r="S375" s="587"/>
      <c r="T375" s="256"/>
      <c r="U375" s="256"/>
      <c r="V375" s="296">
        <f>SUM(V371:V374)</f>
        <v>810.41999999999985</v>
      </c>
      <c r="W375" s="256"/>
      <c r="X375" s="813">
        <f>SUM(X371:X374)</f>
        <v>12.878222921658955</v>
      </c>
      <c r="Y375" s="256"/>
      <c r="Z375" s="814">
        <f>(X375/X368-1)*100</f>
        <v>-6.5844314056688003</v>
      </c>
      <c r="AA375" s="643"/>
      <c r="AB375" s="256"/>
      <c r="AC375" s="815"/>
      <c r="AD375" s="256"/>
      <c r="AE375" s="816">
        <f>AVERAGE(AE371:AE374)</f>
        <v>0.15960000000000002</v>
      </c>
      <c r="AF375" s="256"/>
      <c r="AG375" s="1122" t="s">
        <v>1086</v>
      </c>
      <c r="AH375" s="643"/>
      <c r="AI375" s="1122" t="s">
        <v>1086</v>
      </c>
      <c r="AJ375" s="587"/>
      <c r="AK375" s="256"/>
      <c r="AL375" s="296">
        <f>SUM(AL371:AL374)</f>
        <v>810.41999999999985</v>
      </c>
      <c r="AM375" s="256"/>
      <c r="AN375" s="296">
        <f>AL375/AE375</f>
        <v>5077.8195488721785</v>
      </c>
      <c r="AO375" s="256"/>
      <c r="AP375" s="1122" t="s">
        <v>1086</v>
      </c>
      <c r="AQ375" s="643"/>
      <c r="AR375" s="643"/>
      <c r="AS375" s="256"/>
      <c r="AT375" s="256"/>
      <c r="AU375" s="256"/>
      <c r="AV375" s="256"/>
      <c r="AW375" s="256"/>
      <c r="AX375" s="256"/>
      <c r="AY375" s="256"/>
      <c r="AZ375" s="1017">
        <v>0.15869729684267164</v>
      </c>
      <c r="BA375" s="1167">
        <f>+(AZ375/AZ368-1)*100</f>
        <v>2.2306273247693742</v>
      </c>
      <c r="BB375" s="1167"/>
      <c r="BC375" s="1017">
        <v>8.9278844220235594E-4</v>
      </c>
      <c r="BD375" s="1167">
        <f>+(BC375/BC368-1)*100</f>
        <v>-0.90264100070382991</v>
      </c>
      <c r="BF375" s="1017"/>
      <c r="BG375" s="1167"/>
      <c r="BH375" s="256"/>
      <c r="BI375" s="1479">
        <f>(AZ370*BA375)+(BC370*BD375)+(BF370*BG375)</f>
        <v>1.081902964970739</v>
      </c>
      <c r="BJ375" s="256"/>
      <c r="BK375" s="297">
        <f>F375</f>
        <v>-3.3875335131392736E-2</v>
      </c>
      <c r="BL375" s="256"/>
      <c r="BM375" s="256"/>
      <c r="BN375" s="302"/>
      <c r="BO375" s="587"/>
      <c r="BP375" s="587"/>
    </row>
    <row r="376" spans="1:68" ht="13.5" hidden="1" outlineLevel="1" thickBot="1">
      <c r="A376" s="256"/>
      <c r="B376" s="302"/>
      <c r="C376" s="256"/>
      <c r="D376" s="288"/>
      <c r="E376" s="256"/>
      <c r="F376" s="297"/>
      <c r="G376" s="256"/>
      <c r="H376" s="2091"/>
      <c r="I376" s="256"/>
      <c r="J376" s="288"/>
      <c r="K376" s="256"/>
      <c r="L376" s="1033"/>
      <c r="M376" s="256"/>
      <c r="N376" s="811"/>
      <c r="O376" s="256"/>
      <c r="P376" s="288"/>
      <c r="Q376" s="643"/>
      <c r="R376" s="812"/>
      <c r="S376" s="587"/>
      <c r="T376" s="256"/>
      <c r="U376" s="256"/>
      <c r="V376" s="296"/>
      <c r="W376" s="256"/>
      <c r="X376" s="813"/>
      <c r="Y376" s="256"/>
      <c r="Z376" s="814"/>
      <c r="AA376" s="643"/>
      <c r="AB376" s="256"/>
      <c r="AC376" s="815"/>
      <c r="AD376" s="256"/>
      <c r="AE376" s="816"/>
      <c r="AF376" s="256"/>
      <c r="AG376" s="1122"/>
      <c r="AH376" s="643"/>
      <c r="AI376" s="1122"/>
      <c r="AJ376" s="587"/>
      <c r="AK376" s="256"/>
      <c r="AL376" s="296"/>
      <c r="AM376" s="256"/>
      <c r="AN376" s="817"/>
      <c r="AO376" s="256"/>
      <c r="AP376" s="1122"/>
      <c r="AQ376" s="643"/>
      <c r="AR376" s="643"/>
      <c r="AS376" s="256"/>
      <c r="AT376" s="256"/>
      <c r="AU376" s="256"/>
      <c r="AV376" s="256"/>
      <c r="AW376" s="256"/>
      <c r="AX376" s="256"/>
      <c r="AY376" s="256"/>
      <c r="AZ376" s="256"/>
      <c r="BA376" s="1167"/>
      <c r="BB376" s="256"/>
      <c r="BC376" s="256"/>
      <c r="BD376" s="1167"/>
      <c r="BE376" s="1017"/>
      <c r="BF376" s="1167"/>
      <c r="BG376" s="1167"/>
      <c r="BH376" s="256"/>
      <c r="BI376" s="256"/>
      <c r="BJ376" s="256"/>
      <c r="BK376" s="256"/>
      <c r="BL376" s="256"/>
      <c r="BM376" s="256"/>
      <c r="BN376" s="302"/>
      <c r="BO376" s="587"/>
      <c r="BP376" s="587"/>
    </row>
    <row r="377" spans="1:68" ht="13.5" hidden="1" outlineLevel="1" thickBot="1">
      <c r="A377" s="810"/>
      <c r="B377" s="171">
        <f>+B370+1</f>
        <v>2013</v>
      </c>
      <c r="C377" s="256"/>
      <c r="D377" s="256"/>
      <c r="E377" s="643"/>
      <c r="F377" s="297"/>
      <c r="G377" s="643"/>
      <c r="H377" s="2091"/>
      <c r="I377" s="643"/>
      <c r="J377" s="256"/>
      <c r="K377" s="643"/>
      <c r="L377" s="256"/>
      <c r="M377" s="256"/>
      <c r="N377" s="256"/>
      <c r="O377" s="256"/>
      <c r="P377" s="256"/>
      <c r="Q377" s="643"/>
      <c r="R377" s="587"/>
      <c r="S377" s="587"/>
      <c r="T377" s="256"/>
      <c r="U377" s="256"/>
      <c r="V377" s="256"/>
      <c r="W377" s="256"/>
      <c r="X377" s="256"/>
      <c r="Y377" s="256"/>
      <c r="Z377" s="256"/>
      <c r="AA377" s="643"/>
      <c r="AB377" s="256"/>
      <c r="AC377" s="256"/>
      <c r="AD377" s="256"/>
      <c r="AE377" s="256"/>
      <c r="AF377" s="256"/>
      <c r="AG377" s="256"/>
      <c r="AH377" s="643"/>
      <c r="AI377" s="587"/>
      <c r="AJ377" s="587"/>
      <c r="AK377" s="256"/>
      <c r="AL377" s="256"/>
      <c r="AM377" s="256"/>
      <c r="AN377" s="256"/>
      <c r="AO377" s="256"/>
      <c r="AP377" s="320"/>
      <c r="AQ377" s="643"/>
      <c r="AR377" s="643"/>
      <c r="AS377" s="256"/>
      <c r="AT377" s="256"/>
      <c r="AU377" s="256"/>
      <c r="AV377" s="256"/>
      <c r="AW377" s="256"/>
      <c r="AX377" s="256"/>
      <c r="AY377" s="256"/>
      <c r="AZ377" s="1605">
        <v>0.5714285714285714</v>
      </c>
      <c r="BA377" s="1167"/>
      <c r="BB377" s="256"/>
      <c r="BC377" s="1605">
        <v>0.21</v>
      </c>
      <c r="BD377" s="1167"/>
      <c r="BE377" s="256"/>
      <c r="BF377" s="1605">
        <v>0.08</v>
      </c>
      <c r="BG377" s="256"/>
      <c r="BH377" s="256"/>
      <c r="BI377" s="256"/>
      <c r="BJ377" s="256"/>
      <c r="BK377" s="256"/>
      <c r="BL377" s="256"/>
      <c r="BM377" s="256"/>
      <c r="BN377" s="256"/>
      <c r="BO377" s="587"/>
      <c r="BP377" s="587"/>
    </row>
    <row r="378" spans="1:68" hidden="1" outlineLevel="1">
      <c r="A378" s="256" t="str">
        <f>$A$40</f>
        <v>1Q</v>
      </c>
      <c r="B378" s="302" t="str">
        <f>$B$40</f>
        <v>Apr</v>
      </c>
      <c r="C378" s="256"/>
      <c r="D378" s="288">
        <f>(V378/V371-1)*100</f>
        <v>14.536832931768085</v>
      </c>
      <c r="E378" s="643" t="s">
        <v>1970</v>
      </c>
      <c r="F378" s="1156">
        <v>-1</v>
      </c>
      <c r="G378" s="643"/>
      <c r="H378" s="2091">
        <f>'segSales&amp;comps'!S201</f>
        <v>9</v>
      </c>
      <c r="I378" s="643" t="s">
        <v>1970</v>
      </c>
      <c r="J378" s="288">
        <f>D378-H378-F378</f>
        <v>6.5368329317680853</v>
      </c>
      <c r="K378" s="643" t="s">
        <v>1970</v>
      </c>
      <c r="L378" s="948">
        <f>Stores!K275</f>
        <v>67</v>
      </c>
      <c r="M378" s="256"/>
      <c r="N378" s="811">
        <f>AVERAGE(L378,L374)</f>
        <v>67</v>
      </c>
      <c r="O378" s="256"/>
      <c r="P378" s="288">
        <f>(N378/N371-1)*100</f>
        <v>12.605042016806722</v>
      </c>
      <c r="Q378" s="643" t="s">
        <v>1970</v>
      </c>
      <c r="R378" s="812">
        <f>J378/P378*100</f>
        <v>51.858874592026815</v>
      </c>
      <c r="S378" s="587" t="s">
        <v>1970</v>
      </c>
      <c r="T378" s="256"/>
      <c r="U378" s="256"/>
      <c r="V378" s="296">
        <f>'segSales&amp;comps'!Q201</f>
        <v>223.42699999999999</v>
      </c>
      <c r="W378" s="238"/>
      <c r="X378" s="813">
        <f>V378/N378</f>
        <v>3.3347313432835821</v>
      </c>
      <c r="Y378" s="256"/>
      <c r="Z378" s="814">
        <f>(X378/X371-1)*100</f>
        <v>1.7155456632865995</v>
      </c>
      <c r="AA378" s="643" t="s">
        <v>1970</v>
      </c>
      <c r="AB378" s="256"/>
      <c r="AC378" s="1017">
        <f>AC374+(L378-L374)*yrSales!$Y$124/1000000</f>
        <v>0.16980000000000003</v>
      </c>
      <c r="AD378" s="256" t="s">
        <v>505</v>
      </c>
      <c r="AE378" s="816">
        <f>AVERAGE(AC378,AC374)</f>
        <v>0.16980000000000003</v>
      </c>
      <c r="AF378" s="256"/>
      <c r="AG378" s="1122" t="s">
        <v>1086</v>
      </c>
      <c r="AH378" s="643" t="s">
        <v>1970</v>
      </c>
      <c r="AI378" s="1122" t="s">
        <v>1086</v>
      </c>
      <c r="AJ378" s="587" t="s">
        <v>1970</v>
      </c>
      <c r="AK378" s="256"/>
      <c r="AL378" s="296">
        <f>+V378</f>
        <v>223.42699999999999</v>
      </c>
      <c r="AM378" s="256" t="s">
        <v>505</v>
      </c>
      <c r="AN378" s="296">
        <f>AL378/AE378</f>
        <v>1315.8244994110714</v>
      </c>
      <c r="AO378" s="256"/>
      <c r="AP378" s="1122" t="s">
        <v>1086</v>
      </c>
      <c r="AQ378" s="643" t="s">
        <v>1970</v>
      </c>
      <c r="AR378" s="643"/>
      <c r="AS378" s="297"/>
      <c r="AT378" s="297"/>
      <c r="AU378" s="297"/>
      <c r="AV378" s="297"/>
      <c r="AW378" s="297"/>
      <c r="AX378" s="297"/>
      <c r="AY378" s="1017"/>
      <c r="AZ378" s="1173">
        <v>0.16098016219281816</v>
      </c>
      <c r="BA378" s="1167">
        <f>+(AZ378/AZ371-1)*100</f>
        <v>1.5272133816130573</v>
      </c>
      <c r="BB378" s="288"/>
      <c r="BC378" s="1173">
        <v>9.0591793870043586E-4</v>
      </c>
      <c r="BD378" s="1167">
        <f>+(BC378/BC371-1)*100</f>
        <v>2.2128774805649343</v>
      </c>
      <c r="BE378" s="1017"/>
      <c r="BF378" s="1167"/>
      <c r="BG378" s="1167"/>
      <c r="BH378" s="256"/>
      <c r="BI378" s="1479">
        <f>(AZ377*BA378)+(BC377*BD378)+(BF377*BG378)</f>
        <v>1.3373976318403833</v>
      </c>
      <c r="BJ378" s="1479"/>
      <c r="BK378" s="297">
        <f>F378</f>
        <v>-1</v>
      </c>
      <c r="BL378" s="256"/>
      <c r="BM378" s="256"/>
      <c r="BN378" s="256"/>
      <c r="BO378" s="1592"/>
      <c r="BP378" s="1492"/>
    </row>
    <row r="379" spans="1:68" hidden="1" outlineLevel="1">
      <c r="A379" s="256" t="str">
        <f>$A$41</f>
        <v>2Q</v>
      </c>
      <c r="B379" s="302" t="str">
        <f>$B$41</f>
        <v>Jul</v>
      </c>
      <c r="C379" s="256"/>
      <c r="D379" s="288">
        <f>(V379/V372-1)*100</f>
        <v>19.632130838760055</v>
      </c>
      <c r="E379" s="256"/>
      <c r="F379" s="1732">
        <v>0</v>
      </c>
      <c r="G379" s="256"/>
      <c r="H379" s="2091">
        <f>'segSales&amp;comps'!S202</f>
        <v>13</v>
      </c>
      <c r="I379" s="256"/>
      <c r="J379" s="288">
        <f>D379-H379-F379</f>
        <v>6.6321308387600553</v>
      </c>
      <c r="K379" s="256"/>
      <c r="L379" s="948">
        <f>Stores!K276</f>
        <v>68</v>
      </c>
      <c r="M379" s="256"/>
      <c r="N379" s="811">
        <f>AVERAGE(L379,L378)</f>
        <v>67.5</v>
      </c>
      <c r="O379" s="256"/>
      <c r="P379" s="288">
        <f>(N379/N372-1)*100</f>
        <v>10.655737704918034</v>
      </c>
      <c r="Q379" s="643"/>
      <c r="R379" s="812">
        <f>J379/P379*100</f>
        <v>62.239997102209742</v>
      </c>
      <c r="S379" s="587"/>
      <c r="T379" s="256"/>
      <c r="U379" s="256"/>
      <c r="V379" s="315">
        <f>'segSales&amp;comps'!Q202</f>
        <v>208.32499999999999</v>
      </c>
      <c r="W379" s="238"/>
      <c r="X379" s="818">
        <f>V379/N379</f>
        <v>3.0862962962962963</v>
      </c>
      <c r="Y379" s="256"/>
      <c r="Z379" s="814">
        <f>(X379/X372-1)*100</f>
        <v>8.1119997209535342</v>
      </c>
      <c r="AA379" s="643"/>
      <c r="AB379" s="256"/>
      <c r="AC379" s="1017">
        <f>AC378+(L379-L378)*yrSales!$Y$124/1000000</f>
        <v>0.17220000000000005</v>
      </c>
      <c r="AD379" s="238"/>
      <c r="AE379" s="816">
        <f>AVERAGE(AC378:AC379)</f>
        <v>0.17100000000000004</v>
      </c>
      <c r="AF379" s="256"/>
      <c r="AG379" s="1122" t="s">
        <v>1086</v>
      </c>
      <c r="AH379" s="643"/>
      <c r="AI379" s="1122" t="s">
        <v>1086</v>
      </c>
      <c r="AJ379" s="587"/>
      <c r="AK379" s="256"/>
      <c r="AL379" s="315">
        <f>+V379</f>
        <v>208.32499999999999</v>
      </c>
      <c r="AM379" s="256"/>
      <c r="AN379" s="315">
        <f>AL379/AE379</f>
        <v>1218.2748538011692</v>
      </c>
      <c r="AO379" s="256"/>
      <c r="AP379" s="1122" t="s">
        <v>1086</v>
      </c>
      <c r="AQ379" s="643"/>
      <c r="AR379" s="643"/>
      <c r="AS379" s="256"/>
      <c r="AT379" s="256"/>
      <c r="AU379" s="256"/>
      <c r="AV379" s="256"/>
      <c r="AW379" s="256"/>
      <c r="AX379" s="256"/>
      <c r="AY379" s="1017"/>
      <c r="AZ379" s="1173">
        <v>0.16294088680627514</v>
      </c>
      <c r="BA379" s="1167">
        <f>+(AZ379/AZ372-1)*100</f>
        <v>3.5032781855321771</v>
      </c>
      <c r="BB379" s="288"/>
      <c r="BC379" s="1173">
        <v>8.8997906469883261E-4</v>
      </c>
      <c r="BD379" s="1167">
        <f>+(BC379/BC372-1)*100</f>
        <v>2.7155688962620106</v>
      </c>
      <c r="BE379" s="1017"/>
      <c r="BF379" s="1167"/>
      <c r="BG379" s="1167"/>
      <c r="BH379" s="256"/>
      <c r="BI379" s="1479">
        <f>(AZ377*BA379)+(BC377*BD379)+(BF377*BG379)</f>
        <v>2.5721427170905518</v>
      </c>
      <c r="BJ379" s="1479"/>
      <c r="BK379" s="297">
        <f>F379</f>
        <v>0</v>
      </c>
      <c r="BL379" s="256"/>
      <c r="BM379" s="256"/>
      <c r="BN379" s="256"/>
      <c r="BO379" s="1592"/>
      <c r="BP379" s="1492"/>
    </row>
    <row r="380" spans="1:68" hidden="1" outlineLevel="1">
      <c r="A380" s="256" t="str">
        <f>$A$42</f>
        <v>3Q</v>
      </c>
      <c r="B380" s="302" t="str">
        <f>$B$42</f>
        <v>Oct</v>
      </c>
      <c r="C380" s="256"/>
      <c r="D380" s="288">
        <f>(V380/V373-1)*100</f>
        <v>27.027732637131365</v>
      </c>
      <c r="E380" s="256"/>
      <c r="F380" s="1156">
        <v>-2</v>
      </c>
      <c r="G380" s="256"/>
      <c r="H380" s="2091">
        <f>'segSales&amp;comps'!S203</f>
        <v>22</v>
      </c>
      <c r="I380" s="256"/>
      <c r="J380" s="288">
        <f>D380-H380-F380</f>
        <v>7.0277326371313649</v>
      </c>
      <c r="K380" s="256"/>
      <c r="L380" s="948">
        <f>Stores!K277</f>
        <v>69</v>
      </c>
      <c r="M380" s="238"/>
      <c r="N380" s="811">
        <f>AVERAGE(L380,L379)</f>
        <v>68.5</v>
      </c>
      <c r="O380" s="256"/>
      <c r="P380" s="288">
        <f>(N380/N373-1)*100</f>
        <v>7.03125</v>
      </c>
      <c r="Q380" s="643"/>
      <c r="R380" s="812">
        <f>J380/P380*100</f>
        <v>99.949975283646069</v>
      </c>
      <c r="S380" s="587"/>
      <c r="T380" s="256"/>
      <c r="U380" s="256"/>
      <c r="V380" s="315">
        <f>'segSales&amp;comps'!Q203</f>
        <v>238.41200000000001</v>
      </c>
      <c r="W380" s="256"/>
      <c r="X380" s="818">
        <f>V380/N380</f>
        <v>3.4804671532846716</v>
      </c>
      <c r="Y380" s="256"/>
      <c r="Z380" s="814">
        <f>(X380/X373-1)*100</f>
        <v>18.682845091626387</v>
      </c>
      <c r="AA380" s="643"/>
      <c r="AB380" s="256"/>
      <c r="AC380" s="1017">
        <f>AC379+(L380-L379)*yrSales!$Y$124/1000000</f>
        <v>0.17460000000000006</v>
      </c>
      <c r="AD380" s="238"/>
      <c r="AE380" s="816">
        <f>AVERAGE(AC379:AC380)</f>
        <v>0.17340000000000005</v>
      </c>
      <c r="AF380" s="256"/>
      <c r="AG380" s="1122" t="s">
        <v>1086</v>
      </c>
      <c r="AH380" s="643"/>
      <c r="AI380" s="1122" t="s">
        <v>1086</v>
      </c>
      <c r="AJ380" s="587"/>
      <c r="AK380" s="256"/>
      <c r="AL380" s="315">
        <f>+V380</f>
        <v>238.41200000000001</v>
      </c>
      <c r="AM380" s="256"/>
      <c r="AN380" s="315">
        <f>AL380/AE380</f>
        <v>1374.9250288350631</v>
      </c>
      <c r="AO380" s="256"/>
      <c r="AP380" s="1122" t="s">
        <v>1086</v>
      </c>
      <c r="AQ380" s="643"/>
      <c r="AR380" s="643"/>
      <c r="AS380" s="256"/>
      <c r="AT380" s="256"/>
      <c r="AU380" s="256"/>
      <c r="AV380" s="256"/>
      <c r="AW380" s="256"/>
      <c r="AX380" s="256"/>
      <c r="AY380" s="1017"/>
      <c r="AZ380" s="1173">
        <v>0.16352801394764716</v>
      </c>
      <c r="BA380" s="1167">
        <f>+(AZ380/AZ373-1)*100</f>
        <v>3.265605652676995</v>
      </c>
      <c r="BB380" s="288"/>
      <c r="BC380" s="1173">
        <v>9.1836343622694449E-4</v>
      </c>
      <c r="BD380" s="1167">
        <f>+(BC380/BC373-1)*100</f>
        <v>2.8975756481252057</v>
      </c>
      <c r="BE380" s="1017"/>
      <c r="BF380" s="1167"/>
      <c r="BG380" s="1167"/>
      <c r="BH380" s="256"/>
      <c r="BI380" s="1479">
        <f>(AZ377*BA380)+(BC377*BD380)+(BF377*BG380)</f>
        <v>2.474551259064576</v>
      </c>
      <c r="BJ380" s="1479"/>
      <c r="BK380" s="297">
        <f>F380</f>
        <v>-2</v>
      </c>
      <c r="BL380" s="256"/>
      <c r="BM380" s="256"/>
      <c r="BN380" s="256"/>
      <c r="BO380" s="1592"/>
      <c r="BP380" s="1492"/>
    </row>
    <row r="381" spans="1:68" hidden="1" outlineLevel="1">
      <c r="A381" s="256" t="str">
        <f>$A$43</f>
        <v>4Q</v>
      </c>
      <c r="B381" s="302" t="str">
        <f>$B$43</f>
        <v>Jan</v>
      </c>
      <c r="C381" s="256"/>
      <c r="D381" s="318">
        <f>(V381/V374-1)*100</f>
        <v>8.2772249109562601</v>
      </c>
      <c r="E381" s="256"/>
      <c r="F381" s="1148">
        <v>-3</v>
      </c>
      <c r="G381" s="256"/>
      <c r="H381" s="2095">
        <f>'segSales&amp;comps'!S204</f>
        <v>4</v>
      </c>
      <c r="I381" s="256"/>
      <c r="J381" s="318">
        <f>D381-H381-F381</f>
        <v>7.2772249109562601</v>
      </c>
      <c r="K381" s="256"/>
      <c r="L381" s="949">
        <f>Stores!K278</f>
        <v>72</v>
      </c>
      <c r="M381" s="238"/>
      <c r="N381" s="820">
        <f>AVERAGE(L381,L380)</f>
        <v>70.5</v>
      </c>
      <c r="O381" s="256"/>
      <c r="P381" s="318">
        <f>(N381/N374-1)*100</f>
        <v>6.0150375939849621</v>
      </c>
      <c r="Q381" s="643"/>
      <c r="R381" s="820">
        <f>J381/P381*100</f>
        <v>120.98386414464784</v>
      </c>
      <c r="S381" s="587"/>
      <c r="T381" s="256"/>
      <c r="U381" s="256"/>
      <c r="V381" s="316">
        <f>'segSales&amp;comps'!Q204</f>
        <v>274.51199999999994</v>
      </c>
      <c r="W381" s="256"/>
      <c r="X381" s="821">
        <f>V381/N381</f>
        <v>3.8937872340425526</v>
      </c>
      <c r="Y381" s="256"/>
      <c r="Z381" s="298">
        <f>(X381/X374-1)*100</f>
        <v>2.1338362635261232</v>
      </c>
      <c r="AA381" s="643"/>
      <c r="AB381" s="256"/>
      <c r="AC381" s="1017">
        <f>AC380+(L381-L380)*yrSales!$Y$124/1000000</f>
        <v>0.18180000000000007</v>
      </c>
      <c r="AD381" s="238"/>
      <c r="AE381" s="822">
        <f>AVERAGE(AC380:AC381)</f>
        <v>0.17820000000000008</v>
      </c>
      <c r="AF381" s="256"/>
      <c r="AG381" s="1123" t="s">
        <v>1086</v>
      </c>
      <c r="AH381" s="643"/>
      <c r="AI381" s="1123" t="s">
        <v>1086</v>
      </c>
      <c r="AJ381" s="587"/>
      <c r="AK381" s="256"/>
      <c r="AL381" s="316">
        <f>+V381</f>
        <v>274.51199999999994</v>
      </c>
      <c r="AM381" s="256"/>
      <c r="AN381" s="316">
        <f>AL381/AE381</f>
        <v>1540.4713804713795</v>
      </c>
      <c r="AO381" s="256"/>
      <c r="AP381" s="1123" t="s">
        <v>1086</v>
      </c>
      <c r="AQ381" s="643"/>
      <c r="AR381" s="643"/>
      <c r="AS381" s="256"/>
      <c r="AT381" s="256"/>
      <c r="AU381" s="256"/>
      <c r="AV381" s="256"/>
      <c r="AW381" s="256"/>
      <c r="AX381" s="256"/>
      <c r="AY381" s="1017"/>
      <c r="AZ381" s="1687">
        <v>0.16467224547910725</v>
      </c>
      <c r="BA381" s="1602">
        <f>+(AZ381/AZ374-1)*100</f>
        <v>2.5851790427528165</v>
      </c>
      <c r="BB381" s="288"/>
      <c r="BC381" s="1687">
        <v>9.4189831963905203E-4</v>
      </c>
      <c r="BD381" s="1602">
        <f>+(BC381/BC374-1)*100</f>
        <v>1.4008427680136437</v>
      </c>
      <c r="BE381" s="1017"/>
      <c r="BF381" s="1601"/>
      <c r="BG381" s="1602"/>
      <c r="BH381" s="256"/>
      <c r="BI381" s="1608">
        <f>(AZ377*BA381)+(BC377*BD381)+(BF377*BG381)</f>
        <v>1.7714221485701889</v>
      </c>
      <c r="BJ381" s="1479"/>
      <c r="BK381" s="297">
        <f>F381</f>
        <v>-3</v>
      </c>
      <c r="BL381" s="256"/>
      <c r="BM381" s="256"/>
      <c r="BN381" s="256"/>
      <c r="BO381" s="1592"/>
      <c r="BP381" s="1492"/>
    </row>
    <row r="382" spans="1:68" hidden="1" outlineLevel="1">
      <c r="A382" s="256"/>
      <c r="B382" s="302" t="str">
        <f>$B$44</f>
        <v>Year</v>
      </c>
      <c r="C382" s="256"/>
      <c r="D382" s="288">
        <f>(V382/V375-1)*100</f>
        <v>16.566224920411642</v>
      </c>
      <c r="E382" s="256"/>
      <c r="F382" s="217">
        <v>-1</v>
      </c>
      <c r="G382" s="256"/>
      <c r="H382" s="2085">
        <f>'segSales&amp;comps'!S205</f>
        <v>11</v>
      </c>
      <c r="I382" s="256"/>
      <c r="J382" s="288">
        <f>D382-H382-F382</f>
        <v>6.5662249204116421</v>
      </c>
      <c r="K382" s="256"/>
      <c r="L382" s="951">
        <f>Stores!K279</f>
        <v>72</v>
      </c>
      <c r="M382" s="256"/>
      <c r="N382" s="811">
        <f>AVERAGE(N378:N381)</f>
        <v>68.375</v>
      </c>
      <c r="O382" s="256"/>
      <c r="P382" s="288">
        <f>(N382/N375-1)*100</f>
        <v>8.9641434262948128</v>
      </c>
      <c r="Q382" s="643"/>
      <c r="R382" s="812">
        <f>J382/P382*100</f>
        <v>73.249886889925492</v>
      </c>
      <c r="S382" s="587"/>
      <c r="T382" s="256"/>
      <c r="U382" s="256"/>
      <c r="V382" s="296">
        <f>SUM(V378:V381)</f>
        <v>944.67599999999993</v>
      </c>
      <c r="W382" s="256"/>
      <c r="X382" s="813">
        <f>SUM(X378:X381)</f>
        <v>13.795282026907103</v>
      </c>
      <c r="Y382" s="256"/>
      <c r="Z382" s="814">
        <f>(X382/X375-1)*100</f>
        <v>7.121006608029834</v>
      </c>
      <c r="AA382" s="643"/>
      <c r="AB382" s="256"/>
      <c r="AC382" s="815"/>
      <c r="AD382" s="256"/>
      <c r="AE382" s="816">
        <f>AVERAGE(AE378:AE381)</f>
        <v>0.17310000000000009</v>
      </c>
      <c r="AF382" s="256"/>
      <c r="AG382" s="1122" t="s">
        <v>1086</v>
      </c>
      <c r="AH382" s="643"/>
      <c r="AI382" s="1122" t="s">
        <v>1086</v>
      </c>
      <c r="AJ382" s="587"/>
      <c r="AK382" s="256"/>
      <c r="AL382" s="296">
        <f>SUM(AL378:AL381)</f>
        <v>944.67599999999993</v>
      </c>
      <c r="AM382" s="256"/>
      <c r="AN382" s="296">
        <f>AL382/AE382</f>
        <v>5457.4003466204476</v>
      </c>
      <c r="AO382" s="256"/>
      <c r="AP382" s="1122" t="s">
        <v>1086</v>
      </c>
      <c r="AQ382" s="643"/>
      <c r="AR382" s="643"/>
      <c r="AS382" s="256"/>
      <c r="AT382" s="256"/>
      <c r="AU382" s="256"/>
      <c r="AV382" s="256"/>
      <c r="AW382" s="256"/>
      <c r="AX382" s="256"/>
      <c r="AY382" s="256"/>
      <c r="AZ382" s="1173">
        <v>0.16303032710646193</v>
      </c>
      <c r="BA382" s="1167">
        <f>+(AZ382/AZ375-1)*100</f>
        <v>2.7303743352893539</v>
      </c>
      <c r="BB382" s="256"/>
      <c r="BC382" s="1173">
        <v>9.1403968981631622E-4</v>
      </c>
      <c r="BD382" s="1167">
        <f>+(BC382/BC375-1)*100</f>
        <v>2.3803228860733272</v>
      </c>
      <c r="BE382" s="1017"/>
      <c r="BF382" s="1167"/>
      <c r="BG382" s="1167"/>
      <c r="BH382" s="256"/>
      <c r="BI382" s="256"/>
      <c r="BJ382" s="256"/>
      <c r="BK382" s="256"/>
      <c r="BL382" s="256"/>
      <c r="BM382" s="256"/>
      <c r="BN382" s="302"/>
      <c r="BO382" s="587"/>
      <c r="BP382" s="587"/>
    </row>
    <row r="383" spans="1:68" ht="13.5" hidden="1" outlineLevel="1" thickBot="1">
      <c r="A383" s="256"/>
      <c r="B383" s="302"/>
      <c r="C383" s="256"/>
      <c r="D383" s="288"/>
      <c r="E383" s="256"/>
      <c r="F383" s="297"/>
      <c r="G383" s="256"/>
      <c r="H383" s="2091"/>
      <c r="I383" s="256"/>
      <c r="J383" s="288"/>
      <c r="K383" s="256"/>
      <c r="L383" s="1033"/>
      <c r="M383" s="256"/>
      <c r="N383" s="811"/>
      <c r="O383" s="256"/>
      <c r="P383" s="288"/>
      <c r="Q383" s="643"/>
      <c r="R383" s="812"/>
      <c r="S383" s="587"/>
      <c r="T383" s="256"/>
      <c r="U383" s="256"/>
      <c r="V383" s="296"/>
      <c r="W383" s="256"/>
      <c r="X383" s="813"/>
      <c r="Y383" s="256"/>
      <c r="Z383" s="814"/>
      <c r="AA383" s="643"/>
      <c r="AB383" s="256"/>
      <c r="AC383" s="815"/>
      <c r="AD383" s="256"/>
      <c r="AE383" s="816"/>
      <c r="AF383" s="256"/>
      <c r="AG383" s="1122"/>
      <c r="AH383" s="643"/>
      <c r="AI383" s="1122"/>
      <c r="AJ383" s="587"/>
      <c r="AK383" s="256"/>
      <c r="AL383" s="296"/>
      <c r="AM383" s="256"/>
      <c r="AN383" s="817"/>
      <c r="AO383" s="256"/>
      <c r="AP383" s="1122"/>
      <c r="AQ383" s="643"/>
      <c r="AR383" s="643"/>
      <c r="AS383" s="256"/>
      <c r="AT383" s="256"/>
      <c r="AU383" s="256"/>
      <c r="AV383" s="256"/>
      <c r="AW383" s="256"/>
      <c r="AX383" s="256"/>
      <c r="AY383" s="256"/>
      <c r="AZ383" s="256"/>
      <c r="BA383" s="256"/>
      <c r="BB383" s="256"/>
      <c r="BC383" s="256"/>
      <c r="BD383" s="1017"/>
      <c r="BE383" s="1017"/>
      <c r="BF383" s="1167"/>
      <c r="BG383" s="1167"/>
      <c r="BH383" s="256"/>
      <c r="BI383" s="256"/>
      <c r="BJ383" s="256"/>
      <c r="BK383" s="256"/>
      <c r="BL383" s="256"/>
      <c r="BM383" s="256"/>
      <c r="BN383" s="302"/>
      <c r="BO383" s="587"/>
      <c r="BP383" s="587"/>
    </row>
    <row r="384" spans="1:68" ht="13.5" collapsed="1" thickBot="1">
      <c r="A384" s="810"/>
      <c r="B384" s="171">
        <f>+B377+1</f>
        <v>2014</v>
      </c>
      <c r="C384" s="256"/>
      <c r="D384" s="256"/>
      <c r="E384" s="643"/>
      <c r="F384" s="297"/>
      <c r="G384" s="643"/>
      <c r="H384" s="2091"/>
      <c r="I384" s="643"/>
      <c r="J384" s="256"/>
      <c r="K384" s="643"/>
      <c r="L384" s="256"/>
      <c r="M384" s="256"/>
      <c r="N384" s="256"/>
      <c r="O384" s="256"/>
      <c r="P384" s="256"/>
      <c r="Q384" s="643"/>
      <c r="R384" s="587"/>
      <c r="S384" s="587"/>
      <c r="T384" s="256"/>
      <c r="U384" s="256"/>
      <c r="V384" s="256"/>
      <c r="W384" s="256"/>
      <c r="X384" s="256"/>
      <c r="Y384" s="256"/>
      <c r="Z384" s="256"/>
      <c r="AA384" s="643"/>
      <c r="AB384" s="256"/>
      <c r="AC384" s="256"/>
      <c r="AD384" s="256"/>
      <c r="AE384" s="256"/>
      <c r="AF384" s="256"/>
      <c r="AG384" s="256"/>
      <c r="AH384" s="643"/>
      <c r="AI384" s="587"/>
      <c r="AJ384" s="587"/>
      <c r="AK384" s="256"/>
      <c r="AL384" s="256"/>
      <c r="AM384" s="256"/>
      <c r="AN384" s="256"/>
      <c r="AO384" s="256"/>
      <c r="AP384" s="320"/>
      <c r="AQ384" s="643"/>
      <c r="AR384" s="643"/>
      <c r="AS384" s="256"/>
      <c r="AT384" s="256"/>
      <c r="AU384" s="256"/>
      <c r="AV384" s="256"/>
      <c r="AW384" s="256"/>
      <c r="AX384" s="256"/>
      <c r="AY384" s="256"/>
      <c r="AZ384" s="1605">
        <v>0.63</v>
      </c>
      <c r="BA384" s="1167"/>
      <c r="BB384" s="256"/>
      <c r="BC384" s="1605">
        <v>0.19</v>
      </c>
      <c r="BD384" s="1167"/>
      <c r="BE384" s="256"/>
      <c r="BF384" s="1605">
        <v>0.1</v>
      </c>
      <c r="BG384" s="256"/>
      <c r="BH384" s="256"/>
      <c r="BI384" s="256"/>
      <c r="BJ384" s="256"/>
      <c r="BK384" s="256"/>
      <c r="BL384" s="256"/>
      <c r="BM384" s="256"/>
      <c r="BN384" s="256"/>
      <c r="BO384" s="587"/>
      <c r="BP384" s="587"/>
    </row>
    <row r="385" spans="1:73">
      <c r="A385" s="256" t="str">
        <f>$A$40</f>
        <v>1Q</v>
      </c>
      <c r="B385" s="302" t="str">
        <f>$B$40</f>
        <v>Apr</v>
      </c>
      <c r="C385" s="256"/>
      <c r="D385" s="288">
        <f>(V385/V378-1)*100</f>
        <v>16.791614263271693</v>
      </c>
      <c r="E385" s="643" t="s">
        <v>1970</v>
      </c>
      <c r="F385" s="1156">
        <v>-2</v>
      </c>
      <c r="G385" s="643"/>
      <c r="H385" s="2091">
        <f>'segSales&amp;comps'!S208</f>
        <v>10</v>
      </c>
      <c r="I385" s="643" t="s">
        <v>1970</v>
      </c>
      <c r="J385" s="288">
        <f>D385-H385-F385</f>
        <v>8.7916142632716934</v>
      </c>
      <c r="K385" s="643" t="s">
        <v>1970</v>
      </c>
      <c r="L385" s="948">
        <f>Stores!K282</f>
        <v>71</v>
      </c>
      <c r="M385" s="256"/>
      <c r="N385" s="811">
        <f>AVERAGE(L385,L381)</f>
        <v>71.5</v>
      </c>
      <c r="O385" s="256"/>
      <c r="P385" s="288">
        <f>(N385/N378-1)*100</f>
        <v>6.7164179104477695</v>
      </c>
      <c r="Q385" s="643" t="s">
        <v>1970</v>
      </c>
      <c r="R385" s="812">
        <f>J385/P385*100</f>
        <v>130.89736791982284</v>
      </c>
      <c r="S385" s="587" t="s">
        <v>1970</v>
      </c>
      <c r="T385" s="256"/>
      <c r="U385" s="256"/>
      <c r="V385" s="296">
        <f>'segSales&amp;comps'!Q208</f>
        <v>260.94400000000002</v>
      </c>
      <c r="W385" s="238"/>
      <c r="X385" s="813">
        <f>V385/N385</f>
        <v>3.649566433566434</v>
      </c>
      <c r="Y385" s="256"/>
      <c r="Z385" s="814">
        <f>(X385/X378-1)*100</f>
        <v>9.4410930858629847</v>
      </c>
      <c r="AA385" s="643" t="s">
        <v>1970</v>
      </c>
      <c r="AB385" s="256"/>
      <c r="AC385" s="1017">
        <f>AC381+(L385-L381)*yrSales!$Z$124/1000000</f>
        <v>0.17920000000000008</v>
      </c>
      <c r="AD385" s="256"/>
      <c r="AE385" s="816">
        <f>AVERAGE(AC385,AC381)</f>
        <v>0.18050000000000008</v>
      </c>
      <c r="AF385" s="256"/>
      <c r="AG385" s="1122" t="s">
        <v>1086</v>
      </c>
      <c r="AH385" s="643" t="s">
        <v>1970</v>
      </c>
      <c r="AI385" s="1122" t="s">
        <v>1086</v>
      </c>
      <c r="AJ385" s="587" t="s">
        <v>1970</v>
      </c>
      <c r="AK385" s="256"/>
      <c r="AL385" s="296">
        <f>+V385</f>
        <v>260.94400000000002</v>
      </c>
      <c r="AM385" s="256" t="s">
        <v>700</v>
      </c>
      <c r="AN385" s="296">
        <f>AL385/AE385</f>
        <v>1445.6731301939053</v>
      </c>
      <c r="AO385" s="256"/>
      <c r="AP385" s="1122" t="s">
        <v>1086</v>
      </c>
      <c r="AQ385" s="643" t="s">
        <v>1970</v>
      </c>
      <c r="AR385" s="643"/>
      <c r="AS385" s="297"/>
      <c r="AT385" s="297"/>
      <c r="AU385" s="297"/>
      <c r="AV385" s="297"/>
      <c r="AW385" s="297"/>
      <c r="AX385" s="297"/>
      <c r="AY385" s="1017"/>
      <c r="AZ385" s="1173">
        <v>0.16228690690680128</v>
      </c>
      <c r="BA385" s="1167">
        <f>+(AZ385/AZ378-1)*100</f>
        <v>0.81174269933828036</v>
      </c>
      <c r="BB385" s="288"/>
      <c r="BC385" s="1173">
        <v>9.4248454268501731E-4</v>
      </c>
      <c r="BD385" s="1167">
        <f>+(BC385/BC378-1)*100</f>
        <v>4.036414604730898</v>
      </c>
      <c r="BE385" s="1017"/>
      <c r="BF385" s="1167"/>
      <c r="BG385" s="1167"/>
      <c r="BH385" s="256"/>
      <c r="BI385" s="1479">
        <f>(AZ384*BA385)+(BC384*BD385)+(BF384*BG385)</f>
        <v>1.2783166754819872</v>
      </c>
      <c r="BJ385" s="1479"/>
      <c r="BK385" s="297">
        <f>F385</f>
        <v>-2</v>
      </c>
      <c r="BL385" s="256"/>
      <c r="BM385" s="256"/>
      <c r="BN385" s="256"/>
      <c r="BO385" s="1592"/>
      <c r="BP385" s="1492"/>
    </row>
    <row r="386" spans="1:73">
      <c r="A386" s="256" t="str">
        <f>$A$41</f>
        <v>2Q</v>
      </c>
      <c r="B386" s="302" t="str">
        <f>$B$41</f>
        <v>Jul</v>
      </c>
      <c r="C386" s="256"/>
      <c r="D386" s="288">
        <f>(V386/V379-1)*100</f>
        <v>13.670946837873533</v>
      </c>
      <c r="E386" s="256"/>
      <c r="F386" s="1732">
        <v>1</v>
      </c>
      <c r="G386" s="256"/>
      <c r="H386" s="2091">
        <f>'segSales&amp;comps'!S209</f>
        <v>7</v>
      </c>
      <c r="I386" s="256"/>
      <c r="J386" s="288">
        <f>D386-H386-F386</f>
        <v>5.670946837873533</v>
      </c>
      <c r="K386" s="256"/>
      <c r="L386" s="948">
        <f>Stores!K283</f>
        <v>71</v>
      </c>
      <c r="M386" s="256"/>
      <c r="N386" s="811">
        <f>AVERAGE(L386,L385)</f>
        <v>71</v>
      </c>
      <c r="O386" s="256"/>
      <c r="P386" s="288">
        <f>(N386/N379-1)*100</f>
        <v>5.1851851851851816</v>
      </c>
      <c r="Q386" s="643"/>
      <c r="R386" s="812">
        <f>J386/P386*100</f>
        <v>109.36826044470394</v>
      </c>
      <c r="S386" s="587"/>
      <c r="T386" s="256"/>
      <c r="U386" s="256"/>
      <c r="V386" s="315">
        <f>'segSales&amp;comps'!Q209</f>
        <v>236.80500000000001</v>
      </c>
      <c r="W386" s="238"/>
      <c r="X386" s="818">
        <f>V386/N386</f>
        <v>3.3352816901408451</v>
      </c>
      <c r="Y386" s="256"/>
      <c r="Z386" s="814">
        <f>(X386/X379-1)*100</f>
        <v>8.06744945854172</v>
      </c>
      <c r="AA386" s="643"/>
      <c r="AB386" s="256"/>
      <c r="AC386" s="1017">
        <f>AC385+(L386-L385)*yrSales!$Z$124/1000000</f>
        <v>0.17920000000000008</v>
      </c>
      <c r="AD386" s="238"/>
      <c r="AE386" s="816">
        <f>AVERAGE(AC385:AC386)</f>
        <v>0.17920000000000008</v>
      </c>
      <c r="AF386" s="256"/>
      <c r="AG386" s="1122" t="s">
        <v>1086</v>
      </c>
      <c r="AH386" s="643"/>
      <c r="AI386" s="1122" t="s">
        <v>1086</v>
      </c>
      <c r="AJ386" s="587"/>
      <c r="AK386" s="256"/>
      <c r="AL386" s="315">
        <f>+V386</f>
        <v>236.80500000000001</v>
      </c>
      <c r="AM386" s="256"/>
      <c r="AN386" s="315">
        <f>AL386/AE386</f>
        <v>1321.4564732142851</v>
      </c>
      <c r="AO386" s="256"/>
      <c r="AP386" s="1122" t="s">
        <v>1086</v>
      </c>
      <c r="AQ386" s="643"/>
      <c r="AR386" s="643"/>
      <c r="AS386" s="256"/>
      <c r="AT386" s="256"/>
      <c r="AU386" s="256"/>
      <c r="AV386" s="256"/>
      <c r="AW386" s="256"/>
      <c r="AX386" s="256"/>
      <c r="AY386" s="1017"/>
      <c r="AZ386" s="1173">
        <v>0.16070332697353168</v>
      </c>
      <c r="BA386" s="1167">
        <f>+(AZ386/AZ379-1)*100</f>
        <v>-1.3732341075348153</v>
      </c>
      <c r="BB386" s="288"/>
      <c r="BC386" s="1173">
        <v>9.7888360155458419E-4</v>
      </c>
      <c r="BD386" s="1167">
        <f>+(BC386/BC379-1)*100</f>
        <v>9.9895087853371756</v>
      </c>
      <c r="BE386" s="1017"/>
      <c r="BF386" s="1167"/>
      <c r="BG386" s="1167"/>
      <c r="BH386" s="256"/>
      <c r="BI386" s="1479">
        <f>(AZ384*BA386)+(BC384*BD386)+(BF384*BG386)</f>
        <v>1.0328691814671296</v>
      </c>
      <c r="BJ386" s="1479"/>
      <c r="BK386" s="297">
        <f>F386</f>
        <v>1</v>
      </c>
      <c r="BL386" s="256"/>
      <c r="BM386" s="256"/>
      <c r="BN386" s="256"/>
      <c r="BO386" s="1592"/>
      <c r="BP386" s="1492"/>
    </row>
    <row r="387" spans="1:73">
      <c r="A387" s="256" t="str">
        <f>$A$42</f>
        <v>3Q</v>
      </c>
      <c r="B387" s="302" t="str">
        <f>$B$42</f>
        <v>Oct</v>
      </c>
      <c r="C387" s="256"/>
      <c r="D387" s="288">
        <f>(V387/V380-1)*100</f>
        <v>2.0082881734140745</v>
      </c>
      <c r="E387" s="256"/>
      <c r="F387" s="1156">
        <v>0</v>
      </c>
      <c r="G387" s="256"/>
      <c r="H387" s="2091">
        <f>'segSales&amp;comps'!S210</f>
        <v>-3</v>
      </c>
      <c r="I387" s="256"/>
      <c r="J387" s="288">
        <f>D387-H387-F387</f>
        <v>5.0082881734140745</v>
      </c>
      <c r="K387" s="256"/>
      <c r="L387" s="948">
        <f>Stores!K284</f>
        <v>72</v>
      </c>
      <c r="M387" s="238"/>
      <c r="N387" s="811">
        <f>AVERAGE(L387,L386)</f>
        <v>71.5</v>
      </c>
      <c r="O387" s="256"/>
      <c r="P387" s="288">
        <f>(N387/N380-1)*100</f>
        <v>4.3795620437956151</v>
      </c>
      <c r="Q387" s="643"/>
      <c r="R387" s="812">
        <f>J387/P387*100</f>
        <v>114.35591329295485</v>
      </c>
      <c r="S387" s="587"/>
      <c r="T387" s="256"/>
      <c r="U387" s="256"/>
      <c r="V387" s="315">
        <f>'segSales&amp;comps'!Q210</f>
        <v>243.2</v>
      </c>
      <c r="W387" s="256"/>
      <c r="X387" s="818">
        <f>V387/N387</f>
        <v>3.4013986013986011</v>
      </c>
      <c r="Y387" s="256"/>
      <c r="Z387" s="814">
        <f>(X387/X380-1)*100</f>
        <v>-2.2717798618340668</v>
      </c>
      <c r="AA387" s="643"/>
      <c r="AB387" s="256"/>
      <c r="AC387" s="1017">
        <f>AC386+(L387-L386)*yrSales!$Z$124/1000000</f>
        <v>0.18180000000000007</v>
      </c>
      <c r="AD387" s="238"/>
      <c r="AE387" s="816">
        <f>AVERAGE(AC386:AC387)</f>
        <v>0.18050000000000008</v>
      </c>
      <c r="AF387" s="256"/>
      <c r="AG387" s="1122" t="s">
        <v>1086</v>
      </c>
      <c r="AH387" s="643"/>
      <c r="AI387" s="1122" t="s">
        <v>1086</v>
      </c>
      <c r="AJ387" s="587"/>
      <c r="AK387" s="256"/>
      <c r="AL387" s="315">
        <f>+V387</f>
        <v>243.2</v>
      </c>
      <c r="AM387" s="256"/>
      <c r="AN387" s="315">
        <f>AL387/AE387</f>
        <v>1347.368421052631</v>
      </c>
      <c r="AO387" s="256"/>
      <c r="AP387" s="1122" t="s">
        <v>1086</v>
      </c>
      <c r="AQ387" s="643"/>
      <c r="AR387" s="643"/>
      <c r="AS387" s="256"/>
      <c r="AT387" s="256"/>
      <c r="AU387" s="256"/>
      <c r="AV387" s="256"/>
      <c r="AW387" s="256"/>
      <c r="AX387" s="256"/>
      <c r="AY387" s="1017"/>
      <c r="AZ387" s="1173">
        <v>0.16274863234463183</v>
      </c>
      <c r="BA387" s="1167">
        <f>+(AZ387/AZ380-1)*100</f>
        <v>-0.47660433475626984</v>
      </c>
      <c r="BB387" s="288"/>
      <c r="BC387" s="1173">
        <v>9.6471950860377276E-4</v>
      </c>
      <c r="BD387" s="1167">
        <f>+(BC387/BC380-1)*100</f>
        <v>5.0476827090677912</v>
      </c>
      <c r="BE387" s="1017"/>
      <c r="BF387" s="1167"/>
      <c r="BG387" s="1167"/>
      <c r="BH387" s="256"/>
      <c r="BI387" s="1479">
        <f>(AZ384*BA387)+(BC384*BD387)+(BF384*BG387)</f>
        <v>0.65879898382643032</v>
      </c>
      <c r="BJ387" s="1479"/>
      <c r="BK387" s="297">
        <f>F387</f>
        <v>0</v>
      </c>
      <c r="BL387" s="256"/>
      <c r="BM387" s="256"/>
      <c r="BN387" s="256"/>
      <c r="BO387" s="1592"/>
      <c r="BP387" s="1492"/>
    </row>
    <row r="388" spans="1:73">
      <c r="A388" s="256" t="str">
        <f>$A$43</f>
        <v>4Q</v>
      </c>
      <c r="B388" s="302" t="str">
        <f>$B$43</f>
        <v>Jan</v>
      </c>
      <c r="C388" s="256"/>
      <c r="D388" s="318">
        <f>(V388/V381-1)*100</f>
        <v>3.4563152066212188</v>
      </c>
      <c r="E388" s="256"/>
      <c r="F388" s="1148">
        <v>-3</v>
      </c>
      <c r="G388" s="256"/>
      <c r="H388" s="2095">
        <f>'segSales&amp;comps'!S211</f>
        <v>3</v>
      </c>
      <c r="I388" s="256"/>
      <c r="J388" s="318">
        <f>D388-H388-F388</f>
        <v>3.4563152066212188</v>
      </c>
      <c r="K388" s="256"/>
      <c r="L388" s="949">
        <f>Stores!K285</f>
        <v>73</v>
      </c>
      <c r="M388" s="238"/>
      <c r="N388" s="820">
        <f>AVERAGE(L388,L387)</f>
        <v>72.5</v>
      </c>
      <c r="O388" s="256"/>
      <c r="P388" s="318">
        <f>(N388/N381-1)*100</f>
        <v>2.8368794326241176</v>
      </c>
      <c r="Q388" s="643"/>
      <c r="R388" s="820">
        <f>J388/P388*100</f>
        <v>121.83511103339779</v>
      </c>
      <c r="S388" s="587"/>
      <c r="T388" s="256"/>
      <c r="U388" s="256"/>
      <c r="V388" s="316">
        <f>'segSales&amp;comps'!Q211</f>
        <v>284</v>
      </c>
      <c r="W388" s="256"/>
      <c r="X388" s="821">
        <f>V388/N388</f>
        <v>3.9172413793103447</v>
      </c>
      <c r="Y388" s="256"/>
      <c r="Z388" s="298">
        <f>(X388/X381-1)*100</f>
        <v>0.60234789057649341</v>
      </c>
      <c r="AA388" s="643"/>
      <c r="AB388" s="256"/>
      <c r="AC388" s="1017">
        <f>AC387+(L388-L387)*yrSales!$Z$124/1000000</f>
        <v>0.18440000000000006</v>
      </c>
      <c r="AD388" s="238"/>
      <c r="AE388" s="822">
        <f>AVERAGE(AC387:AC388)</f>
        <v>0.18310000000000007</v>
      </c>
      <c r="AF388" s="256"/>
      <c r="AG388" s="1123" t="s">
        <v>1086</v>
      </c>
      <c r="AH388" s="643"/>
      <c r="AI388" s="1123" t="s">
        <v>1086</v>
      </c>
      <c r="AJ388" s="587"/>
      <c r="AK388" s="256"/>
      <c r="AL388" s="316">
        <f>+V388</f>
        <v>284</v>
      </c>
      <c r="AM388" s="256"/>
      <c r="AN388" s="316">
        <f>AL388/AE388</f>
        <v>1551.0649918077547</v>
      </c>
      <c r="AO388" s="256"/>
      <c r="AP388" s="1123" t="s">
        <v>1086</v>
      </c>
      <c r="AQ388" s="643"/>
      <c r="AR388" s="643"/>
      <c r="AS388" s="256"/>
      <c r="AT388" s="256"/>
      <c r="AU388" s="256"/>
      <c r="AV388" s="256"/>
      <c r="AW388" s="256"/>
      <c r="AX388" s="256"/>
      <c r="AY388" s="1017"/>
      <c r="AZ388" s="1687">
        <v>0.16219246769884035</v>
      </c>
      <c r="BA388" s="1602">
        <f>+(AZ388/AZ381-1)*100</f>
        <v>-1.505886904652376</v>
      </c>
      <c r="BB388" s="288"/>
      <c r="BC388" s="1687">
        <v>9.0849831514541604E-4</v>
      </c>
      <c r="BD388" s="1602">
        <f>+(BC388/BC381-1)*100</f>
        <v>-3.5460307972983052</v>
      </c>
      <c r="BE388" s="1017"/>
      <c r="BF388" s="1601"/>
      <c r="BG388" s="1602"/>
      <c r="BH388" s="256"/>
      <c r="BI388" s="1608">
        <f>(AZ384*BA388)+(BC384*BD388)+(BF384*BG388)</f>
        <v>-1.6224546014176748</v>
      </c>
      <c r="BJ388" s="1479"/>
      <c r="BK388" s="297">
        <f>F388</f>
        <v>-3</v>
      </c>
      <c r="BL388" s="256"/>
      <c r="BM388" s="256"/>
      <c r="BN388" s="256"/>
      <c r="BO388" s="1592"/>
      <c r="BP388" s="1492"/>
    </row>
    <row r="389" spans="1:73">
      <c r="A389" s="256"/>
      <c r="B389" s="302" t="str">
        <f>$B$44</f>
        <v>Year</v>
      </c>
      <c r="C389" s="256"/>
      <c r="D389" s="288">
        <f>(V389/V382-1)*100</f>
        <v>8.4974107524696372</v>
      </c>
      <c r="E389" s="256"/>
      <c r="F389" s="217">
        <f>F385*V378/V382+F386*V379/V382+F387*V380/V382+F388*V381/V382</f>
        <v>-1.1242637687418755</v>
      </c>
      <c r="G389" s="256"/>
      <c r="H389" s="2085">
        <f>H385*V378/V382+H386*V379/V382+H387*V380/V382+H388*V381/V382</f>
        <v>4.0234376654006239</v>
      </c>
      <c r="I389" s="256"/>
      <c r="J389" s="288">
        <f>D389-H389-F389</f>
        <v>5.5982368558108888</v>
      </c>
      <c r="K389" s="256"/>
      <c r="L389" s="951">
        <f>Stores!K286</f>
        <v>73</v>
      </c>
      <c r="M389" s="256"/>
      <c r="N389" s="811">
        <f>AVERAGE(N385:N388)</f>
        <v>71.625</v>
      </c>
      <c r="O389" s="256"/>
      <c r="P389" s="288">
        <f>(N389/N382-1)*100</f>
        <v>4.7531992687385838</v>
      </c>
      <c r="Q389" s="643"/>
      <c r="R389" s="812">
        <f>J389/P389*100</f>
        <v>117.77829077417499</v>
      </c>
      <c r="S389" s="587"/>
      <c r="T389" s="256"/>
      <c r="U389" s="256"/>
      <c r="V389" s="296">
        <f>SUM(V385:V388)</f>
        <v>1024.9490000000001</v>
      </c>
      <c r="W389" s="256"/>
      <c r="X389" s="813">
        <f>SUM(X385:X388)</f>
        <v>14.303488104416225</v>
      </c>
      <c r="Y389" s="256"/>
      <c r="Z389" s="814">
        <f>(X389/X382-1)*100</f>
        <v>3.6839121992423784</v>
      </c>
      <c r="AA389" s="643"/>
      <c r="AB389" s="256"/>
      <c r="AC389" s="815"/>
      <c r="AD389" s="256"/>
      <c r="AE389" s="816">
        <f>AVERAGE(AE385:AE388)</f>
        <v>0.18082500000000007</v>
      </c>
      <c r="AF389" s="256"/>
      <c r="AG389" s="1122" t="s">
        <v>1086</v>
      </c>
      <c r="AH389" s="643"/>
      <c r="AI389" s="1122" t="s">
        <v>1086</v>
      </c>
      <c r="AJ389" s="587"/>
      <c r="AK389" s="256"/>
      <c r="AL389" s="296">
        <f>SUM(AL385:AL388)</f>
        <v>1024.9490000000001</v>
      </c>
      <c r="AM389" s="256"/>
      <c r="AN389" s="296">
        <f>AL389/AE389</f>
        <v>5668.1819438683797</v>
      </c>
      <c r="AO389" s="256"/>
      <c r="AP389" s="1122" t="s">
        <v>1086</v>
      </c>
      <c r="AQ389" s="643"/>
      <c r="AR389" s="643"/>
      <c r="AS389" s="256"/>
      <c r="AT389" s="256"/>
      <c r="AU389" s="256"/>
      <c r="AV389" s="256"/>
      <c r="AW389" s="256"/>
      <c r="AX389" s="256"/>
      <c r="AY389" s="256"/>
      <c r="AZ389" s="1964">
        <v>0.1619828334809513</v>
      </c>
      <c r="BA389" s="1167">
        <f>+(AZ389/AZ382-1)*100</f>
        <v>-0.64251458247187587</v>
      </c>
      <c r="BB389" s="256"/>
      <c r="BC389" s="1173">
        <v>9.4864649199719758E-4</v>
      </c>
      <c r="BD389" s="1167">
        <f>+(BC389/BC382-1)*100</f>
        <v>3.7861377975649813</v>
      </c>
      <c r="BE389" s="1017"/>
      <c r="BF389" s="1167"/>
      <c r="BG389" s="1167"/>
      <c r="BH389" s="256"/>
      <c r="BI389" s="256"/>
      <c r="BJ389" s="256"/>
      <c r="BK389" s="256"/>
      <c r="BL389" s="256"/>
      <c r="BM389" s="256"/>
      <c r="BN389" s="302"/>
      <c r="BO389" s="587"/>
      <c r="BP389" s="587"/>
    </row>
    <row r="390" spans="1:73" ht="13.5" thickBot="1">
      <c r="A390" s="256"/>
      <c r="B390" s="302"/>
      <c r="C390" s="256"/>
      <c r="D390" s="288"/>
      <c r="E390" s="256"/>
      <c r="F390" s="297"/>
      <c r="G390" s="256"/>
      <c r="H390" s="2091"/>
      <c r="I390" s="256"/>
      <c r="J390" s="288"/>
      <c r="K390" s="256"/>
      <c r="L390" s="1033"/>
      <c r="M390" s="256"/>
      <c r="N390" s="811"/>
      <c r="O390" s="256"/>
      <c r="P390" s="288"/>
      <c r="Q390" s="643"/>
      <c r="R390" s="812"/>
      <c r="S390" s="587"/>
      <c r="T390" s="256"/>
      <c r="U390" s="256"/>
      <c r="V390" s="296"/>
      <c r="W390" s="256"/>
      <c r="X390" s="813"/>
      <c r="Y390" s="256"/>
      <c r="Z390" s="814"/>
      <c r="AA390" s="643"/>
      <c r="AB390" s="256"/>
      <c r="AC390" s="815"/>
      <c r="AD390" s="256"/>
      <c r="AE390" s="816"/>
      <c r="AF390" s="256"/>
      <c r="AG390" s="1122"/>
      <c r="AH390" s="643"/>
      <c r="AI390" s="1122"/>
      <c r="AJ390" s="587"/>
      <c r="AK390" s="256"/>
      <c r="AL390" s="296"/>
      <c r="AM390" s="256"/>
      <c r="AN390" s="817"/>
      <c r="AO390" s="256"/>
      <c r="AP390" s="1122"/>
      <c r="AQ390" s="643"/>
      <c r="AR390" s="643"/>
      <c r="AS390" s="256"/>
      <c r="AT390" s="256"/>
      <c r="AU390" s="256"/>
      <c r="AV390" s="256"/>
      <c r="AW390" s="256"/>
      <c r="AX390" s="256"/>
      <c r="AY390" s="256"/>
      <c r="AZ390" s="256"/>
      <c r="BA390" s="256"/>
      <c r="BB390" s="256"/>
      <c r="BC390" s="256"/>
      <c r="BD390" s="1017"/>
      <c r="BE390" s="1017"/>
      <c r="BF390" s="1167"/>
      <c r="BG390" s="1167"/>
      <c r="BH390" s="256"/>
      <c r="BI390" s="256"/>
      <c r="BJ390" s="256"/>
      <c r="BK390" s="256"/>
      <c r="BL390" s="256"/>
      <c r="BM390" s="256"/>
      <c r="BN390" s="302"/>
      <c r="BO390" s="587"/>
      <c r="BP390" s="587"/>
    </row>
    <row r="391" spans="1:73" ht="13.5" thickBot="1">
      <c r="A391" s="810"/>
      <c r="B391" s="171">
        <f>+B384+1</f>
        <v>2015</v>
      </c>
      <c r="C391" s="256"/>
      <c r="D391" s="256"/>
      <c r="E391" s="643"/>
      <c r="F391" s="297"/>
      <c r="G391" s="643"/>
      <c r="H391" s="2091"/>
      <c r="I391" s="643"/>
      <c r="J391" s="256"/>
      <c r="K391" s="643"/>
      <c r="L391" s="256"/>
      <c r="M391" s="256"/>
      <c r="N391" s="256"/>
      <c r="O391" s="256"/>
      <c r="P391" s="256"/>
      <c r="Q391" s="643"/>
      <c r="R391" s="587"/>
      <c r="S391" s="587"/>
      <c r="T391" s="256"/>
      <c r="U391" s="256"/>
      <c r="V391" s="256"/>
      <c r="W391" s="256"/>
      <c r="X391" s="256"/>
      <c r="Y391" s="256"/>
      <c r="Z391" s="256"/>
      <c r="AA391" s="643"/>
      <c r="AB391" s="256"/>
      <c r="AC391" s="256"/>
      <c r="AD391" s="256"/>
      <c r="AE391" s="256"/>
      <c r="AF391" s="256"/>
      <c r="AG391" s="256"/>
      <c r="AH391" s="643"/>
      <c r="AI391" s="587"/>
      <c r="AJ391" s="587"/>
      <c r="AK391" s="256"/>
      <c r="AL391" s="256"/>
      <c r="AM391" s="256"/>
      <c r="AN391" s="256"/>
      <c r="AO391" s="256"/>
      <c r="AP391" s="320"/>
      <c r="AQ391" s="643"/>
      <c r="AR391" s="643"/>
      <c r="AS391" s="256"/>
      <c r="AT391" s="256"/>
      <c r="AU391" s="256"/>
      <c r="AV391" s="256"/>
      <c r="AW391" s="256"/>
      <c r="AX391" s="256"/>
      <c r="AY391" s="256"/>
      <c r="AZ391" s="1605">
        <v>0.63</v>
      </c>
      <c r="BA391" s="1167"/>
      <c r="BB391" s="256"/>
      <c r="BC391" s="1605">
        <v>0.21</v>
      </c>
      <c r="BD391" s="1167"/>
      <c r="BE391" s="256"/>
      <c r="BF391" s="1605">
        <v>0.1</v>
      </c>
      <c r="BG391" s="256"/>
      <c r="BH391" s="256"/>
      <c r="BI391" s="256"/>
      <c r="BJ391" s="256"/>
      <c r="BK391" s="256"/>
      <c r="BL391" s="256"/>
      <c r="BM391" s="256"/>
      <c r="BN391" s="256"/>
      <c r="BO391" s="587"/>
      <c r="BP391" s="587"/>
    </row>
    <row r="392" spans="1:73">
      <c r="A392" s="256" t="str">
        <f>$A$40</f>
        <v>1Q</v>
      </c>
      <c r="B392" s="302" t="str">
        <f>$B$40</f>
        <v>Apr</v>
      </c>
      <c r="C392" s="256"/>
      <c r="D392" s="288">
        <f>(V392/V385-1)*100</f>
        <v>-0.7449874302532411</v>
      </c>
      <c r="E392" s="643" t="s">
        <v>1970</v>
      </c>
      <c r="F392" s="1156">
        <v>-5</v>
      </c>
      <c r="G392" s="643"/>
      <c r="H392" s="2091">
        <f>'segSales&amp;comps'!S215</f>
        <v>2</v>
      </c>
      <c r="I392" s="643" t="s">
        <v>1970</v>
      </c>
      <c r="J392" s="288">
        <f>D392-H392-F392</f>
        <v>2.2550125697467589</v>
      </c>
      <c r="K392" s="643" t="s">
        <v>1970</v>
      </c>
      <c r="L392" s="948">
        <f>Stores!K289</f>
        <v>75</v>
      </c>
      <c r="M392" s="256"/>
      <c r="N392" s="811">
        <f>AVERAGE(L392,L388)</f>
        <v>74</v>
      </c>
      <c r="O392" s="256"/>
      <c r="P392" s="288">
        <f>(N392/N385-1)*100</f>
        <v>3.4965034965035002</v>
      </c>
      <c r="Q392" s="643" t="s">
        <v>1970</v>
      </c>
      <c r="R392" s="812">
        <f>J392/P392*100</f>
        <v>64.493359494757243</v>
      </c>
      <c r="S392" s="587" t="s">
        <v>1970</v>
      </c>
      <c r="T392" s="256"/>
      <c r="U392" s="256"/>
      <c r="V392" s="296">
        <f>'segSales&amp;comps'!Q215</f>
        <v>259</v>
      </c>
      <c r="W392" s="238"/>
      <c r="X392" s="813">
        <f>V392/N392</f>
        <v>3.5</v>
      </c>
      <c r="Y392" s="256"/>
      <c r="Z392" s="814">
        <f>(X392/X385-1)*100</f>
        <v>-4.0981973143663142</v>
      </c>
      <c r="AA392" s="643" t="s">
        <v>1970</v>
      </c>
      <c r="AB392" s="256"/>
      <c r="AC392" s="1017">
        <f>AC388+(L392-L388)*yrSales!$AA$124/1000000</f>
        <v>0.18960000000000007</v>
      </c>
      <c r="AD392" s="256"/>
      <c r="AE392" s="816">
        <f>AVERAGE(AC392,AC388)</f>
        <v>0.18700000000000006</v>
      </c>
      <c r="AF392" s="256"/>
      <c r="AG392" s="1122" t="s">
        <v>1086</v>
      </c>
      <c r="AH392" s="643" t="s">
        <v>1970</v>
      </c>
      <c r="AI392" s="1122" t="s">
        <v>1086</v>
      </c>
      <c r="AJ392" s="587" t="s">
        <v>1970</v>
      </c>
      <c r="AK392" s="256"/>
      <c r="AL392" s="296">
        <f>+V392</f>
        <v>259</v>
      </c>
      <c r="AM392" s="256" t="s">
        <v>700</v>
      </c>
      <c r="AN392" s="296">
        <f>AL392/AE392</f>
        <v>1385.026737967914</v>
      </c>
      <c r="AO392" s="256"/>
      <c r="AP392" s="1122" t="s">
        <v>1086</v>
      </c>
      <c r="AQ392" s="643" t="s">
        <v>1970</v>
      </c>
      <c r="AR392" s="643"/>
      <c r="AZ392" s="1173">
        <v>0.15992763228945295</v>
      </c>
      <c r="BA392" s="1167">
        <f>+(AZ392/AZ385-1)*100</f>
        <v>-1.4537676897762419</v>
      </c>
      <c r="BB392" s="288"/>
      <c r="BC392" s="1173">
        <v>9.0393101727404912E-4</v>
      </c>
      <c r="BD392" s="1167">
        <f>+(BC392/BC385-1)*100</f>
        <v>-4.090626812948484</v>
      </c>
      <c r="BE392" s="1017"/>
      <c r="BF392" s="1167"/>
      <c r="BG392" s="1167"/>
      <c r="BH392" s="256"/>
      <c r="BI392" s="1479">
        <f>(AZ391*BA392)+(BC391*BD392)+(BF391*BG392)</f>
        <v>-1.774905275278214</v>
      </c>
      <c r="BJ392" s="1479"/>
      <c r="BK392" s="297">
        <f>F392</f>
        <v>-5</v>
      </c>
      <c r="BL392" s="256"/>
      <c r="BM392" s="256">
        <f>$AZ$391*BQ392+$BC$391*BU392</f>
        <v>-7.9392666475714413E-3</v>
      </c>
      <c r="BN392" s="256"/>
      <c r="BO392" s="297">
        <v>0.16219246769884035</v>
      </c>
      <c r="BP392" s="297"/>
      <c r="BQ392" s="297">
        <f>BO392/AZ385-1</f>
        <v>-5.8192746267060613E-4</v>
      </c>
      <c r="BR392" s="297"/>
      <c r="BS392" s="297">
        <v>9.0849831514541604E-4</v>
      </c>
      <c r="BT392" s="297"/>
      <c r="BU392" s="1028">
        <f>BS392/BC385-1</f>
        <v>-3.6060249267090283E-2</v>
      </c>
    </row>
    <row r="393" spans="1:73">
      <c r="A393" s="256" t="str">
        <f>$A$41</f>
        <v>2Q</v>
      </c>
      <c r="B393" s="302" t="str">
        <f>$B$41</f>
        <v>Jul</v>
      </c>
      <c r="C393" s="256"/>
      <c r="D393" s="288">
        <f>(V393/V386-1)*100</f>
        <v>3.5873397943455565</v>
      </c>
      <c r="E393" s="256"/>
      <c r="F393" s="1732">
        <v>-5</v>
      </c>
      <c r="G393" s="256"/>
      <c r="H393" s="2091">
        <f>'segSales&amp;comps'!S216</f>
        <v>6</v>
      </c>
      <c r="I393" s="256"/>
      <c r="J393" s="288">
        <f>D393-H393-F393</f>
        <v>2.5873397943455565</v>
      </c>
      <c r="K393" s="256"/>
      <c r="L393" s="948">
        <f>Stores!K290</f>
        <v>79</v>
      </c>
      <c r="M393" s="256"/>
      <c r="N393" s="811">
        <f>AVERAGE(L393,L392)</f>
        <v>77</v>
      </c>
      <c r="O393" s="256"/>
      <c r="P393" s="288">
        <f>(N393/N386-1)*100</f>
        <v>8.4507042253521227</v>
      </c>
      <c r="Q393" s="643"/>
      <c r="R393" s="812">
        <f>J393/P393*100</f>
        <v>30.616854233089047</v>
      </c>
      <c r="S393" s="587"/>
      <c r="T393" s="256"/>
      <c r="U393" s="256"/>
      <c r="V393" s="315">
        <f>'segSales&amp;comps'!Q216</f>
        <v>245.3</v>
      </c>
      <c r="W393" s="238"/>
      <c r="X393" s="818">
        <f>V393/N393</f>
        <v>3.1857142857142859</v>
      </c>
      <c r="Y393" s="256"/>
      <c r="Z393" s="814">
        <f>(X393/X386-1)*100</f>
        <v>-4.4844009688501885</v>
      </c>
      <c r="AA393" s="643"/>
      <c r="AB393" s="256"/>
      <c r="AC393" s="1017">
        <f>AC392+(L393-L392)*yrSales!$AA$124/1000000</f>
        <v>0.20000000000000007</v>
      </c>
      <c r="AD393" s="238"/>
      <c r="AE393" s="816">
        <f>AVERAGE(AC392:AC393)</f>
        <v>0.19480000000000008</v>
      </c>
      <c r="AF393" s="256"/>
      <c r="AG393" s="1122" t="s">
        <v>1086</v>
      </c>
      <c r="AH393" s="643"/>
      <c r="AI393" s="1122" t="s">
        <v>1086</v>
      </c>
      <c r="AJ393" s="587"/>
      <c r="AK393" s="256"/>
      <c r="AL393" s="315">
        <f>+V393</f>
        <v>245.3</v>
      </c>
      <c r="AM393" s="256"/>
      <c r="AN393" s="315">
        <f>AL393/AE393</f>
        <v>1259.2402464065703</v>
      </c>
      <c r="AO393" s="256"/>
      <c r="AP393" s="1122" t="s">
        <v>1086</v>
      </c>
      <c r="AQ393" s="643"/>
      <c r="AR393" s="643"/>
      <c r="AZ393" s="1173">
        <v>0.1611314074388478</v>
      </c>
      <c r="BA393" s="1167">
        <f>+(AZ393/AZ386-1)*100</f>
        <v>0.26637934221898085</v>
      </c>
      <c r="BB393" s="288"/>
      <c r="BC393" s="1173">
        <v>8.9491467663812098E-4</v>
      </c>
      <c r="BD393" s="1167">
        <f>+(BC393/BC386-1)*100</f>
        <v>-8.5780295821802017</v>
      </c>
      <c r="BE393" s="1017"/>
      <c r="BF393" s="1167"/>
      <c r="BG393" s="1167"/>
      <c r="BH393" s="256"/>
      <c r="BI393" s="1479">
        <f>(AZ391*BA393)+(BC391*BD393)+(BF391*BG393)</f>
        <v>-1.6335672266598844</v>
      </c>
      <c r="BJ393" s="1479"/>
      <c r="BK393" s="297">
        <f>F393</f>
        <v>-5</v>
      </c>
      <c r="BL393" s="256"/>
      <c r="BM393" s="256">
        <f>$AZ$391*BQ393+$BC$391*BU393</f>
        <v>-9.2619330411320474E-3</v>
      </c>
      <c r="BN393" s="256"/>
      <c r="BO393" s="297">
        <v>0.16219246769884035</v>
      </c>
      <c r="BP393" s="256"/>
      <c r="BQ393" s="297">
        <f>BO393/AZ386-1</f>
        <v>9.2663963674750605E-3</v>
      </c>
      <c r="BR393" s="256"/>
      <c r="BS393" s="297">
        <v>9.0849831514541604E-4</v>
      </c>
      <c r="BT393" s="256"/>
      <c r="BU393" s="1028">
        <f>BS393/BC386-1</f>
        <v>-7.1903632155434938E-2</v>
      </c>
    </row>
    <row r="394" spans="1:73">
      <c r="A394" s="256" t="str">
        <f>$A$42</f>
        <v>3Q</v>
      </c>
      <c r="B394" s="302" t="str">
        <f>$B$42</f>
        <v>Oct</v>
      </c>
      <c r="C394" s="256"/>
      <c r="D394" s="288">
        <f>(V394/V387-1)*100</f>
        <v>-1.9736842105263053</v>
      </c>
      <c r="E394" s="256"/>
      <c r="F394" s="1156">
        <v>-8</v>
      </c>
      <c r="G394" s="256"/>
      <c r="H394" s="2091">
        <f>'segSales&amp;comps'!S217</f>
        <v>2</v>
      </c>
      <c r="I394" s="256"/>
      <c r="J394" s="288">
        <f>D394-H394-F394</f>
        <v>4.0263157894736947</v>
      </c>
      <c r="K394" s="256"/>
      <c r="L394" s="948">
        <f>Stores!K291</f>
        <v>79</v>
      </c>
      <c r="M394" s="238"/>
      <c r="N394" s="811">
        <f>AVERAGE(L394,L393)</f>
        <v>79</v>
      </c>
      <c r="O394" s="256"/>
      <c r="P394" s="288">
        <f>(N394/N387-1)*100</f>
        <v>10.489510489510479</v>
      </c>
      <c r="Q394" s="643"/>
      <c r="R394" s="812">
        <f>J394/P394*100</f>
        <v>38.384210526315925</v>
      </c>
      <c r="S394" s="587"/>
      <c r="T394" s="256"/>
      <c r="U394" s="256"/>
      <c r="V394" s="315">
        <f>'segSales&amp;comps'!Q217</f>
        <v>238.4</v>
      </c>
      <c r="W394" s="256"/>
      <c r="X394" s="818">
        <f>V394/N394</f>
        <v>3.0177215189873419</v>
      </c>
      <c r="Y394" s="256"/>
      <c r="Z394" s="814">
        <f>(X394/X387-1)*100</f>
        <v>-11.279980013324442</v>
      </c>
      <c r="AA394" s="643"/>
      <c r="AB394" s="256"/>
      <c r="AC394" s="1017">
        <f>AC393+(L394-L393)*yrSales!$AA$124/1000000</f>
        <v>0.20000000000000007</v>
      </c>
      <c r="AD394" s="238"/>
      <c r="AE394" s="816">
        <f>AVERAGE(AC393:AC394)</f>
        <v>0.20000000000000007</v>
      </c>
      <c r="AF394" s="256"/>
      <c r="AG394" s="1122" t="s">
        <v>1086</v>
      </c>
      <c r="AH394" s="643"/>
      <c r="AI394" s="1122" t="s">
        <v>1086</v>
      </c>
      <c r="AJ394" s="587"/>
      <c r="AK394" s="256"/>
      <c r="AL394" s="315">
        <f>+V394</f>
        <v>238.4</v>
      </c>
      <c r="AM394" s="256"/>
      <c r="AN394" s="315">
        <f>AL394/AE394</f>
        <v>1191.9999999999995</v>
      </c>
      <c r="AO394" s="256"/>
      <c r="AP394" s="1122" t="s">
        <v>1086</v>
      </c>
      <c r="AQ394" s="643"/>
      <c r="AR394" s="643"/>
      <c r="AZ394" s="1173">
        <v>0.15741194428872199</v>
      </c>
      <c r="BA394" s="1167">
        <f>+(AZ394/AZ387-1)*100</f>
        <v>-3.279098557712623</v>
      </c>
      <c r="BB394" s="288"/>
      <c r="BC394" s="1173">
        <v>8.5453851148578294E-4</v>
      </c>
      <c r="BD394" s="1167">
        <f>+(BC394/BC387-1)*100</f>
        <v>-11.421039601184546</v>
      </c>
      <c r="BE394" s="1017"/>
      <c r="BF394" s="1167"/>
      <c r="BG394" s="1167"/>
      <c r="BH394" s="256"/>
      <c r="BI394" s="1479">
        <f>(AZ391*BA394)+(BC391*BD394)+(BF391*BG394)</f>
        <v>-4.4642504076077074</v>
      </c>
      <c r="BJ394" s="1479"/>
      <c r="BK394" s="297">
        <f>F394</f>
        <v>-8</v>
      </c>
      <c r="BL394" s="256"/>
      <c r="BM394" s="256">
        <f>$AZ$391*BQ394+$BC$391*BU394</f>
        <v>-1.439113457464844E-2</v>
      </c>
      <c r="BN394" s="256"/>
      <c r="BO394" s="297">
        <v>0.16219246769884035</v>
      </c>
      <c r="BP394" s="256"/>
      <c r="BQ394" s="297">
        <f>BO394/AZ387-1</f>
        <v>-3.4173230077519934E-3</v>
      </c>
      <c r="BR394" s="256"/>
      <c r="BS394" s="297">
        <v>9.0849831514541604E-4</v>
      </c>
      <c r="BT394" s="256"/>
      <c r="BU394" s="1028">
        <f>BS394/BC387-1</f>
        <v>-5.8277243236974696E-2</v>
      </c>
    </row>
    <row r="395" spans="1:73">
      <c r="A395" s="256" t="str">
        <f>$A$43</f>
        <v>4Q</v>
      </c>
      <c r="B395" s="302" t="str">
        <f>$B$43</f>
        <v>Jan</v>
      </c>
      <c r="C395" s="256"/>
      <c r="D395" s="318">
        <f>(V395/V388-1)*100</f>
        <v>-8.3098591549295886</v>
      </c>
      <c r="E395" s="256"/>
      <c r="F395" s="1148">
        <v>-5</v>
      </c>
      <c r="G395" s="256"/>
      <c r="H395" s="2454">
        <f>'segSales&amp;comps'!S218</f>
        <v>-8</v>
      </c>
      <c r="I395" s="256"/>
      <c r="J395" s="318">
        <f>D395-H395-F395</f>
        <v>4.6901408450704114</v>
      </c>
      <c r="K395" s="256"/>
      <c r="L395" s="949">
        <f>Stores!K292</f>
        <v>81</v>
      </c>
      <c r="M395" s="238"/>
      <c r="N395" s="820">
        <f>AVERAGE(L395,L394)</f>
        <v>80</v>
      </c>
      <c r="O395" s="256"/>
      <c r="P395" s="318">
        <f>(N395/N388-1)*100</f>
        <v>10.344827586206895</v>
      </c>
      <c r="Q395" s="643"/>
      <c r="R395" s="820">
        <f>J395/P395*100</f>
        <v>45.338028169013981</v>
      </c>
      <c r="S395" s="587"/>
      <c r="T395" s="256"/>
      <c r="U395" s="256"/>
      <c r="V395" s="316">
        <f>'segSales&amp;comps'!Q218</f>
        <v>260.39999999999998</v>
      </c>
      <c r="W395" s="256"/>
      <c r="X395" s="821">
        <f>V395/N395</f>
        <v>3.2549999999999999</v>
      </c>
      <c r="Y395" s="256"/>
      <c r="Z395" s="298">
        <f>(X395/X388-1)*100</f>
        <v>-16.905809859154928</v>
      </c>
      <c r="AA395" s="643"/>
      <c r="AB395" s="256"/>
      <c r="AC395" s="1017">
        <f>AC394+(L395-L394)*yrSales!$AA$124/1000000</f>
        <v>0.20520000000000008</v>
      </c>
      <c r="AD395" s="238"/>
      <c r="AE395" s="822">
        <f>AVERAGE(AC394:AC395)</f>
        <v>0.20260000000000006</v>
      </c>
      <c r="AF395" s="256"/>
      <c r="AG395" s="1123" t="s">
        <v>1086</v>
      </c>
      <c r="AH395" s="643"/>
      <c r="AI395" s="1123" t="s">
        <v>1086</v>
      </c>
      <c r="AJ395" s="587"/>
      <c r="AK395" s="256"/>
      <c r="AL395" s="316">
        <f>+V395</f>
        <v>260.39999999999998</v>
      </c>
      <c r="AM395" s="256"/>
      <c r="AN395" s="316">
        <f>AL395/AE395</f>
        <v>1285.291214215202</v>
      </c>
      <c r="AO395" s="256"/>
      <c r="AP395" s="1123" t="s">
        <v>1086</v>
      </c>
      <c r="AQ395" s="643"/>
      <c r="AR395" s="643"/>
      <c r="AZ395" s="1687">
        <v>0.1546926968003117</v>
      </c>
      <c r="BA395" s="1602">
        <f>+(AZ395/AZ388-1)*100</f>
        <v>-4.6239945694976807</v>
      </c>
      <c r="BB395" s="288"/>
      <c r="BC395" s="1687">
        <v>8.5023905606927653E-4</v>
      </c>
      <c r="BD395" s="1602">
        <f>+(BC395/BC388-1)*100</f>
        <v>-6.4126986374008261</v>
      </c>
      <c r="BE395" s="1017"/>
      <c r="BF395" s="1601"/>
      <c r="BG395" s="1602"/>
      <c r="BH395" s="256"/>
      <c r="BI395" s="1608">
        <f>(AZ391*BA395)+(BC391*BD395)+(BF391*BG395)</f>
        <v>-4.2597832926377119</v>
      </c>
      <c r="BJ395" s="1479"/>
      <c r="BK395" s="297">
        <f>F395</f>
        <v>-5</v>
      </c>
      <c r="BL395" s="256"/>
      <c r="BM395" s="256">
        <f>$AZ$391*BQ395+$BC$391*BU395</f>
        <v>0</v>
      </c>
      <c r="BN395" s="256"/>
      <c r="BO395" s="297">
        <v>0.16219246769884035</v>
      </c>
      <c r="BP395" s="256"/>
      <c r="BQ395" s="297">
        <f>BO395/AZ388-1</f>
        <v>0</v>
      </c>
      <c r="BR395" s="256"/>
      <c r="BS395" s="297">
        <v>9.0849831514541604E-4</v>
      </c>
      <c r="BT395" s="256"/>
      <c r="BU395" s="1028">
        <f>BS395/BC388-1</f>
        <v>0</v>
      </c>
    </row>
    <row r="396" spans="1:73">
      <c r="A396" s="256"/>
      <c r="B396" s="302" t="str">
        <f>$B$44</f>
        <v>Year</v>
      </c>
      <c r="C396" s="256"/>
      <c r="D396" s="288">
        <f>(V396/V389-1)*100</f>
        <v>-2.1317158219579802</v>
      </c>
      <c r="E396" s="256"/>
      <c r="F396" s="219">
        <v>-5</v>
      </c>
      <c r="G396" s="256"/>
      <c r="H396" s="2455">
        <f>'segSales&amp;comps'!S219</f>
        <v>0</v>
      </c>
      <c r="I396" s="256"/>
      <c r="J396" s="288">
        <f>D396-H396-F396</f>
        <v>2.8682841780420198</v>
      </c>
      <c r="K396" s="256"/>
      <c r="L396" s="951">
        <f>Stores!K293</f>
        <v>81</v>
      </c>
      <c r="M396" s="256"/>
      <c r="N396" s="811">
        <f>AVERAGE(N392:N395)</f>
        <v>77.5</v>
      </c>
      <c r="O396" s="256"/>
      <c r="P396" s="288">
        <f>(N396/N389-1)*100</f>
        <v>8.2024432809773238</v>
      </c>
      <c r="Q396" s="643"/>
      <c r="R396" s="812">
        <f>J396/P396*100</f>
        <v>34.968656042937766</v>
      </c>
      <c r="S396" s="587"/>
      <c r="T396" s="256"/>
      <c r="U396" s="256"/>
      <c r="V396" s="296">
        <f>SUM(V392:V395)</f>
        <v>1003.1</v>
      </c>
      <c r="W396" s="256"/>
      <c r="X396" s="813">
        <f>SUM(X392:X395)</f>
        <v>12.958435804701626</v>
      </c>
      <c r="Y396" s="256"/>
      <c r="Z396" s="814">
        <f>(X396/X389-1)*100</f>
        <v>-9.4036663637264262</v>
      </c>
      <c r="AA396" s="643"/>
      <c r="AB396" s="256"/>
      <c r="AC396" s="815"/>
      <c r="AD396" s="256"/>
      <c r="AE396" s="816">
        <f>AVERAGE(AE392:AE395)</f>
        <v>0.19610000000000005</v>
      </c>
      <c r="AF396" s="256"/>
      <c r="AG396" s="1122" t="s">
        <v>1086</v>
      </c>
      <c r="AH396" s="643"/>
      <c r="AI396" s="1122" t="s">
        <v>1086</v>
      </c>
      <c r="AJ396" s="587"/>
      <c r="AK396" s="256"/>
      <c r="AL396" s="296">
        <f>SUM(AL392:AL395)</f>
        <v>1003.1</v>
      </c>
      <c r="AM396" s="256"/>
      <c r="AN396" s="296">
        <f>AL396/AE396</f>
        <v>5115.2473227944911</v>
      </c>
      <c r="AO396" s="256"/>
      <c r="AP396" s="1122" t="s">
        <v>1086</v>
      </c>
      <c r="AQ396" s="643"/>
      <c r="AR396" s="643"/>
      <c r="AZ396" s="1964">
        <v>0.15829092020433361</v>
      </c>
      <c r="BA396" s="1167">
        <f>+(AZ396/AZ389-1)*100</f>
        <v>-2.2792003308497844</v>
      </c>
      <c r="BB396" s="256"/>
      <c r="BC396" s="1173">
        <v>8.7590581536680734E-4</v>
      </c>
      <c r="BD396" s="1167">
        <f>+(BC396/BC389-1)*100</f>
        <v>-7.6678380454713313</v>
      </c>
      <c r="BE396" s="1017"/>
      <c r="BF396" s="1167"/>
      <c r="BG396" s="1167"/>
      <c r="BH396" s="256"/>
      <c r="BI396" s="256"/>
      <c r="BJ396" s="256"/>
      <c r="BK396" s="256"/>
      <c r="BL396" s="256"/>
      <c r="BM396" s="256"/>
      <c r="BN396" s="302"/>
      <c r="BO396" s="256"/>
      <c r="BP396" s="256"/>
      <c r="BQ396" s="256"/>
      <c r="BR396" s="256"/>
      <c r="BS396" s="256"/>
      <c r="BT396" s="256"/>
      <c r="BU396" s="256"/>
    </row>
    <row r="397" spans="1:73" ht="13.5" thickBot="1">
      <c r="A397" s="256"/>
      <c r="B397" s="302"/>
      <c r="C397" s="256"/>
      <c r="D397" s="288"/>
      <c r="E397" s="256"/>
      <c r="F397" s="297"/>
      <c r="G397" s="256"/>
      <c r="H397" s="2091"/>
      <c r="I397" s="256"/>
      <c r="J397" s="288"/>
      <c r="K397" s="256"/>
      <c r="L397" s="1033"/>
      <c r="M397" s="256"/>
      <c r="N397" s="811"/>
      <c r="O397" s="256"/>
      <c r="P397" s="288"/>
      <c r="Q397" s="643"/>
      <c r="R397" s="812"/>
      <c r="S397" s="587"/>
      <c r="T397" s="256"/>
      <c r="U397" s="256"/>
      <c r="V397" s="296"/>
      <c r="W397" s="256"/>
      <c r="X397" s="813"/>
      <c r="Y397" s="256"/>
      <c r="Z397" s="814"/>
      <c r="AA397" s="643"/>
      <c r="AB397" s="256"/>
      <c r="AC397" s="815"/>
      <c r="AD397" s="256"/>
      <c r="AE397" s="816"/>
      <c r="AF397" s="256"/>
      <c r="AG397" s="1122"/>
      <c r="AH397" s="643"/>
      <c r="AI397" s="1122"/>
      <c r="AJ397" s="587"/>
      <c r="AK397" s="256"/>
      <c r="AL397" s="296"/>
      <c r="AM397" s="256"/>
      <c r="AN397" s="817"/>
      <c r="AO397" s="256"/>
      <c r="AP397" s="1122"/>
      <c r="AQ397" s="643"/>
      <c r="AR397" s="643"/>
      <c r="AS397" s="256"/>
      <c r="AT397" s="256"/>
      <c r="AU397" s="256"/>
      <c r="AV397" s="256"/>
      <c r="AW397" s="256"/>
      <c r="AX397" s="256"/>
      <c r="AY397" s="256"/>
      <c r="AZ397" s="256"/>
      <c r="BA397" s="256"/>
      <c r="BB397" s="256"/>
      <c r="BC397" s="256"/>
      <c r="BD397" s="1017"/>
      <c r="BE397" s="1017"/>
      <c r="BF397" s="1167"/>
      <c r="BG397" s="1167"/>
      <c r="BH397" s="256"/>
      <c r="BI397" s="256"/>
      <c r="BJ397" s="256"/>
      <c r="BK397" s="256"/>
      <c r="BL397" s="256"/>
      <c r="BM397" s="256"/>
      <c r="BN397" s="302"/>
      <c r="BO397" s="587"/>
      <c r="BP397" s="587"/>
    </row>
    <row r="398" spans="1:73" ht="13.5" thickBot="1">
      <c r="A398" s="810"/>
      <c r="B398" s="171">
        <f>+B391+1</f>
        <v>2016</v>
      </c>
      <c r="C398" s="256"/>
      <c r="D398" s="256"/>
      <c r="E398" s="643"/>
      <c r="F398" s="297"/>
      <c r="G398" s="643"/>
      <c r="H398" s="2091"/>
      <c r="I398" s="643"/>
      <c r="J398" s="256"/>
      <c r="K398" s="643"/>
      <c r="L398" s="256"/>
      <c r="M398" s="256"/>
      <c r="N398" s="256"/>
      <c r="O398" s="256"/>
      <c r="P398" s="256"/>
      <c r="Q398" s="643"/>
      <c r="R398" s="587"/>
      <c r="S398" s="587"/>
      <c r="T398" s="256"/>
      <c r="U398" s="256"/>
      <c r="V398" s="256"/>
      <c r="W398" s="256"/>
      <c r="X398" s="256"/>
      <c r="Y398" s="256"/>
      <c r="Z398" s="256"/>
      <c r="AA398" s="643"/>
      <c r="AB398" s="256"/>
      <c r="AC398" s="256"/>
      <c r="AD398" s="256"/>
      <c r="AE398" s="256"/>
      <c r="AF398" s="256"/>
      <c r="AG398" s="256"/>
      <c r="AH398" s="643"/>
      <c r="AI398" s="587"/>
      <c r="AJ398" s="587"/>
      <c r="AK398" s="256"/>
      <c r="AL398" s="256"/>
      <c r="AM398" s="256"/>
      <c r="AN398" s="256"/>
      <c r="AO398" s="256"/>
      <c r="AP398" s="320"/>
      <c r="AQ398" s="643"/>
      <c r="AR398" s="643"/>
      <c r="AS398" s="256"/>
      <c r="AT398" s="256"/>
      <c r="AU398" s="256"/>
      <c r="AV398" s="256"/>
      <c r="AW398" s="256"/>
      <c r="AX398" s="256"/>
      <c r="AY398" s="256"/>
      <c r="AZ398" s="1605">
        <v>0.63</v>
      </c>
      <c r="BA398" s="1167"/>
      <c r="BB398" s="256"/>
      <c r="BC398" s="1605">
        <v>0.21</v>
      </c>
      <c r="BD398" s="1167"/>
      <c r="BE398" s="256"/>
      <c r="BF398" s="1605">
        <v>0.1</v>
      </c>
      <c r="BG398" s="256"/>
      <c r="BH398" s="256"/>
      <c r="BI398" s="256"/>
      <c r="BJ398" s="256"/>
      <c r="BK398" s="256"/>
      <c r="BL398" s="256"/>
      <c r="BM398" s="256"/>
      <c r="BN398" s="256"/>
      <c r="BO398" s="587"/>
      <c r="BP398" s="587"/>
    </row>
    <row r="399" spans="1:73">
      <c r="A399" s="256" t="str">
        <f>$A$40</f>
        <v>1Q</v>
      </c>
      <c r="B399" s="302" t="str">
        <f>$B$40</f>
        <v>Apr</v>
      </c>
      <c r="C399" s="256"/>
      <c r="D399" s="288">
        <f>(V399/V392-1)*100</f>
        <v>-8.0308880308880397</v>
      </c>
      <c r="E399" s="643" t="s">
        <v>1970</v>
      </c>
      <c r="F399" s="1156">
        <v>-3</v>
      </c>
      <c r="G399" s="643"/>
      <c r="H399" s="2091">
        <f>'segSales&amp;comps'!S222</f>
        <v>-12</v>
      </c>
      <c r="I399" s="643" t="s">
        <v>1970</v>
      </c>
      <c r="J399" s="288">
        <f>D399-H399-F399</f>
        <v>6.9691119691119603</v>
      </c>
      <c r="K399" s="643" t="s">
        <v>1970</v>
      </c>
      <c r="L399" s="948">
        <f>Stores!K296</f>
        <v>81</v>
      </c>
      <c r="M399" s="256"/>
      <c r="N399" s="811">
        <f>AVERAGE(L399,L395)</f>
        <v>81</v>
      </c>
      <c r="O399" s="256"/>
      <c r="P399" s="288">
        <f>(N399/N392-1)*100</f>
        <v>9.4594594594594525</v>
      </c>
      <c r="Q399" s="643" t="s">
        <v>1970</v>
      </c>
      <c r="R399" s="812">
        <f>J399/P399*100</f>
        <v>73.673469387755063</v>
      </c>
      <c r="S399" s="587" t="s">
        <v>1970</v>
      </c>
      <c r="T399" s="256"/>
      <c r="U399" s="256"/>
      <c r="V399" s="296">
        <f>'segSales&amp;comps'!Q222</f>
        <v>238.2</v>
      </c>
      <c r="W399" s="238"/>
      <c r="X399" s="813">
        <f>V399/N399</f>
        <v>2.9407407407407407</v>
      </c>
      <c r="Y399" s="256"/>
      <c r="Z399" s="814">
        <f>(X399/X392-1)*100</f>
        <v>-15.978835978835981</v>
      </c>
      <c r="AA399" s="643" t="s">
        <v>1970</v>
      </c>
      <c r="AB399" s="256"/>
      <c r="AC399" s="1017">
        <f>AC395+(L399-L395)*yrSales!$AB$124/1000000</f>
        <v>0.20520000000000008</v>
      </c>
      <c r="AD399" s="256"/>
      <c r="AE399" s="816">
        <f>AVERAGE(AC399,AC395)</f>
        <v>0.20520000000000008</v>
      </c>
      <c r="AF399" s="256"/>
      <c r="AG399" s="1122" t="s">
        <v>1086</v>
      </c>
      <c r="AH399" s="643" t="s">
        <v>1970</v>
      </c>
      <c r="AI399" s="1122" t="s">
        <v>1086</v>
      </c>
      <c r="AJ399" s="587" t="s">
        <v>1970</v>
      </c>
      <c r="AK399" s="256"/>
      <c r="AL399" s="296">
        <f>+V399</f>
        <v>238.2</v>
      </c>
      <c r="AM399" s="256" t="s">
        <v>700</v>
      </c>
      <c r="AN399" s="296">
        <f>AL399/AE399</f>
        <v>1160.8187134502919</v>
      </c>
      <c r="AO399" s="256"/>
      <c r="AP399" s="1122" t="s">
        <v>1086</v>
      </c>
      <c r="AQ399" s="643" t="s">
        <v>1970</v>
      </c>
      <c r="AR399" s="643"/>
      <c r="AZ399" s="1173">
        <v>0.1535816381006887</v>
      </c>
      <c r="BA399" s="1167">
        <f>+(AZ399/AZ392-1)*100</f>
        <v>-3.9680411057912979</v>
      </c>
      <c r="BB399" s="288"/>
      <c r="BC399" s="1173">
        <v>8.4543556019989023E-4</v>
      </c>
      <c r="BD399" s="1167">
        <f>+(BC399/BC392-1)*100</f>
        <v>-6.4712302107478799</v>
      </c>
      <c r="BE399" s="1017"/>
      <c r="BF399" s="1167"/>
      <c r="BG399" s="1167"/>
      <c r="BH399" s="256"/>
      <c r="BI399" s="1479">
        <f>(AZ398*BA399)+(BC398*BD399)+(BF398*BG399)</f>
        <v>-3.8588242409055726</v>
      </c>
      <c r="BJ399" s="1479"/>
      <c r="BK399" s="297">
        <f>F399</f>
        <v>-3</v>
      </c>
      <c r="BL399" s="256"/>
      <c r="BM399" s="256">
        <f>$AZ$391*BQ399+$BC$391*BU399</f>
        <v>9.9828930553772632E-3</v>
      </c>
      <c r="BN399" s="256"/>
      <c r="BO399" s="297">
        <v>0.16219246769884035</v>
      </c>
      <c r="BP399" s="297"/>
      <c r="BQ399" s="297">
        <f>BO399/AZ392-1</f>
        <v>1.4161626586757015E-2</v>
      </c>
      <c r="BR399" s="297"/>
      <c r="BS399" s="297">
        <v>9.0849831514541604E-4</v>
      </c>
      <c r="BT399" s="297"/>
      <c r="BU399" s="1028">
        <f>BS399/BC392-1</f>
        <v>5.0527062177159188E-3</v>
      </c>
    </row>
    <row r="400" spans="1:73">
      <c r="A400" s="256" t="str">
        <f>$A$41</f>
        <v>2Q</v>
      </c>
      <c r="B400" s="302" t="str">
        <f>$B$41</f>
        <v>Jul</v>
      </c>
      <c r="C400" s="256"/>
      <c r="D400" s="288">
        <f>(V400/V393-1)*100</f>
        <v>-6.1149612719119446</v>
      </c>
      <c r="E400" s="256"/>
      <c r="F400" s="1732">
        <v>-3</v>
      </c>
      <c r="G400" s="256"/>
      <c r="H400" s="2091">
        <f>'segSales&amp;comps'!S223</f>
        <v>-9</v>
      </c>
      <c r="I400" s="256"/>
      <c r="J400" s="288">
        <f>D400-H400-F400</f>
        <v>5.8850387280880554</v>
      </c>
      <c r="K400" s="256"/>
      <c r="L400" s="948">
        <f>Stores!K297</f>
        <v>83</v>
      </c>
      <c r="M400" s="256"/>
      <c r="N400" s="811">
        <f>AVERAGE(L400,L399)</f>
        <v>82</v>
      </c>
      <c r="O400" s="256"/>
      <c r="P400" s="288">
        <f>(N400/N393-1)*100</f>
        <v>6.4935064935064846</v>
      </c>
      <c r="Q400" s="643"/>
      <c r="R400" s="812">
        <f>J400/P400*100</f>
        <v>90.629596412556182</v>
      </c>
      <c r="S400" s="587"/>
      <c r="T400" s="256"/>
      <c r="U400" s="256"/>
      <c r="V400" s="315">
        <f>'segSales&amp;comps'!Q223</f>
        <v>230.3</v>
      </c>
      <c r="W400" s="238"/>
      <c r="X400" s="818">
        <f>V400/N400</f>
        <v>2.8085365853658537</v>
      </c>
      <c r="Y400" s="256"/>
      <c r="Z400" s="814">
        <f>(X400/X393-1)*100</f>
        <v>-11.83965875533195</v>
      </c>
      <c r="AA400" s="643"/>
      <c r="AB400" s="256"/>
      <c r="AC400" s="1017">
        <f>AC399+(L400-L399)*yrSales!$AB$124/1000000</f>
        <v>0.21440000000000009</v>
      </c>
      <c r="AD400" s="238"/>
      <c r="AE400" s="816">
        <f>AVERAGE(AC399:AC400)</f>
        <v>0.2098000000000001</v>
      </c>
      <c r="AF400" s="256"/>
      <c r="AG400" s="1122" t="s">
        <v>1086</v>
      </c>
      <c r="AH400" s="643"/>
      <c r="AI400" s="1122" t="s">
        <v>1086</v>
      </c>
      <c r="AJ400" s="587"/>
      <c r="AK400" s="256"/>
      <c r="AL400" s="315">
        <f>+V400</f>
        <v>230.3</v>
      </c>
      <c r="AM400" s="256"/>
      <c r="AN400" s="315">
        <f>AL400/AE400</f>
        <v>1097.7121067683504</v>
      </c>
      <c r="AO400" s="256"/>
      <c r="AP400" s="1122" t="s">
        <v>1086</v>
      </c>
      <c r="AQ400" s="643"/>
      <c r="AR400" s="643"/>
      <c r="AZ400" s="1173">
        <v>0.15280241228557065</v>
      </c>
      <c r="BA400" s="1167">
        <f>+(AZ400/AZ393-1)*100</f>
        <v>-5.1690699446277355</v>
      </c>
      <c r="BB400" s="288"/>
      <c r="BC400" s="1173">
        <v>8.390670279465538E-4</v>
      </c>
      <c r="BD400" s="1167">
        <f>+(BC400/BC393-1)*100</f>
        <v>-6.2405556808350804</v>
      </c>
      <c r="BE400" s="1017"/>
      <c r="BF400" s="1167"/>
      <c r="BG400" s="1167"/>
      <c r="BH400" s="256"/>
      <c r="BI400" s="1479">
        <f>(AZ398*BA400)+(BC398*BD400)+(BF398*BG400)</f>
        <v>-4.5670307580908407</v>
      </c>
      <c r="BJ400" s="1479"/>
      <c r="BK400" s="297">
        <f>F400</f>
        <v>-3</v>
      </c>
      <c r="BL400" s="256"/>
      <c r="BM400" s="256">
        <f>$AZ$391*BQ400+$BC$391*BU400</f>
        <v>7.3361151924449869E-3</v>
      </c>
      <c r="BN400" s="256"/>
      <c r="BO400" s="297">
        <v>0.16219246769884035</v>
      </c>
      <c r="BP400" s="256"/>
      <c r="BQ400" s="297">
        <f>BO400/AZ393-1</f>
        <v>6.5850617012406243E-3</v>
      </c>
      <c r="BR400" s="256"/>
      <c r="BS400" s="297">
        <v>9.0849831514541604E-4</v>
      </c>
      <c r="BT400" s="256"/>
      <c r="BU400" s="1028">
        <f>BS400/BC393-1</f>
        <v>1.5178696765063782E-2</v>
      </c>
    </row>
    <row r="401" spans="1:73">
      <c r="A401" s="256" t="str">
        <f>$A$42</f>
        <v>3Q</v>
      </c>
      <c r="B401" s="302" t="str">
        <f>$B$42</f>
        <v>Oct</v>
      </c>
      <c r="C401" s="256"/>
      <c r="D401" s="288">
        <f>(V401/V394-1)*100</f>
        <v>3.4815436241610653</v>
      </c>
      <c r="E401" s="256"/>
      <c r="F401" s="1156">
        <v>1</v>
      </c>
      <c r="G401" s="256"/>
      <c r="H401" s="2091">
        <f>'segSales&amp;comps'!S224</f>
        <v>-7</v>
      </c>
      <c r="I401" s="256"/>
      <c r="J401" s="288">
        <f>D401-H401-F401</f>
        <v>9.4815436241610662</v>
      </c>
      <c r="K401" s="256"/>
      <c r="L401" s="948">
        <f>Stores!K298</f>
        <v>85</v>
      </c>
      <c r="M401" s="238"/>
      <c r="N401" s="811">
        <f>AVERAGE(L401,L400)</f>
        <v>84</v>
      </c>
      <c r="O401" s="256"/>
      <c r="P401" s="288">
        <f>(N401/N394-1)*100</f>
        <v>6.3291139240506222</v>
      </c>
      <c r="Q401" s="643"/>
      <c r="R401" s="812">
        <f>J401/P401*100</f>
        <v>149.80838926174508</v>
      </c>
      <c r="S401" s="587"/>
      <c r="T401" s="256"/>
      <c r="U401" s="256"/>
      <c r="V401" s="315">
        <f>'segSales&amp;comps'!Q224</f>
        <v>246.7</v>
      </c>
      <c r="W401" s="256"/>
      <c r="X401" s="818">
        <f>V401/N401</f>
        <v>2.9369047619047617</v>
      </c>
      <c r="Y401" s="256"/>
      <c r="Z401" s="814">
        <f>(X401/X394-1)*100</f>
        <v>-2.6780720677532899</v>
      </c>
      <c r="AA401" s="643"/>
      <c r="AB401" s="256"/>
      <c r="AC401" s="1017">
        <f>AC400+(L401-L400)*yrSales!$AB$124/1000000</f>
        <v>0.22360000000000008</v>
      </c>
      <c r="AD401" s="238"/>
      <c r="AE401" s="816">
        <f>AVERAGE(AC400:AC401)</f>
        <v>0.21900000000000008</v>
      </c>
      <c r="AF401" s="256"/>
      <c r="AG401" s="1122" t="s">
        <v>1086</v>
      </c>
      <c r="AH401" s="643"/>
      <c r="AI401" s="1122" t="s">
        <v>1086</v>
      </c>
      <c r="AJ401" s="587"/>
      <c r="AK401" s="256"/>
      <c r="AL401" s="315">
        <f>+V401</f>
        <v>246.7</v>
      </c>
      <c r="AM401" s="256"/>
      <c r="AN401" s="315">
        <f>AL401/AE401</f>
        <v>1126.4840182648397</v>
      </c>
      <c r="AO401" s="256"/>
      <c r="AP401" s="1122" t="s">
        <v>1086</v>
      </c>
      <c r="AQ401" s="643"/>
      <c r="AR401" s="643"/>
      <c r="AZ401" s="1173">
        <v>0.15280241228557065</v>
      </c>
      <c r="BA401" s="1167">
        <f>+(AZ401/AZ394-1)*100</f>
        <v>-2.9283241649671887</v>
      </c>
      <c r="BB401" s="288"/>
      <c r="BC401" s="1173">
        <v>8.390670279465538E-4</v>
      </c>
      <c r="BD401" s="1167">
        <f>+(BC401/BC394-1)*100</f>
        <v>-1.8105074647050023</v>
      </c>
      <c r="BE401" s="1017"/>
      <c r="BF401" s="1167"/>
      <c r="BG401" s="1167"/>
      <c r="BH401" s="256"/>
      <c r="BI401" s="1479">
        <f>(AZ398*BA401)+(BC398*BD401)+(BF398*BG401)</f>
        <v>-2.2250507915173796</v>
      </c>
      <c r="BJ401" s="1479"/>
      <c r="BK401" s="297">
        <f>F401</f>
        <v>1</v>
      </c>
      <c r="BL401" s="256"/>
      <c r="BM401" s="256">
        <f>$AZ$391*BQ401+$BC$391*BU401</f>
        <v>3.2393232943551425E-2</v>
      </c>
      <c r="BN401" s="256"/>
      <c r="BO401" s="297">
        <v>0.16219246769884035</v>
      </c>
      <c r="BP401" s="256"/>
      <c r="BQ401" s="297">
        <f>BO401/AZ394-1</f>
        <v>3.0369508690839986E-2</v>
      </c>
      <c r="BR401" s="256"/>
      <c r="BS401" s="297">
        <v>9.0849831514541604E-4</v>
      </c>
      <c r="BT401" s="256"/>
      <c r="BU401" s="1028">
        <f>BS401/BC394-1</f>
        <v>6.3144964134867809E-2</v>
      </c>
    </row>
    <row r="402" spans="1:73">
      <c r="A402" s="256" t="str">
        <f>$A$43</f>
        <v>4Q</v>
      </c>
      <c r="B402" s="302" t="str">
        <f>$B$43</f>
        <v>Jan</v>
      </c>
      <c r="C402" s="256"/>
      <c r="D402" s="318">
        <f>(V402/V395-1)*100</f>
        <v>9.0245775729646649</v>
      </c>
      <c r="E402" s="256"/>
      <c r="F402" s="1148">
        <v>-1</v>
      </c>
      <c r="G402" s="256"/>
      <c r="H402" s="2454">
        <f>'segSales&amp;comps'!S225</f>
        <v>-1</v>
      </c>
      <c r="I402" s="256"/>
      <c r="J402" s="318">
        <f>D402-H402-F402</f>
        <v>11.024577572964665</v>
      </c>
      <c r="K402" s="256"/>
      <c r="L402" s="949">
        <f>Stores!K299</f>
        <v>85</v>
      </c>
      <c r="M402" s="238"/>
      <c r="N402" s="820">
        <f>AVERAGE(L402,L401)</f>
        <v>85</v>
      </c>
      <c r="O402" s="256"/>
      <c r="P402" s="318">
        <f>(N402/N395-1)*100</f>
        <v>6.25</v>
      </c>
      <c r="Q402" s="643"/>
      <c r="R402" s="820">
        <f>J402/P402*100</f>
        <v>176.39324116743464</v>
      </c>
      <c r="S402" s="587"/>
      <c r="T402" s="256"/>
      <c r="U402" s="256"/>
      <c r="V402" s="316">
        <f>'segSales&amp;comps'!Q225</f>
        <v>283.89999999999998</v>
      </c>
      <c r="W402" s="256"/>
      <c r="X402" s="821">
        <f>V402/N402</f>
        <v>3.34</v>
      </c>
      <c r="Y402" s="256"/>
      <c r="Z402" s="298">
        <f>(X402/X395-1)*100</f>
        <v>2.611367127496167</v>
      </c>
      <c r="AA402" s="643"/>
      <c r="AB402" s="256"/>
      <c r="AC402" s="1017">
        <f>AC401+(L402-L401)*yrSales!$AB$124/1000000</f>
        <v>0.22360000000000008</v>
      </c>
      <c r="AD402" s="238"/>
      <c r="AE402" s="822">
        <f>AVERAGE(AC401:AC402)</f>
        <v>0.22360000000000008</v>
      </c>
      <c r="AF402" s="256"/>
      <c r="AG402" s="1123" t="s">
        <v>1086</v>
      </c>
      <c r="AH402" s="643"/>
      <c r="AI402" s="1123" t="s">
        <v>1086</v>
      </c>
      <c r="AJ402" s="587"/>
      <c r="AK402" s="256"/>
      <c r="AL402" s="316">
        <f>+V402</f>
        <v>283.89999999999998</v>
      </c>
      <c r="AM402" s="256"/>
      <c r="AN402" s="316">
        <f>AL402/AE402</f>
        <v>1269.6779964221819</v>
      </c>
      <c r="AO402" s="256"/>
      <c r="AP402" s="1123" t="s">
        <v>1086</v>
      </c>
      <c r="AQ402" s="643"/>
      <c r="AR402" s="643"/>
      <c r="AZ402" s="1687">
        <v>0.15280241228557065</v>
      </c>
      <c r="BA402" s="1602">
        <f>+(AZ402/AZ395-1)*100</f>
        <v>-1.221961058175336</v>
      </c>
      <c r="BB402" s="288"/>
      <c r="BC402" s="1687">
        <v>8.390670279465538E-4</v>
      </c>
      <c r="BD402" s="1602">
        <f>+(BC402/BC395-1)*100</f>
        <v>-1.3139867009134942</v>
      </c>
      <c r="BE402" s="1017"/>
      <c r="BF402" s="1601"/>
      <c r="BG402" s="1602"/>
      <c r="BH402" s="256"/>
      <c r="BI402" s="1608">
        <f>(AZ398*BA402)+(BC398*BD402)+(BF398*BG402)</f>
        <v>-1.0457726738422954</v>
      </c>
      <c r="BJ402" s="1479"/>
      <c r="BK402" s="297">
        <f>F402</f>
        <v>-1</v>
      </c>
      <c r="BL402" s="256"/>
      <c r="BM402" s="256">
        <f>$AZ$391*BQ402+$BC$391*BU402</f>
        <v>4.4932912446708495E-2</v>
      </c>
      <c r="BN402" s="256"/>
      <c r="BO402" s="297">
        <v>0.16219246769884035</v>
      </c>
      <c r="BP402" s="256"/>
      <c r="BQ402" s="297">
        <f>BO402/AZ395-1</f>
        <v>4.8481738657707218E-2</v>
      </c>
      <c r="BR402" s="256"/>
      <c r="BS402" s="297">
        <v>9.0849831514541604E-4</v>
      </c>
      <c r="BT402" s="256"/>
      <c r="BU402" s="1028">
        <f>BS402/BC395-1</f>
        <v>6.8521033773109252E-2</v>
      </c>
    </row>
    <row r="403" spans="1:73">
      <c r="A403" s="256"/>
      <c r="B403" s="302" t="str">
        <f>$B$44</f>
        <v>Year</v>
      </c>
      <c r="C403" s="256"/>
      <c r="D403" s="288">
        <f>(V403/V396-1)*100</f>
        <v>-0.3987638321204301</v>
      </c>
      <c r="E403" s="256"/>
      <c r="F403" s="219">
        <v>-1</v>
      </c>
      <c r="G403" s="256"/>
      <c r="H403" s="2455">
        <f>'segSales&amp;comps'!S226</f>
        <v>-7</v>
      </c>
      <c r="I403" s="256"/>
      <c r="J403" s="288">
        <f>D403-H403-F403</f>
        <v>7.6012361678795699</v>
      </c>
      <c r="K403" s="256"/>
      <c r="L403" s="948">
        <f>Stores!K300</f>
        <v>85</v>
      </c>
      <c r="M403" s="256"/>
      <c r="N403" s="811">
        <f>AVERAGE(N399:N402)</f>
        <v>83</v>
      </c>
      <c r="O403" s="256"/>
      <c r="P403" s="288">
        <f>(N403/N396-1)*100</f>
        <v>7.0967741935483941</v>
      </c>
      <c r="Q403" s="643"/>
      <c r="R403" s="812">
        <f>J403/P403*100</f>
        <v>107.10832782012109</v>
      </c>
      <c r="S403" s="587"/>
      <c r="T403" s="256"/>
      <c r="U403" s="256"/>
      <c r="V403" s="296">
        <f>SUM(V399:V402)</f>
        <v>999.1</v>
      </c>
      <c r="W403" s="256"/>
      <c r="X403" s="813">
        <f>SUM(X399:X402)</f>
        <v>12.026182088011357</v>
      </c>
      <c r="Y403" s="256"/>
      <c r="Z403" s="814">
        <f>(X403/X396-1)*100</f>
        <v>-7.1941840106351851</v>
      </c>
      <c r="AA403" s="643"/>
      <c r="AB403" s="256"/>
      <c r="AC403" s="815"/>
      <c r="AD403" s="256"/>
      <c r="AE403" s="816">
        <f>AVERAGE(AE399:AE402)</f>
        <v>0.21440000000000009</v>
      </c>
      <c r="AF403" s="256"/>
      <c r="AG403" s="1122" t="s">
        <v>1086</v>
      </c>
      <c r="AH403" s="643"/>
      <c r="AI403" s="1122" t="s">
        <v>1086</v>
      </c>
      <c r="AJ403" s="587"/>
      <c r="AK403" s="256"/>
      <c r="AL403" s="296">
        <f>SUM(AL399:AL402)</f>
        <v>999.1</v>
      </c>
      <c r="AM403" s="256"/>
      <c r="AN403" s="296">
        <f>AL403/AE403</f>
        <v>4659.9813432835799</v>
      </c>
      <c r="AO403" s="256"/>
      <c r="AP403" s="1122" t="s">
        <v>1086</v>
      </c>
      <c r="AQ403" s="643"/>
      <c r="AR403" s="643"/>
      <c r="AZ403" s="1964">
        <f>AVERAGE(AZ399:AZ402)</f>
        <v>0.15299721873935018</v>
      </c>
      <c r="BA403" s="1167">
        <f>+(AZ403/AZ396-1)*100</f>
        <v>-3.3442862408974094</v>
      </c>
      <c r="BB403" s="256"/>
      <c r="BC403" s="1964">
        <f>AVERAGE(BC399:BC402)</f>
        <v>8.4065916100988783E-4</v>
      </c>
      <c r="BD403" s="1167">
        <f>+(BC403/BC396-1)*100</f>
        <v>-4.0240233297411221</v>
      </c>
      <c r="BE403" s="1017"/>
      <c r="BF403" s="1167"/>
      <c r="BG403" s="1167"/>
      <c r="BH403" s="256"/>
      <c r="BI403" s="256"/>
      <c r="BJ403" s="256"/>
      <c r="BK403" s="256"/>
      <c r="BL403" s="256"/>
      <c r="BM403" s="256"/>
      <c r="BN403" s="302"/>
      <c r="BO403" s="256"/>
      <c r="BP403" s="256"/>
      <c r="BQ403" s="256"/>
      <c r="BR403" s="256"/>
      <c r="BS403" s="256"/>
      <c r="BT403" s="256"/>
      <c r="BU403" s="256"/>
    </row>
    <row r="404" spans="1:73" ht="13.5" thickBot="1">
      <c r="A404" s="256"/>
      <c r="B404" s="302"/>
      <c r="C404" s="256"/>
      <c r="D404" s="288"/>
      <c r="E404" s="256"/>
      <c r="F404" s="297"/>
      <c r="G404" s="256"/>
      <c r="H404" s="2091"/>
      <c r="I404" s="256"/>
      <c r="J404" s="288"/>
      <c r="K404" s="256"/>
      <c r="L404" s="1033"/>
      <c r="M404" s="256"/>
      <c r="N404" s="811"/>
      <c r="O404" s="256"/>
      <c r="P404" s="288"/>
      <c r="Q404" s="643"/>
      <c r="R404" s="812"/>
      <c r="S404" s="587"/>
      <c r="T404" s="256"/>
      <c r="U404" s="256"/>
      <c r="V404" s="296"/>
      <c r="W404" s="256"/>
      <c r="X404" s="813"/>
      <c r="Y404" s="256"/>
      <c r="Z404" s="814"/>
      <c r="AA404" s="643"/>
      <c r="AB404" s="256"/>
      <c r="AC404" s="815"/>
      <c r="AD404" s="256"/>
      <c r="AE404" s="816"/>
      <c r="AF404" s="256"/>
      <c r="AG404" s="1122"/>
      <c r="AH404" s="643"/>
      <c r="AI404" s="1122"/>
      <c r="AJ404" s="587"/>
      <c r="AK404" s="256"/>
      <c r="AL404" s="296"/>
      <c r="AM404" s="256"/>
      <c r="AN404" s="817"/>
      <c r="AO404" s="256"/>
      <c r="AP404" s="1122"/>
      <c r="AQ404" s="643"/>
      <c r="AR404" s="643"/>
      <c r="AS404" s="256"/>
      <c r="AT404" s="256"/>
      <c r="AU404" s="256"/>
      <c r="AV404" s="256"/>
      <c r="AW404" s="256"/>
      <c r="AX404" s="256"/>
      <c r="AY404" s="256"/>
      <c r="AZ404" s="256"/>
      <c r="BA404" s="256"/>
      <c r="BB404" s="256"/>
      <c r="BC404" s="256"/>
      <c r="BD404" s="1017"/>
      <c r="BE404" s="1017"/>
      <c r="BF404" s="1167"/>
      <c r="BG404" s="1167"/>
      <c r="BH404" s="256"/>
      <c r="BI404" s="256"/>
      <c r="BJ404" s="256"/>
      <c r="BK404" s="256"/>
      <c r="BL404" s="256"/>
      <c r="BM404" s="256"/>
      <c r="BN404" s="302"/>
      <c r="BO404" s="587"/>
      <c r="BP404" s="587"/>
    </row>
    <row r="405" spans="1:73" ht="13.5" thickBot="1">
      <c r="A405" s="810"/>
      <c r="B405" s="171">
        <f>+B398+1</f>
        <v>2017</v>
      </c>
      <c r="C405" s="256"/>
      <c r="D405" s="256"/>
      <c r="E405" s="643"/>
      <c r="F405" s="297"/>
      <c r="G405" s="643"/>
      <c r="H405" s="2091"/>
      <c r="I405" s="643"/>
      <c r="J405" s="256"/>
      <c r="K405" s="643"/>
      <c r="L405" s="256"/>
      <c r="M405" s="256"/>
      <c r="N405" s="256"/>
      <c r="O405" s="256"/>
      <c r="P405" s="256"/>
      <c r="Q405" s="643"/>
      <c r="R405" s="587"/>
      <c r="S405" s="587"/>
      <c r="T405" s="256"/>
      <c r="U405" s="256"/>
      <c r="V405" s="256"/>
      <c r="W405" s="256"/>
      <c r="X405" s="256"/>
      <c r="Y405" s="256"/>
      <c r="Z405" s="256"/>
      <c r="AA405" s="643"/>
      <c r="AB405" s="256"/>
      <c r="AC405" s="256"/>
      <c r="AD405" s="256"/>
      <c r="AE405" s="256"/>
      <c r="AF405" s="256"/>
      <c r="AG405" s="256"/>
      <c r="AH405" s="643"/>
      <c r="AI405" s="587"/>
      <c r="AJ405" s="587"/>
      <c r="AK405" s="256"/>
      <c r="AL405" s="256"/>
      <c r="AM405" s="256"/>
      <c r="AN405" s="256"/>
      <c r="AO405" s="256"/>
      <c r="AP405" s="320"/>
      <c r="AQ405" s="643"/>
      <c r="AR405" s="643"/>
      <c r="AS405" s="256"/>
      <c r="AT405" s="256"/>
      <c r="AU405" s="256"/>
      <c r="AV405" s="256"/>
      <c r="AW405" s="256"/>
      <c r="AX405" s="256"/>
      <c r="AY405" s="256"/>
      <c r="AZ405" s="1605">
        <v>0.63</v>
      </c>
      <c r="BA405" s="1167"/>
      <c r="BB405" s="256"/>
      <c r="BC405" s="1605">
        <v>0.21</v>
      </c>
      <c r="BD405" s="1167"/>
      <c r="BE405" s="256"/>
      <c r="BF405" s="1605">
        <v>0.1</v>
      </c>
      <c r="BG405" s="256"/>
      <c r="BH405" s="256"/>
      <c r="BI405" s="256"/>
      <c r="BJ405" s="256"/>
      <c r="BK405" s="256"/>
      <c r="BL405" s="256"/>
      <c r="BM405" s="256"/>
      <c r="BN405" s="256"/>
      <c r="BO405" s="587"/>
      <c r="BP405" s="587"/>
    </row>
    <row r="406" spans="1:73">
      <c r="A406" s="256" t="str">
        <f>$A$40</f>
        <v>1Q</v>
      </c>
      <c r="B406" s="302" t="str">
        <f>$B$40</f>
        <v>Apr</v>
      </c>
      <c r="C406" s="256"/>
      <c r="D406" s="288">
        <f>(V406/V399-1)*100</f>
        <v>8.0184718723761641</v>
      </c>
      <c r="E406" s="643" t="s">
        <v>1970</v>
      </c>
      <c r="F406" s="1156">
        <v>-1</v>
      </c>
      <c r="G406" s="643"/>
      <c r="H406" s="2091">
        <f>'segSales&amp;comps'!S229</f>
        <v>-2</v>
      </c>
      <c r="I406" s="643" t="s">
        <v>1970</v>
      </c>
      <c r="J406" s="288">
        <f>D406-H406-F406</f>
        <v>11.018471872376164</v>
      </c>
      <c r="K406" s="643" t="s">
        <v>1970</v>
      </c>
      <c r="L406" s="948">
        <f>Stores!K303</f>
        <v>84</v>
      </c>
      <c r="M406" s="256"/>
      <c r="N406" s="811">
        <f>AVERAGE(L406,L402)</f>
        <v>84.5</v>
      </c>
      <c r="O406" s="256"/>
      <c r="P406" s="288">
        <f>(N406/N399-1)*100</f>
        <v>4.3209876543209846</v>
      </c>
      <c r="Q406" s="643" t="s">
        <v>1970</v>
      </c>
      <c r="R406" s="812">
        <f>J406/P406*100</f>
        <v>254.99892047499139</v>
      </c>
      <c r="S406" s="587" t="s">
        <v>1970</v>
      </c>
      <c r="T406" s="256"/>
      <c r="U406" s="256"/>
      <c r="V406" s="296">
        <f>'segSales&amp;comps'!Q229</f>
        <v>257.3</v>
      </c>
      <c r="W406" s="238"/>
      <c r="X406" s="813">
        <f>V406/N406</f>
        <v>3.0449704142011838</v>
      </c>
      <c r="Y406" s="256"/>
      <c r="Z406" s="814">
        <f>(X406/X399-1)*100</f>
        <v>3.544333984171244</v>
      </c>
      <c r="AA406" s="643" t="s">
        <v>1970</v>
      </c>
      <c r="AB406" s="256"/>
      <c r="AC406" s="1017">
        <f>AC402+(L406-L402)*yrSales!$AC$124/1000000</f>
        <v>0.21860000000000007</v>
      </c>
      <c r="AD406" s="256"/>
      <c r="AE406" s="816">
        <f>AVERAGE(AC406,AC402)</f>
        <v>0.22110000000000007</v>
      </c>
      <c r="AF406" s="256"/>
      <c r="AG406" s="1122" t="s">
        <v>1086</v>
      </c>
      <c r="AH406" s="643" t="s">
        <v>1970</v>
      </c>
      <c r="AI406" s="1122" t="s">
        <v>1086</v>
      </c>
      <c r="AJ406" s="587" t="s">
        <v>1970</v>
      </c>
      <c r="AK406" s="256"/>
      <c r="AL406" s="296">
        <f>+V406</f>
        <v>257.3</v>
      </c>
      <c r="AM406" s="256" t="s">
        <v>700</v>
      </c>
      <c r="AN406" s="296">
        <f>AL406/AE406</f>
        <v>1163.726820443238</v>
      </c>
      <c r="AO406" s="256"/>
      <c r="AP406" s="1122" t="s">
        <v>1086</v>
      </c>
      <c r="AQ406" s="643" t="s">
        <v>1970</v>
      </c>
      <c r="AR406" s="643"/>
      <c r="AZ406" s="1173">
        <v>0.1535816381006887</v>
      </c>
      <c r="BA406" s="1167">
        <f>+(AZ406/AZ399-1)*100</f>
        <v>0</v>
      </c>
      <c r="BB406" s="288"/>
      <c r="BC406" s="1173">
        <v>-6.4126986374008266E-2</v>
      </c>
      <c r="BD406" s="1167">
        <f>+(BC406/BC399-1)*100</f>
        <v>-7685.0826949893644</v>
      </c>
      <c r="BE406" s="1017"/>
      <c r="BF406" s="1167"/>
      <c r="BG406" s="1167"/>
      <c r="BH406" s="256"/>
      <c r="BI406" s="1479">
        <f>(AZ405*BA406)+(BC405*BD406)+(BF405*BG406)</f>
        <v>-1613.8673659477665</v>
      </c>
      <c r="BJ406" s="1479"/>
      <c r="BK406" s="297">
        <f>F406</f>
        <v>-1</v>
      </c>
      <c r="BL406" s="256"/>
      <c r="BM406" s="256">
        <f>$AZ$391*BQ406+$BC$391*BU406</f>
        <v>5.098640467117297E-2</v>
      </c>
      <c r="BN406" s="256"/>
      <c r="BO406" s="297">
        <v>0.16219246769884035</v>
      </c>
      <c r="BP406" s="297"/>
      <c r="BQ406" s="297">
        <f>BO406/AZ399-1</f>
        <v>5.6066790956522894E-2</v>
      </c>
      <c r="BR406" s="297"/>
      <c r="BS406" s="297">
        <v>9.0849831514541604E-4</v>
      </c>
      <c r="BT406" s="297"/>
      <c r="BU406" s="1028">
        <f>BS406/BC399-1</f>
        <v>7.4592030326493086E-2</v>
      </c>
    </row>
    <row r="407" spans="1:73">
      <c r="A407" s="256" t="str">
        <f>$A$41</f>
        <v>2Q</v>
      </c>
      <c r="B407" s="302" t="str">
        <f>$B$41</f>
        <v>Jul</v>
      </c>
      <c r="C407" s="256"/>
      <c r="D407" s="288">
        <f>(V407/V400-1)*100</f>
        <v>1.9105514546243985</v>
      </c>
      <c r="E407" s="256"/>
      <c r="F407" s="2233">
        <v>0</v>
      </c>
      <c r="G407" s="256"/>
      <c r="H407" s="2091">
        <f>'segSales&amp;comps'!S230</f>
        <v>-7</v>
      </c>
      <c r="I407" s="256"/>
      <c r="J407" s="288">
        <f>D407-H407-F407</f>
        <v>8.9105514546243985</v>
      </c>
      <c r="K407" s="256"/>
      <c r="L407" s="948">
        <f>Stores!K304</f>
        <v>85</v>
      </c>
      <c r="M407" s="256"/>
      <c r="N407" s="811">
        <f>AVERAGE(L407,L406)</f>
        <v>84.5</v>
      </c>
      <c r="O407" s="256"/>
      <c r="P407" s="288">
        <f>(N407/N400-1)*100</f>
        <v>3.0487804878048808</v>
      </c>
      <c r="Q407" s="643"/>
      <c r="R407" s="812">
        <f>J407/P407*100</f>
        <v>292.26608771168003</v>
      </c>
      <c r="S407" s="587"/>
      <c r="T407" s="256"/>
      <c r="U407" s="256"/>
      <c r="V407" s="296">
        <f>'segSales&amp;comps'!Q230</f>
        <v>234.7</v>
      </c>
      <c r="W407" s="238"/>
      <c r="X407" s="818">
        <f>V407/N407</f>
        <v>2.7775147928994079</v>
      </c>
      <c r="Y407" s="256"/>
      <c r="Z407" s="814">
        <f>(X407/X400-1)*100</f>
        <v>-1.104553617997639</v>
      </c>
      <c r="AA407" s="643"/>
      <c r="AB407" s="256"/>
      <c r="AC407" s="1017">
        <f>AC406+(L407-L406)*yrSales!$AC$124/1000000</f>
        <v>0.22360000000000008</v>
      </c>
      <c r="AD407" s="238"/>
      <c r="AE407" s="816">
        <f>AVERAGE(AC406:AC407)</f>
        <v>0.22110000000000007</v>
      </c>
      <c r="AF407" s="256"/>
      <c r="AG407" s="1122" t="s">
        <v>1086</v>
      </c>
      <c r="AH407" s="643"/>
      <c r="AI407" s="1122" t="s">
        <v>1086</v>
      </c>
      <c r="AJ407" s="587"/>
      <c r="AK407" s="256"/>
      <c r="AL407" s="315">
        <f>+V407</f>
        <v>234.7</v>
      </c>
      <c r="AM407" s="256"/>
      <c r="AN407" s="315">
        <f>AL407/AE407</f>
        <v>1061.5106286748073</v>
      </c>
      <c r="AO407" s="256"/>
      <c r="AP407" s="1122" t="s">
        <v>1086</v>
      </c>
      <c r="AQ407" s="643"/>
      <c r="AR407" s="643"/>
      <c r="AZ407" s="1173">
        <v>0.15280241228557065</v>
      </c>
      <c r="BA407" s="1167">
        <f>+(AZ407/AZ400-1)*100</f>
        <v>0</v>
      </c>
      <c r="BB407" s="288"/>
      <c r="BC407" s="1173">
        <v>8.390670279465538E-4</v>
      </c>
      <c r="BD407" s="1167">
        <f>+(BC407/BC400-1)*100</f>
        <v>0</v>
      </c>
      <c r="BE407" s="1017"/>
      <c r="BF407" s="1167"/>
      <c r="BG407" s="1167"/>
      <c r="BH407" s="256"/>
      <c r="BI407" s="1479">
        <f>(AZ405*BA407)+(BC405*BD407)+(BF405*BG407)</f>
        <v>0</v>
      </c>
      <c r="BJ407" s="1479"/>
      <c r="BK407" s="297">
        <f>F407</f>
        <v>0</v>
      </c>
      <c r="BL407" s="256"/>
      <c r="BM407" s="256">
        <f>$AZ$391*BQ407+$BC$391*BU407</f>
        <v>5.6092053645844811E-2</v>
      </c>
      <c r="BN407" s="256"/>
      <c r="BO407" s="297">
        <v>0.16219246769884035</v>
      </c>
      <c r="BP407" s="256"/>
      <c r="BQ407" s="297">
        <f>BO407/AZ400-1</f>
        <v>6.1452272073563519E-2</v>
      </c>
      <c r="BR407" s="256"/>
      <c r="BS407" s="297">
        <v>9.0849831514541604E-4</v>
      </c>
      <c r="BT407" s="256"/>
      <c r="BU407" s="1028">
        <f>BS407/BC400-1</f>
        <v>8.2748201140475208E-2</v>
      </c>
    </row>
    <row r="408" spans="1:73">
      <c r="A408" s="256" t="str">
        <f>$A$42</f>
        <v>3Q</v>
      </c>
      <c r="B408" s="302" t="str">
        <f>$B$42</f>
        <v>Oct</v>
      </c>
      <c r="C408" s="256"/>
      <c r="D408" s="288">
        <f>(V408/V401-1)*100</f>
        <v>14.795297932711794</v>
      </c>
      <c r="E408" s="256"/>
      <c r="F408" s="297">
        <v>1</v>
      </c>
      <c r="G408" s="256"/>
      <c r="H408" s="2091">
        <f>'segSales&amp;comps'!S231</f>
        <v>2</v>
      </c>
      <c r="I408" s="256"/>
      <c r="J408" s="288">
        <f>D408-H408-F408</f>
        <v>11.795297932711794</v>
      </c>
      <c r="K408" s="256"/>
      <c r="L408" s="948">
        <f>Stores!K305</f>
        <v>86</v>
      </c>
      <c r="M408" s="238"/>
      <c r="N408" s="811">
        <f>AVERAGE(L408,L407)</f>
        <v>85.5</v>
      </c>
      <c r="O408" s="256"/>
      <c r="P408" s="288">
        <f>(N408/N401-1)*100</f>
        <v>1.7857142857142794</v>
      </c>
      <c r="Q408" s="643"/>
      <c r="R408" s="812">
        <f>J408/P408*100</f>
        <v>660.53668423186286</v>
      </c>
      <c r="S408" s="587"/>
      <c r="T408" s="256"/>
      <c r="U408" s="256"/>
      <c r="V408" s="296">
        <f>'segSales&amp;comps'!Q231</f>
        <v>283.2</v>
      </c>
      <c r="W408" s="256"/>
      <c r="X408" s="818">
        <f>V408/N408</f>
        <v>3.312280701754386</v>
      </c>
      <c r="Y408" s="256"/>
      <c r="Z408" s="814">
        <f>(X408/X401-1)*100</f>
        <v>12.781345337401074</v>
      </c>
      <c r="AA408" s="643"/>
      <c r="AB408" s="256"/>
      <c r="AC408" s="1017">
        <f>AC407+(L408-L407)*yrSales!$AC$124/1000000</f>
        <v>0.22860000000000008</v>
      </c>
      <c r="AD408" s="238"/>
      <c r="AE408" s="816">
        <f>AVERAGE(AC407:AC408)</f>
        <v>0.22610000000000008</v>
      </c>
      <c r="AF408" s="256"/>
      <c r="AG408" s="1122" t="s">
        <v>1086</v>
      </c>
      <c r="AH408" s="643"/>
      <c r="AI408" s="1122" t="s">
        <v>1086</v>
      </c>
      <c r="AJ408" s="587"/>
      <c r="AK408" s="256"/>
      <c r="AL408" s="315">
        <f>+V408</f>
        <v>283.2</v>
      </c>
      <c r="AM408" s="256"/>
      <c r="AN408" s="315">
        <f>AL408/AE408</f>
        <v>1252.5431225121622</v>
      </c>
      <c r="AO408" s="256"/>
      <c r="AP408" s="1122" t="s">
        <v>1086</v>
      </c>
      <c r="AQ408" s="643"/>
      <c r="AR408" s="643"/>
      <c r="AZ408" s="1173">
        <v>0.15280241228557065</v>
      </c>
      <c r="BA408" s="1167">
        <f>+(AZ408/AZ401-1)*100</f>
        <v>0</v>
      </c>
      <c r="BB408" s="288"/>
      <c r="BC408" s="1173">
        <v>8.390670279465538E-4</v>
      </c>
      <c r="BD408" s="1167">
        <f>+(BC408/BC401-1)*100</f>
        <v>0</v>
      </c>
      <c r="BE408" s="1017"/>
      <c r="BF408" s="1167"/>
      <c r="BG408" s="1167"/>
      <c r="BH408" s="256"/>
      <c r="BI408" s="1479">
        <f>(AZ405*BA408)+(BC405*BD408)+(BF405*BG408)</f>
        <v>0</v>
      </c>
      <c r="BJ408" s="1479"/>
      <c r="BK408" s="297">
        <f>F408</f>
        <v>1</v>
      </c>
      <c r="BL408" s="256"/>
      <c r="BM408" s="256">
        <f>$AZ$391*BQ408+$BC$391*BU408</f>
        <v>5.6092053645844811E-2</v>
      </c>
      <c r="BN408" s="256"/>
      <c r="BO408" s="297">
        <v>0.16219246769884035</v>
      </c>
      <c r="BP408" s="256"/>
      <c r="BQ408" s="297">
        <f>BO408/AZ401-1</f>
        <v>6.1452272073563519E-2</v>
      </c>
      <c r="BR408" s="256"/>
      <c r="BS408" s="297">
        <v>9.0849831514541604E-4</v>
      </c>
      <c r="BT408" s="256"/>
      <c r="BU408" s="1028">
        <f>BS408/BC401-1</f>
        <v>8.2748201140475208E-2</v>
      </c>
    </row>
    <row r="409" spans="1:73">
      <c r="A409" s="256" t="str">
        <f>$A$43</f>
        <v>4Q</v>
      </c>
      <c r="B409" s="302" t="str">
        <f>$B$43</f>
        <v>Jan</v>
      </c>
      <c r="C409" s="256"/>
      <c r="D409" s="288">
        <f t="shared" ref="D409:D410" si="2">(V409/V402-1)*100</f>
        <v>12.645297640014096</v>
      </c>
      <c r="E409" s="256"/>
      <c r="F409" s="814">
        <v>4</v>
      </c>
      <c r="G409" s="256"/>
      <c r="H409" s="2454">
        <f>'segSales&amp;comps'!S232</f>
        <v>-1</v>
      </c>
      <c r="I409" s="256"/>
      <c r="J409" s="288">
        <f t="shared" ref="J409:J410" si="3">D409-H409-F409</f>
        <v>9.6452976400140962</v>
      </c>
      <c r="K409" s="256"/>
      <c r="L409" s="949">
        <f>Stores!K306</f>
        <v>87</v>
      </c>
      <c r="M409" s="238"/>
      <c r="N409" s="820">
        <f>AVERAGE(L409,L408)</f>
        <v>86.5</v>
      </c>
      <c r="O409" s="256"/>
      <c r="P409" s="318">
        <f>(N409/N402-1)*100</f>
        <v>1.7647058823529349</v>
      </c>
      <c r="Q409" s="643"/>
      <c r="R409" s="812">
        <f t="shared" ref="R409:R410" si="4">J409/P409*100</f>
        <v>546.56686626746739</v>
      </c>
      <c r="S409" s="587"/>
      <c r="T409" s="256"/>
      <c r="U409" s="256"/>
      <c r="V409" s="922">
        <f>'segSales&amp;comps'!Q232</f>
        <v>319.8</v>
      </c>
      <c r="W409" s="256"/>
      <c r="X409" s="821">
        <f>V409/N409</f>
        <v>3.6971098265895956</v>
      </c>
      <c r="Y409" s="256"/>
      <c r="Z409" s="298">
        <f>(X409/X402-1)*100</f>
        <v>10.691910975736407</v>
      </c>
      <c r="AA409" s="643"/>
      <c r="AB409" s="256"/>
      <c r="AC409" s="1017">
        <f>AC408+(L409-L408)*yrSales!$AC$124/1000000</f>
        <v>0.23360000000000009</v>
      </c>
      <c r="AD409" s="238"/>
      <c r="AE409" s="822">
        <f>AVERAGE(AC408:AC409)</f>
        <v>0.23110000000000008</v>
      </c>
      <c r="AF409" s="256"/>
      <c r="AG409" s="1123" t="s">
        <v>1086</v>
      </c>
      <c r="AH409" s="643"/>
      <c r="AI409" s="1123" t="s">
        <v>1086</v>
      </c>
      <c r="AJ409" s="587"/>
      <c r="AK409" s="256"/>
      <c r="AL409" s="316">
        <f>+V409</f>
        <v>319.8</v>
      </c>
      <c r="AM409" s="256"/>
      <c r="AN409" s="316">
        <f>AL409/AE409</f>
        <v>1383.8165296408476</v>
      </c>
      <c r="AO409" s="256"/>
      <c r="AP409" s="1123" t="s">
        <v>1086</v>
      </c>
      <c r="AQ409" s="643"/>
      <c r="AR409" s="643"/>
      <c r="AZ409" s="1687">
        <v>0.15280241228557065</v>
      </c>
      <c r="BA409" s="1602">
        <f>+(AZ409/AZ402-1)*100</f>
        <v>0</v>
      </c>
      <c r="BB409" s="288"/>
      <c r="BC409" s="1687">
        <v>8.390670279465538E-4</v>
      </c>
      <c r="BD409" s="1602">
        <f>+(BC409/BC402-1)*100</f>
        <v>0</v>
      </c>
      <c r="BE409" s="1017"/>
      <c r="BF409" s="1601"/>
      <c r="BG409" s="1602"/>
      <c r="BH409" s="256"/>
      <c r="BI409" s="1608">
        <f>(AZ405*BA409)+(BC405*BD409)+(BF405*BG409)</f>
        <v>0</v>
      </c>
      <c r="BJ409" s="1479"/>
      <c r="BK409" s="297">
        <f>F409</f>
        <v>4</v>
      </c>
      <c r="BL409" s="256"/>
      <c r="BM409" s="256">
        <f>$AZ$391*BQ409+$BC$391*BU409</f>
        <v>5.6092053645844811E-2</v>
      </c>
      <c r="BN409" s="256"/>
      <c r="BO409" s="297">
        <v>0.16219246769884035</v>
      </c>
      <c r="BP409" s="256"/>
      <c r="BQ409" s="297">
        <f>BO409/AZ402-1</f>
        <v>6.1452272073563519E-2</v>
      </c>
      <c r="BR409" s="256"/>
      <c r="BS409" s="297">
        <v>9.0849831514541604E-4</v>
      </c>
      <c r="BT409" s="256"/>
      <c r="BU409" s="1028">
        <f>BS409/BC402-1</f>
        <v>8.2748201140475208E-2</v>
      </c>
    </row>
    <row r="410" spans="1:73">
      <c r="A410" s="256"/>
      <c r="B410" s="302" t="str">
        <f>$B$44</f>
        <v>Year</v>
      </c>
      <c r="C410" s="256"/>
      <c r="D410" s="2456">
        <f t="shared" si="2"/>
        <v>9.5986387748973954</v>
      </c>
      <c r="E410" s="256"/>
      <c r="F410" s="2457">
        <v>2</v>
      </c>
      <c r="G410" s="256"/>
      <c r="H410" s="2455">
        <f>'segSales&amp;comps'!S233</f>
        <v>-2</v>
      </c>
      <c r="I410" s="256"/>
      <c r="J410" s="288">
        <f t="shared" si="3"/>
        <v>9.5986387748973954</v>
      </c>
      <c r="K410" s="256"/>
      <c r="L410" s="948">
        <f>Stores!K307</f>
        <v>87</v>
      </c>
      <c r="M410" s="256"/>
      <c r="N410" s="811">
        <f>AVERAGE(N406:N409)</f>
        <v>85.25</v>
      </c>
      <c r="O410" s="256"/>
      <c r="P410" s="288">
        <f>(N410/N403-1)*100</f>
        <v>2.7108433734939652</v>
      </c>
      <c r="Q410" s="643"/>
      <c r="R410" s="812">
        <f t="shared" si="4"/>
        <v>354.08311925177196</v>
      </c>
      <c r="S410" s="587"/>
      <c r="T410" s="256"/>
      <c r="U410" s="256"/>
      <c r="V410" s="296">
        <f>SUM(V406:V409)</f>
        <v>1095</v>
      </c>
      <c r="W410" s="256"/>
      <c r="X410" s="813">
        <f>SUM(X406:X409)</f>
        <v>12.831875735444573</v>
      </c>
      <c r="Y410" s="256"/>
      <c r="Z410" s="814">
        <f>(X410/X403-1)*100</f>
        <v>6.6994964947054481</v>
      </c>
      <c r="AA410" s="643"/>
      <c r="AB410" s="256"/>
      <c r="AC410" s="815"/>
      <c r="AD410" s="256"/>
      <c r="AE410" s="816">
        <f>AVERAGE(AE406:AE409)</f>
        <v>0.22485000000000008</v>
      </c>
      <c r="AF410" s="256"/>
      <c r="AG410" s="1122" t="s">
        <v>1086</v>
      </c>
      <c r="AH410" s="643"/>
      <c r="AI410" s="1122" t="s">
        <v>1086</v>
      </c>
      <c r="AJ410" s="587"/>
      <c r="AK410" s="256"/>
      <c r="AL410" s="296">
        <f>SUM(AL406:AL409)</f>
        <v>1095</v>
      </c>
      <c r="AM410" s="256"/>
      <c r="AN410" s="296">
        <f>AL410/AE410</f>
        <v>4869.9132755170094</v>
      </c>
      <c r="AO410" s="256"/>
      <c r="AP410" s="1122" t="s">
        <v>1086</v>
      </c>
      <c r="AQ410" s="643"/>
      <c r="AR410" s="643"/>
      <c r="AZ410" s="1964">
        <f>AVERAGE(AZ406:AZ409)</f>
        <v>0.15299721873935018</v>
      </c>
      <c r="BA410" s="1167">
        <f>+(AZ410/AZ403-1)*100</f>
        <v>0</v>
      </c>
      <c r="BB410" s="256"/>
      <c r="BC410" s="1964">
        <f>AVERAGE(BC406:BC409)</f>
        <v>-1.5402446322542149E-2</v>
      </c>
      <c r="BD410" s="1167">
        <f>+(BC410/BC403-1)*100</f>
        <v>-1932.1868168353888</v>
      </c>
      <c r="BE410" s="1017"/>
      <c r="BF410" s="1167"/>
      <c r="BG410" s="1167"/>
      <c r="BH410" s="256"/>
      <c r="BI410" s="256"/>
      <c r="BJ410" s="256"/>
      <c r="BK410" s="256"/>
      <c r="BL410" s="256"/>
      <c r="BM410" s="256"/>
      <c r="BN410" s="302"/>
      <c r="BO410" s="256"/>
      <c r="BP410" s="256"/>
      <c r="BQ410" s="256"/>
      <c r="BR410" s="256"/>
      <c r="BS410" s="256"/>
      <c r="BT410" s="256"/>
      <c r="BU410" s="256"/>
    </row>
    <row r="411" spans="1:73" ht="13.5" thickBot="1">
      <c r="A411" s="256"/>
      <c r="B411" s="302"/>
      <c r="C411" s="256"/>
      <c r="D411" s="288"/>
      <c r="E411" s="256"/>
      <c r="F411" s="219"/>
      <c r="G411" s="256"/>
      <c r="H411" s="2085"/>
      <c r="I411" s="256"/>
      <c r="J411" s="288"/>
      <c r="K411" s="256"/>
      <c r="L411" s="948"/>
      <c r="M411" s="256"/>
      <c r="N411" s="811"/>
      <c r="O411" s="256"/>
      <c r="P411" s="288"/>
      <c r="Q411" s="643"/>
      <c r="R411" s="812"/>
      <c r="S411" s="587"/>
      <c r="T411" s="256"/>
      <c r="U411" s="256"/>
      <c r="V411" s="296"/>
      <c r="W411" s="256"/>
      <c r="X411" s="813"/>
      <c r="Y411" s="256"/>
      <c r="Z411" s="814"/>
      <c r="AA411" s="643"/>
      <c r="AB411" s="256"/>
      <c r="AC411" s="815"/>
      <c r="AD411" s="256"/>
      <c r="AE411" s="816"/>
      <c r="AF411" s="256"/>
      <c r="AG411" s="1122"/>
      <c r="AH411" s="643"/>
      <c r="AI411" s="1122"/>
      <c r="AJ411" s="587"/>
      <c r="AK411" s="256"/>
      <c r="AL411" s="296"/>
      <c r="AM411" s="256"/>
      <c r="AN411" s="296"/>
      <c r="AO411" s="256"/>
      <c r="AP411" s="1122"/>
      <c r="AQ411" s="643"/>
      <c r="AR411" s="643"/>
      <c r="AS411" s="2235"/>
      <c r="AT411" s="2235"/>
      <c r="AU411" s="2235"/>
      <c r="AV411" s="2235"/>
      <c r="AW411" s="2235"/>
      <c r="AX411" s="2235"/>
      <c r="AY411" s="2235"/>
      <c r="AZ411" s="1964"/>
      <c r="BA411" s="1167"/>
      <c r="BB411" s="256"/>
      <c r="BC411" s="1964"/>
      <c r="BD411" s="1167"/>
      <c r="BE411" s="1017"/>
      <c r="BF411" s="1167"/>
      <c r="BG411" s="1167"/>
      <c r="BH411" s="256"/>
      <c r="BI411" s="256"/>
      <c r="BJ411" s="256"/>
      <c r="BK411" s="256"/>
      <c r="BL411" s="256"/>
      <c r="BM411" s="256"/>
      <c r="BN411" s="302"/>
      <c r="BO411" s="256"/>
      <c r="BP411" s="256"/>
      <c r="BQ411" s="256"/>
      <c r="BR411" s="256"/>
      <c r="BS411" s="256"/>
      <c r="BT411" s="256"/>
      <c r="BU411" s="256"/>
    </row>
    <row r="412" spans="1:73" ht="13.5" thickBot="1">
      <c r="A412" s="810"/>
      <c r="B412" s="1160">
        <f>+B405+1</f>
        <v>2018</v>
      </c>
      <c r="C412" s="256"/>
      <c r="D412" s="256"/>
      <c r="E412" s="643"/>
      <c r="F412" s="297"/>
      <c r="G412" s="643"/>
      <c r="H412" s="2091"/>
      <c r="I412" s="643"/>
      <c r="J412" s="256"/>
      <c r="K412" s="643"/>
      <c r="L412" s="256"/>
      <c r="M412" s="256"/>
      <c r="N412" s="256"/>
      <c r="O412" s="256"/>
      <c r="P412" s="256"/>
      <c r="Q412" s="643"/>
      <c r="R412" s="587"/>
      <c r="S412" s="587"/>
      <c r="T412" s="256"/>
      <c r="U412" s="256"/>
      <c r="V412" s="256"/>
      <c r="W412" s="256"/>
      <c r="X412" s="256"/>
      <c r="Y412" s="256"/>
      <c r="Z412" s="256"/>
      <c r="AA412" s="643"/>
      <c r="AB412" s="256"/>
      <c r="AC412" s="256"/>
      <c r="AD412" s="256"/>
      <c r="AE412" s="256"/>
      <c r="AF412" s="256"/>
      <c r="AG412" s="256"/>
      <c r="AH412" s="643"/>
      <c r="AI412" s="587"/>
      <c r="AJ412" s="587"/>
      <c r="AK412" s="256"/>
      <c r="AL412" s="256"/>
      <c r="AM412" s="256"/>
      <c r="AN412" s="256"/>
      <c r="AO412" s="256"/>
      <c r="AP412" s="320"/>
      <c r="AQ412" s="643"/>
      <c r="AR412" s="643"/>
      <c r="AS412" s="256"/>
      <c r="AT412" s="256"/>
      <c r="AU412" s="256"/>
      <c r="AV412" s="256"/>
      <c r="AW412" s="256"/>
      <c r="AX412" s="256"/>
      <c r="AY412" s="256"/>
      <c r="AZ412" s="1605">
        <v>0.63</v>
      </c>
      <c r="BA412" s="1167"/>
      <c r="BB412" s="256"/>
      <c r="BC412" s="1605">
        <v>0.21</v>
      </c>
      <c r="BD412" s="1167"/>
      <c r="BE412" s="256"/>
      <c r="BF412" s="1605">
        <v>0.1</v>
      </c>
      <c r="BG412" s="256"/>
      <c r="BH412" s="256"/>
      <c r="BI412" s="256"/>
      <c r="BJ412" s="256"/>
      <c r="BK412" s="256"/>
      <c r="BL412" s="256"/>
      <c r="BM412" s="256"/>
      <c r="BN412" s="256"/>
      <c r="BO412" s="587"/>
      <c r="BP412" s="587"/>
      <c r="BQ412" s="621"/>
      <c r="BR412" s="621"/>
      <c r="BS412" s="621"/>
      <c r="BT412" s="621"/>
      <c r="BU412" s="621"/>
    </row>
    <row r="413" spans="1:73">
      <c r="A413" s="256" t="str">
        <f>$A$40</f>
        <v>1Q</v>
      </c>
      <c r="B413" s="302" t="str">
        <f>$B$40</f>
        <v>Apr</v>
      </c>
      <c r="C413" s="256"/>
      <c r="D413" s="288">
        <f>F413+H413+J413</f>
        <v>11.958579881656798</v>
      </c>
      <c r="E413" s="643" t="s">
        <v>1970</v>
      </c>
      <c r="F413" s="1156">
        <v>4</v>
      </c>
      <c r="G413" s="643"/>
      <c r="H413" s="2091">
        <f>'segSales&amp;comps'!S236</f>
        <v>5</v>
      </c>
      <c r="I413" s="643" t="s">
        <v>1970</v>
      </c>
      <c r="J413" s="288">
        <f>P413*R413/100</f>
        <v>2.9585798816567976</v>
      </c>
      <c r="K413" s="643" t="s">
        <v>1970</v>
      </c>
      <c r="L413" s="948">
        <f>Stores!K310</f>
        <v>87</v>
      </c>
      <c r="M413" s="256"/>
      <c r="N413" s="811">
        <f>AVERAGE(L413,L409)</f>
        <v>87</v>
      </c>
      <c r="O413" s="256"/>
      <c r="P413" s="288">
        <f>(N413/N406-1)*100</f>
        <v>2.9585798816567976</v>
      </c>
      <c r="Q413" s="643" t="s">
        <v>1970</v>
      </c>
      <c r="R413" s="2231">
        <v>100</v>
      </c>
      <c r="S413" s="587" t="s">
        <v>1970</v>
      </c>
      <c r="T413" s="256"/>
      <c r="U413" s="256"/>
      <c r="V413" s="1518">
        <f>V406*(1+D413/100)</f>
        <v>288.069426035503</v>
      </c>
      <c r="W413" s="238"/>
      <c r="X413" s="813">
        <f>V413/N413</f>
        <v>3.3111428279942872</v>
      </c>
      <c r="Y413" s="256"/>
      <c r="Z413" s="814">
        <f>(X413/X406-1)*100</f>
        <v>8.7413793103448221</v>
      </c>
      <c r="AA413" s="643" t="s">
        <v>1970</v>
      </c>
      <c r="AB413" s="256"/>
      <c r="AC413" s="1017">
        <f>AC409+(L413-L409)*yrSales!$AD$124/1000000</f>
        <v>0.23360000000000009</v>
      </c>
      <c r="AD413" s="256"/>
      <c r="AE413" s="816">
        <f>AVERAGE(AC413,AC409)</f>
        <v>0.23360000000000009</v>
      </c>
      <c r="AF413" s="256"/>
      <c r="AG413" s="1507" t="s">
        <v>1086</v>
      </c>
      <c r="AH413" s="643" t="s">
        <v>1970</v>
      </c>
      <c r="AI413" s="1507" t="s">
        <v>1086</v>
      </c>
      <c r="AJ413" s="587" t="s">
        <v>1970</v>
      </c>
      <c r="AK413" s="256"/>
      <c r="AL413" s="296">
        <f>+V413</f>
        <v>288.069426035503</v>
      </c>
      <c r="AM413" s="256" t="s">
        <v>700</v>
      </c>
      <c r="AN413" s="296">
        <f>AL413/AE413</f>
        <v>1233.1739128232146</v>
      </c>
      <c r="AO413" s="256"/>
      <c r="AP413" s="1507" t="s">
        <v>1086</v>
      </c>
      <c r="AQ413" s="643" t="s">
        <v>1970</v>
      </c>
      <c r="AR413" s="643"/>
      <c r="AS413" s="621"/>
      <c r="AT413" s="621"/>
      <c r="AU413" s="621"/>
      <c r="AV413" s="621"/>
      <c r="AW413" s="621"/>
      <c r="AX413" s="621"/>
      <c r="AY413" s="621"/>
      <c r="AZ413" s="1173">
        <v>0.15280241228557065</v>
      </c>
      <c r="BA413" s="1167">
        <f>+(AZ413/AZ406-1)*100</f>
        <v>-0.50736912612378005</v>
      </c>
      <c r="BB413" s="288"/>
      <c r="BC413" s="1173">
        <v>8.390670279465538E-4</v>
      </c>
      <c r="BD413" s="1167">
        <f>+(BC413/BC406-1)*100</f>
        <v>-101.30844606208822</v>
      </c>
      <c r="BE413" s="1017"/>
      <c r="BF413" s="1167"/>
      <c r="BG413" s="1167"/>
      <c r="BH413" s="256"/>
      <c r="BI413" s="1479">
        <f>(AZ412*BA413)+(BC412*BD413)+(BF412*BG413)</f>
        <v>-21.594416222496505</v>
      </c>
      <c r="BJ413" s="1479"/>
      <c r="BK413" s="297">
        <f>F413</f>
        <v>4</v>
      </c>
      <c r="BL413" s="256"/>
      <c r="BM413" s="256">
        <f>$AZ$391*BQ413+$BC$391*BU413</f>
        <v>-0.17765302869942279</v>
      </c>
      <c r="BN413" s="256"/>
      <c r="BO413" s="297">
        <v>0.16219246769884035</v>
      </c>
      <c r="BP413" s="297"/>
      <c r="BQ413" s="297">
        <f>BO413/AZ406-1</f>
        <v>5.6066790956522894E-2</v>
      </c>
      <c r="BR413" s="297"/>
      <c r="BS413" s="297">
        <v>9.0849831514541604E-4</v>
      </c>
      <c r="BT413" s="297"/>
      <c r="BU413" s="1028">
        <f>BS413/BC406-1</f>
        <v>-1.0141671762001534</v>
      </c>
    </row>
    <row r="414" spans="1:73">
      <c r="A414" s="256" t="str">
        <f>$A$41</f>
        <v>2Q</v>
      </c>
      <c r="B414" s="302" t="str">
        <f>$B$41</f>
        <v>Jul</v>
      </c>
      <c r="C414" s="256"/>
      <c r="D414" s="288">
        <f>F414+H414+J414</f>
        <v>11.550295857988162</v>
      </c>
      <c r="E414" s="256"/>
      <c r="F414" s="1156">
        <v>2</v>
      </c>
      <c r="G414" s="256"/>
      <c r="H414" s="2091">
        <f>'segSales&amp;comps'!S237</f>
        <v>6</v>
      </c>
      <c r="I414" s="256"/>
      <c r="J414" s="288">
        <f>P414*R414/100</f>
        <v>3.5502958579881621</v>
      </c>
      <c r="K414" s="256"/>
      <c r="L414" s="948">
        <f>Stores!K311</f>
        <v>88</v>
      </c>
      <c r="M414" s="256"/>
      <c r="N414" s="811">
        <f>AVERAGE(L414,L413)</f>
        <v>87.5</v>
      </c>
      <c r="O414" s="256"/>
      <c r="P414" s="288">
        <f>(N414/N407-1)*100</f>
        <v>3.5502958579881616</v>
      </c>
      <c r="Q414" s="643"/>
      <c r="R414" s="2231">
        <v>100</v>
      </c>
      <c r="S414" s="587"/>
      <c r="T414" s="256"/>
      <c r="U414" s="256"/>
      <c r="V414" s="1518">
        <f>V407*(1+D414/100)</f>
        <v>261.80854437869823</v>
      </c>
      <c r="W414" s="238"/>
      <c r="X414" s="818">
        <f>V414/N414</f>
        <v>2.9920976500422656</v>
      </c>
      <c r="Y414" s="256"/>
      <c r="Z414" s="814">
        <f>(X414/X407-1)*100</f>
        <v>7.7257142857143135</v>
      </c>
      <c r="AA414" s="643"/>
      <c r="AB414" s="256"/>
      <c r="AC414" s="1017">
        <f>AC413+(L414-L413)*yrSales!$AD$124/1000000</f>
        <v>0.23910000000000009</v>
      </c>
      <c r="AD414" s="238"/>
      <c r="AE414" s="816">
        <f>AVERAGE(AC413:AC414)</f>
        <v>0.23635000000000009</v>
      </c>
      <c r="AF414" s="256"/>
      <c r="AG414" s="1507" t="s">
        <v>1086</v>
      </c>
      <c r="AH414" s="643"/>
      <c r="AI414" s="1507" t="s">
        <v>1086</v>
      </c>
      <c r="AJ414" s="587"/>
      <c r="AK414" s="256"/>
      <c r="AL414" s="315">
        <f>+V414</f>
        <v>261.80854437869823</v>
      </c>
      <c r="AM414" s="256"/>
      <c r="AN414" s="315">
        <f>AL414/AE414</f>
        <v>1107.7154405699096</v>
      </c>
      <c r="AO414" s="256"/>
      <c r="AP414" s="1507" t="s">
        <v>1086</v>
      </c>
      <c r="AQ414" s="643"/>
      <c r="AR414" s="643"/>
      <c r="AS414" s="621"/>
      <c r="AT414" s="621"/>
      <c r="AU414" s="621"/>
      <c r="AV414" s="621"/>
      <c r="AW414" s="621"/>
      <c r="AX414" s="621"/>
      <c r="AY414" s="621"/>
      <c r="AZ414" s="1173">
        <v>0.15280241228557065</v>
      </c>
      <c r="BA414" s="1167">
        <f>+(AZ414/AZ407-1)*100</f>
        <v>0</v>
      </c>
      <c r="BB414" s="288"/>
      <c r="BC414" s="1173">
        <v>8.390670279465538E-4</v>
      </c>
      <c r="BD414" s="1167">
        <f>+(BC414/BC407-1)*100</f>
        <v>0</v>
      </c>
      <c r="BE414" s="1017"/>
      <c r="BF414" s="1167"/>
      <c r="BG414" s="1167"/>
      <c r="BH414" s="256"/>
      <c r="BI414" s="1479">
        <f>(AZ412*BA414)+(BC412*BD414)+(BF412*BG414)</f>
        <v>0</v>
      </c>
      <c r="BJ414" s="1479"/>
      <c r="BK414" s="297">
        <f>F414</f>
        <v>2</v>
      </c>
      <c r="BL414" s="256"/>
      <c r="BM414" s="256">
        <f>$AZ$391*BQ414+$BC$391*BU414</f>
        <v>5.6092053645844811E-2</v>
      </c>
      <c r="BN414" s="256"/>
      <c r="BO414" s="297">
        <v>0.16219246769884035</v>
      </c>
      <c r="BP414" s="256"/>
      <c r="BQ414" s="297">
        <f>BO414/AZ407-1</f>
        <v>6.1452272073563519E-2</v>
      </c>
      <c r="BR414" s="256"/>
      <c r="BS414" s="297">
        <v>9.0849831514541604E-4</v>
      </c>
      <c r="BT414" s="256"/>
      <c r="BU414" s="1028">
        <f>BS414/BC407-1</f>
        <v>8.2748201140475208E-2</v>
      </c>
    </row>
    <row r="415" spans="1:73">
      <c r="A415" s="256" t="str">
        <f>$A$42</f>
        <v>3Q</v>
      </c>
      <c r="B415" s="302" t="str">
        <f>$B$42</f>
        <v>Oct</v>
      </c>
      <c r="C415" s="256"/>
      <c r="D415" s="288">
        <f>F415+H415+J415</f>
        <v>2.5087719298245723</v>
      </c>
      <c r="E415" s="256"/>
      <c r="F415" s="1156">
        <v>1</v>
      </c>
      <c r="G415" s="256"/>
      <c r="H415" s="2091">
        <f>'segSales&amp;comps'!S238</f>
        <v>-2</v>
      </c>
      <c r="I415" s="256"/>
      <c r="J415" s="288">
        <f>P415*R415/100</f>
        <v>3.5087719298245723</v>
      </c>
      <c r="K415" s="256"/>
      <c r="L415" s="948">
        <f>Stores!K312</f>
        <v>89</v>
      </c>
      <c r="M415" s="238"/>
      <c r="N415" s="811">
        <f>AVERAGE(L415,L414)</f>
        <v>88.5</v>
      </c>
      <c r="O415" s="256"/>
      <c r="P415" s="288">
        <f>(N415/N408-1)*100</f>
        <v>3.5087719298245723</v>
      </c>
      <c r="Q415" s="643"/>
      <c r="R415" s="2231">
        <v>100</v>
      </c>
      <c r="S415" s="587"/>
      <c r="T415" s="256"/>
      <c r="U415" s="256"/>
      <c r="V415" s="1518">
        <f>V408*(1+D415/100)</f>
        <v>290.30484210526316</v>
      </c>
      <c r="W415" s="256"/>
      <c r="X415" s="818">
        <f>V415/N415</f>
        <v>3.280280701754386</v>
      </c>
      <c r="Y415" s="256"/>
      <c r="Z415" s="814">
        <f>(X415/X408-1)*100</f>
        <v>-0.96610169491525566</v>
      </c>
      <c r="AA415" s="643"/>
      <c r="AB415" s="256"/>
      <c r="AC415" s="1017">
        <f>AC414+(L415-L414)*yrSales!$AD$124/1000000</f>
        <v>0.2446000000000001</v>
      </c>
      <c r="AD415" s="238"/>
      <c r="AE415" s="816">
        <f>AVERAGE(AC414:AC415)</f>
        <v>0.24185000000000009</v>
      </c>
      <c r="AF415" s="256"/>
      <c r="AG415" s="1507" t="s">
        <v>1086</v>
      </c>
      <c r="AH415" s="643"/>
      <c r="AI415" s="1507" t="s">
        <v>1086</v>
      </c>
      <c r="AJ415" s="587"/>
      <c r="AK415" s="256"/>
      <c r="AL415" s="315">
        <f>+V415</f>
        <v>290.30484210526316</v>
      </c>
      <c r="AM415" s="256"/>
      <c r="AN415" s="315">
        <f>AL415/AE415</f>
        <v>1200.3508046527313</v>
      </c>
      <c r="AO415" s="256"/>
      <c r="AP415" s="1507" t="s">
        <v>1086</v>
      </c>
      <c r="AQ415" s="643"/>
      <c r="AR415" s="643"/>
      <c r="AS415" s="621"/>
      <c r="AT415" s="621"/>
      <c r="AU415" s="621"/>
      <c r="AV415" s="621"/>
      <c r="AW415" s="621"/>
      <c r="AX415" s="621"/>
      <c r="AY415" s="621"/>
      <c r="AZ415" s="1173">
        <v>0.15280241228557065</v>
      </c>
      <c r="BA415" s="1167">
        <f>+(AZ415/AZ408-1)*100</f>
        <v>0</v>
      </c>
      <c r="BB415" s="288"/>
      <c r="BC415" s="1173">
        <v>8.390670279465538E-4</v>
      </c>
      <c r="BD415" s="1167">
        <f>+(BC415/BC408-1)*100</f>
        <v>0</v>
      </c>
      <c r="BE415" s="1017"/>
      <c r="BF415" s="1167"/>
      <c r="BG415" s="1167"/>
      <c r="BH415" s="256"/>
      <c r="BI415" s="1479">
        <f>(AZ412*BA415)+(BC412*BD415)+(BF412*BG415)</f>
        <v>0</v>
      </c>
      <c r="BJ415" s="1479"/>
      <c r="BK415" s="297">
        <f>F415</f>
        <v>1</v>
      </c>
      <c r="BL415" s="256"/>
      <c r="BM415" s="256">
        <f>$AZ$391*BQ415+$BC$391*BU415</f>
        <v>5.6092053645844811E-2</v>
      </c>
      <c r="BN415" s="256"/>
      <c r="BO415" s="297">
        <v>0.16219246769884035</v>
      </c>
      <c r="BP415" s="256"/>
      <c r="BQ415" s="297">
        <f>BO415/AZ408-1</f>
        <v>6.1452272073563519E-2</v>
      </c>
      <c r="BR415" s="256"/>
      <c r="BS415" s="297">
        <v>9.0849831514541604E-4</v>
      </c>
      <c r="BT415" s="256"/>
      <c r="BU415" s="1028">
        <f>BS415/BC408-1</f>
        <v>8.2748201140475208E-2</v>
      </c>
    </row>
    <row r="416" spans="1:73">
      <c r="A416" s="256" t="str">
        <f>$A$43</f>
        <v>4Q</v>
      </c>
      <c r="B416" s="302" t="str">
        <f>$B$43</f>
        <v>Jan</v>
      </c>
      <c r="C416" s="256"/>
      <c r="D416" s="318">
        <f>F416+H416+J416</f>
        <v>5.8901734104046284</v>
      </c>
      <c r="E416" s="256"/>
      <c r="F416" s="1148">
        <v>1</v>
      </c>
      <c r="G416" s="256"/>
      <c r="H416" s="2095">
        <f>'segSales&amp;comps'!S239</f>
        <v>2</v>
      </c>
      <c r="I416" s="256"/>
      <c r="J416" s="318">
        <f>P416*R416/100</f>
        <v>2.8901734104046284</v>
      </c>
      <c r="K416" s="256"/>
      <c r="L416" s="949">
        <f>Stores!K313</f>
        <v>89</v>
      </c>
      <c r="M416" s="238"/>
      <c r="N416" s="820">
        <f>AVERAGE(L416,L415)</f>
        <v>89</v>
      </c>
      <c r="O416" s="256"/>
      <c r="P416" s="318">
        <f>(N416/N409-1)*100</f>
        <v>2.8901734104046284</v>
      </c>
      <c r="Q416" s="643"/>
      <c r="R416" s="2232">
        <v>100</v>
      </c>
      <c r="S416" s="587"/>
      <c r="T416" s="256"/>
      <c r="U416" s="256"/>
      <c r="V416" s="316">
        <f>V409*(1+D416/100)</f>
        <v>338.636774566474</v>
      </c>
      <c r="W416" s="256"/>
      <c r="X416" s="821">
        <f>V416/N416</f>
        <v>3.8049075793985843</v>
      </c>
      <c r="Y416" s="256"/>
      <c r="Z416" s="298">
        <f>(X416/X409-1)*100</f>
        <v>2.9157303370786369</v>
      </c>
      <c r="AA416" s="643"/>
      <c r="AB416" s="256"/>
      <c r="AC416" s="1017">
        <f>AC415+(L416-L415)*yrSales!$AD$124/1000000</f>
        <v>0.2446000000000001</v>
      </c>
      <c r="AD416" s="238"/>
      <c r="AE416" s="822">
        <f>AVERAGE(AC415:AC416)</f>
        <v>0.2446000000000001</v>
      </c>
      <c r="AF416" s="256"/>
      <c r="AG416" s="1508" t="s">
        <v>1086</v>
      </c>
      <c r="AH416" s="643"/>
      <c r="AI416" s="1508" t="s">
        <v>1086</v>
      </c>
      <c r="AJ416" s="587"/>
      <c r="AK416" s="256"/>
      <c r="AL416" s="316">
        <f>+V416</f>
        <v>338.636774566474</v>
      </c>
      <c r="AM416" s="256"/>
      <c r="AN416" s="316">
        <f>AL416/AE416</f>
        <v>1384.4512451613814</v>
      </c>
      <c r="AO416" s="256"/>
      <c r="AP416" s="1508" t="s">
        <v>1086</v>
      </c>
      <c r="AQ416" s="643"/>
      <c r="AR416" s="643"/>
      <c r="AS416" s="621"/>
      <c r="AT416" s="621"/>
      <c r="AU416" s="621"/>
      <c r="AV416" s="621"/>
      <c r="AW416" s="621"/>
      <c r="AX416" s="621"/>
      <c r="AY416" s="621"/>
      <c r="AZ416" s="1687">
        <v>0.15280241228557065</v>
      </c>
      <c r="BA416" s="1602">
        <f>+(AZ416/AZ409-1)*100</f>
        <v>0</v>
      </c>
      <c r="BB416" s="288"/>
      <c r="BC416" s="1687">
        <v>8.390670279465538E-4</v>
      </c>
      <c r="BD416" s="1602">
        <f>+(BC416/BC409-1)*100</f>
        <v>0</v>
      </c>
      <c r="BE416" s="1017"/>
      <c r="BF416" s="1601"/>
      <c r="BG416" s="1602"/>
      <c r="BH416" s="256"/>
      <c r="BI416" s="1608">
        <f>(AZ412*BA416)+(BC412*BD416)+(BF412*BG416)</f>
        <v>0</v>
      </c>
      <c r="BJ416" s="1479"/>
      <c r="BK416" s="297">
        <f>F416</f>
        <v>1</v>
      </c>
      <c r="BL416" s="256"/>
      <c r="BM416" s="256">
        <f>$AZ$391*BQ416+$BC$391*BU416</f>
        <v>5.6092053645844811E-2</v>
      </c>
      <c r="BN416" s="256"/>
      <c r="BO416" s="297">
        <v>0.16219246769884035</v>
      </c>
      <c r="BP416" s="256"/>
      <c r="BQ416" s="297">
        <f>BO416/AZ409-1</f>
        <v>6.1452272073563519E-2</v>
      </c>
      <c r="BR416" s="256"/>
      <c r="BS416" s="297">
        <v>9.0849831514541604E-4</v>
      </c>
      <c r="BT416" s="256"/>
      <c r="BU416" s="1028">
        <f>BS416/BC409-1</f>
        <v>8.2748201140475208E-2</v>
      </c>
    </row>
    <row r="417" spans="1:73">
      <c r="A417" s="256"/>
      <c r="B417" s="302" t="str">
        <f>$B$44</f>
        <v>Year</v>
      </c>
      <c r="C417" s="256"/>
      <c r="D417" s="288">
        <f>(V417/V410-1)*100</f>
        <v>7.6547568115012288</v>
      </c>
      <c r="E417" s="256"/>
      <c r="F417" s="814">
        <f>F413*V406/V410+F414*V407/V410+F415*V408/V410+F416*V409/V410</f>
        <v>1.9192694063926941</v>
      </c>
      <c r="G417" s="256"/>
      <c r="H417" s="2091">
        <f>H413*V406/V410+H414*V407/V410+H415*V408/V410+H416*V409/V410</f>
        <v>2.5277625570776259</v>
      </c>
      <c r="I417" s="256"/>
      <c r="J417" s="288">
        <f>D417-H417-F417</f>
        <v>3.2077248480309088</v>
      </c>
      <c r="K417" s="256"/>
      <c r="L417" s="948">
        <f>Stores!K314</f>
        <v>89</v>
      </c>
      <c r="M417" s="256"/>
      <c r="N417" s="811">
        <f>AVERAGE(N413:N416)</f>
        <v>88</v>
      </c>
      <c r="O417" s="256"/>
      <c r="P417" s="288">
        <f>(N417/N410-1)*100</f>
        <v>3.2258064516129004</v>
      </c>
      <c r="Q417" s="643"/>
      <c r="R417" s="812">
        <f>J417/P417*100</f>
        <v>99.439470288958262</v>
      </c>
      <c r="S417" s="587"/>
      <c r="T417" s="256"/>
      <c r="U417" s="256"/>
      <c r="V417" s="296">
        <f>SUM(V413:V416)</f>
        <v>1178.8195870859383</v>
      </c>
      <c r="W417" s="256"/>
      <c r="X417" s="813">
        <f>SUM(X413:X416)</f>
        <v>13.388428759189523</v>
      </c>
      <c r="Y417" s="256"/>
      <c r="Z417" s="814">
        <f>(X417/X410-1)*100</f>
        <v>4.3372694313710047</v>
      </c>
      <c r="AA417" s="643"/>
      <c r="AB417" s="256"/>
      <c r="AC417" s="815"/>
      <c r="AD417" s="256"/>
      <c r="AE417" s="816">
        <f>AVERAGE(AE413:AE416)</f>
        <v>0.23910000000000009</v>
      </c>
      <c r="AF417" s="256"/>
      <c r="AG417" s="1507" t="s">
        <v>1086</v>
      </c>
      <c r="AH417" s="643"/>
      <c r="AI417" s="1507" t="s">
        <v>1086</v>
      </c>
      <c r="AJ417" s="587"/>
      <c r="AK417" s="256"/>
      <c r="AL417" s="296">
        <f>SUM(AL413:AL416)</f>
        <v>1178.8195870859383</v>
      </c>
      <c r="AM417" s="256"/>
      <c r="AN417" s="296">
        <f>AL417/AE417</f>
        <v>4930.236667026089</v>
      </c>
      <c r="AO417" s="256"/>
      <c r="AP417" s="1507" t="s">
        <v>1086</v>
      </c>
      <c r="AQ417" s="643"/>
      <c r="AR417" s="643"/>
      <c r="AS417" s="621"/>
      <c r="AT417" s="621"/>
      <c r="AU417" s="621"/>
      <c r="AV417" s="621"/>
      <c r="AW417" s="621"/>
      <c r="AX417" s="621"/>
      <c r="AY417" s="621"/>
      <c r="AZ417" s="1964">
        <f>AVERAGE(AZ413:AZ416)</f>
        <v>0.15280241228557065</v>
      </c>
      <c r="BA417" s="1167">
        <f>+(AZ417/AZ410-1)*100</f>
        <v>-0.12732679416310733</v>
      </c>
      <c r="BB417" s="256"/>
      <c r="BC417" s="1964">
        <f>AVERAGE(BC413:BC416)</f>
        <v>8.390670279465538E-4</v>
      </c>
      <c r="BD417" s="1167">
        <f>+(BC417/BC410-1)*100</f>
        <v>-105.44762182821921</v>
      </c>
      <c r="BE417" s="1017"/>
      <c r="BF417" s="1167"/>
      <c r="BG417" s="1167"/>
      <c r="BH417" s="256"/>
      <c r="BI417" s="256"/>
      <c r="BJ417" s="256"/>
      <c r="BK417" s="256"/>
      <c r="BL417" s="256"/>
      <c r="BM417" s="256"/>
      <c r="BN417" s="302"/>
      <c r="BO417" s="256"/>
      <c r="BP417" s="256"/>
      <c r="BQ417" s="256"/>
      <c r="BR417" s="256"/>
      <c r="BS417" s="256"/>
      <c r="BT417" s="256"/>
      <c r="BU417" s="256"/>
    </row>
    <row r="418" spans="1:73">
      <c r="A418" s="132"/>
      <c r="B418" s="174"/>
      <c r="C418" s="132"/>
      <c r="D418" s="132"/>
      <c r="E418" s="132"/>
      <c r="F418" s="132"/>
      <c r="G418" s="132"/>
      <c r="H418" s="2085"/>
      <c r="I418" s="132"/>
      <c r="J418" s="132"/>
      <c r="K418" s="132"/>
      <c r="L418" s="132"/>
      <c r="M418" s="132"/>
      <c r="N418" s="132"/>
      <c r="O418" s="132"/>
      <c r="P418" s="132"/>
      <c r="Q418" s="132"/>
      <c r="R418" s="132"/>
      <c r="S418" s="132"/>
      <c r="T418" s="132"/>
      <c r="U418" s="132"/>
      <c r="V418" s="132"/>
      <c r="W418" s="132"/>
      <c r="X418" s="132"/>
      <c r="Y418" s="132"/>
      <c r="Z418" s="132"/>
      <c r="AA418" s="132"/>
      <c r="AB418" s="132"/>
      <c r="AC418" s="132"/>
      <c r="AD418" s="132"/>
      <c r="AE418" s="132"/>
      <c r="AF418" s="132"/>
      <c r="AG418" s="132"/>
      <c r="AH418" s="132"/>
      <c r="AI418" s="132"/>
      <c r="AJ418" s="132"/>
      <c r="AK418" s="132"/>
      <c r="AL418" s="132"/>
      <c r="AM418" s="132"/>
      <c r="AN418" s="132"/>
      <c r="AO418" s="132"/>
      <c r="AP418" s="132"/>
      <c r="AQ418" s="132"/>
      <c r="AR418" s="132"/>
      <c r="AS418" s="132"/>
      <c r="AT418" s="132"/>
      <c r="AU418" s="132"/>
      <c r="AV418" s="132"/>
      <c r="AW418" s="132"/>
      <c r="AX418" s="132"/>
      <c r="AY418" s="132"/>
      <c r="AZ418" s="132"/>
      <c r="BA418" s="132"/>
      <c r="BB418" s="132"/>
      <c r="BC418" s="132"/>
      <c r="BD418" s="132"/>
      <c r="BE418" s="132"/>
      <c r="BF418" s="132"/>
      <c r="BG418" s="132"/>
      <c r="BH418" s="132"/>
      <c r="BI418" s="132"/>
      <c r="BJ418" s="132"/>
      <c r="BK418" s="132"/>
      <c r="BL418" s="132"/>
      <c r="BM418" s="132"/>
      <c r="BN418" s="132"/>
      <c r="BO418" s="587"/>
      <c r="BP418" s="587"/>
    </row>
    <row r="419" spans="1:73">
      <c r="A419" s="860" t="s">
        <v>1089</v>
      </c>
      <c r="B419" s="1126"/>
      <c r="C419" s="860"/>
      <c r="D419" s="860"/>
      <c r="E419" s="1127"/>
      <c r="F419" s="860"/>
      <c r="G419" s="1127"/>
      <c r="H419" s="2092"/>
      <c r="I419" s="860"/>
      <c r="J419" s="860"/>
      <c r="K419" s="1128"/>
      <c r="L419" s="1129"/>
      <c r="M419" s="1128"/>
      <c r="N419" s="1130"/>
      <c r="O419" s="1128"/>
      <c r="P419" s="1131"/>
      <c r="Q419" s="1132"/>
      <c r="R419" s="1133"/>
      <c r="S419" s="1134"/>
      <c r="T419" s="1128"/>
      <c r="U419" s="1128"/>
      <c r="V419" s="1135"/>
      <c r="W419" s="1128"/>
      <c r="X419" s="1136"/>
      <c r="Y419" s="1128"/>
      <c r="Z419" s="1137"/>
      <c r="AA419" s="1132"/>
      <c r="AB419" s="1128"/>
      <c r="AC419" s="1128"/>
      <c r="AD419" s="1128"/>
      <c r="AE419" s="1138"/>
      <c r="AF419" s="1128"/>
      <c r="AG419" s="1131"/>
      <c r="AH419" s="1132"/>
      <c r="AI419" s="1133"/>
      <c r="AJ419" s="1134"/>
      <c r="AK419" s="1128"/>
      <c r="AL419" s="1135"/>
      <c r="AM419" s="1128"/>
      <c r="AN419" s="1139"/>
      <c r="AO419" s="1128"/>
      <c r="AP419" s="1140"/>
      <c r="AQ419" s="1132"/>
      <c r="AR419" s="1132"/>
      <c r="AS419" s="1128"/>
      <c r="AT419" s="1128"/>
      <c r="AU419" s="1128"/>
      <c r="AV419" s="1128"/>
      <c r="AW419" s="1128"/>
      <c r="AX419" s="1128"/>
      <c r="AY419" s="1128"/>
      <c r="AZ419" s="1128"/>
      <c r="BA419" s="1128"/>
      <c r="BB419" s="1128"/>
      <c r="BC419" s="1128"/>
      <c r="BD419" s="1128"/>
      <c r="BE419" s="1128"/>
      <c r="BF419" s="1128"/>
      <c r="BG419" s="1128"/>
      <c r="BH419" s="1128"/>
      <c r="BI419" s="1128"/>
      <c r="BJ419" s="1128"/>
      <c r="BK419" s="1128"/>
      <c r="BL419" s="1128"/>
      <c r="BM419" s="1128"/>
      <c r="BN419" s="132"/>
      <c r="BO419" s="587"/>
      <c r="BP419" s="587"/>
    </row>
    <row r="420" spans="1:73">
      <c r="A420" s="135" t="s">
        <v>1088</v>
      </c>
      <c r="B420" s="173"/>
      <c r="C420" s="135"/>
      <c r="D420" s="135"/>
      <c r="E420" s="153"/>
      <c r="F420" s="135"/>
      <c r="G420" s="153"/>
      <c r="H420" s="2084"/>
      <c r="I420" s="135"/>
      <c r="J420" s="135"/>
      <c r="K420" s="153"/>
      <c r="L420" s="135"/>
      <c r="M420" s="135"/>
      <c r="N420" s="135"/>
      <c r="O420" s="153"/>
      <c r="P420" s="135"/>
      <c r="Q420" s="153"/>
      <c r="R420" s="135"/>
      <c r="S420" s="135"/>
      <c r="T420" s="153"/>
      <c r="U420" s="153"/>
      <c r="V420" s="135"/>
      <c r="W420" s="135"/>
      <c r="X420" s="153"/>
      <c r="Y420" s="153"/>
      <c r="Z420" s="135"/>
      <c r="AA420" s="187"/>
      <c r="AB420" s="135"/>
      <c r="AC420" s="135"/>
      <c r="AD420" s="135"/>
      <c r="AE420" s="135"/>
      <c r="AF420" s="153"/>
      <c r="AG420" s="135"/>
      <c r="AH420" s="153"/>
      <c r="AI420" s="135"/>
      <c r="AJ420" s="135"/>
      <c r="AK420" s="153"/>
      <c r="AL420" s="135"/>
      <c r="AM420" s="135"/>
      <c r="AN420" s="153"/>
      <c r="AO420" s="153"/>
      <c r="AP420" s="135"/>
      <c r="AQ420" s="246"/>
      <c r="AR420" s="246"/>
      <c r="AS420" s="155"/>
      <c r="AT420" s="155"/>
      <c r="AU420" s="155"/>
      <c r="AV420" s="155"/>
      <c r="AW420" s="155"/>
      <c r="AX420" s="155"/>
      <c r="AY420" s="155"/>
      <c r="AZ420" s="776" t="s">
        <v>437</v>
      </c>
      <c r="BA420" s="776"/>
      <c r="BB420" s="268"/>
      <c r="BC420" s="776" t="s">
        <v>44</v>
      </c>
      <c r="BD420" s="776"/>
      <c r="BE420" s="268"/>
      <c r="BF420" s="776" t="s">
        <v>241</v>
      </c>
      <c r="BG420" s="776"/>
      <c r="BH420" s="155"/>
      <c r="BI420" s="155"/>
      <c r="BJ420" s="155"/>
      <c r="BK420" s="155"/>
      <c r="BL420" s="155"/>
      <c r="BM420" s="155"/>
      <c r="BN420" s="256"/>
      <c r="BO420" s="283"/>
      <c r="BP420" s="283"/>
    </row>
    <row r="421" spans="1:73" ht="13.5" thickBot="1">
      <c r="A421" s="281"/>
      <c r="B421" s="282"/>
      <c r="C421" s="281"/>
      <c r="D421" s="281"/>
      <c r="E421" s="1744"/>
      <c r="F421" s="281"/>
      <c r="G421" s="1744"/>
      <c r="H421" s="2096"/>
      <c r="I421" s="281"/>
      <c r="J421" s="281"/>
      <c r="K421" s="256"/>
      <c r="L421" s="1030"/>
      <c r="M421" s="256"/>
      <c r="N421" s="177"/>
      <c r="O421" s="256"/>
      <c r="P421" s="145"/>
      <c r="Q421" s="643"/>
      <c r="R421" s="259"/>
      <c r="S421" s="587"/>
      <c r="T421" s="256"/>
      <c r="U421" s="256"/>
      <c r="V421" s="296"/>
      <c r="W421" s="256"/>
      <c r="X421" s="1031"/>
      <c r="Y421" s="256"/>
      <c r="Z421" s="219"/>
      <c r="AA421" s="643"/>
      <c r="AB421" s="256"/>
      <c r="AC421" s="256"/>
      <c r="AD421" s="256"/>
      <c r="AE421" s="254"/>
      <c r="AF421" s="256"/>
      <c r="AG421" s="145"/>
      <c r="AH421" s="643"/>
      <c r="AI421" s="259"/>
      <c r="AJ421" s="587"/>
      <c r="AK421" s="256"/>
      <c r="AL421" s="141"/>
      <c r="AM421" s="256"/>
      <c r="AN421" s="1032"/>
      <c r="AO421" s="256"/>
      <c r="AP421" s="920"/>
      <c r="AQ421" s="643"/>
      <c r="AR421" s="643"/>
      <c r="AS421" s="256"/>
      <c r="AT421" s="256"/>
      <c r="AU421" s="256"/>
      <c r="AV421" s="256"/>
      <c r="AW421" s="256"/>
      <c r="AX421" s="256"/>
      <c r="AY421" s="256"/>
      <c r="AZ421" s="256"/>
      <c r="BA421" s="256"/>
      <c r="BB421" s="256"/>
      <c r="BC421" s="256"/>
      <c r="BD421" s="256"/>
      <c r="BE421" s="256"/>
      <c r="BF421" s="256"/>
      <c r="BG421" s="256"/>
      <c r="BH421" s="256"/>
      <c r="BI421" s="256"/>
      <c r="BJ421" s="256"/>
      <c r="BK421" s="256"/>
      <c r="BL421" s="256"/>
      <c r="BM421" s="256"/>
      <c r="BN421" s="256"/>
      <c r="BO421" s="587"/>
      <c r="BP421" s="587"/>
    </row>
    <row r="422" spans="1:73" hidden="1" outlineLevel="1">
      <c r="A422" s="810"/>
      <c r="B422" s="171">
        <v>2006</v>
      </c>
      <c r="C422" s="256"/>
      <c r="D422" s="256"/>
      <c r="E422" s="643"/>
      <c r="F422" s="297"/>
      <c r="G422" s="643"/>
      <c r="H422" s="2091"/>
      <c r="I422" s="643"/>
      <c r="J422" s="256"/>
      <c r="K422" s="643"/>
      <c r="L422" s="256"/>
      <c r="M422" s="256"/>
      <c r="N422" s="256"/>
      <c r="O422" s="256"/>
      <c r="P422" s="256"/>
      <c r="Q422" s="643"/>
      <c r="R422" s="587"/>
      <c r="S422" s="587"/>
      <c r="T422" s="256"/>
      <c r="U422" s="256"/>
      <c r="V422" s="256"/>
      <c r="W422" s="256"/>
      <c r="X422" s="256"/>
      <c r="Y422" s="256"/>
      <c r="Z422" s="256"/>
      <c r="AA422" s="643"/>
      <c r="AB422" s="256"/>
      <c r="AC422" s="256"/>
      <c r="AD422" s="256"/>
      <c r="AE422" s="256"/>
      <c r="AF422" s="256"/>
      <c r="AG422" s="256"/>
      <c r="AH422" s="643"/>
      <c r="AI422" s="587"/>
      <c r="AJ422" s="587"/>
      <c r="AK422" s="256"/>
      <c r="AL422" s="256"/>
      <c r="AM422" s="256"/>
      <c r="AN422" s="256"/>
      <c r="AO422" s="256"/>
      <c r="AP422" s="320"/>
      <c r="AQ422" s="643"/>
      <c r="AR422" s="643"/>
      <c r="AS422" s="256"/>
      <c r="AT422" s="256"/>
      <c r="AU422" s="256"/>
      <c r="AV422" s="256"/>
      <c r="AW422" s="256"/>
      <c r="AX422" s="256"/>
      <c r="AY422" s="256"/>
      <c r="AZ422" s="256"/>
      <c r="BA422" s="256"/>
      <c r="BB422" s="256"/>
      <c r="BC422" s="256"/>
      <c r="BD422" s="256"/>
      <c r="BE422" s="256"/>
      <c r="BF422" s="256"/>
      <c r="BG422" s="256"/>
      <c r="BH422" s="256"/>
      <c r="BI422" s="256"/>
      <c r="BJ422" s="256"/>
      <c r="BK422" s="256"/>
      <c r="BL422" s="256"/>
      <c r="BM422" s="256"/>
      <c r="BN422" s="256"/>
      <c r="BO422" s="587"/>
      <c r="BP422" s="587"/>
    </row>
    <row r="423" spans="1:73" hidden="1" outlineLevel="1">
      <c r="A423" s="256" t="str">
        <f>$A$40</f>
        <v>1Q</v>
      </c>
      <c r="B423" s="302" t="str">
        <f>$B$40</f>
        <v>Apr</v>
      </c>
      <c r="C423" s="256"/>
      <c r="D423" s="1122" t="s">
        <v>1086</v>
      </c>
      <c r="E423" s="643" t="s">
        <v>1970</v>
      </c>
      <c r="F423" s="1122"/>
      <c r="G423" s="643"/>
      <c r="H423" s="2085" t="s">
        <v>1086</v>
      </c>
      <c r="I423" s="643" t="s">
        <v>1970</v>
      </c>
      <c r="J423" s="1122" t="s">
        <v>1086</v>
      </c>
      <c r="K423" s="643" t="s">
        <v>1970</v>
      </c>
      <c r="L423" s="1143">
        <f>Stores!AA226</f>
        <v>13</v>
      </c>
      <c r="M423" s="256"/>
      <c r="N423" s="811">
        <f>AVERAGE(L423,13)</f>
        <v>13</v>
      </c>
      <c r="O423" s="256"/>
      <c r="P423" s="1122" t="s">
        <v>1086</v>
      </c>
      <c r="Q423" s="643" t="s">
        <v>1970</v>
      </c>
      <c r="R423" s="1122" t="s">
        <v>1086</v>
      </c>
      <c r="S423" s="587" t="s">
        <v>1970</v>
      </c>
      <c r="T423" s="256"/>
      <c r="U423" s="256"/>
      <c r="V423" s="296">
        <f>'segSales&amp;comps'!AG152</f>
        <v>34.198</v>
      </c>
      <c r="W423" s="238"/>
      <c r="X423" s="1122" t="s">
        <v>1086</v>
      </c>
      <c r="Y423" s="256"/>
      <c r="Z423" s="1122" t="s">
        <v>1086</v>
      </c>
      <c r="AA423" s="643" t="s">
        <v>1970</v>
      </c>
      <c r="AB423" s="256"/>
      <c r="AC423" s="1122"/>
      <c r="AD423" s="256"/>
      <c r="AE423" s="1122"/>
      <c r="AF423" s="256"/>
      <c r="AG423" s="1122"/>
      <c r="AH423" s="643"/>
      <c r="AI423" s="1122"/>
      <c r="AJ423" s="587"/>
      <c r="AK423" s="256"/>
      <c r="AL423" s="141"/>
      <c r="AM423" s="256"/>
      <c r="AN423" s="1122"/>
      <c r="AO423" s="256"/>
      <c r="AP423" s="1122"/>
      <c r="AQ423" s="643" t="s">
        <v>1970</v>
      </c>
      <c r="AR423" s="643"/>
      <c r="AS423" s="256"/>
      <c r="AT423" s="256"/>
      <c r="AU423" s="256"/>
      <c r="AV423" s="256"/>
      <c r="AW423" s="256"/>
      <c r="AX423" s="256"/>
      <c r="AY423" s="256"/>
      <c r="AZ423" s="256"/>
      <c r="BA423" s="256"/>
      <c r="BB423" s="256"/>
      <c r="BC423" s="256"/>
      <c r="BD423" s="256"/>
      <c r="BE423" s="256"/>
      <c r="BF423" s="256"/>
      <c r="BG423" s="256"/>
      <c r="BH423" s="256"/>
      <c r="BI423" s="256"/>
      <c r="BJ423" s="256"/>
      <c r="BK423" s="256"/>
      <c r="BL423" s="256"/>
      <c r="BM423" s="256"/>
      <c r="BN423" s="256"/>
      <c r="BO423" s="1592"/>
      <c r="BP423" s="1492"/>
    </row>
    <row r="424" spans="1:73" hidden="1" outlineLevel="1">
      <c r="A424" s="256" t="str">
        <f>$A$41</f>
        <v>2Q</v>
      </c>
      <c r="B424" s="302" t="str">
        <f>$B$41</f>
        <v>Jul</v>
      </c>
      <c r="C424" s="256"/>
      <c r="D424" s="1122" t="s">
        <v>1086</v>
      </c>
      <c r="E424" s="256"/>
      <c r="F424" s="1122"/>
      <c r="G424" s="256"/>
      <c r="H424" s="2085" t="s">
        <v>1086</v>
      </c>
      <c r="I424" s="256"/>
      <c r="J424" s="1122" t="s">
        <v>1086</v>
      </c>
      <c r="K424" s="256"/>
      <c r="L424" s="1143">
        <f>Stores!AA227</f>
        <v>13</v>
      </c>
      <c r="M424" s="256"/>
      <c r="N424" s="811">
        <f>AVERAGE(L424,L423)</f>
        <v>13</v>
      </c>
      <c r="O424" s="256"/>
      <c r="P424" s="1122" t="s">
        <v>1086</v>
      </c>
      <c r="Q424" s="643"/>
      <c r="R424" s="1122" t="s">
        <v>1086</v>
      </c>
      <c r="S424" s="587"/>
      <c r="T424" s="256"/>
      <c r="U424" s="256"/>
      <c r="V424" s="315">
        <f>'segSales&amp;comps'!AG153</f>
        <v>36.764000000000003</v>
      </c>
      <c r="W424" s="238"/>
      <c r="X424" s="1122" t="s">
        <v>1086</v>
      </c>
      <c r="Y424" s="256"/>
      <c r="Z424" s="1122" t="s">
        <v>1086</v>
      </c>
      <c r="AA424" s="643"/>
      <c r="AB424" s="256"/>
      <c r="AC424" s="1122"/>
      <c r="AD424" s="238"/>
      <c r="AE424" s="1122"/>
      <c r="AF424" s="256"/>
      <c r="AG424" s="1122"/>
      <c r="AH424" s="643"/>
      <c r="AI424" s="1122"/>
      <c r="AJ424" s="587"/>
      <c r="AK424" s="256"/>
      <c r="AL424" s="142"/>
      <c r="AM424" s="256"/>
      <c r="AN424" s="1122"/>
      <c r="AO424" s="256"/>
      <c r="AP424" s="1122"/>
      <c r="AQ424" s="643"/>
      <c r="AR424" s="643"/>
      <c r="AS424" s="256"/>
      <c r="AT424" s="256"/>
      <c r="AU424" s="256"/>
      <c r="AV424" s="256"/>
      <c r="AW424" s="256"/>
      <c r="AX424" s="256"/>
      <c r="AY424" s="256"/>
      <c r="AZ424" s="256"/>
      <c r="BA424" s="256"/>
      <c r="BB424" s="256"/>
      <c r="BC424" s="256"/>
      <c r="BD424" s="256"/>
      <c r="BE424" s="256"/>
      <c r="BF424" s="256"/>
      <c r="BG424" s="256"/>
      <c r="BH424" s="256"/>
      <c r="BI424" s="256"/>
      <c r="BJ424" s="256"/>
      <c r="BK424" s="256"/>
      <c r="BL424" s="256"/>
      <c r="BM424" s="256"/>
      <c r="BN424" s="302"/>
      <c r="BO424" s="1592"/>
      <c r="BP424" s="1492"/>
    </row>
    <row r="425" spans="1:73" hidden="1" outlineLevel="1">
      <c r="A425" s="256" t="str">
        <f>$A$42</f>
        <v>3Q</v>
      </c>
      <c r="B425" s="302" t="str">
        <f>$B$42</f>
        <v>Oct</v>
      </c>
      <c r="C425" s="256"/>
      <c r="D425" s="1122" t="s">
        <v>1086</v>
      </c>
      <c r="E425" s="256"/>
      <c r="F425" s="1122"/>
      <c r="G425" s="256"/>
      <c r="H425" s="2085" t="s">
        <v>1086</v>
      </c>
      <c r="I425" s="256"/>
      <c r="J425" s="1122" t="s">
        <v>1086</v>
      </c>
      <c r="K425" s="256"/>
      <c r="L425" s="1143">
        <f>Stores!AA228</f>
        <v>14</v>
      </c>
      <c r="M425" s="238"/>
      <c r="N425" s="811">
        <f>AVERAGE(L425,L424)</f>
        <v>13.5</v>
      </c>
      <c r="O425" s="256"/>
      <c r="P425" s="1122" t="s">
        <v>1086</v>
      </c>
      <c r="Q425" s="643"/>
      <c r="R425" s="1122" t="s">
        <v>1086</v>
      </c>
      <c r="S425" s="587"/>
      <c r="T425" s="256"/>
      <c r="U425" s="256"/>
      <c r="V425" s="315">
        <f>'segSales&amp;comps'!AG154</f>
        <v>38.758000000000003</v>
      </c>
      <c r="W425" s="256"/>
      <c r="X425" s="1122" t="s">
        <v>1086</v>
      </c>
      <c r="Y425" s="256"/>
      <c r="Z425" s="1122" t="s">
        <v>1086</v>
      </c>
      <c r="AA425" s="643"/>
      <c r="AB425" s="256"/>
      <c r="AC425" s="1122"/>
      <c r="AD425" s="238"/>
      <c r="AE425" s="1122"/>
      <c r="AF425" s="256"/>
      <c r="AG425" s="1122"/>
      <c r="AH425" s="643"/>
      <c r="AI425" s="1122"/>
      <c r="AJ425" s="587"/>
      <c r="AK425" s="256"/>
      <c r="AL425" s="142"/>
      <c r="AM425" s="256"/>
      <c r="AN425" s="1122"/>
      <c r="AO425" s="256"/>
      <c r="AP425" s="1122"/>
      <c r="AQ425" s="643"/>
      <c r="AR425" s="643"/>
      <c r="AS425" s="256"/>
      <c r="AT425" s="256"/>
      <c r="AU425" s="256"/>
      <c r="AV425" s="256"/>
      <c r="AW425" s="256"/>
      <c r="AX425" s="256"/>
      <c r="AY425" s="256"/>
      <c r="AZ425" s="256"/>
      <c r="BA425" s="256"/>
      <c r="BB425" s="256"/>
      <c r="BC425" s="256"/>
      <c r="BD425" s="256"/>
      <c r="BE425" s="256"/>
      <c r="BF425" s="256"/>
      <c r="BG425" s="256"/>
      <c r="BH425" s="256"/>
      <c r="BI425" s="256"/>
      <c r="BJ425" s="256"/>
      <c r="BK425" s="256"/>
      <c r="BL425" s="256"/>
      <c r="BM425" s="256"/>
      <c r="BN425" s="256"/>
      <c r="BO425" s="1592"/>
      <c r="BP425" s="1492"/>
    </row>
    <row r="426" spans="1:73" hidden="1" outlineLevel="1">
      <c r="A426" s="256" t="str">
        <f>$A$43</f>
        <v>4Q</v>
      </c>
      <c r="B426" s="302" t="str">
        <f>$B$43</f>
        <v>Jan</v>
      </c>
      <c r="C426" s="256"/>
      <c r="D426" s="1123" t="s">
        <v>1086</v>
      </c>
      <c r="E426" s="256"/>
      <c r="F426" s="1123"/>
      <c r="G426" s="256"/>
      <c r="H426" s="2090" t="s">
        <v>1086</v>
      </c>
      <c r="I426" s="256"/>
      <c r="J426" s="1123" t="s">
        <v>1086</v>
      </c>
      <c r="K426" s="256"/>
      <c r="L426" s="1144">
        <f>Stores!AA229</f>
        <v>14</v>
      </c>
      <c r="M426" s="238"/>
      <c r="N426" s="820">
        <f>AVERAGE(L426,L425)</f>
        <v>14</v>
      </c>
      <c r="O426" s="256"/>
      <c r="P426" s="1123" t="s">
        <v>1086</v>
      </c>
      <c r="Q426" s="643"/>
      <c r="R426" s="1123" t="s">
        <v>1086</v>
      </c>
      <c r="S426" s="587"/>
      <c r="T426" s="256"/>
      <c r="U426" s="256"/>
      <c r="V426" s="316">
        <f>'segSales&amp;comps'!AG155</f>
        <v>75.677999999999997</v>
      </c>
      <c r="W426" s="256"/>
      <c r="X426" s="1123" t="s">
        <v>1086</v>
      </c>
      <c r="Y426" s="256"/>
      <c r="Z426" s="1123" t="s">
        <v>1086</v>
      </c>
      <c r="AA426" s="643"/>
      <c r="AB426" s="256"/>
      <c r="AC426" s="1123"/>
      <c r="AD426" s="238"/>
      <c r="AE426" s="1123"/>
      <c r="AF426" s="256"/>
      <c r="AG426" s="1123"/>
      <c r="AH426" s="643"/>
      <c r="AI426" s="1123"/>
      <c r="AJ426" s="587"/>
      <c r="AK426" s="256"/>
      <c r="AL426" s="146"/>
      <c r="AM426" s="256"/>
      <c r="AN426" s="1123"/>
      <c r="AO426" s="256"/>
      <c r="AP426" s="1123"/>
      <c r="AQ426" s="643"/>
      <c r="AR426" s="643"/>
      <c r="AS426" s="256"/>
      <c r="AT426" s="256"/>
      <c r="AU426" s="256"/>
      <c r="AV426" s="256"/>
      <c r="AW426" s="256"/>
      <c r="AX426" s="256"/>
      <c r="AY426" s="256"/>
      <c r="AZ426" s="256"/>
      <c r="BA426" s="256"/>
      <c r="BB426" s="256"/>
      <c r="BC426" s="256"/>
      <c r="BD426" s="256"/>
      <c r="BE426" s="256"/>
      <c r="BF426" s="256"/>
      <c r="BG426" s="256"/>
      <c r="BH426" s="256"/>
      <c r="BI426" s="256"/>
      <c r="BJ426" s="256"/>
      <c r="BK426" s="256"/>
      <c r="BL426" s="256"/>
      <c r="BM426" s="256"/>
      <c r="BN426" s="256"/>
      <c r="BO426" s="1592"/>
      <c r="BP426" s="1492"/>
    </row>
    <row r="427" spans="1:73" hidden="1" outlineLevel="1">
      <c r="A427" s="256"/>
      <c r="B427" s="302" t="str">
        <f>$B$44</f>
        <v>Year</v>
      </c>
      <c r="C427" s="256"/>
      <c r="D427" s="1122" t="s">
        <v>1086</v>
      </c>
      <c r="E427" s="256"/>
      <c r="F427" s="1122"/>
      <c r="G427" s="256"/>
      <c r="H427" s="2085" t="s">
        <v>1086</v>
      </c>
      <c r="I427" s="256"/>
      <c r="J427" s="1122" t="s">
        <v>1086</v>
      </c>
      <c r="K427" s="256"/>
      <c r="L427" s="1143">
        <f>Stores!AA230</f>
        <v>14</v>
      </c>
      <c r="M427" s="256"/>
      <c r="N427" s="811">
        <f>AVERAGE(N423:N426)</f>
        <v>13.375</v>
      </c>
      <c r="O427" s="256"/>
      <c r="P427" s="1122" t="s">
        <v>1086</v>
      </c>
      <c r="Q427" s="643"/>
      <c r="R427" s="1122" t="s">
        <v>1086</v>
      </c>
      <c r="S427" s="587"/>
      <c r="T427" s="256"/>
      <c r="U427" s="256"/>
      <c r="V427" s="296">
        <f>SUM(V423:V426)</f>
        <v>185.398</v>
      </c>
      <c r="W427" s="256"/>
      <c r="X427" s="1122" t="s">
        <v>1086</v>
      </c>
      <c r="Y427" s="256"/>
      <c r="Z427" s="1122" t="s">
        <v>1086</v>
      </c>
      <c r="AA427" s="643"/>
      <c r="AB427" s="256"/>
      <c r="AC427" s="1122"/>
      <c r="AD427" s="256"/>
      <c r="AE427" s="1122"/>
      <c r="AF427" s="256"/>
      <c r="AG427" s="1122"/>
      <c r="AH427" s="643"/>
      <c r="AI427" s="1122"/>
      <c r="AJ427" s="587"/>
      <c r="AK427" s="256"/>
      <c r="AL427" s="141"/>
      <c r="AM427" s="256"/>
      <c r="AN427" s="1122"/>
      <c r="AO427" s="256"/>
      <c r="AP427" s="1122"/>
      <c r="AQ427" s="643"/>
      <c r="AR427" s="643"/>
      <c r="AS427" s="256"/>
      <c r="AT427" s="256"/>
      <c r="AU427" s="256"/>
      <c r="AV427" s="256"/>
      <c r="AW427" s="256"/>
      <c r="AX427" s="256"/>
      <c r="AY427" s="256"/>
      <c r="AZ427" s="256"/>
      <c r="BA427" s="256"/>
      <c r="BB427" s="256"/>
      <c r="BC427" s="256"/>
      <c r="BD427" s="256"/>
      <c r="BE427" s="256"/>
      <c r="BF427" s="256"/>
      <c r="BG427" s="256"/>
      <c r="BH427" s="256"/>
      <c r="BI427" s="256"/>
      <c r="BJ427" s="256"/>
      <c r="BK427" s="256"/>
      <c r="BL427" s="256"/>
      <c r="BM427" s="256"/>
      <c r="BN427" s="256"/>
      <c r="BO427" s="587"/>
      <c r="BP427" s="587"/>
    </row>
    <row r="428" spans="1:73" ht="13.5" hidden="1" outlineLevel="1" thickBot="1">
      <c r="A428" s="256"/>
      <c r="B428" s="302"/>
      <c r="C428" s="256"/>
      <c r="D428" s="256"/>
      <c r="E428" s="256"/>
      <c r="F428" s="297"/>
      <c r="G428" s="256"/>
      <c r="H428" s="2091"/>
      <c r="I428" s="256"/>
      <c r="J428" s="256"/>
      <c r="K428" s="256"/>
      <c r="L428" s="256"/>
      <c r="M428" s="256"/>
      <c r="N428" s="256"/>
      <c r="O428" s="256"/>
      <c r="P428" s="256"/>
      <c r="Q428" s="643"/>
      <c r="R428" s="256"/>
      <c r="S428" s="256"/>
      <c r="T428" s="256"/>
      <c r="U428" s="256"/>
      <c r="V428" s="256"/>
      <c r="W428" s="256"/>
      <c r="X428" s="256"/>
      <c r="Y428" s="256"/>
      <c r="Z428" s="256"/>
      <c r="AA428" s="256"/>
      <c r="AB428" s="256"/>
      <c r="AC428" s="256"/>
      <c r="AD428" s="256"/>
      <c r="AE428" s="256"/>
      <c r="AF428" s="256"/>
      <c r="AG428" s="256"/>
      <c r="AH428" s="643"/>
      <c r="AI428" s="256"/>
      <c r="AJ428" s="256"/>
      <c r="AK428" s="256"/>
      <c r="AL428" s="256"/>
      <c r="AM428" s="256"/>
      <c r="AN428" s="256"/>
      <c r="AO428" s="256"/>
      <c r="AP428" s="320"/>
      <c r="AQ428" s="256"/>
      <c r="AR428" s="256"/>
      <c r="AS428" s="256"/>
      <c r="AT428" s="256"/>
      <c r="AU428" s="256"/>
      <c r="AV428" s="256"/>
      <c r="AW428" s="256"/>
      <c r="AX428" s="256"/>
      <c r="AY428" s="256"/>
      <c r="AZ428" s="831"/>
      <c r="BA428" s="831"/>
      <c r="BB428" s="831"/>
      <c r="BC428" s="831"/>
      <c r="BD428" s="831"/>
      <c r="BE428" s="256"/>
      <c r="BG428" s="256"/>
      <c r="BH428" s="256"/>
      <c r="BI428" s="256"/>
      <c r="BJ428" s="256"/>
      <c r="BN428" s="256"/>
      <c r="BO428" s="587"/>
      <c r="BP428" s="587"/>
    </row>
    <row r="429" spans="1:73" ht="13.5" hidden="1" outlineLevel="1" thickBot="1">
      <c r="A429" s="810"/>
      <c r="B429" s="171">
        <f>+B422+1</f>
        <v>2007</v>
      </c>
      <c r="C429" s="256"/>
      <c r="D429" s="256"/>
      <c r="E429" s="643"/>
      <c r="F429" s="297"/>
      <c r="G429" s="643"/>
      <c r="H429" s="2091"/>
      <c r="I429" s="643"/>
      <c r="J429" s="256"/>
      <c r="K429" s="643"/>
      <c r="L429" s="256"/>
      <c r="M429" s="256"/>
      <c r="N429" s="256"/>
      <c r="O429" s="256"/>
      <c r="P429" s="256"/>
      <c r="Q429" s="643"/>
      <c r="R429" s="587"/>
      <c r="S429" s="587"/>
      <c r="T429" s="256"/>
      <c r="U429" s="256"/>
      <c r="V429" s="256"/>
      <c r="W429" s="256"/>
      <c r="X429" s="256"/>
      <c r="Y429" s="256"/>
      <c r="Z429" s="256"/>
      <c r="AA429" s="643"/>
      <c r="AB429" s="256"/>
      <c r="AC429" s="256"/>
      <c r="AD429" s="256"/>
      <c r="AE429" s="256"/>
      <c r="AF429" s="256"/>
      <c r="AG429" s="256"/>
      <c r="AH429" s="643"/>
      <c r="AI429" s="587"/>
      <c r="AJ429" s="587"/>
      <c r="AK429" s="256"/>
      <c r="AL429" s="256"/>
      <c r="AM429" s="256"/>
      <c r="AN429" s="256"/>
      <c r="AO429" s="256"/>
      <c r="AP429" s="320"/>
      <c r="AQ429" s="643"/>
      <c r="AR429" s="643"/>
      <c r="AS429" s="256"/>
      <c r="AT429" s="256"/>
      <c r="AU429" s="256"/>
      <c r="AV429" s="256"/>
      <c r="AW429" s="256"/>
      <c r="AX429" s="256"/>
      <c r="AY429" s="256"/>
      <c r="AZ429" s="1605">
        <v>0.5</v>
      </c>
      <c r="BA429" s="587"/>
      <c r="BB429" s="587"/>
      <c r="BC429" s="1605">
        <v>0.5</v>
      </c>
      <c r="BD429" s="1603"/>
      <c r="BE429" s="587"/>
      <c r="BF429" s="1604"/>
      <c r="BG429" s="587"/>
      <c r="BH429" s="256"/>
      <c r="BI429" s="256"/>
      <c r="BJ429" s="256"/>
      <c r="BN429" s="256"/>
      <c r="BO429" s="587"/>
      <c r="BP429" s="587"/>
    </row>
    <row r="430" spans="1:73" hidden="1" outlineLevel="1">
      <c r="A430" s="256" t="str">
        <f>$A$40</f>
        <v>1Q</v>
      </c>
      <c r="B430" s="302" t="str">
        <f>$B$40</f>
        <v>Apr</v>
      </c>
      <c r="C430" s="256"/>
      <c r="D430" s="288">
        <f>(V430/V423-1)*100</f>
        <v>27.3290835721387</v>
      </c>
      <c r="E430" s="643" t="s">
        <v>1970</v>
      </c>
      <c r="F430" s="297"/>
      <c r="G430" s="643"/>
      <c r="H430" s="2091">
        <f>'segSales&amp;comps'!AI159</f>
        <v>11</v>
      </c>
      <c r="I430" s="643" t="s">
        <v>1970</v>
      </c>
      <c r="J430" s="288">
        <f>D430-H430</f>
        <v>16.3290835721387</v>
      </c>
      <c r="K430" s="643" t="s">
        <v>1970</v>
      </c>
      <c r="L430" s="948">
        <f>Stores!AA233</f>
        <v>14</v>
      </c>
      <c r="M430" s="256"/>
      <c r="N430" s="811">
        <f>AVERAGE(L430,L426)</f>
        <v>14</v>
      </c>
      <c r="O430" s="256"/>
      <c r="P430" s="288">
        <f>(N430/N423-1)*100</f>
        <v>7.6923076923076872</v>
      </c>
      <c r="Q430" s="643" t="s">
        <v>1970</v>
      </c>
      <c r="R430" s="812">
        <f>J430/P430*100</f>
        <v>212.27808643780324</v>
      </c>
      <c r="S430" s="587" t="s">
        <v>1970</v>
      </c>
      <c r="T430" s="256"/>
      <c r="U430" s="256"/>
      <c r="V430" s="296">
        <f>'segSales&amp;comps'!AG159</f>
        <v>43.543999999999997</v>
      </c>
      <c r="W430" s="238"/>
      <c r="X430" s="813">
        <f>V430/N430</f>
        <v>3.1102857142857139</v>
      </c>
      <c r="Y430" s="256"/>
      <c r="Z430" s="1122" t="s">
        <v>1086</v>
      </c>
      <c r="AA430" s="643" t="s">
        <v>1970</v>
      </c>
      <c r="AB430" s="256"/>
      <c r="AC430" s="1017"/>
      <c r="AD430" s="256"/>
      <c r="AE430" s="816"/>
      <c r="AF430" s="256"/>
      <c r="AG430" s="288"/>
      <c r="AH430" s="643"/>
      <c r="AI430" s="812"/>
      <c r="AJ430" s="587"/>
      <c r="AK430" s="256"/>
      <c r="AL430" s="296"/>
      <c r="AM430" s="256"/>
      <c r="AN430" s="817"/>
      <c r="AO430" s="256"/>
      <c r="AP430" s="320"/>
      <c r="AQ430" s="643" t="s">
        <v>1970</v>
      </c>
      <c r="AR430" s="643"/>
      <c r="AS430" s="256"/>
      <c r="AT430" s="256"/>
      <c r="AU430" s="256"/>
      <c r="AV430" s="256"/>
      <c r="AW430" s="256"/>
      <c r="AX430" s="256"/>
      <c r="AY430" s="256"/>
      <c r="AZ430" s="1017">
        <v>1.9637758015873017</v>
      </c>
      <c r="BA430" s="256"/>
      <c r="BB430" s="256"/>
      <c r="BC430" s="1017">
        <v>1.3273257206349207</v>
      </c>
      <c r="BD430" s="1017"/>
      <c r="BE430" s="256"/>
      <c r="BG430" s="256"/>
      <c r="BH430" s="256"/>
      <c r="BI430" s="256"/>
      <c r="BJ430" s="256"/>
      <c r="BN430" s="256"/>
      <c r="BO430" s="1592"/>
      <c r="BP430" s="1492"/>
    </row>
    <row r="431" spans="1:73" hidden="1" outlineLevel="1">
      <c r="A431" s="256" t="str">
        <f>$A$41</f>
        <v>2Q</v>
      </c>
      <c r="B431" s="302" t="str">
        <f>$B$41</f>
        <v>Jul</v>
      </c>
      <c r="C431" s="256"/>
      <c r="D431" s="288">
        <f>(V431/V424-1)*100</f>
        <v>42.963224893917953</v>
      </c>
      <c r="E431" s="256"/>
      <c r="F431" s="297"/>
      <c r="G431" s="256"/>
      <c r="H431" s="2091">
        <f>'segSales&amp;comps'!AI160</f>
        <v>23</v>
      </c>
      <c r="I431" s="256"/>
      <c r="J431" s="288">
        <f>D431-H431</f>
        <v>19.963224893917953</v>
      </c>
      <c r="K431" s="256"/>
      <c r="L431" s="948">
        <f>Stores!AA234</f>
        <v>15</v>
      </c>
      <c r="M431" s="256"/>
      <c r="N431" s="811">
        <f>AVERAGE(L431,L430)</f>
        <v>14.5</v>
      </c>
      <c r="O431" s="256"/>
      <c r="P431" s="288">
        <f>(N431/N424-1)*100</f>
        <v>11.538461538461542</v>
      </c>
      <c r="Q431" s="643"/>
      <c r="R431" s="812">
        <f>J431/P431*100</f>
        <v>173.01461574728887</v>
      </c>
      <c r="S431" s="587"/>
      <c r="T431" s="256"/>
      <c r="U431" s="256"/>
      <c r="V431" s="315">
        <f>'segSales&amp;comps'!AG160</f>
        <v>52.558999999999997</v>
      </c>
      <c r="W431" s="238"/>
      <c r="X431" s="818">
        <f>V431/N431</f>
        <v>3.6247586206896552</v>
      </c>
      <c r="Y431" s="256"/>
      <c r="Z431" s="1122" t="s">
        <v>1086</v>
      </c>
      <c r="AA431" s="643"/>
      <c r="AB431" s="256"/>
      <c r="AC431" s="1017"/>
      <c r="AD431" s="238"/>
      <c r="AE431" s="816"/>
      <c r="AF431" s="256"/>
      <c r="AG431" s="288"/>
      <c r="AH431" s="643"/>
      <c r="AI431" s="812"/>
      <c r="AJ431" s="587"/>
      <c r="AK431" s="256"/>
      <c r="AL431" s="315"/>
      <c r="AM431" s="256"/>
      <c r="AN431" s="817"/>
      <c r="AO431" s="256"/>
      <c r="AP431" s="320"/>
      <c r="AQ431" s="643"/>
      <c r="AR431" s="643"/>
      <c r="AS431" s="256"/>
      <c r="AT431" s="256"/>
      <c r="AU431" s="256"/>
      <c r="AV431" s="256"/>
      <c r="AW431" s="256"/>
      <c r="AX431" s="256"/>
      <c r="AY431" s="256"/>
      <c r="AZ431" s="1017">
        <v>2.0009662727272723</v>
      </c>
      <c r="BA431" s="256"/>
      <c r="BB431" s="256"/>
      <c r="BC431" s="1017">
        <v>1.3552768030303033</v>
      </c>
      <c r="BD431" s="1017"/>
      <c r="BE431" s="256"/>
      <c r="BG431" s="256"/>
      <c r="BH431" s="256"/>
      <c r="BI431" s="256"/>
      <c r="BJ431" s="256"/>
      <c r="BN431" s="256"/>
      <c r="BO431" s="1592"/>
      <c r="BP431" s="1492"/>
    </row>
    <row r="432" spans="1:73" hidden="1" outlineLevel="1">
      <c r="A432" s="256" t="str">
        <f>$A$42</f>
        <v>3Q</v>
      </c>
      <c r="B432" s="302" t="str">
        <f>$B$42</f>
        <v>Oct</v>
      </c>
      <c r="C432" s="256"/>
      <c r="D432" s="288">
        <f>(V432/V425-1)*100</f>
        <v>29.199133082202387</v>
      </c>
      <c r="E432" s="256"/>
      <c r="F432" s="297"/>
      <c r="G432" s="256"/>
      <c r="H432" s="2091">
        <f>'segSales&amp;comps'!AI161</f>
        <v>14</v>
      </c>
      <c r="I432" s="256"/>
      <c r="J432" s="288">
        <f>D432-H432</f>
        <v>15.199133082202387</v>
      </c>
      <c r="K432" s="256"/>
      <c r="L432" s="948">
        <f>Stores!AA235</f>
        <v>16</v>
      </c>
      <c r="M432" s="238"/>
      <c r="N432" s="811">
        <f>AVERAGE(L432,L431)</f>
        <v>15.5</v>
      </c>
      <c r="O432" s="256"/>
      <c r="P432" s="288">
        <f>(N432/N425-1)*100</f>
        <v>14.814814814814813</v>
      </c>
      <c r="Q432" s="643"/>
      <c r="R432" s="812">
        <f>J432/P432*100</f>
        <v>102.59414830486612</v>
      </c>
      <c r="S432" s="587"/>
      <c r="T432" s="256"/>
      <c r="U432" s="256"/>
      <c r="V432" s="315">
        <f>'segSales&amp;comps'!AG161</f>
        <v>50.075000000000003</v>
      </c>
      <c r="W432" s="256"/>
      <c r="X432" s="818">
        <f>V432/N432</f>
        <v>3.2306451612903229</v>
      </c>
      <c r="Y432" s="256"/>
      <c r="Z432" s="1122" t="s">
        <v>1086</v>
      </c>
      <c r="AA432" s="643"/>
      <c r="AB432" s="256"/>
      <c r="AC432" s="1017"/>
      <c r="AD432" s="238"/>
      <c r="AE432" s="816"/>
      <c r="AF432" s="256"/>
      <c r="AG432" s="288"/>
      <c r="AH432" s="643"/>
      <c r="AI432" s="812"/>
      <c r="AJ432" s="587"/>
      <c r="AK432" s="256"/>
      <c r="AL432" s="315"/>
      <c r="AM432" s="256"/>
      <c r="AN432" s="817"/>
      <c r="AO432" s="256"/>
      <c r="AP432" s="320"/>
      <c r="AQ432" s="643"/>
      <c r="AR432" s="643"/>
      <c r="AS432" s="256"/>
      <c r="AT432" s="256"/>
      <c r="AU432" s="256"/>
      <c r="AV432" s="256"/>
      <c r="AW432" s="256"/>
      <c r="AX432" s="256"/>
      <c r="AY432" s="256"/>
      <c r="AZ432" s="1017">
        <v>2.024357968181818</v>
      </c>
      <c r="BA432" s="256"/>
      <c r="BB432" s="256"/>
      <c r="BC432" s="1017">
        <v>1.390870033333333</v>
      </c>
      <c r="BD432" s="1017"/>
      <c r="BE432" s="256"/>
      <c r="BG432" s="256"/>
      <c r="BH432" s="256"/>
      <c r="BI432" s="256"/>
      <c r="BJ432" s="256"/>
      <c r="BN432" s="256"/>
      <c r="BO432" s="1592"/>
      <c r="BP432" s="1492"/>
    </row>
    <row r="433" spans="1:68" hidden="1" outlineLevel="1">
      <c r="A433" s="256" t="str">
        <f>$A$43</f>
        <v>4Q</v>
      </c>
      <c r="B433" s="302" t="str">
        <f>$B$43</f>
        <v>Jan</v>
      </c>
      <c r="C433" s="256"/>
      <c r="D433" s="318">
        <f>(V433/V426-1)*100</f>
        <v>28.704511218583995</v>
      </c>
      <c r="E433" s="256"/>
      <c r="F433" s="298"/>
      <c r="G433" s="256"/>
      <c r="H433" s="2095">
        <f>'segSales&amp;comps'!AI162</f>
        <v>8</v>
      </c>
      <c r="I433" s="256"/>
      <c r="J433" s="318">
        <f>D433-H433</f>
        <v>20.704511218583995</v>
      </c>
      <c r="K433" s="256"/>
      <c r="L433" s="949">
        <f>Stores!AA236</f>
        <v>17</v>
      </c>
      <c r="M433" s="238"/>
      <c r="N433" s="820">
        <f>AVERAGE(L433,L432)</f>
        <v>16.5</v>
      </c>
      <c r="O433" s="256"/>
      <c r="P433" s="318">
        <f>(N433/N426-1)*100</f>
        <v>17.857142857142861</v>
      </c>
      <c r="Q433" s="643"/>
      <c r="R433" s="820">
        <f>J433/P433*100</f>
        <v>115.94526282407034</v>
      </c>
      <c r="S433" s="587"/>
      <c r="T433" s="256"/>
      <c r="U433" s="256"/>
      <c r="V433" s="316">
        <f>'segSales&amp;comps'!AG162</f>
        <v>97.400999999999996</v>
      </c>
      <c r="W433" s="256"/>
      <c r="X433" s="821">
        <f>V433/N433</f>
        <v>5.9030909090909089</v>
      </c>
      <c r="Y433" s="256"/>
      <c r="Z433" s="1123" t="s">
        <v>1086</v>
      </c>
      <c r="AA433" s="643"/>
      <c r="AB433" s="256"/>
      <c r="AC433" s="1017"/>
      <c r="AD433" s="238"/>
      <c r="AE433" s="822"/>
      <c r="AF433" s="256"/>
      <c r="AG433" s="288"/>
      <c r="AH433" s="643"/>
      <c r="AI433" s="812"/>
      <c r="AJ433" s="587"/>
      <c r="AK433" s="256"/>
      <c r="AL433" s="316"/>
      <c r="AM433" s="256"/>
      <c r="AN433" s="950"/>
      <c r="AO433" s="256"/>
      <c r="AP433" s="320"/>
      <c r="AQ433" s="643"/>
      <c r="AR433" s="643"/>
      <c r="AS433" s="256"/>
      <c r="AT433" s="256"/>
      <c r="AU433" s="256"/>
      <c r="AV433" s="256"/>
      <c r="AW433" s="256"/>
      <c r="AX433" s="256"/>
      <c r="AY433" s="256"/>
      <c r="AZ433" s="1601">
        <v>2.0195780569230766</v>
      </c>
      <c r="BA433" s="775"/>
      <c r="BB433" s="256"/>
      <c r="BC433" s="1601">
        <v>1.4644341907692306</v>
      </c>
      <c r="BD433" s="1601"/>
      <c r="BE433" s="256"/>
      <c r="BF433" s="186"/>
      <c r="BG433" s="775"/>
      <c r="BH433" s="256"/>
      <c r="BI433" s="256"/>
      <c r="BJ433" s="256"/>
      <c r="BN433" s="256"/>
      <c r="BO433" s="1592"/>
      <c r="BP433" s="1492"/>
    </row>
    <row r="434" spans="1:68" hidden="1" outlineLevel="1">
      <c r="A434" s="256"/>
      <c r="B434" s="302" t="str">
        <f>$B$44</f>
        <v>Year</v>
      </c>
      <c r="C434" s="256"/>
      <c r="D434" s="288">
        <f>(V434/V427-1)*100</f>
        <v>31.381676177736551</v>
      </c>
      <c r="E434" s="256"/>
      <c r="F434" s="297"/>
      <c r="G434" s="256"/>
      <c r="H434" s="2091">
        <f>'segSales&amp;comps'!AI163</f>
        <v>13</v>
      </c>
      <c r="I434" s="256"/>
      <c r="J434" s="288">
        <f>D434-H434</f>
        <v>18.381676177736551</v>
      </c>
      <c r="K434" s="256"/>
      <c r="L434" s="951">
        <f>Stores!AA237</f>
        <v>17</v>
      </c>
      <c r="M434" s="256"/>
      <c r="N434" s="811">
        <f>AVERAGE(N430:N433)</f>
        <v>15.125</v>
      </c>
      <c r="O434" s="256"/>
      <c r="P434" s="288">
        <f>(N434/N427-1)*100</f>
        <v>13.084112149532711</v>
      </c>
      <c r="Q434" s="643"/>
      <c r="R434" s="812">
        <f>J434/P434*100</f>
        <v>140.48852507270078</v>
      </c>
      <c r="S434" s="587"/>
      <c r="T434" s="256"/>
      <c r="U434" s="256"/>
      <c r="V434" s="296">
        <f>SUM(V430:V433)</f>
        <v>243.57900000000001</v>
      </c>
      <c r="W434" s="256"/>
      <c r="X434" s="813">
        <f>SUM(X430:X433)</f>
        <v>15.868780405356599</v>
      </c>
      <c r="Y434" s="256"/>
      <c r="Z434" s="1122" t="s">
        <v>1086</v>
      </c>
      <c r="AA434" s="643"/>
      <c r="AB434" s="256"/>
      <c r="AC434" s="815"/>
      <c r="AD434" s="256"/>
      <c r="AE434" s="816"/>
      <c r="AF434" s="256"/>
      <c r="AG434" s="288"/>
      <c r="AH434" s="643"/>
      <c r="AI434" s="812"/>
      <c r="AJ434" s="587"/>
      <c r="AK434" s="256"/>
      <c r="AL434" s="296"/>
      <c r="AM434" s="256"/>
      <c r="AN434" s="817"/>
      <c r="AO434" s="256"/>
      <c r="AP434" s="320"/>
      <c r="AQ434" s="643"/>
      <c r="AR434" s="643"/>
      <c r="AS434" s="256"/>
      <c r="AT434" s="256"/>
      <c r="AU434" s="256"/>
      <c r="AV434" s="256"/>
      <c r="AW434" s="256"/>
      <c r="AX434" s="256"/>
      <c r="AY434" s="256"/>
      <c r="AZ434" s="1017">
        <v>2.0025455734615374</v>
      </c>
      <c r="BA434" s="256"/>
      <c r="BB434" s="256"/>
      <c r="BC434" s="1017">
        <v>1.3848285923076911</v>
      </c>
      <c r="BD434" s="1017"/>
      <c r="BE434" s="256"/>
      <c r="BG434" s="256"/>
      <c r="BH434" s="256"/>
      <c r="BI434" s="256"/>
      <c r="BJ434" s="256"/>
      <c r="BN434" s="302"/>
      <c r="BO434" s="587"/>
      <c r="BP434" s="587"/>
    </row>
    <row r="435" spans="1:68" ht="13.5" hidden="1" outlineLevel="1" thickBot="1">
      <c r="A435" s="256"/>
      <c r="B435" s="302"/>
      <c r="C435" s="256"/>
      <c r="D435" s="288"/>
      <c r="E435" s="256"/>
      <c r="F435" s="297"/>
      <c r="G435" s="256"/>
      <c r="H435" s="2091"/>
      <c r="I435" s="256"/>
      <c r="J435" s="288"/>
      <c r="K435" s="256"/>
      <c r="L435" s="1033"/>
      <c r="M435" s="256"/>
      <c r="N435" s="811"/>
      <c r="O435" s="256"/>
      <c r="P435" s="288"/>
      <c r="Q435" s="643"/>
      <c r="R435" s="812"/>
      <c r="S435" s="587"/>
      <c r="T435" s="256"/>
      <c r="U435" s="256"/>
      <c r="V435" s="296"/>
      <c r="W435" s="256"/>
      <c r="X435" s="813"/>
      <c r="Y435" s="256"/>
      <c r="Z435" s="814"/>
      <c r="AA435" s="643"/>
      <c r="AB435" s="256"/>
      <c r="AC435" s="815"/>
      <c r="AD435" s="256"/>
      <c r="AE435" s="816"/>
      <c r="AF435" s="256"/>
      <c r="AG435" s="288"/>
      <c r="AH435" s="643"/>
      <c r="AI435" s="812"/>
      <c r="AJ435" s="587"/>
      <c r="AK435" s="256"/>
      <c r="AL435" s="296"/>
      <c r="AM435" s="256"/>
      <c r="AN435" s="817"/>
      <c r="AO435" s="256"/>
      <c r="AP435" s="320"/>
      <c r="AQ435" s="643"/>
      <c r="AR435" s="643"/>
      <c r="AS435" s="256"/>
      <c r="AT435" s="256"/>
      <c r="AU435" s="256"/>
      <c r="AV435" s="256"/>
      <c r="AW435" s="256"/>
      <c r="AX435" s="256"/>
      <c r="AY435" s="256"/>
      <c r="AZ435" s="256"/>
      <c r="BA435" s="256"/>
      <c r="BB435" s="256"/>
      <c r="BC435" s="256"/>
      <c r="BD435" s="256"/>
      <c r="BE435" s="256"/>
      <c r="BG435" s="256"/>
      <c r="BH435" s="256"/>
      <c r="BI435" s="256"/>
      <c r="BJ435" s="256"/>
      <c r="BN435" s="256"/>
      <c r="BO435" s="587"/>
      <c r="BP435" s="587"/>
    </row>
    <row r="436" spans="1:68" ht="13.5" hidden="1" outlineLevel="1" thickBot="1">
      <c r="A436" s="810"/>
      <c r="B436" s="171">
        <f>+B429+1</f>
        <v>2008</v>
      </c>
      <c r="C436" s="256"/>
      <c r="D436" s="256"/>
      <c r="E436" s="643"/>
      <c r="F436" s="297"/>
      <c r="G436" s="643"/>
      <c r="H436" s="2091"/>
      <c r="I436" s="643"/>
      <c r="J436" s="256"/>
      <c r="K436" s="643"/>
      <c r="L436" s="256"/>
      <c r="M436" s="256"/>
      <c r="N436" s="256"/>
      <c r="O436" s="256"/>
      <c r="P436" s="256"/>
      <c r="Q436" s="643"/>
      <c r="R436" s="587"/>
      <c r="S436" s="587"/>
      <c r="T436" s="256"/>
      <c r="U436" s="256"/>
      <c r="V436" s="256"/>
      <c r="W436" s="256"/>
      <c r="X436" s="256"/>
      <c r="Y436" s="256"/>
      <c r="Z436" s="256"/>
      <c r="AA436" s="643"/>
      <c r="AB436" s="256"/>
      <c r="AC436" s="256"/>
      <c r="AD436" s="256"/>
      <c r="AE436" s="256"/>
      <c r="AF436" s="256"/>
      <c r="AG436" s="256"/>
      <c r="AH436" s="643"/>
      <c r="AI436" s="587"/>
      <c r="AJ436" s="587"/>
      <c r="AK436" s="256"/>
      <c r="AL436" s="256"/>
      <c r="AM436" s="256"/>
      <c r="AN436" s="256"/>
      <c r="AO436" s="256"/>
      <c r="AP436" s="320"/>
      <c r="AQ436" s="643"/>
      <c r="AR436" s="643"/>
      <c r="AS436" s="256"/>
      <c r="AT436" s="256"/>
      <c r="AU436" s="256"/>
      <c r="AV436" s="256"/>
      <c r="AW436" s="256"/>
      <c r="AX436" s="256"/>
      <c r="AY436" s="256"/>
      <c r="AZ436" s="1605">
        <v>0.5</v>
      </c>
      <c r="BA436" s="587"/>
      <c r="BB436" s="587"/>
      <c r="BC436" s="1605">
        <f>1-AZ436</f>
        <v>0.5</v>
      </c>
      <c r="BD436" s="1603"/>
      <c r="BE436" s="587"/>
      <c r="BF436" s="1606"/>
      <c r="BG436" s="587"/>
      <c r="BH436" s="256"/>
      <c r="BI436" s="256"/>
      <c r="BJ436" s="256"/>
      <c r="BN436" s="256"/>
      <c r="BO436" s="587"/>
      <c r="BP436" s="587"/>
    </row>
    <row r="437" spans="1:68" hidden="1" outlineLevel="1">
      <c r="A437" s="256" t="str">
        <f>$A$40</f>
        <v>1Q</v>
      </c>
      <c r="B437" s="302" t="str">
        <f>$B$40</f>
        <v>Apr</v>
      </c>
      <c r="C437" s="256"/>
      <c r="D437" s="288">
        <f>(V437/V430-1)*100</f>
        <v>31.556586441300748</v>
      </c>
      <c r="E437" s="643" t="s">
        <v>1970</v>
      </c>
      <c r="F437" s="297">
        <v>8</v>
      </c>
      <c r="G437" s="643"/>
      <c r="H437" s="2091">
        <f>'segSales&amp;comps'!AI166</f>
        <v>12</v>
      </c>
      <c r="I437" s="643" t="s">
        <v>1970</v>
      </c>
      <c r="J437" s="288">
        <f>D437-H437-F437</f>
        <v>11.556586441300748</v>
      </c>
      <c r="K437" s="643" t="s">
        <v>1970</v>
      </c>
      <c r="L437" s="948">
        <f>Stores!AA240</f>
        <v>18</v>
      </c>
      <c r="M437" s="256"/>
      <c r="N437" s="811">
        <f>AVERAGE(L437,L433)</f>
        <v>17.5</v>
      </c>
      <c r="O437" s="256"/>
      <c r="P437" s="288">
        <f>(N437/N430-1)*100</f>
        <v>25</v>
      </c>
      <c r="Q437" s="643" t="s">
        <v>1970</v>
      </c>
      <c r="R437" s="812">
        <f>J437/P437*100</f>
        <v>46.226345765202993</v>
      </c>
      <c r="S437" s="587" t="s">
        <v>1970</v>
      </c>
      <c r="T437" s="256"/>
      <c r="U437" s="256"/>
      <c r="V437" s="296">
        <f>'segSales&amp;comps'!AG166</f>
        <v>57.284999999999997</v>
      </c>
      <c r="W437" s="238"/>
      <c r="X437" s="813">
        <f>V437/N437</f>
        <v>3.2734285714285711</v>
      </c>
      <c r="Y437" s="256"/>
      <c r="Z437" s="814">
        <f>(X437/X430-1)*100</f>
        <v>5.2452691530405993</v>
      </c>
      <c r="AA437" s="643" t="s">
        <v>1970</v>
      </c>
      <c r="AB437" s="256"/>
      <c r="AC437" s="1017"/>
      <c r="AD437" s="256" t="s">
        <v>505</v>
      </c>
      <c r="AE437" s="1122" t="s">
        <v>1086</v>
      </c>
      <c r="AF437" s="256"/>
      <c r="AG437" s="1122" t="s">
        <v>1086</v>
      </c>
      <c r="AH437" s="643" t="s">
        <v>1970</v>
      </c>
      <c r="AI437" s="1122" t="s">
        <v>1086</v>
      </c>
      <c r="AJ437" s="587" t="s">
        <v>1970</v>
      </c>
      <c r="AK437" s="256"/>
      <c r="AL437" s="296">
        <f>+V437</f>
        <v>57.284999999999997</v>
      </c>
      <c r="AM437" s="256" t="s">
        <v>505</v>
      </c>
      <c r="AN437" s="1122" t="s">
        <v>1086</v>
      </c>
      <c r="AO437" s="256"/>
      <c r="AP437" s="1122" t="s">
        <v>1086</v>
      </c>
      <c r="AQ437" s="643" t="s">
        <v>1970</v>
      </c>
      <c r="AR437" s="643"/>
      <c r="AS437" s="256"/>
      <c r="AT437" s="256"/>
      <c r="AU437" s="256"/>
      <c r="AV437" s="256"/>
      <c r="AW437" s="256"/>
      <c r="AX437" s="256"/>
      <c r="AY437" s="256"/>
      <c r="AZ437" s="1017">
        <v>1.9823894468749998</v>
      </c>
      <c r="BA437" s="1167">
        <f>+(AZ437/AZ430-1)*100</f>
        <v>0.94784981425337644</v>
      </c>
      <c r="BB437" s="1609" t="s">
        <v>1970</v>
      </c>
      <c r="BC437" s="1017">
        <v>1.5335972453125004</v>
      </c>
      <c r="BD437" s="1167">
        <f>+(BC437/BC430-1)*100</f>
        <v>15.540384810663554</v>
      </c>
      <c r="BE437" s="1609" t="s">
        <v>1970</v>
      </c>
      <c r="BF437" s="1017"/>
      <c r="BG437" s="1167"/>
      <c r="BH437" s="1167">
        <f>($AZ$436*BA437)+($BC$436*BD437)</f>
        <v>8.2441173124584655</v>
      </c>
      <c r="BI437" s="297">
        <f>(AZ436*BA437)+(BC436*BD437)+(BF436*BG437)</f>
        <v>8.2441173124584655</v>
      </c>
      <c r="BJ437" s="643" t="s">
        <v>1970</v>
      </c>
      <c r="BK437" s="297">
        <f>F437</f>
        <v>8</v>
      </c>
      <c r="BL437" s="643" t="s">
        <v>1970</v>
      </c>
      <c r="BN437" s="256"/>
      <c r="BO437" s="1592"/>
      <c r="BP437" s="1492"/>
    </row>
    <row r="438" spans="1:68" hidden="1" outlineLevel="1">
      <c r="A438" s="256" t="str">
        <f>$A$41</f>
        <v>2Q</v>
      </c>
      <c r="B438" s="302" t="str">
        <f>$B$41</f>
        <v>Jul</v>
      </c>
      <c r="C438" s="256"/>
      <c r="D438" s="288">
        <f>(V438/V431-1)*100</f>
        <v>25.219277383511862</v>
      </c>
      <c r="E438" s="256"/>
      <c r="F438" s="297">
        <v>6</v>
      </c>
      <c r="G438" s="256"/>
      <c r="H438" s="2091">
        <f>'segSales&amp;comps'!AI167</f>
        <v>11</v>
      </c>
      <c r="I438" s="256"/>
      <c r="J438" s="288">
        <f>D438-H438-F438</f>
        <v>8.2192773835118622</v>
      </c>
      <c r="K438" s="256"/>
      <c r="L438" s="948">
        <f>Stores!AA241</f>
        <v>19</v>
      </c>
      <c r="M438" s="256"/>
      <c r="N438" s="811">
        <f>AVERAGE(L438,L437)</f>
        <v>18.5</v>
      </c>
      <c r="O438" s="256"/>
      <c r="P438" s="288">
        <f>(N438/N431-1)*100</f>
        <v>27.586206896551737</v>
      </c>
      <c r="Q438" s="643"/>
      <c r="R438" s="812">
        <f>J438/P438*100</f>
        <v>29.794880515230489</v>
      </c>
      <c r="S438" s="587"/>
      <c r="T438" s="256"/>
      <c r="U438" s="256"/>
      <c r="V438" s="315">
        <f>'segSales&amp;comps'!AG167</f>
        <v>65.813999999999993</v>
      </c>
      <c r="W438" s="238"/>
      <c r="X438" s="818">
        <f>V438/N438</f>
        <v>3.5575135135135132</v>
      </c>
      <c r="Y438" s="256"/>
      <c r="Z438" s="814">
        <f>(X438/X431-1)*100</f>
        <v>-1.8551609696799032</v>
      </c>
      <c r="AA438" s="643"/>
      <c r="AB438" s="256"/>
      <c r="AC438" s="1017"/>
      <c r="AD438" s="238"/>
      <c r="AE438" s="1122" t="s">
        <v>1086</v>
      </c>
      <c r="AF438" s="256"/>
      <c r="AG438" s="1122" t="s">
        <v>1086</v>
      </c>
      <c r="AH438" s="643"/>
      <c r="AI438" s="1122" t="s">
        <v>1086</v>
      </c>
      <c r="AJ438" s="587"/>
      <c r="AK438" s="256"/>
      <c r="AL438" s="315">
        <f>+V438</f>
        <v>65.813999999999993</v>
      </c>
      <c r="AM438" s="256"/>
      <c r="AN438" s="1122" t="s">
        <v>1086</v>
      </c>
      <c r="AO438" s="256"/>
      <c r="AP438" s="1122" t="s">
        <v>1086</v>
      </c>
      <c r="AQ438" s="643"/>
      <c r="AR438" s="643"/>
      <c r="AS438" s="256"/>
      <c r="AT438" s="256"/>
      <c r="AU438" s="256"/>
      <c r="AV438" s="256"/>
      <c r="AW438" s="256"/>
      <c r="AX438" s="256"/>
      <c r="AY438" s="256"/>
      <c r="AZ438" s="1017">
        <v>1.9733124969696969</v>
      </c>
      <c r="BA438" s="1167">
        <f>+(AZ438/AZ431-1)*100</f>
        <v>-1.3820210832381497</v>
      </c>
      <c r="BB438" s="256"/>
      <c r="BC438" s="1017">
        <v>1.5626631439393934</v>
      </c>
      <c r="BD438" s="1167">
        <f>+(BC438/BC431-1)*100</f>
        <v>15.302139049778528</v>
      </c>
      <c r="BE438" s="256"/>
      <c r="BF438" s="1017"/>
      <c r="BG438" s="1167"/>
      <c r="BH438" s="1167">
        <f>($AZ$436*BA438)+($BC$436*BD438)</f>
        <v>6.9600589832701889</v>
      </c>
      <c r="BI438" s="297">
        <f>(AZ436*BA438)+(BC436*BD438)+(BF436*BG438)</f>
        <v>6.9600589832701889</v>
      </c>
      <c r="BJ438" s="256"/>
      <c r="BK438" s="297">
        <f>F438</f>
        <v>6</v>
      </c>
      <c r="BN438" s="256"/>
      <c r="BO438" s="1592"/>
      <c r="BP438" s="1492"/>
    </row>
    <row r="439" spans="1:68" hidden="1" outlineLevel="1">
      <c r="A439" s="256" t="str">
        <f>$A$42</f>
        <v>3Q</v>
      </c>
      <c r="B439" s="302" t="str">
        <f>$B$42</f>
        <v>Oct</v>
      </c>
      <c r="C439" s="256"/>
      <c r="D439" s="288">
        <f>(V439/V432-1)*100</f>
        <v>10.658012980529197</v>
      </c>
      <c r="E439" s="256"/>
      <c r="F439" s="1141">
        <v>-8</v>
      </c>
      <c r="G439" s="256"/>
      <c r="H439" s="2091">
        <f>'segSales&amp;comps'!AI168</f>
        <v>8</v>
      </c>
      <c r="I439" s="256"/>
      <c r="J439" s="288">
        <f>D439-H439-F439</f>
        <v>10.658012980529197</v>
      </c>
      <c r="K439" s="256"/>
      <c r="L439" s="948">
        <f>Stores!AA242</f>
        <v>23</v>
      </c>
      <c r="M439" s="238"/>
      <c r="N439" s="811">
        <f>AVERAGE(L439,L438)</f>
        <v>21</v>
      </c>
      <c r="O439" s="256"/>
      <c r="P439" s="288">
        <f>(N439/N432-1)*100</f>
        <v>35.483870967741929</v>
      </c>
      <c r="Q439" s="643"/>
      <c r="R439" s="812">
        <f>J439/P439*100</f>
        <v>30.036218399673199</v>
      </c>
      <c r="S439" s="587"/>
      <c r="T439" s="256"/>
      <c r="U439" s="256"/>
      <c r="V439" s="315">
        <f>'segSales&amp;comps'!AG168</f>
        <v>55.411999999999999</v>
      </c>
      <c r="W439" s="256"/>
      <c r="X439" s="818">
        <f>V439/N439</f>
        <v>2.6386666666666665</v>
      </c>
      <c r="Y439" s="256"/>
      <c r="Z439" s="814">
        <f>(X439/X432-1)*100</f>
        <v>-18.323847561990359</v>
      </c>
      <c r="AA439" s="643"/>
      <c r="AB439" s="256"/>
      <c r="AC439" s="1017"/>
      <c r="AD439" s="238"/>
      <c r="AE439" s="1122" t="s">
        <v>1086</v>
      </c>
      <c r="AF439" s="256"/>
      <c r="AG439" s="1122" t="s">
        <v>1086</v>
      </c>
      <c r="AH439" s="643"/>
      <c r="AI439" s="1122" t="s">
        <v>1086</v>
      </c>
      <c r="AJ439" s="587"/>
      <c r="AK439" s="256"/>
      <c r="AL439" s="315">
        <f>+V439</f>
        <v>55.411999999999999</v>
      </c>
      <c r="AM439" s="256"/>
      <c r="AN439" s="1122" t="s">
        <v>1086</v>
      </c>
      <c r="AO439" s="256"/>
      <c r="AP439" s="1122" t="s">
        <v>1086</v>
      </c>
      <c r="AQ439" s="643"/>
      <c r="AR439" s="643"/>
      <c r="AS439" s="256"/>
      <c r="AT439" s="256"/>
      <c r="AU439" s="256"/>
      <c r="AV439" s="256"/>
      <c r="AW439" s="256"/>
      <c r="AX439" s="256"/>
      <c r="AY439" s="256"/>
      <c r="AZ439" s="1017">
        <v>1.7944957939393937</v>
      </c>
      <c r="BA439" s="1167">
        <f>+(AZ439/AZ432-1)*100</f>
        <v>-11.354818557553614</v>
      </c>
      <c r="BB439" s="256"/>
      <c r="BC439" s="1017">
        <v>1.4219617000000007</v>
      </c>
      <c r="BD439" s="1167">
        <f>+(BC439/BC432-1)*100</f>
        <v>2.2354113555925759</v>
      </c>
      <c r="BE439" s="256"/>
      <c r="BF439" s="1017"/>
      <c r="BG439" s="1167"/>
      <c r="BH439" s="1167">
        <f>($AZ$436*BA439)+($BC$436*BD439)</f>
        <v>-4.5597036009805194</v>
      </c>
      <c r="BI439" s="297">
        <f>(AZ436*BA439)+(BC436*BD439)+(BF436*BG439)</f>
        <v>-4.5597036009805194</v>
      </c>
      <c r="BJ439" s="256"/>
      <c r="BK439" s="297">
        <f>F439</f>
        <v>-8</v>
      </c>
      <c r="BN439" s="256"/>
      <c r="BO439" s="1592"/>
      <c r="BP439" s="1492"/>
    </row>
    <row r="440" spans="1:68" hidden="1" outlineLevel="1">
      <c r="A440" s="256" t="str">
        <f>$A$43</f>
        <v>4Q</v>
      </c>
      <c r="B440" s="302" t="str">
        <f>$B$43</f>
        <v>Jan</v>
      </c>
      <c r="C440" s="256"/>
      <c r="D440" s="318">
        <f>(V440/V433-1)*100</f>
        <v>-2.8942207985544366</v>
      </c>
      <c r="E440" s="256"/>
      <c r="F440" s="1142">
        <v>-22</v>
      </c>
      <c r="G440" s="256"/>
      <c r="H440" s="2095">
        <f>'segSales&amp;comps'!AI169</f>
        <v>0</v>
      </c>
      <c r="I440" s="256"/>
      <c r="J440" s="318">
        <f>D440-H440-F440</f>
        <v>19.105779201445564</v>
      </c>
      <c r="K440" s="256"/>
      <c r="L440" s="949">
        <f>Stores!AA243</f>
        <v>24</v>
      </c>
      <c r="M440" s="238"/>
      <c r="N440" s="820">
        <f>AVERAGE(L440,L439)</f>
        <v>23.5</v>
      </c>
      <c r="O440" s="256"/>
      <c r="P440" s="318">
        <f>(N440/N433-1)*100</f>
        <v>42.424242424242429</v>
      </c>
      <c r="Q440" s="643"/>
      <c r="R440" s="820">
        <f>J440/P440*100</f>
        <v>45.035050974835968</v>
      </c>
      <c r="S440" s="587"/>
      <c r="T440" s="256"/>
      <c r="U440" s="256"/>
      <c r="V440" s="316">
        <f>'segSales&amp;comps'!AG169</f>
        <v>94.581999999999994</v>
      </c>
      <c r="W440" s="256"/>
      <c r="X440" s="821">
        <f>V440/N440</f>
        <v>4.0247659574468084</v>
      </c>
      <c r="Y440" s="256"/>
      <c r="Z440" s="298">
        <f>(X440/X433-1)*100</f>
        <v>-31.819346518133962</v>
      </c>
      <c r="AA440" s="643"/>
      <c r="AB440" s="256"/>
      <c r="AC440" s="1017">
        <f>Stores!AD244</f>
        <v>9.2999999999999999E-2</v>
      </c>
      <c r="AD440" s="238"/>
      <c r="AE440" s="1123" t="s">
        <v>1086</v>
      </c>
      <c r="AF440" s="256"/>
      <c r="AG440" s="1123" t="s">
        <v>1086</v>
      </c>
      <c r="AH440" s="643"/>
      <c r="AI440" s="1123" t="s">
        <v>1086</v>
      </c>
      <c r="AJ440" s="587"/>
      <c r="AK440" s="256"/>
      <c r="AL440" s="316">
        <f>+V440</f>
        <v>94.581999999999994</v>
      </c>
      <c r="AM440" s="256"/>
      <c r="AN440" s="1123" t="s">
        <v>1086</v>
      </c>
      <c r="AO440" s="256"/>
      <c r="AP440" s="1123" t="s">
        <v>1086</v>
      </c>
      <c r="AQ440" s="643"/>
      <c r="AR440" s="643"/>
      <c r="AS440" s="256"/>
      <c r="AT440" s="256"/>
      <c r="AU440" s="256"/>
      <c r="AV440" s="256"/>
      <c r="AW440" s="256"/>
      <c r="AX440" s="256"/>
      <c r="AY440" s="256"/>
      <c r="AZ440" s="1601">
        <v>1.4897604796875001</v>
      </c>
      <c r="BA440" s="1602">
        <f>+(AZ440/AZ433-1)*100</f>
        <v>-26.234072776705585</v>
      </c>
      <c r="BB440" s="256"/>
      <c r="BC440" s="1601">
        <v>1.3183081765625002</v>
      </c>
      <c r="BD440" s="1602">
        <f>+(BC440/BC433-1)*100</f>
        <v>-9.9783257675767683</v>
      </c>
      <c r="BE440" s="256"/>
      <c r="BF440" s="1601"/>
      <c r="BG440" s="1602"/>
      <c r="BH440" s="1167">
        <f>($AZ$436*BA440)+($BC$436*BD440)</f>
        <v>-18.106199272141176</v>
      </c>
      <c r="BI440" s="298">
        <f>(AZ436*BA440)+(BC436*BD440)+(BF436*BG440)</f>
        <v>-18.106199272141176</v>
      </c>
      <c r="BJ440" s="256"/>
      <c r="BK440" s="298">
        <f>F440</f>
        <v>-22</v>
      </c>
      <c r="BN440" s="256"/>
      <c r="BO440" s="1592"/>
      <c r="BP440" s="1492"/>
    </row>
    <row r="441" spans="1:68" hidden="1" outlineLevel="1">
      <c r="A441" s="256"/>
      <c r="B441" s="302" t="str">
        <f>$B$44</f>
        <v>Year</v>
      </c>
      <c r="C441" s="256"/>
      <c r="D441" s="288">
        <f>(V441/V434-1)*100</f>
        <v>12.116808099220355</v>
      </c>
      <c r="E441" s="256"/>
      <c r="F441" s="297">
        <v>-8</v>
      </c>
      <c r="G441" s="256"/>
      <c r="H441" s="2091">
        <f>'segSales&amp;comps'!AI170</f>
        <v>6</v>
      </c>
      <c r="I441" s="256"/>
      <c r="J441" s="288">
        <f>D441-H441-F441</f>
        <v>14.116808099220355</v>
      </c>
      <c r="K441" s="256"/>
      <c r="L441" s="951">
        <f>Stores!AA244</f>
        <v>24</v>
      </c>
      <c r="M441" s="256"/>
      <c r="N441" s="811">
        <f>AVERAGE(N437:N440)</f>
        <v>20.125</v>
      </c>
      <c r="O441" s="256"/>
      <c r="P441" s="288">
        <f>(N441/N434-1)*100</f>
        <v>33.057851239669425</v>
      </c>
      <c r="Q441" s="643"/>
      <c r="R441" s="812">
        <f>J441/P441*100</f>
        <v>42.703344500141569</v>
      </c>
      <c r="S441" s="587"/>
      <c r="T441" s="256"/>
      <c r="U441" s="256"/>
      <c r="V441" s="296">
        <f>SUM(V437:V440)</f>
        <v>273.09299999999996</v>
      </c>
      <c r="W441" s="256"/>
      <c r="X441" s="813">
        <f>SUM(X437:X440)</f>
        <v>13.494374709055558</v>
      </c>
      <c r="Y441" s="256"/>
      <c r="Z441" s="814">
        <f>(X441/X434-1)*100</f>
        <v>-14.962748463640885</v>
      </c>
      <c r="AA441" s="643"/>
      <c r="AB441" s="256"/>
      <c r="AC441" s="815"/>
      <c r="AD441" s="256"/>
      <c r="AE441" s="1122" t="s">
        <v>1086</v>
      </c>
      <c r="AF441" s="256"/>
      <c r="AG441" s="1122" t="s">
        <v>1086</v>
      </c>
      <c r="AH441" s="643"/>
      <c r="AI441" s="1122" t="s">
        <v>1086</v>
      </c>
      <c r="AJ441" s="587"/>
      <c r="AK441" s="256"/>
      <c r="AL441" s="296">
        <f>SUM(AL437:AL440)</f>
        <v>273.09299999999996</v>
      </c>
      <c r="AM441" s="256"/>
      <c r="AN441" s="1122" t="s">
        <v>1086</v>
      </c>
      <c r="AO441" s="256"/>
      <c r="AP441" s="1122" t="s">
        <v>1086</v>
      </c>
      <c r="AQ441" s="643"/>
      <c r="AR441" s="643"/>
      <c r="AS441" s="256"/>
      <c r="AT441" s="256"/>
      <c r="AU441" s="256"/>
      <c r="AV441" s="256"/>
      <c r="AW441" s="256"/>
      <c r="AX441" s="256"/>
      <c r="AY441" s="256"/>
      <c r="AZ441" s="1017">
        <v>1.811126701923077</v>
      </c>
      <c r="BA441" s="1167">
        <f>+(AZ441/AZ434-1)*100</f>
        <v>-9.5587772920233576</v>
      </c>
      <c r="BB441" s="256"/>
      <c r="BC441" s="1017">
        <v>1.459643025769231</v>
      </c>
      <c r="BD441" s="1167">
        <f>+(BC441/BC434-1)*100</f>
        <v>5.4024327542853801</v>
      </c>
      <c r="BE441" s="256"/>
      <c r="BF441" s="1017"/>
      <c r="BG441" s="1167"/>
      <c r="BH441" s="1167">
        <f>($AZ$436*BA441)+($BC$436*BD441)</f>
        <v>-2.0781722688689888</v>
      </c>
      <c r="BI441" s="297">
        <f>(AZ436*BA441)+(BC436*BD441)+(BF436*BG441)</f>
        <v>-2.0781722688689888</v>
      </c>
      <c r="BJ441" s="256"/>
      <c r="BK441" s="297">
        <f>F441</f>
        <v>-8</v>
      </c>
      <c r="BN441" s="302"/>
      <c r="BO441" s="587"/>
      <c r="BP441" s="587"/>
    </row>
    <row r="442" spans="1:68" ht="13.5" hidden="1" outlineLevel="1" thickBot="1">
      <c r="A442" s="132"/>
      <c r="B442" s="174"/>
      <c r="C442" s="132"/>
      <c r="D442" s="132"/>
      <c r="E442" s="132"/>
      <c r="F442" s="132"/>
      <c r="G442" s="132"/>
      <c r="H442" s="2085"/>
      <c r="I442" s="132"/>
      <c r="J442" s="132"/>
      <c r="K442" s="132"/>
      <c r="L442" s="132"/>
      <c r="M442" s="132"/>
      <c r="N442" s="132"/>
      <c r="O442" s="132"/>
      <c r="P442" s="132"/>
      <c r="Q442" s="132"/>
      <c r="R442" s="132"/>
      <c r="S442" s="132"/>
      <c r="T442" s="132"/>
      <c r="U442" s="132"/>
      <c r="V442" s="132"/>
      <c r="W442" s="132"/>
      <c r="X442" s="132"/>
      <c r="Y442" s="132"/>
      <c r="Z442" s="132"/>
      <c r="AA442" s="132"/>
      <c r="AB442" s="132"/>
      <c r="AC442" s="132"/>
      <c r="AD442" s="132"/>
      <c r="AE442" s="132"/>
      <c r="AF442" s="132"/>
      <c r="AG442" s="132"/>
      <c r="AH442" s="132"/>
      <c r="AI442" s="132"/>
      <c r="AJ442" s="132"/>
      <c r="AK442" s="132"/>
      <c r="AL442" s="132"/>
      <c r="AM442" s="132"/>
      <c r="AN442" s="132"/>
      <c r="AO442" s="132"/>
      <c r="AP442" s="132"/>
      <c r="AQ442" s="132"/>
      <c r="AR442" s="132"/>
      <c r="AS442" s="132"/>
      <c r="AT442" s="132"/>
      <c r="AU442" s="132"/>
      <c r="AV442" s="132"/>
      <c r="AW442" s="132"/>
      <c r="AX442" s="132"/>
      <c r="AY442" s="132"/>
      <c r="AZ442" s="236"/>
      <c r="BA442" s="132"/>
      <c r="BB442" s="132"/>
      <c r="BC442" s="132"/>
      <c r="BD442" s="132"/>
      <c r="BE442" s="132"/>
      <c r="BG442" s="132"/>
      <c r="BH442" s="132"/>
      <c r="BJ442" s="132"/>
      <c r="BN442" s="132"/>
      <c r="BO442" s="587"/>
      <c r="BP442" s="587"/>
    </row>
    <row r="443" spans="1:68" ht="13.5" hidden="1" outlineLevel="1" thickBot="1">
      <c r="A443" s="810"/>
      <c r="B443" s="171">
        <f>+B436+1</f>
        <v>2009</v>
      </c>
      <c r="C443" s="256"/>
      <c r="D443" s="256"/>
      <c r="E443" s="643"/>
      <c r="F443" s="297"/>
      <c r="G443" s="643"/>
      <c r="H443" s="2091"/>
      <c r="I443" s="643"/>
      <c r="J443" s="256"/>
      <c r="K443" s="643"/>
      <c r="L443" s="256"/>
      <c r="M443" s="256"/>
      <c r="N443" s="256"/>
      <c r="O443" s="256"/>
      <c r="P443" s="256"/>
      <c r="Q443" s="643"/>
      <c r="R443" s="587"/>
      <c r="S443" s="587"/>
      <c r="T443" s="256"/>
      <c r="U443" s="256"/>
      <c r="V443" s="256"/>
      <c r="W443" s="256"/>
      <c r="X443" s="256"/>
      <c r="Y443" s="256"/>
      <c r="Z443" s="256"/>
      <c r="AA443" s="643"/>
      <c r="AB443" s="256"/>
      <c r="AC443" s="256"/>
      <c r="AD443" s="256"/>
      <c r="AE443" s="256"/>
      <c r="AF443" s="256"/>
      <c r="AG443" s="256"/>
      <c r="AH443" s="643"/>
      <c r="AI443" s="587"/>
      <c r="AJ443" s="587"/>
      <c r="AK443" s="256"/>
      <c r="AL443" s="256"/>
      <c r="AM443" s="256"/>
      <c r="AN443" s="256"/>
      <c r="AO443" s="256"/>
      <c r="AP443" s="320"/>
      <c r="AQ443" s="643"/>
      <c r="AR443" s="643"/>
      <c r="AS443" s="256"/>
      <c r="AT443" s="256"/>
      <c r="AU443" s="256"/>
      <c r="AV443" s="256"/>
      <c r="AW443" s="256"/>
      <c r="AX443" s="256"/>
      <c r="AY443" s="256"/>
      <c r="AZ443" s="1605">
        <v>0.51</v>
      </c>
      <c r="BA443" s="587"/>
      <c r="BB443" s="587"/>
      <c r="BC443" s="1605">
        <f>1-AZ443</f>
        <v>0.49</v>
      </c>
      <c r="BD443" s="1603"/>
      <c r="BE443" s="587"/>
      <c r="BF443" s="1606"/>
      <c r="BG443" s="587"/>
      <c r="BH443" s="256"/>
      <c r="BI443" s="256"/>
      <c r="BJ443" s="256"/>
      <c r="BN443" s="256"/>
      <c r="BO443" s="587"/>
      <c r="BP443" s="587"/>
    </row>
    <row r="444" spans="1:68" hidden="1" outlineLevel="1">
      <c r="A444" s="256" t="str">
        <f>$A$40</f>
        <v>1Q</v>
      </c>
      <c r="B444" s="302" t="str">
        <f>$B$40</f>
        <v>Apr</v>
      </c>
      <c r="C444" s="256"/>
      <c r="D444" s="288">
        <f>(V444/V437-1)*100</f>
        <v>-4.0656367286375001</v>
      </c>
      <c r="E444" s="643" t="s">
        <v>1970</v>
      </c>
      <c r="F444" s="297">
        <v>-22</v>
      </c>
      <c r="G444" s="643"/>
      <c r="H444" s="2091">
        <f>'segSales&amp;comps'!AI173</f>
        <v>3</v>
      </c>
      <c r="I444" s="643" t="s">
        <v>1970</v>
      </c>
      <c r="J444" s="288">
        <f>D444-H444-F444</f>
        <v>14.9343632713625</v>
      </c>
      <c r="K444" s="643" t="s">
        <v>1970</v>
      </c>
      <c r="L444" s="948">
        <f>Stores!AA247</f>
        <v>24</v>
      </c>
      <c r="M444" s="256"/>
      <c r="N444" s="811">
        <f>AVERAGE(L444,L440)</f>
        <v>24</v>
      </c>
      <c r="O444" s="256"/>
      <c r="P444" s="288">
        <f>(N444/N437-1)*100</f>
        <v>37.142857142857146</v>
      </c>
      <c r="Q444" s="643" t="s">
        <v>1970</v>
      </c>
      <c r="R444" s="812">
        <f>J444/P444*100</f>
        <v>40.207901115206731</v>
      </c>
      <c r="S444" s="587" t="s">
        <v>1970</v>
      </c>
      <c r="T444" s="256"/>
      <c r="U444" s="256"/>
      <c r="V444" s="296">
        <f>'segSales&amp;comps'!AG173</f>
        <v>54.956000000000003</v>
      </c>
      <c r="W444" s="238"/>
      <c r="X444" s="813">
        <f>V444/N444</f>
        <v>2.2898333333333336</v>
      </c>
      <c r="Y444" s="256"/>
      <c r="Z444" s="814">
        <f>(X444/X437-1)*100</f>
        <v>-30.047860114631508</v>
      </c>
      <c r="AA444" s="643" t="s">
        <v>1970</v>
      </c>
      <c r="AB444" s="256"/>
      <c r="AC444" s="1017">
        <f>AC440+(L444-L441)*yrSales!$U$200/1000000</f>
        <v>9.2999999999999999E-2</v>
      </c>
      <c r="AD444" s="256" t="s">
        <v>505</v>
      </c>
      <c r="AE444" s="816">
        <f>AVERAGE(AC444,AC440)</f>
        <v>9.2999999999999999E-2</v>
      </c>
      <c r="AF444" s="256"/>
      <c r="AG444" s="1122" t="s">
        <v>1086</v>
      </c>
      <c r="AH444" s="643" t="s">
        <v>1970</v>
      </c>
      <c r="AI444" s="1122" t="s">
        <v>1086</v>
      </c>
      <c r="AJ444" s="587" t="s">
        <v>1970</v>
      </c>
      <c r="AK444" s="256"/>
      <c r="AL444" s="296">
        <f>+V444</f>
        <v>54.956000000000003</v>
      </c>
      <c r="AM444" s="256" t="s">
        <v>505</v>
      </c>
      <c r="AN444" s="296">
        <f>AL444/AE444</f>
        <v>590.92473118279577</v>
      </c>
      <c r="AO444" s="256"/>
      <c r="AP444" s="1122" t="s">
        <v>1086</v>
      </c>
      <c r="AQ444" s="643" t="s">
        <v>1970</v>
      </c>
      <c r="AR444" s="643"/>
      <c r="AS444" s="256"/>
      <c r="AT444" s="256"/>
      <c r="AU444" s="256"/>
      <c r="AV444" s="256"/>
      <c r="AW444" s="256"/>
      <c r="AX444" s="256"/>
      <c r="AY444" s="256"/>
      <c r="AZ444" s="1017">
        <v>1.4428010921874999</v>
      </c>
      <c r="BA444" s="1167">
        <f>+(AZ444/AZ437-1)*100</f>
        <v>-27.219089343826795</v>
      </c>
      <c r="BB444" s="1609" t="s">
        <v>1970</v>
      </c>
      <c r="BC444" s="1017">
        <v>1.3013190953125</v>
      </c>
      <c r="BD444" s="1167">
        <f>+(BC444/BC437-1)*100</f>
        <v>-15.145968128853104</v>
      </c>
      <c r="BE444" s="1609" t="s">
        <v>1970</v>
      </c>
      <c r="BF444" s="1017"/>
      <c r="BG444" s="1167"/>
      <c r="BH444" s="1167">
        <f>($AZ$443*BA444)+($BC$443*BD444)</f>
        <v>-21.303259948489686</v>
      </c>
      <c r="BI444" s="297">
        <f>(AZ443*BA444)+(BC443*BD444)+(BF443*BG444)</f>
        <v>-21.303259948489686</v>
      </c>
      <c r="BJ444" s="643" t="s">
        <v>1970</v>
      </c>
      <c r="BK444" s="297">
        <f>F444</f>
        <v>-22</v>
      </c>
      <c r="BL444" s="643" t="s">
        <v>1970</v>
      </c>
      <c r="BN444" s="256"/>
      <c r="BO444" s="1592"/>
      <c r="BP444" s="1492"/>
    </row>
    <row r="445" spans="1:68" hidden="1" outlineLevel="1">
      <c r="A445" s="256" t="str">
        <f>$A$41</f>
        <v>2Q</v>
      </c>
      <c r="B445" s="302" t="str">
        <f>$B$41</f>
        <v>Jul</v>
      </c>
      <c r="C445" s="256"/>
      <c r="D445" s="288">
        <f>(V445/V438-1)*100</f>
        <v>2.2593976965387341</v>
      </c>
      <c r="E445" s="256"/>
      <c r="F445" s="297">
        <v>-15</v>
      </c>
      <c r="G445" s="256"/>
      <c r="H445" s="2091">
        <f>'segSales&amp;comps'!AI174</f>
        <v>5</v>
      </c>
      <c r="I445" s="256"/>
      <c r="J445" s="288">
        <f>D445-H445-F445</f>
        <v>12.259397696538734</v>
      </c>
      <c r="K445" s="256"/>
      <c r="L445" s="948">
        <f>Stores!AA248</f>
        <v>24</v>
      </c>
      <c r="M445" s="256"/>
      <c r="N445" s="811">
        <f>AVERAGE(L445,L444)</f>
        <v>24</v>
      </c>
      <c r="O445" s="256"/>
      <c r="P445" s="288">
        <f>(N445/N438-1)*100</f>
        <v>29.729729729729737</v>
      </c>
      <c r="Q445" s="643"/>
      <c r="R445" s="812">
        <f>J445/P445*100</f>
        <v>41.236155888357551</v>
      </c>
      <c r="S445" s="587"/>
      <c r="T445" s="256"/>
      <c r="U445" s="256"/>
      <c r="V445" s="315">
        <f>'segSales&amp;comps'!AG174</f>
        <v>67.301000000000002</v>
      </c>
      <c r="W445" s="238"/>
      <c r="X445" s="818">
        <f>V445/N445</f>
        <v>2.8042083333333334</v>
      </c>
      <c r="Y445" s="256"/>
      <c r="Z445" s="814">
        <f>(X445/X438-1)*100</f>
        <v>-21.175047608918053</v>
      </c>
      <c r="AA445" s="643"/>
      <c r="AB445" s="256"/>
      <c r="AC445" s="1017">
        <f>AC444+(L445-L444)*yrSales!$U$200/1000000</f>
        <v>9.2999999999999999E-2</v>
      </c>
      <c r="AD445" s="238"/>
      <c r="AE445" s="816">
        <f>AVERAGE(AC444:AC445)</f>
        <v>9.2999999999999999E-2</v>
      </c>
      <c r="AF445" s="256"/>
      <c r="AG445" s="1122" t="s">
        <v>1086</v>
      </c>
      <c r="AH445" s="643"/>
      <c r="AI445" s="1122" t="s">
        <v>1086</v>
      </c>
      <c r="AJ445" s="587"/>
      <c r="AK445" s="256"/>
      <c r="AL445" s="315">
        <f>+V445</f>
        <v>67.301000000000002</v>
      </c>
      <c r="AM445" s="256"/>
      <c r="AN445" s="315">
        <f>AL445/AE445</f>
        <v>723.66666666666674</v>
      </c>
      <c r="AO445" s="256"/>
      <c r="AP445" s="1122" t="s">
        <v>1086</v>
      </c>
      <c r="AQ445" s="643"/>
      <c r="AR445" s="643"/>
      <c r="AS445" s="256"/>
      <c r="AT445" s="256"/>
      <c r="AU445" s="256"/>
      <c r="AV445" s="256"/>
      <c r="AW445" s="256"/>
      <c r="AX445" s="256"/>
      <c r="AY445" s="256"/>
      <c r="AZ445" s="1017">
        <v>1.604099609090909</v>
      </c>
      <c r="BA445" s="1167">
        <f>+(AZ445/AZ438-1)*100</f>
        <v>-18.710310122992023</v>
      </c>
      <c r="BB445" s="256"/>
      <c r="BC445" s="1017">
        <v>1.3910041212121216</v>
      </c>
      <c r="BD445" s="1167">
        <f>+(BC445/BC438-1)*100</f>
        <v>-10.985030484210967</v>
      </c>
      <c r="BE445" s="256"/>
      <c r="BF445" s="1017"/>
      <c r="BG445" s="1167"/>
      <c r="BH445" s="1167">
        <f>($AZ$443*BA445)+($BC$443*BD445)</f>
        <v>-14.924923099989307</v>
      </c>
      <c r="BI445" s="297">
        <f>(AZ443*BA445)+(BC443*BD445)+(BF443*BG445)</f>
        <v>-14.924923099989307</v>
      </c>
      <c r="BJ445" s="256"/>
      <c r="BK445" s="297">
        <f>F445</f>
        <v>-15</v>
      </c>
      <c r="BN445" s="256"/>
      <c r="BO445" s="1592"/>
      <c r="BP445" s="1492"/>
    </row>
    <row r="446" spans="1:68" hidden="1" outlineLevel="1">
      <c r="A446" s="256" t="str">
        <f>$A$42</f>
        <v>3Q</v>
      </c>
      <c r="B446" s="302" t="str">
        <f>$B$42</f>
        <v>Oct</v>
      </c>
      <c r="C446" s="256"/>
      <c r="D446" s="288">
        <f>(V446/V439-1)*100</f>
        <v>14.783801342669456</v>
      </c>
      <c r="E446" s="256"/>
      <c r="F446" s="1141">
        <v>-3</v>
      </c>
      <c r="G446" s="256"/>
      <c r="H446" s="2091">
        <f>'segSales&amp;comps'!AI175</f>
        <v>9</v>
      </c>
      <c r="I446" s="256"/>
      <c r="J446" s="288">
        <f>D446-H446-F446</f>
        <v>8.7838013426694559</v>
      </c>
      <c r="K446" s="256"/>
      <c r="L446" s="948">
        <f>Stores!AA249</f>
        <v>25</v>
      </c>
      <c r="M446" s="238"/>
      <c r="N446" s="811">
        <f>AVERAGE(L446,L445)</f>
        <v>24.5</v>
      </c>
      <c r="O446" s="256"/>
      <c r="P446" s="288">
        <f>(N446/N439-1)*100</f>
        <v>16.666666666666675</v>
      </c>
      <c r="Q446" s="643"/>
      <c r="R446" s="812">
        <f>J446/P446*100</f>
        <v>52.702808056016714</v>
      </c>
      <c r="S446" s="587"/>
      <c r="T446" s="256"/>
      <c r="U446" s="256"/>
      <c r="V446" s="315">
        <f>'segSales&amp;comps'!AG175</f>
        <v>63.603999999999999</v>
      </c>
      <c r="W446" s="256"/>
      <c r="X446" s="818">
        <f>V446/N446</f>
        <v>2.5960816326530614</v>
      </c>
      <c r="Y446" s="256"/>
      <c r="Z446" s="814">
        <f>(X446/X439-1)*100</f>
        <v>-1.6138845634261711</v>
      </c>
      <c r="AA446" s="643"/>
      <c r="AB446" s="256"/>
      <c r="AC446" s="1017">
        <f>AC445+(L446-L445)*yrSales!$U$200/1000000</f>
        <v>9.5666666666666664E-2</v>
      </c>
      <c r="AD446" s="238"/>
      <c r="AE446" s="816">
        <f>AVERAGE(AC445:AC446)</f>
        <v>9.4333333333333325E-2</v>
      </c>
      <c r="AF446" s="256"/>
      <c r="AG446" s="1122" t="s">
        <v>1086</v>
      </c>
      <c r="AH446" s="643"/>
      <c r="AI446" s="1122" t="s">
        <v>1086</v>
      </c>
      <c r="AJ446" s="587"/>
      <c r="AK446" s="256"/>
      <c r="AL446" s="315">
        <f>+V446</f>
        <v>63.603999999999999</v>
      </c>
      <c r="AM446" s="256"/>
      <c r="AN446" s="315">
        <f>AL446/AE446</f>
        <v>674.24734982332166</v>
      </c>
      <c r="AO446" s="256"/>
      <c r="AP446" s="1122" t="s">
        <v>1086</v>
      </c>
      <c r="AQ446" s="643"/>
      <c r="AR446" s="643"/>
      <c r="AS446" s="256"/>
      <c r="AT446" s="256"/>
      <c r="AU446" s="256"/>
      <c r="AV446" s="256"/>
      <c r="AW446" s="256"/>
      <c r="AX446" s="256"/>
      <c r="AY446" s="256"/>
      <c r="AZ446" s="1017">
        <v>1.6350249892307696</v>
      </c>
      <c r="BA446" s="1167">
        <f>+(AZ446/AZ439-1)*100</f>
        <v>-8.8866636103138159</v>
      </c>
      <c r="BB446" s="256"/>
      <c r="BC446" s="1017">
        <v>1.4547003723076928</v>
      </c>
      <c r="BD446" s="1167">
        <f>+(BC446/BC439-1)*100</f>
        <v>2.3023596421543724</v>
      </c>
      <c r="BE446" s="256"/>
      <c r="BF446" s="1017"/>
      <c r="BG446" s="1167"/>
      <c r="BH446" s="1167">
        <f>($AZ$443*BA446)+($BC$443*BD446)</f>
        <v>-3.4040422166044042</v>
      </c>
      <c r="BI446" s="297">
        <f>(AZ443*BA446)+(BC443*BD446)+(BF443*BG446)</f>
        <v>-3.4040422166044042</v>
      </c>
      <c r="BJ446" s="256"/>
      <c r="BK446" s="297">
        <f>F446</f>
        <v>-3</v>
      </c>
      <c r="BN446" s="256"/>
      <c r="BO446" s="1592"/>
      <c r="BP446" s="1492"/>
    </row>
    <row r="447" spans="1:68" hidden="1" outlineLevel="1">
      <c r="A447" s="256" t="str">
        <f>$A$43</f>
        <v>4Q</v>
      </c>
      <c r="B447" s="302" t="str">
        <f>$B$43</f>
        <v>Jan</v>
      </c>
      <c r="C447" s="256"/>
      <c r="D447" s="318">
        <f>(V447/V440-1)*100</f>
        <v>27.360385697067091</v>
      </c>
      <c r="E447" s="256"/>
      <c r="F447" s="298">
        <v>11</v>
      </c>
      <c r="G447" s="256"/>
      <c r="H447" s="2095">
        <f>'segSales&amp;comps'!AI176</f>
        <v>14</v>
      </c>
      <c r="I447" s="256"/>
      <c r="J447" s="318">
        <f>D447-H447-F447</f>
        <v>2.3603856970670911</v>
      </c>
      <c r="K447" s="256"/>
      <c r="L447" s="949">
        <f>Stores!AA250</f>
        <v>27</v>
      </c>
      <c r="M447" s="238"/>
      <c r="N447" s="820">
        <f>AVERAGE(L447,L446)</f>
        <v>26</v>
      </c>
      <c r="O447" s="256"/>
      <c r="P447" s="318">
        <f>(N447/N440-1)*100</f>
        <v>10.638297872340431</v>
      </c>
      <c r="Q447" s="643"/>
      <c r="R447" s="820">
        <f>J447/P447*100</f>
        <v>22.187625552430646</v>
      </c>
      <c r="S447" s="587"/>
      <c r="T447" s="256"/>
      <c r="U447" s="256"/>
      <c r="V447" s="316">
        <f>'segSales&amp;comps'!AG176</f>
        <v>120.46</v>
      </c>
      <c r="W447" s="256"/>
      <c r="X447" s="821">
        <f>V447/N447</f>
        <v>4.6330769230769224</v>
      </c>
      <c r="Y447" s="256"/>
      <c r="Z447" s="298">
        <f>(X447/X440-1)*100</f>
        <v>15.114194764656785</v>
      </c>
      <c r="AA447" s="643"/>
      <c r="AB447" s="256"/>
      <c r="AC447" s="1017">
        <f>Stores!AD251</f>
        <v>0.10100000000000001</v>
      </c>
      <c r="AD447" s="238"/>
      <c r="AE447" s="822">
        <f>AVERAGE(AC446:AC447)</f>
        <v>9.8333333333333328E-2</v>
      </c>
      <c r="AF447" s="256"/>
      <c r="AG447" s="1123" t="s">
        <v>1086</v>
      </c>
      <c r="AH447" s="643"/>
      <c r="AI447" s="1123" t="s">
        <v>1086</v>
      </c>
      <c r="AJ447" s="587"/>
      <c r="AK447" s="256"/>
      <c r="AL447" s="316">
        <f>+V447</f>
        <v>120.46</v>
      </c>
      <c r="AM447" s="256"/>
      <c r="AN447" s="316">
        <f>AL447/AE447</f>
        <v>1225.0169491525423</v>
      </c>
      <c r="AO447" s="256"/>
      <c r="AP447" s="1123" t="s">
        <v>1086</v>
      </c>
      <c r="AQ447" s="643"/>
      <c r="AR447" s="643"/>
      <c r="AS447" s="256"/>
      <c r="AT447" s="256"/>
      <c r="AU447" s="256"/>
      <c r="AV447" s="256"/>
      <c r="AW447" s="256"/>
      <c r="AX447" s="256"/>
      <c r="AY447" s="256"/>
      <c r="AZ447" s="1601">
        <v>1.6330691484374997</v>
      </c>
      <c r="BA447" s="1602">
        <f>+(AZ447/AZ440-1)*100</f>
        <v>9.6195778250246491</v>
      </c>
      <c r="BB447" s="256"/>
      <c r="BC447" s="1601">
        <v>1.4606120437499999</v>
      </c>
      <c r="BD447" s="1602">
        <f>+(BC447/BC440-1)*100</f>
        <v>10.794431053181984</v>
      </c>
      <c r="BE447" s="256"/>
      <c r="BF447" s="1601"/>
      <c r="BG447" s="1602"/>
      <c r="BH447" s="1167">
        <f>($AZ$443*BA447)+($BC$443*BD447)</f>
        <v>10.195255906821743</v>
      </c>
      <c r="BI447" s="298">
        <f>(AZ443*BA447)+(BC443*BD447)+(BF443*BG447)</f>
        <v>10.195255906821743</v>
      </c>
      <c r="BJ447" s="256"/>
      <c r="BK447" s="298">
        <f>F447</f>
        <v>11</v>
      </c>
      <c r="BN447" s="256"/>
      <c r="BO447" s="1592"/>
      <c r="BP447" s="1492"/>
    </row>
    <row r="448" spans="1:68" hidden="1" outlineLevel="1">
      <c r="A448" s="256"/>
      <c r="B448" s="302" t="str">
        <f>$B$44</f>
        <v>Year</v>
      </c>
      <c r="C448" s="256"/>
      <c r="D448" s="288">
        <f>(V448/V441-1)*100</f>
        <v>12.167283672595053</v>
      </c>
      <c r="E448" s="256"/>
      <c r="F448" s="297">
        <v>-6</v>
      </c>
      <c r="G448" s="256"/>
      <c r="H448" s="2091">
        <f>H444*V444/V448+H445*V445/V448+H446*V446/V448+H447*V447/V448</f>
        <v>9.0109688855808123</v>
      </c>
      <c r="I448" s="256"/>
      <c r="J448" s="288">
        <f>D448-H448-F448</f>
        <v>9.1563147870142405</v>
      </c>
      <c r="K448" s="256"/>
      <c r="L448" s="951">
        <f>Stores!AA251</f>
        <v>27</v>
      </c>
      <c r="M448" s="256"/>
      <c r="N448" s="811">
        <f>AVERAGE(N444:N447)</f>
        <v>24.625</v>
      </c>
      <c r="O448" s="256"/>
      <c r="P448" s="288">
        <f>(N448/N441-1)*100</f>
        <v>22.360248447204967</v>
      </c>
      <c r="Q448" s="643"/>
      <c r="R448" s="812">
        <f>J448/P448*100</f>
        <v>40.949074464147024</v>
      </c>
      <c r="S448" s="587"/>
      <c r="T448" s="256"/>
      <c r="U448" s="256"/>
      <c r="V448" s="296">
        <f>SUM(V444:V447)</f>
        <v>306.32099999999997</v>
      </c>
      <c r="W448" s="256"/>
      <c r="X448" s="813">
        <f>SUM(X444:X447)</f>
        <v>12.32320022239665</v>
      </c>
      <c r="Y448" s="256"/>
      <c r="Z448" s="814">
        <f>(X448/X441-1)*100</f>
        <v>-8.6789829978040967</v>
      </c>
      <c r="AA448" s="643"/>
      <c r="AB448" s="256"/>
      <c r="AC448" s="815"/>
      <c r="AD448" s="256"/>
      <c r="AE448" s="816">
        <f>AVERAGE(AE444:AE447)</f>
        <v>9.4666666666666663E-2</v>
      </c>
      <c r="AF448" s="256"/>
      <c r="AG448" s="1122" t="s">
        <v>1086</v>
      </c>
      <c r="AH448" s="643"/>
      <c r="AI448" s="1122" t="s">
        <v>1086</v>
      </c>
      <c r="AJ448" s="587"/>
      <c r="AK448" s="256"/>
      <c r="AL448" s="296">
        <f>SUM(AL444:AL447)</f>
        <v>306.32099999999997</v>
      </c>
      <c r="AM448" s="256"/>
      <c r="AN448" s="296">
        <f>AL448/AE448</f>
        <v>3235.7852112676055</v>
      </c>
      <c r="AO448" s="256"/>
      <c r="AP448" s="1122" t="s">
        <v>1086</v>
      </c>
      <c r="AQ448" s="643"/>
      <c r="AR448" s="643"/>
      <c r="AS448" s="256"/>
      <c r="AT448" s="256"/>
      <c r="AU448" s="256"/>
      <c r="AV448" s="256"/>
      <c r="AW448" s="256"/>
      <c r="AX448" s="256"/>
      <c r="AY448" s="256"/>
      <c r="AZ448" s="1017">
        <v>1.5791617525096533</v>
      </c>
      <c r="BA448" s="1167">
        <f>+(AZ448/AZ441-1)*100</f>
        <v>-12.807770387743744</v>
      </c>
      <c r="BB448" s="256"/>
      <c r="BC448" s="1017">
        <v>1.4020285293436296</v>
      </c>
      <c r="BD448" s="1167">
        <f>+(BC448/BC441-1)*100</f>
        <v>-3.9471634782236253</v>
      </c>
      <c r="BE448" s="256"/>
      <c r="BF448" s="1017"/>
      <c r="BG448" s="1167"/>
      <c r="BH448" s="1167">
        <f>($AZ$443*BA448)+($BC$443*BD448)</f>
        <v>-8.4660730020788861</v>
      </c>
      <c r="BI448" s="297">
        <f>(AZ443*BA448)+(BC443*BD448)+(BF443*BG448)</f>
        <v>-8.4660730020788861</v>
      </c>
      <c r="BJ448" s="256"/>
      <c r="BK448" s="297">
        <f>F448</f>
        <v>-6</v>
      </c>
      <c r="BN448" s="302"/>
      <c r="BO448" s="587"/>
      <c r="BP448" s="587"/>
    </row>
    <row r="449" spans="1:68" ht="13.5" hidden="1" outlineLevel="1" thickBot="1">
      <c r="A449" s="132"/>
      <c r="B449" s="174"/>
      <c r="C449" s="132"/>
      <c r="D449" s="132"/>
      <c r="E449" s="132"/>
      <c r="F449" s="132"/>
      <c r="G449" s="132"/>
      <c r="H449" s="2085"/>
      <c r="I449" s="132"/>
      <c r="J449" s="132"/>
      <c r="K449" s="132"/>
      <c r="L449" s="132"/>
      <c r="M449" s="132"/>
      <c r="N449" s="132"/>
      <c r="O449" s="132"/>
      <c r="P449" s="132"/>
      <c r="Q449" s="132"/>
      <c r="R449" s="132"/>
      <c r="S449" s="132"/>
      <c r="T449" s="132"/>
      <c r="U449" s="132"/>
      <c r="V449" s="132"/>
      <c r="W449" s="132"/>
      <c r="X449" s="132"/>
      <c r="Y449" s="132"/>
      <c r="Z449" s="132"/>
      <c r="AA449" s="132"/>
      <c r="AB449" s="132"/>
      <c r="AC449" s="132"/>
      <c r="AD449" s="132"/>
      <c r="AE449" s="132"/>
      <c r="AF449" s="132"/>
      <c r="AG449" s="132"/>
      <c r="AH449" s="132"/>
      <c r="AI449" s="132"/>
      <c r="AJ449" s="132"/>
      <c r="AK449" s="132"/>
      <c r="AL449" s="132"/>
      <c r="AM449" s="132"/>
      <c r="AN449" s="132"/>
      <c r="AO449" s="132"/>
      <c r="AP449" s="132"/>
      <c r="AQ449" s="132"/>
      <c r="AR449" s="132"/>
      <c r="AS449" s="132"/>
      <c r="AT449" s="132"/>
      <c r="AU449" s="132"/>
      <c r="AV449" s="132"/>
      <c r="AW449" s="132"/>
      <c r="AX449" s="132"/>
      <c r="AY449" s="132"/>
      <c r="AZ449" s="236"/>
      <c r="BA449" s="132"/>
      <c r="BB449" s="132"/>
      <c r="BC449" s="132"/>
      <c r="BD449" s="132"/>
      <c r="BE449" s="132"/>
      <c r="BG449" s="132"/>
      <c r="BH449" s="132"/>
      <c r="BI449" s="132"/>
      <c r="BJ449" s="132"/>
      <c r="BN449" s="132"/>
      <c r="BO449" s="587"/>
      <c r="BP449" s="587"/>
    </row>
    <row r="450" spans="1:68" ht="13.5" hidden="1" outlineLevel="1" thickBot="1">
      <c r="A450" s="810"/>
      <c r="B450" s="171">
        <f>+B443+1</f>
        <v>2010</v>
      </c>
      <c r="C450" s="256"/>
      <c r="D450" s="256"/>
      <c r="E450" s="643"/>
      <c r="F450" s="297"/>
      <c r="G450" s="643"/>
      <c r="H450" s="2091"/>
      <c r="I450" s="643"/>
      <c r="J450" s="256"/>
      <c r="K450" s="643"/>
      <c r="L450" s="256"/>
      <c r="M450" s="256"/>
      <c r="N450" s="256"/>
      <c r="O450" s="256"/>
      <c r="P450" s="256"/>
      <c r="Q450" s="643"/>
      <c r="R450" s="587"/>
      <c r="S450" s="587"/>
      <c r="T450" s="256"/>
      <c r="U450" s="256"/>
      <c r="V450" s="256"/>
      <c r="W450" s="256"/>
      <c r="X450" s="256"/>
      <c r="Y450" s="256"/>
      <c r="Z450" s="256"/>
      <c r="AA450" s="643"/>
      <c r="AB450" s="256"/>
      <c r="AC450" s="256"/>
      <c r="AD450" s="256"/>
      <c r="AE450" s="256"/>
      <c r="AF450" s="256"/>
      <c r="AG450" s="256"/>
      <c r="AH450" s="643"/>
      <c r="AI450" s="587"/>
      <c r="AJ450" s="587"/>
      <c r="AK450" s="256"/>
      <c r="AL450" s="256"/>
      <c r="AM450" s="256"/>
      <c r="AN450" s="256"/>
      <c r="AO450" s="256"/>
      <c r="AP450" s="320"/>
      <c r="AQ450" s="643"/>
      <c r="AR450" s="643"/>
      <c r="AS450" s="256"/>
      <c r="AT450" s="256"/>
      <c r="AU450" s="256"/>
      <c r="AV450" s="256"/>
      <c r="AW450" s="256"/>
      <c r="AX450" s="256"/>
      <c r="AY450" s="256"/>
      <c r="AZ450" s="1605">
        <v>0.5</v>
      </c>
      <c r="BA450" s="587"/>
      <c r="BB450" s="587"/>
      <c r="BC450" s="1605">
        <f>1-AZ450</f>
        <v>0.5</v>
      </c>
      <c r="BD450" s="1603"/>
      <c r="BE450" s="587"/>
      <c r="BF450" s="1606"/>
      <c r="BG450" s="587"/>
      <c r="BH450" s="256"/>
      <c r="BI450" s="256"/>
      <c r="BJ450" s="256"/>
      <c r="BN450" s="256"/>
      <c r="BO450" s="587"/>
      <c r="BP450" s="587"/>
    </row>
    <row r="451" spans="1:68" hidden="1" outlineLevel="1">
      <c r="A451" s="256" t="str">
        <f>$A$40</f>
        <v>1Q</v>
      </c>
      <c r="B451" s="302" t="str">
        <f>$B$40</f>
        <v>Apr</v>
      </c>
      <c r="C451" s="256"/>
      <c r="D451" s="288">
        <f>(V451/V444-1)*100</f>
        <v>24.878084285610271</v>
      </c>
      <c r="E451" s="643" t="s">
        <v>1970</v>
      </c>
      <c r="F451" s="297">
        <v>6</v>
      </c>
      <c r="G451" s="643"/>
      <c r="H451" s="2091">
        <f>'segSales&amp;comps'!AI180</f>
        <v>14</v>
      </c>
      <c r="I451" s="643" t="s">
        <v>1970</v>
      </c>
      <c r="J451" s="288">
        <f>D451-H451-F451</f>
        <v>4.8780842856102709</v>
      </c>
      <c r="K451" s="643" t="s">
        <v>1970</v>
      </c>
      <c r="L451" s="948">
        <f>Stores!AA254</f>
        <v>27</v>
      </c>
      <c r="M451" s="256"/>
      <c r="N451" s="811">
        <f>AVERAGE(L451,L447)</f>
        <v>27</v>
      </c>
      <c r="O451" s="256"/>
      <c r="P451" s="288">
        <f>(N451/N444-1)*100</f>
        <v>12.5</v>
      </c>
      <c r="Q451" s="643" t="s">
        <v>1970</v>
      </c>
      <c r="R451" s="812">
        <f>J451/P451*100</f>
        <v>39.024674284882167</v>
      </c>
      <c r="S451" s="587" t="s">
        <v>1970</v>
      </c>
      <c r="T451" s="256"/>
      <c r="U451" s="256"/>
      <c r="V451" s="296">
        <f>'segSales&amp;comps'!AG180</f>
        <v>68.627999999999986</v>
      </c>
      <c r="W451" s="238"/>
      <c r="X451" s="813">
        <f>V451/N451</f>
        <v>2.5417777777777775</v>
      </c>
      <c r="Y451" s="256"/>
      <c r="Z451" s="814">
        <f>(X451/X444-1)*100</f>
        <v>11.00274158720913</v>
      </c>
      <c r="AA451" s="643" t="s">
        <v>1970</v>
      </c>
      <c r="AB451" s="256"/>
      <c r="AC451" s="1017">
        <f>AC447+(L451-L448)*yrSales!$W$200/1000000</f>
        <v>0.10100000000000001</v>
      </c>
      <c r="AD451" s="256" t="s">
        <v>505</v>
      </c>
      <c r="AE451" s="816">
        <f>AVERAGE(AC451,AC447)</f>
        <v>0.10100000000000001</v>
      </c>
      <c r="AF451" s="256"/>
      <c r="AG451" s="1122" t="s">
        <v>1086</v>
      </c>
      <c r="AH451" s="643" t="s">
        <v>1970</v>
      </c>
      <c r="AI451" s="1122" t="s">
        <v>1086</v>
      </c>
      <c r="AJ451" s="587" t="s">
        <v>1970</v>
      </c>
      <c r="AK451" s="256"/>
      <c r="AL451" s="296">
        <f>+V451</f>
        <v>68.627999999999986</v>
      </c>
      <c r="AM451" s="256" t="s">
        <v>505</v>
      </c>
      <c r="AN451" s="296">
        <f>AL451/AE451</f>
        <v>679.48514851485129</v>
      </c>
      <c r="AO451" s="256"/>
      <c r="AP451" s="1122" t="s">
        <v>1086</v>
      </c>
      <c r="AQ451" s="643" t="s">
        <v>1970</v>
      </c>
      <c r="AR451" s="643"/>
      <c r="AS451" s="256"/>
      <c r="AT451" s="256"/>
      <c r="AU451" s="256"/>
      <c r="AV451" s="256"/>
      <c r="AW451" s="256"/>
      <c r="AX451" s="256"/>
      <c r="AY451" s="256"/>
      <c r="AZ451" s="1017">
        <v>1.5332442015384609</v>
      </c>
      <c r="BA451" s="1167">
        <f>+(AZ451/AZ444-1)*100</f>
        <v>6.2685778268878334</v>
      </c>
      <c r="BB451" s="1609" t="s">
        <v>1970</v>
      </c>
      <c r="BC451" s="1017">
        <v>1.3564149461538462</v>
      </c>
      <c r="BD451" s="1167">
        <f>+(BC451/BC444-1)*100</f>
        <v>4.2338463363680523</v>
      </c>
      <c r="BE451" s="1609" t="s">
        <v>1970</v>
      </c>
      <c r="BF451" s="1017"/>
      <c r="BG451" s="1167"/>
      <c r="BH451" s="1167">
        <f>($AZ$450*BA451)+($BC$450*BD451)</f>
        <v>5.2512120816279424</v>
      </c>
      <c r="BI451" s="297">
        <f>(AZ450*BA451)+(BC450*BD451)+(BF450*BG451)</f>
        <v>5.2512120816279424</v>
      </c>
      <c r="BJ451" s="643" t="s">
        <v>1970</v>
      </c>
      <c r="BK451" s="297">
        <f>F451</f>
        <v>6</v>
      </c>
      <c r="BL451" s="643" t="s">
        <v>1970</v>
      </c>
      <c r="BN451" s="256"/>
      <c r="BO451" s="1592"/>
      <c r="BP451" s="1492"/>
    </row>
    <row r="452" spans="1:68" hidden="1" outlineLevel="1">
      <c r="A452" s="256" t="str">
        <f>$A$41</f>
        <v>2Q</v>
      </c>
      <c r="B452" s="302" t="str">
        <f>$B$41</f>
        <v>Jul</v>
      </c>
      <c r="C452" s="256"/>
      <c r="D452" s="288">
        <f>(V452/V445-1)*100</f>
        <v>14.252388523201741</v>
      </c>
      <c r="E452" s="256"/>
      <c r="F452" s="1156">
        <v>-10</v>
      </c>
      <c r="G452" s="256"/>
      <c r="H452" s="2091">
        <f>'segSales&amp;comps'!AI181</f>
        <v>21</v>
      </c>
      <c r="I452" s="256"/>
      <c r="J452" s="288">
        <f>D452-H452-F452</f>
        <v>3.2523885232017413</v>
      </c>
      <c r="K452" s="256"/>
      <c r="L452" s="948">
        <f>Stores!AA255</f>
        <v>27</v>
      </c>
      <c r="M452" s="256"/>
      <c r="N452" s="811">
        <f>AVERAGE(L452,L451)</f>
        <v>27</v>
      </c>
      <c r="O452" s="256"/>
      <c r="P452" s="288">
        <f>(N452/N445-1)*100</f>
        <v>12.5</v>
      </c>
      <c r="Q452" s="643"/>
      <c r="R452" s="812">
        <f>J452/P452*100</f>
        <v>26.019108185613931</v>
      </c>
      <c r="S452" s="587"/>
      <c r="T452" s="256"/>
      <c r="U452" s="256"/>
      <c r="V452" s="315">
        <f>'segSales&amp;comps'!AG181</f>
        <v>76.893000000000001</v>
      </c>
      <c r="W452" s="238"/>
      <c r="X452" s="818">
        <f>V452/N452</f>
        <v>2.8478888888888889</v>
      </c>
      <c r="Y452" s="256"/>
      <c r="Z452" s="814">
        <f>(X452/X445-1)*100</f>
        <v>1.5576786872904202</v>
      </c>
      <c r="AA452" s="643"/>
      <c r="AB452" s="256"/>
      <c r="AC452" s="1017">
        <f>AC451+(L452-L451)*yrSales!$U$200/1000000</f>
        <v>0.10100000000000001</v>
      </c>
      <c r="AD452" s="238"/>
      <c r="AE452" s="816">
        <f>AVERAGE(AC451:AC452)</f>
        <v>0.10100000000000001</v>
      </c>
      <c r="AF452" s="256"/>
      <c r="AG452" s="1122" t="s">
        <v>1086</v>
      </c>
      <c r="AH452" s="643"/>
      <c r="AI452" s="1122" t="s">
        <v>1086</v>
      </c>
      <c r="AJ452" s="587"/>
      <c r="AK452" s="256"/>
      <c r="AL452" s="315">
        <f>+V452</f>
        <v>76.893000000000001</v>
      </c>
      <c r="AM452" s="256"/>
      <c r="AN452" s="315">
        <f>AL452/AE452</f>
        <v>761.31683168316829</v>
      </c>
      <c r="AO452" s="256"/>
      <c r="AP452" s="1122" t="s">
        <v>1086</v>
      </c>
      <c r="AQ452" s="643"/>
      <c r="AR452" s="643"/>
      <c r="AS452" s="256"/>
      <c r="AT452" s="256"/>
      <c r="AU452" s="256"/>
      <c r="AV452" s="256"/>
      <c r="AW452" s="256"/>
      <c r="AX452" s="256"/>
      <c r="AY452" s="256"/>
      <c r="AZ452" s="1017">
        <v>1.4902003076923074</v>
      </c>
      <c r="BA452" s="1167">
        <f>+(AZ452/AZ445-1)*100</f>
        <v>-7.1005130076150174</v>
      </c>
      <c r="BB452" s="256"/>
      <c r="BC452" s="1017">
        <v>1.2519634492307687</v>
      </c>
      <c r="BD452" s="1167">
        <f>+(BC452/BC445-1)*100</f>
        <v>-9.9957052506927653</v>
      </c>
      <c r="BE452" s="256"/>
      <c r="BF452" s="1017"/>
      <c r="BG452" s="1167"/>
      <c r="BH452" s="1167">
        <f>($AZ$450*BA452)+($BC$450*BD452)</f>
        <v>-8.5481091291538913</v>
      </c>
      <c r="BI452" s="297">
        <f>(AZ450*BA452)+(BC450*BD452)+(BF450*BG452)</f>
        <v>-8.5481091291538913</v>
      </c>
      <c r="BJ452" s="256"/>
      <c r="BK452" s="297">
        <f>F452</f>
        <v>-10</v>
      </c>
      <c r="BN452" s="256"/>
      <c r="BO452" s="1592"/>
      <c r="BP452" s="1492"/>
    </row>
    <row r="453" spans="1:68" hidden="1" outlineLevel="1">
      <c r="A453" s="256" t="str">
        <f>$A$42</f>
        <v>3Q</v>
      </c>
      <c r="B453" s="302" t="str">
        <f>$B$42</f>
        <v>Oct</v>
      </c>
      <c r="C453" s="256"/>
      <c r="D453" s="288">
        <f>(V453/V446-1)*100</f>
        <v>21.778504496572548</v>
      </c>
      <c r="E453" s="256"/>
      <c r="F453" s="1156">
        <v>-8</v>
      </c>
      <c r="G453" s="256"/>
      <c r="H453" s="2091">
        <f>'segSales&amp;comps'!AI182</f>
        <v>24</v>
      </c>
      <c r="I453" s="256"/>
      <c r="J453" s="288">
        <f>D453-H453-F453</f>
        <v>5.7785044965725483</v>
      </c>
      <c r="K453" s="256"/>
      <c r="L453" s="948">
        <f>Stores!AA256</f>
        <v>27</v>
      </c>
      <c r="M453" s="238"/>
      <c r="N453" s="811">
        <f>AVERAGE(L453,L452)</f>
        <v>27</v>
      </c>
      <c r="O453" s="256"/>
      <c r="P453" s="288">
        <f>(N453/N446-1)*100</f>
        <v>10.20408163265305</v>
      </c>
      <c r="Q453" s="643"/>
      <c r="R453" s="812">
        <f>J453/P453*100</f>
        <v>56.629344066411036</v>
      </c>
      <c r="S453" s="587"/>
      <c r="T453" s="256"/>
      <c r="U453" s="256"/>
      <c r="V453" s="315">
        <f>'segSales&amp;comps'!AG182</f>
        <v>77.456000000000003</v>
      </c>
      <c r="W453" s="256"/>
      <c r="X453" s="818">
        <f>V453/N453</f>
        <v>2.868740740740741</v>
      </c>
      <c r="Y453" s="256"/>
      <c r="Z453" s="814">
        <f>(X453/X446-1)*100</f>
        <v>10.502717043186195</v>
      </c>
      <c r="AA453" s="643"/>
      <c r="AB453" s="256"/>
      <c r="AC453" s="1017">
        <f>AC452+(L453-L452)*yrSales!$U$200/1000000</f>
        <v>0.10100000000000001</v>
      </c>
      <c r="AD453" s="238"/>
      <c r="AE453" s="816">
        <f>AVERAGE(AC452:AC453)</f>
        <v>0.10100000000000001</v>
      </c>
      <c r="AF453" s="256"/>
      <c r="AG453" s="1122" t="s">
        <v>1086</v>
      </c>
      <c r="AH453" s="643"/>
      <c r="AI453" s="1122" t="s">
        <v>1086</v>
      </c>
      <c r="AJ453" s="587"/>
      <c r="AK453" s="256"/>
      <c r="AL453" s="315">
        <f>+V453</f>
        <v>77.456000000000003</v>
      </c>
      <c r="AM453" s="256"/>
      <c r="AN453" s="315">
        <f>AL453/AE453</f>
        <v>766.89108910891082</v>
      </c>
      <c r="AO453" s="256"/>
      <c r="AP453" s="1122" t="s">
        <v>1086</v>
      </c>
      <c r="AQ453" s="643"/>
      <c r="AR453" s="643"/>
      <c r="AS453" s="256"/>
      <c r="AT453" s="256"/>
      <c r="AU453" s="256"/>
      <c r="AV453" s="256"/>
      <c r="AW453" s="256"/>
      <c r="AX453" s="256"/>
      <c r="AY453" s="256"/>
      <c r="AZ453" s="1017">
        <v>1.5689557661538462</v>
      </c>
      <c r="BA453" s="1167">
        <f>+(AZ453/AZ446-1)*100</f>
        <v>-4.0408693146645414</v>
      </c>
      <c r="BB453" s="256"/>
      <c r="BC453" s="1017">
        <v>1.3274626246153849</v>
      </c>
      <c r="BD453" s="1167">
        <f>+(BC453/BC446-1)*100</f>
        <v>-8.7466635820311112</v>
      </c>
      <c r="BE453" s="256"/>
      <c r="BF453" s="1017"/>
      <c r="BG453" s="1167"/>
      <c r="BH453" s="1167">
        <f>($AZ$450*BA453)+($BC$450*BD453)</f>
        <v>-6.3937664483478258</v>
      </c>
      <c r="BI453" s="297">
        <f>(AZ450*BA453)+(BC450*BD453)+(BF450*BG453)</f>
        <v>-6.3937664483478258</v>
      </c>
      <c r="BJ453" s="256"/>
      <c r="BK453" s="297">
        <f>F453</f>
        <v>-8</v>
      </c>
      <c r="BN453" s="256"/>
      <c r="BO453" s="1592"/>
      <c r="BP453" s="1492"/>
    </row>
    <row r="454" spans="1:68" hidden="1" outlineLevel="1">
      <c r="A454" s="256" t="str">
        <f>$A$43</f>
        <v>4Q</v>
      </c>
      <c r="B454" s="302" t="str">
        <f>$B$43</f>
        <v>Jan</v>
      </c>
      <c r="C454" s="256"/>
      <c r="D454" s="318">
        <f>(V454/V447-1)*100</f>
        <v>14.439648015938932</v>
      </c>
      <c r="E454" s="256"/>
      <c r="F454" s="1148">
        <v>-7</v>
      </c>
      <c r="G454" s="256"/>
      <c r="H454" s="2095">
        <f>'segSales&amp;comps'!AI183</f>
        <v>16</v>
      </c>
      <c r="I454" s="256"/>
      <c r="J454" s="318">
        <f>D454-H454-F454</f>
        <v>5.439648015938932</v>
      </c>
      <c r="K454" s="256"/>
      <c r="L454" s="949">
        <f>Stores!AA257</f>
        <v>29</v>
      </c>
      <c r="M454" s="238"/>
      <c r="N454" s="820">
        <f>AVERAGE(L454,L453)</f>
        <v>28</v>
      </c>
      <c r="O454" s="256"/>
      <c r="P454" s="318">
        <f>(N454/N447-1)*100</f>
        <v>7.6923076923076872</v>
      </c>
      <c r="Q454" s="643"/>
      <c r="R454" s="820">
        <f>J454/P454*100</f>
        <v>70.715424207206169</v>
      </c>
      <c r="S454" s="587"/>
      <c r="T454" s="256"/>
      <c r="U454" s="256"/>
      <c r="V454" s="316">
        <f>'segSales&amp;comps'!AG183</f>
        <v>137.85400000000004</v>
      </c>
      <c r="W454" s="256"/>
      <c r="X454" s="821">
        <f>V454/N454</f>
        <v>4.9233571428571441</v>
      </c>
      <c r="Y454" s="256"/>
      <c r="Z454" s="298">
        <f>(X454/X447-1)*100</f>
        <v>6.2653874433718837</v>
      </c>
      <c r="AA454" s="643"/>
      <c r="AB454" s="256"/>
      <c r="AC454" s="1017">
        <f>+Stores!AD258</f>
        <v>0.10790000000000001</v>
      </c>
      <c r="AD454" s="238"/>
      <c r="AE454" s="822">
        <f>AVERAGE(AC453:AC454)</f>
        <v>0.10445000000000002</v>
      </c>
      <c r="AF454" s="256"/>
      <c r="AG454" s="1123" t="s">
        <v>1086</v>
      </c>
      <c r="AH454" s="643"/>
      <c r="AI454" s="1123" t="s">
        <v>1086</v>
      </c>
      <c r="AJ454" s="587"/>
      <c r="AK454" s="256"/>
      <c r="AL454" s="316">
        <f>+V454</f>
        <v>137.85400000000004</v>
      </c>
      <c r="AM454" s="256"/>
      <c r="AN454" s="316">
        <f>AL454/AE454</f>
        <v>1319.8085208233606</v>
      </c>
      <c r="AO454" s="256"/>
      <c r="AP454" s="1123" t="s">
        <v>1086</v>
      </c>
      <c r="AQ454" s="643"/>
      <c r="AR454" s="643"/>
      <c r="AS454" s="256"/>
      <c r="AT454" s="256"/>
      <c r="AU454" s="256"/>
      <c r="AV454" s="256"/>
      <c r="AW454" s="256"/>
      <c r="AX454" s="256"/>
      <c r="AY454" s="256"/>
      <c r="AZ454" s="1601">
        <v>1.5771124757575754</v>
      </c>
      <c r="BA454" s="1602">
        <f>+(AZ454/AZ447-1)*100</f>
        <v>-3.4264729533016403</v>
      </c>
      <c r="BB454" s="256"/>
      <c r="BC454" s="1601">
        <v>1.340946551515152</v>
      </c>
      <c r="BD454" s="1602">
        <f>+(BC454/BC447-1)*100</f>
        <v>-8.1928320902802341</v>
      </c>
      <c r="BE454" s="256"/>
      <c r="BF454" s="1601"/>
      <c r="BG454" s="1602"/>
      <c r="BH454" s="1167">
        <f>($AZ$450*BA454)+($BC$450*BD454)</f>
        <v>-5.8096525217909374</v>
      </c>
      <c r="BI454" s="298">
        <f>(AZ450*BA454)+(BC450*BD454)+(BF450*BG454)</f>
        <v>-5.8096525217909374</v>
      </c>
      <c r="BJ454" s="256"/>
      <c r="BK454" s="298">
        <f>F454</f>
        <v>-7</v>
      </c>
      <c r="BN454" s="256"/>
      <c r="BO454" s="1592"/>
      <c r="BP454" s="1492"/>
    </row>
    <row r="455" spans="1:68" hidden="1" outlineLevel="1">
      <c r="A455" s="256"/>
      <c r="B455" s="302" t="str">
        <f>$B$44</f>
        <v>Year</v>
      </c>
      <c r="C455" s="256"/>
      <c r="D455" s="288">
        <f>(V455/V448-1)*100</f>
        <v>17.795058125299956</v>
      </c>
      <c r="E455" s="256"/>
      <c r="F455" s="297">
        <f>F451*V451/V455+F452*V452/V455+F453*V453/V455+F454*V454/V455</f>
        <v>-5.3814334134262314</v>
      </c>
      <c r="G455" s="256"/>
      <c r="H455" s="2091">
        <f>'segSales&amp;comps'!AI184</f>
        <v>18</v>
      </c>
      <c r="I455" s="256"/>
      <c r="J455" s="288">
        <f>D455-H455-F455</f>
        <v>5.1764915387261876</v>
      </c>
      <c r="K455" s="256"/>
      <c r="L455" s="951">
        <f>Stores!AA258</f>
        <v>29</v>
      </c>
      <c r="M455" s="256"/>
      <c r="N455" s="811">
        <f>AVERAGE(N451:N454)</f>
        <v>27.25</v>
      </c>
      <c r="O455" s="256"/>
      <c r="P455" s="288">
        <f>(N455/N448-1)*100</f>
        <v>10.659898477157359</v>
      </c>
      <c r="Q455" s="643"/>
      <c r="R455" s="812">
        <f>J455/P455*100</f>
        <v>48.560420625193288</v>
      </c>
      <c r="S455" s="587"/>
      <c r="T455" s="256"/>
      <c r="U455" s="256"/>
      <c r="V455" s="296">
        <f>SUM(V451:V454)</f>
        <v>360.83100000000002</v>
      </c>
      <c r="W455" s="256"/>
      <c r="X455" s="813">
        <f>SUM(X451:X454)</f>
        <v>13.181764550264552</v>
      </c>
      <c r="Y455" s="256"/>
      <c r="Z455" s="814">
        <f>(X455/X448-1)*100</f>
        <v>6.9670565467849332</v>
      </c>
      <c r="AA455" s="643"/>
      <c r="AB455" s="256"/>
      <c r="AC455" s="815"/>
      <c r="AD455" s="256"/>
      <c r="AE455" s="816">
        <f>AVERAGE(AE451:AE454)</f>
        <v>0.10186250000000002</v>
      </c>
      <c r="AF455" s="256"/>
      <c r="AG455" s="1122" t="s">
        <v>1086</v>
      </c>
      <c r="AH455" s="643"/>
      <c r="AI455" s="1122" t="s">
        <v>1086</v>
      </c>
      <c r="AJ455" s="587"/>
      <c r="AK455" s="256"/>
      <c r="AL455" s="296">
        <f>SUM(AL451:AL454)</f>
        <v>360.83100000000002</v>
      </c>
      <c r="AM455" s="256"/>
      <c r="AN455" s="296">
        <f>AL455/AE455</f>
        <v>3542.3340287151791</v>
      </c>
      <c r="AO455" s="256"/>
      <c r="AP455" s="1122" t="s">
        <v>1086</v>
      </c>
      <c r="AQ455" s="643"/>
      <c r="AR455" s="643"/>
      <c r="AS455" s="256"/>
      <c r="AT455" s="256"/>
      <c r="AU455" s="256"/>
      <c r="AV455" s="256"/>
      <c r="AW455" s="256"/>
      <c r="AX455" s="256"/>
      <c r="AY455" s="256"/>
      <c r="AZ455" s="1017">
        <v>1.5425112693486573</v>
      </c>
      <c r="BA455" s="1167">
        <f>+(AZ455/AZ448-1)*100</f>
        <v>-2.320882145400871</v>
      </c>
      <c r="BB455" s="256"/>
      <c r="BC455" s="1017">
        <v>1.3192802249042148</v>
      </c>
      <c r="BD455" s="1167">
        <f>+(BC455/BC448-1)*100</f>
        <v>-5.9020414141040423</v>
      </c>
      <c r="BE455" s="256"/>
      <c r="BF455" s="1017"/>
      <c r="BG455" s="1167"/>
      <c r="BH455" s="1167">
        <f>($AZ$450*BA455)+($BC$450*BD455)</f>
        <v>-4.1114617797524566</v>
      </c>
      <c r="BI455" s="297">
        <f>(AZ450*BA455)+(BC450*BD455)+(BF450*BG455)</f>
        <v>-4.1114617797524566</v>
      </c>
      <c r="BJ455" s="256"/>
      <c r="BK455" s="297">
        <f>F455</f>
        <v>-5.3814334134262314</v>
      </c>
      <c r="BN455" s="302"/>
      <c r="BO455" s="587"/>
      <c r="BP455" s="587"/>
    </row>
    <row r="456" spans="1:68" ht="13.5" hidden="1" outlineLevel="1" thickBot="1">
      <c r="A456" s="132"/>
      <c r="B456" s="174"/>
      <c r="C456" s="132"/>
      <c r="D456" s="132"/>
      <c r="E456" s="132"/>
      <c r="F456" s="132"/>
      <c r="G456" s="132"/>
      <c r="H456" s="2085"/>
      <c r="I456" s="132"/>
      <c r="J456" s="132"/>
      <c r="K456" s="132"/>
      <c r="L456" s="132"/>
      <c r="M456" s="132"/>
      <c r="N456" s="132"/>
      <c r="O456" s="132"/>
      <c r="P456" s="132"/>
      <c r="Q456" s="132"/>
      <c r="R456" s="132"/>
      <c r="S456" s="132"/>
      <c r="T456" s="132"/>
      <c r="U456" s="132"/>
      <c r="V456" s="132"/>
      <c r="W456" s="132"/>
      <c r="X456" s="132"/>
      <c r="Y456" s="132"/>
      <c r="Z456" s="132"/>
      <c r="AA456" s="132"/>
      <c r="AB456" s="132"/>
      <c r="AC456" s="132"/>
      <c r="AD456" s="132"/>
      <c r="AE456" s="132"/>
      <c r="AF456" s="132"/>
      <c r="AG456" s="132"/>
      <c r="AH456" s="132"/>
      <c r="AI456" s="132"/>
      <c r="AJ456" s="132"/>
      <c r="AK456" s="132"/>
      <c r="AL456" s="132"/>
      <c r="AM456" s="132"/>
      <c r="AN456" s="132"/>
      <c r="AO456" s="132"/>
      <c r="AP456" s="132"/>
      <c r="AQ456" s="132"/>
      <c r="AR456" s="132"/>
      <c r="AS456" s="132"/>
      <c r="AT456" s="132"/>
      <c r="AU456" s="132"/>
      <c r="AV456" s="132"/>
      <c r="AW456" s="132"/>
      <c r="AX456" s="132"/>
      <c r="AY456" s="132"/>
      <c r="AZ456" s="132"/>
      <c r="BA456" s="132"/>
      <c r="BB456" s="132"/>
      <c r="BC456" s="132"/>
      <c r="BD456" s="132"/>
      <c r="BE456" s="132"/>
      <c r="BG456" s="132"/>
      <c r="BH456" s="132"/>
      <c r="BI456" s="132"/>
      <c r="BJ456" s="132"/>
      <c r="BN456" s="132"/>
      <c r="BO456" s="587"/>
      <c r="BP456" s="587"/>
    </row>
    <row r="457" spans="1:68" ht="13.5" hidden="1" outlineLevel="1" thickBot="1">
      <c r="A457" s="810"/>
      <c r="B457" s="171">
        <f>+B450+1</f>
        <v>2011</v>
      </c>
      <c r="C457" s="256"/>
      <c r="D457" s="256"/>
      <c r="E457" s="643"/>
      <c r="F457" s="297"/>
      <c r="G457" s="643"/>
      <c r="H457" s="2091"/>
      <c r="I457" s="643"/>
      <c r="J457" s="256"/>
      <c r="K457" s="643"/>
      <c r="L457" s="256"/>
      <c r="M457" s="256"/>
      <c r="N457" s="256"/>
      <c r="O457" s="256"/>
      <c r="P457" s="256"/>
      <c r="Q457" s="643"/>
      <c r="R457" s="587"/>
      <c r="S457" s="587"/>
      <c r="T457" s="256"/>
      <c r="U457" s="256"/>
      <c r="V457" s="256"/>
      <c r="W457" s="256"/>
      <c r="X457" s="256"/>
      <c r="Y457" s="256"/>
      <c r="Z457" s="256"/>
      <c r="AA457" s="643"/>
      <c r="AB457" s="256"/>
      <c r="AC457" s="256"/>
      <c r="AD457" s="256"/>
      <c r="AE457" s="256"/>
      <c r="AF457" s="256"/>
      <c r="AG457" s="256"/>
      <c r="AH457" s="643"/>
      <c r="AI457" s="587"/>
      <c r="AJ457" s="587"/>
      <c r="AK457" s="256"/>
      <c r="AL457" s="256"/>
      <c r="AM457" s="256"/>
      <c r="AN457" s="256"/>
      <c r="AO457" s="256"/>
      <c r="AP457" s="320"/>
      <c r="AQ457" s="643"/>
      <c r="AR457" s="643"/>
      <c r="AS457" s="256"/>
      <c r="AT457" s="256"/>
      <c r="AU457" s="256"/>
      <c r="AV457" s="256"/>
      <c r="AW457" s="256"/>
      <c r="AX457" s="256"/>
      <c r="AY457" s="256"/>
      <c r="AZ457" s="1605">
        <v>0.49</v>
      </c>
      <c r="BA457" s="587"/>
      <c r="BB457" s="587"/>
      <c r="BC457" s="1605">
        <f>1-AZ457</f>
        <v>0.51</v>
      </c>
      <c r="BD457" s="1603"/>
      <c r="BE457" s="587"/>
      <c r="BF457" s="1606"/>
      <c r="BG457" s="587"/>
      <c r="BH457" s="256"/>
      <c r="BI457" s="256"/>
      <c r="BJ457" s="256"/>
      <c r="BN457" s="256"/>
      <c r="BO457" s="587"/>
      <c r="BP457" s="587"/>
    </row>
    <row r="458" spans="1:68" hidden="1" outlineLevel="1">
      <c r="A458" s="256" t="str">
        <f>$A$40</f>
        <v>1Q</v>
      </c>
      <c r="B458" s="302" t="str">
        <f>$B$40</f>
        <v>Apr</v>
      </c>
      <c r="C458" s="256"/>
      <c r="D458" s="288">
        <f>(V458/V451-1)*100</f>
        <v>24.730430727982757</v>
      </c>
      <c r="E458" s="643" t="s">
        <v>1970</v>
      </c>
      <c r="F458" s="1473">
        <v>6</v>
      </c>
      <c r="G458" s="643"/>
      <c r="H458" s="2091">
        <f>'segSales&amp;comps'!AI187</f>
        <v>15</v>
      </c>
      <c r="I458" s="643" t="s">
        <v>1970</v>
      </c>
      <c r="J458" s="288">
        <f>D458-H458-F458</f>
        <v>3.7304307279827569</v>
      </c>
      <c r="K458" s="643" t="s">
        <v>1970</v>
      </c>
      <c r="L458" s="948">
        <f>Stores!AA261</f>
        <v>29</v>
      </c>
      <c r="M458" s="256"/>
      <c r="N458" s="811">
        <f>AVERAGE(L458,L454)</f>
        <v>29</v>
      </c>
      <c r="O458" s="256"/>
      <c r="P458" s="288">
        <f>(N458/N451-1)*100</f>
        <v>7.4074074074074181</v>
      </c>
      <c r="Q458" s="643" t="s">
        <v>1970</v>
      </c>
      <c r="R458" s="812">
        <f>J458/P458*100</f>
        <v>50.360814827767143</v>
      </c>
      <c r="S458" s="587" t="s">
        <v>1970</v>
      </c>
      <c r="T458" s="256"/>
      <c r="U458" s="256"/>
      <c r="V458" s="296">
        <f>'segSales&amp;comps'!AG187</f>
        <v>85.6</v>
      </c>
      <c r="W458" s="238"/>
      <c r="X458" s="813">
        <f>V458/N458</f>
        <v>2.9517241379310342</v>
      </c>
      <c r="Y458" s="256"/>
      <c r="Z458" s="814">
        <f>(X458/X451-1)*100</f>
        <v>16.128332057087391</v>
      </c>
      <c r="AA458" s="643" t="s">
        <v>1970</v>
      </c>
      <c r="AB458" s="256"/>
      <c r="AC458" s="1017">
        <f>AC454+(L458-L455)*yrSales!$W$200/1000000</f>
        <v>0.10790000000000001</v>
      </c>
      <c r="AD458" s="256" t="s">
        <v>505</v>
      </c>
      <c r="AE458" s="816">
        <f>AVERAGE(AC458,AC454)</f>
        <v>0.10790000000000001</v>
      </c>
      <c r="AF458" s="256"/>
      <c r="AG458" s="1122" t="s">
        <v>1086</v>
      </c>
      <c r="AH458" s="643" t="s">
        <v>1970</v>
      </c>
      <c r="AI458" s="1122" t="s">
        <v>1086</v>
      </c>
      <c r="AJ458" s="587" t="s">
        <v>1970</v>
      </c>
      <c r="AK458" s="256"/>
      <c r="AL458" s="296">
        <f>+V458</f>
        <v>85.6</v>
      </c>
      <c r="AM458" s="256" t="s">
        <v>505</v>
      </c>
      <c r="AN458" s="296">
        <f>AL458/AE458</f>
        <v>793.32715477293777</v>
      </c>
      <c r="AO458" s="256"/>
      <c r="AP458" s="1122" t="s">
        <v>1086</v>
      </c>
      <c r="AQ458" s="643" t="s">
        <v>1970</v>
      </c>
      <c r="AR458" s="643"/>
      <c r="AS458" s="256"/>
      <c r="AT458" s="256"/>
      <c r="AU458" s="256"/>
      <c r="AV458" s="256"/>
      <c r="AW458" s="256"/>
      <c r="AX458" s="256"/>
      <c r="AY458" s="256"/>
      <c r="AZ458" s="1017">
        <v>1.6210565765625</v>
      </c>
      <c r="BA458" s="1167">
        <f>+(AZ458/AZ451-1)*100</f>
        <v>5.7272269437528722</v>
      </c>
      <c r="BB458" s="1609" t="s">
        <v>1970</v>
      </c>
      <c r="BC458" s="1017">
        <v>1.4031565859375004</v>
      </c>
      <c r="BD458" s="1167">
        <f>+(BC458/BC451-1)*100</f>
        <v>3.4459690905199292</v>
      </c>
      <c r="BE458" s="1609" t="s">
        <v>1970</v>
      </c>
      <c r="BF458" s="1017"/>
      <c r="BG458" s="1167"/>
      <c r="BH458" s="1167">
        <f>($AZ$457*BA458)+($BC$457*BD458)</f>
        <v>4.5637854386040715</v>
      </c>
      <c r="BI458" s="297">
        <f>(AZ457*BA458)+(BC457*BD458)+(BF457*BG458)</f>
        <v>4.5637854386040715</v>
      </c>
      <c r="BJ458" s="643" t="s">
        <v>1970</v>
      </c>
      <c r="BK458" s="297">
        <f>F458</f>
        <v>6</v>
      </c>
      <c r="BL458" s="643" t="s">
        <v>1970</v>
      </c>
      <c r="BN458" s="256"/>
      <c r="BO458" s="1592"/>
      <c r="BP458" s="1492"/>
    </row>
    <row r="459" spans="1:68" hidden="1" outlineLevel="1">
      <c r="A459" s="256" t="str">
        <f>$A$41</f>
        <v>2Q</v>
      </c>
      <c r="B459" s="302" t="str">
        <f>$B$41</f>
        <v>Jul</v>
      </c>
      <c r="C459" s="256"/>
      <c r="D459" s="288">
        <f>(V459/V452-1)*100</f>
        <v>31.805235847216263</v>
      </c>
      <c r="E459" s="256"/>
      <c r="F459" s="1473">
        <v>15</v>
      </c>
      <c r="G459" s="256"/>
      <c r="H459" s="2091">
        <f>'segSales&amp;comps'!AI188</f>
        <v>11</v>
      </c>
      <c r="I459" s="256"/>
      <c r="J459" s="288">
        <f>D459-H459-F459</f>
        <v>5.8052358472162631</v>
      </c>
      <c r="K459" s="256"/>
      <c r="L459" s="948">
        <f>Stores!AA262</f>
        <v>31</v>
      </c>
      <c r="M459" s="256"/>
      <c r="N459" s="811">
        <f>AVERAGE(L459,L458)</f>
        <v>30</v>
      </c>
      <c r="O459" s="256"/>
      <c r="P459" s="288">
        <f>(N459/N452-1)*100</f>
        <v>11.111111111111116</v>
      </c>
      <c r="Q459" s="643"/>
      <c r="R459" s="812">
        <f>J459/P459*100</f>
        <v>52.247122624946343</v>
      </c>
      <c r="S459" s="587"/>
      <c r="T459" s="256"/>
      <c r="U459" s="256"/>
      <c r="V459" s="315">
        <f>'segSales&amp;comps'!AG188</f>
        <v>101.349</v>
      </c>
      <c r="W459" s="238"/>
      <c r="X459" s="818">
        <f>V459/N459</f>
        <v>3.3783000000000003</v>
      </c>
      <c r="Y459" s="256"/>
      <c r="Z459" s="814">
        <f>(X459/X452-1)*100</f>
        <v>18.624712262494647</v>
      </c>
      <c r="AA459" s="643"/>
      <c r="AB459" s="256"/>
      <c r="AC459" s="1017">
        <f>AC458+(L459-L458)*yrSales!$W$200/1000000</f>
        <v>0.11480000000000001</v>
      </c>
      <c r="AD459" s="238"/>
      <c r="AE459" s="816">
        <f>AVERAGE(AC458:AC459)</f>
        <v>0.11135</v>
      </c>
      <c r="AF459" s="256"/>
      <c r="AG459" s="1122" t="s">
        <v>1086</v>
      </c>
      <c r="AH459" s="643"/>
      <c r="AI459" s="1122" t="s">
        <v>1086</v>
      </c>
      <c r="AJ459" s="587"/>
      <c r="AK459" s="256"/>
      <c r="AL459" s="315">
        <f>+V459</f>
        <v>101.349</v>
      </c>
      <c r="AM459" s="256"/>
      <c r="AN459" s="315">
        <f>AL459/AE459</f>
        <v>910.18410417602161</v>
      </c>
      <c r="AO459" s="256"/>
      <c r="AP459" s="1122" t="s">
        <v>1086</v>
      </c>
      <c r="AQ459" s="643"/>
      <c r="AR459" s="643"/>
      <c r="AS459" s="256"/>
      <c r="AT459" s="256"/>
      <c r="AU459" s="256"/>
      <c r="AV459" s="256"/>
      <c r="AW459" s="256"/>
      <c r="AX459" s="256"/>
      <c r="AY459" s="256"/>
      <c r="AZ459" s="1017">
        <v>1.6236918907692306</v>
      </c>
      <c r="BA459" s="1167">
        <f>+(AZ459/AZ452-1)*100</f>
        <v>8.9579623885359005</v>
      </c>
      <c r="BB459" s="256"/>
      <c r="BC459" s="1017">
        <v>1.4344195353846148</v>
      </c>
      <c r="BD459" s="1167">
        <f>+(BC459/BC452-1)*100</f>
        <v>14.57359528075286</v>
      </c>
      <c r="BE459" s="256"/>
      <c r="BF459" s="1017"/>
      <c r="BG459" s="1167"/>
      <c r="BH459" s="1167">
        <f>($AZ$457*BA459)+($BC$457*BD459)</f>
        <v>11.82193516356655</v>
      </c>
      <c r="BI459" s="297">
        <f>(AZ457*BA459)+(BC457*BD459)+(BF457*BG459)</f>
        <v>11.82193516356655</v>
      </c>
      <c r="BJ459" s="256"/>
      <c r="BK459" s="297">
        <f>F459</f>
        <v>15</v>
      </c>
      <c r="BN459" s="256"/>
      <c r="BO459" s="1592"/>
      <c r="BP459" s="1492"/>
    </row>
    <row r="460" spans="1:68" hidden="1" outlineLevel="1">
      <c r="A460" s="256" t="str">
        <f>$A$42</f>
        <v>3Q</v>
      </c>
      <c r="B460" s="302" t="str">
        <f>$B$42</f>
        <v>Oct</v>
      </c>
      <c r="C460" s="256"/>
      <c r="D460" s="288">
        <f>(V460/V453-1)*100</f>
        <v>19.458789506300356</v>
      </c>
      <c r="E460" s="256"/>
      <c r="F460" s="1473">
        <v>4</v>
      </c>
      <c r="G460" s="256"/>
      <c r="H460" s="2091">
        <f>'segSales&amp;comps'!AI189</f>
        <v>6</v>
      </c>
      <c r="I460" s="256"/>
      <c r="J460" s="288">
        <f>D460-H460-F460</f>
        <v>9.4587895063003558</v>
      </c>
      <c r="K460" s="256"/>
      <c r="L460" s="948">
        <f>Stores!AA263</f>
        <v>32</v>
      </c>
      <c r="M460" s="256"/>
      <c r="N460" s="811">
        <f>AVERAGE(L460,L459)</f>
        <v>31.5</v>
      </c>
      <c r="O460" s="256"/>
      <c r="P460" s="288">
        <f>(N460/N453-1)*100</f>
        <v>16.666666666666675</v>
      </c>
      <c r="Q460" s="643"/>
      <c r="R460" s="812">
        <f>J460/P460*100</f>
        <v>56.752737037802106</v>
      </c>
      <c r="S460" s="587"/>
      <c r="T460" s="256"/>
      <c r="U460" s="256"/>
      <c r="V460" s="315">
        <f>'segSales&amp;comps'!AG189</f>
        <v>92.528000000000006</v>
      </c>
      <c r="W460" s="238"/>
      <c r="X460" s="818">
        <f>V460/N460</f>
        <v>2.9373968253968257</v>
      </c>
      <c r="Y460" s="256"/>
      <c r="Z460" s="814">
        <f>(X460/X453-1)*100</f>
        <v>2.3932481482574319</v>
      </c>
      <c r="AA460" s="643"/>
      <c r="AB460" s="256"/>
      <c r="AC460" s="1017">
        <f>AC459+(L460-L459)*yrSales!$W$200/1000000</f>
        <v>0.11825000000000002</v>
      </c>
      <c r="AD460" s="238"/>
      <c r="AE460" s="816">
        <f>AVERAGE(AC459:AC460)</f>
        <v>0.11652500000000002</v>
      </c>
      <c r="AF460" s="256"/>
      <c r="AG460" s="1122" t="s">
        <v>1086</v>
      </c>
      <c r="AH460" s="643"/>
      <c r="AI460" s="1122" t="s">
        <v>1086</v>
      </c>
      <c r="AJ460" s="587"/>
      <c r="AK460" s="256"/>
      <c r="AL460" s="315">
        <f>+V460</f>
        <v>92.528000000000006</v>
      </c>
      <c r="AM460" s="256"/>
      <c r="AN460" s="315">
        <f>AL460/AE460</f>
        <v>794.06136022312796</v>
      </c>
      <c r="AO460" s="256"/>
      <c r="AP460" s="1122" t="s">
        <v>1086</v>
      </c>
      <c r="AQ460" s="643"/>
      <c r="AR460" s="643"/>
      <c r="AS460" s="256"/>
      <c r="AT460" s="256"/>
      <c r="AU460" s="256"/>
      <c r="AV460" s="256"/>
      <c r="AW460" s="256"/>
      <c r="AX460" s="256"/>
      <c r="AY460" s="256"/>
      <c r="AZ460" s="1017">
        <v>1.5977503212121218</v>
      </c>
      <c r="BA460" s="1167">
        <f>+(AZ460/AZ453-1)*100</f>
        <v>1.8352687615191821</v>
      </c>
      <c r="BB460" s="256"/>
      <c r="BC460" s="1017">
        <v>1.3950139787878786</v>
      </c>
      <c r="BD460" s="1167">
        <f>+(BC460/BC453-1)*100</f>
        <v>5.0887575228015125</v>
      </c>
      <c r="BE460" s="256"/>
      <c r="BF460" s="1017"/>
      <c r="BG460" s="1167"/>
      <c r="BH460" s="1167">
        <f>($AZ$457*BA460)+($BC$457*BD460)</f>
        <v>3.4945480297731706</v>
      </c>
      <c r="BI460" s="297">
        <f>(AZ457*BA460)+(BC457*BD460)+(BF457*BG460)</f>
        <v>3.4945480297731706</v>
      </c>
      <c r="BJ460" s="256"/>
      <c r="BK460" s="297">
        <f>F460</f>
        <v>4</v>
      </c>
      <c r="BN460" s="256"/>
      <c r="BO460" s="1592"/>
      <c r="BP460" s="1492"/>
    </row>
    <row r="461" spans="1:68" hidden="1" outlineLevel="1">
      <c r="A461" s="256" t="str">
        <f>$A$43</f>
        <v>4Q</v>
      </c>
      <c r="B461" s="302" t="str">
        <f>$B$43</f>
        <v>Jan</v>
      </c>
      <c r="C461" s="256"/>
      <c r="D461" s="318">
        <f>(V461/V454-1)*100</f>
        <v>2.7637935787137025</v>
      </c>
      <c r="E461" s="256"/>
      <c r="F461" s="1148">
        <v>-1</v>
      </c>
      <c r="G461" s="256"/>
      <c r="H461" s="2095">
        <f>'segSales&amp;comps'!AI190</f>
        <v>-2</v>
      </c>
      <c r="I461" s="256"/>
      <c r="J461" s="318">
        <f>D461-H461-F461</f>
        <v>5.7637935787137025</v>
      </c>
      <c r="K461" s="256"/>
      <c r="L461" s="949">
        <f>Stores!AA264</f>
        <v>32</v>
      </c>
      <c r="M461" s="238"/>
      <c r="N461" s="820">
        <f>AVERAGE(L461,L460)</f>
        <v>32</v>
      </c>
      <c r="O461" s="256"/>
      <c r="P461" s="318">
        <f>(N461/N454-1)*100</f>
        <v>14.285714285714279</v>
      </c>
      <c r="Q461" s="643"/>
      <c r="R461" s="820">
        <f>J461/P461*100</f>
        <v>40.346555050995939</v>
      </c>
      <c r="S461" s="587"/>
      <c r="T461" s="256"/>
      <c r="U461" s="256"/>
      <c r="V461" s="316">
        <f>'segSales&amp;comps'!AG190</f>
        <v>141.66400000000002</v>
      </c>
      <c r="W461" s="256"/>
      <c r="X461" s="821">
        <f>V461/N461</f>
        <v>4.4270000000000005</v>
      </c>
      <c r="Y461" s="256"/>
      <c r="Z461" s="298">
        <f>(X461/X454-1)*100</f>
        <v>-10.08168061862551</v>
      </c>
      <c r="AA461" s="643"/>
      <c r="AB461" s="256"/>
      <c r="AC461" s="1017">
        <f>AC460+(L461-L460)*yrSales!$W$200/1000000</f>
        <v>0.11825000000000002</v>
      </c>
      <c r="AD461" s="238"/>
      <c r="AE461" s="822">
        <f>AVERAGE(AC460:AC461)</f>
        <v>0.11825000000000002</v>
      </c>
      <c r="AF461" s="256"/>
      <c r="AG461" s="1123" t="s">
        <v>1086</v>
      </c>
      <c r="AH461" s="643"/>
      <c r="AI461" s="1123" t="s">
        <v>1086</v>
      </c>
      <c r="AJ461" s="587"/>
      <c r="AK461" s="256"/>
      <c r="AL461" s="316">
        <f>+V461</f>
        <v>141.66400000000002</v>
      </c>
      <c r="AM461" s="256"/>
      <c r="AN461" s="316">
        <f>AL461/AE461</f>
        <v>1198.0042283298096</v>
      </c>
      <c r="AO461" s="256"/>
      <c r="AP461" s="1123" t="s">
        <v>1086</v>
      </c>
      <c r="AQ461" s="643"/>
      <c r="AR461" s="643"/>
      <c r="AS461" s="256"/>
      <c r="AT461" s="256"/>
      <c r="AU461" s="256"/>
      <c r="AV461" s="256"/>
      <c r="AW461" s="256"/>
      <c r="AX461" s="256"/>
      <c r="AY461" s="256"/>
      <c r="AZ461" s="1601">
        <v>1.5641374757575754</v>
      </c>
      <c r="BA461" s="1602">
        <f>+(AZ461/AZ454-1)*100</f>
        <v>-0.82270606563855653</v>
      </c>
      <c r="BB461" s="256"/>
      <c r="BC461" s="1601">
        <v>1.3213192530303028</v>
      </c>
      <c r="BD461" s="1602">
        <f>+(BC461/BC454-1)*100</f>
        <v>-1.4636898437653589</v>
      </c>
      <c r="BE461" s="256"/>
      <c r="BF461" s="1601"/>
      <c r="BG461" s="1602"/>
      <c r="BH461" s="1167">
        <f>($AZ$457*BA461)+($BC$457*BD461)</f>
        <v>-1.1496077924832258</v>
      </c>
      <c r="BI461" s="298">
        <f>(AZ457*BA461)+(BC457*BD461)+(BF457*BG461)</f>
        <v>-1.1496077924832258</v>
      </c>
      <c r="BJ461" s="256"/>
      <c r="BK461" s="298">
        <f>F461</f>
        <v>-1</v>
      </c>
      <c r="BN461" s="256"/>
      <c r="BO461" s="1592"/>
      <c r="BP461" s="1492"/>
    </row>
    <row r="462" spans="1:68" hidden="1" outlineLevel="1">
      <c r="A462" s="256"/>
      <c r="B462" s="302" t="str">
        <f>$B$44</f>
        <v>Year</v>
      </c>
      <c r="C462" s="256"/>
      <c r="D462" s="288">
        <f>(V462/V455-1)*100</f>
        <v>16.71419584237497</v>
      </c>
      <c r="E462" s="256"/>
      <c r="F462" s="217">
        <f>F458*V451/V455+F459*V452/V455+F460*V453/V455+F461*V454/V455</f>
        <v>4.8142565356080818</v>
      </c>
      <c r="G462" s="256"/>
      <c r="H462" s="2085">
        <f>H458*V451/V455+H459*V452/V455+H460*V453/V455+H461*V454/V455</f>
        <v>5.7208804121597083</v>
      </c>
      <c r="I462" s="256"/>
      <c r="J462" s="288">
        <f>D462-H462-F462</f>
        <v>6.1790588946071798</v>
      </c>
      <c r="K462" s="256"/>
      <c r="L462" s="951">
        <f>Stores!AA265</f>
        <v>32</v>
      </c>
      <c r="M462" s="256"/>
      <c r="N462" s="811">
        <f>AVERAGE(N458:N461)</f>
        <v>30.625</v>
      </c>
      <c r="O462" s="256"/>
      <c r="P462" s="288">
        <f>(N462/N455-1)*100</f>
        <v>12.385321100917434</v>
      </c>
      <c r="Q462" s="643"/>
      <c r="R462" s="812">
        <f>J462/P462*100</f>
        <v>49.890179223124626</v>
      </c>
      <c r="S462" s="587"/>
      <c r="T462" s="256"/>
      <c r="U462" s="256"/>
      <c r="V462" s="296">
        <f>SUM(V458:V461)</f>
        <v>421.14100000000008</v>
      </c>
      <c r="W462" s="256"/>
      <c r="X462" s="813">
        <f>SUM(X458:X461)</f>
        <v>13.694420963327861</v>
      </c>
      <c r="Y462" s="256"/>
      <c r="Z462" s="814">
        <f>(X462/X455-1)*100</f>
        <v>3.8891334396730759</v>
      </c>
      <c r="AA462" s="643"/>
      <c r="AB462" s="256"/>
      <c r="AC462" s="815"/>
      <c r="AD462" s="256"/>
      <c r="AE462" s="816">
        <f>AVERAGE(AE458:AE461)</f>
        <v>0.11350625000000002</v>
      </c>
      <c r="AF462" s="256"/>
      <c r="AG462" s="1122" t="s">
        <v>1086</v>
      </c>
      <c r="AH462" s="643"/>
      <c r="AI462" s="1122" t="s">
        <v>1086</v>
      </c>
      <c r="AJ462" s="587"/>
      <c r="AK462" s="256"/>
      <c r="AL462" s="296">
        <f>SUM(AL458:AL461)</f>
        <v>421.14100000000008</v>
      </c>
      <c r="AM462" s="256"/>
      <c r="AN462" s="296">
        <f>AL462/AE462</f>
        <v>3710.2890809977425</v>
      </c>
      <c r="AO462" s="256"/>
      <c r="AP462" s="1122" t="s">
        <v>1086</v>
      </c>
      <c r="AQ462" s="643"/>
      <c r="AR462" s="643"/>
      <c r="AS462" s="256"/>
      <c r="AT462" s="256"/>
      <c r="AU462" s="256"/>
      <c r="AV462" s="256"/>
      <c r="AW462" s="256"/>
      <c r="AX462" s="256"/>
      <c r="AY462" s="256"/>
      <c r="AZ462" s="1017">
        <v>1.6014260091954025</v>
      </c>
      <c r="BA462" s="1167">
        <f>+(AZ462/AZ455-1)*100</f>
        <v>3.8194041766464792</v>
      </c>
      <c r="BB462" s="256"/>
      <c r="BC462" s="1017">
        <v>1.3881888298850573</v>
      </c>
      <c r="BD462" s="1167">
        <f>+(BC462/BC455-1)*100</f>
        <v>5.2231969887857277</v>
      </c>
      <c r="BE462" s="256"/>
      <c r="BF462" s="1017"/>
      <c r="BG462" s="1167"/>
      <c r="BH462" s="1167">
        <f>($AZ$457*BA462)+($BC$457*BD462)</f>
        <v>4.5353385108374962</v>
      </c>
      <c r="BI462" s="297">
        <f>(AZ457*BA462)+(BC457*BD462)+(BF457*BG462)</f>
        <v>4.5353385108374962</v>
      </c>
      <c r="BJ462" s="256"/>
      <c r="BK462" s="297">
        <f>F462</f>
        <v>4.8142565356080818</v>
      </c>
      <c r="BN462" s="302"/>
      <c r="BO462" s="587"/>
      <c r="BP462" s="587"/>
    </row>
    <row r="463" spans="1:68" ht="13.5" hidden="1" outlineLevel="1" thickBot="1">
      <c r="A463" s="132"/>
      <c r="B463" s="174"/>
      <c r="C463" s="132"/>
      <c r="D463" s="132"/>
      <c r="E463" s="132"/>
      <c r="F463" s="132"/>
      <c r="G463" s="132"/>
      <c r="H463" s="2085"/>
      <c r="I463" s="132"/>
      <c r="J463" s="132"/>
      <c r="K463" s="132"/>
      <c r="L463" s="132"/>
      <c r="M463" s="132"/>
      <c r="N463" s="132"/>
      <c r="O463" s="132"/>
      <c r="P463" s="132"/>
      <c r="Q463" s="132"/>
      <c r="R463" s="132"/>
      <c r="S463" s="132"/>
      <c r="T463" s="132"/>
      <c r="U463" s="132"/>
      <c r="V463" s="132"/>
      <c r="W463" s="132"/>
      <c r="X463" s="132"/>
      <c r="Y463" s="132"/>
      <c r="Z463" s="132"/>
      <c r="AA463" s="132"/>
      <c r="AB463" s="132"/>
      <c r="AC463" s="132"/>
      <c r="AD463" s="132"/>
      <c r="AE463" s="132"/>
      <c r="AF463" s="132"/>
      <c r="AG463" s="132"/>
      <c r="AH463" s="132"/>
      <c r="AI463" s="132"/>
      <c r="AJ463" s="132"/>
      <c r="AK463" s="132"/>
      <c r="AL463" s="132"/>
      <c r="AM463" s="132"/>
      <c r="AN463" s="132"/>
      <c r="AO463" s="132"/>
      <c r="AP463" s="132"/>
      <c r="AQ463" s="132"/>
      <c r="AR463" s="132"/>
      <c r="AS463" s="132"/>
      <c r="AT463" s="132"/>
      <c r="AU463" s="132"/>
      <c r="AV463" s="132"/>
      <c r="AW463" s="132"/>
      <c r="AX463" s="132"/>
      <c r="AY463" s="132"/>
      <c r="AZ463" s="132"/>
      <c r="BA463" s="132"/>
      <c r="BB463" s="132"/>
      <c r="BC463" s="132"/>
      <c r="BD463" s="132"/>
      <c r="BE463" s="132"/>
      <c r="BG463" s="132"/>
      <c r="BH463" s="132"/>
      <c r="BI463" s="132"/>
      <c r="BJ463" s="132"/>
      <c r="BN463" s="132"/>
      <c r="BO463" s="587"/>
      <c r="BP463" s="587"/>
    </row>
    <row r="464" spans="1:68" ht="13.5" hidden="1" outlineLevel="1" thickBot="1">
      <c r="A464" s="810"/>
      <c r="B464" s="171">
        <f>+B457+1</f>
        <v>2012</v>
      </c>
      <c r="C464" s="256"/>
      <c r="D464" s="256"/>
      <c r="E464" s="643"/>
      <c r="F464" s="297"/>
      <c r="G464" s="643"/>
      <c r="H464" s="2091"/>
      <c r="I464" s="643"/>
      <c r="J464" s="256"/>
      <c r="K464" s="643"/>
      <c r="L464" s="256"/>
      <c r="M464" s="256"/>
      <c r="N464" s="256"/>
      <c r="O464" s="256"/>
      <c r="P464" s="256"/>
      <c r="Q464" s="643"/>
      <c r="R464" s="587"/>
      <c r="S464" s="587"/>
      <c r="T464" s="256"/>
      <c r="U464" s="256"/>
      <c r="V464" s="256"/>
      <c r="W464" s="256"/>
      <c r="X464" s="256"/>
      <c r="Y464" s="256"/>
      <c r="Z464" s="256"/>
      <c r="AA464" s="643"/>
      <c r="AB464" s="256"/>
      <c r="AC464" s="256"/>
      <c r="AD464" s="256"/>
      <c r="AE464" s="256"/>
      <c r="AF464" s="256"/>
      <c r="AG464" s="256"/>
      <c r="AH464" s="643"/>
      <c r="AI464" s="587"/>
      <c r="AJ464" s="587"/>
      <c r="AK464" s="256"/>
      <c r="AL464" s="256"/>
      <c r="AM464" s="256"/>
      <c r="AN464" s="256"/>
      <c r="AO464" s="256"/>
      <c r="AP464" s="320"/>
      <c r="AQ464" s="643"/>
      <c r="AR464" s="643"/>
      <c r="AS464" s="256"/>
      <c r="AT464" s="256"/>
      <c r="AU464" s="256"/>
      <c r="AV464" s="256"/>
      <c r="AW464" s="256"/>
      <c r="AX464" s="256"/>
      <c r="AY464" s="256"/>
      <c r="AZ464" s="1605">
        <v>0.49</v>
      </c>
      <c r="BA464" s="587"/>
      <c r="BB464" s="587"/>
      <c r="BC464" s="1605">
        <f>1-AZ464</f>
        <v>0.51</v>
      </c>
      <c r="BD464" s="1603"/>
      <c r="BE464" s="587"/>
      <c r="BF464" s="1606"/>
      <c r="BG464" s="587"/>
      <c r="BH464" s="256"/>
      <c r="BI464" s="256"/>
      <c r="BJ464" s="256"/>
      <c r="BN464" s="256"/>
      <c r="BO464" s="587"/>
      <c r="BP464" s="587"/>
    </row>
    <row r="465" spans="1:68" hidden="1" outlineLevel="1">
      <c r="A465" s="256" t="str">
        <f>$A$40</f>
        <v>1Q</v>
      </c>
      <c r="B465" s="302" t="str">
        <f>$B$40</f>
        <v>Apr</v>
      </c>
      <c r="C465" s="256"/>
      <c r="D465" s="288">
        <f>(V465/V458-1)*100</f>
        <v>2.6950934579439201</v>
      </c>
      <c r="E465" s="643" t="s">
        <v>1970</v>
      </c>
      <c r="F465" s="1156">
        <v>-4</v>
      </c>
      <c r="G465" s="643"/>
      <c r="H465" s="2091">
        <f>'segSales&amp;comps'!AI194</f>
        <v>0</v>
      </c>
      <c r="I465" s="643" t="s">
        <v>1970</v>
      </c>
      <c r="J465" s="288">
        <f>D465-H465-F465</f>
        <v>6.6950934579439201</v>
      </c>
      <c r="K465" s="643" t="s">
        <v>1970</v>
      </c>
      <c r="L465" s="948">
        <f>Stores!AA268</f>
        <v>32</v>
      </c>
      <c r="M465" s="256"/>
      <c r="N465" s="811">
        <f>AVERAGE(L465,L461)</f>
        <v>32</v>
      </c>
      <c r="O465" s="256"/>
      <c r="P465" s="288">
        <f>(N465/N458-1)*100</f>
        <v>10.344827586206895</v>
      </c>
      <c r="Q465" s="643" t="s">
        <v>1970</v>
      </c>
      <c r="R465" s="812">
        <f>J465/P465*100</f>
        <v>64.719236760124559</v>
      </c>
      <c r="S465" s="587" t="s">
        <v>1970</v>
      </c>
      <c r="T465" s="256"/>
      <c r="U465" s="256"/>
      <c r="V465" s="296">
        <f>'segSales&amp;comps'!AG194</f>
        <v>87.906999999999996</v>
      </c>
      <c r="W465" s="238"/>
      <c r="X465" s="813">
        <f>V465/N465</f>
        <v>2.7470937499999999</v>
      </c>
      <c r="Y465" s="256"/>
      <c r="Z465" s="814">
        <f>(X465/X458-1)*100</f>
        <v>-6.9325715537383097</v>
      </c>
      <c r="AA465" s="643" t="s">
        <v>1970</v>
      </c>
      <c r="AB465" s="256"/>
      <c r="AC465" s="1017">
        <f>AC461+(L465-L462)*yrSales!$X$200/1000000</f>
        <v>0.11825000000000002</v>
      </c>
      <c r="AD465" s="256" t="s">
        <v>505</v>
      </c>
      <c r="AE465" s="816">
        <f>AVERAGE(AC465,AC461)</f>
        <v>0.11825000000000002</v>
      </c>
      <c r="AF465" s="256"/>
      <c r="AG465" s="1122" t="s">
        <v>1086</v>
      </c>
      <c r="AH465" s="643" t="s">
        <v>1970</v>
      </c>
      <c r="AI465" s="1122" t="s">
        <v>1086</v>
      </c>
      <c r="AJ465" s="587" t="s">
        <v>1970</v>
      </c>
      <c r="AK465" s="256"/>
      <c r="AL465" s="296">
        <f>+V465</f>
        <v>87.906999999999996</v>
      </c>
      <c r="AM465" s="256" t="s">
        <v>505</v>
      </c>
      <c r="AN465" s="296">
        <f>AL465/AE465</f>
        <v>743.39957716701883</v>
      </c>
      <c r="AO465" s="256"/>
      <c r="AP465" s="1122" t="s">
        <v>1086</v>
      </c>
      <c r="AQ465" s="643" t="s">
        <v>1970</v>
      </c>
      <c r="AR465" s="643"/>
      <c r="AS465" s="256"/>
      <c r="AT465" s="256"/>
      <c r="AU465" s="256"/>
      <c r="AV465" s="256"/>
      <c r="AW465" s="256"/>
      <c r="AX465" s="256"/>
      <c r="AY465" s="256"/>
      <c r="AZ465" s="1017">
        <v>1.5866894203125004</v>
      </c>
      <c r="BA465" s="1167">
        <f>+(AZ465/AZ458-1)*100</f>
        <v>-2.1200466872585144</v>
      </c>
      <c r="BB465" s="1609" t="s">
        <v>1970</v>
      </c>
      <c r="BC465" s="1017">
        <v>1.3197213921874997</v>
      </c>
      <c r="BD465" s="1167">
        <f>+(BC465/BC458-1)*100</f>
        <v>-5.9462496620970136</v>
      </c>
      <c r="BE465" s="1609" t="s">
        <v>1970</v>
      </c>
      <c r="BF465" s="1017"/>
      <c r="BG465" s="1167"/>
      <c r="BH465" s="1167">
        <f>($AZ$464*BA465)+($BC$464*BD465)</f>
        <v>-4.0714102044261491</v>
      </c>
      <c r="BI465" s="297">
        <f>(AZ464*BA465)+(BC464*BD465)+(BF464*BG465)</f>
        <v>-4.0714102044261491</v>
      </c>
      <c r="BJ465" s="643" t="s">
        <v>1970</v>
      </c>
      <c r="BK465" s="297">
        <f>F465</f>
        <v>-4</v>
      </c>
      <c r="BL465" s="643" t="s">
        <v>1970</v>
      </c>
      <c r="BN465" s="256"/>
      <c r="BO465" s="1592"/>
      <c r="BP465" s="1492"/>
    </row>
    <row r="466" spans="1:68" hidden="1" outlineLevel="1">
      <c r="A466" s="256" t="str">
        <f>$A$41</f>
        <v>2Q</v>
      </c>
      <c r="B466" s="302" t="str">
        <f>$B$41</f>
        <v>Jul</v>
      </c>
      <c r="C466" s="256"/>
      <c r="D466" s="288">
        <f>(V466/V459-1)*100</f>
        <v>-1.1198926481761129</v>
      </c>
      <c r="E466" s="256"/>
      <c r="F466" s="1156">
        <v>-9</v>
      </c>
      <c r="G466" s="256"/>
      <c r="H466" s="2091">
        <f>'segSales&amp;comps'!AI195</f>
        <v>2</v>
      </c>
      <c r="I466" s="256"/>
      <c r="J466" s="288">
        <f>D466-H466-F466</f>
        <v>5.8801073518238871</v>
      </c>
      <c r="K466" s="256"/>
      <c r="L466" s="948">
        <f>Stores!AA269</f>
        <v>33</v>
      </c>
      <c r="M466" s="256"/>
      <c r="N466" s="811">
        <f>AVERAGE(L466,L465)</f>
        <v>32.5</v>
      </c>
      <c r="O466" s="256"/>
      <c r="P466" s="288">
        <f>(N466/N459-1)*100</f>
        <v>8.333333333333325</v>
      </c>
      <c r="Q466" s="643"/>
      <c r="R466" s="812">
        <f>J466/P466*100</f>
        <v>70.561288221886713</v>
      </c>
      <c r="S466" s="587"/>
      <c r="T466" s="256"/>
      <c r="U466" s="256"/>
      <c r="V466" s="315">
        <f>'segSales&amp;comps'!AG195</f>
        <v>100.214</v>
      </c>
      <c r="W466" s="238"/>
      <c r="X466" s="818">
        <f>V466/N466</f>
        <v>3.0835076923076921</v>
      </c>
      <c r="Y466" s="256"/>
      <c r="Z466" s="814">
        <f>(X466/X459-1)*100</f>
        <v>-8.7260547521625718</v>
      </c>
      <c r="AA466" s="643"/>
      <c r="AB466" s="256"/>
      <c r="AC466" s="1017">
        <f>AC465+(L466-L465)*yrSales!$X$200/1000000</f>
        <v>0.12170000000000003</v>
      </c>
      <c r="AD466" s="238"/>
      <c r="AE466" s="816">
        <f>AVERAGE(AC465:AC466)</f>
        <v>0.11997500000000003</v>
      </c>
      <c r="AF466" s="256"/>
      <c r="AG466" s="1122" t="s">
        <v>1086</v>
      </c>
      <c r="AH466" s="643"/>
      <c r="AI466" s="1122" t="s">
        <v>1086</v>
      </c>
      <c r="AJ466" s="587"/>
      <c r="AK466" s="256"/>
      <c r="AL466" s="315">
        <f>+V466</f>
        <v>100.214</v>
      </c>
      <c r="AM466" s="256"/>
      <c r="AN466" s="315">
        <f>AL466/AE466</f>
        <v>835.29068555949141</v>
      </c>
      <c r="AO466" s="256"/>
      <c r="AP466" s="1122" t="s">
        <v>1086</v>
      </c>
      <c r="AQ466" s="643"/>
      <c r="AR466" s="643"/>
      <c r="AS466" s="256"/>
      <c r="AT466" s="256"/>
      <c r="AU466" s="256"/>
      <c r="AV466" s="256"/>
      <c r="AW466" s="256"/>
      <c r="AX466" s="256"/>
      <c r="AY466" s="256"/>
      <c r="AZ466" s="1017">
        <v>1.5699600656716417</v>
      </c>
      <c r="BA466" s="1167">
        <f>+(AZ466/AZ459-1)*100</f>
        <v>-3.3092377564399422</v>
      </c>
      <c r="BB466" s="256"/>
      <c r="BC466" s="1017">
        <v>1.2554279328358211</v>
      </c>
      <c r="BD466" s="1167">
        <f>+(BC466/BC459-1)*100</f>
        <v>-12.478329953921053</v>
      </c>
      <c r="BE466" s="256"/>
      <c r="BF466" s="1017"/>
      <c r="BG466" s="1167"/>
      <c r="BH466" s="1167">
        <f>($AZ$464*BA466)+($BC$464*BD466)</f>
        <v>-7.985474777155309</v>
      </c>
      <c r="BI466" s="297">
        <f>(AZ464*BA466)+(BC464*BD466)+(BF464*BG466)</f>
        <v>-7.985474777155309</v>
      </c>
      <c r="BJ466" s="256"/>
      <c r="BK466" s="297">
        <f>F466</f>
        <v>-9</v>
      </c>
      <c r="BN466" s="256"/>
      <c r="BO466" s="1592"/>
      <c r="BP466" s="1492"/>
    </row>
    <row r="467" spans="1:68" hidden="1" outlineLevel="1">
      <c r="A467" s="256" t="str">
        <f>$A$42</f>
        <v>3Q</v>
      </c>
      <c r="B467" s="302" t="str">
        <f>$B$42</f>
        <v>Oct</v>
      </c>
      <c r="C467" s="256"/>
      <c r="D467" s="288">
        <f>(V467/V460-1)*100</f>
        <v>5.529137126059136</v>
      </c>
      <c r="E467" s="256"/>
      <c r="F467" s="1156">
        <v>-5</v>
      </c>
      <c r="G467" s="256"/>
      <c r="H467" s="2091">
        <f>'segSales&amp;comps'!AI196</f>
        <v>8</v>
      </c>
      <c r="I467" s="256"/>
      <c r="J467" s="288">
        <f>D467-H467-F467</f>
        <v>2.529137126059136</v>
      </c>
      <c r="K467" s="256"/>
      <c r="L467" s="948">
        <f>Stores!AA270</f>
        <v>34</v>
      </c>
      <c r="M467" s="238"/>
      <c r="N467" s="811">
        <f>AVERAGE(L467,L466)</f>
        <v>33.5</v>
      </c>
      <c r="O467" s="256"/>
      <c r="P467" s="288">
        <f>(N467/N460-1)*100</f>
        <v>6.3492063492063489</v>
      </c>
      <c r="Q467" s="643"/>
      <c r="R467" s="812">
        <f>J467/P467*100</f>
        <v>39.833909735431391</v>
      </c>
      <c r="S467" s="587"/>
      <c r="T467" s="256"/>
      <c r="U467" s="256"/>
      <c r="V467" s="315">
        <f>'segSales&amp;comps'!AG196</f>
        <v>97.644000000000005</v>
      </c>
      <c r="W467" s="256"/>
      <c r="X467" s="818">
        <f>V467/N467</f>
        <v>2.9147462686567165</v>
      </c>
      <c r="Y467" s="256"/>
      <c r="Z467" s="814">
        <f>(X467/X460-1)*100</f>
        <v>-0.77110986654140845</v>
      </c>
      <c r="AA467" s="643"/>
      <c r="AB467" s="256"/>
      <c r="AC467" s="1017">
        <f>AC466+(L467-L466)*yrSales!$X$200/1000000</f>
        <v>0.12515000000000004</v>
      </c>
      <c r="AD467" s="238"/>
      <c r="AE467" s="816">
        <f>AVERAGE(AC466:AC467)</f>
        <v>0.12342500000000003</v>
      </c>
      <c r="AF467" s="256"/>
      <c r="AG467" s="1122" t="s">
        <v>1086</v>
      </c>
      <c r="AH467" s="643"/>
      <c r="AI467" s="1122" t="s">
        <v>1086</v>
      </c>
      <c r="AJ467" s="587"/>
      <c r="AK467" s="256"/>
      <c r="AL467" s="315">
        <f>+V467</f>
        <v>97.644000000000005</v>
      </c>
      <c r="AM467" s="256"/>
      <c r="AN467" s="315">
        <f>AL467/AE467</f>
        <v>791.12011342920789</v>
      </c>
      <c r="AO467" s="256"/>
      <c r="AP467" s="1122" t="s">
        <v>1086</v>
      </c>
      <c r="AQ467" s="643"/>
      <c r="AR467" s="643"/>
      <c r="AS467" s="256"/>
      <c r="AT467" s="256"/>
      <c r="AU467" s="256"/>
      <c r="AV467" s="256"/>
      <c r="AW467" s="256"/>
      <c r="AX467" s="256"/>
      <c r="AY467" s="256"/>
      <c r="AZ467" s="1017">
        <v>1.5966063863636362</v>
      </c>
      <c r="BA467" s="1167">
        <f>+(AZ467/AZ460-1)*100</f>
        <v>-7.1596596370437915E-2</v>
      </c>
      <c r="BB467" s="256"/>
      <c r="BC467" s="1017">
        <v>1.2744579803030305</v>
      </c>
      <c r="BD467" s="1167">
        <f>+(BC467/BC460-1)*100</f>
        <v>-8.641920462302366</v>
      </c>
      <c r="BE467" s="256"/>
      <c r="BF467" s="1017"/>
      <c r="BG467" s="1167"/>
      <c r="BH467" s="1167">
        <f>($AZ$464*BA467)+($BC$464*BD467)</f>
        <v>-4.442461767995721</v>
      </c>
      <c r="BI467" s="297">
        <f>(AZ464*BA467)+(BC464*BD467)+(BF464*BG467)</f>
        <v>-4.442461767995721</v>
      </c>
      <c r="BJ467" s="256"/>
      <c r="BK467" s="297">
        <f>F467</f>
        <v>-5</v>
      </c>
      <c r="BN467" s="256"/>
      <c r="BO467" s="1592"/>
      <c r="BP467" s="1492"/>
    </row>
    <row r="468" spans="1:68" hidden="1" outlineLevel="1">
      <c r="A468" s="256" t="str">
        <f>$A$43</f>
        <v>4Q</v>
      </c>
      <c r="B468" s="302" t="str">
        <f>$B$43</f>
        <v>Jan</v>
      </c>
      <c r="C468" s="256"/>
      <c r="D468" s="318">
        <f>(V468/V461-1)*100</f>
        <v>3.3445335441608215</v>
      </c>
      <c r="E468" s="256"/>
      <c r="F468" s="1148">
        <v>0</v>
      </c>
      <c r="G468" s="256"/>
      <c r="H468" s="2095">
        <f>'segSales&amp;comps'!AI197</f>
        <v>0</v>
      </c>
      <c r="I468" s="256"/>
      <c r="J468" s="318">
        <f>D468-H468-F468</f>
        <v>3.3445335441608215</v>
      </c>
      <c r="K468" s="256"/>
      <c r="L468" s="949">
        <f>Stores!AA271</f>
        <v>34</v>
      </c>
      <c r="M468" s="238"/>
      <c r="N468" s="820">
        <f>AVERAGE(L468,L467)</f>
        <v>34</v>
      </c>
      <c r="O468" s="256"/>
      <c r="P468" s="318">
        <f>(N468/N461-1)*100</f>
        <v>6.25</v>
      </c>
      <c r="Q468" s="643"/>
      <c r="R468" s="820">
        <f>J468/P468*100</f>
        <v>53.512536706573144</v>
      </c>
      <c r="S468" s="587"/>
      <c r="T468" s="256"/>
      <c r="U468" s="256"/>
      <c r="V468" s="316">
        <f>'segSales&amp;comps'!AG197</f>
        <v>146.40199999999999</v>
      </c>
      <c r="W468" s="256"/>
      <c r="X468" s="821">
        <f>V468/N468</f>
        <v>4.3059411764705882</v>
      </c>
      <c r="Y468" s="256"/>
      <c r="Z468" s="298">
        <f>(X468/X461-1)*100</f>
        <v>-2.7345566643192321</v>
      </c>
      <c r="AA468" s="643"/>
      <c r="AB468" s="256"/>
      <c r="AC468" s="1017">
        <f>AC467+(L468-L467)*yrSales!$X$200/1000000</f>
        <v>0.12515000000000004</v>
      </c>
      <c r="AD468" s="238"/>
      <c r="AE468" s="822">
        <f>AVERAGE(AC467:AC468)</f>
        <v>0.12515000000000004</v>
      </c>
      <c r="AF468" s="256"/>
      <c r="AG468" s="1123" t="s">
        <v>1086</v>
      </c>
      <c r="AH468" s="643"/>
      <c r="AI468" s="1123" t="s">
        <v>1086</v>
      </c>
      <c r="AJ468" s="587"/>
      <c r="AK468" s="256"/>
      <c r="AL468" s="316">
        <f>+V468</f>
        <v>146.40199999999999</v>
      </c>
      <c r="AM468" s="256"/>
      <c r="AN468" s="316">
        <f>AL468/AE468</f>
        <v>1169.812225329604</v>
      </c>
      <c r="AO468" s="256"/>
      <c r="AP468" s="1123" t="s">
        <v>1086</v>
      </c>
      <c r="AQ468" s="643"/>
      <c r="AR468" s="643"/>
      <c r="AS468" s="256"/>
      <c r="AT468" s="256"/>
      <c r="AU468" s="256"/>
      <c r="AV468" s="256"/>
      <c r="AW468" s="256"/>
      <c r="AX468" s="256"/>
      <c r="AY468" s="256"/>
      <c r="AZ468" s="1601">
        <v>1.6018649261538458</v>
      </c>
      <c r="BA468" s="1602">
        <f>+(AZ468/AZ461-1)*100</f>
        <v>2.4120290563332647</v>
      </c>
      <c r="BB468" s="256"/>
      <c r="BC468" s="1601">
        <v>1.3084357553846155</v>
      </c>
      <c r="BD468" s="1602">
        <f>+(BC468/BC461-1)*100</f>
        <v>-0.97504805262924599</v>
      </c>
      <c r="BE468" s="256"/>
      <c r="BF468" s="1601"/>
      <c r="BG468" s="1602"/>
      <c r="BH468" s="1167">
        <f>($AZ$464*BA468)+($BC$464*BD468)</f>
        <v>0.68461973076238425</v>
      </c>
      <c r="BI468" s="298">
        <f>(AZ464*BA468)+(BC464*BD468)+(BF464*BG468)</f>
        <v>0.68461973076238425</v>
      </c>
      <c r="BJ468" s="256"/>
      <c r="BK468" s="298">
        <f>F468</f>
        <v>0</v>
      </c>
      <c r="BN468" s="256"/>
      <c r="BO468" s="1592"/>
      <c r="BP468" s="1492"/>
    </row>
    <row r="469" spans="1:68" hidden="1" outlineLevel="1">
      <c r="A469" s="256"/>
      <c r="B469" s="302" t="str">
        <f>$B$44</f>
        <v>Year</v>
      </c>
      <c r="C469" s="256"/>
      <c r="D469" s="288">
        <f>(V469/V462-1)*100</f>
        <v>2.6181255209062781</v>
      </c>
      <c r="E469" s="256"/>
      <c r="F469" s="217">
        <f>F465*V458/V462+F466*V459/V462+F467*V460/V462+F468*V461/V462</f>
        <v>-4.0774491203658627</v>
      </c>
      <c r="G469" s="256"/>
      <c r="H469" s="2085">
        <f>H465*V458/V462+H466*V459/V462+H467*V460/V462+H468*V461/V462</f>
        <v>2.2389698462035277</v>
      </c>
      <c r="I469" s="256"/>
      <c r="J469" s="288">
        <f>D469-H469-F469</f>
        <v>4.4566047950686132</v>
      </c>
      <c r="K469" s="256"/>
      <c r="L469" s="951">
        <f>Stores!AA272</f>
        <v>34</v>
      </c>
      <c r="M469" s="256"/>
      <c r="N469" s="811">
        <f>AVERAGE(N465:N468)</f>
        <v>33</v>
      </c>
      <c r="O469" s="256"/>
      <c r="P469" s="288">
        <f>(N469/N462-1)*100</f>
        <v>7.7551020408163307</v>
      </c>
      <c r="Q469" s="643"/>
      <c r="R469" s="812">
        <f>J469/P469*100</f>
        <v>57.466746041674185</v>
      </c>
      <c r="S469" s="587"/>
      <c r="T469" s="256"/>
      <c r="U469" s="256"/>
      <c r="V469" s="296">
        <f>SUM(V465:V468)</f>
        <v>432.16699999999997</v>
      </c>
      <c r="W469" s="256"/>
      <c r="X469" s="813">
        <f>SUM(X465:X468)</f>
        <v>13.051288887434998</v>
      </c>
      <c r="Y469" s="256"/>
      <c r="Z469" s="814">
        <f>(X469/X462-1)*100</f>
        <v>-4.6963071868105999</v>
      </c>
      <c r="AA469" s="643"/>
      <c r="AB469" s="256"/>
      <c r="AC469" s="815"/>
      <c r="AD469" s="256"/>
      <c r="AE469" s="816">
        <f>AVERAGE(AE465:AE468)</f>
        <v>0.12170000000000003</v>
      </c>
      <c r="AF469" s="256"/>
      <c r="AG469" s="1122" t="s">
        <v>1086</v>
      </c>
      <c r="AH469" s="643"/>
      <c r="AI469" s="1122" t="s">
        <v>1086</v>
      </c>
      <c r="AJ469" s="587"/>
      <c r="AK469" s="256"/>
      <c r="AL469" s="296">
        <f>SUM(AL465:AL468)</f>
        <v>432.16699999999997</v>
      </c>
      <c r="AM469" s="256"/>
      <c r="AN469" s="296">
        <f>AL469/AE469</f>
        <v>3551.0846343467533</v>
      </c>
      <c r="AO469" s="256"/>
      <c r="AP469" s="1122" t="s">
        <v>1086</v>
      </c>
      <c r="AQ469" s="643"/>
      <c r="AR469" s="643"/>
      <c r="AS469" s="256"/>
      <c r="AT469" s="256"/>
      <c r="AU469" s="256"/>
      <c r="AV469" s="256"/>
      <c r="AW469" s="256"/>
      <c r="AX469" s="256"/>
      <c r="AY469" s="256"/>
      <c r="AZ469" s="1017">
        <v>1.5886743854961831</v>
      </c>
      <c r="BA469" s="1167">
        <f>+(AZ469/AZ462-1)*100</f>
        <v>-0.7962668038360432</v>
      </c>
      <c r="BB469" s="256"/>
      <c r="BC469" s="1017">
        <v>1.2890778297709919</v>
      </c>
      <c r="BD469" s="1167">
        <f>+(BC469/BC462-1)*100</f>
        <v>-7.1395906652174883</v>
      </c>
      <c r="BE469" s="256"/>
      <c r="BF469" s="1017"/>
      <c r="BG469" s="1167"/>
      <c r="BH469" s="1167">
        <f>($AZ$464*BA469)+($BC$464*BD469)</f>
        <v>-4.0313619731405801</v>
      </c>
      <c r="BI469" s="297">
        <f>($AZ$464*BA469)+($BC$464*BD469)+($BF$464*BG469)</f>
        <v>-4.0313619731405801</v>
      </c>
      <c r="BJ469" s="256"/>
      <c r="BK469" s="297">
        <f>F469</f>
        <v>-4.0774491203658627</v>
      </c>
      <c r="BL469" s="1167"/>
      <c r="BM469" s="1167"/>
      <c r="BN469" s="302"/>
      <c r="BO469" s="587"/>
      <c r="BP469" s="587"/>
    </row>
    <row r="470" spans="1:68" ht="13.5" hidden="1" outlineLevel="1" thickBot="1">
      <c r="A470" s="256"/>
      <c r="B470" s="302"/>
      <c r="C470" s="256"/>
      <c r="D470" s="288"/>
      <c r="E470" s="256"/>
      <c r="F470" s="297"/>
      <c r="G470" s="256"/>
      <c r="H470" s="2091"/>
      <c r="I470" s="256"/>
      <c r="J470" s="288"/>
      <c r="K470" s="256"/>
      <c r="L470" s="1033"/>
      <c r="M470" s="256"/>
      <c r="N470" s="811"/>
      <c r="O470" s="256"/>
      <c r="P470" s="288"/>
      <c r="Q470" s="643"/>
      <c r="R470" s="812"/>
      <c r="S470" s="587"/>
      <c r="T470" s="256"/>
      <c r="U470" s="256"/>
      <c r="V470" s="296"/>
      <c r="W470" s="256"/>
      <c r="X470" s="813"/>
      <c r="Y470" s="256"/>
      <c r="Z470" s="814"/>
      <c r="AA470" s="643"/>
      <c r="AB470" s="256"/>
      <c r="AC470" s="815"/>
      <c r="AD470" s="256"/>
      <c r="AE470" s="816"/>
      <c r="AF470" s="256"/>
      <c r="AG470" s="1122"/>
      <c r="AH470" s="643"/>
      <c r="AI470" s="1122"/>
      <c r="AJ470" s="587"/>
      <c r="AK470" s="256"/>
      <c r="AL470" s="296"/>
      <c r="AM470" s="256"/>
      <c r="AN470" s="817"/>
      <c r="AO470" s="256"/>
      <c r="AP470" s="1122"/>
      <c r="AQ470" s="643"/>
      <c r="AR470" s="643"/>
      <c r="AS470" s="256"/>
      <c r="AT470" s="256"/>
      <c r="AU470" s="256"/>
      <c r="AV470" s="256"/>
      <c r="AW470" s="256"/>
      <c r="AX470" s="256"/>
      <c r="AY470" s="256"/>
      <c r="AZ470" s="256"/>
      <c r="BA470" s="1167"/>
      <c r="BB470" s="256"/>
      <c r="BC470" s="256"/>
      <c r="BD470" s="1167"/>
      <c r="BE470" s="256"/>
      <c r="BF470" s="1167"/>
      <c r="BG470" s="1167"/>
      <c r="BH470" s="1167"/>
      <c r="BI470" s="297"/>
      <c r="BJ470" s="1017"/>
      <c r="BK470" s="297"/>
      <c r="BL470" s="1167"/>
      <c r="BM470" s="1167"/>
      <c r="BN470" s="302"/>
      <c r="BO470" s="587"/>
      <c r="BP470" s="587"/>
    </row>
    <row r="471" spans="1:68" ht="13.5" hidden="1" outlineLevel="1" thickBot="1">
      <c r="A471" s="810"/>
      <c r="B471" s="171">
        <f>+B464+1</f>
        <v>2013</v>
      </c>
      <c r="C471" s="256"/>
      <c r="D471" s="256"/>
      <c r="E471" s="643"/>
      <c r="F471" s="297"/>
      <c r="G471" s="643"/>
      <c r="H471" s="2091"/>
      <c r="I471" s="643"/>
      <c r="J471" s="256"/>
      <c r="K471" s="643"/>
      <c r="L471" s="256"/>
      <c r="M471" s="256"/>
      <c r="N471" s="256"/>
      <c r="O471" s="256"/>
      <c r="P471" s="256"/>
      <c r="Q471" s="643"/>
      <c r="R471" s="587"/>
      <c r="S471" s="587"/>
      <c r="T471" s="256"/>
      <c r="U471" s="256"/>
      <c r="V471" s="256"/>
      <c r="W471" s="256"/>
      <c r="X471" s="256"/>
      <c r="Y471" s="256"/>
      <c r="Z471" s="256"/>
      <c r="AA471" s="643"/>
      <c r="AB471" s="256"/>
      <c r="AC471" s="256"/>
      <c r="AD471" s="256"/>
      <c r="AE471" s="256"/>
      <c r="AF471" s="256"/>
      <c r="AG471" s="256"/>
      <c r="AH471" s="643"/>
      <c r="AI471" s="587"/>
      <c r="AJ471" s="587"/>
      <c r="AK471" s="256"/>
      <c r="AL471" s="256"/>
      <c r="AM471" s="256"/>
      <c r="AN471" s="256"/>
      <c r="AO471" s="256"/>
      <c r="AP471" s="320"/>
      <c r="AQ471" s="643"/>
      <c r="AR471" s="643"/>
      <c r="AS471" s="256"/>
      <c r="AT471" s="256"/>
      <c r="AU471" s="256"/>
      <c r="AV471" s="256"/>
      <c r="AW471" s="256"/>
      <c r="AX471" s="256"/>
      <c r="AY471" s="256"/>
      <c r="AZ471" s="1605">
        <v>0.49</v>
      </c>
      <c r="BA471" s="587"/>
      <c r="BB471" s="587"/>
      <c r="BC471" s="1605">
        <f>1-AZ471</f>
        <v>0.51</v>
      </c>
      <c r="BD471" s="1603"/>
      <c r="BE471" s="587"/>
      <c r="BF471" s="1606"/>
      <c r="BG471" s="256"/>
      <c r="BH471" s="256"/>
      <c r="BI471" s="297"/>
      <c r="BJ471" s="256"/>
      <c r="BK471" s="297"/>
      <c r="BL471" s="256"/>
      <c r="BM471" s="256"/>
      <c r="BN471" s="256"/>
      <c r="BO471" s="587"/>
      <c r="BP471" s="587"/>
    </row>
    <row r="472" spans="1:68" hidden="1" outlineLevel="1">
      <c r="A472" s="256" t="str">
        <f>$A$40</f>
        <v>1Q</v>
      </c>
      <c r="B472" s="302" t="str">
        <f>$B$40</f>
        <v>Apr</v>
      </c>
      <c r="C472" s="256"/>
      <c r="D472" s="288">
        <f>(V472/V465-1)*100</f>
        <v>5.777696884207173</v>
      </c>
      <c r="E472" s="643" t="s">
        <v>1970</v>
      </c>
      <c r="F472" s="1156">
        <v>-2</v>
      </c>
      <c r="G472" s="643"/>
      <c r="H472" s="2091">
        <f>'segSales&amp;comps'!AI201</f>
        <v>6</v>
      </c>
      <c r="I472" s="643" t="s">
        <v>1970</v>
      </c>
      <c r="J472" s="288">
        <f>D472-H472-F472</f>
        <v>1.777696884207173</v>
      </c>
      <c r="K472" s="643" t="s">
        <v>1970</v>
      </c>
      <c r="L472" s="948">
        <f>Stores!AA275</f>
        <v>34</v>
      </c>
      <c r="M472" s="256"/>
      <c r="N472" s="811">
        <f>AVERAGE(L472,L468)</f>
        <v>34</v>
      </c>
      <c r="O472" s="256"/>
      <c r="P472" s="288">
        <f>(N472/N465-1)*100</f>
        <v>6.25</v>
      </c>
      <c r="Q472" s="643" t="s">
        <v>1970</v>
      </c>
      <c r="R472" s="812">
        <f>J472/P472*100</f>
        <v>28.443150147314768</v>
      </c>
      <c r="S472" s="587" t="s">
        <v>1970</v>
      </c>
      <c r="T472" s="256"/>
      <c r="U472" s="256"/>
      <c r="V472" s="296">
        <f>'segSales&amp;comps'!AG201</f>
        <v>92.986000000000004</v>
      </c>
      <c r="W472" s="238"/>
      <c r="X472" s="813">
        <f>V472/N472</f>
        <v>2.7348823529411765</v>
      </c>
      <c r="Y472" s="256"/>
      <c r="Z472" s="814">
        <f>(X472/X465-1)*100</f>
        <v>-0.44452057956970714</v>
      </c>
      <c r="AA472" s="643" t="s">
        <v>1970</v>
      </c>
      <c r="AB472" s="256"/>
      <c r="AC472" s="1017">
        <f>AC468+(L472-L469)*yrSales!$Y$200/1000000</f>
        <v>0.12515000000000004</v>
      </c>
      <c r="AD472" s="256" t="s">
        <v>505</v>
      </c>
      <c r="AE472" s="816">
        <f>AVERAGE(AC472,AC468)</f>
        <v>0.12515000000000004</v>
      </c>
      <c r="AF472" s="256"/>
      <c r="AG472" s="1122" t="s">
        <v>1086</v>
      </c>
      <c r="AH472" s="643" t="s">
        <v>1970</v>
      </c>
      <c r="AI472" s="1122" t="s">
        <v>1086</v>
      </c>
      <c r="AJ472" s="587" t="s">
        <v>1970</v>
      </c>
      <c r="AK472" s="256"/>
      <c r="AL472" s="296">
        <f>+V472</f>
        <v>92.986000000000004</v>
      </c>
      <c r="AM472" s="256" t="s">
        <v>505</v>
      </c>
      <c r="AN472" s="296">
        <f>AL472/AE472</f>
        <v>742.99640431482203</v>
      </c>
      <c r="AO472" s="256"/>
      <c r="AP472" s="1122" t="s">
        <v>1086</v>
      </c>
      <c r="AQ472" s="643" t="s">
        <v>1970</v>
      </c>
      <c r="AR472" s="643"/>
      <c r="AS472" s="256"/>
      <c r="AT472" s="256"/>
      <c r="AU472" s="256"/>
      <c r="AV472" s="256"/>
      <c r="AW472" s="256"/>
      <c r="AX472" s="256"/>
      <c r="AY472" s="256"/>
      <c r="AZ472" s="1017">
        <v>1.529270947619048</v>
      </c>
      <c r="BA472" s="1167">
        <f>+(AZ472/AZ465-1)*100</f>
        <v>-3.6187594092701336</v>
      </c>
      <c r="BB472" s="256"/>
      <c r="BC472" s="1017">
        <v>1.3110987412698414</v>
      </c>
      <c r="BD472" s="1167">
        <f>+(BC472/BC465-1)*100</f>
        <v>-0.65336903445702976</v>
      </c>
      <c r="BE472" s="1017"/>
      <c r="BF472" s="1167"/>
      <c r="BG472" s="1167"/>
      <c r="BH472" s="1167"/>
      <c r="BI472" s="297">
        <f>($AZ$471*BA472)+($BC$471*BD472)+($BF$464*BG472)</f>
        <v>-2.1064103181154508</v>
      </c>
      <c r="BJ472" s="1017"/>
      <c r="BK472" s="297">
        <f>F472</f>
        <v>-2</v>
      </c>
      <c r="BL472" s="1167"/>
      <c r="BM472" s="1167"/>
      <c r="BN472" s="256"/>
      <c r="BO472" s="1592"/>
      <c r="BP472" s="1492"/>
    </row>
    <row r="473" spans="1:68" hidden="1" outlineLevel="1">
      <c r="A473" s="256" t="str">
        <f>$A$41</f>
        <v>2Q</v>
      </c>
      <c r="B473" s="302" t="str">
        <f>$B$41</f>
        <v>Jul</v>
      </c>
      <c r="C473" s="256"/>
      <c r="D473" s="288">
        <f>(V473/V466-1)*100</f>
        <v>11.009439798830511</v>
      </c>
      <c r="E473" s="256"/>
      <c r="F473" s="1732">
        <v>1</v>
      </c>
      <c r="G473" s="256"/>
      <c r="H473" s="2091">
        <f>'segSales&amp;comps'!AI202</f>
        <v>7</v>
      </c>
      <c r="I473" s="256"/>
      <c r="J473" s="288">
        <f>D473-H473-F473</f>
        <v>3.0094397988305115</v>
      </c>
      <c r="K473" s="256"/>
      <c r="L473" s="948">
        <f>Stores!AA276</f>
        <v>35</v>
      </c>
      <c r="M473" s="256"/>
      <c r="N473" s="811">
        <f>AVERAGE(L473,L472)</f>
        <v>34.5</v>
      </c>
      <c r="O473" s="256"/>
      <c r="P473" s="288">
        <f>(N473/N466-1)*100</f>
        <v>6.1538461538461542</v>
      </c>
      <c r="Q473" s="643"/>
      <c r="R473" s="812">
        <f>J473/P473*100</f>
        <v>48.903396730995809</v>
      </c>
      <c r="S473" s="587"/>
      <c r="T473" s="256"/>
      <c r="U473" s="256"/>
      <c r="V473" s="315">
        <f>'segSales&amp;comps'!AG202</f>
        <v>111.247</v>
      </c>
      <c r="W473" s="238"/>
      <c r="X473" s="818">
        <f>V473/N473</f>
        <v>3.2245507246376812</v>
      </c>
      <c r="Y473" s="256"/>
      <c r="Z473" s="814">
        <f>(X473/X466-1)*100</f>
        <v>4.5741099554200471</v>
      </c>
      <c r="AA473" s="643"/>
      <c r="AB473" s="256"/>
      <c r="AC473" s="1017">
        <f>AC472+(L473-L472)*yrSales!$Y$200/1000000</f>
        <v>0.12860000000000005</v>
      </c>
      <c r="AD473" s="238"/>
      <c r="AE473" s="816">
        <f>AVERAGE(AC472:AC473)</f>
        <v>0.12687500000000004</v>
      </c>
      <c r="AF473" s="256"/>
      <c r="AG473" s="1122" t="s">
        <v>1086</v>
      </c>
      <c r="AH473" s="643"/>
      <c r="AI473" s="1122" t="s">
        <v>1086</v>
      </c>
      <c r="AJ473" s="587"/>
      <c r="AK473" s="256"/>
      <c r="AL473" s="315">
        <f>+V473</f>
        <v>111.247</v>
      </c>
      <c r="AM473" s="256"/>
      <c r="AN473" s="315">
        <f>AL473/AE473</f>
        <v>876.82364532019676</v>
      </c>
      <c r="AO473" s="256"/>
      <c r="AP473" s="1122" t="s">
        <v>1086</v>
      </c>
      <c r="AQ473" s="643"/>
      <c r="AR473" s="643"/>
      <c r="AS473" s="256"/>
      <c r="AT473" s="256"/>
      <c r="AU473" s="256"/>
      <c r="AV473" s="256"/>
      <c r="AW473" s="256"/>
      <c r="AX473" s="256"/>
      <c r="AY473" s="256"/>
      <c r="AZ473" s="1017">
        <v>1.5311079166666659</v>
      </c>
      <c r="BA473" s="1167">
        <f>+(AZ473/AZ466-1)*100</f>
        <v>-2.4747221190211999</v>
      </c>
      <c r="BB473" s="256"/>
      <c r="BC473" s="1017">
        <v>1.3075101227272732</v>
      </c>
      <c r="BD473" s="1167">
        <f>+(BC473/BC466-1)*100</f>
        <v>4.148560704221893</v>
      </c>
      <c r="BE473" s="1017"/>
      <c r="BF473" s="1167"/>
      <c r="BG473" s="1167"/>
      <c r="BH473" s="1167"/>
      <c r="BI473" s="297">
        <f>($AZ$471*BA473)+($BC$471*BD473)+($BF$464*BG473)</f>
        <v>0.90315212083277752</v>
      </c>
      <c r="BJ473" s="1017"/>
      <c r="BK473" s="297">
        <f>F473</f>
        <v>1</v>
      </c>
      <c r="BL473" s="1167"/>
      <c r="BM473" s="1167"/>
      <c r="BN473" s="256"/>
      <c r="BO473" s="1592"/>
      <c r="BP473" s="1492"/>
    </row>
    <row r="474" spans="1:68" hidden="1" outlineLevel="1">
      <c r="A474" s="256" t="str">
        <f>$A$42</f>
        <v>3Q</v>
      </c>
      <c r="B474" s="302" t="str">
        <f>$B$42</f>
        <v>Oct</v>
      </c>
      <c r="C474" s="256"/>
      <c r="D474" s="288">
        <f>(V474/V467-1)*100</f>
        <v>7.0091352259227246</v>
      </c>
      <c r="E474" s="256"/>
      <c r="F474" s="1156">
        <v>3</v>
      </c>
      <c r="G474" s="256"/>
      <c r="H474" s="2091">
        <f>'segSales&amp;comps'!AI203</f>
        <v>2</v>
      </c>
      <c r="I474" s="256"/>
      <c r="J474" s="288">
        <f>D474-H474-F474</f>
        <v>2.0091352259227246</v>
      </c>
      <c r="K474" s="256"/>
      <c r="L474" s="948">
        <f>Stores!AA277</f>
        <v>36</v>
      </c>
      <c r="M474" s="238"/>
      <c r="N474" s="811">
        <f>AVERAGE(L474,L473)</f>
        <v>35.5</v>
      </c>
      <c r="O474" s="256"/>
      <c r="P474" s="288">
        <f>(N474/N467-1)*100</f>
        <v>5.9701492537313383</v>
      </c>
      <c r="Q474" s="643"/>
      <c r="R474" s="812">
        <f>J474/P474*100</f>
        <v>33.653015034205666</v>
      </c>
      <c r="S474" s="587"/>
      <c r="T474" s="256"/>
      <c r="U474" s="256"/>
      <c r="V474" s="315">
        <f>'segSales&amp;comps'!AG203</f>
        <v>104.488</v>
      </c>
      <c r="W474" s="256"/>
      <c r="X474" s="818">
        <f>V474/N474</f>
        <v>2.943323943661972</v>
      </c>
      <c r="Y474" s="256"/>
      <c r="Z474" s="814">
        <f>(X474/X467-1)*100</f>
        <v>0.98045155122286065</v>
      </c>
      <c r="AA474" s="643"/>
      <c r="AB474" s="256"/>
      <c r="AC474" s="1017">
        <f>AC473+(L474-L473)*yrSales!$Y$200/1000000</f>
        <v>0.13205000000000006</v>
      </c>
      <c r="AD474" s="238"/>
      <c r="AE474" s="816">
        <f>AVERAGE(AC473:AC474)</f>
        <v>0.13032500000000005</v>
      </c>
      <c r="AF474" s="256"/>
      <c r="AG474" s="1122" t="s">
        <v>1086</v>
      </c>
      <c r="AH474" s="643"/>
      <c r="AI474" s="1122" t="s">
        <v>1086</v>
      </c>
      <c r="AJ474" s="587"/>
      <c r="AK474" s="256"/>
      <c r="AL474" s="315">
        <f>+V474</f>
        <v>104.488</v>
      </c>
      <c r="AM474" s="256"/>
      <c r="AN474" s="315">
        <f>AL474/AE474</f>
        <v>801.74947247266414</v>
      </c>
      <c r="AO474" s="256"/>
      <c r="AP474" s="1122" t="s">
        <v>1086</v>
      </c>
      <c r="AQ474" s="643"/>
      <c r="AR474" s="643"/>
      <c r="AS474" s="256"/>
      <c r="AT474" s="256"/>
      <c r="AU474" s="256"/>
      <c r="AV474" s="256"/>
      <c r="AW474" s="256"/>
      <c r="AX474" s="256"/>
      <c r="AY474" s="256"/>
      <c r="AZ474" s="1017">
        <v>1.5826093818181814</v>
      </c>
      <c r="BA474" s="1167">
        <f>+(AZ474/AZ467-1)*100</f>
        <v>-0.87667221332702328</v>
      </c>
      <c r="BB474" s="256"/>
      <c r="BC474" s="1017">
        <v>1.3440625242424245</v>
      </c>
      <c r="BD474" s="1167">
        <f>+(BC474/BC467-1)*100</f>
        <v>5.4615016748409406</v>
      </c>
      <c r="BE474" s="1017"/>
      <c r="BF474" s="1167"/>
      <c r="BG474" s="1167"/>
      <c r="BH474" s="1167"/>
      <c r="BI474" s="297">
        <f>($AZ$471*BA474)+($BC$471*BD474)+($BF$464*BG474)</f>
        <v>2.3557964696386384</v>
      </c>
      <c r="BJ474" s="1017"/>
      <c r="BK474" s="297">
        <f>F474</f>
        <v>3</v>
      </c>
      <c r="BL474" s="1167"/>
      <c r="BM474" s="1167"/>
      <c r="BN474" s="256"/>
      <c r="BO474" s="1592"/>
      <c r="BP474" s="1492"/>
    </row>
    <row r="475" spans="1:68" hidden="1" outlineLevel="1">
      <c r="A475" s="256" t="str">
        <f>$A$43</f>
        <v>4Q</v>
      </c>
      <c r="B475" s="302" t="str">
        <f>$B$43</f>
        <v>Jan</v>
      </c>
      <c r="C475" s="256"/>
      <c r="D475" s="318">
        <f>(V475/V468-1)*100</f>
        <v>10.014207456182289</v>
      </c>
      <c r="E475" s="256"/>
      <c r="F475" s="1148">
        <v>3</v>
      </c>
      <c r="G475" s="256"/>
      <c r="H475" s="2095">
        <f>'segSales&amp;comps'!AI204</f>
        <v>2</v>
      </c>
      <c r="I475" s="256"/>
      <c r="J475" s="318">
        <f>D475-H475-F475</f>
        <v>5.0142074561822891</v>
      </c>
      <c r="K475" s="256"/>
      <c r="L475" s="949">
        <f>Stores!AA278</f>
        <v>37</v>
      </c>
      <c r="M475" s="238"/>
      <c r="N475" s="820">
        <f>AVERAGE(L475,L474)</f>
        <v>36.5</v>
      </c>
      <c r="O475" s="256"/>
      <c r="P475" s="318">
        <f>(N475/N468-1)*100</f>
        <v>7.3529411764705843</v>
      </c>
      <c r="Q475" s="643"/>
      <c r="R475" s="820">
        <f>J475/P475*100</f>
        <v>68.193221404079168</v>
      </c>
      <c r="S475" s="587"/>
      <c r="T475" s="256"/>
      <c r="U475" s="256"/>
      <c r="V475" s="316">
        <f>'segSales&amp;comps'!AG204</f>
        <v>161.06299999999999</v>
      </c>
      <c r="W475" s="256"/>
      <c r="X475" s="821">
        <f>V475/N475</f>
        <v>4.412684931506849</v>
      </c>
      <c r="Y475" s="256"/>
      <c r="Z475" s="298">
        <f>(X475/X468-1)*100</f>
        <v>2.4789877674026739</v>
      </c>
      <c r="AA475" s="643"/>
      <c r="AB475" s="256"/>
      <c r="AC475" s="1017">
        <f>AC474+(L475-L474)*yrSales!$Y$200/1000000</f>
        <v>0.13550000000000006</v>
      </c>
      <c r="AD475" s="238"/>
      <c r="AE475" s="822">
        <f>AVERAGE(AC474:AC475)</f>
        <v>0.13377500000000006</v>
      </c>
      <c r="AF475" s="256"/>
      <c r="AG475" s="1123" t="s">
        <v>1086</v>
      </c>
      <c r="AH475" s="643"/>
      <c r="AI475" s="1123" t="s">
        <v>1086</v>
      </c>
      <c r="AJ475" s="587"/>
      <c r="AK475" s="256"/>
      <c r="AL475" s="316">
        <f>+V475</f>
        <v>161.06299999999999</v>
      </c>
      <c r="AM475" s="256"/>
      <c r="AN475" s="316">
        <f>AL475/AE475</f>
        <v>1203.9843019996256</v>
      </c>
      <c r="AO475" s="256"/>
      <c r="AP475" s="1123" t="s">
        <v>1086</v>
      </c>
      <c r="AQ475" s="643"/>
      <c r="AR475" s="643"/>
      <c r="AS475" s="256"/>
      <c r="AT475" s="256"/>
      <c r="AU475" s="256"/>
      <c r="AV475" s="256"/>
      <c r="AW475" s="256"/>
      <c r="AX475" s="256"/>
      <c r="AY475" s="256"/>
      <c r="AZ475" s="1601">
        <v>1.632075032307692</v>
      </c>
      <c r="BA475" s="1602">
        <f>+(AZ475/AZ468-1)*100</f>
        <v>1.8859334305035391</v>
      </c>
      <c r="BB475" s="256"/>
      <c r="BC475" s="1601">
        <v>1.3604772676923078</v>
      </c>
      <c r="BD475" s="1602">
        <f>+(BC475/BC468-1)*100</f>
        <v>3.9773838412413776</v>
      </c>
      <c r="BE475" s="1017"/>
      <c r="BF475" s="1167"/>
      <c r="BG475" s="1167"/>
      <c r="BH475" s="1167"/>
      <c r="BI475" s="298">
        <f>($AZ$471*BA475)+($BC$471*BD475)+($BF$464*BG475)</f>
        <v>2.9525731399798367</v>
      </c>
      <c r="BJ475" s="1017"/>
      <c r="BK475" s="298">
        <f>F475</f>
        <v>3</v>
      </c>
      <c r="BL475" s="1167"/>
      <c r="BM475" s="1167"/>
      <c r="BN475" s="256"/>
      <c r="BO475" s="1592"/>
      <c r="BP475" s="1492"/>
    </row>
    <row r="476" spans="1:68" hidden="1" outlineLevel="1">
      <c r="A476" s="256"/>
      <c r="B476" s="302" t="str">
        <f>$B$44</f>
        <v>Year</v>
      </c>
      <c r="C476" s="256"/>
      <c r="D476" s="288">
        <f>(V476/V469-1)*100</f>
        <v>8.704274042210546</v>
      </c>
      <c r="E476" s="256"/>
      <c r="F476" s="1821">
        <v>2</v>
      </c>
      <c r="G476" s="256"/>
      <c r="H476" s="2085">
        <f>H472*V465/V469+H473*V466/V469+H474*V467/V469+H475*V468/V469</f>
        <v>3.9730752232354627</v>
      </c>
      <c r="I476" s="256"/>
      <c r="J476" s="288">
        <f>D476-H476-F476</f>
        <v>2.7311988189750833</v>
      </c>
      <c r="K476" s="256"/>
      <c r="L476" s="951">
        <f>Stores!AA279</f>
        <v>37</v>
      </c>
      <c r="M476" s="256"/>
      <c r="N476" s="811">
        <f>AVERAGE(N472:N475)</f>
        <v>35.125</v>
      </c>
      <c r="O476" s="256"/>
      <c r="P476" s="288">
        <f>(N476/N469-1)*100</f>
        <v>6.4393939393939448</v>
      </c>
      <c r="Q476" s="643"/>
      <c r="R476" s="812">
        <f>J476/P476*100</f>
        <v>42.413911071142437</v>
      </c>
      <c r="S476" s="587"/>
      <c r="T476" s="256"/>
      <c r="U476" s="256"/>
      <c r="V476" s="296">
        <f>SUM(V472:V475)</f>
        <v>469.78399999999999</v>
      </c>
      <c r="W476" s="256"/>
      <c r="X476" s="813">
        <f>SUM(X472:X475)</f>
        <v>13.31544195274768</v>
      </c>
      <c r="Y476" s="256"/>
      <c r="Z476" s="814">
        <f>(X476/X469-1)*100</f>
        <v>2.0239615228116792</v>
      </c>
      <c r="AA476" s="643"/>
      <c r="AB476" s="256"/>
      <c r="AC476" s="815"/>
      <c r="AD476" s="256"/>
      <c r="AE476" s="816">
        <f>AVERAGE(AE472:AE475)</f>
        <v>0.12903125000000004</v>
      </c>
      <c r="AF476" s="256"/>
      <c r="AG476" s="1122" t="s">
        <v>1086</v>
      </c>
      <c r="AH476" s="643"/>
      <c r="AI476" s="1122" t="s">
        <v>1086</v>
      </c>
      <c r="AJ476" s="587"/>
      <c r="AK476" s="256"/>
      <c r="AL476" s="296">
        <f>SUM(AL472:AL475)</f>
        <v>469.78399999999999</v>
      </c>
      <c r="AM476" s="256"/>
      <c r="AN476" s="296">
        <f>AL476/AE476</f>
        <v>3640.8544441753438</v>
      </c>
      <c r="AO476" s="256"/>
      <c r="AP476" s="1122" t="s">
        <v>1086</v>
      </c>
      <c r="AQ476" s="643"/>
      <c r="AR476" s="643"/>
      <c r="AS476" s="256"/>
      <c r="AT476" s="256"/>
      <c r="AU476" s="256"/>
      <c r="AV476" s="256"/>
      <c r="AW476" s="256"/>
      <c r="AX476" s="256"/>
      <c r="AY476" s="256"/>
      <c r="AZ476" s="1017">
        <v>1.5687658196028968</v>
      </c>
      <c r="BA476" s="1167">
        <f>+(AZ476/AZ469-1)*100</f>
        <v>-1.2531558433270917</v>
      </c>
      <c r="BB476" s="256"/>
      <c r="BC476" s="1017">
        <v>1.3307871639829618</v>
      </c>
      <c r="BD476" s="1167">
        <f>+(BC476/BC469-1)*100</f>
        <v>3.2355947211798464</v>
      </c>
      <c r="BE476" s="1017"/>
      <c r="BF476" s="1167"/>
      <c r="BG476" s="1167"/>
      <c r="BH476" s="1167"/>
      <c r="BI476" s="297">
        <f>($AZ$464*BA476)+($BC$464*BD476)+($BF$464*BG476)</f>
        <v>1.0361069445714466</v>
      </c>
      <c r="BJ476" s="1017"/>
      <c r="BK476" s="297">
        <f>F476</f>
        <v>2</v>
      </c>
      <c r="BL476" s="1167"/>
      <c r="BM476" s="1167"/>
      <c r="BN476" s="302"/>
      <c r="BO476" s="587"/>
      <c r="BP476" s="587"/>
    </row>
    <row r="477" spans="1:68" ht="13.5" hidden="1" outlineLevel="1" thickBot="1">
      <c r="A477" s="256"/>
      <c r="B477" s="302"/>
      <c r="C477" s="256"/>
      <c r="D477" s="288"/>
      <c r="E477" s="256"/>
      <c r="F477" s="297"/>
      <c r="G477" s="256"/>
      <c r="H477" s="2091"/>
      <c r="I477" s="256"/>
      <c r="J477" s="288"/>
      <c r="K477" s="256"/>
      <c r="L477" s="1033"/>
      <c r="M477" s="256"/>
      <c r="N477" s="811"/>
      <c r="O477" s="256"/>
      <c r="P477" s="288"/>
      <c r="Q477" s="643"/>
      <c r="R477" s="812"/>
      <c r="S477" s="587"/>
      <c r="T477" s="256"/>
      <c r="U477" s="256"/>
      <c r="V477" s="296"/>
      <c r="W477" s="256"/>
      <c r="X477" s="813"/>
      <c r="Y477" s="256"/>
      <c r="Z477" s="814"/>
      <c r="AA477" s="643"/>
      <c r="AB477" s="256"/>
      <c r="AC477" s="815"/>
      <c r="AD477" s="256"/>
      <c r="AE477" s="816"/>
      <c r="AF477" s="256"/>
      <c r="AG477" s="1122"/>
      <c r="AH477" s="643"/>
      <c r="AI477" s="1122"/>
      <c r="AJ477" s="587"/>
      <c r="AK477" s="256"/>
      <c r="AL477" s="296"/>
      <c r="AM477" s="256"/>
      <c r="AN477" s="817"/>
      <c r="AO477" s="256"/>
      <c r="AP477" s="1122"/>
      <c r="AQ477" s="643"/>
      <c r="AR477" s="643"/>
      <c r="AS477" s="256"/>
      <c r="AT477" s="256"/>
      <c r="AU477" s="256"/>
      <c r="AV477" s="256"/>
      <c r="AW477" s="256"/>
      <c r="AX477" s="256"/>
      <c r="AY477" s="256"/>
      <c r="AZ477" s="256"/>
      <c r="BA477" s="256"/>
      <c r="BB477" s="256"/>
      <c r="BC477" s="256"/>
      <c r="BD477" s="1017"/>
      <c r="BE477" s="1017"/>
      <c r="BF477" s="1167"/>
      <c r="BG477" s="1167"/>
      <c r="BH477" s="1167"/>
      <c r="BI477" s="297"/>
      <c r="BJ477" s="1017"/>
      <c r="BK477" s="1167"/>
      <c r="BL477" s="1167"/>
      <c r="BM477" s="1167"/>
      <c r="BN477" s="302"/>
      <c r="BO477" s="587"/>
      <c r="BP477" s="587"/>
    </row>
    <row r="478" spans="1:68" ht="13.5" collapsed="1" thickBot="1">
      <c r="A478" s="810"/>
      <c r="B478" s="171">
        <f>+B471+1</f>
        <v>2014</v>
      </c>
      <c r="C478" s="256"/>
      <c r="D478" s="256"/>
      <c r="E478" s="643"/>
      <c r="F478" s="297"/>
      <c r="G478" s="643"/>
      <c r="H478" s="2091"/>
      <c r="I478" s="643"/>
      <c r="J478" s="256"/>
      <c r="K478" s="643"/>
      <c r="L478" s="256"/>
      <c r="M478" s="256"/>
      <c r="N478" s="256"/>
      <c r="O478" s="256"/>
      <c r="P478" s="256"/>
      <c r="Q478" s="643"/>
      <c r="R478" s="587"/>
      <c r="S478" s="587"/>
      <c r="T478" s="256"/>
      <c r="U478" s="256"/>
      <c r="V478" s="256"/>
      <c r="W478" s="256"/>
      <c r="X478" s="256"/>
      <c r="Y478" s="256"/>
      <c r="Z478" s="256"/>
      <c r="AA478" s="643"/>
      <c r="AB478" s="256"/>
      <c r="AC478" s="256"/>
      <c r="AD478" s="256"/>
      <c r="AE478" s="256"/>
      <c r="AF478" s="256"/>
      <c r="AG478" s="256"/>
      <c r="AH478" s="643"/>
      <c r="AI478" s="587"/>
      <c r="AJ478" s="587"/>
      <c r="AK478" s="256"/>
      <c r="AL478" s="256"/>
      <c r="AM478" s="256"/>
      <c r="AN478" s="256"/>
      <c r="AO478" s="256"/>
      <c r="AP478" s="320"/>
      <c r="AQ478" s="643"/>
      <c r="AR478" s="643"/>
      <c r="AS478" s="256"/>
      <c r="AT478" s="256"/>
      <c r="AU478" s="256"/>
      <c r="AV478" s="256"/>
      <c r="AW478" s="256"/>
      <c r="AX478" s="256"/>
      <c r="AY478" s="256"/>
      <c r="AZ478" s="1605">
        <v>0.4</v>
      </c>
      <c r="BA478" s="587"/>
      <c r="BB478" s="587"/>
      <c r="BC478" s="1605">
        <f>1-AZ478</f>
        <v>0.6</v>
      </c>
      <c r="BD478" s="1603"/>
      <c r="BE478" s="587"/>
      <c r="BF478" s="1606"/>
      <c r="BG478" s="256"/>
      <c r="BH478" s="256"/>
      <c r="BI478" s="297"/>
      <c r="BJ478" s="256"/>
      <c r="BK478" s="297"/>
      <c r="BL478" s="256"/>
      <c r="BM478" s="256"/>
      <c r="BN478" s="256"/>
      <c r="BO478" s="587"/>
      <c r="BP478" s="587"/>
    </row>
    <row r="479" spans="1:68">
      <c r="A479" s="256" t="str">
        <f>$A$40</f>
        <v>1Q</v>
      </c>
      <c r="B479" s="302" t="str">
        <f>$B$40</f>
        <v>Apr</v>
      </c>
      <c r="C479" s="256"/>
      <c r="D479" s="288">
        <f>(V479/V472-1)*100</f>
        <v>8.924999462284644</v>
      </c>
      <c r="E479" s="643" t="s">
        <v>1970</v>
      </c>
      <c r="F479" s="1156">
        <v>7</v>
      </c>
      <c r="G479" s="643"/>
      <c r="H479" s="2091">
        <f>'segSales&amp;comps'!AI208</f>
        <v>-3</v>
      </c>
      <c r="I479" s="643" t="s">
        <v>1970</v>
      </c>
      <c r="J479" s="288">
        <f>D479-H479-F479</f>
        <v>4.924999462284644</v>
      </c>
      <c r="K479" s="643" t="s">
        <v>1970</v>
      </c>
      <c r="L479" s="948">
        <f>Stores!AA282</f>
        <v>38</v>
      </c>
      <c r="M479" s="256"/>
      <c r="N479" s="811">
        <f>AVERAGE(L479,L475)</f>
        <v>37.5</v>
      </c>
      <c r="O479" s="256"/>
      <c r="P479" s="288">
        <f>(N479/N472-1)*100</f>
        <v>10.294117647058831</v>
      </c>
      <c r="Q479" s="643" t="s">
        <v>1970</v>
      </c>
      <c r="R479" s="812">
        <f>J479/P479*100</f>
        <v>47.842851919336503</v>
      </c>
      <c r="S479" s="587" t="s">
        <v>1970</v>
      </c>
      <c r="T479" s="256"/>
      <c r="U479" s="256"/>
      <c r="V479" s="296">
        <f>'segSales&amp;comps'!AG208</f>
        <v>101.285</v>
      </c>
      <c r="W479" s="238"/>
      <c r="X479" s="813">
        <f>V479/N479</f>
        <v>2.7009333333333334</v>
      </c>
      <c r="Y479" s="256"/>
      <c r="Z479" s="814">
        <f>(X479/X472-1)*100</f>
        <v>-1.2413338208619229</v>
      </c>
      <c r="AA479" s="643" t="s">
        <v>1970</v>
      </c>
      <c r="AB479" s="256"/>
      <c r="AC479" s="1017">
        <f>AC475+(L479-L476)*yrSales!$Z$200/1000000</f>
        <v>0.14550000000000007</v>
      </c>
      <c r="AD479" s="256" t="s">
        <v>700</v>
      </c>
      <c r="AE479" s="816">
        <f>AVERAGE(AC479,AC475)</f>
        <v>0.14050000000000007</v>
      </c>
      <c r="AF479" s="256"/>
      <c r="AG479" s="1122" t="s">
        <v>1086</v>
      </c>
      <c r="AH479" s="643" t="s">
        <v>1970</v>
      </c>
      <c r="AI479" s="1122" t="s">
        <v>1086</v>
      </c>
      <c r="AJ479" s="587" t="s">
        <v>1970</v>
      </c>
      <c r="AK479" s="256"/>
      <c r="AL479" s="296">
        <f>+V479</f>
        <v>101.285</v>
      </c>
      <c r="AM479" s="256" t="s">
        <v>700</v>
      </c>
      <c r="AN479" s="296">
        <f>AL479/AE479</f>
        <v>720.88967971530212</v>
      </c>
      <c r="AO479" s="256"/>
      <c r="AP479" s="1122" t="s">
        <v>1086</v>
      </c>
      <c r="AQ479" s="643" t="s">
        <v>1970</v>
      </c>
      <c r="AR479" s="643"/>
      <c r="AS479" s="256"/>
      <c r="AT479" s="256"/>
      <c r="AU479" s="256"/>
      <c r="AV479" s="256"/>
      <c r="AW479" s="256"/>
      <c r="AX479" s="256"/>
      <c r="AY479" s="256"/>
      <c r="AZ479" s="1017">
        <v>1.6648884809523812</v>
      </c>
      <c r="BA479" s="1167">
        <f>+(AZ479/AZ472-1)*100</f>
        <v>8.8681167679591777</v>
      </c>
      <c r="BB479" s="256"/>
      <c r="BC479" s="1017">
        <v>1.3770781333333335</v>
      </c>
      <c r="BD479" s="1167">
        <f>+(BC479/BC472-1)*100</f>
        <v>5.0323739918771482</v>
      </c>
      <c r="BE479" s="1017"/>
      <c r="BF479" s="1167"/>
      <c r="BG479" s="1167"/>
      <c r="BH479" s="1167"/>
      <c r="BI479" s="297">
        <f>($AZ$478*BA479)+($BC$478*BD479)+($BF$478*BG479)</f>
        <v>6.56667110230996</v>
      </c>
      <c r="BJ479" s="1017"/>
      <c r="BK479" s="297">
        <f>F479</f>
        <v>7</v>
      </c>
      <c r="BL479" s="1167"/>
      <c r="BM479" s="1167"/>
      <c r="BN479" s="256"/>
      <c r="BO479" s="1592"/>
      <c r="BP479" s="1492"/>
    </row>
    <row r="480" spans="1:68">
      <c r="A480" s="256" t="str">
        <f>$A$41</f>
        <v>2Q</v>
      </c>
      <c r="B480" s="302" t="str">
        <f>$B$41</f>
        <v>Jul</v>
      </c>
      <c r="C480" s="256"/>
      <c r="D480" s="288">
        <f>(V480/V473-1)*100</f>
        <v>7.8977410626803524</v>
      </c>
      <c r="E480" s="256"/>
      <c r="F480" s="1732">
        <v>7</v>
      </c>
      <c r="G480" s="256"/>
      <c r="H480" s="2091">
        <f>'segSales&amp;comps'!AI209</f>
        <v>-8</v>
      </c>
      <c r="I480" s="256"/>
      <c r="J480" s="288">
        <f>D480-H480-F480</f>
        <v>8.8977410626803533</v>
      </c>
      <c r="K480" s="256"/>
      <c r="L480" s="948">
        <f>Stores!AA283</f>
        <v>38</v>
      </c>
      <c r="M480" s="256"/>
      <c r="N480" s="811">
        <f>AVERAGE(L480,L479)</f>
        <v>38</v>
      </c>
      <c r="O480" s="256"/>
      <c r="P480" s="288">
        <f>(N480/N473-1)*100</f>
        <v>10.144927536231885</v>
      </c>
      <c r="Q480" s="643"/>
      <c r="R480" s="812">
        <f>J480/P480*100</f>
        <v>87.706304760706331</v>
      </c>
      <c r="S480" s="587"/>
      <c r="T480" s="256"/>
      <c r="U480" s="256"/>
      <c r="V480" s="315">
        <f>'segSales&amp;comps'!AG209</f>
        <v>120.033</v>
      </c>
      <c r="W480" s="238"/>
      <c r="X480" s="818">
        <f>V480/N480</f>
        <v>3.1587631578947368</v>
      </c>
      <c r="Y480" s="256"/>
      <c r="Z480" s="814">
        <f>(X480/X473-1)*100</f>
        <v>-2.0402087720402196</v>
      </c>
      <c r="AA480" s="643"/>
      <c r="AB480" s="256"/>
      <c r="AC480" s="1017">
        <f>AC479+(L480-L479)*yrSales!$Z$200/1000000</f>
        <v>0.14550000000000007</v>
      </c>
      <c r="AD480" s="238"/>
      <c r="AE480" s="816">
        <f>AVERAGE(AC479:AC480)</f>
        <v>0.14550000000000007</v>
      </c>
      <c r="AF480" s="256"/>
      <c r="AG480" s="1122" t="s">
        <v>1086</v>
      </c>
      <c r="AH480" s="643"/>
      <c r="AI480" s="1122" t="s">
        <v>1086</v>
      </c>
      <c r="AJ480" s="587"/>
      <c r="AK480" s="256"/>
      <c r="AL480" s="315">
        <f>+V480</f>
        <v>120.033</v>
      </c>
      <c r="AM480" s="256"/>
      <c r="AN480" s="315">
        <f>AL480/AE480</f>
        <v>824.96907216494799</v>
      </c>
      <c r="AO480" s="256"/>
      <c r="AP480" s="1122" t="s">
        <v>1086</v>
      </c>
      <c r="AQ480" s="643"/>
      <c r="AR480" s="643"/>
      <c r="AS480" s="256"/>
      <c r="AT480" s="256"/>
      <c r="AU480" s="256"/>
      <c r="AV480" s="256"/>
      <c r="AW480" s="256"/>
      <c r="AX480" s="256"/>
      <c r="AY480" s="256"/>
      <c r="AZ480" s="1017">
        <v>1.6942313242424241</v>
      </c>
      <c r="BA480" s="1167">
        <f>+(AZ480/AZ473-1)*100</f>
        <v>10.653945799646159</v>
      </c>
      <c r="BB480" s="256"/>
      <c r="BC480" s="1017">
        <v>1.3620730742424245</v>
      </c>
      <c r="BD480" s="1167">
        <f>+(BC480/BC473-1)*100</f>
        <v>4.1730423777783798</v>
      </c>
      <c r="BE480" s="1017"/>
      <c r="BF480" s="1167"/>
      <c r="BG480" s="1167"/>
      <c r="BH480" s="1167"/>
      <c r="BI480" s="297">
        <f>($AZ$478*BA480)+($BC$478*BD480)+($BF$478*BG480)</f>
        <v>6.7654037465254921</v>
      </c>
      <c r="BJ480" s="1017"/>
      <c r="BK480" s="297">
        <f>F480</f>
        <v>7</v>
      </c>
      <c r="BL480" s="1167"/>
      <c r="BM480" s="1167"/>
      <c r="BN480" s="256"/>
      <c r="BO480" s="1592"/>
      <c r="BP480" s="1492"/>
    </row>
    <row r="481" spans="1:69">
      <c r="A481" s="256" t="str">
        <f>$A$42</f>
        <v>3Q</v>
      </c>
      <c r="B481" s="302" t="str">
        <f>$B$42</f>
        <v>Oct</v>
      </c>
      <c r="C481" s="256"/>
      <c r="D481" s="288">
        <f>(V481/V474-1)*100</f>
        <v>9.4862567950386723</v>
      </c>
      <c r="E481" s="256"/>
      <c r="F481" s="1156">
        <v>-1</v>
      </c>
      <c r="G481" s="256"/>
      <c r="H481" s="2091">
        <f>'segSales&amp;comps'!AI210</f>
        <v>2</v>
      </c>
      <c r="I481" s="256"/>
      <c r="J481" s="288">
        <f>D481-H481-F481</f>
        <v>8.4862567950386723</v>
      </c>
      <c r="K481" s="256"/>
      <c r="L481" s="948">
        <f>Stores!AA284</f>
        <v>38</v>
      </c>
      <c r="M481" s="238"/>
      <c r="N481" s="811">
        <f>AVERAGE(L481,L480)</f>
        <v>38</v>
      </c>
      <c r="O481" s="256"/>
      <c r="P481" s="288">
        <f>(N481/N474-1)*100</f>
        <v>7.0422535211267512</v>
      </c>
      <c r="Q481" s="643"/>
      <c r="R481" s="812">
        <f>J481/P481*100</f>
        <v>120.50484648954931</v>
      </c>
      <c r="S481" s="587"/>
      <c r="T481" s="256"/>
      <c r="U481" s="256"/>
      <c r="V481" s="315">
        <f>'segSales&amp;comps'!AG210</f>
        <v>114.4</v>
      </c>
      <c r="W481" s="256"/>
      <c r="X481" s="818">
        <f>V481/N481</f>
        <v>3.0105263157894737</v>
      </c>
      <c r="Y481" s="256"/>
      <c r="Z481" s="814">
        <f>(X481/X474-1)*100</f>
        <v>2.2832135848387392</v>
      </c>
      <c r="AA481" s="643"/>
      <c r="AB481" s="256"/>
      <c r="AC481" s="1017">
        <f>AC480+(L481-L480)*yrSales!$Z$200/1000000</f>
        <v>0.14550000000000007</v>
      </c>
      <c r="AD481" s="238"/>
      <c r="AE481" s="816">
        <f>AVERAGE(AC480:AC481)</f>
        <v>0.14550000000000007</v>
      </c>
      <c r="AF481" s="256"/>
      <c r="AG481" s="1122" t="s">
        <v>1086</v>
      </c>
      <c r="AH481" s="643"/>
      <c r="AI481" s="1122" t="s">
        <v>1086</v>
      </c>
      <c r="AJ481" s="587"/>
      <c r="AK481" s="256"/>
      <c r="AL481" s="315">
        <f>+V481</f>
        <v>114.4</v>
      </c>
      <c r="AM481" s="256"/>
      <c r="AN481" s="315">
        <f>AL481/AE481</f>
        <v>786.25429553264564</v>
      </c>
      <c r="AO481" s="256"/>
      <c r="AP481" s="1122" t="s">
        <v>1086</v>
      </c>
      <c r="AQ481" s="643"/>
      <c r="AR481" s="643"/>
      <c r="AS481" s="256"/>
      <c r="AT481" s="256"/>
      <c r="AU481" s="256"/>
      <c r="AV481" s="256"/>
      <c r="AW481" s="256"/>
      <c r="AX481" s="256"/>
      <c r="AY481" s="256"/>
      <c r="AZ481" s="1017">
        <v>1.6416872660377355</v>
      </c>
      <c r="BA481" s="1167">
        <f>+(AZ481/AZ474-1)*100</f>
        <v>3.7329416151749673</v>
      </c>
      <c r="BB481" s="256"/>
      <c r="BC481" s="1017">
        <v>1.3015685094339622</v>
      </c>
      <c r="BD481" s="1167">
        <f>+(BC481/BC474-1)*100</f>
        <v>-3.1616099729001701</v>
      </c>
      <c r="BE481" s="1017"/>
      <c r="BF481" s="1167"/>
      <c r="BG481" s="1167"/>
      <c r="BH481" s="1167"/>
      <c r="BI481" s="297">
        <f>($AZ$478*BA481)+($BC$478*BD481)+($BF$478*BG481)</f>
        <v>-0.40378933767011516</v>
      </c>
      <c r="BJ481" s="1017"/>
      <c r="BK481" s="297">
        <f>F481</f>
        <v>-1</v>
      </c>
      <c r="BL481" s="1167"/>
      <c r="BM481" s="1167"/>
      <c r="BN481" s="256"/>
      <c r="BO481" s="1592"/>
      <c r="BP481" s="1492"/>
    </row>
    <row r="482" spans="1:69">
      <c r="A482" s="256" t="str">
        <f>$A$43</f>
        <v>4Q</v>
      </c>
      <c r="B482" s="302" t="str">
        <f>$B$43</f>
        <v>Jan</v>
      </c>
      <c r="C482" s="256"/>
      <c r="D482" s="318">
        <f>(V482/V475-1)*100</f>
        <v>0.58175993244879987</v>
      </c>
      <c r="E482" s="256"/>
      <c r="F482" s="1148">
        <v>-9</v>
      </c>
      <c r="G482" s="256"/>
      <c r="H482" s="2095">
        <f>'segSales&amp;comps'!AI211</f>
        <v>4</v>
      </c>
      <c r="I482" s="256"/>
      <c r="J482" s="318">
        <f>D482-H482-F482</f>
        <v>5.5817599324487999</v>
      </c>
      <c r="K482" s="256"/>
      <c r="L482" s="949">
        <f>Stores!AA285</f>
        <v>38</v>
      </c>
      <c r="M482" s="238"/>
      <c r="N482" s="820">
        <f>AVERAGE(L482,L481)</f>
        <v>38</v>
      </c>
      <c r="O482" s="256"/>
      <c r="P482" s="318">
        <f>(N482/N475-1)*100</f>
        <v>4.1095890410958846</v>
      </c>
      <c r="Q482" s="643"/>
      <c r="R482" s="820">
        <f>J482/P482*100</f>
        <v>135.82282502292097</v>
      </c>
      <c r="S482" s="587"/>
      <c r="T482" s="256"/>
      <c r="U482" s="256"/>
      <c r="V482" s="316">
        <f>'segSales&amp;comps'!AG211</f>
        <v>162</v>
      </c>
      <c r="W482" s="256"/>
      <c r="X482" s="821">
        <f>V482/N482</f>
        <v>4.2631578947368425</v>
      </c>
      <c r="Y482" s="256"/>
      <c r="Z482" s="298">
        <f>(X482/X475-1)*100</f>
        <v>-3.3885726964636431</v>
      </c>
      <c r="AA482" s="643"/>
      <c r="AB482" s="256"/>
      <c r="AC482" s="1017">
        <f>AC481+(L482-L481)*yrSales!$Z$200/1000000</f>
        <v>0.14550000000000007</v>
      </c>
      <c r="AD482" s="238"/>
      <c r="AE482" s="822">
        <f>AVERAGE(AC481:AC482)</f>
        <v>0.14550000000000007</v>
      </c>
      <c r="AF482" s="256"/>
      <c r="AG482" s="1123" t="s">
        <v>1086</v>
      </c>
      <c r="AH482" s="643"/>
      <c r="AI482" s="1123" t="s">
        <v>1086</v>
      </c>
      <c r="AJ482" s="587"/>
      <c r="AK482" s="256"/>
      <c r="AL482" s="316">
        <f>+V482</f>
        <v>162</v>
      </c>
      <c r="AM482" s="256"/>
      <c r="AN482" s="316">
        <f>AL482/AE482</f>
        <v>1113.4020618556694</v>
      </c>
      <c r="AO482" s="256"/>
      <c r="AP482" s="1123" t="s">
        <v>1086</v>
      </c>
      <c r="AQ482" s="643"/>
      <c r="AR482" s="643"/>
      <c r="AS482" s="256"/>
      <c r="AT482" s="256"/>
      <c r="AU482" s="256"/>
      <c r="AV482" s="256"/>
      <c r="AW482" s="256"/>
      <c r="AX482" s="256"/>
      <c r="AY482" s="256"/>
      <c r="AZ482" s="1601">
        <v>1.5659442319148935</v>
      </c>
      <c r="BA482" s="1602">
        <f>+(AZ482/AZ475-1)*100</f>
        <v>-4.0519460860382157</v>
      </c>
      <c r="BB482" s="256"/>
      <c r="BC482" s="1601">
        <v>1.2350549191489362</v>
      </c>
      <c r="BD482" s="1602">
        <f>+(BC482/BC475-1)*100</f>
        <v>-9.218996268575486</v>
      </c>
      <c r="BE482" s="1017"/>
      <c r="BF482" s="1167"/>
      <c r="BG482" s="1167"/>
      <c r="BH482" s="1167"/>
      <c r="BI482" s="298">
        <f>($AZ$478*BA482)+($BC$478*BD482)+($BF$478*BG482)</f>
        <v>-7.1521761955605783</v>
      </c>
      <c r="BJ482" s="1017"/>
      <c r="BK482" s="298">
        <f>F482</f>
        <v>-9</v>
      </c>
      <c r="BL482" s="1167"/>
      <c r="BM482" s="1167"/>
      <c r="BN482" s="256"/>
      <c r="BO482" s="1592"/>
      <c r="BP482" s="1492"/>
    </row>
    <row r="483" spans="1:69">
      <c r="A483" s="256"/>
      <c r="B483" s="302" t="str">
        <f>$B$44</f>
        <v>Year</v>
      </c>
      <c r="C483" s="256"/>
      <c r="D483" s="288">
        <f>(V483/V476-1)*100</f>
        <v>5.9461369480442006</v>
      </c>
      <c r="E483" s="256"/>
      <c r="F483" s="217">
        <f>F479*V472/V476+F480*V473/V476+F481*V474/V476+F482*V475/V476</f>
        <v>-0.26485363486197855</v>
      </c>
      <c r="G483" s="256"/>
      <c r="H483" s="2085">
        <f>H479*V479/V483+H480*V480/V483+H481*V481/V483+H482*V482/V483</f>
        <v>-0.77818965759727399</v>
      </c>
      <c r="I483" s="256"/>
      <c r="J483" s="288">
        <f>D483-H483-F483</f>
        <v>6.9891802405034529</v>
      </c>
      <c r="K483" s="256"/>
      <c r="L483" s="951">
        <f>Stores!AA286</f>
        <v>38</v>
      </c>
      <c r="M483" s="256"/>
      <c r="N483" s="811">
        <f>AVERAGE(N479:N482)</f>
        <v>37.875</v>
      </c>
      <c r="O483" s="256"/>
      <c r="P483" s="288">
        <f>(N483/N476-1)*100</f>
        <v>7.8291814946619187</v>
      </c>
      <c r="Q483" s="643"/>
      <c r="R483" s="812">
        <f>J483/P483*100</f>
        <v>89.270893071885055</v>
      </c>
      <c r="S483" s="587"/>
      <c r="T483" s="256"/>
      <c r="U483" s="256"/>
      <c r="V483" s="296">
        <f>SUM(V479:V482)</f>
        <v>497.71799999999996</v>
      </c>
      <c r="W483" s="256"/>
      <c r="X483" s="813">
        <f>SUM(X479:X482)</f>
        <v>13.133380701754387</v>
      </c>
      <c r="Y483" s="256"/>
      <c r="Z483" s="814">
        <f>(X483/X476-1)*100</f>
        <v>-1.3672940908711184</v>
      </c>
      <c r="AA483" s="643"/>
      <c r="AB483" s="256"/>
      <c r="AC483" s="815"/>
      <c r="AD483" s="256"/>
      <c r="AE483" s="816">
        <f>AVERAGE(AE479:AE482)</f>
        <v>0.14425000000000007</v>
      </c>
      <c r="AF483" s="256"/>
      <c r="AG483" s="1122" t="s">
        <v>1086</v>
      </c>
      <c r="AH483" s="643"/>
      <c r="AI483" s="1122" t="s">
        <v>1086</v>
      </c>
      <c r="AJ483" s="587"/>
      <c r="AK483" s="256"/>
      <c r="AL483" s="296">
        <f>SUM(AL479:AL482)</f>
        <v>497.71799999999996</v>
      </c>
      <c r="AM483" s="256"/>
      <c r="AN483" s="296">
        <f>AL483/AE483</f>
        <v>3450.3847487001713</v>
      </c>
      <c r="AO483" s="256"/>
      <c r="AP483" s="1122" t="s">
        <v>1086</v>
      </c>
      <c r="AQ483" s="643"/>
      <c r="AR483" s="643"/>
      <c r="AS483" s="256"/>
      <c r="AT483" s="256"/>
      <c r="AU483" s="256"/>
      <c r="AV483" s="256"/>
      <c r="AW483" s="256"/>
      <c r="AX483" s="256"/>
      <c r="AY483" s="256"/>
      <c r="AZ483" s="1017">
        <v>1.6416878257868586</v>
      </c>
      <c r="BA483" s="1167">
        <f>+(AZ483/AZ476-1)*100</f>
        <v>4.648367861713143</v>
      </c>
      <c r="BB483" s="256"/>
      <c r="BC483" s="1017">
        <v>1.3189436590396642</v>
      </c>
      <c r="BD483" s="1167">
        <f>+(BC483/BC476-1)*100</f>
        <v>-0.8899623669235579</v>
      </c>
      <c r="BE483" s="1017"/>
      <c r="BF483" s="1167"/>
      <c r="BG483" s="1167"/>
      <c r="BH483" s="1167"/>
      <c r="BI483" s="297">
        <f>($AZ$478*BA483)+($BC$478*BD483)+($BF$478*BG483)</f>
        <v>1.3253697245311225</v>
      </c>
      <c r="BJ483" s="1017"/>
      <c r="BK483" s="297">
        <f>F483</f>
        <v>-0.26485363486197855</v>
      </c>
      <c r="BL483" s="1167"/>
      <c r="BM483" s="1167"/>
      <c r="BN483" s="302"/>
      <c r="BO483" s="587"/>
      <c r="BP483" s="587"/>
    </row>
    <row r="484" spans="1:69" ht="13.5" thickBot="1">
      <c r="A484" s="256"/>
      <c r="B484" s="302"/>
      <c r="C484" s="256"/>
      <c r="D484" s="288"/>
      <c r="E484" s="256"/>
      <c r="F484" s="297"/>
      <c r="G484" s="256"/>
      <c r="H484" s="2091"/>
      <c r="I484" s="256"/>
      <c r="J484" s="288"/>
      <c r="K484" s="256"/>
      <c r="L484" s="1033"/>
      <c r="M484" s="256"/>
      <c r="N484" s="811"/>
      <c r="O484" s="256"/>
      <c r="P484" s="288"/>
      <c r="Q484" s="643"/>
      <c r="R484" s="812"/>
      <c r="S484" s="587"/>
      <c r="T484" s="256"/>
      <c r="U484" s="256"/>
      <c r="V484" s="296"/>
      <c r="W484" s="256"/>
      <c r="X484" s="813"/>
      <c r="Y484" s="256"/>
      <c r="Z484" s="814"/>
      <c r="AA484" s="643"/>
      <c r="AB484" s="256"/>
      <c r="AC484" s="815"/>
      <c r="AD484" s="256"/>
      <c r="AE484" s="816"/>
      <c r="AF484" s="256"/>
      <c r="AG484" s="1122"/>
      <c r="AH484" s="643"/>
      <c r="AI484" s="1122"/>
      <c r="AJ484" s="587"/>
      <c r="AK484" s="256"/>
      <c r="AL484" s="296"/>
      <c r="AM484" s="256"/>
      <c r="AN484" s="817"/>
      <c r="AO484" s="256"/>
      <c r="AP484" s="1122"/>
      <c r="AQ484" s="643"/>
      <c r="AR484" s="643"/>
      <c r="AS484" s="256"/>
      <c r="AT484" s="256"/>
      <c r="AU484" s="256"/>
      <c r="AV484" s="256"/>
      <c r="AW484" s="256"/>
      <c r="AX484" s="256"/>
      <c r="AY484" s="256"/>
      <c r="AZ484" s="256"/>
      <c r="BA484" s="256"/>
      <c r="BB484" s="256"/>
      <c r="BC484" s="256"/>
      <c r="BD484" s="1017"/>
      <c r="BE484" s="1017"/>
      <c r="BF484" s="1167"/>
      <c r="BG484" s="1167"/>
      <c r="BH484" s="1167"/>
      <c r="BI484" s="297"/>
      <c r="BJ484" s="1017"/>
      <c r="BK484" s="1167"/>
      <c r="BL484" s="1167"/>
      <c r="BM484" s="1167"/>
      <c r="BN484" s="302"/>
      <c r="BO484" s="587"/>
      <c r="BP484" s="587"/>
    </row>
    <row r="485" spans="1:69" ht="13.5" thickBot="1">
      <c r="A485" s="810"/>
      <c r="B485" s="171">
        <f>+B478+1</f>
        <v>2015</v>
      </c>
      <c r="C485" s="256"/>
      <c r="D485" s="256"/>
      <c r="E485" s="643"/>
      <c r="F485" s="297"/>
      <c r="G485" s="643"/>
      <c r="H485" s="2091"/>
      <c r="I485" s="643"/>
      <c r="J485" s="256"/>
      <c r="K485" s="643"/>
      <c r="L485" s="256"/>
      <c r="M485" s="256"/>
      <c r="N485" s="256"/>
      <c r="O485" s="256"/>
      <c r="P485" s="256"/>
      <c r="Q485" s="643"/>
      <c r="R485" s="587"/>
      <c r="S485" s="587"/>
      <c r="T485" s="256"/>
      <c r="U485" s="256"/>
      <c r="V485" s="256"/>
      <c r="W485" s="256"/>
      <c r="X485" s="256"/>
      <c r="Y485" s="256"/>
      <c r="Z485" s="256"/>
      <c r="AA485" s="643"/>
      <c r="AB485" s="256"/>
      <c r="AC485" s="256"/>
      <c r="AD485" s="256"/>
      <c r="AE485" s="256"/>
      <c r="AF485" s="256"/>
      <c r="AG485" s="256"/>
      <c r="AH485" s="643"/>
      <c r="AI485" s="587"/>
      <c r="AJ485" s="587"/>
      <c r="AK485" s="256"/>
      <c r="AL485" s="256"/>
      <c r="AM485" s="256"/>
      <c r="AN485" s="256"/>
      <c r="AO485" s="256"/>
      <c r="AP485" s="320"/>
      <c r="AQ485" s="643"/>
      <c r="AR485" s="643"/>
      <c r="AS485" s="256"/>
      <c r="AT485" s="256"/>
      <c r="AU485" s="256"/>
      <c r="AV485" s="256"/>
      <c r="AW485" s="256"/>
      <c r="AX485" s="256"/>
      <c r="AY485" s="256"/>
      <c r="AZ485" s="1605">
        <v>0.4</v>
      </c>
      <c r="BA485" s="587"/>
      <c r="BB485" s="587"/>
      <c r="BC485" s="1605">
        <f>1-AZ485</f>
        <v>0.6</v>
      </c>
      <c r="BD485" s="1603"/>
      <c r="BE485" s="587"/>
      <c r="BF485" s="1606"/>
      <c r="BG485" s="256"/>
      <c r="BH485" s="256"/>
      <c r="BI485" s="297"/>
      <c r="BJ485" s="256"/>
      <c r="BK485" s="297"/>
      <c r="BL485" s="256"/>
      <c r="BM485" s="256"/>
      <c r="BN485" s="256"/>
      <c r="BO485" s="587"/>
      <c r="BP485" s="587"/>
    </row>
    <row r="486" spans="1:69">
      <c r="A486" s="256" t="str">
        <f>$A$40</f>
        <v>1Q</v>
      </c>
      <c r="B486" s="302" t="str">
        <f>$B$40</f>
        <v>Apr</v>
      </c>
      <c r="C486" s="256"/>
      <c r="D486" s="288">
        <f>(V486/V479-1)*100</f>
        <v>5.3463000444290865</v>
      </c>
      <c r="E486" s="643" t="s">
        <v>1970</v>
      </c>
      <c r="F486" s="1156">
        <v>-19</v>
      </c>
      <c r="G486" s="643"/>
      <c r="H486" s="2091">
        <f>'segSales&amp;comps'!AI215</f>
        <v>17</v>
      </c>
      <c r="I486" s="643" t="s">
        <v>1970</v>
      </c>
      <c r="J486" s="288">
        <f>D486-H486-F486</f>
        <v>7.3463000444290856</v>
      </c>
      <c r="K486" s="643" t="s">
        <v>1970</v>
      </c>
      <c r="L486" s="948">
        <f>Stores!AA289</f>
        <v>38</v>
      </c>
      <c r="M486" s="256"/>
      <c r="N486" s="811">
        <f>AVERAGE(L486,L482)</f>
        <v>38</v>
      </c>
      <c r="O486" s="256"/>
      <c r="P486" s="288">
        <f>(N486/N479-1)*100</f>
        <v>1.3333333333333419</v>
      </c>
      <c r="Q486" s="643" t="s">
        <v>1970</v>
      </c>
      <c r="R486" s="812">
        <f>J486/P486*100</f>
        <v>550.97250333217789</v>
      </c>
      <c r="S486" s="587" t="s">
        <v>1970</v>
      </c>
      <c r="T486" s="256"/>
      <c r="U486" s="256"/>
      <c r="V486" s="296">
        <f>'segSales&amp;comps'!AG215</f>
        <v>106.7</v>
      </c>
      <c r="W486" s="238"/>
      <c r="X486" s="813">
        <f>V486/N486</f>
        <v>2.8078947368421052</v>
      </c>
      <c r="Y486" s="256"/>
      <c r="Z486" s="814">
        <f>(X486/X479-1)*100</f>
        <v>3.960164517528697</v>
      </c>
      <c r="AA486" s="643" t="s">
        <v>1970</v>
      </c>
      <c r="AB486" s="256"/>
      <c r="AC486" s="1017">
        <f>AC482+(L486-L483)*yrSales!$AA$200/1000000</f>
        <v>0.14550000000000007</v>
      </c>
      <c r="AD486" s="256" t="s">
        <v>700</v>
      </c>
      <c r="AE486" s="816">
        <f>AVERAGE(AC486,AC482)</f>
        <v>0.14550000000000007</v>
      </c>
      <c r="AF486" s="256"/>
      <c r="AG486" s="1122" t="s">
        <v>1086</v>
      </c>
      <c r="AH486" s="643" t="s">
        <v>1970</v>
      </c>
      <c r="AI486" s="1122" t="s">
        <v>1086</v>
      </c>
      <c r="AJ486" s="587" t="s">
        <v>1970</v>
      </c>
      <c r="AK486" s="256"/>
      <c r="AL486" s="296">
        <f>+V486</f>
        <v>106.7</v>
      </c>
      <c r="AM486" s="256" t="s">
        <v>700</v>
      </c>
      <c r="AN486" s="296">
        <f>AL486/AE486</f>
        <v>733.33333333333303</v>
      </c>
      <c r="AO486" s="256"/>
      <c r="AP486" s="1122" t="s">
        <v>1086</v>
      </c>
      <c r="AQ486" s="643" t="s">
        <v>1970</v>
      </c>
      <c r="AR486" s="643"/>
      <c r="AS486" s="256"/>
      <c r="AT486" s="256"/>
      <c r="AX486" s="256"/>
      <c r="AY486" s="256"/>
      <c r="AZ486" s="1017">
        <v>1.5076277468750008</v>
      </c>
      <c r="BA486" s="1167">
        <f>+(AZ486/AZ479-1)*100</f>
        <v>-9.4457217931750659</v>
      </c>
      <c r="BB486" s="256"/>
      <c r="BC486" s="1017">
        <v>1.0986776453125002</v>
      </c>
      <c r="BD486" s="1167">
        <f>+(BC486/BC479-1)*100</f>
        <v>-20.216753231491769</v>
      </c>
      <c r="BE486" s="1017"/>
      <c r="BF486" s="1167">
        <v>1.2314704416666666</v>
      </c>
      <c r="BG486" s="1167">
        <f>BF486/BC479-1</f>
        <v>-0.10573669579242484</v>
      </c>
      <c r="BH486" s="1167"/>
      <c r="BI486" s="297">
        <f>($AZ$478*BA486)+($BC$478*BD486)+($BF$478*BG486)</f>
        <v>-15.908340656165088</v>
      </c>
      <c r="BJ486" s="1017"/>
      <c r="BK486" s="297">
        <f>F486</f>
        <v>-19</v>
      </c>
      <c r="BL486" s="1167"/>
      <c r="BM486" s="1167"/>
      <c r="BN486" s="256"/>
      <c r="BO486" s="256">
        <v>1.5659442319148935</v>
      </c>
      <c r="BP486" s="256"/>
      <c r="BQ486" s="256">
        <f>BO486/AZ479-1</f>
        <v>-5.942995592166489E-2</v>
      </c>
    </row>
    <row r="487" spans="1:69">
      <c r="A487" s="256" t="str">
        <f>$A$41</f>
        <v>2Q</v>
      </c>
      <c r="B487" s="302" t="str">
        <f>$B$41</f>
        <v>Jul</v>
      </c>
      <c r="C487" s="256"/>
      <c r="D487" s="288">
        <f>(V487/V480-1)*100</f>
        <v>5.0544433614089446</v>
      </c>
      <c r="E487" s="256"/>
      <c r="F487" s="1732">
        <v>-17</v>
      </c>
      <c r="G487" s="256"/>
      <c r="H487" s="2091">
        <f>'segSales&amp;comps'!AI216</f>
        <v>19</v>
      </c>
      <c r="I487" s="256"/>
      <c r="J487" s="288">
        <f>D487-H487-F487</f>
        <v>3.0544433614089446</v>
      </c>
      <c r="K487" s="256"/>
      <c r="L487" s="948">
        <f>Stores!AA290</f>
        <v>39</v>
      </c>
      <c r="M487" s="256"/>
      <c r="N487" s="811">
        <f>AVERAGE(L487,L486)</f>
        <v>38.5</v>
      </c>
      <c r="O487" s="256"/>
      <c r="P487" s="288">
        <f>(N487/N480-1)*100</f>
        <v>1.3157894736842035</v>
      </c>
      <c r="Q487" s="643"/>
      <c r="R487" s="812">
        <f>J487/P487*100</f>
        <v>232.13769546708102</v>
      </c>
      <c r="S487" s="587"/>
      <c r="T487" s="256"/>
      <c r="U487" s="256"/>
      <c r="V487" s="315">
        <f>'segSales&amp;comps'!AG216</f>
        <v>126.1</v>
      </c>
      <c r="W487" s="238"/>
      <c r="X487" s="818">
        <f>V487/N487</f>
        <v>3.2753246753246752</v>
      </c>
      <c r="Y487" s="256"/>
      <c r="Z487" s="814">
        <f>(X487/X480-1)*100</f>
        <v>3.6900999411308977</v>
      </c>
      <c r="AA487" s="643"/>
      <c r="AB487" s="256"/>
      <c r="AC487" s="1017">
        <f>AC486+(L487-L486)*yrSales!$AA$200/1000000</f>
        <v>0.14860000000000007</v>
      </c>
      <c r="AD487" s="238"/>
      <c r="AE487" s="816">
        <f>AVERAGE(AC486:AC487)</f>
        <v>0.14705000000000007</v>
      </c>
      <c r="AF487" s="256"/>
      <c r="AG487" s="1122" t="s">
        <v>1086</v>
      </c>
      <c r="AH487" s="643"/>
      <c r="AI487" s="1122" t="s">
        <v>1086</v>
      </c>
      <c r="AJ487" s="587"/>
      <c r="AK487" s="256"/>
      <c r="AL487" s="315">
        <f>+V487</f>
        <v>126.1</v>
      </c>
      <c r="AM487" s="256"/>
      <c r="AN487" s="315">
        <f>AL487/AE487</f>
        <v>857.53145188711278</v>
      </c>
      <c r="AO487" s="256"/>
      <c r="AP487" s="1122" t="s">
        <v>1086</v>
      </c>
      <c r="AQ487" s="643"/>
      <c r="AR487" s="643"/>
      <c r="AS487" s="256"/>
      <c r="AT487" s="256"/>
      <c r="AX487" s="256"/>
      <c r="AY487" s="256"/>
      <c r="AZ487" s="1017">
        <v>1.5529328878787874</v>
      </c>
      <c r="BA487" s="1167">
        <f>+(AZ487/AZ480-1)*100</f>
        <v>-8.3399730805247874</v>
      </c>
      <c r="BB487" s="256"/>
      <c r="BC487" s="1017">
        <v>1.112540409090909</v>
      </c>
      <c r="BD487" s="1167">
        <f>+(BC487/BC480-1)*100</f>
        <v>-18.320064456916441</v>
      </c>
      <c r="BE487" s="1017"/>
      <c r="BF487" s="1167">
        <v>1.2314704416666666</v>
      </c>
      <c r="BG487" s="1167">
        <f>BF487/BC480-1</f>
        <v>-9.5885187840159092E-2</v>
      </c>
      <c r="BH487" s="1167"/>
      <c r="BI487" s="297">
        <f>($AZ$478*BA487)+($BC$478*BD487)+($BF$478*BG487)</f>
        <v>-14.328027906359779</v>
      </c>
      <c r="BJ487" s="1017"/>
      <c r="BK487" s="297">
        <f>F487</f>
        <v>-17</v>
      </c>
      <c r="BL487" s="1167"/>
      <c r="BM487" s="1167"/>
      <c r="BN487" s="256"/>
      <c r="BO487" s="256">
        <v>1.5659442319148935</v>
      </c>
      <c r="BP487" s="256"/>
      <c r="BQ487" s="256">
        <f>BO487/AZ480-1</f>
        <v>-7.5719938884316274E-2</v>
      </c>
    </row>
    <row r="488" spans="1:69">
      <c r="A488" s="256" t="str">
        <f>$A$42</f>
        <v>3Q</v>
      </c>
      <c r="B488" s="302" t="str">
        <f>$B$42</f>
        <v>Oct</v>
      </c>
      <c r="C488" s="256"/>
      <c r="D488" s="288">
        <f>(V488/V481-1)*100</f>
        <v>1.1363636363636243</v>
      </c>
      <c r="E488" s="256"/>
      <c r="F488" s="1156">
        <v>-11</v>
      </c>
      <c r="G488" s="256"/>
      <c r="H488" s="2091">
        <f>'segSales&amp;comps'!AI217</f>
        <v>6</v>
      </c>
      <c r="I488" s="256"/>
      <c r="J488" s="288">
        <f>D488-H488-F488</f>
        <v>6.1363636363636243</v>
      </c>
      <c r="K488" s="256"/>
      <c r="L488" s="948">
        <f>Stores!AA291</f>
        <v>39</v>
      </c>
      <c r="M488" s="238"/>
      <c r="N488" s="811">
        <f>AVERAGE(L488,L487)</f>
        <v>39</v>
      </c>
      <c r="O488" s="256"/>
      <c r="P488" s="288">
        <f>(N488/N481-1)*100</f>
        <v>2.6315789473684292</v>
      </c>
      <c r="Q488" s="643"/>
      <c r="R488" s="812">
        <f>J488/P488*100</f>
        <v>233.18181818181699</v>
      </c>
      <c r="S488" s="587"/>
      <c r="T488" s="256"/>
      <c r="U488" s="256"/>
      <c r="V488" s="315">
        <f>'segSales&amp;comps'!AG217</f>
        <v>115.7</v>
      </c>
      <c r="W488" s="256"/>
      <c r="X488" s="818">
        <f>V488/N488</f>
        <v>2.9666666666666668</v>
      </c>
      <c r="Y488" s="256"/>
      <c r="Z488" s="814">
        <f>(X488/X481-1)*100</f>
        <v>-1.4568764568764547</v>
      </c>
      <c r="AA488" s="643"/>
      <c r="AB488" s="256"/>
      <c r="AC488" s="1017">
        <f>AC487+(L488-L487)*yrSales!$AA$200/1000000</f>
        <v>0.14860000000000007</v>
      </c>
      <c r="AD488" s="238"/>
      <c r="AE488" s="816">
        <f>AVERAGE(AC487:AC488)</f>
        <v>0.14860000000000007</v>
      </c>
      <c r="AF488" s="256"/>
      <c r="AG488" s="1122" t="s">
        <v>1086</v>
      </c>
      <c r="AH488" s="643"/>
      <c r="AI488" s="1122" t="s">
        <v>1086</v>
      </c>
      <c r="AJ488" s="587"/>
      <c r="AK488" s="256"/>
      <c r="AL488" s="315">
        <f>+V488</f>
        <v>115.7</v>
      </c>
      <c r="AM488" s="256"/>
      <c r="AN488" s="315">
        <f>AL488/AE488</f>
        <v>778.6002691790037</v>
      </c>
      <c r="AO488" s="256"/>
      <c r="AP488" s="1122" t="s">
        <v>1086</v>
      </c>
      <c r="AQ488" s="643"/>
      <c r="AR488" s="643"/>
      <c r="AS488" s="256"/>
      <c r="AT488" s="256"/>
      <c r="AX488" s="256"/>
      <c r="AY488" s="256"/>
      <c r="AZ488" s="1017">
        <v>1.5411203153846154</v>
      </c>
      <c r="BA488" s="1167">
        <f>+(AZ488/AZ481-1)*100</f>
        <v>-6.1258287576197006</v>
      </c>
      <c r="BB488" s="256"/>
      <c r="BC488" s="1017">
        <v>1.1196349446153846</v>
      </c>
      <c r="BD488" s="1167">
        <f>+(BC488/BC481-1)*100</f>
        <v>-13.978024475845574</v>
      </c>
      <c r="BE488" s="1017"/>
      <c r="BF488" s="1167">
        <v>1.2314704416666666</v>
      </c>
      <c r="BG488" s="1167">
        <f>BF488/BC481-1</f>
        <v>-5.3856610127868243E-2</v>
      </c>
      <c r="BH488" s="1167"/>
      <c r="BI488" s="297">
        <f>($AZ$478*BA488)+($BC$478*BD488)+($BF$478*BG488)</f>
        <v>-10.837146188555225</v>
      </c>
      <c r="BJ488" s="1017"/>
      <c r="BK488" s="297">
        <f>F488</f>
        <v>-11</v>
      </c>
      <c r="BL488" s="1167"/>
      <c r="BM488" s="1167"/>
      <c r="BN488" s="256"/>
      <c r="BO488" s="256">
        <v>1.5659442319148935</v>
      </c>
      <c r="BP488" s="256"/>
      <c r="BQ488" s="256">
        <f>BO488/AZ481-1</f>
        <v>-4.613730988219833E-2</v>
      </c>
    </row>
    <row r="489" spans="1:69">
      <c r="A489" s="256" t="str">
        <f>$A$43</f>
        <v>4Q</v>
      </c>
      <c r="B489" s="302" t="str">
        <f>$B$43</f>
        <v>Jan</v>
      </c>
      <c r="C489" s="256"/>
      <c r="D489" s="318">
        <f>(V489/V482-1)*100</f>
        <v>-3.0864197530864224</v>
      </c>
      <c r="E489" s="256"/>
      <c r="F489" s="1148">
        <v>-8</v>
      </c>
      <c r="G489" s="256"/>
      <c r="H489" s="2454">
        <f>'segSales&amp;comps'!AI218</f>
        <v>-3</v>
      </c>
      <c r="I489" s="256"/>
      <c r="J489" s="318">
        <f>D489-H489-F489</f>
        <v>7.9135802469135772</v>
      </c>
      <c r="K489" s="256"/>
      <c r="L489" s="949">
        <f>Stores!AA292</f>
        <v>41</v>
      </c>
      <c r="M489" s="238"/>
      <c r="N489" s="820">
        <f>AVERAGE(L489,L488)</f>
        <v>40</v>
      </c>
      <c r="O489" s="256"/>
      <c r="P489" s="318">
        <f>(N489/N482-1)*100</f>
        <v>5.2631578947368363</v>
      </c>
      <c r="Q489" s="643"/>
      <c r="R489" s="820">
        <f>J489/P489*100</f>
        <v>150.35802469135814</v>
      </c>
      <c r="S489" s="587"/>
      <c r="T489" s="256"/>
      <c r="U489" s="256"/>
      <c r="V489" s="316">
        <f>'segSales&amp;comps'!AG218</f>
        <v>157</v>
      </c>
      <c r="W489" s="256"/>
      <c r="X489" s="821">
        <f>V489/N489</f>
        <v>3.9249999999999998</v>
      </c>
      <c r="Y489" s="256"/>
      <c r="Z489" s="298">
        <f>(X489/X482-1)*100</f>
        <v>-7.9320987654321158</v>
      </c>
      <c r="AA489" s="643"/>
      <c r="AB489" s="256"/>
      <c r="AC489" s="1017">
        <f>AC488+(L489-L488)*yrSales!$AA$200/1000000</f>
        <v>0.15480000000000008</v>
      </c>
      <c r="AD489" s="238"/>
      <c r="AE489" s="822">
        <f>AVERAGE(AC488:AC489)</f>
        <v>0.15170000000000006</v>
      </c>
      <c r="AF489" s="256"/>
      <c r="AG489" s="1123" t="s">
        <v>1086</v>
      </c>
      <c r="AH489" s="643"/>
      <c r="AI489" s="1123" t="s">
        <v>1086</v>
      </c>
      <c r="AJ489" s="587"/>
      <c r="AK489" s="256"/>
      <c r="AL489" s="316">
        <f>+V489</f>
        <v>157</v>
      </c>
      <c r="AM489" s="256"/>
      <c r="AN489" s="316">
        <f>AL489/AE489</f>
        <v>1034.9373764007908</v>
      </c>
      <c r="AO489" s="256"/>
      <c r="AP489" s="1123" t="s">
        <v>1086</v>
      </c>
      <c r="AQ489" s="643"/>
      <c r="AR489" s="643"/>
      <c r="AS489" s="256"/>
      <c r="AT489" s="256"/>
      <c r="AX489" s="256"/>
      <c r="AY489" s="256"/>
      <c r="AZ489" s="1601">
        <v>1.4859644484375001</v>
      </c>
      <c r="BA489" s="1602">
        <f>+(AZ489/AZ482-1)*100</f>
        <v>-5.1074477524395085</v>
      </c>
      <c r="BB489" s="256"/>
      <c r="BC489" s="1601">
        <v>1.08214719375</v>
      </c>
      <c r="BD489" s="1602">
        <f>+(BC489/BC482-1)*100</f>
        <v>-12.380641785897527</v>
      </c>
      <c r="BE489" s="1017"/>
      <c r="BF489" s="1167">
        <v>1.2314704416666666</v>
      </c>
      <c r="BG489" s="1167">
        <f>BF489/BC482-1</f>
        <v>-2.9022818554008678E-3</v>
      </c>
      <c r="BH489" s="1167"/>
      <c r="BI489" s="298">
        <f>($AZ$478*BA489)+($BC$478*BD489)+($BF$478*BG489)</f>
        <v>-9.4713641725143205</v>
      </c>
      <c r="BJ489" s="1017"/>
      <c r="BK489" s="298">
        <f>F489</f>
        <v>-8</v>
      </c>
      <c r="BL489" s="1167"/>
      <c r="BM489" s="1167"/>
      <c r="BN489" s="256"/>
      <c r="BO489" s="256">
        <v>1.5659442319148935</v>
      </c>
      <c r="BP489" s="256"/>
      <c r="BQ489" s="256">
        <f>BO489/AZ482-1</f>
        <v>0</v>
      </c>
    </row>
    <row r="490" spans="1:69">
      <c r="A490" s="256"/>
      <c r="B490" s="302" t="str">
        <f>$B$44</f>
        <v>Year</v>
      </c>
      <c r="C490" s="256"/>
      <c r="D490" s="288">
        <f>(V490/V483-1)*100</f>
        <v>1.5635359782045333</v>
      </c>
      <c r="E490" s="256"/>
      <c r="F490" s="217">
        <v>-13</v>
      </c>
      <c r="G490" s="256"/>
      <c r="H490" s="2455">
        <f>'segSales&amp;comps'!AI219</f>
        <v>9</v>
      </c>
      <c r="I490" s="256"/>
      <c r="J490" s="288">
        <f>D490-H490-F490</f>
        <v>5.5635359782045333</v>
      </c>
      <c r="K490" s="256"/>
      <c r="L490" s="951">
        <f>Stores!AA293</f>
        <v>41</v>
      </c>
      <c r="M490" s="256"/>
      <c r="N490" s="811">
        <f>AVERAGE(N486:N489)</f>
        <v>38.875</v>
      </c>
      <c r="O490" s="256"/>
      <c r="P490" s="288">
        <f>(N490/N483-1)*100</f>
        <v>2.64026402640265</v>
      </c>
      <c r="Q490" s="643"/>
      <c r="R490" s="812">
        <f>J490/P490*100</f>
        <v>210.71892517449589</v>
      </c>
      <c r="S490" s="587"/>
      <c r="T490" s="256"/>
      <c r="U490" s="256"/>
      <c r="V490" s="296">
        <f>SUM(V486:V489)</f>
        <v>505.5</v>
      </c>
      <c r="W490" s="256"/>
      <c r="X490" s="813">
        <f>SUM(X486:X489)</f>
        <v>12.974886078833446</v>
      </c>
      <c r="Y490" s="256"/>
      <c r="Z490" s="814">
        <f>(X490/X483-1)*100</f>
        <v>-1.2068074970199349</v>
      </c>
      <c r="AA490" s="643"/>
      <c r="AB490" s="256"/>
      <c r="AC490" s="815"/>
      <c r="AD490" s="256"/>
      <c r="AE490" s="816">
        <f>AVERAGE(AE486:AE489)</f>
        <v>0.14821250000000008</v>
      </c>
      <c r="AF490" s="256"/>
      <c r="AG490" s="1122" t="s">
        <v>1086</v>
      </c>
      <c r="AH490" s="643"/>
      <c r="AI490" s="1122" t="s">
        <v>1086</v>
      </c>
      <c r="AJ490" s="587"/>
      <c r="AK490" s="256"/>
      <c r="AL490" s="296">
        <f>SUM(AL486:AL489)</f>
        <v>505.5</v>
      </c>
      <c r="AM490" s="256"/>
      <c r="AN490" s="296">
        <f>AL490/AE490</f>
        <v>3410.6435017289346</v>
      </c>
      <c r="AO490" s="256"/>
      <c r="AP490" s="1122" t="s">
        <v>1086</v>
      </c>
      <c r="AQ490" s="643"/>
      <c r="AR490" s="643"/>
      <c r="AS490" s="256"/>
      <c r="AT490" s="256"/>
      <c r="AX490" s="256"/>
      <c r="AY490" s="256"/>
      <c r="AZ490" s="1017">
        <v>1.5219113496439758</v>
      </c>
      <c r="BA490" s="1167">
        <f>+(AZ490/AZ483-1)*100</f>
        <v>-7.2959349677502843</v>
      </c>
      <c r="BB490" s="256"/>
      <c r="BC490" s="1017">
        <v>1.1032500481921985</v>
      </c>
      <c r="BD490" s="1167">
        <f>+(BC490/BC483-1)*100</f>
        <v>-16.353512098046274</v>
      </c>
      <c r="BE490" s="1017"/>
      <c r="BF490" s="1167"/>
      <c r="BG490" s="1167"/>
      <c r="BH490" s="1167"/>
      <c r="BI490" s="297">
        <f>($AZ$478*BA490)+($BC$478*BD490)+($BF$478*BG490)</f>
        <v>-12.730481245927878</v>
      </c>
      <c r="BJ490" s="1017"/>
      <c r="BK490" s="297">
        <f>F490</f>
        <v>-13</v>
      </c>
      <c r="BL490" s="1167"/>
      <c r="BM490" s="1167"/>
      <c r="BN490" s="302"/>
      <c r="BO490" s="256"/>
      <c r="BP490" s="256"/>
      <c r="BQ490" s="256"/>
    </row>
    <row r="491" spans="1:69" ht="13.5" thickBot="1">
      <c r="A491" s="256"/>
      <c r="B491" s="302"/>
      <c r="C491" s="256"/>
      <c r="D491" s="288"/>
      <c r="E491" s="256"/>
      <c r="F491" s="297"/>
      <c r="G491" s="256"/>
      <c r="H491" s="2091"/>
      <c r="I491" s="256"/>
      <c r="J491" s="288"/>
      <c r="K491" s="256"/>
      <c r="L491" s="1033"/>
      <c r="M491" s="256"/>
      <c r="N491" s="811"/>
      <c r="O491" s="256"/>
      <c r="P491" s="288"/>
      <c r="Q491" s="643"/>
      <c r="R491" s="812"/>
      <c r="S491" s="587"/>
      <c r="T491" s="256"/>
      <c r="U491" s="256"/>
      <c r="V491" s="296"/>
      <c r="W491" s="256"/>
      <c r="X491" s="813"/>
      <c r="Y491" s="256"/>
      <c r="Z491" s="814"/>
      <c r="AA491" s="643"/>
      <c r="AB491" s="256"/>
      <c r="AC491" s="815"/>
      <c r="AD491" s="256"/>
      <c r="AE491" s="816"/>
      <c r="AF491" s="256"/>
      <c r="AG491" s="1122"/>
      <c r="AH491" s="643"/>
      <c r="AI491" s="1122"/>
      <c r="AJ491" s="587"/>
      <c r="AK491" s="256"/>
      <c r="AL491" s="296"/>
      <c r="AM491" s="256"/>
      <c r="AN491" s="817"/>
      <c r="AO491" s="256"/>
      <c r="AP491" s="1122"/>
      <c r="AQ491" s="643"/>
      <c r="AR491" s="643"/>
      <c r="AS491" s="256"/>
      <c r="AT491" s="256"/>
      <c r="AU491" s="256"/>
      <c r="AV491" s="256"/>
      <c r="AW491" s="256"/>
      <c r="AX491" s="256"/>
      <c r="AY491" s="256"/>
      <c r="AZ491" s="256"/>
      <c r="BA491" s="256"/>
      <c r="BB491" s="256"/>
      <c r="BC491" s="256"/>
      <c r="BD491" s="1017"/>
      <c r="BE491" s="1017"/>
      <c r="BF491" s="1167"/>
      <c r="BG491" s="1167"/>
      <c r="BH491" s="1167"/>
      <c r="BI491" s="297"/>
      <c r="BJ491" s="1017"/>
      <c r="BK491" s="1167"/>
      <c r="BL491" s="1167"/>
      <c r="BM491" s="1167"/>
      <c r="BN491" s="302"/>
      <c r="BO491" s="587"/>
      <c r="BP491" s="587"/>
    </row>
    <row r="492" spans="1:69" ht="13.5" thickBot="1">
      <c r="A492" s="810"/>
      <c r="B492" s="171">
        <f>+B485+1</f>
        <v>2016</v>
      </c>
      <c r="C492" s="256"/>
      <c r="D492" s="256"/>
      <c r="E492" s="643"/>
      <c r="F492" s="297"/>
      <c r="G492" s="643"/>
      <c r="H492" s="2091"/>
      <c r="I492" s="643"/>
      <c r="J492" s="256"/>
      <c r="K492" s="643"/>
      <c r="L492" s="256"/>
      <c r="M492" s="256"/>
      <c r="N492" s="256"/>
      <c r="O492" s="256"/>
      <c r="P492" s="256"/>
      <c r="Q492" s="643"/>
      <c r="R492" s="587"/>
      <c r="S492" s="587"/>
      <c r="T492" s="256"/>
      <c r="U492" s="256"/>
      <c r="V492" s="256"/>
      <c r="W492" s="256"/>
      <c r="X492" s="256"/>
      <c r="Y492" s="256"/>
      <c r="Z492" s="256"/>
      <c r="AA492" s="643"/>
      <c r="AB492" s="256"/>
      <c r="AC492" s="256"/>
      <c r="AD492" s="256"/>
      <c r="AE492" s="256"/>
      <c r="AF492" s="256"/>
      <c r="AG492" s="256"/>
      <c r="AH492" s="643"/>
      <c r="AI492" s="587"/>
      <c r="AJ492" s="587"/>
      <c r="AK492" s="256"/>
      <c r="AL492" s="256"/>
      <c r="AM492" s="256"/>
      <c r="AN492" s="256"/>
      <c r="AO492" s="256"/>
      <c r="AP492" s="320"/>
      <c r="AQ492" s="643"/>
      <c r="AR492" s="643"/>
      <c r="AS492" s="256"/>
      <c r="AT492" s="256"/>
      <c r="AU492" s="256"/>
      <c r="AV492" s="256"/>
      <c r="AW492" s="256"/>
      <c r="AX492" s="256"/>
      <c r="AY492" s="256"/>
      <c r="AZ492" s="1605">
        <v>0.4</v>
      </c>
      <c r="BA492" s="587"/>
      <c r="BB492" s="587"/>
      <c r="BC492" s="1605">
        <f>1-AZ492</f>
        <v>0.6</v>
      </c>
      <c r="BD492" s="1603"/>
      <c r="BE492" s="587"/>
      <c r="BF492" s="1606"/>
      <c r="BG492" s="256"/>
      <c r="BH492" s="256"/>
      <c r="BI492" s="297"/>
      <c r="BJ492" s="256"/>
      <c r="BK492" s="297"/>
      <c r="BL492" s="256"/>
      <c r="BM492" s="256"/>
      <c r="BN492" s="256"/>
      <c r="BO492" s="587"/>
      <c r="BP492" s="587"/>
    </row>
    <row r="493" spans="1:69">
      <c r="A493" s="256" t="str">
        <f>$A$40</f>
        <v>1Q</v>
      </c>
      <c r="B493" s="302" t="str">
        <f>$B$40</f>
        <v>Apr</v>
      </c>
      <c r="C493" s="256"/>
      <c r="D493" s="288">
        <f>(V493/V486-1)*100</f>
        <v>-8.997188378631682</v>
      </c>
      <c r="E493" s="643" t="s">
        <v>1970</v>
      </c>
      <c r="F493" s="1156">
        <v>-2</v>
      </c>
      <c r="G493" s="643"/>
      <c r="H493" s="2091">
        <f>'segSales&amp;comps'!AI222</f>
        <v>-14</v>
      </c>
      <c r="I493" s="643" t="s">
        <v>1970</v>
      </c>
      <c r="J493" s="288">
        <f>D493-H493-F493</f>
        <v>7.002811621368318</v>
      </c>
      <c r="K493" s="643" t="s">
        <v>1970</v>
      </c>
      <c r="L493" s="948">
        <f>Stores!AA296</f>
        <v>43</v>
      </c>
      <c r="M493" s="256"/>
      <c r="N493" s="811">
        <f>AVERAGE(L493,L489)</f>
        <v>42</v>
      </c>
      <c r="O493" s="256"/>
      <c r="P493" s="288">
        <f>(N493/N486-1)*100</f>
        <v>10.526315789473696</v>
      </c>
      <c r="Q493" s="643" t="s">
        <v>1970</v>
      </c>
      <c r="R493" s="812">
        <f>J493/P493*100</f>
        <v>66.526710402998944</v>
      </c>
      <c r="S493" s="587" t="s">
        <v>1970</v>
      </c>
      <c r="T493" s="256"/>
      <c r="U493" s="256"/>
      <c r="V493" s="296">
        <f>'segSales&amp;comps'!AG222</f>
        <v>97.1</v>
      </c>
      <c r="W493" s="238"/>
      <c r="X493" s="813">
        <f>V493/N493</f>
        <v>2.3119047619047617</v>
      </c>
      <c r="Y493" s="256"/>
      <c r="Z493" s="814">
        <f>(X493/X486-1)*100</f>
        <v>-17.664122818761996</v>
      </c>
      <c r="AA493" s="643" t="s">
        <v>1970</v>
      </c>
      <c r="AB493" s="256"/>
      <c r="AC493" s="1017">
        <f>AC489+(L493-L490)*yrSales!$AB$200/1000000</f>
        <v>0.16440000000000007</v>
      </c>
      <c r="AD493" s="256" t="s">
        <v>700</v>
      </c>
      <c r="AE493" s="816">
        <f>AVERAGE(AC493,AC489)</f>
        <v>0.15960000000000008</v>
      </c>
      <c r="AF493" s="256"/>
      <c r="AG493" s="1122" t="s">
        <v>1086</v>
      </c>
      <c r="AH493" s="643" t="s">
        <v>1970</v>
      </c>
      <c r="AI493" s="1122" t="s">
        <v>1086</v>
      </c>
      <c r="AJ493" s="587" t="s">
        <v>1970</v>
      </c>
      <c r="AK493" s="256"/>
      <c r="AL493" s="296">
        <f>+V493</f>
        <v>97.1</v>
      </c>
      <c r="AM493" s="256" t="s">
        <v>700</v>
      </c>
      <c r="AN493" s="296">
        <f>AL493/AE493</f>
        <v>608.39598997493704</v>
      </c>
      <c r="AO493" s="256"/>
      <c r="AP493" s="1122" t="s">
        <v>1086</v>
      </c>
      <c r="AQ493" s="643" t="s">
        <v>1970</v>
      </c>
      <c r="AR493" s="643"/>
      <c r="AS493" s="256"/>
      <c r="AT493" s="256"/>
      <c r="AX493" s="256"/>
      <c r="AY493" s="256"/>
      <c r="AZ493" s="1017">
        <v>1.4283834707692307</v>
      </c>
      <c r="BA493" s="1167">
        <f>+(AZ493/AZ486-1)*100</f>
        <v>-5.2562229814373644</v>
      </c>
      <c r="BB493" s="256"/>
      <c r="BC493" s="1017">
        <v>1.118604966153846</v>
      </c>
      <c r="BD493" s="1167">
        <f>+(BC493/BC486-1)*100</f>
        <v>1.8137550105224776</v>
      </c>
      <c r="BE493" s="1017"/>
      <c r="BF493" s="1167">
        <v>1.2314704416666666</v>
      </c>
      <c r="BG493" s="1167">
        <f>BF493/BC486-1</f>
        <v>0.12086602191345741</v>
      </c>
      <c r="BH493" s="1167"/>
      <c r="BI493" s="297">
        <f>($AZ$478*BA493)+($BC$478*BD493)+($BF$478*BG493)</f>
        <v>-1.0142361862614595</v>
      </c>
      <c r="BJ493" s="1017"/>
      <c r="BK493" s="297">
        <f>F493</f>
        <v>-2</v>
      </c>
      <c r="BL493" s="1167"/>
      <c r="BM493" s="1167"/>
      <c r="BN493" s="256"/>
      <c r="BO493" s="256">
        <v>1.5659442319148935</v>
      </c>
      <c r="BP493" s="256"/>
      <c r="BQ493" s="256">
        <f>BO493/AZ486-1</f>
        <v>3.8680957657333259E-2</v>
      </c>
    </row>
    <row r="494" spans="1:69">
      <c r="A494" s="256" t="str">
        <f>$A$41</f>
        <v>2Q</v>
      </c>
      <c r="B494" s="302" t="str">
        <f>$B$41</f>
        <v>Jul</v>
      </c>
      <c r="C494" s="256"/>
      <c r="D494" s="288">
        <f>(V494/V487-1)*100</f>
        <v>-12.212529738302925</v>
      </c>
      <c r="E494" s="256"/>
      <c r="F494" s="1732">
        <v>-4</v>
      </c>
      <c r="G494" s="256"/>
      <c r="H494" s="2091">
        <f>'segSales&amp;comps'!AI223</f>
        <v>-13</v>
      </c>
      <c r="I494" s="256"/>
      <c r="J494" s="288">
        <f>D494-H494-F494</f>
        <v>4.7874702616970755</v>
      </c>
      <c r="K494" s="256"/>
      <c r="L494" s="948">
        <f>Stores!AA297</f>
        <v>43</v>
      </c>
      <c r="M494" s="256"/>
      <c r="N494" s="811">
        <f>AVERAGE(L494,L493)</f>
        <v>43</v>
      </c>
      <c r="O494" s="256"/>
      <c r="P494" s="288">
        <f>(N494/N487-1)*100</f>
        <v>11.688311688311682</v>
      </c>
      <c r="Q494" s="643"/>
      <c r="R494" s="812">
        <f>J494/P494*100</f>
        <v>40.959467794519441</v>
      </c>
      <c r="S494" s="587"/>
      <c r="T494" s="256"/>
      <c r="U494" s="256"/>
      <c r="V494" s="315">
        <f>'segSales&amp;comps'!AG223</f>
        <v>110.7</v>
      </c>
      <c r="W494" s="238"/>
      <c r="X494" s="818">
        <f>V494/N494</f>
        <v>2.574418604651163</v>
      </c>
      <c r="Y494" s="256"/>
      <c r="Z494" s="814">
        <f>(X494/X487-1)*100</f>
        <v>-21.399590579643313</v>
      </c>
      <c r="AA494" s="643"/>
      <c r="AB494" s="256"/>
      <c r="AC494" s="1017">
        <f>AC493+(L494-L493)*yrSales!$AB$200/1000000</f>
        <v>0.16440000000000007</v>
      </c>
      <c r="AD494" s="238"/>
      <c r="AE494" s="816">
        <f>AVERAGE(AC493:AC494)</f>
        <v>0.16440000000000007</v>
      </c>
      <c r="AF494" s="256"/>
      <c r="AG494" s="1122" t="s">
        <v>1086</v>
      </c>
      <c r="AH494" s="643"/>
      <c r="AI494" s="1122" t="s">
        <v>1086</v>
      </c>
      <c r="AJ494" s="587"/>
      <c r="AK494" s="256"/>
      <c r="AL494" s="315">
        <f>+V494</f>
        <v>110.7</v>
      </c>
      <c r="AM494" s="256"/>
      <c r="AN494" s="315">
        <f>AL494/AE494</f>
        <v>673.35766423357632</v>
      </c>
      <c r="AO494" s="256"/>
      <c r="AP494" s="1122" t="s">
        <v>1086</v>
      </c>
      <c r="AQ494" s="643"/>
      <c r="AR494" s="643"/>
      <c r="AS494" s="256"/>
      <c r="AT494" s="256"/>
      <c r="AX494" s="256"/>
      <c r="AY494" s="256"/>
      <c r="AZ494" s="1017">
        <v>1.4585494999999999</v>
      </c>
      <c r="BA494" s="1167">
        <f>+(AZ494/AZ487-1)*100</f>
        <v>-6.0777505979482065</v>
      </c>
      <c r="BB494" s="256"/>
      <c r="BC494" s="1017">
        <v>1.1204997000000001</v>
      </c>
      <c r="BD494" s="1167">
        <f>+(BC494/BC487-1)*100</f>
        <v>0.71541589357593249</v>
      </c>
      <c r="BE494" s="1017"/>
      <c r="BF494" s="1167">
        <v>1.2314704416666666</v>
      </c>
      <c r="BG494" s="1167">
        <f>BF494/BC487-1</f>
        <v>0.10689951718062907</v>
      </c>
      <c r="BH494" s="1167"/>
      <c r="BI494" s="297">
        <f>($AZ$478*BA494)+($BC$478*BD494)+($BF$478*BG494)</f>
        <v>-2.0018507030337234</v>
      </c>
      <c r="BJ494" s="1017"/>
      <c r="BK494" s="297">
        <f>F494</f>
        <v>-4</v>
      </c>
      <c r="BL494" s="1167"/>
      <c r="BM494" s="1167"/>
      <c r="BN494" s="256"/>
      <c r="BO494" s="256">
        <v>1.5659442319148935</v>
      </c>
      <c r="BP494" s="256"/>
      <c r="BQ494" s="256">
        <f>BO494/AZ487-1</f>
        <v>8.3785617122700273E-3</v>
      </c>
    </row>
    <row r="495" spans="1:69">
      <c r="A495" s="256" t="str">
        <f>$A$42</f>
        <v>3Q</v>
      </c>
      <c r="B495" s="302" t="str">
        <f>$B$42</f>
        <v>Oct</v>
      </c>
      <c r="C495" s="256"/>
      <c r="D495" s="288">
        <f>(V495/V488-1)*100</f>
        <v>-9.8530682800345719</v>
      </c>
      <c r="E495" s="256"/>
      <c r="F495" s="1156">
        <v>-8</v>
      </c>
      <c r="G495" s="256"/>
      <c r="H495" s="2091">
        <f>'segSales&amp;comps'!AI224</f>
        <v>-7</v>
      </c>
      <c r="I495" s="256"/>
      <c r="J495" s="288">
        <f>D495-H495-F495</f>
        <v>5.1469317199654281</v>
      </c>
      <c r="K495" s="256"/>
      <c r="L495" s="948">
        <f>Stores!AA298</f>
        <v>43</v>
      </c>
      <c r="M495" s="238"/>
      <c r="N495" s="811">
        <f>AVERAGE(L495,L494)</f>
        <v>43</v>
      </c>
      <c r="O495" s="256"/>
      <c r="P495" s="288">
        <f>(N495/N488-1)*100</f>
        <v>10.256410256410264</v>
      </c>
      <c r="Q495" s="643"/>
      <c r="R495" s="812">
        <f>J495/P495*100</f>
        <v>50.18258426966289</v>
      </c>
      <c r="S495" s="587"/>
      <c r="T495" s="256"/>
      <c r="U495" s="256"/>
      <c r="V495" s="315">
        <f>'segSales&amp;comps'!AG224</f>
        <v>104.3</v>
      </c>
      <c r="W495" s="256"/>
      <c r="X495" s="818">
        <f>V495/N495</f>
        <v>2.425581395348837</v>
      </c>
      <c r="Y495" s="256"/>
      <c r="Z495" s="814">
        <f>(X495/X488-1)*100</f>
        <v>-18.238829370263922</v>
      </c>
      <c r="AA495" s="643"/>
      <c r="AB495" s="256"/>
      <c r="AC495" s="1017">
        <f>AC494+(L495-L494)*yrSales!$AB$200/1000000</f>
        <v>0.16440000000000007</v>
      </c>
      <c r="AD495" s="238"/>
      <c r="AE495" s="816">
        <f>AVERAGE(AC494:AC495)</f>
        <v>0.16440000000000007</v>
      </c>
      <c r="AF495" s="256"/>
      <c r="AG495" s="1122" t="s">
        <v>1086</v>
      </c>
      <c r="AH495" s="643"/>
      <c r="AI495" s="1122" t="s">
        <v>1086</v>
      </c>
      <c r="AJ495" s="587"/>
      <c r="AK495" s="256"/>
      <c r="AL495" s="315">
        <f>+V495</f>
        <v>104.3</v>
      </c>
      <c r="AM495" s="256"/>
      <c r="AN495" s="315">
        <f>AL495/AE495</f>
        <v>634.42822384428189</v>
      </c>
      <c r="AO495" s="256"/>
      <c r="AP495" s="1122" t="s">
        <v>1086</v>
      </c>
      <c r="AQ495" s="643"/>
      <c r="AR495" s="643"/>
      <c r="AS495" s="256"/>
      <c r="AT495" s="256"/>
      <c r="AX495" s="256"/>
      <c r="AY495" s="256"/>
      <c r="AZ495" s="1017">
        <v>1.4585494999999999</v>
      </c>
      <c r="BA495" s="1167">
        <f>+(AZ495/AZ488-1)*100</f>
        <v>-5.3578435479911484</v>
      </c>
      <c r="BB495" s="256"/>
      <c r="BC495" s="1017">
        <v>1.1204997000000001</v>
      </c>
      <c r="BD495" s="1167">
        <f>+(BC495/BC488-1)*100</f>
        <v>7.72354765072647E-2</v>
      </c>
      <c r="BE495" s="1017"/>
      <c r="BF495" s="1167">
        <v>1.2314704416666666</v>
      </c>
      <c r="BG495" s="1167">
        <f>BF495/BC488-1</f>
        <v>9.9885679336044308E-2</v>
      </c>
      <c r="BH495" s="1167"/>
      <c r="BI495" s="297">
        <f>($AZ$478*BA495)+($BC$478*BD495)+($BF$478*BG495)</f>
        <v>-2.0967961332921008</v>
      </c>
      <c r="BJ495" s="1017"/>
      <c r="BK495" s="297">
        <f>F495</f>
        <v>-8</v>
      </c>
      <c r="BL495" s="1167"/>
      <c r="BM495" s="1167"/>
      <c r="BN495" s="256"/>
      <c r="BO495" s="256">
        <v>1.5659442319148935</v>
      </c>
      <c r="BP495" s="256"/>
      <c r="BQ495" s="256">
        <f>BO495/AZ488-1</f>
        <v>1.6107708322619096E-2</v>
      </c>
    </row>
    <row r="496" spans="1:69">
      <c r="A496" s="256" t="str">
        <f>$A$43</f>
        <v>4Q</v>
      </c>
      <c r="B496" s="302" t="str">
        <f>$B$43</f>
        <v>Jan</v>
      </c>
      <c r="C496" s="256"/>
      <c r="D496" s="318">
        <f>(V496/V489-1)*100</f>
        <v>-7.3248407643312081</v>
      </c>
      <c r="E496" s="256"/>
      <c r="F496" s="1148">
        <v>-8</v>
      </c>
      <c r="G496" s="256"/>
      <c r="H496" s="2095">
        <f>'segSales&amp;comps'!AI225</f>
        <v>-2</v>
      </c>
      <c r="I496" s="256"/>
      <c r="J496" s="318">
        <f>D496-H496-F496</f>
        <v>2.6751592356687919</v>
      </c>
      <c r="K496" s="256"/>
      <c r="L496" s="949">
        <f>Stores!AA299</f>
        <v>43</v>
      </c>
      <c r="M496" s="238"/>
      <c r="N496" s="820">
        <f>AVERAGE(L496,L495)</f>
        <v>43</v>
      </c>
      <c r="O496" s="256"/>
      <c r="P496" s="318">
        <f>(N496/N489-1)*100</f>
        <v>7.4999999999999956</v>
      </c>
      <c r="Q496" s="643"/>
      <c r="R496" s="820">
        <f>J496/P496*100</f>
        <v>35.668789808917246</v>
      </c>
      <c r="S496" s="587"/>
      <c r="T496" s="256"/>
      <c r="U496" s="256"/>
      <c r="V496" s="316">
        <f>'segSales&amp;comps'!AG225</f>
        <v>145.5</v>
      </c>
      <c r="W496" s="256"/>
      <c r="X496" s="821">
        <f>V496/N496</f>
        <v>3.3837209302325579</v>
      </c>
      <c r="Y496" s="256"/>
      <c r="Z496" s="298">
        <f>(X496/X489-1)*100</f>
        <v>-13.790549548215081</v>
      </c>
      <c r="AA496" s="643"/>
      <c r="AB496" s="256"/>
      <c r="AC496" s="1017">
        <f>AC495+(L496-L495)*yrSales!$AB$200/1000000</f>
        <v>0.16440000000000007</v>
      </c>
      <c r="AD496" s="238"/>
      <c r="AE496" s="822">
        <f>AVERAGE(AC495:AC496)</f>
        <v>0.16440000000000007</v>
      </c>
      <c r="AF496" s="256"/>
      <c r="AG496" s="1123" t="s">
        <v>1086</v>
      </c>
      <c r="AH496" s="643"/>
      <c r="AI496" s="1123" t="s">
        <v>1086</v>
      </c>
      <c r="AJ496" s="587"/>
      <c r="AK496" s="256"/>
      <c r="AL496" s="316">
        <f>+V496</f>
        <v>145.5</v>
      </c>
      <c r="AM496" s="256"/>
      <c r="AN496" s="316">
        <f>AL496/AE496</f>
        <v>885.03649635036459</v>
      </c>
      <c r="AO496" s="256"/>
      <c r="AP496" s="1123" t="s">
        <v>1086</v>
      </c>
      <c r="AQ496" s="643"/>
      <c r="AR496" s="643"/>
      <c r="AS496" s="256"/>
      <c r="AT496" s="256"/>
      <c r="AX496" s="256"/>
      <c r="AY496" s="256"/>
      <c r="AZ496" s="1601">
        <v>1.4585494999999999</v>
      </c>
      <c r="BA496" s="1602">
        <f>+(AZ496/AZ489-1)*100</f>
        <v>-1.8449262676726308</v>
      </c>
      <c r="BB496" s="256"/>
      <c r="BC496" s="1601">
        <v>1.1204997000000001</v>
      </c>
      <c r="BD496" s="1602">
        <f>+(BC496/BC489-1)*100</f>
        <v>3.5441117873342032</v>
      </c>
      <c r="BE496" s="1017"/>
      <c r="BF496" s="1167">
        <v>1.2314704416666666</v>
      </c>
      <c r="BG496" s="1167">
        <f>BF496/BC489-1</f>
        <v>0.13798792694662154</v>
      </c>
      <c r="BH496" s="1167"/>
      <c r="BI496" s="298">
        <f>($AZ$478*BA496)+($BC$478*BD496)+($BF$478*BG496)</f>
        <v>1.3884965653314696</v>
      </c>
      <c r="BJ496" s="1017"/>
      <c r="BK496" s="298">
        <f>F496</f>
        <v>-8</v>
      </c>
      <c r="BL496" s="1167"/>
      <c r="BM496" s="1167"/>
      <c r="BN496" s="256"/>
      <c r="BO496" s="256">
        <v>1.5659442319148935</v>
      </c>
      <c r="BP496" s="256"/>
      <c r="BQ496" s="256">
        <f>BO496/AZ489-1</f>
        <v>5.3823483840069297E-2</v>
      </c>
    </row>
    <row r="497" spans="1:69">
      <c r="A497" s="256"/>
      <c r="B497" s="302" t="str">
        <f>$B$44</f>
        <v>Year</v>
      </c>
      <c r="C497" s="256"/>
      <c r="D497" s="288">
        <f>(V497/V490-1)*100</f>
        <v>-9.4757665677546949</v>
      </c>
      <c r="E497" s="256"/>
      <c r="F497" s="217">
        <v>-7</v>
      </c>
      <c r="G497" s="256"/>
      <c r="H497" s="2455">
        <f>'segSales&amp;comps'!AI226</f>
        <v>-9</v>
      </c>
      <c r="I497" s="256"/>
      <c r="J497" s="288">
        <f>D497-H497-F497</f>
        <v>6.5242334322453051</v>
      </c>
      <c r="K497" s="256"/>
      <c r="L497" s="951">
        <f>Stores!AA300</f>
        <v>43</v>
      </c>
      <c r="M497" s="256"/>
      <c r="N497" s="811">
        <f>AVERAGE(N493:N496)</f>
        <v>42.75</v>
      </c>
      <c r="O497" s="256"/>
      <c r="P497" s="288">
        <f>(N497/N490-1)*100</f>
        <v>9.9678456591639772</v>
      </c>
      <c r="Q497" s="643"/>
      <c r="R497" s="812">
        <f>J497/P497*100</f>
        <v>65.452793465428769</v>
      </c>
      <c r="S497" s="587"/>
      <c r="T497" s="256"/>
      <c r="U497" s="256"/>
      <c r="V497" s="296">
        <f>SUM(V493:V496)</f>
        <v>457.6</v>
      </c>
      <c r="W497" s="256"/>
      <c r="X497" s="813">
        <f>SUM(X493:X496)</f>
        <v>10.69562569213732</v>
      </c>
      <c r="Y497" s="256"/>
      <c r="Z497" s="814">
        <f>(X497/X490-1)*100</f>
        <v>-17.566708276648324</v>
      </c>
      <c r="AA497" s="643"/>
      <c r="AB497" s="256"/>
      <c r="AC497" s="815"/>
      <c r="AD497" s="256"/>
      <c r="AE497" s="816">
        <f>AVERAGE(AE493:AE496)</f>
        <v>0.16320000000000009</v>
      </c>
      <c r="AF497" s="256"/>
      <c r="AG497" s="1122" t="s">
        <v>1086</v>
      </c>
      <c r="AH497" s="643"/>
      <c r="AI497" s="1122" t="s">
        <v>1086</v>
      </c>
      <c r="AJ497" s="587"/>
      <c r="AK497" s="256"/>
      <c r="AL497" s="296">
        <f>SUM(AL493:AL496)</f>
        <v>457.6</v>
      </c>
      <c r="AM497" s="256"/>
      <c r="AN497" s="296">
        <f>AL497/AE497</f>
        <v>2803.9215686274497</v>
      </c>
      <c r="AO497" s="256"/>
      <c r="AP497" s="1122" t="s">
        <v>1086</v>
      </c>
      <c r="AQ497" s="643"/>
      <c r="AR497" s="643"/>
      <c r="AS497" s="256"/>
      <c r="AT497" s="256"/>
      <c r="AX497" s="256"/>
      <c r="AY497" s="256"/>
      <c r="AZ497" s="1017">
        <v>1.4283834707692307</v>
      </c>
      <c r="BA497" s="1167">
        <f>+(AZ497/AZ490-1)*100</f>
        <v>-6.1454222610682452</v>
      </c>
      <c r="BB497" s="256"/>
      <c r="BC497" s="1017">
        <v>1.118604966153846</v>
      </c>
      <c r="BD497" s="1167">
        <f>+(BC497/BC490-1)*100</f>
        <v>1.3917894666588326</v>
      </c>
      <c r="BE497" s="1017"/>
      <c r="BF497" s="1167"/>
      <c r="BG497" s="1167"/>
      <c r="BH497" s="1167"/>
      <c r="BI497" s="297">
        <f>($AZ$478*BA497)+($BC$478*BD497)+($BF$478*BG497)</f>
        <v>-1.6230952244319985</v>
      </c>
      <c r="BJ497" s="1017"/>
      <c r="BK497" s="297">
        <f>F497</f>
        <v>-7</v>
      </c>
      <c r="BL497" s="1167"/>
      <c r="BM497" s="1167"/>
      <c r="BN497" s="302"/>
      <c r="BO497" s="256"/>
      <c r="BP497" s="256"/>
      <c r="BQ497" s="256"/>
    </row>
    <row r="498" spans="1:69" ht="13.5" thickBot="1">
      <c r="A498" s="256"/>
      <c r="B498" s="302"/>
      <c r="C498" s="256"/>
      <c r="D498" s="288"/>
      <c r="E498" s="256"/>
      <c r="F498" s="297"/>
      <c r="G498" s="256"/>
      <c r="H498" s="2091"/>
      <c r="I498" s="256"/>
      <c r="J498" s="288"/>
      <c r="K498" s="256"/>
      <c r="L498" s="1033"/>
      <c r="M498" s="256"/>
      <c r="N498" s="811"/>
      <c r="O498" s="256"/>
      <c r="P498" s="288"/>
      <c r="Q498" s="643"/>
      <c r="R498" s="812"/>
      <c r="S498" s="587"/>
      <c r="T498" s="256"/>
      <c r="U498" s="256"/>
      <c r="V498" s="296"/>
      <c r="W498" s="256"/>
      <c r="X498" s="813"/>
      <c r="Y498" s="256"/>
      <c r="Z498" s="814"/>
      <c r="AA498" s="643"/>
      <c r="AB498" s="256"/>
      <c r="AC498" s="815"/>
      <c r="AD498" s="256"/>
      <c r="AE498" s="816"/>
      <c r="AF498" s="256"/>
      <c r="AG498" s="1122"/>
      <c r="AH498" s="643"/>
      <c r="AI498" s="1122"/>
      <c r="AJ498" s="587"/>
      <c r="AK498" s="256"/>
      <c r="AL498" s="296"/>
      <c r="AM498" s="256"/>
      <c r="AN498" s="817"/>
      <c r="AO498" s="256"/>
      <c r="AP498" s="1122"/>
      <c r="AQ498" s="643"/>
      <c r="AR498" s="643"/>
      <c r="AS498" s="256"/>
      <c r="AT498" s="256"/>
      <c r="AU498" s="256"/>
      <c r="AV498" s="256"/>
      <c r="AW498" s="256"/>
      <c r="AX498" s="256"/>
      <c r="AY498" s="256"/>
      <c r="AZ498" s="256"/>
      <c r="BA498" s="256"/>
      <c r="BB498" s="256"/>
      <c r="BC498" s="256"/>
      <c r="BD498" s="1017"/>
      <c r="BE498" s="1017"/>
      <c r="BF498" s="1167"/>
      <c r="BG498" s="1167"/>
      <c r="BH498" s="1167"/>
      <c r="BI498" s="297"/>
      <c r="BJ498" s="1017"/>
      <c r="BK498" s="1167"/>
      <c r="BL498" s="1167"/>
      <c r="BM498" s="1167"/>
      <c r="BN498" s="302"/>
      <c r="BO498" s="587"/>
      <c r="BP498" s="587"/>
    </row>
    <row r="499" spans="1:69" ht="13.5" thickBot="1">
      <c r="A499" s="810"/>
      <c r="B499" s="171">
        <f>+B492+1</f>
        <v>2017</v>
      </c>
      <c r="C499" s="256"/>
      <c r="D499" s="256"/>
      <c r="E499" s="643"/>
      <c r="F499" s="297"/>
      <c r="G499" s="643"/>
      <c r="H499" s="2091"/>
      <c r="I499" s="643"/>
      <c r="J499" s="256"/>
      <c r="K499" s="643"/>
      <c r="L499" s="256"/>
      <c r="M499" s="256"/>
      <c r="N499" s="256"/>
      <c r="O499" s="256"/>
      <c r="P499" s="256"/>
      <c r="Q499" s="643"/>
      <c r="R499" s="587"/>
      <c r="S499" s="587"/>
      <c r="T499" s="256"/>
      <c r="U499" s="256"/>
      <c r="V499" s="256"/>
      <c r="W499" s="256"/>
      <c r="X499" s="256"/>
      <c r="Y499" s="256"/>
      <c r="Z499" s="256"/>
      <c r="AA499" s="643"/>
      <c r="AB499" s="256"/>
      <c r="AC499" s="256"/>
      <c r="AD499" s="256"/>
      <c r="AE499" s="256"/>
      <c r="AF499" s="256"/>
      <c r="AG499" s="256"/>
      <c r="AH499" s="643"/>
      <c r="AI499" s="587"/>
      <c r="AJ499" s="587"/>
      <c r="AK499" s="256"/>
      <c r="AL499" s="256"/>
      <c r="AM499" s="256"/>
      <c r="AN499" s="256"/>
      <c r="AO499" s="256"/>
      <c r="AP499" s="320"/>
      <c r="AQ499" s="643"/>
      <c r="AR499" s="643"/>
      <c r="AS499" s="256"/>
      <c r="AT499" s="256"/>
      <c r="AU499" s="256"/>
      <c r="AV499" s="256"/>
      <c r="AW499" s="256"/>
      <c r="AX499" s="256"/>
      <c r="AY499" s="256"/>
      <c r="AZ499" s="1605">
        <v>0.4</v>
      </c>
      <c r="BA499" s="587"/>
      <c r="BB499" s="587"/>
      <c r="BC499" s="1605">
        <f>1-AZ499</f>
        <v>0.6</v>
      </c>
      <c r="BD499" s="1603"/>
      <c r="BE499" s="587"/>
      <c r="BF499" s="1606"/>
      <c r="BG499" s="256"/>
      <c r="BH499" s="256"/>
      <c r="BI499" s="297"/>
      <c r="BJ499" s="256"/>
      <c r="BK499" s="297"/>
      <c r="BL499" s="256"/>
      <c r="BM499" s="256"/>
      <c r="BN499" s="256"/>
      <c r="BO499" s="587"/>
      <c r="BP499" s="587"/>
    </row>
    <row r="500" spans="1:69">
      <c r="A500" s="256" t="str">
        <f>$A$40</f>
        <v>1Q</v>
      </c>
      <c r="B500" s="302" t="str">
        <f>$B$40</f>
        <v>Apr</v>
      </c>
      <c r="C500" s="256"/>
      <c r="D500" s="288">
        <f>(V500/V493-1)*100</f>
        <v>-3.3985581874356297</v>
      </c>
      <c r="E500" s="643" t="s">
        <v>1970</v>
      </c>
      <c r="F500" s="1156">
        <v>-7</v>
      </c>
      <c r="G500" s="643"/>
      <c r="H500" s="2091">
        <f>'segSales&amp;comps'!AI229</f>
        <v>3</v>
      </c>
      <c r="I500" s="643" t="s">
        <v>1970</v>
      </c>
      <c r="J500" s="288">
        <f>D500-H500-F500</f>
        <v>0.60144181256437079</v>
      </c>
      <c r="K500" s="643" t="s">
        <v>1970</v>
      </c>
      <c r="L500" s="948">
        <f>Stores!AA303</f>
        <v>43</v>
      </c>
      <c r="M500" s="256"/>
      <c r="N500" s="811">
        <f>AVERAGE(L500,L496)</f>
        <v>43</v>
      </c>
      <c r="O500" s="256"/>
      <c r="P500" s="288">
        <f>(N500/N493-1)*100</f>
        <v>2.3809523809523725</v>
      </c>
      <c r="Q500" s="643" t="s">
        <v>1970</v>
      </c>
      <c r="R500" s="812">
        <f>J500/P500*100</f>
        <v>25.260556127703666</v>
      </c>
      <c r="S500" s="587" t="s">
        <v>1970</v>
      </c>
      <c r="T500" s="256"/>
      <c r="U500" s="256"/>
      <c r="V500" s="296">
        <f>'segSales&amp;comps'!AG229</f>
        <v>93.8</v>
      </c>
      <c r="W500" s="238"/>
      <c r="X500" s="813">
        <f>V500/N500</f>
        <v>2.1813953488372091</v>
      </c>
      <c r="Y500" s="256"/>
      <c r="Z500" s="814">
        <f>(X500/X493-1)*100</f>
        <v>-5.6451033458673638</v>
      </c>
      <c r="AA500" s="643" t="s">
        <v>1970</v>
      </c>
      <c r="AB500" s="256"/>
      <c r="AC500" s="1017">
        <f>AC496+(L500-L497)*yrSales!$AC$200/1000000</f>
        <v>0.16440000000000007</v>
      </c>
      <c r="AD500" s="256" t="s">
        <v>700</v>
      </c>
      <c r="AE500" s="816">
        <f>AVERAGE(AC500,AC496)</f>
        <v>0.16440000000000007</v>
      </c>
      <c r="AF500" s="256"/>
      <c r="AG500" s="1122" t="s">
        <v>1086</v>
      </c>
      <c r="AH500" s="643" t="s">
        <v>1970</v>
      </c>
      <c r="AI500" s="1122" t="s">
        <v>1086</v>
      </c>
      <c r="AJ500" s="587" t="s">
        <v>1970</v>
      </c>
      <c r="AK500" s="256"/>
      <c r="AL500" s="296">
        <f>+V500</f>
        <v>93.8</v>
      </c>
      <c r="AM500" s="256" t="s">
        <v>700</v>
      </c>
      <c r="AN500" s="296">
        <f>AL500/AE500</f>
        <v>570.55961070559579</v>
      </c>
      <c r="AO500" s="256"/>
      <c r="AP500" s="1122" t="s">
        <v>1086</v>
      </c>
      <c r="AQ500" s="643" t="s">
        <v>1970</v>
      </c>
      <c r="AR500" s="643"/>
      <c r="AS500" s="256"/>
      <c r="AT500" s="256"/>
      <c r="AX500" s="256"/>
      <c r="AY500" s="256"/>
      <c r="AZ500" s="1017">
        <v>-5.107447752439509E-2</v>
      </c>
      <c r="BA500" s="1167">
        <f>+(AZ500/AZ493-1)*100</f>
        <v>-103.57568388108621</v>
      </c>
      <c r="BB500" s="256"/>
      <c r="BC500" s="1017">
        <v>-0.12380641785897528</v>
      </c>
      <c r="BD500" s="1167">
        <f>+(BC500/BC493-1)*100</f>
        <v>-111.06793028862234</v>
      </c>
      <c r="BE500" s="1017"/>
      <c r="BF500" s="1167">
        <v>1.2314704416666666</v>
      </c>
      <c r="BG500" s="1167">
        <f>BF500/BC493-1</f>
        <v>0.10089842163037366</v>
      </c>
      <c r="BH500" s="1167"/>
      <c r="BI500" s="297">
        <f>($AZ$478*BA500)+($BC$478*BD500)+($BF$478*BG500)</f>
        <v>-108.07103172560788</v>
      </c>
      <c r="BJ500" s="1017"/>
      <c r="BK500" s="297">
        <f>F500</f>
        <v>-7</v>
      </c>
      <c r="BL500" s="1167"/>
      <c r="BM500" s="1167"/>
      <c r="BN500" s="256"/>
      <c r="BO500" s="256">
        <v>1.5659442319148935</v>
      </c>
      <c r="BP500" s="256"/>
      <c r="BQ500" s="256">
        <f>BO500/AZ493-1</f>
        <v>9.6305203722066191E-2</v>
      </c>
    </row>
    <row r="501" spans="1:69">
      <c r="A501" s="256" t="str">
        <f>$A$41</f>
        <v>2Q</v>
      </c>
      <c r="B501" s="302" t="str">
        <f>$B$41</f>
        <v>Jul</v>
      </c>
      <c r="C501" s="256"/>
      <c r="D501" s="288">
        <f>(V501/V494-1)*100</f>
        <v>3.342366757000903</v>
      </c>
      <c r="E501" s="256"/>
      <c r="F501" s="1732">
        <v>-2</v>
      </c>
      <c r="G501" s="256"/>
      <c r="H501" s="2091">
        <f>'segSales&amp;comps'!AI230</f>
        <v>0</v>
      </c>
      <c r="I501" s="256"/>
      <c r="J501" s="288">
        <f>D501-H501-F501</f>
        <v>5.342366757000903</v>
      </c>
      <c r="K501" s="256"/>
      <c r="L501" s="948">
        <f>Stores!AA304</f>
        <v>44</v>
      </c>
      <c r="M501" s="256"/>
      <c r="N501" s="811">
        <f>AVERAGE(L501,L500)</f>
        <v>43.5</v>
      </c>
      <c r="O501" s="256"/>
      <c r="P501" s="288">
        <f>(N501/N494-1)*100</f>
        <v>1.1627906976744207</v>
      </c>
      <c r="Q501" s="643"/>
      <c r="R501" s="812">
        <f>J501/P501*100</f>
        <v>459.44354110207684</v>
      </c>
      <c r="S501" s="587"/>
      <c r="T501" s="256"/>
      <c r="U501" s="256"/>
      <c r="V501" s="315">
        <f>'segSales&amp;comps'!AG230</f>
        <v>114.4</v>
      </c>
      <c r="W501" s="238"/>
      <c r="X501" s="818">
        <f>V501/N501</f>
        <v>2.6298850574712644</v>
      </c>
      <c r="Y501" s="256"/>
      <c r="Z501" s="814">
        <f>(X501/X494-1)*100</f>
        <v>2.154523460943425</v>
      </c>
      <c r="AA501" s="643"/>
      <c r="AB501" s="256"/>
      <c r="AC501" s="1017">
        <f>AC500+(L501-L500)*yrSales!$AC$200/1000000</f>
        <v>0.16940000000000008</v>
      </c>
      <c r="AD501" s="238"/>
      <c r="AE501" s="816">
        <f>AVERAGE(AC500:AC501)</f>
        <v>0.16690000000000008</v>
      </c>
      <c r="AF501" s="256"/>
      <c r="AG501" s="1122" t="s">
        <v>1086</v>
      </c>
      <c r="AH501" s="643"/>
      <c r="AI501" s="1122" t="s">
        <v>1086</v>
      </c>
      <c r="AJ501" s="587"/>
      <c r="AK501" s="256"/>
      <c r="AL501" s="315">
        <f>+V501</f>
        <v>114.4</v>
      </c>
      <c r="AM501" s="256"/>
      <c r="AN501" s="315">
        <f>AL501/AE501</f>
        <v>685.44038346315131</v>
      </c>
      <c r="AO501" s="256"/>
      <c r="AP501" s="1122" t="s">
        <v>1086</v>
      </c>
      <c r="AQ501" s="643"/>
      <c r="AR501" s="643"/>
      <c r="AS501" s="256"/>
      <c r="AT501" s="256"/>
      <c r="AX501" s="256"/>
      <c r="AY501" s="256"/>
      <c r="AZ501" s="1017">
        <v>1.4585494999999999</v>
      </c>
      <c r="BA501" s="1167">
        <f>+(AZ501/AZ494-1)*100</f>
        <v>0</v>
      </c>
      <c r="BB501" s="256"/>
      <c r="BC501" s="1017">
        <v>1.1204997000000001</v>
      </c>
      <c r="BD501" s="1167">
        <f>+(BC501/BC494-1)*100</f>
        <v>0</v>
      </c>
      <c r="BE501" s="1017"/>
      <c r="BF501" s="1167">
        <v>1.2314704416666666</v>
      </c>
      <c r="BG501" s="1167">
        <f>BF501/BC494-1</f>
        <v>9.9036833001085567E-2</v>
      </c>
      <c r="BH501" s="1167"/>
      <c r="BI501" s="297">
        <f>($AZ$478*BA501)+($BC$478*BD501)+($BF$478*BG501)</f>
        <v>0</v>
      </c>
      <c r="BJ501" s="1017"/>
      <c r="BK501" s="297">
        <f>F501</f>
        <v>-2</v>
      </c>
      <c r="BL501" s="1167"/>
      <c r="BM501" s="1167"/>
      <c r="BN501" s="256"/>
      <c r="BO501" s="256">
        <v>1.5659442319148935</v>
      </c>
      <c r="BP501" s="256"/>
      <c r="BQ501" s="256">
        <f>BO501/AZ494-1</f>
        <v>7.3631187638742102E-2</v>
      </c>
    </row>
    <row r="502" spans="1:69">
      <c r="A502" s="256" t="str">
        <f>$A$42</f>
        <v>3Q</v>
      </c>
      <c r="B502" s="302" t="str">
        <f>$B$42</f>
        <v>Oct</v>
      </c>
      <c r="C502" s="256"/>
      <c r="D502" s="288">
        <f>(V502/V495-1)*100</f>
        <v>5.1773729626078735</v>
      </c>
      <c r="E502" s="256"/>
      <c r="F502" s="297">
        <v>4</v>
      </c>
      <c r="G502" s="256"/>
      <c r="H502" s="2091">
        <f>'segSales&amp;comps'!AI231</f>
        <v>-8</v>
      </c>
      <c r="I502" s="256"/>
      <c r="J502" s="288">
        <f>D502-H502-F502</f>
        <v>9.1773729626078726</v>
      </c>
      <c r="K502" s="256"/>
      <c r="L502" s="948">
        <f>Stores!AA305</f>
        <v>46</v>
      </c>
      <c r="M502" s="238"/>
      <c r="N502" s="811">
        <f>AVERAGE(L502,L501)</f>
        <v>45</v>
      </c>
      <c r="O502" s="256"/>
      <c r="P502" s="288">
        <f>(N502/N495-1)*100</f>
        <v>4.6511627906976827</v>
      </c>
      <c r="Q502" s="643"/>
      <c r="R502" s="812">
        <f>J502/P502*100</f>
        <v>197.31351869606891</v>
      </c>
      <c r="S502" s="587"/>
      <c r="T502" s="256"/>
      <c r="U502" s="256"/>
      <c r="V502" s="315">
        <f>'segSales&amp;comps'!AG231</f>
        <v>109.7</v>
      </c>
      <c r="W502" s="256"/>
      <c r="X502" s="818">
        <f>V502/N502</f>
        <v>2.4377777777777778</v>
      </c>
      <c r="Y502" s="256"/>
      <c r="Z502" s="814">
        <f>(X502/X495-1)*100</f>
        <v>0.50282305315862974</v>
      </c>
      <c r="AA502" s="643"/>
      <c r="AB502" s="256"/>
      <c r="AC502" s="1017">
        <f>AC501+(L502-L501)*yrSales!$AC$200/1000000</f>
        <v>0.17940000000000009</v>
      </c>
      <c r="AD502" s="238"/>
      <c r="AE502" s="816">
        <f>AVERAGE(AC501:AC502)</f>
        <v>0.17440000000000008</v>
      </c>
      <c r="AF502" s="256"/>
      <c r="AG502" s="1122" t="s">
        <v>1086</v>
      </c>
      <c r="AH502" s="643"/>
      <c r="AI502" s="1122" t="s">
        <v>1086</v>
      </c>
      <c r="AJ502" s="587"/>
      <c r="AK502" s="256"/>
      <c r="AL502" s="315">
        <f>+V502</f>
        <v>109.7</v>
      </c>
      <c r="AM502" s="256"/>
      <c r="AN502" s="315">
        <f>AL502/AE502</f>
        <v>629.01376146788959</v>
      </c>
      <c r="AO502" s="256"/>
      <c r="AP502" s="1122" t="s">
        <v>1086</v>
      </c>
      <c r="AQ502" s="643"/>
      <c r="AR502" s="643"/>
      <c r="AS502" s="256"/>
      <c r="AT502" s="256"/>
      <c r="AX502" s="256"/>
      <c r="AY502" s="256"/>
      <c r="AZ502" s="1017">
        <v>1.4585494999999999</v>
      </c>
      <c r="BA502" s="1167">
        <f>+(AZ502/AZ495-1)*100</f>
        <v>0</v>
      </c>
      <c r="BB502" s="256"/>
      <c r="BC502" s="1017">
        <v>1.1204997000000001</v>
      </c>
      <c r="BD502" s="1167">
        <f>+(BC502/BC495-1)*100</f>
        <v>0</v>
      </c>
      <c r="BE502" s="1017"/>
      <c r="BF502" s="1167">
        <v>1.2314704416666666</v>
      </c>
      <c r="BG502" s="1167">
        <f>BF502/BC495-1</f>
        <v>9.9036833001085567E-2</v>
      </c>
      <c r="BH502" s="1167"/>
      <c r="BI502" s="297">
        <f>($AZ$478*BA502)+($BC$478*BD502)+($BF$478*BG502)</f>
        <v>0</v>
      </c>
      <c r="BJ502" s="1017"/>
      <c r="BK502" s="297">
        <f>F502</f>
        <v>4</v>
      </c>
      <c r="BL502" s="1167"/>
      <c r="BM502" s="1167"/>
      <c r="BN502" s="256"/>
      <c r="BO502" s="256">
        <v>1.5659442319148935</v>
      </c>
      <c r="BP502" s="256"/>
      <c r="BQ502" s="256">
        <f>BO502/AZ495-1</f>
        <v>7.3631187638742102E-2</v>
      </c>
    </row>
    <row r="503" spans="1:69" s="2443" customFormat="1">
      <c r="A503" s="256" t="str">
        <f>$A$43</f>
        <v>4Q</v>
      </c>
      <c r="B503" s="302" t="str">
        <f>$B$43</f>
        <v>Jan</v>
      </c>
      <c r="C503" s="256"/>
      <c r="D503" s="318">
        <f>(V503/V496-1)*100</f>
        <v>13.4020618556701</v>
      </c>
      <c r="E503" s="256"/>
      <c r="F503" s="298">
        <v>9</v>
      </c>
      <c r="G503" s="256"/>
      <c r="H503" s="2095">
        <f>'segSales&amp;comps'!AI232</f>
        <v>-8</v>
      </c>
      <c r="I503" s="256"/>
      <c r="J503" s="318">
        <f t="shared" ref="J503:J504" si="5">D503-H503-F503</f>
        <v>12.402061855670098</v>
      </c>
      <c r="K503" s="256"/>
      <c r="L503" s="949">
        <f>Stores!AA306</f>
        <v>46</v>
      </c>
      <c r="M503" s="238"/>
      <c r="N503" s="820">
        <f>AVERAGE(L503,L502)</f>
        <v>46</v>
      </c>
      <c r="O503" s="256"/>
      <c r="P503" s="318">
        <f>(N503/N496-1)*100</f>
        <v>6.9767441860465018</v>
      </c>
      <c r="Q503" s="643"/>
      <c r="R503" s="820">
        <f>J503/P503*100</f>
        <v>177.76288659793832</v>
      </c>
      <c r="S503" s="587"/>
      <c r="T503" s="256"/>
      <c r="U503" s="256"/>
      <c r="V503" s="316">
        <f>'segSales&amp;comps'!AG232</f>
        <v>165</v>
      </c>
      <c r="W503" s="256"/>
      <c r="X503" s="821">
        <f>V503/N503</f>
        <v>3.5869565217391304</v>
      </c>
      <c r="Y503" s="256"/>
      <c r="Z503" s="298">
        <f>(X503/X496-1)*100</f>
        <v>6.006275212909018</v>
      </c>
      <c r="AA503" s="643"/>
      <c r="AB503" s="256"/>
      <c r="AC503" s="1017">
        <f>AC502+(L503-L502)*yrSales!$AC$200/1000000</f>
        <v>0.17940000000000009</v>
      </c>
      <c r="AD503" s="238"/>
      <c r="AE503" s="822">
        <f>AVERAGE(AC502:AC503)</f>
        <v>0.17940000000000009</v>
      </c>
      <c r="AF503" s="256"/>
      <c r="AG503" s="1123" t="s">
        <v>1086</v>
      </c>
      <c r="AH503" s="643"/>
      <c r="AI503" s="1123" t="s">
        <v>1086</v>
      </c>
      <c r="AJ503" s="587"/>
      <c r="AK503" s="256"/>
      <c r="AL503" s="316">
        <f>+V503</f>
        <v>165</v>
      </c>
      <c r="AM503" s="256"/>
      <c r="AN503" s="316">
        <f>AL503/AE503</f>
        <v>919.73244147157141</v>
      </c>
      <c r="AO503" s="256"/>
      <c r="AP503" s="1123" t="s">
        <v>1086</v>
      </c>
      <c r="AQ503" s="643"/>
      <c r="AR503" s="643"/>
      <c r="AS503" s="256"/>
      <c r="AT503" s="256"/>
      <c r="AX503" s="256"/>
      <c r="AY503" s="256"/>
      <c r="AZ503" s="1601">
        <v>1.4585494999999999</v>
      </c>
      <c r="BA503" s="1602">
        <f>+(AZ503/AZ496-1)*100</f>
        <v>0</v>
      </c>
      <c r="BB503" s="256"/>
      <c r="BC503" s="1601">
        <v>1.1204997000000001</v>
      </c>
      <c r="BD503" s="1602">
        <f>+(BC503/BC496-1)*100</f>
        <v>0</v>
      </c>
      <c r="BE503" s="1017"/>
      <c r="BF503" s="1167">
        <v>1.2314704416666666</v>
      </c>
      <c r="BG503" s="1167">
        <f>BF503/BC496-1</f>
        <v>9.9036833001085567E-2</v>
      </c>
      <c r="BH503" s="1167"/>
      <c r="BI503" s="298">
        <f>($AZ$478*BA503)+($BC$478*BD503)+($BF$478*BG503)</f>
        <v>0</v>
      </c>
      <c r="BJ503" s="1017"/>
      <c r="BK503" s="298">
        <f>F503</f>
        <v>9</v>
      </c>
      <c r="BL503" s="1167"/>
      <c r="BM503" s="1167"/>
      <c r="BN503" s="256"/>
      <c r="BO503" s="256">
        <v>1.5659442319148935</v>
      </c>
      <c r="BP503" s="256"/>
      <c r="BQ503" s="256">
        <f>BO503/AZ496-1</f>
        <v>7.3631187638742102E-2</v>
      </c>
    </row>
    <row r="504" spans="1:69" s="2443" customFormat="1">
      <c r="A504" s="256"/>
      <c r="B504" s="302" t="str">
        <f>$B$44</f>
        <v>Year</v>
      </c>
      <c r="C504" s="256"/>
      <c r="D504" s="288">
        <f>(V504/V497-1)*100</f>
        <v>5.5288461538461453</v>
      </c>
      <c r="E504" s="256"/>
      <c r="F504" s="297">
        <v>3</v>
      </c>
      <c r="G504" s="256"/>
      <c r="H504" s="2455">
        <f>'segSales&amp;comps'!AI233</f>
        <v>-4</v>
      </c>
      <c r="I504" s="256"/>
      <c r="J504" s="288">
        <f t="shared" si="5"/>
        <v>6.5288461538461462</v>
      </c>
      <c r="K504" s="256"/>
      <c r="L504" s="951">
        <f>Stores!AA307</f>
        <v>46</v>
      </c>
      <c r="M504" s="256"/>
      <c r="N504" s="811">
        <f>AVERAGE(N500:N503)</f>
        <v>44.375</v>
      </c>
      <c r="O504" s="256"/>
      <c r="P504" s="288">
        <f>(N504/N497-1)*100</f>
        <v>3.8011695906432719</v>
      </c>
      <c r="Q504" s="643"/>
      <c r="R504" s="812">
        <f>J504/P504*100</f>
        <v>171.75887573964491</v>
      </c>
      <c r="S504" s="587"/>
      <c r="T504" s="256"/>
      <c r="U504" s="256"/>
      <c r="V504" s="296">
        <f>SUM(V500:V503)</f>
        <v>482.9</v>
      </c>
      <c r="W504" s="256"/>
      <c r="X504" s="813">
        <f>SUM(X500:X503)</f>
        <v>10.836014705825381</v>
      </c>
      <c r="Y504" s="256"/>
      <c r="Z504" s="814">
        <f>(X504/X497-1)*100</f>
        <v>1.3125834591543928</v>
      </c>
      <c r="AA504" s="643"/>
      <c r="AB504" s="256"/>
      <c r="AC504" s="815"/>
      <c r="AD504" s="256"/>
      <c r="AE504" s="816">
        <f>AVERAGE(AE500:AE503)</f>
        <v>0.17127500000000009</v>
      </c>
      <c r="AF504" s="256"/>
      <c r="AG504" s="1122" t="s">
        <v>1086</v>
      </c>
      <c r="AH504" s="643"/>
      <c r="AI504" s="1122" t="s">
        <v>1086</v>
      </c>
      <c r="AJ504" s="587"/>
      <c r="AK504" s="256"/>
      <c r="AL504" s="296">
        <f>SUM(AL500:AL503)</f>
        <v>482.9</v>
      </c>
      <c r="AM504" s="256"/>
      <c r="AN504" s="296">
        <f>AL504/AE504</f>
        <v>2819.4424171653754</v>
      </c>
      <c r="AO504" s="256"/>
      <c r="AP504" s="1122" t="s">
        <v>1086</v>
      </c>
      <c r="AQ504" s="643"/>
      <c r="AR504" s="643"/>
      <c r="AS504" s="256"/>
      <c r="AT504" s="256"/>
      <c r="AX504" s="256"/>
      <c r="AY504" s="256"/>
      <c r="AZ504" s="1017">
        <v>0</v>
      </c>
      <c r="BA504" s="1167">
        <f>+(AZ504/AZ497-1)*100</f>
        <v>-100</v>
      </c>
      <c r="BB504" s="256"/>
      <c r="BC504" s="1017">
        <v>0</v>
      </c>
      <c r="BD504" s="1167">
        <f>+(BC504/BC497-1)*100</f>
        <v>-100</v>
      </c>
      <c r="BE504" s="1017"/>
      <c r="BF504" s="1167"/>
      <c r="BG504" s="1167"/>
      <c r="BH504" s="1167"/>
      <c r="BI504" s="297">
        <f>($AZ$478*BA504)+($BC$478*BD504)+($BF$478*BG504)</f>
        <v>-100</v>
      </c>
      <c r="BJ504" s="1017"/>
      <c r="BK504" s="297">
        <f>F504</f>
        <v>3</v>
      </c>
      <c r="BL504" s="1167"/>
      <c r="BM504" s="1167"/>
      <c r="BN504" s="302"/>
      <c r="BO504" s="256"/>
      <c r="BP504" s="256"/>
      <c r="BQ504" s="256"/>
    </row>
    <row r="505" spans="1:69" ht="13.5" thickBot="1">
      <c r="A505" s="256"/>
      <c r="B505" s="302"/>
      <c r="C505" s="256"/>
      <c r="D505" s="288"/>
      <c r="E505" s="256"/>
      <c r="F505" s="217"/>
      <c r="G505" s="256"/>
      <c r="H505" s="2085"/>
      <c r="I505" s="256"/>
      <c r="J505" s="288"/>
      <c r="K505" s="256"/>
      <c r="L505" s="1033"/>
      <c r="M505" s="256"/>
      <c r="N505" s="811"/>
      <c r="O505" s="256"/>
      <c r="P505" s="288"/>
      <c r="Q505" s="643"/>
      <c r="R505" s="812"/>
      <c r="S505" s="587"/>
      <c r="T505" s="256"/>
      <c r="U505" s="256"/>
      <c r="V505" s="296"/>
      <c r="W505" s="256"/>
      <c r="X505" s="813"/>
      <c r="Y505" s="256"/>
      <c r="Z505" s="814"/>
      <c r="AA505" s="643"/>
      <c r="AB505" s="256"/>
      <c r="AC505" s="815"/>
      <c r="AD505" s="256"/>
      <c r="AE505" s="816"/>
      <c r="AF505" s="256"/>
      <c r="AG505" s="1122"/>
      <c r="AH505" s="643"/>
      <c r="AI505" s="1122"/>
      <c r="AJ505" s="587"/>
      <c r="AK505" s="256"/>
      <c r="AL505" s="296"/>
      <c r="AM505" s="256"/>
      <c r="AN505" s="296"/>
      <c r="AO505" s="256"/>
      <c r="AP505" s="1122"/>
      <c r="AQ505" s="643"/>
      <c r="AR505" s="643"/>
      <c r="AS505" s="256"/>
      <c r="AT505" s="256"/>
      <c r="AU505" s="2235"/>
      <c r="AV505" s="2235"/>
      <c r="AW505" s="2235"/>
      <c r="AX505" s="256"/>
      <c r="AY505" s="256"/>
      <c r="AZ505" s="1017"/>
      <c r="BA505" s="1167"/>
      <c r="BB505" s="256"/>
      <c r="BC505" s="1017"/>
      <c r="BD505" s="1167"/>
      <c r="BE505" s="1017"/>
      <c r="BF505" s="1167"/>
      <c r="BG505" s="1167"/>
      <c r="BH505" s="1167"/>
      <c r="BI505" s="297"/>
      <c r="BJ505" s="1017"/>
      <c r="BK505" s="297"/>
      <c r="BL505" s="1167"/>
      <c r="BM505" s="1167"/>
      <c r="BN505" s="302"/>
      <c r="BO505" s="256"/>
      <c r="BP505" s="256"/>
      <c r="BQ505" s="256"/>
    </row>
    <row r="506" spans="1:69" ht="13.5" thickBot="1">
      <c r="A506" s="810"/>
      <c r="B506" s="1160">
        <f>+B499+1</f>
        <v>2018</v>
      </c>
      <c r="C506" s="256"/>
      <c r="D506" s="256"/>
      <c r="E506" s="643"/>
      <c r="F506" s="297"/>
      <c r="G506" s="643"/>
      <c r="H506" s="2091"/>
      <c r="I506" s="643"/>
      <c r="J506" s="256"/>
      <c r="K506" s="643"/>
      <c r="L506" s="256"/>
      <c r="M506" s="256"/>
      <c r="N506" s="256"/>
      <c r="O506" s="256"/>
      <c r="P506" s="256"/>
      <c r="Q506" s="643"/>
      <c r="R506" s="587"/>
      <c r="S506" s="587"/>
      <c r="T506" s="256"/>
      <c r="U506" s="256"/>
      <c r="V506" s="256"/>
      <c r="W506" s="256"/>
      <c r="X506" s="256"/>
      <c r="Y506" s="256"/>
      <c r="Z506" s="256"/>
      <c r="AA506" s="643"/>
      <c r="AB506" s="256"/>
      <c r="AC506" s="256"/>
      <c r="AD506" s="256"/>
      <c r="AE506" s="256"/>
      <c r="AF506" s="256"/>
      <c r="AG506" s="256"/>
      <c r="AH506" s="643"/>
      <c r="AI506" s="587"/>
      <c r="AJ506" s="587"/>
      <c r="AK506" s="256"/>
      <c r="AL506" s="256"/>
      <c r="AM506" s="256"/>
      <c r="AN506" s="256"/>
      <c r="AO506" s="256"/>
      <c r="AP506" s="320"/>
      <c r="AQ506" s="643"/>
      <c r="AR506" s="643"/>
      <c r="AS506" s="256"/>
      <c r="AT506" s="256"/>
      <c r="AU506" s="256"/>
      <c r="AV506" s="256"/>
      <c r="AW506" s="256"/>
      <c r="AX506" s="256"/>
      <c r="AY506" s="256"/>
      <c r="AZ506" s="1605">
        <v>0.4</v>
      </c>
      <c r="BA506" s="587"/>
      <c r="BB506" s="587"/>
      <c r="BC506" s="1605">
        <f>1-AZ506</f>
        <v>0.6</v>
      </c>
      <c r="BD506" s="1603"/>
      <c r="BE506" s="587"/>
      <c r="BF506" s="2261"/>
      <c r="BG506" s="256"/>
      <c r="BH506" s="256"/>
      <c r="BI506" s="297"/>
      <c r="BJ506" s="256"/>
      <c r="BK506" s="297"/>
      <c r="BL506" s="256"/>
      <c r="BM506" s="256"/>
      <c r="BN506" s="256"/>
      <c r="BO506" s="587"/>
      <c r="BP506" s="587"/>
      <c r="BQ506" s="621"/>
    </row>
    <row r="507" spans="1:69">
      <c r="A507" s="256" t="str">
        <f>$A$40</f>
        <v>1Q</v>
      </c>
      <c r="B507" s="302" t="str">
        <f>$B$40</f>
        <v>Apr</v>
      </c>
      <c r="C507" s="256"/>
      <c r="D507" s="288">
        <f>F507+H507+J507</f>
        <v>8.1395348837209234</v>
      </c>
      <c r="E507" s="643" t="s">
        <v>1970</v>
      </c>
      <c r="F507" s="1156">
        <v>5</v>
      </c>
      <c r="G507" s="643"/>
      <c r="H507" s="2091">
        <f>'segSales&amp;comps'!AI236</f>
        <v>-5</v>
      </c>
      <c r="I507" s="643" t="s">
        <v>1970</v>
      </c>
      <c r="J507" s="288">
        <f>P507*R507/100</f>
        <v>8.1395348837209234</v>
      </c>
      <c r="K507" s="643" t="s">
        <v>1970</v>
      </c>
      <c r="L507" s="948">
        <f>Stores!AA310</f>
        <v>47</v>
      </c>
      <c r="M507" s="256"/>
      <c r="N507" s="811">
        <f>AVERAGE(L507,L503)</f>
        <v>46.5</v>
      </c>
      <c r="O507" s="256"/>
      <c r="P507" s="288">
        <f>(N507/N500-1)*100</f>
        <v>8.1395348837209234</v>
      </c>
      <c r="Q507" s="643" t="s">
        <v>1970</v>
      </c>
      <c r="R507" s="2231">
        <v>100</v>
      </c>
      <c r="S507" s="587" t="s">
        <v>1970</v>
      </c>
      <c r="T507" s="256"/>
      <c r="U507" s="256"/>
      <c r="V507" s="296">
        <f>V500*(1+D507/100)</f>
        <v>101.43488372093022</v>
      </c>
      <c r="W507" s="238"/>
      <c r="X507" s="813">
        <f>V507/N507</f>
        <v>2.1813953488372091</v>
      </c>
      <c r="Y507" s="256"/>
      <c r="Z507" s="814">
        <f>(X507/X500-1)*100</f>
        <v>0</v>
      </c>
      <c r="AA507" s="643" t="s">
        <v>1970</v>
      </c>
      <c r="AB507" s="256"/>
      <c r="AC507" s="1017">
        <f>AC503+(L507-L504)*yrSales!$AD$200/1000000</f>
        <v>0.18490000000000009</v>
      </c>
      <c r="AD507" s="256" t="s">
        <v>700</v>
      </c>
      <c r="AE507" s="816">
        <f>AVERAGE(AC507,AC503)</f>
        <v>0.18215000000000009</v>
      </c>
      <c r="AF507" s="256"/>
      <c r="AG507" s="1507" t="s">
        <v>1086</v>
      </c>
      <c r="AH507" s="643" t="s">
        <v>1970</v>
      </c>
      <c r="AI507" s="1507" t="s">
        <v>1086</v>
      </c>
      <c r="AJ507" s="587" t="s">
        <v>1970</v>
      </c>
      <c r="AK507" s="256"/>
      <c r="AL507" s="296">
        <f>+V507</f>
        <v>101.43488372093022</v>
      </c>
      <c r="AM507" s="256" t="s">
        <v>700</v>
      </c>
      <c r="AN507" s="296">
        <f>AL507/AE507</f>
        <v>556.8755625634376</v>
      </c>
      <c r="AO507" s="256"/>
      <c r="AP507" s="1507" t="s">
        <v>1086</v>
      </c>
      <c r="AQ507" s="643" t="s">
        <v>1970</v>
      </c>
      <c r="AR507" s="643"/>
      <c r="AS507" s="256"/>
      <c r="AT507" s="256"/>
      <c r="AU507" s="621"/>
      <c r="AV507" s="621"/>
      <c r="AW507" s="621"/>
      <c r="AX507" s="256"/>
      <c r="AY507" s="256"/>
      <c r="AZ507" s="1017">
        <v>1.4585494999999999</v>
      </c>
      <c r="BA507" s="1167">
        <f>+(AZ507/AZ500-1)*100</f>
        <v>-2955.7306323952935</v>
      </c>
      <c r="BB507" s="256"/>
      <c r="BC507" s="1017">
        <v>1.1204997000000001</v>
      </c>
      <c r="BD507" s="1167">
        <f>+(BC507/BC500-1)*100</f>
        <v>-1005.0416928113796</v>
      </c>
      <c r="BE507" s="1017"/>
      <c r="BF507" s="1167">
        <v>1.2314704416666666</v>
      </c>
      <c r="BG507" s="1167">
        <f>BF507/BC500-1</f>
        <v>-10.946741558013601</v>
      </c>
      <c r="BH507" s="1167"/>
      <c r="BI507" s="297">
        <f>($AZ$478*BA507)+($BC$478*BD507)+($BF$478*BG507)</f>
        <v>-1785.3172686449452</v>
      </c>
      <c r="BJ507" s="1017"/>
      <c r="BK507" s="297">
        <f>F507</f>
        <v>5</v>
      </c>
      <c r="BL507" s="1167"/>
      <c r="BM507" s="1167"/>
      <c r="BN507" s="256"/>
      <c r="BO507" s="256">
        <v>1.5659442319148935</v>
      </c>
      <c r="BP507" s="256"/>
      <c r="BQ507" s="256">
        <f>BO507/AZ500-1</f>
        <v>-31.660014704348953</v>
      </c>
    </row>
    <row r="508" spans="1:69">
      <c r="A508" s="256" t="str">
        <f>$A$41</f>
        <v>2Q</v>
      </c>
      <c r="B508" s="302" t="str">
        <f>$B$41</f>
        <v>Jul</v>
      </c>
      <c r="C508" s="256"/>
      <c r="D508" s="288">
        <f>F508+H508+J508</f>
        <v>12.344827586206895</v>
      </c>
      <c r="E508" s="256"/>
      <c r="F508" s="1156">
        <v>3</v>
      </c>
      <c r="G508" s="256"/>
      <c r="H508" s="2091">
        <f>'segSales&amp;comps'!AI237</f>
        <v>-1</v>
      </c>
      <c r="I508" s="256"/>
      <c r="J508" s="288">
        <f>P508*R508/100</f>
        <v>10.344827586206895</v>
      </c>
      <c r="K508" s="256"/>
      <c r="L508" s="948">
        <f>Stores!AA311</f>
        <v>49</v>
      </c>
      <c r="M508" s="256"/>
      <c r="N508" s="811">
        <f>AVERAGE(L508,L507)</f>
        <v>48</v>
      </c>
      <c r="O508" s="256"/>
      <c r="P508" s="288">
        <f>(N508/N501-1)*100</f>
        <v>10.344827586206895</v>
      </c>
      <c r="Q508" s="643"/>
      <c r="R508" s="2231">
        <v>100</v>
      </c>
      <c r="S508" s="587"/>
      <c r="T508" s="256"/>
      <c r="U508" s="256"/>
      <c r="V508" s="1518">
        <f>V501*(1+D508/100)</f>
        <v>128.5224827586207</v>
      </c>
      <c r="W508" s="238"/>
      <c r="X508" s="818">
        <f>V508/N508</f>
        <v>2.6775517241379312</v>
      </c>
      <c r="Y508" s="256"/>
      <c r="Z508" s="814">
        <f>(X508/X501-1)*100</f>
        <v>1.8124999999999947</v>
      </c>
      <c r="AA508" s="643"/>
      <c r="AB508" s="256"/>
      <c r="AC508" s="1017">
        <f>AC507+(L508-L507)*yrSales!$AD$200/1000000</f>
        <v>0.1959000000000001</v>
      </c>
      <c r="AD508" s="238"/>
      <c r="AE508" s="816">
        <f>AVERAGE(AC507:AC508)</f>
        <v>0.1904000000000001</v>
      </c>
      <c r="AF508" s="256"/>
      <c r="AG508" s="1507" t="s">
        <v>1086</v>
      </c>
      <c r="AH508" s="643"/>
      <c r="AI508" s="1507" t="s">
        <v>1086</v>
      </c>
      <c r="AJ508" s="587"/>
      <c r="AK508" s="256"/>
      <c r="AL508" s="315">
        <f>+V508</f>
        <v>128.5224827586207</v>
      </c>
      <c r="AM508" s="256"/>
      <c r="AN508" s="315">
        <f>AL508/AE508</f>
        <v>675.01303969863773</v>
      </c>
      <c r="AO508" s="256"/>
      <c r="AP508" s="1507" t="s">
        <v>1086</v>
      </c>
      <c r="AQ508" s="643"/>
      <c r="AR508" s="643"/>
      <c r="AS508" s="256"/>
      <c r="AT508" s="256"/>
      <c r="AU508" s="621"/>
      <c r="AV508" s="621"/>
      <c r="AW508" s="621"/>
      <c r="AX508" s="256"/>
      <c r="AY508" s="256"/>
      <c r="AZ508" s="1017">
        <v>1.4585494999999999</v>
      </c>
      <c r="BA508" s="1167">
        <f>+(AZ508/AZ501-1)*100</f>
        <v>0</v>
      </c>
      <c r="BB508" s="256"/>
      <c r="BC508" s="1017">
        <v>1.1204997000000001</v>
      </c>
      <c r="BD508" s="1167">
        <f>+(BC508/BC501-1)*100</f>
        <v>0</v>
      </c>
      <c r="BE508" s="1017"/>
      <c r="BF508" s="1167">
        <v>1.2314704416666666</v>
      </c>
      <c r="BG508" s="1167">
        <f>BF508/BC501-1</f>
        <v>9.9036833001085567E-2</v>
      </c>
      <c r="BH508" s="1167"/>
      <c r="BI508" s="297">
        <f>($AZ$478*BA508)+($BC$478*BD508)+($BF$478*BG508)</f>
        <v>0</v>
      </c>
      <c r="BJ508" s="1017"/>
      <c r="BK508" s="297">
        <f>F508</f>
        <v>3</v>
      </c>
      <c r="BL508" s="1167"/>
      <c r="BM508" s="1167"/>
      <c r="BN508" s="256"/>
      <c r="BO508" s="256">
        <v>1.5659442319148935</v>
      </c>
      <c r="BP508" s="256"/>
      <c r="BQ508" s="256">
        <f>BO508/AZ501-1</f>
        <v>7.3631187638742102E-2</v>
      </c>
    </row>
    <row r="509" spans="1:69">
      <c r="A509" s="256" t="str">
        <f>$A$42</f>
        <v>3Q</v>
      </c>
      <c r="B509" s="302" t="str">
        <f>$B$42</f>
        <v>Oct</v>
      </c>
      <c r="C509" s="256"/>
      <c r="D509" s="931">
        <f>F509+H509+J509</f>
        <v>14.888888888888879</v>
      </c>
      <c r="E509" s="256"/>
      <c r="F509" s="1156">
        <v>1</v>
      </c>
      <c r="G509" s="256"/>
      <c r="H509" s="2091">
        <f>'segSales&amp;comps'!AI238</f>
        <v>5</v>
      </c>
      <c r="I509" s="256"/>
      <c r="J509" s="931">
        <f>P509*R509/100</f>
        <v>8.8888888888888786</v>
      </c>
      <c r="K509" s="256"/>
      <c r="L509" s="948">
        <f>Stores!AA312</f>
        <v>49</v>
      </c>
      <c r="M509" s="238"/>
      <c r="N509" s="811">
        <f>AVERAGE(L509,L508)</f>
        <v>49</v>
      </c>
      <c r="O509" s="256"/>
      <c r="P509" s="288">
        <f>(N509/N502-1)*100</f>
        <v>8.8888888888888786</v>
      </c>
      <c r="Q509" s="643"/>
      <c r="R509" s="2231">
        <v>100</v>
      </c>
      <c r="S509" s="587"/>
      <c r="T509" s="256"/>
      <c r="U509" s="256"/>
      <c r="V509" s="1518">
        <f>V502*(1+D509/100)</f>
        <v>126.03311111111111</v>
      </c>
      <c r="W509" s="256"/>
      <c r="X509" s="818">
        <f>V509/N509</f>
        <v>2.5721043083900228</v>
      </c>
      <c r="Y509" s="256"/>
      <c r="Z509" s="814">
        <f>(X509/X502-1)*100</f>
        <v>5.5102040816326525</v>
      </c>
      <c r="AA509" s="643"/>
      <c r="AB509" s="256"/>
      <c r="AC509" s="1017">
        <f>AC508+(L509-L508)*yrSales!$AD$200/1000000</f>
        <v>0.1959000000000001</v>
      </c>
      <c r="AD509" s="238"/>
      <c r="AE509" s="816">
        <f>AVERAGE(AC508:AC509)</f>
        <v>0.1959000000000001</v>
      </c>
      <c r="AF509" s="256"/>
      <c r="AG509" s="1507" t="s">
        <v>1086</v>
      </c>
      <c r="AH509" s="643"/>
      <c r="AI509" s="1507" t="s">
        <v>1086</v>
      </c>
      <c r="AJ509" s="587"/>
      <c r="AK509" s="256"/>
      <c r="AL509" s="315">
        <f>+V509</f>
        <v>126.03311111111111</v>
      </c>
      <c r="AM509" s="256"/>
      <c r="AN509" s="315">
        <f>AL509/AE509</f>
        <v>643.35431909704459</v>
      </c>
      <c r="AO509" s="256"/>
      <c r="AP509" s="1507" t="s">
        <v>1086</v>
      </c>
      <c r="AQ509" s="643"/>
      <c r="AR509" s="643"/>
      <c r="AS509" s="256"/>
      <c r="AT509" s="256"/>
      <c r="AU509" s="621"/>
      <c r="AV509" s="621"/>
      <c r="AW509" s="621"/>
      <c r="AX509" s="256"/>
      <c r="AY509" s="256"/>
      <c r="AZ509" s="1017">
        <v>1.4585494999999999</v>
      </c>
      <c r="BA509" s="1167">
        <f>+(AZ509/AZ502-1)*100</f>
        <v>0</v>
      </c>
      <c r="BB509" s="256"/>
      <c r="BC509" s="1017">
        <v>1.1204997000000001</v>
      </c>
      <c r="BD509" s="1167">
        <f>+(BC509/BC502-1)*100</f>
        <v>0</v>
      </c>
      <c r="BE509" s="1017"/>
      <c r="BF509" s="1167">
        <v>1.2314704416666666</v>
      </c>
      <c r="BG509" s="1167">
        <f>BF509/BC502-1</f>
        <v>9.9036833001085567E-2</v>
      </c>
      <c r="BH509" s="1167"/>
      <c r="BI509" s="297">
        <f>($AZ$478*BA509)+($BC$478*BD509)+($BF$478*BG509)</f>
        <v>0</v>
      </c>
      <c r="BJ509" s="1017"/>
      <c r="BK509" s="297">
        <f>F509</f>
        <v>1</v>
      </c>
      <c r="BL509" s="1167"/>
      <c r="BM509" s="1167"/>
      <c r="BN509" s="256"/>
      <c r="BO509" s="256">
        <v>1.5659442319148935</v>
      </c>
      <c r="BP509" s="256"/>
      <c r="BQ509" s="256">
        <f>BO509/AZ502-1</f>
        <v>7.3631187638742102E-2</v>
      </c>
    </row>
    <row r="510" spans="1:69">
      <c r="A510" s="256" t="str">
        <f>$A$43</f>
        <v>4Q</v>
      </c>
      <c r="B510" s="302" t="str">
        <f>$B$43</f>
        <v>Jan</v>
      </c>
      <c r="C510" s="256"/>
      <c r="D510" s="318">
        <f>F510+H510+J510</f>
        <v>12.521739130434788</v>
      </c>
      <c r="E510" s="256"/>
      <c r="F510" s="1148">
        <v>1</v>
      </c>
      <c r="G510" s="256"/>
      <c r="H510" s="2095">
        <f>'segSales&amp;comps'!AI239</f>
        <v>5</v>
      </c>
      <c r="I510" s="256"/>
      <c r="J510" s="318">
        <f>P510*R510/100</f>
        <v>6.5217391304347894</v>
      </c>
      <c r="K510" s="256"/>
      <c r="L510" s="949">
        <f>Stores!AA313</f>
        <v>49</v>
      </c>
      <c r="M510" s="238"/>
      <c r="N510" s="820">
        <f>AVERAGE(L510,L509)</f>
        <v>49</v>
      </c>
      <c r="O510" s="256"/>
      <c r="P510" s="318">
        <f>(N510/N503-1)*100</f>
        <v>6.5217391304347894</v>
      </c>
      <c r="Q510" s="643"/>
      <c r="R510" s="2232">
        <v>100</v>
      </c>
      <c r="S510" s="587"/>
      <c r="T510" s="256"/>
      <c r="U510" s="256"/>
      <c r="V510" s="316">
        <f>V503*(1+D510/100)</f>
        <v>185.66086956521741</v>
      </c>
      <c r="W510" s="256"/>
      <c r="X510" s="821">
        <f>V510/N510</f>
        <v>3.7889973380656614</v>
      </c>
      <c r="Y510" s="256"/>
      <c r="Z510" s="298">
        <f>(X510/X503-1)*100</f>
        <v>5.6326530612244907</v>
      </c>
      <c r="AA510" s="643"/>
      <c r="AB510" s="256"/>
      <c r="AC510" s="1017">
        <f>AC509+(L510-L509)*yrSales!$AD$200/1000000</f>
        <v>0.1959000000000001</v>
      </c>
      <c r="AD510" s="238"/>
      <c r="AE510" s="822">
        <f>AVERAGE(AC509:AC510)</f>
        <v>0.1959000000000001</v>
      </c>
      <c r="AF510" s="256"/>
      <c r="AG510" s="1508" t="s">
        <v>1086</v>
      </c>
      <c r="AH510" s="643"/>
      <c r="AI510" s="1508" t="s">
        <v>1086</v>
      </c>
      <c r="AJ510" s="587"/>
      <c r="AK510" s="256"/>
      <c r="AL510" s="316">
        <f>+V510</f>
        <v>185.66086956521741</v>
      </c>
      <c r="AM510" s="256"/>
      <c r="AN510" s="316">
        <f>AL510/AE510</f>
        <v>947.73287169585149</v>
      </c>
      <c r="AO510" s="256"/>
      <c r="AP510" s="1508" t="s">
        <v>1086</v>
      </c>
      <c r="AQ510" s="643"/>
      <c r="AR510" s="643"/>
      <c r="AS510" s="256"/>
      <c r="AT510" s="256"/>
      <c r="AU510" s="621"/>
      <c r="AV510" s="621"/>
      <c r="AW510" s="621"/>
      <c r="AX510" s="256"/>
      <c r="AY510" s="256"/>
      <c r="AZ510" s="1601">
        <v>1.4585494999999999</v>
      </c>
      <c r="BA510" s="1602">
        <f>+(AZ510/AZ503-1)*100</f>
        <v>0</v>
      </c>
      <c r="BB510" s="256"/>
      <c r="BC510" s="1601">
        <v>1.1204997000000001</v>
      </c>
      <c r="BD510" s="1602">
        <f>+(BC510/BC503-1)*100</f>
        <v>0</v>
      </c>
      <c r="BE510" s="1017"/>
      <c r="BF510" s="1167">
        <v>1.2314704416666666</v>
      </c>
      <c r="BG510" s="1167">
        <f>BF510/BC503-1</f>
        <v>9.9036833001085567E-2</v>
      </c>
      <c r="BH510" s="1167"/>
      <c r="BI510" s="298">
        <f>($AZ$478*BA510)+($BC$478*BD510)+($BF$478*BG510)</f>
        <v>0</v>
      </c>
      <c r="BJ510" s="1017"/>
      <c r="BK510" s="298">
        <f>F510</f>
        <v>1</v>
      </c>
      <c r="BL510" s="1167"/>
      <c r="BM510" s="1167"/>
      <c r="BN510" s="256"/>
      <c r="BO510" s="256">
        <v>1.5659442319148935</v>
      </c>
      <c r="BP510" s="256"/>
      <c r="BQ510" s="256">
        <f>BO510/AZ503-1</f>
        <v>7.3631187638742102E-2</v>
      </c>
    </row>
    <row r="511" spans="1:69">
      <c r="A511" s="256"/>
      <c r="B511" s="302" t="str">
        <f>$B$44</f>
        <v>Year</v>
      </c>
      <c r="C511" s="256"/>
      <c r="D511" s="288">
        <f>(V511/V504-1)*100</f>
        <v>12.166358905752638</v>
      </c>
      <c r="E511" s="256"/>
      <c r="F511" s="297">
        <f>F507*V500/V504+F508*V501/V504+F509*V502/V504+F510*V503/V504</f>
        <v>2.250776558293643</v>
      </c>
      <c r="G511" s="256"/>
      <c r="H511" s="2091">
        <f>H507*V507/V511+H508*V508/V511+H509*V509/V511+H510*V510/V511</f>
        <v>1.703629109137635</v>
      </c>
      <c r="I511" s="256"/>
      <c r="J511" s="288">
        <f>D511-H511-F511</f>
        <v>8.2119532383213603</v>
      </c>
      <c r="K511" s="256"/>
      <c r="L511" s="951">
        <f>Stores!AA314</f>
        <v>49</v>
      </c>
      <c r="M511" s="256"/>
      <c r="N511" s="811">
        <f>AVERAGE(N507:N510)</f>
        <v>48.125</v>
      </c>
      <c r="O511" s="256"/>
      <c r="P511" s="288">
        <f>(N511/N504-1)*100</f>
        <v>8.4507042253521227</v>
      </c>
      <c r="Q511" s="643"/>
      <c r="R511" s="812">
        <f>J511/P511*100</f>
        <v>97.174779986802648</v>
      </c>
      <c r="S511" s="587"/>
      <c r="T511" s="256"/>
      <c r="U511" s="256"/>
      <c r="V511" s="296">
        <f>SUM(V507:V510)</f>
        <v>541.65134715587942</v>
      </c>
      <c r="W511" s="256"/>
      <c r="X511" s="813">
        <f>SUM(X507:X510)</f>
        <v>11.220048719430824</v>
      </c>
      <c r="Y511" s="256"/>
      <c r="Z511" s="814">
        <f>(X511/X504-1)*100</f>
        <v>3.5440521633750555</v>
      </c>
      <c r="AA511" s="643"/>
      <c r="AB511" s="256"/>
      <c r="AC511" s="815"/>
      <c r="AD511" s="256"/>
      <c r="AE511" s="816">
        <f>AVERAGE(AE507:AE510)</f>
        <v>0.19108750000000008</v>
      </c>
      <c r="AF511" s="256"/>
      <c r="AG511" s="1507" t="s">
        <v>1086</v>
      </c>
      <c r="AH511" s="643"/>
      <c r="AI511" s="1507" t="s">
        <v>1086</v>
      </c>
      <c r="AJ511" s="587"/>
      <c r="AK511" s="256"/>
      <c r="AL511" s="296">
        <f>SUM(AL507:AL510)</f>
        <v>541.65134715587942</v>
      </c>
      <c r="AM511" s="256"/>
      <c r="AN511" s="296">
        <f>AL511/AE511</f>
        <v>2834.5723668784153</v>
      </c>
      <c r="AO511" s="256"/>
      <c r="AP511" s="1507" t="s">
        <v>1086</v>
      </c>
      <c r="AQ511" s="643"/>
      <c r="AR511" s="643"/>
      <c r="AS511" s="256"/>
      <c r="AT511" s="256"/>
      <c r="AU511" s="621"/>
      <c r="AV511" s="621"/>
      <c r="AW511" s="621"/>
      <c r="AX511" s="256"/>
      <c r="AY511" s="256"/>
      <c r="AZ511" s="1017">
        <v>0</v>
      </c>
      <c r="BA511" s="1167"/>
      <c r="BB511" s="256"/>
      <c r="BC511" s="1017">
        <v>0</v>
      </c>
      <c r="BD511" s="1167"/>
      <c r="BE511" s="1017"/>
      <c r="BF511" s="1167"/>
      <c r="BG511" s="1167"/>
      <c r="BH511" s="1167"/>
      <c r="BI511" s="297">
        <f>($AZ$478*BA511)+($BC$478*BD511)+($BF$478*BG511)</f>
        <v>0</v>
      </c>
      <c r="BJ511" s="1017"/>
      <c r="BK511" s="297">
        <f>F511</f>
        <v>2.250776558293643</v>
      </c>
      <c r="BL511" s="1167"/>
      <c r="BM511" s="1167"/>
      <c r="BN511" s="302"/>
      <c r="BO511" s="256"/>
      <c r="BP511" s="256"/>
      <c r="BQ511" s="256"/>
    </row>
    <row r="512" spans="1:69">
      <c r="A512" s="256"/>
      <c r="B512" s="302"/>
      <c r="C512" s="256"/>
      <c r="D512" s="288"/>
      <c r="E512" s="256"/>
      <c r="F512" s="217"/>
      <c r="G512" s="256"/>
      <c r="H512" s="2085"/>
      <c r="I512" s="256"/>
      <c r="J512" s="288"/>
      <c r="K512" s="256"/>
      <c r="L512" s="1033"/>
      <c r="M512" s="256"/>
      <c r="N512" s="811"/>
      <c r="O512" s="256"/>
      <c r="P512" s="288"/>
      <c r="Q512" s="643"/>
      <c r="R512" s="812"/>
      <c r="S512" s="587"/>
      <c r="T512" s="256"/>
      <c r="U512" s="256"/>
      <c r="V512" s="296"/>
      <c r="W512" s="256"/>
      <c r="X512" s="813"/>
      <c r="Y512" s="256"/>
      <c r="Z512" s="814"/>
      <c r="AA512" s="643"/>
      <c r="AB512" s="256"/>
      <c r="AC512" s="815"/>
      <c r="AD512" s="256"/>
      <c r="AE512" s="816"/>
      <c r="AF512" s="256"/>
      <c r="AG512" s="1122"/>
      <c r="AH512" s="643"/>
      <c r="AI512" s="1122"/>
      <c r="AJ512" s="587"/>
      <c r="AK512" s="256"/>
      <c r="AL512" s="296"/>
      <c r="AM512" s="256"/>
      <c r="AN512" s="296"/>
      <c r="AO512" s="256"/>
      <c r="AP512" s="1122"/>
      <c r="AQ512" s="643"/>
      <c r="AR512" s="643"/>
      <c r="AS512" s="256"/>
      <c r="AT512" s="256"/>
      <c r="AU512" s="256"/>
      <c r="AV512" s="256"/>
      <c r="AW512" s="256"/>
      <c r="AX512" s="256"/>
      <c r="AY512" s="256"/>
      <c r="AZ512" s="1017"/>
      <c r="BA512" s="1167"/>
      <c r="BB512" s="256"/>
      <c r="BC512" s="1017"/>
      <c r="BD512" s="1167"/>
      <c r="BE512" s="1017"/>
      <c r="BF512" s="1167"/>
      <c r="BG512" s="1167"/>
      <c r="BH512" s="1167"/>
      <c r="BI512" s="297"/>
      <c r="BJ512" s="1017"/>
      <c r="BK512" s="297"/>
      <c r="BL512" s="1167"/>
      <c r="BM512" s="1167"/>
      <c r="BN512" s="302"/>
      <c r="BO512" s="587"/>
      <c r="BP512" s="587"/>
    </row>
    <row r="513" spans="1:68">
      <c r="A513" s="860" t="s">
        <v>166</v>
      </c>
      <c r="B513" s="1126"/>
      <c r="C513" s="860"/>
      <c r="D513" s="860"/>
      <c r="E513" s="1127"/>
      <c r="F513" s="860"/>
      <c r="G513" s="1127"/>
      <c r="H513" s="2092"/>
      <c r="I513" s="860"/>
      <c r="J513" s="860"/>
      <c r="K513" s="1128"/>
      <c r="L513" s="1129"/>
      <c r="M513" s="1128"/>
      <c r="N513" s="1130"/>
      <c r="O513" s="1128"/>
      <c r="P513" s="1131"/>
      <c r="Q513" s="1132"/>
      <c r="R513" s="1133"/>
      <c r="S513" s="1134"/>
      <c r="T513" s="1128"/>
      <c r="U513" s="1128"/>
      <c r="V513" s="1135"/>
      <c r="W513" s="1128"/>
      <c r="X513" s="1136"/>
      <c r="Y513" s="1128"/>
      <c r="Z513" s="1137"/>
      <c r="AA513" s="1132"/>
      <c r="AB513" s="1128"/>
      <c r="AC513" s="1128"/>
      <c r="AD513" s="1128"/>
      <c r="AE513" s="1138"/>
      <c r="AF513" s="1128"/>
      <c r="AG513" s="1131"/>
      <c r="AH513" s="1132"/>
      <c r="AI513" s="1133"/>
      <c r="AJ513" s="1134"/>
      <c r="AK513" s="1128"/>
      <c r="AL513" s="1135"/>
      <c r="AM513" s="1128"/>
      <c r="AN513" s="1139"/>
      <c r="AO513" s="1128"/>
      <c r="AP513" s="1140"/>
      <c r="AQ513" s="1132"/>
      <c r="AR513" s="1132"/>
      <c r="AS513" s="1128"/>
      <c r="AT513" s="1128"/>
      <c r="AU513" s="1128"/>
      <c r="AV513" s="1128"/>
      <c r="AW513" s="1128"/>
      <c r="AX513" s="1128"/>
      <c r="AY513" s="1128"/>
      <c r="AZ513" s="1128"/>
      <c r="BA513" s="1128"/>
      <c r="BB513" s="1128"/>
      <c r="BC513" s="1019">
        <f>$AZ$485*BQ489+$BC$485*BG489</f>
        <v>-1.7413691132405207E-3</v>
      </c>
      <c r="BD513" s="1128"/>
      <c r="BE513" s="1128"/>
      <c r="BF513" s="1128"/>
      <c r="BG513" s="1128"/>
      <c r="BH513" s="1128"/>
      <c r="BI513" s="1128"/>
      <c r="BJ513" s="1128"/>
      <c r="BK513" s="1128"/>
      <c r="BL513" s="1128"/>
      <c r="BM513" s="1128"/>
      <c r="BN513" s="132"/>
      <c r="BO513" s="587"/>
      <c r="BP513" s="587"/>
    </row>
    <row r="514" spans="1:68">
      <c r="A514" s="135" t="s">
        <v>541</v>
      </c>
      <c r="B514" s="173"/>
      <c r="C514" s="135"/>
      <c r="D514" s="135"/>
      <c r="E514" s="153"/>
      <c r="F514" s="135"/>
      <c r="G514" s="153"/>
      <c r="H514" s="2084"/>
      <c r="I514" s="135"/>
      <c r="J514" s="135"/>
      <c r="K514" s="153"/>
      <c r="L514" s="135"/>
      <c r="M514" s="135"/>
      <c r="N514" s="135"/>
      <c r="O514" s="153"/>
      <c r="P514" s="135"/>
      <c r="Q514" s="153"/>
      <c r="R514" s="135"/>
      <c r="S514" s="135"/>
      <c r="T514" s="153"/>
      <c r="U514" s="153"/>
      <c r="V514" s="135"/>
      <c r="W514" s="135"/>
      <c r="X514" s="153"/>
      <c r="Y514" s="153"/>
      <c r="Z514" s="135"/>
      <c r="AA514" s="187"/>
      <c r="AB514" s="135"/>
      <c r="AC514" s="135"/>
      <c r="AD514" s="135"/>
      <c r="AE514" s="135"/>
      <c r="AF514" s="153"/>
      <c r="AG514" s="135"/>
      <c r="AH514" s="153"/>
      <c r="AI514" s="135"/>
      <c r="AJ514" s="135"/>
      <c r="AK514" s="153"/>
      <c r="AL514" s="135"/>
      <c r="AM514" s="135"/>
      <c r="AN514" s="153"/>
      <c r="AO514" s="153"/>
      <c r="AP514" s="135"/>
      <c r="AQ514" s="246"/>
      <c r="AR514" s="246"/>
      <c r="AS514" s="155"/>
      <c r="AT514" s="155"/>
      <c r="AU514" s="155"/>
      <c r="AV514" s="155"/>
      <c r="AW514" s="155"/>
      <c r="AX514" s="155"/>
      <c r="AY514" s="155"/>
      <c r="AZ514" s="776" t="s">
        <v>438</v>
      </c>
      <c r="BA514" s="776"/>
      <c r="BB514" s="155"/>
      <c r="BC514" s="776"/>
      <c r="BD514" s="776"/>
      <c r="BE514" s="155"/>
      <c r="BF514" s="776"/>
      <c r="BG514" s="776"/>
      <c r="BH514" s="155"/>
      <c r="BI514" s="155"/>
      <c r="BJ514" s="155"/>
      <c r="BK514" s="155"/>
      <c r="BL514" s="155"/>
      <c r="BM514" s="155"/>
      <c r="BN514" s="256"/>
      <c r="BO514" s="283"/>
      <c r="BP514" s="283"/>
    </row>
    <row r="515" spans="1:68" ht="13.5" thickBot="1">
      <c r="A515" s="281"/>
      <c r="B515" s="282"/>
      <c r="C515" s="281"/>
      <c r="D515" s="281"/>
      <c r="E515" s="1744"/>
      <c r="F515" s="281"/>
      <c r="G515" s="1744"/>
      <c r="H515" s="2096"/>
      <c r="I515" s="281"/>
      <c r="J515" s="281"/>
      <c r="K515" s="256"/>
      <c r="L515" s="1033"/>
      <c r="M515" s="256"/>
      <c r="N515" s="177"/>
      <c r="O515" s="256"/>
      <c r="P515" s="145"/>
      <c r="Q515" s="643"/>
      <c r="R515" s="259"/>
      <c r="S515" s="587"/>
      <c r="T515" s="256"/>
      <c r="U515" s="256"/>
      <c r="V515" s="296"/>
      <c r="W515" s="256"/>
      <c r="X515" s="1031"/>
      <c r="Y515" s="256"/>
      <c r="Z515" s="219"/>
      <c r="AA515" s="643"/>
      <c r="AB515" s="256"/>
      <c r="AC515" s="256"/>
      <c r="AD515" s="256"/>
      <c r="AE515" s="254"/>
      <c r="AF515" s="256"/>
      <c r="AG515" s="145"/>
      <c r="AH515" s="643"/>
      <c r="AI515" s="259"/>
      <c r="AJ515" s="587"/>
      <c r="AK515" s="256"/>
      <c r="AL515" s="141"/>
      <c r="AM515" s="256"/>
      <c r="AN515" s="1032"/>
      <c r="AO515" s="256"/>
      <c r="AP515" s="920"/>
      <c r="AQ515" s="643"/>
      <c r="AR515" s="643"/>
      <c r="AS515" s="256"/>
      <c r="AT515" s="256"/>
      <c r="AU515" s="256"/>
      <c r="AV515" s="256"/>
      <c r="AW515" s="256"/>
      <c r="AX515" s="256"/>
      <c r="AY515" s="256"/>
      <c r="AZ515" s="256"/>
      <c r="BA515" s="256"/>
      <c r="BB515" s="256"/>
      <c r="BC515" s="256"/>
      <c r="BD515" s="256"/>
      <c r="BE515" s="256"/>
      <c r="BF515" s="256"/>
      <c r="BG515" s="256"/>
      <c r="BH515" s="256"/>
      <c r="BI515" s="256"/>
      <c r="BJ515" s="256"/>
      <c r="BK515" s="256"/>
      <c r="BL515" s="256"/>
      <c r="BM515" s="256"/>
      <c r="BN515" s="256"/>
      <c r="BO515" s="587"/>
      <c r="BP515" s="587"/>
    </row>
    <row r="516" spans="1:68" ht="13.5" hidden="1" outlineLevel="1" thickBot="1">
      <c r="A516" s="810"/>
      <c r="B516" s="171">
        <v>2008</v>
      </c>
      <c r="C516" s="256"/>
      <c r="D516" s="256"/>
      <c r="E516" s="643"/>
      <c r="F516" s="297"/>
      <c r="G516" s="643"/>
      <c r="H516" s="2091"/>
      <c r="I516" s="643"/>
      <c r="J516" s="256"/>
      <c r="K516" s="643"/>
      <c r="L516" s="256"/>
      <c r="M516" s="256"/>
      <c r="N516" s="256"/>
      <c r="O516" s="256"/>
      <c r="P516" s="256"/>
      <c r="Q516" s="643"/>
      <c r="R516" s="587"/>
      <c r="S516" s="587"/>
      <c r="T516" s="256"/>
      <c r="U516" s="256"/>
      <c r="V516" s="256"/>
      <c r="W516" s="256"/>
      <c r="X516" s="256"/>
      <c r="Y516" s="256"/>
      <c r="Z516" s="256"/>
      <c r="AA516" s="643"/>
      <c r="AB516" s="256"/>
      <c r="AC516" s="256"/>
      <c r="AD516" s="256"/>
      <c r="AE516" s="256"/>
      <c r="AF516" s="256"/>
      <c r="AG516" s="256"/>
      <c r="AH516" s="643"/>
      <c r="AI516" s="587"/>
      <c r="AJ516" s="587"/>
      <c r="AK516" s="256"/>
      <c r="AL516" s="256"/>
      <c r="AM516" s="256"/>
      <c r="AN516" s="256"/>
      <c r="AO516" s="256"/>
      <c r="AP516" s="320"/>
      <c r="AQ516" s="643"/>
      <c r="AR516" s="643"/>
      <c r="AS516" s="256"/>
      <c r="AT516" s="256"/>
      <c r="AU516" s="256"/>
      <c r="AV516" s="256"/>
      <c r="AW516" s="256"/>
      <c r="AX516" s="256"/>
      <c r="AY516" s="256"/>
      <c r="AZ516" s="1605">
        <v>1</v>
      </c>
      <c r="BA516" s="587"/>
      <c r="BB516" s="587"/>
      <c r="BC516" s="1605"/>
      <c r="BD516" s="1603"/>
      <c r="BE516" s="587"/>
      <c r="BF516" s="1606"/>
      <c r="BG516" s="587"/>
      <c r="BH516" s="256"/>
      <c r="BI516" s="256"/>
      <c r="BJ516" s="256"/>
      <c r="BL516" s="256"/>
      <c r="BM516" s="256"/>
      <c r="BN516" s="256"/>
      <c r="BO516" s="587"/>
      <c r="BP516" s="587"/>
    </row>
    <row r="517" spans="1:68" hidden="1" outlineLevel="1">
      <c r="A517" s="256" t="str">
        <f>$A$40</f>
        <v>1Q</v>
      </c>
      <c r="B517" s="302" t="str">
        <f>$B$40</f>
        <v>Apr</v>
      </c>
      <c r="C517" s="256"/>
      <c r="D517" s="288">
        <f>(V517/'segSales&amp;comps'!W159-1)*100</f>
        <v>12.999999999999989</v>
      </c>
      <c r="E517" s="643" t="s">
        <v>1970</v>
      </c>
      <c r="F517" s="1473">
        <v>14</v>
      </c>
      <c r="G517" s="643"/>
      <c r="H517" s="2091">
        <f>'segSales&amp;comps'!Y166</f>
        <v>-7</v>
      </c>
      <c r="I517" s="643" t="s">
        <v>1970</v>
      </c>
      <c r="J517" s="288">
        <f>D517-H517-F517</f>
        <v>5.9999999999999893</v>
      </c>
      <c r="K517" s="643" t="s">
        <v>1970</v>
      </c>
      <c r="L517" s="948">
        <f>Stores!U240</f>
        <v>57</v>
      </c>
      <c r="M517" s="256"/>
      <c r="N517" s="811">
        <f>AVERAGE(L517,L513)</f>
        <v>57</v>
      </c>
      <c r="O517" s="256"/>
      <c r="P517" s="288">
        <f>(N517/Stores!U233-1)*100</f>
        <v>7.547169811320753</v>
      </c>
      <c r="Q517" s="643" t="s">
        <v>1970</v>
      </c>
      <c r="R517" s="812">
        <f>J517/P517*100</f>
        <v>79.499999999999886</v>
      </c>
      <c r="S517" s="587" t="s">
        <v>1970</v>
      </c>
      <c r="T517" s="256"/>
      <c r="U517" s="256"/>
      <c r="V517" s="296">
        <f>'segSales&amp;comps'!W166</f>
        <v>125.248</v>
      </c>
      <c r="W517" s="238"/>
      <c r="X517" s="813">
        <f>V517/N517</f>
        <v>2.1973333333333334</v>
      </c>
      <c r="Y517" s="256"/>
      <c r="Z517" s="1503" t="s">
        <v>1896</v>
      </c>
      <c r="AA517" s="643" t="s">
        <v>1970</v>
      </c>
      <c r="AB517" s="256"/>
      <c r="AC517" s="1017">
        <f>L517*2700/1000000</f>
        <v>0.15390000000000001</v>
      </c>
      <c r="AD517" s="256" t="s">
        <v>505</v>
      </c>
      <c r="AE517" s="1122" t="s">
        <v>1086</v>
      </c>
      <c r="AF517" s="256"/>
      <c r="AG517" s="1122" t="s">
        <v>1086</v>
      </c>
      <c r="AH517" s="643" t="s">
        <v>1970</v>
      </c>
      <c r="AI517" s="1122" t="s">
        <v>1086</v>
      </c>
      <c r="AJ517" s="587" t="s">
        <v>1970</v>
      </c>
      <c r="AK517" s="256"/>
      <c r="AL517" s="296">
        <f>+V517</f>
        <v>125.248</v>
      </c>
      <c r="AM517" s="256" t="s">
        <v>505</v>
      </c>
      <c r="AN517" s="1122" t="s">
        <v>1086</v>
      </c>
      <c r="AO517" s="256"/>
      <c r="AP517" s="1122" t="s">
        <v>1086</v>
      </c>
      <c r="AQ517" s="643" t="s">
        <v>1970</v>
      </c>
      <c r="AR517" s="643"/>
      <c r="AS517" s="256"/>
      <c r="AT517" s="256"/>
      <c r="AU517" s="256"/>
      <c r="AV517" s="256"/>
      <c r="AW517" s="256"/>
      <c r="AX517" s="256"/>
      <c r="AY517" s="256"/>
      <c r="AZ517" s="1017">
        <v>9.660487107456853E-3</v>
      </c>
      <c r="BA517" s="1167"/>
      <c r="BB517" s="256"/>
      <c r="BC517" s="1017"/>
      <c r="BD517" s="1167"/>
      <c r="BF517" s="1017"/>
      <c r="BG517" s="1167"/>
      <c r="BH517" s="1167"/>
      <c r="BI517" s="297"/>
      <c r="BJ517" s="256"/>
      <c r="BK517" s="297">
        <f>F517</f>
        <v>14</v>
      </c>
      <c r="BL517" s="643" t="s">
        <v>1970</v>
      </c>
      <c r="BM517" s="1167"/>
      <c r="BN517" s="256"/>
      <c r="BO517" s="1592"/>
      <c r="BP517" s="1492"/>
    </row>
    <row r="518" spans="1:68" hidden="1" outlineLevel="1">
      <c r="A518" s="256" t="str">
        <f>$A$41</f>
        <v>2Q</v>
      </c>
      <c r="B518" s="302" t="str">
        <f>$B$41</f>
        <v>Jul</v>
      </c>
      <c r="C518" s="256"/>
      <c r="D518" s="288">
        <f>(V518/'segSales&amp;comps'!W160-1)*100</f>
        <v>12.000000000000011</v>
      </c>
      <c r="E518" s="256"/>
      <c r="F518" s="1473">
        <v>14</v>
      </c>
      <c r="G518" s="256"/>
      <c r="H518" s="2091">
        <f>'segSales&amp;comps'!Y167</f>
        <v>-7</v>
      </c>
      <c r="I518" s="256"/>
      <c r="J518" s="288">
        <f>D518-H518-F518</f>
        <v>5.0000000000000107</v>
      </c>
      <c r="K518" s="256"/>
      <c r="L518" s="948">
        <f>Stores!U241</f>
        <v>57</v>
      </c>
      <c r="M518" s="256"/>
      <c r="N518" s="811">
        <f>AVERAGE(L518,L517)</f>
        <v>57</v>
      </c>
      <c r="O518" s="256"/>
      <c r="P518" s="288">
        <f>(N518/Stores!U234-1)*100</f>
        <v>7.547169811320753</v>
      </c>
      <c r="Q518" s="643"/>
      <c r="R518" s="812">
        <f>J518/P518*100</f>
        <v>66.250000000000156</v>
      </c>
      <c r="S518" s="587"/>
      <c r="T518" s="256"/>
      <c r="U518" s="256"/>
      <c r="V518" s="315">
        <f>'segSales&amp;comps'!W167</f>
        <v>118.57299999999999</v>
      </c>
      <c r="W518" s="238"/>
      <c r="X518" s="818">
        <f>V518/N518</f>
        <v>2.0802280701754383</v>
      </c>
      <c r="Y518" s="256"/>
      <c r="Z518" s="1503" t="s">
        <v>1896</v>
      </c>
      <c r="AA518" s="643"/>
      <c r="AB518" s="256"/>
      <c r="AC518" s="1017">
        <f>L518*2700/1000000</f>
        <v>0.15390000000000001</v>
      </c>
      <c r="AD518" s="238"/>
      <c r="AE518" s="1122" t="s">
        <v>1086</v>
      </c>
      <c r="AF518" s="256"/>
      <c r="AG518" s="1122" t="s">
        <v>1086</v>
      </c>
      <c r="AH518" s="643"/>
      <c r="AI518" s="1122" t="s">
        <v>1086</v>
      </c>
      <c r="AJ518" s="587"/>
      <c r="AK518" s="256"/>
      <c r="AL518" s="315">
        <f>+V518</f>
        <v>118.57299999999999</v>
      </c>
      <c r="AM518" s="256"/>
      <c r="AN518" s="1122" t="s">
        <v>1086</v>
      </c>
      <c r="AO518" s="256"/>
      <c r="AP518" s="1122" t="s">
        <v>1086</v>
      </c>
      <c r="AQ518" s="643"/>
      <c r="AR518" s="643"/>
      <c r="AS518" s="256"/>
      <c r="AT518" s="256"/>
      <c r="AU518" s="256"/>
      <c r="AV518" s="256"/>
      <c r="AW518" s="256"/>
      <c r="AX518" s="256"/>
      <c r="AY518" s="256"/>
      <c r="AZ518" s="1017">
        <v>9.4358643542115754E-3</v>
      </c>
      <c r="BA518" s="1167"/>
      <c r="BB518" s="256"/>
      <c r="BC518" s="1017"/>
      <c r="BD518" s="1167"/>
      <c r="BF518" s="1017"/>
      <c r="BG518" s="1167"/>
      <c r="BH518" s="1167"/>
      <c r="BI518" s="297"/>
      <c r="BJ518" s="256"/>
      <c r="BK518" s="297">
        <f>F518</f>
        <v>14</v>
      </c>
      <c r="BL518" s="1167"/>
      <c r="BM518" s="1167"/>
      <c r="BN518" s="256"/>
      <c r="BO518" s="1592"/>
      <c r="BP518" s="1492"/>
    </row>
    <row r="519" spans="1:68" hidden="1" outlineLevel="1">
      <c r="A519" s="256" t="str">
        <f>$A$42</f>
        <v>3Q</v>
      </c>
      <c r="B519" s="302" t="str">
        <f>$B$42</f>
        <v>Oct</v>
      </c>
      <c r="C519" s="256"/>
      <c r="D519" s="288">
        <f>(V519/'segSales&amp;comps'!W161-1)*100</f>
        <v>1.0000000000000009</v>
      </c>
      <c r="E519" s="256"/>
      <c r="F519" s="1473">
        <v>9</v>
      </c>
      <c r="G519" s="256"/>
      <c r="H519" s="2091">
        <f>'segSales&amp;comps'!Y168</f>
        <v>-7</v>
      </c>
      <c r="I519" s="256"/>
      <c r="J519" s="288">
        <f>D519-H519-F519</f>
        <v>-1</v>
      </c>
      <c r="K519" s="256"/>
      <c r="L519" s="948">
        <f>Stores!U242</f>
        <v>57</v>
      </c>
      <c r="M519" s="238"/>
      <c r="N519" s="811">
        <f>AVERAGE(L519,L518)</f>
        <v>57</v>
      </c>
      <c r="O519" s="256"/>
      <c r="P519" s="288">
        <f>(N519/Stores!U235-1)*100</f>
        <v>7.547169811320753</v>
      </c>
      <c r="Q519" s="643"/>
      <c r="R519" s="812">
        <f>J519/P519*100</f>
        <v>-13.250000000000004</v>
      </c>
      <c r="S519" s="587"/>
      <c r="T519" s="256"/>
      <c r="U519" s="256"/>
      <c r="V519" s="315">
        <f>'segSales&amp;comps'!W168</f>
        <v>113.56</v>
      </c>
      <c r="W519" s="256"/>
      <c r="X519" s="818">
        <f>V519/N519</f>
        <v>1.992280701754386</v>
      </c>
      <c r="Y519" s="256"/>
      <c r="Z519" s="1503" t="s">
        <v>1896</v>
      </c>
      <c r="AA519" s="643"/>
      <c r="AB519" s="256"/>
      <c r="AC519" s="1017">
        <f>L519*2700/1000000</f>
        <v>0.15390000000000001</v>
      </c>
      <c r="AD519" s="238"/>
      <c r="AE519" s="1122" t="s">
        <v>1086</v>
      </c>
      <c r="AF519" s="256"/>
      <c r="AG519" s="1122" t="s">
        <v>1086</v>
      </c>
      <c r="AH519" s="643"/>
      <c r="AI519" s="1122" t="s">
        <v>1086</v>
      </c>
      <c r="AJ519" s="587"/>
      <c r="AK519" s="256"/>
      <c r="AL519" s="315">
        <f>+V519</f>
        <v>113.56</v>
      </c>
      <c r="AM519" s="256"/>
      <c r="AN519" s="1122" t="s">
        <v>1086</v>
      </c>
      <c r="AO519" s="256"/>
      <c r="AP519" s="1122" t="s">
        <v>1086</v>
      </c>
      <c r="AQ519" s="643"/>
      <c r="AR519" s="643"/>
      <c r="AS519" s="256"/>
      <c r="AT519" s="256"/>
      <c r="AU519" s="256"/>
      <c r="AV519" s="256"/>
      <c r="AW519" s="256"/>
      <c r="AX519" s="256"/>
      <c r="AY519" s="256"/>
      <c r="AZ519" s="1017">
        <v>9.4915958419124896E-3</v>
      </c>
      <c r="BA519" s="1167"/>
      <c r="BB519" s="256"/>
      <c r="BC519" s="1017"/>
      <c r="BD519" s="1167"/>
      <c r="BF519" s="1017"/>
      <c r="BG519" s="1167"/>
      <c r="BH519" s="1167"/>
      <c r="BI519" s="297"/>
      <c r="BJ519" s="256"/>
      <c r="BK519" s="297">
        <f>F519</f>
        <v>9</v>
      </c>
      <c r="BL519" s="1167"/>
      <c r="BM519" s="1167"/>
      <c r="BN519" s="256"/>
      <c r="BO519" s="1592"/>
      <c r="BP519" s="1492"/>
    </row>
    <row r="520" spans="1:68" hidden="1" outlineLevel="1">
      <c r="A520" s="256" t="str">
        <f>$A$43</f>
        <v>4Q</v>
      </c>
      <c r="B520" s="302" t="str">
        <f>$B$43</f>
        <v>Jan</v>
      </c>
      <c r="C520" s="256"/>
      <c r="D520" s="318">
        <f>(V520/'segSales&amp;comps'!W162-1)*100</f>
        <v>4.0000000000000036</v>
      </c>
      <c r="E520" s="256"/>
      <c r="F520" s="1515">
        <v>17</v>
      </c>
      <c r="G520" s="256"/>
      <c r="H520" s="2095">
        <f>'segSales&amp;comps'!Y169</f>
        <v>-16</v>
      </c>
      <c r="I520" s="256"/>
      <c r="J520" s="318">
        <f>D520-H520-F520</f>
        <v>3.0000000000000036</v>
      </c>
      <c r="K520" s="256"/>
      <c r="L520" s="949">
        <f>Stores!U243</f>
        <v>57</v>
      </c>
      <c r="M520" s="238"/>
      <c r="N520" s="820">
        <f>AVERAGE(L520,L519)</f>
        <v>57</v>
      </c>
      <c r="O520" s="256"/>
      <c r="P520" s="318">
        <f>(N520/Stores!U236-1)*100</f>
        <v>7.547169811320753</v>
      </c>
      <c r="Q520" s="643"/>
      <c r="R520" s="820">
        <f>J520/P520*100</f>
        <v>39.750000000000057</v>
      </c>
      <c r="S520" s="587"/>
      <c r="T520" s="256"/>
      <c r="U520" s="256"/>
      <c r="V520" s="316">
        <f>'segSales&amp;comps'!W169</f>
        <v>176.09299999999999</v>
      </c>
      <c r="W520" s="256"/>
      <c r="X520" s="821">
        <f>V520/N520</f>
        <v>3.0893508771929823</v>
      </c>
      <c r="Y520" s="256"/>
      <c r="Z520" s="1504" t="s">
        <v>1896</v>
      </c>
      <c r="AA520" s="643"/>
      <c r="AB520" s="256"/>
      <c r="AC520" s="1017">
        <f>L520*2700/1000000</f>
        <v>0.15390000000000001</v>
      </c>
      <c r="AD520" s="238"/>
      <c r="AE520" s="1123" t="s">
        <v>1086</v>
      </c>
      <c r="AF520" s="256"/>
      <c r="AG520" s="1123" t="s">
        <v>1086</v>
      </c>
      <c r="AH520" s="643"/>
      <c r="AI520" s="1123" t="s">
        <v>1086</v>
      </c>
      <c r="AJ520" s="587"/>
      <c r="AK520" s="256"/>
      <c r="AL520" s="316">
        <f>+V520</f>
        <v>176.09299999999999</v>
      </c>
      <c r="AM520" s="256"/>
      <c r="AN520" s="1123" t="s">
        <v>1086</v>
      </c>
      <c r="AO520" s="256"/>
      <c r="AP520" s="1123" t="s">
        <v>1086</v>
      </c>
      <c r="AQ520" s="643"/>
      <c r="AR520" s="643"/>
      <c r="AS520" s="256"/>
      <c r="AT520" s="256"/>
      <c r="AU520" s="256"/>
      <c r="AV520" s="256"/>
      <c r="AW520" s="256"/>
      <c r="AX520" s="256"/>
      <c r="AY520" s="256"/>
      <c r="AZ520" s="1601">
        <v>1.0776398161751015E-2</v>
      </c>
      <c r="BA520" s="1602"/>
      <c r="BB520" s="256"/>
      <c r="BC520" s="1601"/>
      <c r="BD520" s="1602"/>
      <c r="BF520" s="1601"/>
      <c r="BG520" s="1602"/>
      <c r="BH520" s="1167"/>
      <c r="BI520" s="298"/>
      <c r="BJ520" s="256"/>
      <c r="BK520" s="298">
        <f>F520</f>
        <v>17</v>
      </c>
      <c r="BL520" s="1167"/>
      <c r="BM520" s="1167"/>
      <c r="BN520" s="256"/>
      <c r="BO520" s="1592"/>
      <c r="BP520" s="1492"/>
    </row>
    <row r="521" spans="1:68" hidden="1" outlineLevel="1">
      <c r="A521" s="256"/>
      <c r="B521" s="302" t="str">
        <f>$B$44</f>
        <v>Year</v>
      </c>
      <c r="C521" s="256"/>
      <c r="D521" s="288">
        <f>(V521/'segSales&amp;comps'!W163-1)*100</f>
        <v>7.0236786433567344</v>
      </c>
      <c r="E521" s="256"/>
      <c r="F521" s="1473">
        <v>14</v>
      </c>
      <c r="G521" s="256"/>
      <c r="H521" s="2091">
        <f>'segSales&amp;comps'!Y170</f>
        <v>-10</v>
      </c>
      <c r="I521" s="256"/>
      <c r="J521" s="288">
        <f>D521-H521-F521</f>
        <v>3.0236786433567353</v>
      </c>
      <c r="K521" s="256"/>
      <c r="L521" s="951">
        <f>Stores!U244</f>
        <v>57</v>
      </c>
      <c r="M521" s="256"/>
      <c r="N521" s="811">
        <f>AVERAGE(N517:N520)</f>
        <v>57</v>
      </c>
      <c r="O521" s="256"/>
      <c r="P521" s="288">
        <f>(N521/Stores!U237-1)*100</f>
        <v>7.547169811320753</v>
      </c>
      <c r="Q521" s="643"/>
      <c r="R521" s="812">
        <f>J521/P521*100</f>
        <v>40.063742024476753</v>
      </c>
      <c r="S521" s="587"/>
      <c r="T521" s="256"/>
      <c r="U521" s="256"/>
      <c r="V521" s="296">
        <f>SUM(V517:V520)</f>
        <v>533.47399999999993</v>
      </c>
      <c r="W521" s="256"/>
      <c r="X521" s="813">
        <f>SUM(X517:X520)</f>
        <v>9.3591929824561397</v>
      </c>
      <c r="Y521" s="256"/>
      <c r="Z521" s="1503" t="s">
        <v>1896</v>
      </c>
      <c r="AA521" s="643"/>
      <c r="AB521" s="256"/>
      <c r="AC521" s="815"/>
      <c r="AD521" s="256"/>
      <c r="AE521" s="1122" t="s">
        <v>1086</v>
      </c>
      <c r="AF521" s="256"/>
      <c r="AG521" s="1122" t="s">
        <v>1086</v>
      </c>
      <c r="AH521" s="643"/>
      <c r="AI521" s="1122" t="s">
        <v>1086</v>
      </c>
      <c r="AJ521" s="587"/>
      <c r="AK521" s="256"/>
      <c r="AL521" s="296">
        <f>SUM(AL517:AL520)</f>
        <v>533.47399999999993</v>
      </c>
      <c r="AM521" s="256"/>
      <c r="AN521" s="1122" t="s">
        <v>1086</v>
      </c>
      <c r="AO521" s="256"/>
      <c r="AP521" s="1122" t="s">
        <v>1086</v>
      </c>
      <c r="AQ521" s="643"/>
      <c r="AR521" s="643"/>
      <c r="AS521" s="256"/>
      <c r="AT521" s="256"/>
      <c r="AU521" s="256"/>
      <c r="AV521" s="256"/>
      <c r="AW521" s="256"/>
      <c r="AX521" s="256"/>
      <c r="AY521" s="256"/>
      <c r="AZ521" s="1017">
        <v>9.8069025197581039E-3</v>
      </c>
      <c r="BA521" s="1167"/>
      <c r="BB521" s="256"/>
      <c r="BC521" s="1017"/>
      <c r="BD521" s="1167"/>
      <c r="BF521" s="1017"/>
      <c r="BG521" s="1167"/>
      <c r="BH521" s="1167"/>
      <c r="BI521" s="297"/>
      <c r="BJ521" s="256"/>
      <c r="BK521" s="297">
        <f>F521</f>
        <v>14</v>
      </c>
      <c r="BL521" s="1167"/>
      <c r="BM521" s="1167"/>
      <c r="BN521" s="302"/>
      <c r="BO521" s="587"/>
      <c r="BP521" s="587"/>
    </row>
    <row r="522" spans="1:68" ht="13.5" hidden="1" outlineLevel="1" thickBot="1">
      <c r="A522" s="132"/>
      <c r="B522" s="174"/>
      <c r="C522" s="132"/>
      <c r="D522" s="132"/>
      <c r="E522" s="132"/>
      <c r="F522" s="1516"/>
      <c r="G522" s="132"/>
      <c r="H522" s="2085"/>
      <c r="I522" s="132"/>
      <c r="J522" s="132"/>
      <c r="K522" s="132"/>
      <c r="L522" s="132"/>
      <c r="M522" s="132"/>
      <c r="N522" s="132"/>
      <c r="O522" s="132"/>
      <c r="P522" s="132"/>
      <c r="Q522" s="132"/>
      <c r="R522" s="132"/>
      <c r="S522" s="132"/>
      <c r="T522" s="132"/>
      <c r="U522" s="132"/>
      <c r="V522" s="132"/>
      <c r="W522" s="132"/>
      <c r="X522" s="132"/>
      <c r="Y522" s="132"/>
      <c r="Z522" s="132"/>
      <c r="AA522" s="132"/>
      <c r="AB522" s="132"/>
      <c r="AC522" s="132"/>
      <c r="AD522" s="132"/>
      <c r="AE522" s="132"/>
      <c r="AF522" s="132"/>
      <c r="AG522" s="132"/>
      <c r="AH522" s="132"/>
      <c r="AI522" s="132"/>
      <c r="AJ522" s="132"/>
      <c r="AK522" s="132"/>
      <c r="AL522" s="132"/>
      <c r="AM522" s="132"/>
      <c r="AN522" s="132"/>
      <c r="AO522" s="132"/>
      <c r="AP522" s="132"/>
      <c r="AQ522" s="132"/>
      <c r="AR522" s="132"/>
      <c r="AS522" s="132"/>
      <c r="AT522" s="132"/>
      <c r="AU522" s="132"/>
      <c r="AV522" s="132"/>
      <c r="AW522" s="132"/>
      <c r="AX522" s="132"/>
      <c r="AY522" s="132"/>
      <c r="AZ522" s="132"/>
      <c r="BA522" s="132"/>
      <c r="BB522" s="132"/>
      <c r="BC522" s="132"/>
      <c r="BD522" s="236"/>
      <c r="BE522" s="236"/>
      <c r="BF522" s="132"/>
      <c r="BG522" s="132"/>
      <c r="BH522" s="132"/>
      <c r="BI522" s="132"/>
      <c r="BJ522" s="132"/>
      <c r="BK522" s="132"/>
      <c r="BL522" s="132"/>
      <c r="BM522" s="132"/>
      <c r="BN522" s="132"/>
      <c r="BO522" s="587"/>
      <c r="BP522" s="587"/>
    </row>
    <row r="523" spans="1:68" ht="13.5" hidden="1" outlineLevel="1" thickBot="1">
      <c r="A523" s="810"/>
      <c r="B523" s="171">
        <f>+B516+1</f>
        <v>2009</v>
      </c>
      <c r="C523" s="256"/>
      <c r="D523" s="256"/>
      <c r="E523" s="643"/>
      <c r="F523" s="1473"/>
      <c r="G523" s="643"/>
      <c r="H523" s="2091"/>
      <c r="I523" s="643"/>
      <c r="J523" s="256"/>
      <c r="K523" s="643"/>
      <c r="L523" s="256"/>
      <c r="M523" s="256"/>
      <c r="N523" s="256"/>
      <c r="O523" s="256"/>
      <c r="P523" s="256"/>
      <c r="Q523" s="643"/>
      <c r="R523" s="587"/>
      <c r="S523" s="587"/>
      <c r="T523" s="256"/>
      <c r="U523" s="256"/>
      <c r="V523" s="256"/>
      <c r="W523" s="256"/>
      <c r="X523" s="256"/>
      <c r="Y523" s="256"/>
      <c r="Z523" s="256"/>
      <c r="AA523" s="643"/>
      <c r="AB523" s="256"/>
      <c r="AC523" s="256"/>
      <c r="AD523" s="256"/>
      <c r="AE523" s="256"/>
      <c r="AF523" s="256"/>
      <c r="AG523" s="256"/>
      <c r="AH523" s="643"/>
      <c r="AI523" s="587"/>
      <c r="AJ523" s="587"/>
      <c r="AK523" s="256"/>
      <c r="AL523" s="256"/>
      <c r="AM523" s="256"/>
      <c r="AN523" s="256"/>
      <c r="AO523" s="256"/>
      <c r="AP523" s="320"/>
      <c r="AQ523" s="643"/>
      <c r="AR523" s="643"/>
      <c r="AS523" s="256"/>
      <c r="AT523" s="256"/>
      <c r="AU523" s="256"/>
      <c r="AV523" s="256"/>
      <c r="AW523" s="256"/>
      <c r="AX523" s="256"/>
      <c r="AY523" s="256"/>
      <c r="AZ523" s="1605">
        <v>1</v>
      </c>
      <c r="BA523" s="587"/>
      <c r="BB523" s="587"/>
      <c r="BC523" s="1605"/>
      <c r="BD523" s="1603"/>
      <c r="BE523" s="587"/>
      <c r="BF523" s="1606"/>
      <c r="BG523" s="587"/>
      <c r="BH523" s="256"/>
      <c r="BI523" s="256"/>
      <c r="BJ523" s="256"/>
      <c r="BL523" s="256"/>
      <c r="BM523" s="256"/>
      <c r="BN523" s="256"/>
      <c r="BO523" s="587"/>
      <c r="BP523" s="587"/>
    </row>
    <row r="524" spans="1:68" hidden="1" outlineLevel="1">
      <c r="A524" s="256" t="str">
        <f>$A$40</f>
        <v>1Q</v>
      </c>
      <c r="B524" s="302" t="str">
        <f>$B$40</f>
        <v>Apr</v>
      </c>
      <c r="C524" s="256"/>
      <c r="D524" s="288">
        <f>(V524/V517-1)*100</f>
        <v>-6.5621806336228943</v>
      </c>
      <c r="E524" s="643" t="s">
        <v>1970</v>
      </c>
      <c r="F524" s="1156">
        <v>7</v>
      </c>
      <c r="G524" s="643"/>
      <c r="H524" s="2091">
        <f>'segSales&amp;comps'!Y173</f>
        <v>-13</v>
      </c>
      <c r="I524" s="643" t="s">
        <v>1970</v>
      </c>
      <c r="J524" s="288">
        <f>D524-H524-F524</f>
        <v>-0.56218063362289428</v>
      </c>
      <c r="K524" s="643" t="s">
        <v>1970</v>
      </c>
      <c r="L524" s="948">
        <f>Stores!U247</f>
        <v>56</v>
      </c>
      <c r="M524" s="256"/>
      <c r="N524" s="811">
        <f>AVERAGE(L524,L520)</f>
        <v>56.5</v>
      </c>
      <c r="O524" s="256"/>
      <c r="P524" s="288">
        <f>(N524/N517-1)*100</f>
        <v>-0.87719298245614308</v>
      </c>
      <c r="Q524" s="643" t="s">
        <v>1970</v>
      </c>
      <c r="R524" s="1487" t="s">
        <v>1086</v>
      </c>
      <c r="S524" s="587" t="s">
        <v>1970</v>
      </c>
      <c r="T524" s="256"/>
      <c r="U524" s="256"/>
      <c r="V524" s="296">
        <f>'segSales&amp;comps'!W173</f>
        <v>117.029</v>
      </c>
      <c r="W524" s="238"/>
      <c r="X524" s="813">
        <f>V524/N524</f>
        <v>2.0713097345132745</v>
      </c>
      <c r="Y524" s="256"/>
      <c r="Z524" s="814">
        <f>(X524/X517-1)*100</f>
        <v>-5.7352972763983097</v>
      </c>
      <c r="AA524" s="643" t="s">
        <v>1970</v>
      </c>
      <c r="AB524" s="256"/>
      <c r="AC524" s="1017">
        <f>L524*2700/1000000</f>
        <v>0.1512</v>
      </c>
      <c r="AD524" s="256" t="s">
        <v>505</v>
      </c>
      <c r="AE524" s="816">
        <f>AVERAGE(AC524,AC520)</f>
        <v>0.15255000000000002</v>
      </c>
      <c r="AF524" s="256"/>
      <c r="AG524" s="1122" t="s">
        <v>1086</v>
      </c>
      <c r="AH524" s="643" t="s">
        <v>1970</v>
      </c>
      <c r="AI524" s="1122" t="s">
        <v>1086</v>
      </c>
      <c r="AJ524" s="587" t="s">
        <v>1970</v>
      </c>
      <c r="AK524" s="256"/>
      <c r="AL524" s="296">
        <f>+V524</f>
        <v>117.029</v>
      </c>
      <c r="AM524" s="256" t="s">
        <v>505</v>
      </c>
      <c r="AN524" s="817">
        <f>AL524/AE524</f>
        <v>767.15175352343488</v>
      </c>
      <c r="AO524" s="256"/>
      <c r="AP524" s="1122" t="s">
        <v>1086</v>
      </c>
      <c r="AQ524" s="643" t="s">
        <v>1970</v>
      </c>
      <c r="AR524" s="643"/>
      <c r="AS524" s="256"/>
      <c r="AT524" s="256"/>
      <c r="AU524" s="256"/>
      <c r="AV524" s="256"/>
      <c r="AW524" s="256"/>
      <c r="AX524" s="256"/>
      <c r="AY524" s="256"/>
      <c r="AZ524" s="1017">
        <v>1.0361285786388836E-2</v>
      </c>
      <c r="BA524" s="1167">
        <f>+(AZ524/AZ517-1)*100</f>
        <v>7.2542789109572015</v>
      </c>
      <c r="BB524" s="1609" t="s">
        <v>1970</v>
      </c>
      <c r="BC524" s="1017"/>
      <c r="BD524" s="1167"/>
      <c r="BF524" s="1017"/>
      <c r="BG524" s="1167"/>
      <c r="BH524" s="1167"/>
      <c r="BI524" s="297">
        <f>(AZ523*BA524)+(BC523*BD524)+(BF523*BG524)</f>
        <v>7.2542789109572015</v>
      </c>
      <c r="BJ524" s="643" t="s">
        <v>1970</v>
      </c>
      <c r="BK524" s="297">
        <f>F524</f>
        <v>7</v>
      </c>
      <c r="BL524" s="643" t="s">
        <v>1970</v>
      </c>
      <c r="BM524" s="1167"/>
      <c r="BN524" s="256"/>
      <c r="BO524" s="1592"/>
      <c r="BP524" s="1492"/>
    </row>
    <row r="525" spans="1:68" hidden="1" outlineLevel="1">
      <c r="A525" s="256" t="str">
        <f>$A$41</f>
        <v>2Q</v>
      </c>
      <c r="B525" s="302" t="str">
        <f>$B$41</f>
        <v>Jul</v>
      </c>
      <c r="C525" s="256"/>
      <c r="D525" s="288">
        <f>(V525/V518-1)*100</f>
        <v>-4.0776568021387627</v>
      </c>
      <c r="E525" s="256"/>
      <c r="F525" s="1156">
        <v>10</v>
      </c>
      <c r="G525" s="256"/>
      <c r="H525" s="2091">
        <f>'segSales&amp;comps'!Y174</f>
        <v>-11</v>
      </c>
      <c r="I525" s="256"/>
      <c r="J525" s="288">
        <f>D525-H525-F525</f>
        <v>-3.0776568021387627</v>
      </c>
      <c r="K525" s="256"/>
      <c r="L525" s="948">
        <f>Stores!U248</f>
        <v>57</v>
      </c>
      <c r="M525" s="256"/>
      <c r="N525" s="811">
        <f>AVERAGE(L525,L524)</f>
        <v>56.5</v>
      </c>
      <c r="O525" s="256"/>
      <c r="P525" s="288">
        <f>(N525/N518-1)*100</f>
        <v>-0.87719298245614308</v>
      </c>
      <c r="Q525" s="643"/>
      <c r="R525" s="1487" t="s">
        <v>1086</v>
      </c>
      <c r="S525" s="587"/>
      <c r="T525" s="256"/>
      <c r="U525" s="256"/>
      <c r="V525" s="315">
        <f>'segSales&amp;comps'!W174</f>
        <v>113.738</v>
      </c>
      <c r="W525" s="238"/>
      <c r="X525" s="818">
        <f>V525/N525</f>
        <v>2.0130619469026549</v>
      </c>
      <c r="Y525" s="256"/>
      <c r="Z525" s="814">
        <f>(X525/X518-1)*100</f>
        <v>-3.2287865083523659</v>
      </c>
      <c r="AA525" s="643"/>
      <c r="AB525" s="256"/>
      <c r="AC525" s="1017">
        <f>L525*2700/1000000</f>
        <v>0.15390000000000001</v>
      </c>
      <c r="AD525" s="238"/>
      <c r="AE525" s="816">
        <f>AVERAGE(AC524:AC525)</f>
        <v>0.15255000000000002</v>
      </c>
      <c r="AF525" s="256"/>
      <c r="AG525" s="1122" t="s">
        <v>1086</v>
      </c>
      <c r="AH525" s="643"/>
      <c r="AI525" s="1122" t="s">
        <v>1086</v>
      </c>
      <c r="AJ525" s="587"/>
      <c r="AK525" s="256"/>
      <c r="AL525" s="315">
        <f>+V525</f>
        <v>113.738</v>
      </c>
      <c r="AM525" s="256"/>
      <c r="AN525" s="817">
        <f>AL525/AE525</f>
        <v>745.57849885283508</v>
      </c>
      <c r="AO525" s="256"/>
      <c r="AP525" s="1122" t="s">
        <v>1086</v>
      </c>
      <c r="AQ525" s="643"/>
      <c r="AR525" s="643"/>
      <c r="AS525" s="256"/>
      <c r="AT525" s="256"/>
      <c r="AU525" s="256"/>
      <c r="AV525" s="256"/>
      <c r="AW525" s="256"/>
      <c r="AX525" s="256"/>
      <c r="AY525" s="256"/>
      <c r="AZ525" s="1017">
        <v>1.0424589496179136E-2</v>
      </c>
      <c r="BA525" s="1167">
        <f>+(AZ525/AZ518-1)*100</f>
        <v>10.478373838918698</v>
      </c>
      <c r="BB525" s="256"/>
      <c r="BC525" s="1017"/>
      <c r="BD525" s="1167"/>
      <c r="BF525" s="1017"/>
      <c r="BG525" s="1167"/>
      <c r="BH525" s="1167"/>
      <c r="BI525" s="297">
        <f>(AZ523*BA525)+(BC523*BD525)+(BF523*BG525)</f>
        <v>10.478373838918698</v>
      </c>
      <c r="BJ525" s="256"/>
      <c r="BK525" s="297">
        <f>F525</f>
        <v>10</v>
      </c>
      <c r="BL525" s="1167"/>
      <c r="BM525" s="1167"/>
      <c r="BN525" s="256"/>
      <c r="BO525" s="1592"/>
      <c r="BP525" s="1492"/>
    </row>
    <row r="526" spans="1:68" hidden="1" outlineLevel="1">
      <c r="A526" s="256" t="str">
        <f>$A$42</f>
        <v>3Q</v>
      </c>
      <c r="B526" s="302" t="str">
        <f>$B$42</f>
        <v>Oct</v>
      </c>
      <c r="C526" s="256"/>
      <c r="D526" s="288">
        <f>(V526/V519-1)*100</f>
        <v>3.0838323353293395</v>
      </c>
      <c r="E526" s="256"/>
      <c r="F526" s="1156">
        <v>13</v>
      </c>
      <c r="G526" s="256"/>
      <c r="H526" s="2091">
        <f>'segSales&amp;comps'!Y175</f>
        <v>-13</v>
      </c>
      <c r="I526" s="256"/>
      <c r="J526" s="288">
        <f>D526-H526-F526</f>
        <v>3.0838323353293404</v>
      </c>
      <c r="K526" s="256"/>
      <c r="L526" s="948">
        <f>Stores!U249</f>
        <v>57</v>
      </c>
      <c r="M526" s="238"/>
      <c r="N526" s="811">
        <f>AVERAGE(L526,L525)</f>
        <v>57</v>
      </c>
      <c r="O526" s="256"/>
      <c r="P526" s="288">
        <f>(N526/N519-1)*100</f>
        <v>0</v>
      </c>
      <c r="Q526" s="643"/>
      <c r="R526" s="1487" t="s">
        <v>1086</v>
      </c>
      <c r="S526" s="587"/>
      <c r="T526" s="256"/>
      <c r="U526" s="256"/>
      <c r="V526" s="315">
        <f>'segSales&amp;comps'!W175</f>
        <v>117.062</v>
      </c>
      <c r="W526" s="256"/>
      <c r="X526" s="818">
        <f>V526/N526</f>
        <v>2.0537192982456141</v>
      </c>
      <c r="Y526" s="256"/>
      <c r="Z526" s="814">
        <f>(X526/X519-1)*100</f>
        <v>3.0838323353293395</v>
      </c>
      <c r="AA526" s="643"/>
      <c r="AB526" s="256"/>
      <c r="AC526" s="1017">
        <f>L526*2700/1000000</f>
        <v>0.15390000000000001</v>
      </c>
      <c r="AD526" s="238"/>
      <c r="AE526" s="816">
        <f>AVERAGE(AC525:AC526)</f>
        <v>0.15390000000000001</v>
      </c>
      <c r="AF526" s="256"/>
      <c r="AG526" s="1122" t="s">
        <v>1086</v>
      </c>
      <c r="AH526" s="643"/>
      <c r="AI526" s="1122" t="s">
        <v>1086</v>
      </c>
      <c r="AJ526" s="587"/>
      <c r="AK526" s="256"/>
      <c r="AL526" s="315">
        <f>+V526</f>
        <v>117.062</v>
      </c>
      <c r="AM526" s="256"/>
      <c r="AN526" s="817">
        <f>AL526/AE526</f>
        <v>760.63677712800518</v>
      </c>
      <c r="AO526" s="256"/>
      <c r="AP526" s="1122" t="s">
        <v>1086</v>
      </c>
      <c r="AQ526" s="643"/>
      <c r="AR526" s="643"/>
      <c r="AS526" s="256"/>
      <c r="AT526" s="256"/>
      <c r="AU526" s="256"/>
      <c r="AV526" s="256"/>
      <c r="AW526" s="256"/>
      <c r="AX526" s="256"/>
      <c r="AY526" s="256"/>
      <c r="AZ526" s="1017">
        <v>1.0841619004518804E-2</v>
      </c>
      <c r="BA526" s="1167">
        <f>+(AZ526/AZ519-1)*100</f>
        <v>14.223352796428102</v>
      </c>
      <c r="BB526" s="256"/>
      <c r="BC526" s="1017"/>
      <c r="BD526" s="1167"/>
      <c r="BF526" s="1017"/>
      <c r="BG526" s="1167"/>
      <c r="BH526" s="1167"/>
      <c r="BI526" s="297">
        <f>(AZ523*BA526)+(BC523*BD526)+(BF523*BG526)</f>
        <v>14.223352796428102</v>
      </c>
      <c r="BJ526" s="256"/>
      <c r="BK526" s="297">
        <f>F526</f>
        <v>13</v>
      </c>
      <c r="BL526" s="1167"/>
      <c r="BM526" s="1167"/>
      <c r="BN526" s="256"/>
      <c r="BO526" s="1592"/>
      <c r="BP526" s="1492"/>
    </row>
    <row r="527" spans="1:68" hidden="1" outlineLevel="1">
      <c r="A527" s="256" t="str">
        <f>$A$43</f>
        <v>4Q</v>
      </c>
      <c r="B527" s="302" t="str">
        <f>$B$43</f>
        <v>Jan</v>
      </c>
      <c r="C527" s="256"/>
      <c r="D527" s="318">
        <f>(V527/V520-1)*100</f>
        <v>-6.2086511104927471</v>
      </c>
      <c r="E527" s="256"/>
      <c r="F527" s="1148">
        <v>2</v>
      </c>
      <c r="G527" s="256"/>
      <c r="H527" s="2095">
        <f>'segSales&amp;comps'!Y176</f>
        <v>-9</v>
      </c>
      <c r="I527" s="256"/>
      <c r="J527" s="318">
        <f>D527-H527-F527</f>
        <v>0.79134888950725291</v>
      </c>
      <c r="K527" s="256"/>
      <c r="L527" s="949">
        <f>Stores!U250</f>
        <v>57</v>
      </c>
      <c r="M527" s="238"/>
      <c r="N527" s="820">
        <f>AVERAGE(L527,L526)</f>
        <v>57</v>
      </c>
      <c r="O527" s="256"/>
      <c r="P527" s="318">
        <f>(N527/N520-1)*100</f>
        <v>0</v>
      </c>
      <c r="Q527" s="643"/>
      <c r="R527" s="1488" t="s">
        <v>1086</v>
      </c>
      <c r="S527" s="587"/>
      <c r="T527" s="256"/>
      <c r="U527" s="256"/>
      <c r="V527" s="316">
        <f>'segSales&amp;comps'!W176</f>
        <v>165.16</v>
      </c>
      <c r="W527" s="256"/>
      <c r="X527" s="821">
        <f>V527/N527</f>
        <v>2.8975438596491228</v>
      </c>
      <c r="Y527" s="256"/>
      <c r="Z527" s="298">
        <f>(X527/X520-1)*100</f>
        <v>-6.2086511104927471</v>
      </c>
      <c r="AA527" s="643"/>
      <c r="AB527" s="256"/>
      <c r="AC527" s="1017">
        <f>+Stores!X250</f>
        <v>0.1545</v>
      </c>
      <c r="AD527" s="238"/>
      <c r="AE527" s="822">
        <f>AVERAGE(AC526:AC527)</f>
        <v>0.1542</v>
      </c>
      <c r="AF527" s="256"/>
      <c r="AG527" s="1123" t="s">
        <v>1086</v>
      </c>
      <c r="AH527" s="643"/>
      <c r="AI527" s="1123" t="s">
        <v>1086</v>
      </c>
      <c r="AJ527" s="587"/>
      <c r="AK527" s="256"/>
      <c r="AL527" s="316">
        <f>+V527</f>
        <v>165.16</v>
      </c>
      <c r="AM527" s="256"/>
      <c r="AN527" s="950">
        <f>AL527/AE527</f>
        <v>1071.0765239948119</v>
      </c>
      <c r="AO527" s="256"/>
      <c r="AP527" s="1123" t="s">
        <v>1086</v>
      </c>
      <c r="AQ527" s="643"/>
      <c r="AR527" s="643"/>
      <c r="AS527" s="256"/>
      <c r="AT527" s="256"/>
      <c r="AU527" s="256"/>
      <c r="AV527" s="256"/>
      <c r="AW527" s="256"/>
      <c r="AX527" s="256"/>
      <c r="AY527" s="256"/>
      <c r="AZ527" s="1601">
        <v>1.1098674094922299E-2</v>
      </c>
      <c r="BA527" s="1602">
        <f>+(AZ527/AZ520-1)*100</f>
        <v>2.9905718806414017</v>
      </c>
      <c r="BB527" s="256"/>
      <c r="BC527" s="1601"/>
      <c r="BD527" s="1602"/>
      <c r="BF527" s="1601"/>
      <c r="BG527" s="1602"/>
      <c r="BH527" s="1167"/>
      <c r="BI527" s="298">
        <f>(AZ523*BA527)+(BC523*BD527)+(BF523*BG527)</f>
        <v>2.9905718806414017</v>
      </c>
      <c r="BJ527" s="256"/>
      <c r="BK527" s="298">
        <f>F527</f>
        <v>2</v>
      </c>
      <c r="BL527" s="1167"/>
      <c r="BM527" s="1167"/>
      <c r="BN527" s="256"/>
      <c r="BO527" s="1592"/>
      <c r="BP527" s="1492"/>
    </row>
    <row r="528" spans="1:68" hidden="1" outlineLevel="1">
      <c r="A528" s="256"/>
      <c r="B528" s="302" t="str">
        <f>$B$44</f>
        <v>Year</v>
      </c>
      <c r="C528" s="256"/>
      <c r="D528" s="288">
        <f>(V528/V521-1)*100</f>
        <v>-3.8399247198551145</v>
      </c>
      <c r="E528" s="256"/>
      <c r="F528" s="1473">
        <v>7</v>
      </c>
      <c r="G528" s="256"/>
      <c r="H528" s="2091">
        <f>'segSales&amp;comps'!Y177</f>
        <v>-11</v>
      </c>
      <c r="I528" s="256"/>
      <c r="J528" s="288">
        <f>D528-H528-F528</f>
        <v>0.16007528014488592</v>
      </c>
      <c r="K528" s="256"/>
      <c r="L528" s="951">
        <f>Stores!U251</f>
        <v>57</v>
      </c>
      <c r="M528" s="256"/>
      <c r="N528" s="811">
        <f>AVERAGE(N524:N527)</f>
        <v>56.75</v>
      </c>
      <c r="O528" s="256"/>
      <c r="P528" s="288">
        <f>(N528/N521-1)*100</f>
        <v>-0.43859649122807154</v>
      </c>
      <c r="Q528" s="643"/>
      <c r="R528" s="1487" t="s">
        <v>1086</v>
      </c>
      <c r="S528" s="587"/>
      <c r="T528" s="256"/>
      <c r="U528" s="256"/>
      <c r="V528" s="296">
        <f>SUM(V524:V527)</f>
        <v>512.98900000000003</v>
      </c>
      <c r="W528" s="256"/>
      <c r="X528" s="813">
        <f>SUM(X524:X527)</f>
        <v>9.0356348393106654</v>
      </c>
      <c r="Y528" s="256"/>
      <c r="Z528" s="814">
        <f>(X528/X521-1)*100</f>
        <v>-3.4571158405643065</v>
      </c>
      <c r="AA528" s="643"/>
      <c r="AB528" s="256"/>
      <c r="AC528" s="815"/>
      <c r="AD528" s="256"/>
      <c r="AE528" s="816">
        <f>AVERAGE(AE524:AE527)</f>
        <v>0.15330000000000002</v>
      </c>
      <c r="AF528" s="256"/>
      <c r="AG528" s="1122" t="s">
        <v>1086</v>
      </c>
      <c r="AH528" s="643"/>
      <c r="AI528" s="1122" t="s">
        <v>1086</v>
      </c>
      <c r="AJ528" s="587"/>
      <c r="AK528" s="256"/>
      <c r="AL528" s="296">
        <f>SUM(AL524:AL527)</f>
        <v>512.98900000000003</v>
      </c>
      <c r="AM528" s="256"/>
      <c r="AN528" s="817">
        <f>AL528/AE528</f>
        <v>3346.3078930202214</v>
      </c>
      <c r="AO528" s="256"/>
      <c r="AP528" s="1122" t="s">
        <v>1086</v>
      </c>
      <c r="AQ528" s="643"/>
      <c r="AR528" s="643"/>
      <c r="AS528" s="256"/>
      <c r="AT528" s="256"/>
      <c r="AU528" s="256"/>
      <c r="AV528" s="256"/>
      <c r="AW528" s="256"/>
      <c r="AX528" s="256"/>
      <c r="AY528" s="256"/>
      <c r="AZ528" s="1017">
        <v>1.0671657996855011E-2</v>
      </c>
      <c r="BA528" s="1167">
        <f>+(AZ528/AZ521-1)*100</f>
        <v>8.8178247449148373</v>
      </c>
      <c r="BB528" s="256"/>
      <c r="BC528" s="1017"/>
      <c r="BD528" s="1167"/>
      <c r="BF528" s="1017"/>
      <c r="BG528" s="1167"/>
      <c r="BH528" s="1167"/>
      <c r="BI528" s="297">
        <f>(AZ523*BA528)+(BC523*BD528)+(BF523*BG528)</f>
        <v>8.8178247449148373</v>
      </c>
      <c r="BJ528" s="256"/>
      <c r="BK528" s="297">
        <f>F528</f>
        <v>7</v>
      </c>
      <c r="BL528" s="1167"/>
      <c r="BM528" s="1167"/>
      <c r="BN528" s="302"/>
      <c r="BO528" s="587"/>
      <c r="BP528" s="587"/>
    </row>
    <row r="529" spans="1:68" ht="13.5" hidden="1" outlineLevel="1" thickBot="1">
      <c r="A529" s="132"/>
      <c r="B529" s="174"/>
      <c r="C529" s="132"/>
      <c r="D529" s="132"/>
      <c r="E529" s="132"/>
      <c r="F529" s="1516"/>
      <c r="G529" s="132"/>
      <c r="H529" s="2085"/>
      <c r="I529" s="132"/>
      <c r="J529" s="132"/>
      <c r="K529" s="132"/>
      <c r="L529" s="132"/>
      <c r="M529" s="132"/>
      <c r="N529" s="132"/>
      <c r="O529" s="132"/>
      <c r="P529" s="132"/>
      <c r="Q529" s="132"/>
      <c r="R529" s="132"/>
      <c r="S529" s="132"/>
      <c r="T529" s="132"/>
      <c r="U529" s="132"/>
      <c r="V529" s="132"/>
      <c r="W529" s="132"/>
      <c r="X529" s="132"/>
      <c r="Y529" s="132"/>
      <c r="Z529" s="132"/>
      <c r="AA529" s="132"/>
      <c r="AB529" s="132"/>
      <c r="AC529" s="132"/>
      <c r="AD529" s="132"/>
      <c r="AE529" s="132"/>
      <c r="AF529" s="132"/>
      <c r="AG529" s="132"/>
      <c r="AH529" s="132"/>
      <c r="AI529" s="132"/>
      <c r="AJ529" s="132"/>
      <c r="AK529" s="132"/>
      <c r="AL529" s="132"/>
      <c r="AM529" s="132"/>
      <c r="AN529" s="132"/>
      <c r="AO529" s="132"/>
      <c r="AP529" s="132"/>
      <c r="AQ529" s="132"/>
      <c r="AR529" s="132"/>
      <c r="AS529" s="132"/>
      <c r="AT529" s="132"/>
      <c r="AU529" s="132"/>
      <c r="AV529" s="132"/>
      <c r="AW529" s="132"/>
      <c r="AX529" s="132"/>
      <c r="AY529" s="132"/>
      <c r="AZ529" s="132"/>
      <c r="BA529" s="132"/>
      <c r="BB529" s="132"/>
      <c r="BC529" s="132"/>
      <c r="BD529" s="236"/>
      <c r="BE529" s="236"/>
      <c r="BF529" s="132"/>
      <c r="BG529" s="132"/>
      <c r="BH529" s="132"/>
      <c r="BI529" s="132"/>
      <c r="BJ529" s="132"/>
      <c r="BK529" s="132"/>
      <c r="BL529" s="132"/>
      <c r="BM529" s="132"/>
      <c r="BN529" s="132"/>
      <c r="BO529" s="587"/>
      <c r="BP529" s="587"/>
    </row>
    <row r="530" spans="1:68" ht="13.5" hidden="1" outlineLevel="1" thickBot="1">
      <c r="A530" s="810"/>
      <c r="B530" s="171">
        <f>+B523+1</f>
        <v>2010</v>
      </c>
      <c r="C530" s="256"/>
      <c r="D530" s="256"/>
      <c r="E530" s="643"/>
      <c r="F530" s="1473"/>
      <c r="G530" s="643"/>
      <c r="H530" s="2091"/>
      <c r="I530" s="643"/>
      <c r="J530" s="256"/>
      <c r="K530" s="643"/>
      <c r="L530" s="256"/>
      <c r="M530" s="256"/>
      <c r="N530" s="256"/>
      <c r="O530" s="256"/>
      <c r="P530" s="256"/>
      <c r="Q530" s="643"/>
      <c r="R530" s="587"/>
      <c r="S530" s="587"/>
      <c r="T530" s="256"/>
      <c r="U530" s="256"/>
      <c r="V530" s="256"/>
      <c r="W530" s="256"/>
      <c r="X530" s="256"/>
      <c r="Y530" s="256"/>
      <c r="Z530" s="256"/>
      <c r="AA530" s="643"/>
      <c r="AB530" s="256"/>
      <c r="AC530" s="256"/>
      <c r="AD530" s="256"/>
      <c r="AE530" s="256"/>
      <c r="AF530" s="256"/>
      <c r="AG530" s="256"/>
      <c r="AH530" s="643"/>
      <c r="AI530" s="587"/>
      <c r="AJ530" s="587"/>
      <c r="AK530" s="256"/>
      <c r="AL530" s="256"/>
      <c r="AM530" s="256"/>
      <c r="AN530" s="256"/>
      <c r="AO530" s="256"/>
      <c r="AP530" s="320"/>
      <c r="AQ530" s="643"/>
      <c r="AR530" s="643"/>
      <c r="AS530" s="256"/>
      <c r="AT530" s="256"/>
      <c r="AU530" s="256"/>
      <c r="AV530" s="256"/>
      <c r="AW530" s="256"/>
      <c r="AX530" s="256"/>
      <c r="AY530" s="256"/>
      <c r="AZ530" s="1605">
        <v>1</v>
      </c>
      <c r="BA530" s="587"/>
      <c r="BB530" s="587"/>
      <c r="BC530" s="1605"/>
      <c r="BD530" s="1603"/>
      <c r="BE530" s="587"/>
      <c r="BF530" s="1606"/>
      <c r="BG530" s="587"/>
      <c r="BH530" s="256"/>
      <c r="BI530" s="256"/>
      <c r="BJ530" s="256"/>
      <c r="BL530" s="256"/>
      <c r="BM530" s="256"/>
      <c r="BN530" s="256"/>
      <c r="BO530" s="587"/>
      <c r="BP530" s="587"/>
    </row>
    <row r="531" spans="1:68" hidden="1" outlineLevel="1">
      <c r="A531" s="256" t="str">
        <f>$A$40</f>
        <v>1Q</v>
      </c>
      <c r="B531" s="302" t="str">
        <f>$B$40</f>
        <v>Apr</v>
      </c>
      <c r="C531" s="256"/>
      <c r="D531" s="288">
        <f>(V531/V524-1)*100</f>
        <v>-1.6918883353698622</v>
      </c>
      <c r="E531" s="643" t="s">
        <v>1970</v>
      </c>
      <c r="F531" s="1156">
        <v>5</v>
      </c>
      <c r="G531" s="643"/>
      <c r="H531" s="2091">
        <f>'segSales&amp;comps'!Y180</f>
        <v>-10</v>
      </c>
      <c r="I531" s="643" t="s">
        <v>1970</v>
      </c>
      <c r="J531" s="288">
        <f>D531-H531-F531</f>
        <v>3.3081116646301378</v>
      </c>
      <c r="K531" s="643" t="s">
        <v>1970</v>
      </c>
      <c r="L531" s="948">
        <f>Stores!U254</f>
        <v>57</v>
      </c>
      <c r="M531" s="256"/>
      <c r="N531" s="811">
        <f>AVERAGE(L531,L527)</f>
        <v>57</v>
      </c>
      <c r="O531" s="256"/>
      <c r="P531" s="288">
        <f>(N531/N524-1)*100</f>
        <v>0.88495575221239076</v>
      </c>
      <c r="Q531" s="643" t="s">
        <v>1970</v>
      </c>
      <c r="R531" s="1487" t="s">
        <v>1086</v>
      </c>
      <c r="S531" s="587" t="s">
        <v>1970</v>
      </c>
      <c r="T531" s="256"/>
      <c r="U531" s="256"/>
      <c r="V531" s="296">
        <f>'segSales&amp;comps'!W180</f>
        <v>115.04900000000001</v>
      </c>
      <c r="W531" s="238"/>
      <c r="X531" s="813">
        <f>V531/N531</f>
        <v>2.0184035087719301</v>
      </c>
      <c r="Y531" s="256"/>
      <c r="Z531" s="814">
        <f>(X531/X524-1)*100</f>
        <v>-2.5542401920771396</v>
      </c>
      <c r="AA531" s="643" t="s">
        <v>1970</v>
      </c>
      <c r="AB531" s="256"/>
      <c r="AC531" s="1017">
        <f>L531*yrSales!$V$153/1000000</f>
        <v>0.1495232142857143</v>
      </c>
      <c r="AD531" s="256" t="s">
        <v>505</v>
      </c>
      <c r="AE531" s="816">
        <f>AVERAGE(AC531,AC527)</f>
        <v>0.15201160714285716</v>
      </c>
      <c r="AF531" s="256"/>
      <c r="AG531" s="1122" t="s">
        <v>1086</v>
      </c>
      <c r="AH531" s="643" t="s">
        <v>1970</v>
      </c>
      <c r="AI531" s="1122" t="s">
        <v>1086</v>
      </c>
      <c r="AJ531" s="587" t="s">
        <v>1970</v>
      </c>
      <c r="AK531" s="256"/>
      <c r="AL531" s="296">
        <f>+V531</f>
        <v>115.04900000000001</v>
      </c>
      <c r="AM531" s="256" t="s">
        <v>505</v>
      </c>
      <c r="AN531" s="817">
        <f>AL531/AE531</f>
        <v>756.84352111269698</v>
      </c>
      <c r="AO531" s="256"/>
      <c r="AP531" s="1122" t="s">
        <v>1086</v>
      </c>
      <c r="AQ531" s="643" t="s">
        <v>1970</v>
      </c>
      <c r="AR531" s="643"/>
      <c r="AS531" s="256"/>
      <c r="AT531" s="256"/>
      <c r="AU531" s="256"/>
      <c r="AV531" s="256"/>
      <c r="AW531" s="256"/>
      <c r="AX531" s="256"/>
      <c r="AY531" s="256"/>
      <c r="AZ531" s="1017">
        <v>1.0933733117625554E-2</v>
      </c>
      <c r="BA531" s="1167">
        <f>+(AZ531/AZ524-1)*100</f>
        <v>5.5248676953657316</v>
      </c>
      <c r="BB531" s="1609" t="s">
        <v>1970</v>
      </c>
      <c r="BC531" s="1017"/>
      <c r="BD531" s="1167"/>
      <c r="BF531" s="1017"/>
      <c r="BG531" s="1167"/>
      <c r="BH531" s="1167"/>
      <c r="BI531" s="297">
        <f>(AZ530*BA531)+(BC530*BD531)+(BF530*BG531)</f>
        <v>5.5248676953657316</v>
      </c>
      <c r="BJ531" s="643" t="s">
        <v>1970</v>
      </c>
      <c r="BK531" s="297">
        <f>F531</f>
        <v>5</v>
      </c>
      <c r="BL531" s="643" t="s">
        <v>1970</v>
      </c>
      <c r="BM531" s="1167"/>
      <c r="BN531" s="256"/>
      <c r="BO531" s="1592"/>
      <c r="BP531" s="1492"/>
    </row>
    <row r="532" spans="1:68" hidden="1" outlineLevel="1">
      <c r="A532" s="256" t="str">
        <f>$A$41</f>
        <v>2Q</v>
      </c>
      <c r="B532" s="302" t="str">
        <f>$B$41</f>
        <v>Jul</v>
      </c>
      <c r="C532" s="256"/>
      <c r="D532" s="288">
        <f>(V532/V525-1)*100</f>
        <v>3.7744641192917205</v>
      </c>
      <c r="E532" s="256"/>
      <c r="F532" s="1156">
        <v>6</v>
      </c>
      <c r="G532" s="256"/>
      <c r="H532" s="2091">
        <f>'segSales&amp;comps'!Y181</f>
        <v>-7</v>
      </c>
      <c r="I532" s="256"/>
      <c r="J532" s="288">
        <f>D532-H532-F532</f>
        <v>4.7744641192917214</v>
      </c>
      <c r="K532" s="256"/>
      <c r="L532" s="948">
        <f>Stores!U255</f>
        <v>57</v>
      </c>
      <c r="M532" s="256"/>
      <c r="N532" s="811">
        <f>AVERAGE(L532,L531)</f>
        <v>57</v>
      </c>
      <c r="O532" s="256"/>
      <c r="P532" s="288">
        <f>(N532/N525-1)*100</f>
        <v>0.88495575221239076</v>
      </c>
      <c r="Q532" s="643"/>
      <c r="R532" s="1487" t="s">
        <v>1086</v>
      </c>
      <c r="S532" s="587"/>
      <c r="T532" s="256"/>
      <c r="U532" s="256"/>
      <c r="V532" s="315">
        <f>'segSales&amp;comps'!W181</f>
        <v>118.03100000000001</v>
      </c>
      <c r="W532" s="238"/>
      <c r="X532" s="818">
        <f>V532/N532</f>
        <v>2.070719298245614</v>
      </c>
      <c r="Y532" s="256"/>
      <c r="Z532" s="814">
        <f>(X532/X525-1)*100</f>
        <v>2.8641618024558113</v>
      </c>
      <c r="AA532" s="643"/>
      <c r="AB532" s="256"/>
      <c r="AC532" s="1017">
        <f>L532*yrSales!$V$153/1000000</f>
        <v>0.1495232142857143</v>
      </c>
      <c r="AD532" s="238"/>
      <c r="AE532" s="816">
        <f>AVERAGE(AC531:AC532)</f>
        <v>0.1495232142857143</v>
      </c>
      <c r="AF532" s="256"/>
      <c r="AG532" s="1122" t="s">
        <v>1086</v>
      </c>
      <c r="AH532" s="643"/>
      <c r="AI532" s="1122" t="s">
        <v>1086</v>
      </c>
      <c r="AJ532" s="587"/>
      <c r="AK532" s="256"/>
      <c r="AL532" s="315">
        <f>+V532</f>
        <v>118.03100000000001</v>
      </c>
      <c r="AM532" s="256"/>
      <c r="AN532" s="817">
        <f>AL532/AE532</f>
        <v>789.38244180908362</v>
      </c>
      <c r="AO532" s="256"/>
      <c r="AP532" s="1122" t="s">
        <v>1086</v>
      </c>
      <c r="AQ532" s="643"/>
      <c r="AR532" s="643"/>
      <c r="AS532" s="256"/>
      <c r="AT532" s="256"/>
      <c r="AU532" s="256"/>
      <c r="AV532" s="256"/>
      <c r="AW532" s="256"/>
      <c r="AX532" s="256"/>
      <c r="AY532" s="256"/>
      <c r="AZ532" s="1017">
        <v>1.1091091141785414E-2</v>
      </c>
      <c r="BA532" s="1167">
        <f>+(AZ532/AZ525-1)*100</f>
        <v>6.3935529149667492</v>
      </c>
      <c r="BB532" s="256"/>
      <c r="BC532" s="1017"/>
      <c r="BD532" s="1167"/>
      <c r="BF532" s="1017"/>
      <c r="BG532" s="1167"/>
      <c r="BH532" s="1167"/>
      <c r="BI532" s="297">
        <f>(AZ530*BA532)+(BC530*BD532)+(BF530*BG532)</f>
        <v>6.3935529149667492</v>
      </c>
      <c r="BJ532" s="256"/>
      <c r="BK532" s="297">
        <f>F532</f>
        <v>6</v>
      </c>
      <c r="BL532" s="1167"/>
      <c r="BM532" s="1167"/>
      <c r="BN532" s="256"/>
      <c r="BO532" s="1592"/>
      <c r="BP532" s="1492"/>
    </row>
    <row r="533" spans="1:68" hidden="1" outlineLevel="1">
      <c r="A533" s="256" t="str">
        <f>$A$42</f>
        <v>3Q</v>
      </c>
      <c r="B533" s="302" t="str">
        <f>$B$42</f>
        <v>Oct</v>
      </c>
      <c r="C533" s="256"/>
      <c r="D533" s="288">
        <f>(V533/V526-1)*100</f>
        <v>11.750183663357895</v>
      </c>
      <c r="E533" s="256"/>
      <c r="F533" s="1156">
        <v>10</v>
      </c>
      <c r="G533" s="256"/>
      <c r="H533" s="2091">
        <f>'segSales&amp;comps'!Y182</f>
        <v>-2</v>
      </c>
      <c r="I533" s="256"/>
      <c r="J533" s="288">
        <f>D533-H533-F533</f>
        <v>3.7501836633578947</v>
      </c>
      <c r="K533" s="256"/>
      <c r="L533" s="948">
        <f>Stores!U256</f>
        <v>56</v>
      </c>
      <c r="M533" s="238"/>
      <c r="N533" s="811">
        <f>AVERAGE(L533,L532)</f>
        <v>56.5</v>
      </c>
      <c r="O533" s="256"/>
      <c r="P533" s="288">
        <f>(N533/N526-1)*100</f>
        <v>-0.87719298245614308</v>
      </c>
      <c r="Q533" s="643"/>
      <c r="R533" s="1487" t="s">
        <v>1086</v>
      </c>
      <c r="S533" s="587"/>
      <c r="T533" s="256"/>
      <c r="U533" s="256"/>
      <c r="V533" s="315">
        <f>'segSales&amp;comps'!W182</f>
        <v>130.81700000000001</v>
      </c>
      <c r="W533" s="256"/>
      <c r="X533" s="818">
        <f>V533/N533</f>
        <v>2.3153451327433632</v>
      </c>
      <c r="Y533" s="256"/>
      <c r="Z533" s="814">
        <f>(X533/X526-1)*100</f>
        <v>12.7391233417947</v>
      </c>
      <c r="AA533" s="643"/>
      <c r="AB533" s="256"/>
      <c r="AC533" s="1017">
        <f>L533*yrSales!$V$153/1000000</f>
        <v>0.1469</v>
      </c>
      <c r="AD533" s="238"/>
      <c r="AE533" s="816">
        <f>AVERAGE(AC532:AC533)</f>
        <v>0.14821160714285714</v>
      </c>
      <c r="AF533" s="256"/>
      <c r="AG533" s="1122" t="s">
        <v>1086</v>
      </c>
      <c r="AH533" s="643"/>
      <c r="AI533" s="1122" t="s">
        <v>1086</v>
      </c>
      <c r="AJ533" s="587"/>
      <c r="AK533" s="256"/>
      <c r="AL533" s="315">
        <f>+V533</f>
        <v>130.81700000000001</v>
      </c>
      <c r="AM533" s="256"/>
      <c r="AN533" s="817">
        <f>AL533/AE533</f>
        <v>882.63667415676196</v>
      </c>
      <c r="AO533" s="256"/>
      <c r="AP533" s="1122" t="s">
        <v>1086</v>
      </c>
      <c r="AQ533" s="643"/>
      <c r="AR533" s="643"/>
      <c r="AS533" s="256"/>
      <c r="AT533" s="256"/>
      <c r="AU533" s="256"/>
      <c r="AV533" s="256"/>
      <c r="AW533" s="256"/>
      <c r="AX533" s="256"/>
      <c r="AY533" s="256"/>
      <c r="AZ533" s="1017">
        <v>1.1910674562125785E-2</v>
      </c>
      <c r="BA533" s="1167">
        <f>+(AZ533/AZ526-1)*100</f>
        <v>9.8606634042516674</v>
      </c>
      <c r="BB533" s="256"/>
      <c r="BC533" s="1017"/>
      <c r="BD533" s="1167"/>
      <c r="BF533" s="1017"/>
      <c r="BG533" s="1167"/>
      <c r="BH533" s="1167"/>
      <c r="BI533" s="297">
        <f>(AZ530*BA533)+(BC530*BD533)+(BF530*BG533)</f>
        <v>9.8606634042516674</v>
      </c>
      <c r="BJ533" s="256"/>
      <c r="BK533" s="297">
        <f>F533</f>
        <v>10</v>
      </c>
      <c r="BL533" s="1167"/>
      <c r="BM533" s="1167"/>
      <c r="BN533" s="256"/>
      <c r="BO533" s="1592"/>
      <c r="BP533" s="1492"/>
    </row>
    <row r="534" spans="1:68" hidden="1" outlineLevel="1">
      <c r="A534" s="256" t="str">
        <f>$A$43</f>
        <v>4Q</v>
      </c>
      <c r="B534" s="302" t="str">
        <f>$B$43</f>
        <v>Jan</v>
      </c>
      <c r="C534" s="256"/>
      <c r="D534" s="318">
        <f>(V534/V527-1)*100</f>
        <v>10.583676434972178</v>
      </c>
      <c r="E534" s="256"/>
      <c r="F534" s="1148">
        <v>9</v>
      </c>
      <c r="G534" s="256"/>
      <c r="H534" s="2095">
        <f>'segSales&amp;comps'!Y183</f>
        <v>1</v>
      </c>
      <c r="I534" s="256"/>
      <c r="J534" s="318">
        <f>D534-H534-F534</f>
        <v>0.58367643497217792</v>
      </c>
      <c r="K534" s="256"/>
      <c r="L534" s="949">
        <f>Stores!U257</f>
        <v>56</v>
      </c>
      <c r="M534" s="238"/>
      <c r="N534" s="820">
        <f>AVERAGE(L534,L533)</f>
        <v>56</v>
      </c>
      <c r="O534" s="256"/>
      <c r="P534" s="318">
        <f>(N534/N527-1)*100</f>
        <v>-1.7543859649122862</v>
      </c>
      <c r="Q534" s="643"/>
      <c r="R534" s="1488" t="s">
        <v>1086</v>
      </c>
      <c r="S534" s="587"/>
      <c r="T534" s="256"/>
      <c r="U534" s="256"/>
      <c r="V534" s="316">
        <f>'segSales&amp;comps'!W183</f>
        <v>182.64000000000004</v>
      </c>
      <c r="W534" s="256"/>
      <c r="X534" s="821">
        <f>V534/N534</f>
        <v>3.261428571428572</v>
      </c>
      <c r="Y534" s="256"/>
      <c r="Z534" s="298">
        <f>(X534/X527-1)*100</f>
        <v>12.558384942739531</v>
      </c>
      <c r="AA534" s="643"/>
      <c r="AB534" s="256"/>
      <c r="AC534" s="1017">
        <f>+Stores!X257</f>
        <v>0.1469</v>
      </c>
      <c r="AD534" s="238"/>
      <c r="AE534" s="822">
        <f>AVERAGE(AC533:AC534)</f>
        <v>0.1469</v>
      </c>
      <c r="AF534" s="256"/>
      <c r="AG534" s="1123" t="s">
        <v>1086</v>
      </c>
      <c r="AH534" s="643"/>
      <c r="AI534" s="1123" t="s">
        <v>1086</v>
      </c>
      <c r="AJ534" s="587"/>
      <c r="AK534" s="256"/>
      <c r="AL534" s="316">
        <f>+V534</f>
        <v>182.64000000000004</v>
      </c>
      <c r="AM534" s="256"/>
      <c r="AN534" s="950">
        <f>AL534/AE534</f>
        <v>1243.2947583390064</v>
      </c>
      <c r="AO534" s="256"/>
      <c r="AP534" s="1123" t="s">
        <v>1086</v>
      </c>
      <c r="AQ534" s="643"/>
      <c r="AR534" s="643"/>
      <c r="AS534" s="256"/>
      <c r="AT534" s="256"/>
      <c r="AU534" s="256"/>
      <c r="AV534" s="256"/>
      <c r="AW534" s="256"/>
      <c r="AX534" s="256"/>
      <c r="AY534" s="256"/>
      <c r="AZ534" s="1601">
        <v>1.2074865140839561E-2</v>
      </c>
      <c r="BA534" s="1602">
        <f>+(AZ534/AZ527-1)*100</f>
        <v>8.7955645653553738</v>
      </c>
      <c r="BB534" s="256"/>
      <c r="BC534" s="1601"/>
      <c r="BD534" s="1602"/>
      <c r="BF534" s="1601"/>
      <c r="BG534" s="1602"/>
      <c r="BH534" s="1167"/>
      <c r="BI534" s="298">
        <f>(AZ530*BA534)+(BC530*BD534)+(BF530*BG534)</f>
        <v>8.7955645653553738</v>
      </c>
      <c r="BJ534" s="256"/>
      <c r="BK534" s="298">
        <f>F534</f>
        <v>9</v>
      </c>
      <c r="BL534" s="1167"/>
      <c r="BM534" s="1167"/>
      <c r="BN534" s="256"/>
      <c r="BO534" s="1592"/>
      <c r="BP534" s="1492"/>
    </row>
    <row r="535" spans="1:68" hidden="1" outlineLevel="1">
      <c r="A535" s="256"/>
      <c r="B535" s="302" t="str">
        <f>$B$44</f>
        <v>Year</v>
      </c>
      <c r="C535" s="256"/>
      <c r="D535" s="288">
        <f>(V535/V528-1)*100</f>
        <v>6.5397113778268068</v>
      </c>
      <c r="E535" s="256"/>
      <c r="F535" s="1473">
        <f>F531*V531/V535+F532*V532/V535+F533*V533/V535+F534*V534/V535</f>
        <v>7.7494497170365424</v>
      </c>
      <c r="G535" s="256"/>
      <c r="H535" s="2091">
        <f>'segSales&amp;comps'!Y184</f>
        <v>-4</v>
      </c>
      <c r="I535" s="256"/>
      <c r="J535" s="288">
        <f>D535-H535-F535</f>
        <v>2.7902616607902644</v>
      </c>
      <c r="K535" s="256"/>
      <c r="L535" s="951">
        <f>Stores!U258</f>
        <v>56</v>
      </c>
      <c r="M535" s="256"/>
      <c r="N535" s="811">
        <f>AVERAGE(N531:N534)</f>
        <v>56.625</v>
      </c>
      <c r="O535" s="256"/>
      <c r="P535" s="288">
        <f>(N535/N528-1)*100</f>
        <v>-0.22026431718061845</v>
      </c>
      <c r="Q535" s="643"/>
      <c r="R535" s="1487" t="s">
        <v>1086</v>
      </c>
      <c r="S535" s="587"/>
      <c r="T535" s="256"/>
      <c r="U535" s="256"/>
      <c r="V535" s="296">
        <f>SUM(V531:V534)</f>
        <v>546.53700000000003</v>
      </c>
      <c r="W535" s="256"/>
      <c r="X535" s="813">
        <f>SUM(X531:X534)</f>
        <v>9.6658965111894801</v>
      </c>
      <c r="Y535" s="256"/>
      <c r="Z535" s="814">
        <f>(X535/X528-1)*100</f>
        <v>6.9752893193158139</v>
      </c>
      <c r="AA535" s="643"/>
      <c r="AB535" s="256"/>
      <c r="AC535" s="815"/>
      <c r="AD535" s="256"/>
      <c r="AE535" s="816">
        <f>AVERAGE(AE531:AE534)</f>
        <v>0.14916160714285714</v>
      </c>
      <c r="AF535" s="256"/>
      <c r="AG535" s="1122" t="s">
        <v>1086</v>
      </c>
      <c r="AH535" s="643"/>
      <c r="AI535" s="1122" t="s">
        <v>1086</v>
      </c>
      <c r="AJ535" s="587"/>
      <c r="AK535" s="256"/>
      <c r="AL535" s="296">
        <f>SUM(AL531:AL534)</f>
        <v>546.53700000000003</v>
      </c>
      <c r="AM535" s="256"/>
      <c r="AN535" s="817">
        <f>AL535/AE535</f>
        <v>3664.0594752814841</v>
      </c>
      <c r="AO535" s="256"/>
      <c r="AP535" s="1122" t="s">
        <v>1086</v>
      </c>
      <c r="AQ535" s="643"/>
      <c r="AR535" s="643"/>
      <c r="AS535" s="256"/>
      <c r="AT535" s="256"/>
      <c r="AU535" s="256"/>
      <c r="AV535" s="256"/>
      <c r="AW535" s="256"/>
      <c r="AX535" s="256"/>
      <c r="AY535" s="256"/>
      <c r="AZ535" s="1017">
        <v>1.1483302478852309E-2</v>
      </c>
      <c r="BA535" s="1167">
        <f>+(AZ535/AZ528-1)*100</f>
        <v>7.6056080717400665</v>
      </c>
      <c r="BB535" s="256"/>
      <c r="BC535" s="1017"/>
      <c r="BD535" s="1167"/>
      <c r="BF535" s="1017"/>
      <c r="BG535" s="1167"/>
      <c r="BH535" s="1167"/>
      <c r="BI535" s="297">
        <f>(AZ530*BA535)+(BC530*BD535)+(BF530*BG535)</f>
        <v>7.6056080717400665</v>
      </c>
      <c r="BJ535" s="256"/>
      <c r="BK535" s="297">
        <f>F535</f>
        <v>7.7494497170365424</v>
      </c>
      <c r="BL535" s="1167"/>
      <c r="BM535" s="1167"/>
      <c r="BN535" s="302"/>
      <c r="BO535" s="587"/>
      <c r="BP535" s="587"/>
    </row>
    <row r="536" spans="1:68" ht="13.5" hidden="1" outlineLevel="1" thickBot="1">
      <c r="A536" s="132"/>
      <c r="B536" s="174"/>
      <c r="C536" s="132"/>
      <c r="D536" s="132"/>
      <c r="E536" s="132"/>
      <c r="F536" s="1516"/>
      <c r="G536" s="132"/>
      <c r="H536" s="2085"/>
      <c r="I536" s="132"/>
      <c r="J536" s="132"/>
      <c r="K536" s="132"/>
      <c r="L536" s="132"/>
      <c r="M536" s="132"/>
      <c r="N536" s="132"/>
      <c r="O536" s="132"/>
      <c r="P536" s="132"/>
      <c r="Q536" s="132"/>
      <c r="R536" s="132"/>
      <c r="S536" s="132"/>
      <c r="T536" s="132"/>
      <c r="U536" s="132"/>
      <c r="V536" s="132"/>
      <c r="W536" s="132"/>
      <c r="X536" s="132"/>
      <c r="Y536" s="132"/>
      <c r="Z536" s="132"/>
      <c r="AA536" s="132"/>
      <c r="AB536" s="132"/>
      <c r="AC536" s="132"/>
      <c r="AD536" s="132"/>
      <c r="AE536" s="132"/>
      <c r="AF536" s="132"/>
      <c r="AG536" s="132"/>
      <c r="AH536" s="132"/>
      <c r="AI536" s="132"/>
      <c r="AJ536" s="132"/>
      <c r="AK536" s="132"/>
      <c r="AL536" s="132"/>
      <c r="AM536" s="132"/>
      <c r="AN536" s="132"/>
      <c r="AO536" s="132"/>
      <c r="AP536" s="132"/>
      <c r="AQ536" s="132"/>
      <c r="AR536" s="132"/>
      <c r="AS536" s="132"/>
      <c r="AT536" s="132"/>
      <c r="AU536" s="132"/>
      <c r="AV536" s="132"/>
      <c r="AW536" s="132"/>
      <c r="AX536" s="132"/>
      <c r="AY536" s="132"/>
      <c r="AZ536" s="132"/>
      <c r="BA536" s="132"/>
      <c r="BB536" s="132"/>
      <c r="BC536" s="132"/>
      <c r="BD536" s="132"/>
      <c r="BE536" s="132"/>
      <c r="BF536" s="132"/>
      <c r="BG536" s="132"/>
      <c r="BH536" s="132"/>
      <c r="BI536" s="132"/>
      <c r="BJ536" s="132"/>
      <c r="BK536" s="132"/>
      <c r="BL536" s="132"/>
      <c r="BM536" s="132"/>
      <c r="BN536" s="132"/>
      <c r="BO536" s="587"/>
      <c r="BP536" s="587"/>
    </row>
    <row r="537" spans="1:68" ht="13.5" hidden="1" outlineLevel="1" thickBot="1">
      <c r="A537" s="810"/>
      <c r="B537" s="171">
        <f>+B530+1</f>
        <v>2011</v>
      </c>
      <c r="C537" s="256"/>
      <c r="D537" s="256"/>
      <c r="E537" s="643"/>
      <c r="F537" s="1473"/>
      <c r="G537" s="643"/>
      <c r="H537" s="2091"/>
      <c r="I537" s="643"/>
      <c r="J537" s="256"/>
      <c r="K537" s="643"/>
      <c r="L537" s="256"/>
      <c r="M537" s="256"/>
      <c r="N537" s="256"/>
      <c r="O537" s="256"/>
      <c r="P537" s="256"/>
      <c r="Q537" s="643"/>
      <c r="R537" s="587"/>
      <c r="S537" s="587"/>
      <c r="T537" s="256"/>
      <c r="U537" s="256"/>
      <c r="V537" s="256"/>
      <c r="W537" s="256"/>
      <c r="X537" s="256"/>
      <c r="Y537" s="256"/>
      <c r="Z537" s="256"/>
      <c r="AA537" s="643"/>
      <c r="AB537" s="256"/>
      <c r="AC537" s="256"/>
      <c r="AD537" s="256"/>
      <c r="AE537" s="256"/>
      <c r="AF537" s="256"/>
      <c r="AG537" s="256"/>
      <c r="AH537" s="643"/>
      <c r="AI537" s="587"/>
      <c r="AJ537" s="587"/>
      <c r="AK537" s="256"/>
      <c r="AL537" s="256"/>
      <c r="AM537" s="256"/>
      <c r="AN537" s="256"/>
      <c r="AO537" s="256"/>
      <c r="AP537" s="320"/>
      <c r="AQ537" s="643"/>
      <c r="AR537" s="643"/>
      <c r="AS537" s="256"/>
      <c r="AT537" s="256"/>
      <c r="AU537" s="256"/>
      <c r="AV537" s="256"/>
      <c r="AW537" s="256"/>
      <c r="AX537" s="256"/>
      <c r="AY537" s="256"/>
      <c r="AZ537" s="1605">
        <v>1</v>
      </c>
      <c r="BA537" s="587"/>
      <c r="BB537" s="587"/>
      <c r="BC537" s="1605"/>
      <c r="BD537" s="1603"/>
      <c r="BE537" s="587"/>
      <c r="BF537" s="1606"/>
      <c r="BG537" s="587"/>
      <c r="BH537" s="256"/>
      <c r="BI537" s="256"/>
      <c r="BJ537" s="256"/>
      <c r="BL537" s="256"/>
      <c r="BM537" s="256"/>
      <c r="BN537" s="256"/>
      <c r="BO537" s="587"/>
      <c r="BP537" s="587"/>
    </row>
    <row r="538" spans="1:68" hidden="1" outlineLevel="1">
      <c r="A538" s="256" t="str">
        <f>$A$40</f>
        <v>1Q</v>
      </c>
      <c r="B538" s="302" t="str">
        <f>$B$40</f>
        <v>Apr</v>
      </c>
      <c r="C538" s="256"/>
      <c r="D538" s="288">
        <f>(V538/V531-1)*100</f>
        <v>7.2586463159175718</v>
      </c>
      <c r="E538" s="643" t="s">
        <v>1970</v>
      </c>
      <c r="F538" s="1156">
        <v>10</v>
      </c>
      <c r="G538" s="643"/>
      <c r="H538" s="2091">
        <f>'segSales&amp;comps'!Y187</f>
        <v>-3</v>
      </c>
      <c r="I538" s="643" t="s">
        <v>1970</v>
      </c>
      <c r="J538" s="288">
        <f>D538-H538-F538</f>
        <v>0.25864631591757181</v>
      </c>
      <c r="K538" s="643" t="s">
        <v>1970</v>
      </c>
      <c r="L538" s="948">
        <f>Stores!U261</f>
        <v>55</v>
      </c>
      <c r="M538" s="256"/>
      <c r="N538" s="811">
        <f>AVERAGE(L538,L534)</f>
        <v>55.5</v>
      </c>
      <c r="O538" s="256"/>
      <c r="P538" s="288">
        <f>(N538/N531-1)*100</f>
        <v>-2.6315789473684181</v>
      </c>
      <c r="Q538" s="643" t="s">
        <v>1970</v>
      </c>
      <c r="R538" s="1487" t="s">
        <v>1086</v>
      </c>
      <c r="S538" s="587" t="s">
        <v>1970</v>
      </c>
      <c r="T538" s="256"/>
      <c r="U538" s="256"/>
      <c r="V538" s="296">
        <f>'segSales&amp;comps'!W187</f>
        <v>123.4</v>
      </c>
      <c r="W538" s="238"/>
      <c r="X538" s="813">
        <f>V538/N538</f>
        <v>2.2234234234234234</v>
      </c>
      <c r="Y538" s="256"/>
      <c r="Z538" s="814">
        <f>(X538/X531-1)*100</f>
        <v>10.15752864878019</v>
      </c>
      <c r="AA538" s="643" t="s">
        <v>1970</v>
      </c>
      <c r="AB538" s="256"/>
      <c r="AC538" s="1017">
        <f>L538*yrSales!$W$153/1000000</f>
        <v>0.14360000000000001</v>
      </c>
      <c r="AD538" s="256" t="s">
        <v>505</v>
      </c>
      <c r="AE538" s="816">
        <f>AVERAGE(AC538,AC534)</f>
        <v>0.14524999999999999</v>
      </c>
      <c r="AF538" s="256"/>
      <c r="AG538" s="1122" t="s">
        <v>1086</v>
      </c>
      <c r="AH538" s="643" t="s">
        <v>1970</v>
      </c>
      <c r="AI538" s="1122" t="s">
        <v>1086</v>
      </c>
      <c r="AJ538" s="587" t="s">
        <v>1970</v>
      </c>
      <c r="AK538" s="256"/>
      <c r="AL538" s="296">
        <f>+V538</f>
        <v>123.4</v>
      </c>
      <c r="AM538" s="256" t="s">
        <v>505</v>
      </c>
      <c r="AN538" s="817">
        <f>AL538/AE538</f>
        <v>849.56970740103282</v>
      </c>
      <c r="AO538" s="256"/>
      <c r="AP538" s="1122" t="s">
        <v>1086</v>
      </c>
      <c r="AQ538" s="643" t="s">
        <v>1970</v>
      </c>
      <c r="AR538" s="643"/>
      <c r="AS538" s="256"/>
      <c r="AT538" s="256"/>
      <c r="AU538" s="256"/>
      <c r="AV538" s="256"/>
      <c r="AW538" s="256"/>
      <c r="AX538" s="256"/>
      <c r="AY538" s="256"/>
      <c r="AZ538" s="1017">
        <v>1.2126679453017267E-2</v>
      </c>
      <c r="BA538" s="1167">
        <f>+(AZ538/AZ531-1)*100</f>
        <v>10.910695574493602</v>
      </c>
      <c r="BB538" s="1609" t="s">
        <v>1970</v>
      </c>
      <c r="BC538" s="1017"/>
      <c r="BD538" s="1167"/>
      <c r="BF538" s="1017"/>
      <c r="BG538" s="1167"/>
      <c r="BH538" s="1167"/>
      <c r="BI538" s="297">
        <f>(AZ537*BA538)+(BC537*BD538)+(BF537*BG538)</f>
        <v>10.910695574493602</v>
      </c>
      <c r="BJ538" s="643" t="s">
        <v>1970</v>
      </c>
      <c r="BK538" s="297">
        <f>F538</f>
        <v>10</v>
      </c>
      <c r="BL538" s="643" t="s">
        <v>1970</v>
      </c>
      <c r="BM538" s="1167"/>
      <c r="BN538" s="256"/>
      <c r="BO538" s="1592"/>
      <c r="BP538" s="1492"/>
    </row>
    <row r="539" spans="1:68" hidden="1" outlineLevel="1">
      <c r="A539" s="256" t="str">
        <f>$A$41</f>
        <v>2Q</v>
      </c>
      <c r="B539" s="302" t="str">
        <f>$B$41</f>
        <v>Jul</v>
      </c>
      <c r="C539" s="256"/>
      <c r="D539" s="288">
        <f>(V539/V532-1)*100</f>
        <v>20.732688869873162</v>
      </c>
      <c r="E539" s="256"/>
      <c r="F539" s="1156">
        <v>13</v>
      </c>
      <c r="G539" s="256"/>
      <c r="H539" s="2091">
        <f>'segSales&amp;comps'!Y188</f>
        <v>8</v>
      </c>
      <c r="I539" s="256"/>
      <c r="J539" s="288">
        <f>D539-H539-F539</f>
        <v>-0.26731113012683849</v>
      </c>
      <c r="K539" s="256"/>
      <c r="L539" s="948">
        <f>Stores!U262</f>
        <v>55</v>
      </c>
      <c r="M539" s="256"/>
      <c r="N539" s="811">
        <f>AVERAGE(L539,L538)</f>
        <v>55</v>
      </c>
      <c r="O539" s="256"/>
      <c r="P539" s="288">
        <f>(N539/N532-1)*100</f>
        <v>-3.5087719298245612</v>
      </c>
      <c r="Q539" s="643"/>
      <c r="R539" s="1487" t="s">
        <v>1086</v>
      </c>
      <c r="S539" s="587"/>
      <c r="T539" s="256"/>
      <c r="U539" s="256"/>
      <c r="V539" s="315">
        <f>'segSales&amp;comps'!W188</f>
        <v>142.50200000000001</v>
      </c>
      <c r="W539" s="238"/>
      <c r="X539" s="818">
        <f>V539/N539</f>
        <v>2.5909454545454547</v>
      </c>
      <c r="Y539" s="256"/>
      <c r="Z539" s="814">
        <f>(X539/X532-1)*100</f>
        <v>25.122968465141305</v>
      </c>
      <c r="AA539" s="643"/>
      <c r="AB539" s="256"/>
      <c r="AC539" s="1017">
        <f>L539*yrSales!$W$153/1000000</f>
        <v>0.14360000000000001</v>
      </c>
      <c r="AD539" s="238"/>
      <c r="AE539" s="816">
        <f>AVERAGE(AC538:AC539)</f>
        <v>0.14360000000000001</v>
      </c>
      <c r="AF539" s="256"/>
      <c r="AG539" s="1122" t="s">
        <v>1086</v>
      </c>
      <c r="AH539" s="643"/>
      <c r="AI539" s="1122" t="s">
        <v>1086</v>
      </c>
      <c r="AJ539" s="587"/>
      <c r="AK539" s="256"/>
      <c r="AL539" s="315">
        <f>+V539</f>
        <v>142.50200000000001</v>
      </c>
      <c r="AM539" s="256"/>
      <c r="AN539" s="817">
        <f>AL539/AE539</f>
        <v>992.3537604456825</v>
      </c>
      <c r="AO539" s="256"/>
      <c r="AP539" s="1122" t="s">
        <v>1086</v>
      </c>
      <c r="AQ539" s="643"/>
      <c r="AR539" s="643"/>
      <c r="AS539" s="256"/>
      <c r="AT539" s="256"/>
      <c r="AU539" s="256"/>
      <c r="AV539" s="256"/>
      <c r="AW539" s="256"/>
      <c r="AX539" s="256"/>
      <c r="AY539" s="256"/>
      <c r="AZ539" s="1017">
        <v>1.2441954561348351E-2</v>
      </c>
      <c r="BA539" s="1167">
        <f>+(AZ539/AZ532-1)*100</f>
        <v>12.179716155010144</v>
      </c>
      <c r="BB539" s="256"/>
      <c r="BC539" s="1017"/>
      <c r="BD539" s="1167"/>
      <c r="BF539" s="1017"/>
      <c r="BG539" s="1167"/>
      <c r="BH539" s="1167"/>
      <c r="BI539" s="297">
        <f>(AZ537*BA539)+(BC537*BD539)+(BF537*BG539)</f>
        <v>12.179716155010144</v>
      </c>
      <c r="BJ539" s="256"/>
      <c r="BK539" s="297">
        <f>F539</f>
        <v>13</v>
      </c>
      <c r="BL539" s="1167"/>
      <c r="BM539" s="1167"/>
      <c r="BN539" s="256"/>
      <c r="BO539" s="1592"/>
      <c r="BP539" s="1492"/>
    </row>
    <row r="540" spans="1:68" hidden="1" outlineLevel="1">
      <c r="A540" s="256" t="str">
        <f>$A$42</f>
        <v>3Q</v>
      </c>
      <c r="B540" s="302" t="str">
        <f>$B$42</f>
        <v>Oct</v>
      </c>
      <c r="C540" s="256"/>
      <c r="D540" s="288">
        <f>(V540/V533-1)*100</f>
        <v>11.94034414487415</v>
      </c>
      <c r="E540" s="256"/>
      <c r="F540" s="1156">
        <v>9</v>
      </c>
      <c r="G540" s="256"/>
      <c r="H540" s="2091">
        <f>'segSales&amp;comps'!Y189</f>
        <v>4</v>
      </c>
      <c r="I540" s="256"/>
      <c r="J540" s="288">
        <f>D540-H540-F540</f>
        <v>-1.0596558551258504</v>
      </c>
      <c r="K540" s="256"/>
      <c r="L540" s="948">
        <f>Stores!U263</f>
        <v>55</v>
      </c>
      <c r="M540" s="256"/>
      <c r="N540" s="811">
        <f>AVERAGE(L540,L539)</f>
        <v>55</v>
      </c>
      <c r="O540" s="256"/>
      <c r="P540" s="288">
        <f>(N540/N533-1)*100</f>
        <v>-2.6548672566371723</v>
      </c>
      <c r="Q540" s="643"/>
      <c r="R540" s="1487" t="s">
        <v>1086</v>
      </c>
      <c r="S540" s="587"/>
      <c r="T540" s="256"/>
      <c r="U540" s="256"/>
      <c r="V540" s="315">
        <f>'segSales&amp;comps'!W189</f>
        <v>146.43700000000001</v>
      </c>
      <c r="W540" s="238"/>
      <c r="X540" s="818">
        <f>V540/N540</f>
        <v>2.6624909090909092</v>
      </c>
      <c r="Y540" s="256"/>
      <c r="Z540" s="814">
        <f>(X540/X533-1)*100</f>
        <v>14.993262621552518</v>
      </c>
      <c r="AA540" s="643"/>
      <c r="AB540" s="256"/>
      <c r="AC540" s="1017">
        <f>L540*yrSales!$W$153/1000000</f>
        <v>0.14360000000000001</v>
      </c>
      <c r="AD540" s="238"/>
      <c r="AE540" s="816">
        <f>AVERAGE(AC539:AC540)</f>
        <v>0.14360000000000001</v>
      </c>
      <c r="AF540" s="256"/>
      <c r="AG540" s="1122" t="s">
        <v>1086</v>
      </c>
      <c r="AH540" s="643"/>
      <c r="AI540" s="1122" t="s">
        <v>1086</v>
      </c>
      <c r="AJ540" s="587"/>
      <c r="AK540" s="256"/>
      <c r="AL540" s="315">
        <f>+V540</f>
        <v>146.43700000000001</v>
      </c>
      <c r="AM540" s="256"/>
      <c r="AN540" s="817">
        <f>AL540/AE540</f>
        <v>1019.7562674094708</v>
      </c>
      <c r="AO540" s="256"/>
      <c r="AP540" s="1122" t="s">
        <v>1086</v>
      </c>
      <c r="AQ540" s="643"/>
      <c r="AR540" s="643"/>
      <c r="AS540" s="256"/>
      <c r="AT540" s="256"/>
      <c r="AU540" s="256"/>
      <c r="AV540" s="256"/>
      <c r="AW540" s="256"/>
      <c r="AX540" s="256"/>
      <c r="AY540" s="256"/>
      <c r="AZ540" s="1017">
        <v>1.3020911523537111E-2</v>
      </c>
      <c r="BA540" s="1167">
        <f>+(AZ540/AZ533-1)*100</f>
        <v>9.3213608987497523</v>
      </c>
      <c r="BB540" s="256"/>
      <c r="BC540" s="1017"/>
      <c r="BD540" s="1167"/>
      <c r="BF540" s="1017"/>
      <c r="BG540" s="1167"/>
      <c r="BH540" s="1167"/>
      <c r="BI540" s="297">
        <f>(AZ537*BA540)+(BC537*BD540)+(BF537*BG540)</f>
        <v>9.3213608987497523</v>
      </c>
      <c r="BJ540" s="256"/>
      <c r="BK540" s="297">
        <f>F540</f>
        <v>9</v>
      </c>
      <c r="BL540" s="1167"/>
      <c r="BM540" s="1167"/>
      <c r="BN540" s="256"/>
      <c r="BO540" s="1592"/>
      <c r="BP540" s="1492"/>
    </row>
    <row r="541" spans="1:68" hidden="1" outlineLevel="1">
      <c r="A541" s="256" t="str">
        <f>$A$43</f>
        <v>4Q</v>
      </c>
      <c r="B541" s="302" t="str">
        <f>$B$43</f>
        <v>Jan</v>
      </c>
      <c r="C541" s="256"/>
      <c r="D541" s="318">
        <f>(V541/V534-1)*100</f>
        <v>11.78602715724919</v>
      </c>
      <c r="E541" s="256"/>
      <c r="F541" s="1148">
        <v>8</v>
      </c>
      <c r="G541" s="256"/>
      <c r="H541" s="2095">
        <f>'segSales&amp;comps'!Y190</f>
        <v>4</v>
      </c>
      <c r="I541" s="256"/>
      <c r="J541" s="318">
        <f>D541-H541-F541</f>
        <v>-0.21397284275080963</v>
      </c>
      <c r="K541" s="256"/>
      <c r="L541" s="949">
        <f>Stores!U264</f>
        <v>55</v>
      </c>
      <c r="M541" s="238"/>
      <c r="N541" s="820">
        <f>AVERAGE(L541,L540)</f>
        <v>55</v>
      </c>
      <c r="O541" s="256"/>
      <c r="P541" s="318">
        <f>(N541/N534-1)*100</f>
        <v>-1.7857142857142905</v>
      </c>
      <c r="Q541" s="643"/>
      <c r="R541" s="1488" t="s">
        <v>1086</v>
      </c>
      <c r="S541" s="587"/>
      <c r="T541" s="256"/>
      <c r="U541" s="256"/>
      <c r="V541" s="316">
        <f>'segSales&amp;comps'!W190</f>
        <v>204.16599999999997</v>
      </c>
      <c r="W541" s="256"/>
      <c r="X541" s="821">
        <f>V541/N541</f>
        <v>3.7121090909090904</v>
      </c>
      <c r="Y541" s="256"/>
      <c r="Z541" s="298">
        <f>(X541/X534-1)*100</f>
        <v>13.818500378290089</v>
      </c>
      <c r="AA541" s="643"/>
      <c r="AB541" s="256"/>
      <c r="AC541" s="1017">
        <f>Stores!X264</f>
        <v>0.14360000000000001</v>
      </c>
      <c r="AD541" s="238"/>
      <c r="AE541" s="822">
        <f>AVERAGE(AC540:AC541)</f>
        <v>0.14360000000000001</v>
      </c>
      <c r="AF541" s="256"/>
      <c r="AG541" s="1123" t="s">
        <v>1086</v>
      </c>
      <c r="AH541" s="643"/>
      <c r="AI541" s="1123" t="s">
        <v>1086</v>
      </c>
      <c r="AJ541" s="587"/>
      <c r="AK541" s="256"/>
      <c r="AL541" s="316">
        <f>+V541</f>
        <v>204.16599999999997</v>
      </c>
      <c r="AM541" s="256"/>
      <c r="AN541" s="950">
        <f>AL541/AE541</f>
        <v>1421.7688022284119</v>
      </c>
      <c r="AO541" s="256"/>
      <c r="AP541" s="1123" t="s">
        <v>1086</v>
      </c>
      <c r="AQ541" s="643"/>
      <c r="AR541" s="643"/>
      <c r="AS541" s="256"/>
      <c r="AT541" s="256"/>
      <c r="AU541" s="256"/>
      <c r="AV541" s="256"/>
      <c r="AW541" s="256"/>
      <c r="AX541" s="256"/>
      <c r="AY541" s="256"/>
      <c r="AZ541" s="1601">
        <v>1.2915372162257834E-2</v>
      </c>
      <c r="BA541" s="1602">
        <f>+(AZ541/AZ534-1)*100</f>
        <v>6.960798415673497</v>
      </c>
      <c r="BB541" s="256"/>
      <c r="BC541" s="1601"/>
      <c r="BD541" s="1602"/>
      <c r="BF541" s="1601"/>
      <c r="BG541" s="1602"/>
      <c r="BH541" s="1167"/>
      <c r="BI541" s="298">
        <f>(AZ537*BA541)+(BC537*BD541)+(BF537*BG541)</f>
        <v>6.960798415673497</v>
      </c>
      <c r="BJ541" s="256"/>
      <c r="BK541" s="298">
        <f>F541</f>
        <v>8</v>
      </c>
      <c r="BL541" s="1167"/>
      <c r="BM541" s="1167"/>
      <c r="BN541" s="256"/>
      <c r="BO541" s="1592"/>
      <c r="BP541" s="1492"/>
    </row>
    <row r="542" spans="1:68" hidden="1" outlineLevel="1">
      <c r="A542" s="256"/>
      <c r="B542" s="302" t="str">
        <f>$B$44</f>
        <v>Year</v>
      </c>
      <c r="C542" s="256"/>
      <c r="D542" s="288">
        <f>(V542/V535-1)*100</f>
        <v>12.802060976658481</v>
      </c>
      <c r="E542" s="256"/>
      <c r="F542" s="297">
        <f>F538*V538/V542+F539*V539/V542+F540*V540/V542+F541*V541/V542</f>
        <v>9.7935734503369787</v>
      </c>
      <c r="G542" s="256"/>
      <c r="H542" s="2091">
        <f>'segSales&amp;comps'!Y191</f>
        <v>3.3618991358087391</v>
      </c>
      <c r="I542" s="256"/>
      <c r="J542" s="288">
        <f>D542-H542-F542</f>
        <v>-0.35341160948723704</v>
      </c>
      <c r="K542" s="256"/>
      <c r="L542" s="951">
        <f>Stores!U265</f>
        <v>55</v>
      </c>
      <c r="M542" s="256"/>
      <c r="N542" s="811">
        <f>AVERAGE(N538:N541)</f>
        <v>55.125</v>
      </c>
      <c r="O542" s="256"/>
      <c r="P542" s="288">
        <f>(N542/N535-1)*100</f>
        <v>-2.6490066225165587</v>
      </c>
      <c r="Q542" s="643"/>
      <c r="R542" s="1487" t="s">
        <v>1086</v>
      </c>
      <c r="S542" s="587"/>
      <c r="T542" s="256"/>
      <c r="U542" s="256"/>
      <c r="V542" s="296">
        <f>SUM(V538:V541)</f>
        <v>616.505</v>
      </c>
      <c r="W542" s="256"/>
      <c r="X542" s="813">
        <f>SUM(X538:X541)</f>
        <v>11.188968877968877</v>
      </c>
      <c r="Y542" s="256"/>
      <c r="Z542" s="814">
        <f>(X542/X535-1)*100</f>
        <v>15.757176429690212</v>
      </c>
      <c r="AA542" s="643"/>
      <c r="AB542" s="256"/>
      <c r="AC542" s="815"/>
      <c r="AD542" s="256"/>
      <c r="AE542" s="816">
        <f>AVERAGE(AE538:AE541)</f>
        <v>0.14401249999999999</v>
      </c>
      <c r="AF542" s="256"/>
      <c r="AG542" s="1122" t="s">
        <v>1086</v>
      </c>
      <c r="AH542" s="643"/>
      <c r="AI542" s="1122" t="s">
        <v>1086</v>
      </c>
      <c r="AJ542" s="587"/>
      <c r="AK542" s="256"/>
      <c r="AL542" s="296">
        <f>SUM(AL538:AL541)</f>
        <v>616.505</v>
      </c>
      <c r="AM542" s="256"/>
      <c r="AN542" s="817">
        <f>AL542/AE542</f>
        <v>4280.9131151809743</v>
      </c>
      <c r="AO542" s="256"/>
      <c r="AP542" s="1122" t="s">
        <v>1086</v>
      </c>
      <c r="AQ542" s="643"/>
      <c r="AR542" s="643"/>
      <c r="AS542" s="256"/>
      <c r="AT542" s="256"/>
      <c r="AU542" s="256"/>
      <c r="AV542" s="256"/>
      <c r="AW542" s="256"/>
      <c r="AX542" s="256"/>
      <c r="AY542" s="256"/>
      <c r="AZ542" s="1017">
        <v>1.2619325652089484E-2</v>
      </c>
      <c r="BA542" s="1167">
        <f>+(AZ542/AZ535-1)*100</f>
        <v>9.8928263479019165</v>
      </c>
      <c r="BB542" s="256"/>
      <c r="BC542" s="1017"/>
      <c r="BD542" s="1167"/>
      <c r="BF542" s="1017"/>
      <c r="BG542" s="1167"/>
      <c r="BH542" s="1167"/>
      <c r="BI542" s="297">
        <f>(AZ537*BA542)+(BC537*BD542)+(BF537*BG542)</f>
        <v>9.8928263479019165</v>
      </c>
      <c r="BJ542" s="256"/>
      <c r="BK542" s="297">
        <f>F542</f>
        <v>9.7935734503369787</v>
      </c>
      <c r="BL542" s="1167"/>
      <c r="BM542" s="1167"/>
      <c r="BN542" s="302"/>
      <c r="BO542" s="587"/>
      <c r="BP542" s="587"/>
    </row>
    <row r="543" spans="1:68" ht="13.5" hidden="1" outlineLevel="1" thickBot="1">
      <c r="A543" s="132"/>
      <c r="B543" s="174"/>
      <c r="C543" s="132"/>
      <c r="D543" s="132"/>
      <c r="E543" s="132"/>
      <c r="F543" s="1516"/>
      <c r="G543" s="132"/>
      <c r="H543" s="2085"/>
      <c r="I543" s="132"/>
      <c r="J543" s="132"/>
      <c r="K543" s="132"/>
      <c r="L543" s="132"/>
      <c r="M543" s="132"/>
      <c r="N543" s="132"/>
      <c r="O543" s="132"/>
      <c r="P543" s="132"/>
      <c r="Q543" s="132"/>
      <c r="R543" s="132"/>
      <c r="S543" s="132"/>
      <c r="T543" s="132"/>
      <c r="U543" s="132"/>
      <c r="V543" s="132"/>
      <c r="W543" s="132"/>
      <c r="X543" s="132"/>
      <c r="Y543" s="132"/>
      <c r="Z543" s="132"/>
      <c r="AA543" s="132"/>
      <c r="AB543" s="132"/>
      <c r="AC543" s="132"/>
      <c r="AD543" s="132"/>
      <c r="AE543" s="132"/>
      <c r="AF543" s="132"/>
      <c r="AG543" s="132"/>
      <c r="AH543" s="132"/>
      <c r="AI543" s="132"/>
      <c r="AJ543" s="132"/>
      <c r="AK543" s="132"/>
      <c r="AL543" s="132"/>
      <c r="AM543" s="132"/>
      <c r="AN543" s="132"/>
      <c r="AO543" s="132"/>
      <c r="AP543" s="132"/>
      <c r="AQ543" s="132"/>
      <c r="AR543" s="132"/>
      <c r="AS543" s="132"/>
      <c r="AT543" s="132"/>
      <c r="AU543" s="132"/>
      <c r="AV543" s="132"/>
      <c r="AW543" s="132"/>
      <c r="AX543" s="132"/>
      <c r="AY543" s="132"/>
      <c r="AZ543" s="132"/>
      <c r="BA543" s="132"/>
      <c r="BB543" s="132"/>
      <c r="BC543" s="132"/>
      <c r="BD543" s="132"/>
      <c r="BE543" s="132"/>
      <c r="BF543" s="132"/>
      <c r="BG543" s="132"/>
      <c r="BH543" s="132"/>
      <c r="BI543" s="132"/>
      <c r="BJ543" s="132"/>
      <c r="BK543" s="132"/>
      <c r="BL543" s="132"/>
      <c r="BM543" s="132"/>
      <c r="BN543" s="132"/>
      <c r="BO543" s="587"/>
      <c r="BP543" s="587"/>
    </row>
    <row r="544" spans="1:68" ht="13.5" hidden="1" outlineLevel="1" thickBot="1">
      <c r="A544" s="810"/>
      <c r="B544" s="171">
        <f>+B537+1</f>
        <v>2012</v>
      </c>
      <c r="C544" s="256"/>
      <c r="D544" s="256"/>
      <c r="E544" s="643"/>
      <c r="F544" s="1473"/>
      <c r="G544" s="643"/>
      <c r="H544" s="2091"/>
      <c r="I544" s="643"/>
      <c r="J544" s="256"/>
      <c r="K544" s="643"/>
      <c r="L544" s="256"/>
      <c r="M544" s="256"/>
      <c r="N544" s="256"/>
      <c r="O544" s="256"/>
      <c r="P544" s="256"/>
      <c r="Q544" s="643"/>
      <c r="R544" s="587"/>
      <c r="S544" s="587"/>
      <c r="T544" s="256"/>
      <c r="U544" s="256"/>
      <c r="V544" s="256"/>
      <c r="W544" s="256"/>
      <c r="X544" s="256"/>
      <c r="Y544" s="256"/>
      <c r="Z544" s="256"/>
      <c r="AA544" s="643"/>
      <c r="AB544" s="256"/>
      <c r="AC544" s="256"/>
      <c r="AD544" s="256"/>
      <c r="AE544" s="256"/>
      <c r="AF544" s="256"/>
      <c r="AG544" s="256"/>
      <c r="AH544" s="643"/>
      <c r="AI544" s="587"/>
      <c r="AJ544" s="587"/>
      <c r="AK544" s="256"/>
      <c r="AL544" s="256"/>
      <c r="AM544" s="256"/>
      <c r="AN544" s="256"/>
      <c r="AO544" s="256"/>
      <c r="AP544" s="320"/>
      <c r="AQ544" s="643"/>
      <c r="AR544" s="643"/>
      <c r="AS544" s="256"/>
      <c r="AT544" s="256"/>
      <c r="AU544" s="256"/>
      <c r="AV544" s="256"/>
      <c r="AW544" s="256"/>
      <c r="AX544" s="256"/>
      <c r="AY544" s="256"/>
      <c r="AZ544" s="1605">
        <v>1</v>
      </c>
      <c r="BA544" s="587"/>
      <c r="BB544" s="587"/>
      <c r="BC544" s="1605"/>
      <c r="BD544" s="1603"/>
      <c r="BE544" s="587"/>
      <c r="BF544" s="1606"/>
      <c r="BG544" s="587"/>
      <c r="BH544" s="256"/>
      <c r="BI544" s="256"/>
      <c r="BJ544" s="256"/>
      <c r="BL544" s="256"/>
      <c r="BM544" s="256"/>
      <c r="BN544" s="256"/>
      <c r="BO544" s="587"/>
      <c r="BP544" s="587"/>
    </row>
    <row r="545" spans="1:68" hidden="1" outlineLevel="1">
      <c r="A545" s="256" t="str">
        <f>$A$40</f>
        <v>1Q</v>
      </c>
      <c r="B545" s="302" t="str">
        <f>$B$40</f>
        <v>Apr</v>
      </c>
      <c r="C545" s="256"/>
      <c r="D545" s="288">
        <f>(V545/V538-1)*100</f>
        <v>14.901944894651532</v>
      </c>
      <c r="E545" s="643" t="s">
        <v>1970</v>
      </c>
      <c r="F545" s="1156">
        <v>2</v>
      </c>
      <c r="G545" s="643"/>
      <c r="H545" s="2091">
        <f>'segSales&amp;comps'!Y194</f>
        <v>12</v>
      </c>
      <c r="I545" s="643" t="s">
        <v>1970</v>
      </c>
      <c r="J545" s="288">
        <f>D545-H545-F545</f>
        <v>0.90194489465153183</v>
      </c>
      <c r="K545" s="643" t="s">
        <v>1970</v>
      </c>
      <c r="L545" s="948">
        <f>Stores!U268</f>
        <v>55</v>
      </c>
      <c r="M545" s="256"/>
      <c r="N545" s="811">
        <f>AVERAGE(L545,L541)</f>
        <v>55</v>
      </c>
      <c r="O545" s="256"/>
      <c r="P545" s="288">
        <f>(N545/N538-1)*100</f>
        <v>-0.9009009009009028</v>
      </c>
      <c r="Q545" s="643" t="s">
        <v>1970</v>
      </c>
      <c r="R545" s="1487" t="s">
        <v>1086</v>
      </c>
      <c r="S545" s="587" t="s">
        <v>1970</v>
      </c>
      <c r="T545" s="256"/>
      <c r="U545" s="256"/>
      <c r="V545" s="296">
        <f>'segSales&amp;comps'!W194</f>
        <v>141.78899999999999</v>
      </c>
      <c r="W545" s="238"/>
      <c r="X545" s="813">
        <f>V545/N545</f>
        <v>2.5779818181818182</v>
      </c>
      <c r="Y545" s="256"/>
      <c r="Z545" s="814">
        <f>(X545/X538-1)*100</f>
        <v>15.94650803005746</v>
      </c>
      <c r="AA545" s="643" t="s">
        <v>1970</v>
      </c>
      <c r="AB545" s="256"/>
      <c r="AC545" s="1017">
        <f>L545*yrSales!$X$153/1000000</f>
        <v>0.14360000000000001</v>
      </c>
      <c r="AD545" s="256" t="s">
        <v>505</v>
      </c>
      <c r="AE545" s="816">
        <f>AVERAGE(AC545,AC541)</f>
        <v>0.14360000000000001</v>
      </c>
      <c r="AF545" s="256"/>
      <c r="AG545" s="1122" t="s">
        <v>1086</v>
      </c>
      <c r="AH545" s="643" t="s">
        <v>1970</v>
      </c>
      <c r="AI545" s="1122" t="s">
        <v>1086</v>
      </c>
      <c r="AJ545" s="587" t="s">
        <v>1970</v>
      </c>
      <c r="AK545" s="256"/>
      <c r="AL545" s="296">
        <f>+V545</f>
        <v>141.78899999999999</v>
      </c>
      <c r="AM545" s="256" t="s">
        <v>505</v>
      </c>
      <c r="AN545" s="817">
        <f>AL545/AE545</f>
        <v>987.3885793871865</v>
      </c>
      <c r="AO545" s="256"/>
      <c r="AP545" s="1122" t="s">
        <v>1086</v>
      </c>
      <c r="AQ545" s="643" t="s">
        <v>1970</v>
      </c>
      <c r="AR545" s="643"/>
      <c r="AS545" s="256"/>
      <c r="AT545" s="256"/>
      <c r="AU545" s="256"/>
      <c r="AV545" s="256"/>
      <c r="AW545" s="256"/>
      <c r="AX545" s="256"/>
      <c r="AY545" s="256"/>
      <c r="AZ545" s="1017">
        <v>1.2389979474779359E-2</v>
      </c>
      <c r="BA545" s="1167">
        <f>+(AZ545/AZ538-1)*100</f>
        <v>2.1712458285238156</v>
      </c>
      <c r="BB545" s="1609" t="s">
        <v>1970</v>
      </c>
      <c r="BC545" s="1017"/>
      <c r="BD545" s="1167"/>
      <c r="BF545" s="1017"/>
      <c r="BG545" s="1167"/>
      <c r="BH545" s="1167"/>
      <c r="BI545" s="297">
        <f>(AZ544*BA545)+(BC544*BD545)+(BF544*BG545)</f>
        <v>2.1712458285238156</v>
      </c>
      <c r="BJ545" s="643" t="s">
        <v>1970</v>
      </c>
      <c r="BK545" s="297">
        <f>F545</f>
        <v>2</v>
      </c>
      <c r="BL545" s="643" t="s">
        <v>1970</v>
      </c>
      <c r="BM545" s="1167"/>
      <c r="BN545" s="256"/>
      <c r="BO545" s="1592"/>
      <c r="BP545" s="1492"/>
    </row>
    <row r="546" spans="1:68" hidden="1" outlineLevel="1">
      <c r="A546" s="256" t="str">
        <f>$A$41</f>
        <v>2Q</v>
      </c>
      <c r="B546" s="302" t="str">
        <f>$B$41</f>
        <v>Jul</v>
      </c>
      <c r="C546" s="256"/>
      <c r="D546" s="288">
        <f>(V546/V539-1)*100</f>
        <v>11.340893461144397</v>
      </c>
      <c r="E546" s="256"/>
      <c r="F546" s="1156">
        <v>1</v>
      </c>
      <c r="G546" s="256"/>
      <c r="H546" s="2091">
        <f>'segSales&amp;comps'!Y195</f>
        <v>10</v>
      </c>
      <c r="I546" s="256"/>
      <c r="J546" s="288">
        <f>D546-H546-F546</f>
        <v>0.34089346114439678</v>
      </c>
      <c r="K546" s="256"/>
      <c r="L546" s="948">
        <f>Stores!U269</f>
        <v>55</v>
      </c>
      <c r="M546" s="256"/>
      <c r="N546" s="811">
        <f>AVERAGE(L546,L545)</f>
        <v>55</v>
      </c>
      <c r="O546" s="256"/>
      <c r="P546" s="288">
        <f>(N546/N539-1)*100</f>
        <v>0</v>
      </c>
      <c r="Q546" s="643"/>
      <c r="R546" s="1487" t="s">
        <v>1086</v>
      </c>
      <c r="S546" s="587"/>
      <c r="T546" s="256"/>
      <c r="U546" s="256"/>
      <c r="V546" s="315">
        <f>'segSales&amp;comps'!W195</f>
        <v>158.66300000000001</v>
      </c>
      <c r="W546" s="238"/>
      <c r="X546" s="818">
        <f>V546/N546</f>
        <v>2.8847818181818186</v>
      </c>
      <c r="Y546" s="256"/>
      <c r="Z546" s="814">
        <f>(X546/X539-1)*100</f>
        <v>11.340893461144418</v>
      </c>
      <c r="AA546" s="643"/>
      <c r="AB546" s="256"/>
      <c r="AC546" s="1017">
        <f>L546*yrSales!$X$153/1000000</f>
        <v>0.14360000000000001</v>
      </c>
      <c r="AD546" s="238"/>
      <c r="AE546" s="816">
        <f>AVERAGE(AC545:AC546)</f>
        <v>0.14360000000000001</v>
      </c>
      <c r="AF546" s="256"/>
      <c r="AG546" s="1122" t="s">
        <v>1086</v>
      </c>
      <c r="AH546" s="643"/>
      <c r="AI546" s="1122" t="s">
        <v>1086</v>
      </c>
      <c r="AJ546" s="587"/>
      <c r="AK546" s="256"/>
      <c r="AL546" s="315">
        <f>+V546</f>
        <v>158.66300000000001</v>
      </c>
      <c r="AM546" s="256"/>
      <c r="AN546" s="817">
        <f>AL546/AE546</f>
        <v>1104.8955431754875</v>
      </c>
      <c r="AO546" s="256"/>
      <c r="AP546" s="1122" t="s">
        <v>1086</v>
      </c>
      <c r="AQ546" s="643"/>
      <c r="AR546" s="643"/>
      <c r="AS546" s="256"/>
      <c r="AT546" s="256"/>
      <c r="AU546" s="256"/>
      <c r="AV546" s="256"/>
      <c r="AW546" s="256"/>
      <c r="AX546" s="256"/>
      <c r="AY546" s="256"/>
      <c r="AZ546" s="1017">
        <v>1.2604398934776733E-2</v>
      </c>
      <c r="BA546" s="1167">
        <f>+(AZ546/AZ539-1)*100</f>
        <v>1.3056178000603325</v>
      </c>
      <c r="BB546" s="256"/>
      <c r="BC546" s="1017"/>
      <c r="BD546" s="1167"/>
      <c r="BF546" s="1017"/>
      <c r="BG546" s="1167"/>
      <c r="BH546" s="1167"/>
      <c r="BI546" s="297">
        <f>(AZ544*BA546)+(BC544*BD546)+(BF544*BG546)</f>
        <v>1.3056178000603325</v>
      </c>
      <c r="BJ546" s="256"/>
      <c r="BK546" s="297">
        <f>F546</f>
        <v>1</v>
      </c>
      <c r="BL546" s="1167"/>
      <c r="BM546" s="1167"/>
      <c r="BN546" s="256"/>
      <c r="BO546" s="1592"/>
      <c r="BP546" s="1492"/>
    </row>
    <row r="547" spans="1:68" hidden="1" outlineLevel="1">
      <c r="A547" s="256" t="str">
        <f>$A$42</f>
        <v>3Q</v>
      </c>
      <c r="B547" s="302" t="str">
        <f>$B$42</f>
        <v>Oct</v>
      </c>
      <c r="C547" s="256"/>
      <c r="D547" s="288">
        <f>(V547/V540-1)*100</f>
        <v>0.19530583117655098</v>
      </c>
      <c r="E547" s="256"/>
      <c r="F547" s="1141">
        <v>-3</v>
      </c>
      <c r="G547" s="256"/>
      <c r="H547" s="2091">
        <f>'segSales&amp;comps'!Y196</f>
        <v>5</v>
      </c>
      <c r="I547" s="256"/>
      <c r="J547" s="288">
        <f>D547-H547-F547</f>
        <v>-1.804694168823449</v>
      </c>
      <c r="K547" s="256"/>
      <c r="L547" s="948">
        <f>Stores!U270</f>
        <v>56</v>
      </c>
      <c r="M547" s="238"/>
      <c r="N547" s="811">
        <f>AVERAGE(L547,L546)</f>
        <v>55.5</v>
      </c>
      <c r="O547" s="256"/>
      <c r="P547" s="288">
        <f>(N547/N540-1)*100</f>
        <v>0.90909090909090384</v>
      </c>
      <c r="Q547" s="643"/>
      <c r="R547" s="1487" t="s">
        <v>1086</v>
      </c>
      <c r="S547" s="587"/>
      <c r="T547" s="256"/>
      <c r="U547" s="256"/>
      <c r="V547" s="315">
        <f>'segSales&amp;comps'!W196</f>
        <v>146.72300000000001</v>
      </c>
      <c r="W547" s="256"/>
      <c r="X547" s="818">
        <f>V547/N547</f>
        <v>2.6436576576576578</v>
      </c>
      <c r="Y547" s="256"/>
      <c r="Z547" s="814">
        <f>(X547/X540-1)*100</f>
        <v>-0.70735458171693466</v>
      </c>
      <c r="AA547" s="643"/>
      <c r="AB547" s="256"/>
      <c r="AC547" s="1017">
        <f>L547*yrSales!$X$153/1000000</f>
        <v>0.14621090909090909</v>
      </c>
      <c r="AD547" s="238"/>
      <c r="AE547" s="816">
        <f>AVERAGE(AC546:AC547)</f>
        <v>0.14490545454545456</v>
      </c>
      <c r="AF547" s="256"/>
      <c r="AG547" s="1122" t="s">
        <v>1086</v>
      </c>
      <c r="AH547" s="643"/>
      <c r="AI547" s="1122" t="s">
        <v>1086</v>
      </c>
      <c r="AJ547" s="587"/>
      <c r="AK547" s="256"/>
      <c r="AL547" s="315">
        <f>+V547</f>
        <v>146.72300000000001</v>
      </c>
      <c r="AM547" s="256"/>
      <c r="AN547" s="817">
        <f>AL547/AE547</f>
        <v>1012.5429747296042</v>
      </c>
      <c r="AO547" s="256"/>
      <c r="AP547" s="1122" t="s">
        <v>1086</v>
      </c>
      <c r="AQ547" s="643"/>
      <c r="AR547" s="643"/>
      <c r="AS547" s="256"/>
      <c r="AT547" s="256"/>
      <c r="AU547" s="256"/>
      <c r="AV547" s="256"/>
      <c r="AW547" s="256"/>
      <c r="AX547" s="256"/>
      <c r="AY547" s="256"/>
      <c r="AZ547" s="1017">
        <v>1.2718369264752446E-2</v>
      </c>
      <c r="BA547" s="1167">
        <f>+(AZ547/AZ540-1)*100</f>
        <v>-2.3235105947673307</v>
      </c>
      <c r="BB547" s="256"/>
      <c r="BC547" s="1017"/>
      <c r="BD547" s="1167"/>
      <c r="BF547" s="1017"/>
      <c r="BG547" s="1167"/>
      <c r="BH547" s="1167"/>
      <c r="BI547" s="297">
        <f>(AZ544*BA547)+(BC544*BD547)+(BF544*BG547)</f>
        <v>-2.3235105947673307</v>
      </c>
      <c r="BJ547" s="256"/>
      <c r="BK547" s="297">
        <f>F547</f>
        <v>-3</v>
      </c>
      <c r="BL547" s="1167"/>
      <c r="BM547" s="1167"/>
      <c r="BN547" s="256"/>
      <c r="BO547" s="1592"/>
      <c r="BP547" s="1492"/>
    </row>
    <row r="548" spans="1:68" hidden="1" outlineLevel="1">
      <c r="A548" s="256" t="str">
        <f>$A$43</f>
        <v>4Q</v>
      </c>
      <c r="B548" s="302" t="str">
        <f>$B$43</f>
        <v>Jan</v>
      </c>
      <c r="C548" s="256"/>
      <c r="D548" s="318">
        <f>(V548/V541-1)*100</f>
        <v>-5.9539786252363447</v>
      </c>
      <c r="E548" s="256"/>
      <c r="F548" s="1142">
        <v>-9</v>
      </c>
      <c r="G548" s="256"/>
      <c r="H548" s="2095">
        <f>'segSales&amp;comps'!Y197</f>
        <v>2</v>
      </c>
      <c r="I548" s="256"/>
      <c r="J548" s="318">
        <f>D548-H548-F548</f>
        <v>1.0460213747636553</v>
      </c>
      <c r="K548" s="256"/>
      <c r="L548" s="949">
        <f>Stores!U271</f>
        <v>55</v>
      </c>
      <c r="M548" s="238"/>
      <c r="N548" s="820">
        <f>AVERAGE(L548,L547)</f>
        <v>55.5</v>
      </c>
      <c r="O548" s="256"/>
      <c r="P548" s="318">
        <f>(N548/N541-1)*100</f>
        <v>0.90909090909090384</v>
      </c>
      <c r="Q548" s="643"/>
      <c r="R548" s="1488" t="s">
        <v>1086</v>
      </c>
      <c r="S548" s="587"/>
      <c r="T548" s="256"/>
      <c r="U548" s="256"/>
      <c r="V548" s="316">
        <f>'segSales&amp;comps'!W197</f>
        <v>192.00999999999993</v>
      </c>
      <c r="W548" s="256"/>
      <c r="X548" s="821">
        <f>V548/N548</f>
        <v>3.4596396396396383</v>
      </c>
      <c r="Y548" s="256"/>
      <c r="Z548" s="298">
        <f>(X548/X541-1)*100</f>
        <v>-6.8012400790630529</v>
      </c>
      <c r="AA548" s="643"/>
      <c r="AB548" s="256"/>
      <c r="AC548" s="1017">
        <f>L548*yrSales!$X$153/1000000</f>
        <v>0.14360000000000001</v>
      </c>
      <c r="AD548" s="238"/>
      <c r="AE548" s="822">
        <f>AVERAGE(AC547:AC548)</f>
        <v>0.14490545454545456</v>
      </c>
      <c r="AF548" s="256"/>
      <c r="AG548" s="1123" t="s">
        <v>1086</v>
      </c>
      <c r="AH548" s="643"/>
      <c r="AI548" s="1123" t="s">
        <v>1086</v>
      </c>
      <c r="AJ548" s="587"/>
      <c r="AK548" s="256"/>
      <c r="AL548" s="316">
        <f>+V548</f>
        <v>192.00999999999993</v>
      </c>
      <c r="AM548" s="256"/>
      <c r="AN548" s="950">
        <f>AL548/AE548</f>
        <v>1325.0708926196385</v>
      </c>
      <c r="AO548" s="256"/>
      <c r="AP548" s="1123" t="s">
        <v>1086</v>
      </c>
      <c r="AQ548" s="643"/>
      <c r="AR548" s="643"/>
      <c r="AS548" s="256"/>
      <c r="AT548" s="256"/>
      <c r="AU548" s="256"/>
      <c r="AV548" s="256"/>
      <c r="AW548" s="256"/>
      <c r="AX548" s="256"/>
      <c r="AY548" s="256"/>
      <c r="AZ548" s="1601">
        <v>1.1813682725323897E-2</v>
      </c>
      <c r="BA548" s="1602">
        <f>+(AZ548/AZ541-1)*100</f>
        <v>-8.5300634243693487</v>
      </c>
      <c r="BB548" s="256"/>
      <c r="BC548" s="1601"/>
      <c r="BD548" s="1602"/>
      <c r="BF548" s="1601"/>
      <c r="BG548" s="1602"/>
      <c r="BH548" s="1167"/>
      <c r="BI548" s="298">
        <f>(AZ544*BA548)+(BC544*BD548)+(BF544*BG548)</f>
        <v>-8.5300634243693487</v>
      </c>
      <c r="BJ548" s="256"/>
      <c r="BK548" s="298">
        <f>F548</f>
        <v>-9</v>
      </c>
      <c r="BL548" s="1167"/>
      <c r="BM548" s="1167"/>
      <c r="BN548" s="256"/>
      <c r="BO548" s="1592"/>
      <c r="BP548" s="1492"/>
    </row>
    <row r="549" spans="1:68" hidden="1" outlineLevel="1">
      <c r="A549" s="256"/>
      <c r="B549" s="302" t="str">
        <f>$B$44</f>
        <v>Year</v>
      </c>
      <c r="C549" s="256"/>
      <c r="D549" s="288">
        <f>(V549/V542-1)*100</f>
        <v>3.6788022805978704</v>
      </c>
      <c r="E549" s="256"/>
      <c r="F549" s="297">
        <f>F545*V545/V549+F546*V546/V549+F547*V547/V549+F548*V548/V549</f>
        <v>-2.700341841563866</v>
      </c>
      <c r="G549" s="256"/>
      <c r="H549" s="2091">
        <f>'segSales&amp;comps'!Y198</f>
        <v>7</v>
      </c>
      <c r="I549" s="256"/>
      <c r="J549" s="288">
        <f>D549-H549-F549</f>
        <v>-0.62085587783826357</v>
      </c>
      <c r="K549" s="256"/>
      <c r="L549" s="951">
        <f>Stores!U272</f>
        <v>55</v>
      </c>
      <c r="M549" s="256"/>
      <c r="N549" s="811">
        <f>AVERAGE(N545:N548)</f>
        <v>55.25</v>
      </c>
      <c r="O549" s="256"/>
      <c r="P549" s="288">
        <f>(N549/N542-1)*100</f>
        <v>0.22675736961450532</v>
      </c>
      <c r="Q549" s="643"/>
      <c r="R549" s="1487" t="s">
        <v>1086</v>
      </c>
      <c r="S549" s="587"/>
      <c r="T549" s="256"/>
      <c r="U549" s="256"/>
      <c r="V549" s="296">
        <f>SUM(V545:V548)</f>
        <v>639.18499999999995</v>
      </c>
      <c r="W549" s="256"/>
      <c r="X549" s="813">
        <f>SUM(X545:X548)</f>
        <v>11.566060933660932</v>
      </c>
      <c r="Y549" s="256"/>
      <c r="Z549" s="814">
        <f>(X549/X542-1)*100</f>
        <v>3.3702127497606149</v>
      </c>
      <c r="AA549" s="643"/>
      <c r="AB549" s="256"/>
      <c r="AC549" s="815"/>
      <c r="AD549" s="256"/>
      <c r="AE549" s="816">
        <f>AVERAGE(AE545:AE548)</f>
        <v>0.14425272727272728</v>
      </c>
      <c r="AF549" s="256"/>
      <c r="AG549" s="1122" t="s">
        <v>1086</v>
      </c>
      <c r="AH549" s="643"/>
      <c r="AI549" s="1122" t="s">
        <v>1086</v>
      </c>
      <c r="AJ549" s="587"/>
      <c r="AK549" s="256"/>
      <c r="AL549" s="296">
        <f>SUM(AL545:AL548)</f>
        <v>639.18499999999995</v>
      </c>
      <c r="AM549" s="256"/>
      <c r="AN549" s="817">
        <f>AL549/AE549</f>
        <v>4431.0080792548424</v>
      </c>
      <c r="AO549" s="256"/>
      <c r="AP549" s="1122" t="s">
        <v>1086</v>
      </c>
      <c r="AQ549" s="643"/>
      <c r="AR549" s="643"/>
      <c r="AS549" s="256"/>
      <c r="AT549" s="256"/>
      <c r="AU549" s="256"/>
      <c r="AV549" s="256"/>
      <c r="AW549" s="256"/>
      <c r="AX549" s="256"/>
      <c r="AY549" s="256"/>
      <c r="AZ549" s="1017">
        <v>1.2374537637634018E-2</v>
      </c>
      <c r="BA549" s="1167">
        <f>+(AZ549/AZ542-1)*100</f>
        <v>-1.939786809566435</v>
      </c>
      <c r="BB549" s="256"/>
      <c r="BC549" s="1017"/>
      <c r="BD549" s="1167"/>
      <c r="BF549" s="1017"/>
      <c r="BG549" s="1167"/>
      <c r="BH549" s="1167"/>
      <c r="BI549" s="297">
        <f>(AZ544*BA549)+(BC544*BD549)+(BF544*BG549)</f>
        <v>-1.939786809566435</v>
      </c>
      <c r="BJ549" s="256"/>
      <c r="BK549" s="297">
        <f>F549</f>
        <v>-2.700341841563866</v>
      </c>
      <c r="BL549" s="1167"/>
      <c r="BM549" s="1167"/>
      <c r="BN549" s="302"/>
      <c r="BO549" s="587"/>
      <c r="BP549" s="587"/>
    </row>
    <row r="550" spans="1:68" ht="13.5" hidden="1" outlineLevel="1" thickBot="1">
      <c r="H550" s="2100"/>
      <c r="V550" s="1518"/>
      <c r="BA550" s="1167"/>
      <c r="BI550" s="297"/>
      <c r="BO550" s="629"/>
      <c r="BP550" s="629"/>
    </row>
    <row r="551" spans="1:68" ht="13.5" hidden="1" outlineLevel="1" thickBot="1">
      <c r="A551" s="810"/>
      <c r="B551" s="171">
        <f>+B544+1</f>
        <v>2013</v>
      </c>
      <c r="C551" s="256"/>
      <c r="D551" s="256"/>
      <c r="E551" s="643"/>
      <c r="F551" s="1473"/>
      <c r="G551" s="643"/>
      <c r="H551" s="2091"/>
      <c r="I551" s="643"/>
      <c r="J551" s="256"/>
      <c r="K551" s="643"/>
      <c r="L551" s="256"/>
      <c r="M551" s="256"/>
      <c r="N551" s="256"/>
      <c r="O551" s="256"/>
      <c r="P551" s="256"/>
      <c r="Q551" s="643"/>
      <c r="R551" s="587"/>
      <c r="S551" s="587"/>
      <c r="T551" s="256"/>
      <c r="U551" s="256"/>
      <c r="V551" s="256"/>
      <c r="W551" s="256"/>
      <c r="X551" s="256"/>
      <c r="Y551" s="256"/>
      <c r="Z551" s="256"/>
      <c r="AA551" s="643"/>
      <c r="AB551" s="256"/>
      <c r="AC551" s="256"/>
      <c r="AD551" s="256"/>
      <c r="AE551" s="256"/>
      <c r="AF551" s="256"/>
      <c r="AG551" s="256"/>
      <c r="AH551" s="643"/>
      <c r="AI551" s="587"/>
      <c r="AJ551" s="587"/>
      <c r="AK551" s="256"/>
      <c r="AL551" s="256"/>
      <c r="AM551" s="256"/>
      <c r="AN551" s="256"/>
      <c r="AO551" s="256"/>
      <c r="AP551" s="320"/>
      <c r="AQ551" s="643"/>
      <c r="AR551" s="643"/>
      <c r="AS551" s="256"/>
      <c r="AT551" s="256"/>
      <c r="AU551" s="256"/>
      <c r="AV551" s="256"/>
      <c r="AW551" s="256"/>
      <c r="AX551" s="256"/>
      <c r="AY551" s="256"/>
      <c r="AZ551" s="1605">
        <v>1</v>
      </c>
      <c r="BA551" s="587"/>
      <c r="BB551" s="587"/>
      <c r="BC551" s="1605"/>
      <c r="BD551" s="1603"/>
      <c r="BE551" s="587"/>
      <c r="BF551" s="1606"/>
      <c r="BG551" s="1167"/>
      <c r="BH551" s="1167"/>
      <c r="BI551" s="297"/>
      <c r="BJ551" s="256"/>
      <c r="BK551" s="256"/>
      <c r="BL551" s="256"/>
      <c r="BM551" s="256"/>
      <c r="BN551" s="256"/>
      <c r="BO551" s="587"/>
      <c r="BP551" s="587"/>
    </row>
    <row r="552" spans="1:68" hidden="1" outlineLevel="1">
      <c r="A552" s="256" t="str">
        <f>$A$40</f>
        <v>1Q</v>
      </c>
      <c r="B552" s="302" t="str">
        <f>$B$40</f>
        <v>Apr</v>
      </c>
      <c r="C552" s="256"/>
      <c r="D552" s="288">
        <f>(V552/V545-1)*100</f>
        <v>1.9310383739218118</v>
      </c>
      <c r="E552" s="643" t="s">
        <v>1970</v>
      </c>
      <c r="F552" s="1141">
        <v>-18</v>
      </c>
      <c r="G552" s="643"/>
      <c r="H552" s="2091">
        <f>'segSales&amp;comps'!Y201</f>
        <v>21</v>
      </c>
      <c r="I552" s="643" t="s">
        <v>1970</v>
      </c>
      <c r="J552" s="288">
        <f>D552-H552-F552</f>
        <v>-1.0689616260781882</v>
      </c>
      <c r="K552" s="643" t="s">
        <v>1970</v>
      </c>
      <c r="L552" s="948">
        <f>Stores!U275</f>
        <v>55</v>
      </c>
      <c r="M552" s="256"/>
      <c r="N552" s="811">
        <f>AVERAGE(L552,L548)</f>
        <v>55</v>
      </c>
      <c r="O552" s="256"/>
      <c r="P552" s="288">
        <f>(N552/N545-1)*100</f>
        <v>0</v>
      </c>
      <c r="Q552" s="643" t="s">
        <v>1970</v>
      </c>
      <c r="R552" s="1487" t="s">
        <v>814</v>
      </c>
      <c r="S552" s="587" t="s">
        <v>1970</v>
      </c>
      <c r="T552" s="256"/>
      <c r="U552" s="256"/>
      <c r="V552" s="296">
        <f>'segSales&amp;comps'!W201</f>
        <v>144.52699999999999</v>
      </c>
      <c r="W552" s="238"/>
      <c r="X552" s="813">
        <f>V552/N552</f>
        <v>2.6277636363636363</v>
      </c>
      <c r="Y552" s="256"/>
      <c r="Z552" s="814">
        <f>(X552/X545-1)*100</f>
        <v>1.9310383739218118</v>
      </c>
      <c r="AA552" s="643" t="s">
        <v>1970</v>
      </c>
      <c r="AB552" s="256"/>
      <c r="AC552" s="1017">
        <f>N552*yrSales!$Y$153/1000000</f>
        <v>0.14299999999999999</v>
      </c>
      <c r="AD552" s="256" t="s">
        <v>505</v>
      </c>
      <c r="AE552" s="816">
        <f>AVERAGE(AC552,AC548)</f>
        <v>0.14329999999999998</v>
      </c>
      <c r="AF552" s="256"/>
      <c r="AG552" s="1122" t="s">
        <v>1086</v>
      </c>
      <c r="AH552" s="643" t="s">
        <v>1970</v>
      </c>
      <c r="AI552" s="1122" t="s">
        <v>1086</v>
      </c>
      <c r="AJ552" s="587" t="s">
        <v>1970</v>
      </c>
      <c r="AK552" s="256"/>
      <c r="AL552" s="296">
        <f>+V552</f>
        <v>144.52699999999999</v>
      </c>
      <c r="AM552" s="256" t="s">
        <v>505</v>
      </c>
      <c r="AN552" s="817">
        <f>AL552/AE552</f>
        <v>1008.5624563852059</v>
      </c>
      <c r="AO552" s="256"/>
      <c r="AP552" s="1122" t="s">
        <v>1086</v>
      </c>
      <c r="AQ552" s="643" t="s">
        <v>1970</v>
      </c>
      <c r="AR552" s="643"/>
      <c r="AS552" s="256"/>
      <c r="AT552" s="256"/>
      <c r="AU552" s="256"/>
      <c r="AV552" s="256"/>
      <c r="AW552" s="256"/>
      <c r="AX552" s="256"/>
      <c r="AY552" s="256"/>
      <c r="AZ552" s="1017">
        <v>1.0508092094327529E-2</v>
      </c>
      <c r="BA552" s="1167">
        <f>+(AZ552/AZ545-1)*100</f>
        <v>-15.188785294459439</v>
      </c>
      <c r="BB552" s="256"/>
      <c r="BC552" s="256"/>
      <c r="BD552" s="1017"/>
      <c r="BE552" s="1017"/>
      <c r="BF552" s="1167"/>
      <c r="BG552" s="1167"/>
      <c r="BH552" s="1167"/>
      <c r="BI552" s="297">
        <f>BA552</f>
        <v>-15.188785294459439</v>
      </c>
      <c r="BJ552" s="1017"/>
      <c r="BK552" s="1167">
        <f>F552</f>
        <v>-18</v>
      </c>
      <c r="BL552" s="1167"/>
      <c r="BM552" s="1167"/>
      <c r="BN552" s="256"/>
      <c r="BO552" s="1592"/>
      <c r="BP552" s="1492"/>
    </row>
    <row r="553" spans="1:68" hidden="1" outlineLevel="1">
      <c r="A553" s="256" t="str">
        <f>$A$41</f>
        <v>2Q</v>
      </c>
      <c r="B553" s="302" t="str">
        <f>$B$41</f>
        <v>Jul</v>
      </c>
      <c r="C553" s="256"/>
      <c r="D553" s="288">
        <f>(V553/V546-1)*100</f>
        <v>-14.034778114620295</v>
      </c>
      <c r="E553" s="256"/>
      <c r="F553" s="1733">
        <v>-21</v>
      </c>
      <c r="G553" s="256"/>
      <c r="H553" s="2091">
        <f>'segSales&amp;comps'!Y202</f>
        <v>8</v>
      </c>
      <c r="I553" s="256"/>
      <c r="J553" s="288">
        <f>D553-H553-F553</f>
        <v>-1.0347781146202948</v>
      </c>
      <c r="K553" s="256"/>
      <c r="L553" s="948">
        <f>Stores!U276</f>
        <v>54</v>
      </c>
      <c r="M553" s="256"/>
      <c r="N553" s="811">
        <f>AVERAGE(L553,L552)</f>
        <v>54.5</v>
      </c>
      <c r="O553" s="256"/>
      <c r="P553" s="288">
        <f>(N553/N546-1)*100</f>
        <v>-0.90909090909090384</v>
      </c>
      <c r="Q553" s="643"/>
      <c r="R553" s="1487" t="s">
        <v>814</v>
      </c>
      <c r="S553" s="587"/>
      <c r="T553" s="256"/>
      <c r="U553" s="256"/>
      <c r="V553" s="315">
        <f>'segSales&amp;comps'!W202</f>
        <v>136.39500000000001</v>
      </c>
      <c r="W553" s="238"/>
      <c r="X553" s="818">
        <f>V553/N553</f>
        <v>2.5026605504587156</v>
      </c>
      <c r="Y553" s="256"/>
      <c r="Z553" s="814">
        <f>(X553/X546-1)*100</f>
        <v>-13.246106354203979</v>
      </c>
      <c r="AA553" s="643"/>
      <c r="AB553" s="256"/>
      <c r="AC553" s="1017">
        <f>N553*yrSales!$Y$153/1000000</f>
        <v>0.14169999999999999</v>
      </c>
      <c r="AD553" s="238"/>
      <c r="AE553" s="816">
        <f>AVERAGE(AC552:AC553)</f>
        <v>0.14234999999999998</v>
      </c>
      <c r="AF553" s="256"/>
      <c r="AG553" s="1122" t="s">
        <v>1086</v>
      </c>
      <c r="AH553" s="643"/>
      <c r="AI553" s="1122" t="s">
        <v>1086</v>
      </c>
      <c r="AJ553" s="587"/>
      <c r="AK553" s="256"/>
      <c r="AL553" s="315">
        <f>+V553</f>
        <v>136.39500000000001</v>
      </c>
      <c r="AM553" s="256"/>
      <c r="AN553" s="817">
        <f>AL553/AE553</f>
        <v>958.16649104320356</v>
      </c>
      <c r="AO553" s="256"/>
      <c r="AP553" s="1122" t="s">
        <v>1086</v>
      </c>
      <c r="AQ553" s="643"/>
      <c r="AR553" s="643"/>
      <c r="AS553" s="256"/>
      <c r="AT553" s="256"/>
      <c r="AU553" s="256"/>
      <c r="AV553" s="256"/>
      <c r="AW553" s="256"/>
      <c r="AX553" s="256"/>
      <c r="AY553" s="256"/>
      <c r="AZ553" s="1017">
        <v>1.006159735205369E-2</v>
      </c>
      <c r="BA553" s="1167">
        <f>+(AZ553/AZ546-1)*100</f>
        <v>-20.173921786204431</v>
      </c>
      <c r="BB553" s="256"/>
      <c r="BC553" s="256"/>
      <c r="BD553" s="1017"/>
      <c r="BE553" s="1017"/>
      <c r="BF553" s="1167"/>
      <c r="BG553" s="1167"/>
      <c r="BH553" s="1167"/>
      <c r="BI553" s="297">
        <f>BA553</f>
        <v>-20.173921786204431</v>
      </c>
      <c r="BJ553" s="1017"/>
      <c r="BK553" s="1167">
        <f>F553</f>
        <v>-21</v>
      </c>
      <c r="BL553" s="1167"/>
      <c r="BM553" s="1167"/>
      <c r="BN553" s="256"/>
      <c r="BO553" s="1592"/>
      <c r="BP553" s="1492"/>
    </row>
    <row r="554" spans="1:68" hidden="1" outlineLevel="1">
      <c r="A554" s="256" t="str">
        <f>$A$42</f>
        <v>3Q</v>
      </c>
      <c r="B554" s="302" t="str">
        <f>$B$42</f>
        <v>Oct</v>
      </c>
      <c r="C554" s="256"/>
      <c r="D554" s="288">
        <f>(V554/V547-1)*100</f>
        <v>-12.556313597731783</v>
      </c>
      <c r="E554" s="256"/>
      <c r="F554" s="1141">
        <v>-22</v>
      </c>
      <c r="G554" s="256"/>
      <c r="H554" s="2091">
        <f>'segSales&amp;comps'!Y203</f>
        <v>5</v>
      </c>
      <c r="I554" s="256"/>
      <c r="J554" s="288">
        <f>D554-H554-F554</f>
        <v>4.4436864022682165</v>
      </c>
      <c r="K554" s="256"/>
      <c r="L554" s="948">
        <f>Stores!U277</f>
        <v>54</v>
      </c>
      <c r="M554" s="238"/>
      <c r="N554" s="811">
        <f>AVERAGE(L554,L553)</f>
        <v>54</v>
      </c>
      <c r="O554" s="256"/>
      <c r="P554" s="288">
        <f>(N554/N547-1)*100</f>
        <v>-2.7027027027026973</v>
      </c>
      <c r="Q554" s="643"/>
      <c r="R554" s="1487" t="s">
        <v>814</v>
      </c>
      <c r="S554" s="587"/>
      <c r="T554" s="256"/>
      <c r="U554" s="256"/>
      <c r="V554" s="315">
        <f>'segSales&amp;comps'!W203</f>
        <v>128.30000000000001</v>
      </c>
      <c r="W554" s="256"/>
      <c r="X554" s="818">
        <f>V554/N554</f>
        <v>2.3759259259259262</v>
      </c>
      <c r="Y554" s="256"/>
      <c r="Z554" s="814">
        <f>(X554/X547-1)*100</f>
        <v>-10.127322308779885</v>
      </c>
      <c r="AA554" s="643"/>
      <c r="AB554" s="256"/>
      <c r="AC554" s="1017">
        <f>N554*yrSales!$Y$153/1000000</f>
        <v>0.1404</v>
      </c>
      <c r="AD554" s="238"/>
      <c r="AE554" s="816">
        <f>AVERAGE(AC553:AC554)</f>
        <v>0.14105000000000001</v>
      </c>
      <c r="AF554" s="256"/>
      <c r="AG554" s="1122" t="s">
        <v>1086</v>
      </c>
      <c r="AH554" s="643"/>
      <c r="AI554" s="1122" t="s">
        <v>1086</v>
      </c>
      <c r="AJ554" s="587"/>
      <c r="AK554" s="256"/>
      <c r="AL554" s="315">
        <f>+V554</f>
        <v>128.30000000000001</v>
      </c>
      <c r="AM554" s="256"/>
      <c r="AN554" s="817">
        <f>AL554/AE554</f>
        <v>909.60652250974829</v>
      </c>
      <c r="AO554" s="256"/>
      <c r="AP554" s="1122" t="s">
        <v>1086</v>
      </c>
      <c r="AQ554" s="643"/>
      <c r="AR554" s="643"/>
      <c r="AS554" s="256"/>
      <c r="AT554" s="256"/>
      <c r="AU554" s="256"/>
      <c r="AV554" s="256"/>
      <c r="AW554" s="256"/>
      <c r="AX554" s="256"/>
      <c r="AY554" s="256"/>
      <c r="AZ554" s="1017">
        <v>1.0153177544969746E-2</v>
      </c>
      <c r="BA554" s="1167">
        <f>+(AZ554/AZ547-1)*100</f>
        <v>-20.169187309978842</v>
      </c>
      <c r="BB554" s="256"/>
      <c r="BC554" s="256"/>
      <c r="BD554" s="1017"/>
      <c r="BE554" s="1017"/>
      <c r="BF554" s="1167"/>
      <c r="BG554" s="1167"/>
      <c r="BH554" s="1167"/>
      <c r="BI554" s="297">
        <f>BA554</f>
        <v>-20.169187309978842</v>
      </c>
      <c r="BJ554" s="1017"/>
      <c r="BK554" s="1167">
        <f>F554</f>
        <v>-22</v>
      </c>
      <c r="BL554" s="1167"/>
      <c r="BM554" s="1167"/>
      <c r="BN554" s="256"/>
      <c r="BO554" s="1592"/>
      <c r="BP554" s="1492"/>
    </row>
    <row r="555" spans="1:68" hidden="1" outlineLevel="1">
      <c r="A555" s="256" t="str">
        <f>$A$43</f>
        <v>4Q</v>
      </c>
      <c r="B555" s="302" t="str">
        <f>$B$43</f>
        <v>Jan</v>
      </c>
      <c r="C555" s="256"/>
      <c r="D555" s="318">
        <f>(V555/V548-1)*100</f>
        <v>-11.801989479714569</v>
      </c>
      <c r="E555" s="256"/>
      <c r="F555" s="1142">
        <v>-20</v>
      </c>
      <c r="G555" s="256"/>
      <c r="H555" s="2095">
        <f>'segSales&amp;comps'!Y204</f>
        <v>8</v>
      </c>
      <c r="I555" s="256"/>
      <c r="J555" s="318">
        <f>D555-H555-F555</f>
        <v>0.19801052028542898</v>
      </c>
      <c r="K555" s="256"/>
      <c r="L555" s="949">
        <f>Stores!U278</f>
        <v>54</v>
      </c>
      <c r="M555" s="238"/>
      <c r="N555" s="820">
        <f>AVERAGE(L555,L554)</f>
        <v>54</v>
      </c>
      <c r="O555" s="256"/>
      <c r="P555" s="318">
        <f>(N555/N548-1)*100</f>
        <v>-2.7027027027026973</v>
      </c>
      <c r="Q555" s="643"/>
      <c r="R555" s="1488" t="s">
        <v>1086</v>
      </c>
      <c r="S555" s="587"/>
      <c r="T555" s="256"/>
      <c r="U555" s="256"/>
      <c r="V555" s="316">
        <f>'segSales&amp;comps'!W204</f>
        <v>169.34899999999999</v>
      </c>
      <c r="W555" s="256"/>
      <c r="X555" s="821">
        <f>V555/N555</f>
        <v>3.1360925925925924</v>
      </c>
      <c r="Y555" s="256"/>
      <c r="Z555" s="298">
        <f>(X555/X548-1)*100</f>
        <v>-9.3520447430399773</v>
      </c>
      <c r="AA555" s="643"/>
      <c r="AB555" s="256"/>
      <c r="AC555" s="1017">
        <f>N555*yrSales!$Y$153/1000000</f>
        <v>0.1404</v>
      </c>
      <c r="AD555" s="238"/>
      <c r="AE555" s="822">
        <f>AVERAGE(AC554:AC555)</f>
        <v>0.1404</v>
      </c>
      <c r="AF555" s="256"/>
      <c r="AG555" s="1123" t="s">
        <v>1086</v>
      </c>
      <c r="AH555" s="643"/>
      <c r="AI555" s="1123" t="s">
        <v>1086</v>
      </c>
      <c r="AJ555" s="587"/>
      <c r="AK555" s="256"/>
      <c r="AL555" s="316">
        <f>+V555</f>
        <v>169.34899999999999</v>
      </c>
      <c r="AM555" s="256"/>
      <c r="AN555" s="950">
        <f>AL555/AE555</f>
        <v>1206.1894586894587</v>
      </c>
      <c r="AO555" s="256"/>
      <c r="AP555" s="1123" t="s">
        <v>1086</v>
      </c>
      <c r="AQ555" s="643"/>
      <c r="AR555" s="643"/>
      <c r="AS555" s="256"/>
      <c r="AT555" s="256"/>
      <c r="AU555" s="256"/>
      <c r="AV555" s="256"/>
      <c r="AW555" s="256"/>
      <c r="AX555" s="256"/>
      <c r="AY555" s="256"/>
      <c r="AZ555" s="1601">
        <v>9.8384526081737866E-3</v>
      </c>
      <c r="BA555" s="1602">
        <f>+(AZ555/AZ548-1)*100</f>
        <v>-16.719850727969799</v>
      </c>
      <c r="BB555" s="256"/>
      <c r="BC555" s="256"/>
      <c r="BD555" s="1017"/>
      <c r="BE555" s="1017"/>
      <c r="BF555" s="1167"/>
      <c r="BG555" s="1167"/>
      <c r="BH555" s="1167"/>
      <c r="BI555" s="297">
        <f>BA555</f>
        <v>-16.719850727969799</v>
      </c>
      <c r="BJ555" s="1017"/>
      <c r="BK555" s="1167">
        <f>F555</f>
        <v>-20</v>
      </c>
      <c r="BL555" s="1167"/>
      <c r="BM555" s="1167"/>
      <c r="BN555" s="256"/>
      <c r="BO555" s="1592"/>
      <c r="BP555" s="1492"/>
    </row>
    <row r="556" spans="1:68" hidden="1" outlineLevel="1">
      <c r="A556" s="256"/>
      <c r="B556" s="302" t="str">
        <f>$B$44</f>
        <v>Year</v>
      </c>
      <c r="C556" s="256"/>
      <c r="D556" s="288">
        <f>(V556/V549-1)*100</f>
        <v>-9.4830135250357763</v>
      </c>
      <c r="E556" s="256"/>
      <c r="F556" s="297">
        <v>-20</v>
      </c>
      <c r="G556" s="256"/>
      <c r="H556" s="2091">
        <f>'segSales&amp;comps'!Y205</f>
        <v>10</v>
      </c>
      <c r="I556" s="256"/>
      <c r="J556" s="288">
        <f>D556-H556-F556</f>
        <v>0.51698647496422367</v>
      </c>
      <c r="K556" s="256"/>
      <c r="L556" s="951">
        <f>Stores!U279</f>
        <v>54</v>
      </c>
      <c r="M556" s="256"/>
      <c r="N556" s="811">
        <f>AVERAGE(N552:N555)</f>
        <v>54.375</v>
      </c>
      <c r="O556" s="256"/>
      <c r="P556" s="288">
        <f>(N556/N549-1)*100</f>
        <v>-1.5837104072398245</v>
      </c>
      <c r="Q556" s="643"/>
      <c r="R556" s="1487" t="s">
        <v>1086</v>
      </c>
      <c r="S556" s="587"/>
      <c r="T556" s="256"/>
      <c r="U556" s="256"/>
      <c r="V556" s="296">
        <f>SUM(V552:V555)</f>
        <v>578.57100000000003</v>
      </c>
      <c r="W556" s="256"/>
      <c r="X556" s="813">
        <f>SUM(X552:X555)</f>
        <v>10.642442705340869</v>
      </c>
      <c r="Y556" s="256"/>
      <c r="Z556" s="814">
        <f>(X556/X549-1)*100</f>
        <v>-7.9855901989244966</v>
      </c>
      <c r="AA556" s="643"/>
      <c r="AB556" s="256"/>
      <c r="AC556" s="815"/>
      <c r="AD556" s="256"/>
      <c r="AE556" s="816">
        <f>AVERAGE(AE552:AE555)</f>
        <v>0.14177499999999998</v>
      </c>
      <c r="AF556" s="256"/>
      <c r="AG556" s="1122" t="s">
        <v>1086</v>
      </c>
      <c r="AH556" s="643"/>
      <c r="AI556" s="1122" t="s">
        <v>1086</v>
      </c>
      <c r="AJ556" s="587"/>
      <c r="AK556" s="256"/>
      <c r="AL556" s="296">
        <f>SUM(AL552:AL555)</f>
        <v>578.57100000000003</v>
      </c>
      <c r="AM556" s="256"/>
      <c r="AN556" s="817">
        <f>AL556/AE556</f>
        <v>4080.9098924351974</v>
      </c>
      <c r="AO556" s="256"/>
      <c r="AP556" s="1122" t="s">
        <v>1086</v>
      </c>
      <c r="AQ556" s="643"/>
      <c r="AR556" s="643"/>
      <c r="AS556" s="256"/>
      <c r="AT556" s="256"/>
      <c r="AU556" s="256"/>
      <c r="AV556" s="256"/>
      <c r="AW556" s="256"/>
      <c r="AX556" s="256"/>
      <c r="AY556" s="256"/>
      <c r="AZ556" s="1017">
        <v>1.0140329899881187E-2</v>
      </c>
      <c r="BA556" s="1167">
        <f>+(AZ556/AZ549-1)*100</f>
        <v>-18.054878518919814</v>
      </c>
      <c r="BB556" s="256"/>
      <c r="BC556" s="256"/>
      <c r="BD556" s="1017"/>
      <c r="BE556" s="1017"/>
      <c r="BF556" s="1167"/>
      <c r="BG556" s="1167"/>
      <c r="BH556" s="1167"/>
      <c r="BI556" s="297">
        <f>BA556</f>
        <v>-18.054878518919814</v>
      </c>
      <c r="BJ556" s="1017"/>
      <c r="BK556" s="1167">
        <f>F556</f>
        <v>-20</v>
      </c>
      <c r="BL556" s="1167"/>
      <c r="BM556" s="1167"/>
      <c r="BN556" s="302"/>
      <c r="BO556" s="587"/>
      <c r="BP556" s="587"/>
    </row>
    <row r="557" spans="1:68" ht="13.5" hidden="1" outlineLevel="1" thickBot="1">
      <c r="H557" s="2100"/>
      <c r="V557" s="1518"/>
      <c r="BO557" s="629"/>
      <c r="BP557" s="629"/>
    </row>
    <row r="558" spans="1:68" ht="13.5" collapsed="1" thickBot="1">
      <c r="A558" s="810"/>
      <c r="B558" s="171">
        <f>+B551+1</f>
        <v>2014</v>
      </c>
      <c r="C558" s="256"/>
      <c r="D558" s="256"/>
      <c r="E558" s="643"/>
      <c r="F558" s="1473"/>
      <c r="G558" s="643"/>
      <c r="H558" s="2091"/>
      <c r="I558" s="643"/>
      <c r="J558" s="256"/>
      <c r="K558" s="643"/>
      <c r="L558" s="256"/>
      <c r="M558" s="256"/>
      <c r="N558" s="256"/>
      <c r="O558" s="256"/>
      <c r="P558" s="256"/>
      <c r="Q558" s="643"/>
      <c r="R558" s="587"/>
      <c r="S558" s="587"/>
      <c r="T558" s="256"/>
      <c r="U558" s="256"/>
      <c r="V558" s="256"/>
      <c r="W558" s="256"/>
      <c r="X558" s="256"/>
      <c r="Y558" s="256"/>
      <c r="Z558" s="256"/>
      <c r="AA558" s="643"/>
      <c r="AB558" s="256"/>
      <c r="AC558" s="256"/>
      <c r="AD558" s="256"/>
      <c r="AE558" s="256"/>
      <c r="AF558" s="256"/>
      <c r="AG558" s="256"/>
      <c r="AH558" s="643"/>
      <c r="AI558" s="587"/>
      <c r="AJ558" s="587"/>
      <c r="AK558" s="256"/>
      <c r="AL558" s="256"/>
      <c r="AM558" s="256"/>
      <c r="AN558" s="256"/>
      <c r="AO558" s="256"/>
      <c r="AP558" s="320"/>
      <c r="AQ558" s="643"/>
      <c r="AR558" s="643"/>
      <c r="AS558" s="256"/>
      <c r="AT558" s="256"/>
      <c r="AU558" s="256"/>
      <c r="AV558" s="256"/>
      <c r="AW558" s="256"/>
      <c r="AX558" s="256"/>
      <c r="AY558" s="256"/>
      <c r="AZ558" s="1605">
        <v>1</v>
      </c>
      <c r="BA558" s="587"/>
      <c r="BB558" s="587"/>
      <c r="BC558" s="1605"/>
      <c r="BD558" s="1603"/>
      <c r="BE558" s="587"/>
      <c r="BF558" s="1606"/>
      <c r="BG558" s="1167"/>
      <c r="BH558" s="1167"/>
      <c r="BI558" s="297"/>
      <c r="BJ558" s="256"/>
      <c r="BK558" s="256"/>
      <c r="BL558" s="256"/>
      <c r="BM558" s="256"/>
      <c r="BN558" s="256"/>
      <c r="BO558" s="587"/>
      <c r="BP558" s="587"/>
    </row>
    <row r="559" spans="1:68">
      <c r="A559" s="256" t="str">
        <f>$A$40</f>
        <v>1Q</v>
      </c>
      <c r="B559" s="302" t="str">
        <f>$B$40</f>
        <v>Apr</v>
      </c>
      <c r="C559" s="256"/>
      <c r="D559" s="288">
        <f>(V559/V552-1)*100</f>
        <v>20.319386688992381</v>
      </c>
      <c r="E559" s="643" t="s">
        <v>1970</v>
      </c>
      <c r="F559" s="1156">
        <v>-9</v>
      </c>
      <c r="G559" s="643"/>
      <c r="H559" s="2091">
        <f>'segSales&amp;comps'!Y208</f>
        <v>30</v>
      </c>
      <c r="I559" s="643" t="s">
        <v>1970</v>
      </c>
      <c r="J559" s="288">
        <f>D559-H559-F559</f>
        <v>-0.6806133110076189</v>
      </c>
      <c r="K559" s="643" t="s">
        <v>1970</v>
      </c>
      <c r="L559" s="948">
        <f>Stores!U282</f>
        <v>55</v>
      </c>
      <c r="M559" s="256"/>
      <c r="N559" s="811">
        <f>AVERAGE(L559,L555)</f>
        <v>54.5</v>
      </c>
      <c r="O559" s="256"/>
      <c r="P559" s="288">
        <f>(N559/N552-1)*100</f>
        <v>-0.90909090909090384</v>
      </c>
      <c r="Q559" s="643" t="s">
        <v>1970</v>
      </c>
      <c r="R559" s="1487" t="s">
        <v>1086</v>
      </c>
      <c r="S559" s="587" t="s">
        <v>1970</v>
      </c>
      <c r="T559" s="256"/>
      <c r="U559" s="256"/>
      <c r="V559" s="296">
        <f>'segSales&amp;comps'!W208</f>
        <v>173.89400000000001</v>
      </c>
      <c r="W559" s="238"/>
      <c r="X559" s="813">
        <f>V559/N559</f>
        <v>3.1907155963302753</v>
      </c>
      <c r="Y559" s="256"/>
      <c r="Z559" s="814">
        <f>(X559/X552-1)*100</f>
        <v>21.423234273295066</v>
      </c>
      <c r="AA559" s="643" t="s">
        <v>1970</v>
      </c>
      <c r="AB559" s="256"/>
      <c r="AC559" s="1017">
        <f>N559*yrSales!$Z$153/1000000</f>
        <v>0.14286785714285713</v>
      </c>
      <c r="AD559" s="256" t="s">
        <v>700</v>
      </c>
      <c r="AE559" s="816">
        <f>AVERAGE(AC559,AC555)</f>
        <v>0.14163392857142856</v>
      </c>
      <c r="AF559" s="256"/>
      <c r="AG559" s="1122" t="s">
        <v>1086</v>
      </c>
      <c r="AH559" s="643" t="s">
        <v>1970</v>
      </c>
      <c r="AI559" s="1122" t="s">
        <v>1086</v>
      </c>
      <c r="AJ559" s="587" t="s">
        <v>1970</v>
      </c>
      <c r="AK559" s="256"/>
      <c r="AL559" s="296">
        <f>+V559</f>
        <v>173.89400000000001</v>
      </c>
      <c r="AM559" s="256" t="s">
        <v>505</v>
      </c>
      <c r="AN559" s="817">
        <f>AL559/AE559</f>
        <v>1227.7707873668285</v>
      </c>
      <c r="AO559" s="256"/>
      <c r="AP559" s="1122" t="s">
        <v>1086</v>
      </c>
      <c r="AQ559" s="643" t="s">
        <v>1970</v>
      </c>
      <c r="AR559" s="643"/>
      <c r="AS559" s="256"/>
      <c r="AT559" s="256"/>
      <c r="AU559" s="256"/>
      <c r="AV559" s="256"/>
      <c r="AW559" s="256"/>
      <c r="AX559" s="256"/>
      <c r="AY559" s="256"/>
      <c r="AZ559" s="1017">
        <v>9.7748377755122375E-3</v>
      </c>
      <c r="BA559" s="1167">
        <f>+(AZ559/AZ552-1)*100</f>
        <v>-6.9779966927689507</v>
      </c>
      <c r="BB559" s="256"/>
      <c r="BC559" s="256"/>
      <c r="BD559" s="1017"/>
      <c r="BE559" s="1017"/>
      <c r="BF559" s="1167"/>
      <c r="BG559" s="1167"/>
      <c r="BH559" s="1167"/>
      <c r="BI559" s="297">
        <f>BA559</f>
        <v>-6.9779966927689507</v>
      </c>
      <c r="BJ559" s="1017"/>
      <c r="BK559" s="1167">
        <f>F559</f>
        <v>-9</v>
      </c>
      <c r="BL559" s="1167"/>
      <c r="BM559" s="1167"/>
      <c r="BN559" s="256"/>
      <c r="BO559" s="1592"/>
      <c r="BP559" s="1492"/>
    </row>
    <row r="560" spans="1:68">
      <c r="A560" s="256" t="str">
        <f>$A$41</f>
        <v>2Q</v>
      </c>
      <c r="B560" s="302" t="str">
        <f>$B$41</f>
        <v>Jul</v>
      </c>
      <c r="C560" s="256"/>
      <c r="D560" s="288">
        <f>(V560/V553-1)*100</f>
        <v>-12.6910810513582</v>
      </c>
      <c r="E560" s="256"/>
      <c r="F560" s="1156">
        <v>-3</v>
      </c>
      <c r="G560" s="256"/>
      <c r="H560" s="2091">
        <f>'segSales&amp;comps'!Y209</f>
        <v>-13</v>
      </c>
      <c r="I560" s="256"/>
      <c r="J560" s="288">
        <f>D560-H560-F560</f>
        <v>3.3089189486418</v>
      </c>
      <c r="K560" s="256"/>
      <c r="L560" s="948">
        <f>Stores!U283</f>
        <v>55</v>
      </c>
      <c r="M560" s="256"/>
      <c r="N560" s="811">
        <f>AVERAGE(L560,L559)</f>
        <v>55</v>
      </c>
      <c r="O560" s="256"/>
      <c r="P560" s="288">
        <f>(N560/N553-1)*100</f>
        <v>0.91743119266054496</v>
      </c>
      <c r="Q560" s="643"/>
      <c r="R560" s="1487" t="s">
        <v>1086</v>
      </c>
      <c r="S560" s="587"/>
      <c r="T560" s="256"/>
      <c r="U560" s="256"/>
      <c r="V560" s="315">
        <f>'segSales&amp;comps'!W209</f>
        <v>119.08499999999999</v>
      </c>
      <c r="W560" s="238"/>
      <c r="X560" s="818">
        <f>V560/N560</f>
        <v>2.1651818181818179</v>
      </c>
      <c r="Y560" s="256"/>
      <c r="Z560" s="814">
        <f>(X560/X553-1)*100</f>
        <v>-13.484798496345851</v>
      </c>
      <c r="AA560" s="643"/>
      <c r="AB560" s="256"/>
      <c r="AC560" s="1017">
        <f>N560*yrSales!$Z$153/1000000</f>
        <v>0.14417857142857143</v>
      </c>
      <c r="AD560" s="238"/>
      <c r="AE560" s="816">
        <f>AVERAGE(AC559:AC560)</f>
        <v>0.1435232142857143</v>
      </c>
      <c r="AF560" s="256"/>
      <c r="AG560" s="1122" t="s">
        <v>1086</v>
      </c>
      <c r="AH560" s="643"/>
      <c r="AI560" s="1122" t="s">
        <v>1086</v>
      </c>
      <c r="AJ560" s="587"/>
      <c r="AK560" s="256"/>
      <c r="AL560" s="315">
        <f>+V560</f>
        <v>119.08499999999999</v>
      </c>
      <c r="AM560" s="256"/>
      <c r="AN560" s="817">
        <f>AL560/AE560</f>
        <v>829.7264006569369</v>
      </c>
      <c r="AO560" s="256"/>
      <c r="AP560" s="1122" t="s">
        <v>1086</v>
      </c>
      <c r="AQ560" s="643"/>
      <c r="AR560" s="643"/>
      <c r="AS560" s="256"/>
      <c r="AT560" s="256"/>
      <c r="AU560" s="256"/>
      <c r="AV560" s="256"/>
      <c r="AW560" s="256"/>
      <c r="AX560" s="256"/>
      <c r="AY560" s="256"/>
      <c r="AZ560" s="1017">
        <v>9.8173162992364234E-3</v>
      </c>
      <c r="BA560" s="1167">
        <f>+(AZ560/AZ553-1)*100</f>
        <v>-2.427855580678806</v>
      </c>
      <c r="BB560" s="256"/>
      <c r="BC560" s="256"/>
      <c r="BD560" s="1017"/>
      <c r="BE560" s="1017"/>
      <c r="BF560" s="1167"/>
      <c r="BG560" s="1167"/>
      <c r="BH560" s="1167"/>
      <c r="BI560" s="297">
        <f>BA560</f>
        <v>-2.427855580678806</v>
      </c>
      <c r="BJ560" s="1017"/>
      <c r="BK560" s="1167">
        <f>F560</f>
        <v>-3</v>
      </c>
      <c r="BL560" s="1167"/>
      <c r="BM560" s="1167"/>
      <c r="BN560" s="256"/>
      <c r="BO560" s="1592"/>
      <c r="BP560" s="1492"/>
    </row>
    <row r="561" spans="1:68">
      <c r="A561" s="256" t="str">
        <f>$A$42</f>
        <v>3Q</v>
      </c>
      <c r="B561" s="302" t="str">
        <f>$B$42</f>
        <v>Oct</v>
      </c>
      <c r="C561" s="256"/>
      <c r="D561" s="288">
        <f>(V561/V554-1)*100</f>
        <v>-11.691348402182399</v>
      </c>
      <c r="E561" s="256"/>
      <c r="F561" s="1156">
        <v>-7</v>
      </c>
      <c r="G561" s="256"/>
      <c r="H561" s="2091">
        <f>'segSales&amp;comps'!Y210</f>
        <v>-6</v>
      </c>
      <c r="I561" s="256"/>
      <c r="J561" s="288">
        <f>D561-H561-F561</f>
        <v>1.308651597817601</v>
      </c>
      <c r="K561" s="256"/>
      <c r="L561" s="948">
        <f>Stores!U284</f>
        <v>56</v>
      </c>
      <c r="M561" s="238"/>
      <c r="N561" s="811">
        <f>AVERAGE(L561,L560)</f>
        <v>55.5</v>
      </c>
      <c r="O561" s="256"/>
      <c r="P561" s="288">
        <f>(N561/N554-1)*100</f>
        <v>2.7777777777777679</v>
      </c>
      <c r="Q561" s="643"/>
      <c r="R561" s="1487" t="s">
        <v>1086</v>
      </c>
      <c r="S561" s="587"/>
      <c r="T561" s="256"/>
      <c r="U561" s="256"/>
      <c r="V561" s="315">
        <f>'segSales&amp;comps'!W210</f>
        <v>113.3</v>
      </c>
      <c r="W561" s="256"/>
      <c r="X561" s="818">
        <f>V561/N561</f>
        <v>2.0414414414414415</v>
      </c>
      <c r="Y561" s="256"/>
      <c r="Z561" s="814">
        <f>(X561/X554-1)*100</f>
        <v>-14.078068715636928</v>
      </c>
      <c r="AA561" s="643"/>
      <c r="AB561" s="256"/>
      <c r="AC561" s="1017">
        <f>N561*yrSales!$Z$153/1000000</f>
        <v>0.14548928571428571</v>
      </c>
      <c r="AD561" s="238"/>
      <c r="AE561" s="816">
        <f>AVERAGE(AC560:AC561)</f>
        <v>0.14483392857142857</v>
      </c>
      <c r="AF561" s="256"/>
      <c r="AG561" s="1122" t="s">
        <v>1086</v>
      </c>
      <c r="AH561" s="643"/>
      <c r="AI561" s="1122" t="s">
        <v>1086</v>
      </c>
      <c r="AJ561" s="587"/>
      <c r="AK561" s="256"/>
      <c r="AL561" s="315">
        <f>+V561</f>
        <v>113.3</v>
      </c>
      <c r="AM561" s="256"/>
      <c r="AN561" s="817">
        <f>AL561/AE561</f>
        <v>782.27526600663316</v>
      </c>
      <c r="AO561" s="256"/>
      <c r="AP561" s="1122" t="s">
        <v>1086</v>
      </c>
      <c r="AQ561" s="643"/>
      <c r="AR561" s="643"/>
      <c r="AS561" s="256"/>
      <c r="AT561" s="256"/>
      <c r="AU561" s="256"/>
      <c r="AV561" s="256"/>
      <c r="AW561" s="256"/>
      <c r="AX561" s="256"/>
      <c r="AY561" s="256"/>
      <c r="AZ561" s="1017">
        <v>9.4549576556688681E-3</v>
      </c>
      <c r="BA561" s="1167">
        <f>+(AZ561/AZ554-1)*100</f>
        <v>-6.876860827148656</v>
      </c>
      <c r="BB561" s="256"/>
      <c r="BC561" s="256"/>
      <c r="BD561" s="1017"/>
      <c r="BE561" s="1017"/>
      <c r="BF561" s="1167"/>
      <c r="BG561" s="1167"/>
      <c r="BH561" s="1167"/>
      <c r="BI561" s="297">
        <f>BA561</f>
        <v>-6.876860827148656</v>
      </c>
      <c r="BJ561" s="1017"/>
      <c r="BK561" s="1167">
        <f>F561</f>
        <v>-7</v>
      </c>
      <c r="BL561" s="1167"/>
      <c r="BM561" s="1167"/>
      <c r="BN561" s="256"/>
      <c r="BO561" s="1592"/>
      <c r="BP561" s="1492"/>
    </row>
    <row r="562" spans="1:68">
      <c r="A562" s="256" t="str">
        <f>$A$43</f>
        <v>4Q</v>
      </c>
      <c r="B562" s="302" t="str">
        <f>$B$43</f>
        <v>Jan</v>
      </c>
      <c r="C562" s="256"/>
      <c r="D562" s="318">
        <f>(V562/V555-1)*100</f>
        <v>-12.606510814944283</v>
      </c>
      <c r="E562" s="256"/>
      <c r="F562" s="1148">
        <v>-13</v>
      </c>
      <c r="G562" s="256"/>
      <c r="H562" s="2095">
        <f>'segSales&amp;comps'!Y211</f>
        <v>-5</v>
      </c>
      <c r="I562" s="256"/>
      <c r="J562" s="318">
        <f>D562-H562-F562</f>
        <v>5.3934891850557172</v>
      </c>
      <c r="K562" s="256"/>
      <c r="L562" s="949">
        <f>Stores!U285</f>
        <v>56</v>
      </c>
      <c r="M562" s="238"/>
      <c r="N562" s="820">
        <f>AVERAGE(L562,L561)</f>
        <v>56</v>
      </c>
      <c r="O562" s="256"/>
      <c r="P562" s="318">
        <f>(N562/N555-1)*100</f>
        <v>3.7037037037036979</v>
      </c>
      <c r="Q562" s="643"/>
      <c r="R562" s="1488" t="s">
        <v>1086</v>
      </c>
      <c r="S562" s="587"/>
      <c r="T562" s="256"/>
      <c r="U562" s="256"/>
      <c r="V562" s="316">
        <f>'segSales&amp;comps'!W211</f>
        <v>148</v>
      </c>
      <c r="W562" s="256"/>
      <c r="X562" s="821">
        <f>V562/N562</f>
        <v>2.6428571428571428</v>
      </c>
      <c r="Y562" s="256"/>
      <c r="Z562" s="298">
        <f>(X562/X555-1)*100</f>
        <v>-15.727706857267698</v>
      </c>
      <c r="AA562" s="643"/>
      <c r="AB562" s="256"/>
      <c r="AC562" s="1017">
        <f>N562*yrSales!$Z$153/1000000</f>
        <v>0.14679999999999996</v>
      </c>
      <c r="AD562" s="238"/>
      <c r="AE562" s="822">
        <f>AVERAGE(AC561:AC562)</f>
        <v>0.14614464285714285</v>
      </c>
      <c r="AF562" s="256"/>
      <c r="AG562" s="1123" t="s">
        <v>1086</v>
      </c>
      <c r="AH562" s="643"/>
      <c r="AI562" s="1123" t="s">
        <v>1086</v>
      </c>
      <c r="AJ562" s="587"/>
      <c r="AK562" s="256"/>
      <c r="AL562" s="316">
        <f>+V562</f>
        <v>148</v>
      </c>
      <c r="AM562" s="256"/>
      <c r="AN562" s="950">
        <f>AL562/AE562</f>
        <v>1012.6953482973082</v>
      </c>
      <c r="AO562" s="256"/>
      <c r="AP562" s="1123" t="s">
        <v>1086</v>
      </c>
      <c r="AQ562" s="643"/>
      <c r="AR562" s="643"/>
      <c r="AS562" s="256"/>
      <c r="AT562" s="256"/>
      <c r="AU562" s="256"/>
      <c r="AV562" s="256"/>
      <c r="AW562" s="256"/>
      <c r="AX562" s="256"/>
      <c r="AY562" s="256"/>
      <c r="AZ562" s="1601">
        <v>8.4648007084512297E-3</v>
      </c>
      <c r="BA562" s="1602">
        <f>+(AZ562/AZ555-1)*100</f>
        <v>-13.962072639160017</v>
      </c>
      <c r="BB562" s="256"/>
      <c r="BC562" s="256"/>
      <c r="BD562" s="1017"/>
      <c r="BE562" s="1017"/>
      <c r="BF562" s="1167"/>
      <c r="BG562" s="1167"/>
      <c r="BH562" s="1167"/>
      <c r="BI562" s="297">
        <f>BA562</f>
        <v>-13.962072639160017</v>
      </c>
      <c r="BJ562" s="1017"/>
      <c r="BK562" s="1167">
        <f>F562</f>
        <v>-13</v>
      </c>
      <c r="BL562" s="1167"/>
      <c r="BM562" s="1167"/>
      <c r="BN562" s="256"/>
      <c r="BO562" s="1592"/>
      <c r="BP562" s="1492"/>
    </row>
    <row r="563" spans="1:68">
      <c r="A563" s="256"/>
      <c r="B563" s="302" t="str">
        <f>$B$44</f>
        <v>Year</v>
      </c>
      <c r="C563" s="256"/>
      <c r="D563" s="288">
        <f>(V563/V556-1)*100</f>
        <v>-4.1986203940397981</v>
      </c>
      <c r="E563" s="256"/>
      <c r="F563" s="297">
        <f>F559*V559/V563+F560*V560/V563+F561*V561/V563+F562*V562/V563</f>
        <v>-8.3701547415651678</v>
      </c>
      <c r="G563" s="256"/>
      <c r="H563" s="2085">
        <f>H559*V559/V563+H560*V560/V563+H561*V561/V563+H562*V562/V563</f>
        <v>4.0573700248430846</v>
      </c>
      <c r="I563" s="256"/>
      <c r="J563" s="288">
        <f>D563-H563-F563</f>
        <v>0.11416432268228505</v>
      </c>
      <c r="K563" s="256"/>
      <c r="L563" s="951">
        <f>Stores!U286</f>
        <v>56</v>
      </c>
      <c r="M563" s="256"/>
      <c r="N563" s="811">
        <f>AVERAGE(N559:N562)</f>
        <v>55.25</v>
      </c>
      <c r="O563" s="256"/>
      <c r="P563" s="288">
        <f>(N563/N556-1)*100</f>
        <v>1.6091954022988464</v>
      </c>
      <c r="Q563" s="643"/>
      <c r="R563" s="1487" t="s">
        <v>1086</v>
      </c>
      <c r="S563" s="587"/>
      <c r="T563" s="256"/>
      <c r="U563" s="256"/>
      <c r="V563" s="296">
        <f>SUM(V559:V562)</f>
        <v>554.279</v>
      </c>
      <c r="W563" s="256"/>
      <c r="X563" s="813">
        <f>SUM(X559:X562)</f>
        <v>10.040195998810677</v>
      </c>
      <c r="Y563" s="256"/>
      <c r="Z563" s="814">
        <f>(X563/X556-1)*100</f>
        <v>-5.6589142474589682</v>
      </c>
      <c r="AA563" s="643"/>
      <c r="AB563" s="256"/>
      <c r="AC563" s="815"/>
      <c r="AD563" s="256"/>
      <c r="AE563" s="816">
        <f>AVERAGE(AE559:AE562)</f>
        <v>0.14403392857142858</v>
      </c>
      <c r="AF563" s="256"/>
      <c r="AG563" s="1122" t="s">
        <v>1086</v>
      </c>
      <c r="AH563" s="643"/>
      <c r="AI563" s="1122" t="s">
        <v>1086</v>
      </c>
      <c r="AJ563" s="587"/>
      <c r="AK563" s="256"/>
      <c r="AL563" s="296">
        <f>SUM(AL559:AL562)</f>
        <v>554.279</v>
      </c>
      <c r="AM563" s="256"/>
      <c r="AN563" s="817">
        <f>AL563/AE563</f>
        <v>3848.2530157824917</v>
      </c>
      <c r="AO563" s="256"/>
      <c r="AP563" s="1122" t="s">
        <v>1086</v>
      </c>
      <c r="AQ563" s="643"/>
      <c r="AR563" s="643"/>
      <c r="AS563" s="256"/>
      <c r="AT563" s="256"/>
      <c r="AU563" s="256"/>
      <c r="AV563" s="256"/>
      <c r="AW563" s="256"/>
      <c r="AX563" s="256"/>
      <c r="AY563" s="256"/>
      <c r="AZ563" s="1017">
        <v>9.3779781097171888E-3</v>
      </c>
      <c r="BA563" s="1167">
        <f>+(AZ563/AZ556-1)*100</f>
        <v>-7.5180176354314732</v>
      </c>
      <c r="BB563" s="256"/>
      <c r="BC563" s="256"/>
      <c r="BD563" s="1017"/>
      <c r="BE563" s="1017"/>
      <c r="BF563" s="1167"/>
      <c r="BG563" s="1167"/>
      <c r="BH563" s="1167"/>
      <c r="BI563" s="297">
        <f>BA563</f>
        <v>-7.5180176354314732</v>
      </c>
      <c r="BJ563" s="1017"/>
      <c r="BK563" s="1167">
        <f>F563</f>
        <v>-8.3701547415651678</v>
      </c>
      <c r="BL563" s="1167"/>
      <c r="BM563" s="1167"/>
      <c r="BN563" s="302"/>
      <c r="BO563" s="587"/>
      <c r="BP563" s="587"/>
    </row>
    <row r="564" spans="1:68" ht="13.5" thickBot="1">
      <c r="H564" s="2100"/>
      <c r="V564" s="1518"/>
      <c r="BO564" s="629"/>
      <c r="BP564" s="629"/>
    </row>
    <row r="565" spans="1:68" ht="13.5" thickBot="1">
      <c r="A565" s="810"/>
      <c r="B565" s="171">
        <f>+B558+1</f>
        <v>2015</v>
      </c>
      <c r="C565" s="256"/>
      <c r="D565" s="256"/>
      <c r="E565" s="643"/>
      <c r="F565" s="1473"/>
      <c r="G565" s="643"/>
      <c r="H565" s="2091"/>
      <c r="I565" s="643"/>
      <c r="J565" s="256"/>
      <c r="K565" s="643"/>
      <c r="L565" s="256"/>
      <c r="M565" s="256"/>
      <c r="N565" s="256"/>
      <c r="O565" s="256"/>
      <c r="P565" s="256"/>
      <c r="Q565" s="643"/>
      <c r="R565" s="587"/>
      <c r="S565" s="587"/>
      <c r="T565" s="256"/>
      <c r="U565" s="256"/>
      <c r="V565" s="256"/>
      <c r="W565" s="256"/>
      <c r="X565" s="256"/>
      <c r="Y565" s="256"/>
      <c r="Z565" s="256"/>
      <c r="AA565" s="643"/>
      <c r="AB565" s="256"/>
      <c r="AC565" s="256"/>
      <c r="AD565" s="256"/>
      <c r="AE565" s="256"/>
      <c r="AF565" s="256"/>
      <c r="AG565" s="256"/>
      <c r="AH565" s="643"/>
      <c r="AI565" s="587"/>
      <c r="AJ565" s="587"/>
      <c r="AK565" s="256"/>
      <c r="AL565" s="256"/>
      <c r="AM565" s="256"/>
      <c r="AN565" s="256"/>
      <c r="AO565" s="256"/>
      <c r="AP565" s="320"/>
      <c r="AQ565" s="643"/>
      <c r="AR565" s="643"/>
      <c r="AS565" s="256"/>
      <c r="AT565" s="256"/>
      <c r="AU565" s="256"/>
      <c r="AV565" s="256"/>
      <c r="AW565" s="256"/>
      <c r="AX565" s="256"/>
      <c r="AY565" s="256"/>
      <c r="AZ565" s="1605">
        <v>1</v>
      </c>
      <c r="BA565" s="587"/>
      <c r="BB565" s="587"/>
      <c r="BC565" s="1605"/>
      <c r="BD565" s="1603"/>
      <c r="BE565" s="587"/>
      <c r="BF565" s="1606"/>
      <c r="BG565" s="1167"/>
      <c r="BH565" s="1167"/>
      <c r="BI565" s="297"/>
      <c r="BJ565" s="256"/>
      <c r="BK565" s="256"/>
      <c r="BL565" s="256"/>
      <c r="BM565" s="256"/>
      <c r="BN565" s="256"/>
      <c r="BO565" s="587"/>
      <c r="BP565" s="587"/>
    </row>
    <row r="566" spans="1:68">
      <c r="A566" s="256" t="str">
        <f>$A$40</f>
        <v>1Q</v>
      </c>
      <c r="B566" s="302" t="str">
        <f>$B$40</f>
        <v>Apr</v>
      </c>
      <c r="C566" s="256"/>
      <c r="D566" s="288">
        <f>(V566/V559-1)*100</f>
        <v>-29.957330327670885</v>
      </c>
      <c r="E566" s="643" t="s">
        <v>1970</v>
      </c>
      <c r="F566" s="1156">
        <v>-12</v>
      </c>
      <c r="G566" s="643"/>
      <c r="H566" s="2091">
        <f>'segSales&amp;comps'!Y215</f>
        <v>-24</v>
      </c>
      <c r="I566" s="643" t="s">
        <v>1970</v>
      </c>
      <c r="J566" s="288">
        <f>D566-H566-F566</f>
        <v>6.0426696723291151</v>
      </c>
      <c r="K566" s="643" t="s">
        <v>1970</v>
      </c>
      <c r="L566" s="948">
        <f>Stores!U289</f>
        <v>56</v>
      </c>
      <c r="M566" s="256"/>
      <c r="N566" s="811">
        <f>AVERAGE(L566,L562)</f>
        <v>56</v>
      </c>
      <c r="O566" s="256"/>
      <c r="P566" s="288">
        <f>(N566/N559-1)*100</f>
        <v>2.7522935779816571</v>
      </c>
      <c r="Q566" s="643" t="s">
        <v>1970</v>
      </c>
      <c r="R566" s="1487" t="s">
        <v>1086</v>
      </c>
      <c r="S566" s="587" t="s">
        <v>1970</v>
      </c>
      <c r="T566" s="256"/>
      <c r="U566" s="256"/>
      <c r="V566" s="296">
        <f>'segSales&amp;comps'!W215</f>
        <v>121.8</v>
      </c>
      <c r="W566" s="238"/>
      <c r="X566" s="813">
        <f>V566/N566</f>
        <v>2.1749999999999998</v>
      </c>
      <c r="Y566" s="256"/>
      <c r="Z566" s="814">
        <f>(X566/X559-1)*100</f>
        <v>-31.833473265322564</v>
      </c>
      <c r="AA566" s="643" t="s">
        <v>1970</v>
      </c>
      <c r="AB566" s="256"/>
      <c r="AC566" s="1017">
        <f>N566*yrSales!$AA$153/1000000</f>
        <v>0.14679999999999996</v>
      </c>
      <c r="AD566" s="256" t="s">
        <v>505</v>
      </c>
      <c r="AE566" s="816">
        <f>AVERAGE(AC566,AC562)</f>
        <v>0.14679999999999996</v>
      </c>
      <c r="AF566" s="256"/>
      <c r="AG566" s="1122" t="s">
        <v>1086</v>
      </c>
      <c r="AH566" s="643" t="s">
        <v>1970</v>
      </c>
      <c r="AI566" s="1122" t="s">
        <v>1086</v>
      </c>
      <c r="AJ566" s="587" t="s">
        <v>1970</v>
      </c>
      <c r="AK566" s="256"/>
      <c r="AL566" s="296">
        <f>+V566</f>
        <v>121.8</v>
      </c>
      <c r="AM566" s="256" t="s">
        <v>505</v>
      </c>
      <c r="AN566" s="817">
        <f>AL566/AE566</f>
        <v>829.70027247956421</v>
      </c>
      <c r="AO566" s="256"/>
      <c r="AP566" s="1122" t="s">
        <v>1086</v>
      </c>
      <c r="AQ566" s="643" t="s">
        <v>1970</v>
      </c>
      <c r="AR566" s="643"/>
      <c r="AS566" s="256"/>
      <c r="AT566" s="256"/>
      <c r="AU566" s="256"/>
      <c r="AV566" s="256"/>
      <c r="AW566" s="256"/>
      <c r="AX566" s="256"/>
      <c r="AY566" s="256"/>
      <c r="AZ566" s="1017">
        <v>8.3617395453043086E-3</v>
      </c>
      <c r="BA566" s="1167">
        <f>+(AZ566/AZ559-1)*100</f>
        <v>-14.456487797147888</v>
      </c>
      <c r="BB566" s="256"/>
      <c r="BC566" s="256"/>
      <c r="BD566" s="1017"/>
      <c r="BE566" s="1017"/>
      <c r="BF566" s="1167"/>
      <c r="BG566" s="1167"/>
      <c r="BH566" s="1167"/>
      <c r="BI566" s="297">
        <f>BA566</f>
        <v>-14.456487797147888</v>
      </c>
      <c r="BJ566" s="1017"/>
      <c r="BK566" s="1167">
        <f>F566</f>
        <v>-12</v>
      </c>
      <c r="BL566" s="1167"/>
      <c r="BM566" s="1167"/>
      <c r="BN566" s="256"/>
      <c r="BO566" s="1592"/>
      <c r="BP566" s="1492"/>
    </row>
    <row r="567" spans="1:68">
      <c r="A567" s="256" t="str">
        <f>$A$41</f>
        <v>2Q</v>
      </c>
      <c r="B567" s="302" t="str">
        <f>$B$41</f>
        <v>Jul</v>
      </c>
      <c r="C567" s="256"/>
      <c r="D567" s="288">
        <f>(V567/V560-1)*100</f>
        <v>5.3869085107276282</v>
      </c>
      <c r="E567" s="256"/>
      <c r="F567" s="1156">
        <v>-22</v>
      </c>
      <c r="G567" s="256"/>
      <c r="H567" s="2091">
        <f>'segSales&amp;comps'!Y216</f>
        <v>21</v>
      </c>
      <c r="I567" s="256"/>
      <c r="J567" s="288">
        <f>D567-H567-F567</f>
        <v>6.3869085107276291</v>
      </c>
      <c r="K567" s="256"/>
      <c r="L567" s="948">
        <f>Stores!U290</f>
        <v>56</v>
      </c>
      <c r="M567" s="256"/>
      <c r="N567" s="811">
        <f>AVERAGE(L567,L566)</f>
        <v>56</v>
      </c>
      <c r="O567" s="256"/>
      <c r="P567" s="288">
        <f>(N567/N560-1)*100</f>
        <v>1.8181818181818077</v>
      </c>
      <c r="Q567" s="643"/>
      <c r="R567" s="1487" t="s">
        <v>1086</v>
      </c>
      <c r="S567" s="587"/>
      <c r="T567" s="256"/>
      <c r="U567" s="256"/>
      <c r="V567" s="315">
        <f>'segSales&amp;comps'!W216</f>
        <v>125.5</v>
      </c>
      <c r="W567" s="238"/>
      <c r="X567" s="818">
        <f>V567/N567</f>
        <v>2.2410714285714284</v>
      </c>
      <c r="Y567" s="256"/>
      <c r="Z567" s="814">
        <f>(X567/X560-1)*100</f>
        <v>3.5049994301789233</v>
      </c>
      <c r="AA567" s="643"/>
      <c r="AB567" s="256"/>
      <c r="AC567" s="1017">
        <f>N567*yrSales!$AA$153/1000000</f>
        <v>0.14679999999999996</v>
      </c>
      <c r="AD567" s="238"/>
      <c r="AE567" s="816">
        <f>AVERAGE(AC566:AC567)</f>
        <v>0.14679999999999996</v>
      </c>
      <c r="AF567" s="256"/>
      <c r="AG567" s="1122" t="s">
        <v>1086</v>
      </c>
      <c r="AH567" s="643"/>
      <c r="AI567" s="1122" t="s">
        <v>1086</v>
      </c>
      <c r="AJ567" s="587"/>
      <c r="AK567" s="256"/>
      <c r="AL567" s="315">
        <f>+V567</f>
        <v>125.5</v>
      </c>
      <c r="AM567" s="256"/>
      <c r="AN567" s="817">
        <f>AL567/AE567</f>
        <v>854.90463215258876</v>
      </c>
      <c r="AO567" s="256"/>
      <c r="AP567" s="1122" t="s">
        <v>1086</v>
      </c>
      <c r="AQ567" s="643"/>
      <c r="AR567" s="643"/>
      <c r="AS567" s="256"/>
      <c r="AT567" s="256"/>
      <c r="AU567" s="256"/>
      <c r="AV567" s="256"/>
      <c r="AW567" s="256"/>
      <c r="AX567" s="256"/>
      <c r="AY567" s="256"/>
      <c r="AZ567" s="1017">
        <v>8.1514039195082141E-3</v>
      </c>
      <c r="BA567" s="1167">
        <f>+(AZ567/AZ560-1)*100</f>
        <v>-16.969121997808923</v>
      </c>
      <c r="BB567" s="256"/>
      <c r="BC567" s="256"/>
      <c r="BD567" s="1017"/>
      <c r="BE567" s="1017"/>
      <c r="BF567" s="1167"/>
      <c r="BG567" s="1167"/>
      <c r="BH567" s="1167"/>
      <c r="BI567" s="297">
        <f>BA567</f>
        <v>-16.969121997808923</v>
      </c>
      <c r="BJ567" s="1017"/>
      <c r="BK567" s="1167">
        <f>F567</f>
        <v>-22</v>
      </c>
      <c r="BL567" s="1167"/>
      <c r="BM567" s="1167"/>
      <c r="BN567" s="256"/>
      <c r="BO567" s="1592"/>
      <c r="BP567" s="1492"/>
    </row>
    <row r="568" spans="1:68">
      <c r="A568" s="256" t="str">
        <f>$A$42</f>
        <v>3Q</v>
      </c>
      <c r="B568" s="302" t="str">
        <f>$B$42</f>
        <v>Oct</v>
      </c>
      <c r="C568" s="256"/>
      <c r="D568" s="288">
        <f>(V568/V561-1)*100</f>
        <v>17.122683142100612</v>
      </c>
      <c r="E568" s="256"/>
      <c r="F568" s="1156">
        <v>-17</v>
      </c>
      <c r="G568" s="256"/>
      <c r="H568" s="2091">
        <f>'segSales&amp;comps'!Y217</f>
        <v>24</v>
      </c>
      <c r="I568" s="256"/>
      <c r="J568" s="288">
        <f>D568-H568-F568</f>
        <v>10.122683142100612</v>
      </c>
      <c r="K568" s="256"/>
      <c r="L568" s="948">
        <f>Stores!U291</f>
        <v>56</v>
      </c>
      <c r="M568" s="238"/>
      <c r="N568" s="811">
        <f>AVERAGE(L568,L567)</f>
        <v>56</v>
      </c>
      <c r="O568" s="256"/>
      <c r="P568" s="288">
        <f>(N568/N561-1)*100</f>
        <v>0.9009009009008917</v>
      </c>
      <c r="Q568" s="643"/>
      <c r="R568" s="1487" t="s">
        <v>1086</v>
      </c>
      <c r="S568" s="587"/>
      <c r="T568" s="256"/>
      <c r="U568" s="256"/>
      <c r="V568" s="315">
        <f>'segSales&amp;comps'!W217</f>
        <v>132.69999999999999</v>
      </c>
      <c r="W568" s="256"/>
      <c r="X568" s="818">
        <f>V568/N568</f>
        <v>2.3696428571428569</v>
      </c>
      <c r="Y568" s="256"/>
      <c r="Z568" s="814">
        <f>(X568/X561-1)*100</f>
        <v>16.076944899760413</v>
      </c>
      <c r="AA568" s="643"/>
      <c r="AB568" s="256"/>
      <c r="AC568" s="1017">
        <f>N568*yrSales!$AA$153/1000000</f>
        <v>0.14679999999999996</v>
      </c>
      <c r="AD568" s="238"/>
      <c r="AE568" s="816">
        <f>AVERAGE(AC567:AC568)</f>
        <v>0.14679999999999996</v>
      </c>
      <c r="AF568" s="256"/>
      <c r="AG568" s="1122" t="s">
        <v>1086</v>
      </c>
      <c r="AH568" s="643"/>
      <c r="AI568" s="1122" t="s">
        <v>1086</v>
      </c>
      <c r="AJ568" s="587"/>
      <c r="AK568" s="256"/>
      <c r="AL568" s="315">
        <f>+V568</f>
        <v>132.69999999999999</v>
      </c>
      <c r="AM568" s="256"/>
      <c r="AN568" s="817">
        <f>AL568/AE568</f>
        <v>903.95095367847432</v>
      </c>
      <c r="AO568" s="256"/>
      <c r="AP568" s="1122" t="s">
        <v>1086</v>
      </c>
      <c r="AQ568" s="643"/>
      <c r="AR568" s="643"/>
      <c r="AS568" s="256"/>
      <c r="AT568" s="256"/>
      <c r="AU568" s="256"/>
      <c r="AV568" s="256"/>
      <c r="AW568" s="256"/>
      <c r="AX568" s="256"/>
      <c r="AY568" s="256"/>
      <c r="AZ568" s="1017">
        <v>8.2615638990990187E-3</v>
      </c>
      <c r="BA568" s="1167">
        <f>+(AZ568/AZ561-1)*100</f>
        <v>-12.621883672364531</v>
      </c>
      <c r="BB568" s="256"/>
      <c r="BC568" s="256"/>
      <c r="BD568" s="1017"/>
      <c r="BE568" s="1017"/>
      <c r="BF568" s="1167"/>
      <c r="BG568" s="1167"/>
      <c r="BH568" s="1167"/>
      <c r="BI568" s="297">
        <f>BA568</f>
        <v>-12.621883672364531</v>
      </c>
      <c r="BJ568" s="1017"/>
      <c r="BK568" s="1167">
        <f>F568</f>
        <v>-17</v>
      </c>
      <c r="BL568" s="1167"/>
      <c r="BM568" s="1167"/>
      <c r="BN568" s="256"/>
      <c r="BO568" s="1592"/>
      <c r="BP568" s="1492"/>
    </row>
    <row r="569" spans="1:68">
      <c r="A569" s="256" t="str">
        <f>$A$43</f>
        <v>4Q</v>
      </c>
      <c r="B569" s="302" t="str">
        <f>$B$43</f>
        <v>Jan</v>
      </c>
      <c r="C569" s="256"/>
      <c r="D569" s="318">
        <f>(V569/V562-1)*100</f>
        <v>8.9864864864865002</v>
      </c>
      <c r="E569" s="256"/>
      <c r="F569" s="1148">
        <v>-3</v>
      </c>
      <c r="G569" s="256"/>
      <c r="H569" s="2095">
        <f>'segSales&amp;comps'!Y218</f>
        <v>10</v>
      </c>
      <c r="I569" s="256"/>
      <c r="J569" s="318">
        <f>D569-H569-F569</f>
        <v>1.9864864864865002</v>
      </c>
      <c r="K569" s="256"/>
      <c r="L569" s="949">
        <f>Stores!U292</f>
        <v>56</v>
      </c>
      <c r="M569" s="238"/>
      <c r="N569" s="820">
        <f>AVERAGE(L569,L568)</f>
        <v>56</v>
      </c>
      <c r="O569" s="256"/>
      <c r="P569" s="318">
        <f>(N569/N562-1)*100</f>
        <v>0</v>
      </c>
      <c r="Q569" s="643"/>
      <c r="R569" s="1488" t="s">
        <v>1086</v>
      </c>
      <c r="S569" s="587"/>
      <c r="T569" s="256"/>
      <c r="U569" s="256"/>
      <c r="V569" s="316">
        <f>'segSales&amp;comps'!W218</f>
        <v>161.30000000000001</v>
      </c>
      <c r="W569" s="256"/>
      <c r="X569" s="821">
        <f>V569/N569</f>
        <v>2.8803571428571431</v>
      </c>
      <c r="Y569" s="256"/>
      <c r="Z569" s="298">
        <f>(X569/X562-1)*100</f>
        <v>8.9864864864865002</v>
      </c>
      <c r="AA569" s="643"/>
      <c r="AB569" s="256"/>
      <c r="AC569" s="1017">
        <f>N569*yrSales!$AA$153/1000000</f>
        <v>0.14679999999999996</v>
      </c>
      <c r="AD569" s="238"/>
      <c r="AE569" s="822">
        <f>AVERAGE(AC568:AC569)</f>
        <v>0.14679999999999996</v>
      </c>
      <c r="AF569" s="256"/>
      <c r="AG569" s="1123" t="s">
        <v>1086</v>
      </c>
      <c r="AH569" s="643"/>
      <c r="AI569" s="1123" t="s">
        <v>1086</v>
      </c>
      <c r="AJ569" s="587"/>
      <c r="AK569" s="256"/>
      <c r="AL569" s="316">
        <f>+V569</f>
        <v>161.30000000000001</v>
      </c>
      <c r="AM569" s="256"/>
      <c r="AN569" s="950">
        <f>AL569/AE569</f>
        <v>1098.7738419618533</v>
      </c>
      <c r="AO569" s="256"/>
      <c r="AP569" s="1123" t="s">
        <v>1086</v>
      </c>
      <c r="AQ569" s="643"/>
      <c r="AR569" s="643"/>
      <c r="AS569" s="256"/>
      <c r="AT569" s="256"/>
      <c r="AU569" s="256"/>
      <c r="AV569" s="256"/>
      <c r="AW569" s="256"/>
      <c r="AX569" s="256"/>
      <c r="AY569" s="256"/>
      <c r="AZ569" s="1601">
        <v>8.2716676845513825E-3</v>
      </c>
      <c r="BA569" s="1602">
        <f>+(AZ569/AZ562-1)*100</f>
        <v>-2.2816015468270168</v>
      </c>
      <c r="BB569" s="256"/>
      <c r="BC569" s="256"/>
      <c r="BD569" s="1017"/>
      <c r="BE569" s="1017"/>
      <c r="BF569" s="1167"/>
      <c r="BG569" s="1167"/>
      <c r="BH569" s="1167"/>
      <c r="BI569" s="297">
        <f>BA569</f>
        <v>-2.2816015468270168</v>
      </c>
      <c r="BJ569" s="1017"/>
      <c r="BK569" s="1167">
        <f>F569</f>
        <v>-3</v>
      </c>
      <c r="BL569" s="1167"/>
      <c r="BM569" s="1167"/>
      <c r="BN569" s="256"/>
      <c r="BO569" s="1592"/>
      <c r="BP569" s="1492"/>
    </row>
    <row r="570" spans="1:68">
      <c r="A570" s="256"/>
      <c r="B570" s="302" t="str">
        <f>$B$44</f>
        <v>Year</v>
      </c>
      <c r="C570" s="256"/>
      <c r="D570" s="288">
        <f>(V570/V563-1)*100</f>
        <v>-2.3416005296971409</v>
      </c>
      <c r="E570" s="256"/>
      <c r="F570" s="814">
        <v>-12</v>
      </c>
      <c r="G570" s="256"/>
      <c r="H570" s="2085">
        <f>H566*V566/V570+H567*V567/V570+H568*V568/V570+H569*V569/V570</f>
        <v>8.3319785701089977</v>
      </c>
      <c r="I570" s="256"/>
      <c r="J570" s="288">
        <f>D570-H570-F570</f>
        <v>1.3264209001938614</v>
      </c>
      <c r="K570" s="256"/>
      <c r="L570" s="951">
        <f>Stores!U293</f>
        <v>56</v>
      </c>
      <c r="M570" s="256"/>
      <c r="N570" s="811">
        <f>AVERAGE(N566:N569)</f>
        <v>56</v>
      </c>
      <c r="O570" s="256"/>
      <c r="P570" s="288">
        <f>(N570/N563-1)*100</f>
        <v>1.3574660633484115</v>
      </c>
      <c r="Q570" s="643"/>
      <c r="R570" s="1487" t="s">
        <v>1086</v>
      </c>
      <c r="S570" s="587"/>
      <c r="T570" s="256"/>
      <c r="U570" s="256"/>
      <c r="V570" s="296">
        <f>SUM(V566:V569)</f>
        <v>541.29999999999995</v>
      </c>
      <c r="W570" s="256"/>
      <c r="X570" s="813">
        <f>SUM(X566:X569)</f>
        <v>9.6660714285714278</v>
      </c>
      <c r="Y570" s="256"/>
      <c r="Z570" s="814">
        <f>(X570/X563-1)*100</f>
        <v>-3.7262675976003523</v>
      </c>
      <c r="AA570" s="643"/>
      <c r="AB570" s="256"/>
      <c r="AC570" s="815"/>
      <c r="AD570" s="256"/>
      <c r="AE570" s="816">
        <f>AVERAGE(AE566:AE569)</f>
        <v>0.14679999999999996</v>
      </c>
      <c r="AF570" s="256"/>
      <c r="AG570" s="1122" t="s">
        <v>1086</v>
      </c>
      <c r="AH570" s="643"/>
      <c r="AI570" s="1122" t="s">
        <v>1086</v>
      </c>
      <c r="AJ570" s="587"/>
      <c r="AK570" s="256"/>
      <c r="AL570" s="296">
        <f>SUM(AL566:AL569)</f>
        <v>541.29999999999995</v>
      </c>
      <c r="AM570" s="256"/>
      <c r="AN570" s="817">
        <f>AL570/AE570</f>
        <v>3687.3297002724803</v>
      </c>
      <c r="AO570" s="256"/>
      <c r="AP570" s="1122" t="s">
        <v>1086</v>
      </c>
      <c r="AQ570" s="643"/>
      <c r="AR570" s="643"/>
      <c r="AS570" s="256"/>
      <c r="AT570" s="256"/>
      <c r="AU570" s="256"/>
      <c r="AV570" s="256"/>
      <c r="AW570" s="256"/>
      <c r="AX570" s="256"/>
      <c r="AY570" s="256"/>
      <c r="AZ570" s="1017">
        <v>8.261593762115731E-3</v>
      </c>
      <c r="BA570" s="1167">
        <f>+(AZ570/AZ563-1)*100</f>
        <v>-11.904318122098124</v>
      </c>
      <c r="BB570" s="256"/>
      <c r="BC570" s="256"/>
      <c r="BD570" s="1017"/>
      <c r="BE570" s="1017"/>
      <c r="BF570" s="1167"/>
      <c r="BG570" s="1167"/>
      <c r="BH570" s="1167"/>
      <c r="BI570" s="297">
        <f>BA570</f>
        <v>-11.904318122098124</v>
      </c>
      <c r="BJ570" s="1017"/>
      <c r="BK570" s="1167">
        <f>F570</f>
        <v>-12</v>
      </c>
      <c r="BL570" s="1167"/>
      <c r="BM570" s="1167"/>
      <c r="BN570" s="302"/>
      <c r="BO570" s="587"/>
      <c r="BP570" s="587"/>
    </row>
    <row r="571" spans="1:68" ht="13.5" thickBot="1">
      <c r="H571" s="2100"/>
      <c r="V571" s="1518"/>
      <c r="BO571" s="629"/>
      <c r="BP571" s="629"/>
    </row>
    <row r="572" spans="1:68" ht="13.5" thickBot="1">
      <c r="A572" s="810"/>
      <c r="B572" s="171">
        <f>+B565+1</f>
        <v>2016</v>
      </c>
      <c r="C572" s="256"/>
      <c r="D572" s="256"/>
      <c r="E572" s="643"/>
      <c r="F572" s="1473"/>
      <c r="G572" s="643"/>
      <c r="H572" s="2091"/>
      <c r="I572" s="643"/>
      <c r="J572" s="256"/>
      <c r="K572" s="643"/>
      <c r="L572" s="256"/>
      <c r="M572" s="256"/>
      <c r="N572" s="256"/>
      <c r="O572" s="256"/>
      <c r="P572" s="256"/>
      <c r="Q572" s="643"/>
      <c r="R572" s="587"/>
      <c r="S572" s="587"/>
      <c r="T572" s="256"/>
      <c r="U572" s="256"/>
      <c r="V572" s="256"/>
      <c r="W572" s="256"/>
      <c r="X572" s="256"/>
      <c r="Y572" s="256"/>
      <c r="Z572" s="256"/>
      <c r="AA572" s="643"/>
      <c r="AB572" s="256"/>
      <c r="AC572" s="256"/>
      <c r="AD572" s="256"/>
      <c r="AE572" s="256"/>
      <c r="AF572" s="256"/>
      <c r="AG572" s="256"/>
      <c r="AH572" s="643"/>
      <c r="AI572" s="587"/>
      <c r="AJ572" s="587"/>
      <c r="AK572" s="256"/>
      <c r="AL572" s="256"/>
      <c r="AM572" s="256"/>
      <c r="AN572" s="256"/>
      <c r="AO572" s="256"/>
      <c r="AP572" s="320"/>
      <c r="AQ572" s="643"/>
      <c r="AR572" s="643"/>
      <c r="AS572" s="256"/>
      <c r="AT572" s="256"/>
      <c r="AU572" s="256"/>
      <c r="AV572" s="256"/>
      <c r="AW572" s="256"/>
      <c r="AX572" s="256"/>
      <c r="AY572" s="256"/>
      <c r="AZ572" s="1605">
        <v>1</v>
      </c>
      <c r="BA572" s="587"/>
      <c r="BB572" s="587"/>
      <c r="BC572" s="1605"/>
      <c r="BD572" s="1603"/>
      <c r="BE572" s="587"/>
      <c r="BF572" s="1606"/>
      <c r="BG572" s="1167"/>
      <c r="BH572" s="1167"/>
      <c r="BI572" s="297"/>
      <c r="BJ572" s="256"/>
      <c r="BK572" s="256"/>
      <c r="BL572" s="256"/>
      <c r="BM572" s="256"/>
      <c r="BN572" s="256"/>
      <c r="BO572" s="587"/>
      <c r="BP572" s="587"/>
    </row>
    <row r="573" spans="1:68">
      <c r="A573" s="256" t="str">
        <f>$A$40</f>
        <v>1Q</v>
      </c>
      <c r="B573" s="302" t="str">
        <f>$B$40</f>
        <v>Apr</v>
      </c>
      <c r="C573" s="256"/>
      <c r="D573" s="288">
        <f>(V573/V566-1)*100</f>
        <v>7.6354679802955738</v>
      </c>
      <c r="E573" s="643" t="s">
        <v>1970</v>
      </c>
      <c r="F573" s="1156">
        <v>7</v>
      </c>
      <c r="G573" s="643"/>
      <c r="H573" s="2091">
        <f>'segSales&amp;comps'!Y222</f>
        <v>5</v>
      </c>
      <c r="I573" s="643" t="s">
        <v>1970</v>
      </c>
      <c r="J573" s="288">
        <f>D573-H573-F573</f>
        <v>-4.3645320197044262</v>
      </c>
      <c r="K573" s="643" t="s">
        <v>1970</v>
      </c>
      <c r="L573" s="948">
        <f>Stores!U296</f>
        <v>55</v>
      </c>
      <c r="M573" s="256"/>
      <c r="N573" s="811">
        <f>AVERAGE(L573,L569)</f>
        <v>55.5</v>
      </c>
      <c r="O573" s="256"/>
      <c r="P573" s="288">
        <f>(N573/N566-1)*100</f>
        <v>-0.89285714285713969</v>
      </c>
      <c r="Q573" s="643" t="s">
        <v>1970</v>
      </c>
      <c r="R573" s="1487" t="s">
        <v>1086</v>
      </c>
      <c r="S573" s="587" t="s">
        <v>1970</v>
      </c>
      <c r="T573" s="256"/>
      <c r="U573" s="256"/>
      <c r="V573" s="296">
        <f>'segSales&amp;comps'!W222</f>
        <v>131.1</v>
      </c>
      <c r="W573" s="238"/>
      <c r="X573" s="813">
        <f>V573/N573</f>
        <v>2.362162162162162</v>
      </c>
      <c r="Y573" s="256"/>
      <c r="Z573" s="814">
        <f>(X573/X566-1)*100</f>
        <v>8.6051568810189494</v>
      </c>
      <c r="AA573" s="643" t="s">
        <v>1970</v>
      </c>
      <c r="AB573" s="256"/>
      <c r="AC573" s="1017">
        <f>N573*yrSales!$AA$153/1000000</f>
        <v>0.14548928571428571</v>
      </c>
      <c r="AD573" s="256" t="s">
        <v>505</v>
      </c>
      <c r="AE573" s="816">
        <f>AVERAGE(AC573,AC569)</f>
        <v>0.14614464285714285</v>
      </c>
      <c r="AF573" s="256"/>
      <c r="AG573" s="1122" t="s">
        <v>1086</v>
      </c>
      <c r="AH573" s="643" t="s">
        <v>1970</v>
      </c>
      <c r="AI573" s="1122" t="s">
        <v>1086</v>
      </c>
      <c r="AJ573" s="587" t="s">
        <v>1970</v>
      </c>
      <c r="AK573" s="256"/>
      <c r="AL573" s="296">
        <f>+V573</f>
        <v>131.1</v>
      </c>
      <c r="AM573" s="256" t="s">
        <v>505</v>
      </c>
      <c r="AN573" s="817">
        <f>AL573/AE573</f>
        <v>897.05648757957499</v>
      </c>
      <c r="AO573" s="256"/>
      <c r="AP573" s="1122" t="s">
        <v>1086</v>
      </c>
      <c r="AQ573" s="643" t="s">
        <v>1970</v>
      </c>
      <c r="AR573" s="643"/>
      <c r="AS573" s="256"/>
      <c r="AT573" s="256"/>
      <c r="AU573" s="256"/>
      <c r="AV573" s="256"/>
      <c r="AW573" s="256"/>
      <c r="AX573" s="256"/>
      <c r="AY573" s="256"/>
      <c r="AZ573" s="1017">
        <v>8.8978813402582416E-3</v>
      </c>
      <c r="BA573" s="1167">
        <f>+(AZ573/AZ566-1)*100</f>
        <v>6.4118451914113139</v>
      </c>
      <c r="BB573" s="256"/>
      <c r="BC573" s="256"/>
      <c r="BD573" s="1017"/>
      <c r="BE573" s="1017"/>
      <c r="BF573" s="1167"/>
      <c r="BG573" s="1167"/>
      <c r="BH573" s="1167"/>
      <c r="BI573" s="297">
        <f>BA573</f>
        <v>6.4118451914113139</v>
      </c>
      <c r="BJ573" s="1017"/>
      <c r="BK573" s="1167">
        <f>F573</f>
        <v>7</v>
      </c>
      <c r="BL573" s="1167"/>
      <c r="BM573" s="1167"/>
      <c r="BN573" s="256"/>
      <c r="BO573" s="1592"/>
      <c r="BP573" s="1492"/>
    </row>
    <row r="574" spans="1:68">
      <c r="A574" s="256" t="str">
        <f>$A$41</f>
        <v>2Q</v>
      </c>
      <c r="B574" s="302" t="str">
        <f>$B$41</f>
        <v>Jul</v>
      </c>
      <c r="C574" s="256"/>
      <c r="D574" s="288">
        <f>(V574/V567-1)*100</f>
        <v>9.960159362549792</v>
      </c>
      <c r="E574" s="256"/>
      <c r="F574" s="1156">
        <v>15</v>
      </c>
      <c r="G574" s="256"/>
      <c r="H574" s="2091">
        <f>'segSales&amp;comps'!Y223</f>
        <v>-3</v>
      </c>
      <c r="I574" s="256"/>
      <c r="J574" s="288">
        <f>D574-H574-F574</f>
        <v>-2.039840637450208</v>
      </c>
      <c r="K574" s="256"/>
      <c r="L574" s="948">
        <f>Stores!U297</f>
        <v>55</v>
      </c>
      <c r="M574" s="256"/>
      <c r="N574" s="811">
        <f>AVERAGE(L574,L573)</f>
        <v>55</v>
      </c>
      <c r="O574" s="256"/>
      <c r="P574" s="288">
        <f>(N574/N567-1)*100</f>
        <v>-1.7857142857142905</v>
      </c>
      <c r="Q574" s="643"/>
      <c r="R574" s="1487" t="s">
        <v>1086</v>
      </c>
      <c r="S574" s="587"/>
      <c r="T574" s="256"/>
      <c r="U574" s="256"/>
      <c r="V574" s="315">
        <f>'segSales&amp;comps'!W223</f>
        <v>138</v>
      </c>
      <c r="W574" s="238"/>
      <c r="X574" s="818">
        <f>V574/N574</f>
        <v>2.5090909090909093</v>
      </c>
      <c r="Y574" s="256"/>
      <c r="Z574" s="814">
        <f>(X574/X567-1)*100</f>
        <v>11.959434987323458</v>
      </c>
      <c r="AA574" s="643"/>
      <c r="AB574" s="256"/>
      <c r="AC574" s="1017">
        <f>N574*yrSales!$AA$153/1000000</f>
        <v>0.14417857142857143</v>
      </c>
      <c r="AD574" s="238"/>
      <c r="AE574" s="816">
        <f>AVERAGE(AC573:AC574)</f>
        <v>0.14483392857142857</v>
      </c>
      <c r="AF574" s="256"/>
      <c r="AG574" s="1122" t="s">
        <v>1086</v>
      </c>
      <c r="AH574" s="643"/>
      <c r="AI574" s="1122" t="s">
        <v>1086</v>
      </c>
      <c r="AJ574" s="587"/>
      <c r="AK574" s="256"/>
      <c r="AL574" s="315">
        <f>+V574</f>
        <v>138</v>
      </c>
      <c r="AM574" s="256"/>
      <c r="AN574" s="817">
        <f>AL574/AE574</f>
        <v>952.81541667180386</v>
      </c>
      <c r="AO574" s="256"/>
      <c r="AP574" s="1122" t="s">
        <v>1086</v>
      </c>
      <c r="AQ574" s="643"/>
      <c r="AR574" s="643"/>
      <c r="AS574" s="256"/>
      <c r="AT574" s="256"/>
      <c r="AU574" s="256"/>
      <c r="AV574" s="256"/>
      <c r="AW574" s="256"/>
      <c r="AX574" s="256"/>
      <c r="AY574" s="256"/>
      <c r="AZ574" s="1017">
        <v>9.0971124946201964E-3</v>
      </c>
      <c r="BA574" s="1167">
        <f>+(AZ574/AZ567-1)*100</f>
        <v>11.601787673025022</v>
      </c>
      <c r="BB574" s="256"/>
      <c r="BC574" s="256"/>
      <c r="BD574" s="1017"/>
      <c r="BE574" s="1017"/>
      <c r="BF574" s="1167"/>
      <c r="BG574" s="1167"/>
      <c r="BH574" s="1167"/>
      <c r="BI574" s="297">
        <f>BA574</f>
        <v>11.601787673025022</v>
      </c>
      <c r="BJ574" s="1017"/>
      <c r="BK574" s="1167">
        <f>F574</f>
        <v>15</v>
      </c>
      <c r="BL574" s="1167"/>
      <c r="BM574" s="1167"/>
      <c r="BN574" s="256"/>
      <c r="BO574" s="1592"/>
      <c r="BP574" s="1492"/>
    </row>
    <row r="575" spans="1:68">
      <c r="A575" s="256" t="str">
        <f>$A$42</f>
        <v>3Q</v>
      </c>
      <c r="B575" s="302" t="str">
        <f>$B$42</f>
        <v>Oct</v>
      </c>
      <c r="C575" s="256"/>
      <c r="D575" s="288">
        <f>(V575/V568-1)*100</f>
        <v>13.112283345893005</v>
      </c>
      <c r="E575" s="256"/>
      <c r="F575" s="1156">
        <v>17</v>
      </c>
      <c r="G575" s="256"/>
      <c r="H575" s="2091">
        <f>'segSales&amp;comps'!Y224</f>
        <v>2</v>
      </c>
      <c r="I575" s="256"/>
      <c r="J575" s="288">
        <f>D575-H575-F575</f>
        <v>-5.8877166541069954</v>
      </c>
      <c r="K575" s="256"/>
      <c r="L575" s="948">
        <f>Stores!U298</f>
        <v>55</v>
      </c>
      <c r="M575" s="238"/>
      <c r="N575" s="811">
        <f>AVERAGE(L575,L574)</f>
        <v>55</v>
      </c>
      <c r="O575" s="256"/>
      <c r="P575" s="288">
        <f>(N575/N568-1)*100</f>
        <v>-1.7857142857142905</v>
      </c>
      <c r="Q575" s="643"/>
      <c r="R575" s="1487" t="s">
        <v>1086</v>
      </c>
      <c r="S575" s="587"/>
      <c r="T575" s="256"/>
      <c r="U575" s="256"/>
      <c r="V575" s="315">
        <f>'segSales&amp;comps'!W224</f>
        <v>150.1</v>
      </c>
      <c r="W575" s="256"/>
      <c r="X575" s="818">
        <f>V575/N575</f>
        <v>2.729090909090909</v>
      </c>
      <c r="Y575" s="256"/>
      <c r="Z575" s="814">
        <f>(X575/X568-1)*100</f>
        <v>15.168870315818328</v>
      </c>
      <c r="AA575" s="643"/>
      <c r="AB575" s="256"/>
      <c r="AC575" s="1017">
        <f>N575*yrSales!$AA$153/1000000</f>
        <v>0.14417857142857143</v>
      </c>
      <c r="AD575" s="238"/>
      <c r="AE575" s="816">
        <f>AVERAGE(AC574:AC575)</f>
        <v>0.14417857142857143</v>
      </c>
      <c r="AF575" s="256"/>
      <c r="AG575" s="1122" t="s">
        <v>1086</v>
      </c>
      <c r="AH575" s="643"/>
      <c r="AI575" s="1122" t="s">
        <v>1086</v>
      </c>
      <c r="AJ575" s="587"/>
      <c r="AK575" s="256"/>
      <c r="AL575" s="315">
        <f>+V575</f>
        <v>150.1</v>
      </c>
      <c r="AM575" s="256"/>
      <c r="AN575" s="817">
        <f>AL575/AE575</f>
        <v>1041.0701015605648</v>
      </c>
      <c r="AO575" s="256"/>
      <c r="AP575" s="1122" t="s">
        <v>1086</v>
      </c>
      <c r="AQ575" s="643"/>
      <c r="AR575" s="643"/>
      <c r="AS575" s="256"/>
      <c r="AT575" s="256"/>
      <c r="AU575" s="256"/>
      <c r="AV575" s="256"/>
      <c r="AW575" s="256"/>
      <c r="AX575" s="256"/>
      <c r="AY575" s="256"/>
      <c r="AZ575" s="1017">
        <v>9.0971124946201964E-3</v>
      </c>
      <c r="BA575" s="1167">
        <f>+(AZ575/AZ568-1)*100</f>
        <v>10.113685565178532</v>
      </c>
      <c r="BB575" s="256"/>
      <c r="BC575" s="256"/>
      <c r="BD575" s="1017"/>
      <c r="BE575" s="1017"/>
      <c r="BF575" s="1167"/>
      <c r="BG575" s="1167"/>
      <c r="BH575" s="1167"/>
      <c r="BI575" s="297">
        <f>BA575</f>
        <v>10.113685565178532</v>
      </c>
      <c r="BJ575" s="1017"/>
      <c r="BK575" s="1167">
        <f>F575</f>
        <v>17</v>
      </c>
      <c r="BL575" s="1167"/>
      <c r="BM575" s="1167"/>
      <c r="BN575" s="256"/>
      <c r="BO575" s="1592"/>
      <c r="BP575" s="1492"/>
    </row>
    <row r="576" spans="1:68">
      <c r="A576" s="256" t="str">
        <f>$A$43</f>
        <v>4Q</v>
      </c>
      <c r="B576" s="302" t="str">
        <f>$B$43</f>
        <v>Jan</v>
      </c>
      <c r="C576" s="256"/>
      <c r="D576" s="318">
        <f>(V576/V569-1)*100</f>
        <v>14.817110973341574</v>
      </c>
      <c r="E576" s="256"/>
      <c r="F576" s="1148">
        <v>7</v>
      </c>
      <c r="G576" s="256"/>
      <c r="H576" s="2454">
        <f>'segSales&amp;comps'!Y225</f>
        <v>12</v>
      </c>
      <c r="I576" s="256"/>
      <c r="J576" s="318">
        <f>D576-H576-F576</f>
        <v>-4.182889026658426</v>
      </c>
      <c r="K576" s="256"/>
      <c r="L576" s="949">
        <f>Stores!U299</f>
        <v>55</v>
      </c>
      <c r="M576" s="238"/>
      <c r="N576" s="820">
        <f>AVERAGE(L576,L575)</f>
        <v>55</v>
      </c>
      <c r="O576" s="256"/>
      <c r="P576" s="318">
        <f>(N576/N569-1)*100</f>
        <v>-1.7857142857142905</v>
      </c>
      <c r="Q576" s="643"/>
      <c r="R576" s="1488" t="s">
        <v>1086</v>
      </c>
      <c r="S576" s="587"/>
      <c r="T576" s="256"/>
      <c r="U576" s="256"/>
      <c r="V576" s="316">
        <f>'segSales&amp;comps'!W225</f>
        <v>185.2</v>
      </c>
      <c r="W576" s="256"/>
      <c r="X576" s="821">
        <f>V576/N576</f>
        <v>3.3672727272727272</v>
      </c>
      <c r="Y576" s="256"/>
      <c r="Z576" s="298">
        <f>(X576/X569-1)*100</f>
        <v>16.904694809220523</v>
      </c>
      <c r="AA576" s="643"/>
      <c r="AB576" s="256"/>
      <c r="AC576" s="1017">
        <f>N576*yrSales!$AA$153/1000000</f>
        <v>0.14417857142857143</v>
      </c>
      <c r="AD576" s="238"/>
      <c r="AE576" s="822">
        <f>AVERAGE(AC575:AC576)</f>
        <v>0.14417857142857143</v>
      </c>
      <c r="AF576" s="256"/>
      <c r="AG576" s="1123" t="s">
        <v>1086</v>
      </c>
      <c r="AH576" s="643"/>
      <c r="AI576" s="1123" t="s">
        <v>1086</v>
      </c>
      <c r="AJ576" s="587"/>
      <c r="AK576" s="256"/>
      <c r="AL576" s="316">
        <f>+V576</f>
        <v>185.2</v>
      </c>
      <c r="AM576" s="256"/>
      <c r="AN576" s="950">
        <f>AL576/AE576</f>
        <v>1284.5182065890513</v>
      </c>
      <c r="AO576" s="256"/>
      <c r="AP576" s="1123" t="s">
        <v>1086</v>
      </c>
      <c r="AQ576" s="643"/>
      <c r="AR576" s="643"/>
      <c r="AS576" s="256"/>
      <c r="AT576" s="256"/>
      <c r="AU576" s="256"/>
      <c r="AV576" s="256"/>
      <c r="AW576" s="256"/>
      <c r="AX576" s="256"/>
      <c r="AY576" s="256"/>
      <c r="AZ576" s="1601">
        <v>9.0971124946201964E-3</v>
      </c>
      <c r="BA576" s="1602">
        <f>+(AZ576/AZ569-1)*100</f>
        <v>9.979182452052072</v>
      </c>
      <c r="BB576" s="256"/>
      <c r="BC576" s="256"/>
      <c r="BD576" s="1017"/>
      <c r="BE576" s="1017"/>
      <c r="BF576" s="1167"/>
      <c r="BG576" s="1167"/>
      <c r="BH576" s="1167"/>
      <c r="BI576" s="297">
        <f>BA576</f>
        <v>9.979182452052072</v>
      </c>
      <c r="BJ576" s="1017"/>
      <c r="BK576" s="1167">
        <f>F576</f>
        <v>7</v>
      </c>
      <c r="BL576" s="1167"/>
      <c r="BM576" s="1167"/>
      <c r="BN576" s="256"/>
      <c r="BO576" s="1592"/>
      <c r="BP576" s="1492"/>
    </row>
    <row r="577" spans="1:68">
      <c r="A577" s="256"/>
      <c r="B577" s="302" t="str">
        <f>$B$44</f>
        <v>Year</v>
      </c>
      <c r="C577" s="256"/>
      <c r="D577" s="288">
        <f>(V577/V570-1)*100</f>
        <v>11.657121743949773</v>
      </c>
      <c r="E577" s="256"/>
      <c r="F577" s="2229">
        <v>12</v>
      </c>
      <c r="G577" s="256"/>
      <c r="H577" s="2455">
        <f>'segSales&amp;comps'!Y226</f>
        <v>5</v>
      </c>
      <c r="I577" s="256"/>
      <c r="J577" s="288">
        <f>D577-H577-F577</f>
        <v>-5.342878256050227</v>
      </c>
      <c r="K577" s="256"/>
      <c r="L577" s="948">
        <f>Stores!U300</f>
        <v>55</v>
      </c>
      <c r="M577" s="256"/>
      <c r="N577" s="811">
        <f>AVERAGE(N573:N576)</f>
        <v>55.125</v>
      </c>
      <c r="O577" s="256"/>
      <c r="P577" s="288">
        <f>(N577/N570-1)*100</f>
        <v>-1.5625</v>
      </c>
      <c r="Q577" s="643"/>
      <c r="R577" s="1487" t="s">
        <v>1086</v>
      </c>
      <c r="S577" s="587"/>
      <c r="T577" s="256"/>
      <c r="U577" s="256"/>
      <c r="V577" s="296">
        <f>SUM(V573:V576)</f>
        <v>604.40000000000009</v>
      </c>
      <c r="W577" s="256"/>
      <c r="X577" s="813">
        <f>SUM(X573:X576)</f>
        <v>10.967616707616708</v>
      </c>
      <c r="Y577" s="256"/>
      <c r="Z577" s="814">
        <f>(X577/X570-1)*100</f>
        <v>13.465090638561916</v>
      </c>
      <c r="AA577" s="643"/>
      <c r="AB577" s="256"/>
      <c r="AC577" s="815"/>
      <c r="AD577" s="256"/>
      <c r="AE577" s="816">
        <f>AVERAGE(AE573:AE576)</f>
        <v>0.14483392857142857</v>
      </c>
      <c r="AF577" s="256"/>
      <c r="AG577" s="1122" t="s">
        <v>1086</v>
      </c>
      <c r="AH577" s="643"/>
      <c r="AI577" s="1122" t="s">
        <v>1086</v>
      </c>
      <c r="AJ577" s="587"/>
      <c r="AK577" s="256"/>
      <c r="AL577" s="296">
        <f>SUM(AL573:AL576)</f>
        <v>604.40000000000009</v>
      </c>
      <c r="AM577" s="256"/>
      <c r="AN577" s="817">
        <f>AL577/AE577</f>
        <v>4173.0553466408574</v>
      </c>
      <c r="AO577" s="256"/>
      <c r="AP577" s="1122" t="s">
        <v>1086</v>
      </c>
      <c r="AQ577" s="643"/>
      <c r="AR577" s="643"/>
      <c r="AS577" s="256"/>
      <c r="AT577" s="256"/>
      <c r="AU577" s="256"/>
      <c r="AV577" s="256"/>
      <c r="AW577" s="256"/>
      <c r="AX577" s="256"/>
      <c r="AY577" s="256"/>
      <c r="AZ577" s="1017">
        <v>8.8978813402582416E-3</v>
      </c>
      <c r="BA577" s="1167">
        <f>+(AZ577/AZ570-1)*100</f>
        <v>7.7017533960609841</v>
      </c>
      <c r="BB577" s="256"/>
      <c r="BC577" s="256"/>
      <c r="BD577" s="1017"/>
      <c r="BE577" s="1017"/>
      <c r="BF577" s="1167"/>
      <c r="BG577" s="1167"/>
      <c r="BH577" s="1167"/>
      <c r="BI577" s="297">
        <f>BA577</f>
        <v>7.7017533960609841</v>
      </c>
      <c r="BJ577" s="1017"/>
      <c r="BK577" s="1167">
        <f>F577</f>
        <v>12</v>
      </c>
      <c r="BL577" s="1167"/>
      <c r="BM577" s="1167"/>
      <c r="BN577" s="302"/>
      <c r="BO577" s="587"/>
      <c r="BP577" s="587"/>
    </row>
    <row r="578" spans="1:68" ht="13.5" thickBot="1">
      <c r="H578" s="2100"/>
      <c r="V578" s="1518"/>
      <c r="BO578" s="629"/>
      <c r="BP578" s="629"/>
    </row>
    <row r="579" spans="1:68" ht="13.5" thickBot="1">
      <c r="A579" s="810"/>
      <c r="B579" s="171">
        <f>+B572+1</f>
        <v>2017</v>
      </c>
      <c r="C579" s="256"/>
      <c r="D579" s="256"/>
      <c r="E579" s="643"/>
      <c r="F579" s="1473"/>
      <c r="G579" s="643"/>
      <c r="H579" s="2091"/>
      <c r="I579" s="643"/>
      <c r="J579" s="256"/>
      <c r="K579" s="643"/>
      <c r="L579" s="256"/>
      <c r="M579" s="256"/>
      <c r="N579" s="256"/>
      <c r="O579" s="256"/>
      <c r="P579" s="256"/>
      <c r="Q579" s="643"/>
      <c r="R579" s="587"/>
      <c r="S579" s="587"/>
      <c r="T579" s="256"/>
      <c r="U579" s="256"/>
      <c r="V579" s="256"/>
      <c r="W579" s="256"/>
      <c r="X579" s="256"/>
      <c r="Y579" s="256"/>
      <c r="Z579" s="256"/>
      <c r="AA579" s="643"/>
      <c r="AB579" s="256"/>
      <c r="AC579" s="256"/>
      <c r="AD579" s="256"/>
      <c r="AE579" s="256"/>
      <c r="AF579" s="256"/>
      <c r="AG579" s="256"/>
      <c r="AH579" s="643"/>
      <c r="AI579" s="587"/>
      <c r="AJ579" s="587"/>
      <c r="AK579" s="256"/>
      <c r="AL579" s="256"/>
      <c r="AM579" s="256"/>
      <c r="AN579" s="256"/>
      <c r="AO579" s="256"/>
      <c r="AP579" s="320"/>
      <c r="AQ579" s="643"/>
      <c r="AR579" s="643"/>
      <c r="AS579" s="256"/>
      <c r="AT579" s="256"/>
      <c r="AU579" s="256"/>
      <c r="AV579" s="256"/>
      <c r="AW579" s="256"/>
      <c r="AX579" s="256"/>
      <c r="AY579" s="256"/>
      <c r="AZ579" s="1605">
        <v>1</v>
      </c>
      <c r="BA579" s="587"/>
      <c r="BB579" s="587"/>
      <c r="BC579" s="1605"/>
      <c r="BD579" s="1603"/>
      <c r="BE579" s="587"/>
      <c r="BF579" s="1606"/>
      <c r="BG579" s="1167"/>
      <c r="BH579" s="1167"/>
      <c r="BI579" s="297"/>
      <c r="BJ579" s="256"/>
      <c r="BK579" s="256"/>
      <c r="BL579" s="256"/>
      <c r="BM579" s="256"/>
      <c r="BN579" s="256"/>
      <c r="BO579" s="587"/>
      <c r="BP579" s="587"/>
    </row>
    <row r="580" spans="1:68">
      <c r="A580" s="256" t="str">
        <f>$A$40</f>
        <v>1Q</v>
      </c>
      <c r="B580" s="302" t="str">
        <f>$B$40</f>
        <v>Apr</v>
      </c>
      <c r="C580" s="256"/>
      <c r="D580" s="288">
        <f>(V580/V573-1)*100</f>
        <v>-2.0594965675057142</v>
      </c>
      <c r="E580" s="643" t="s">
        <v>1970</v>
      </c>
      <c r="F580" s="1156">
        <v>1</v>
      </c>
      <c r="G580" s="643"/>
      <c r="H580" s="2091">
        <f>'segSales&amp;comps'!Y229</f>
        <v>-1</v>
      </c>
      <c r="I580" s="643" t="s">
        <v>1970</v>
      </c>
      <c r="J580" s="288">
        <f>D580-H580-F580</f>
        <v>-2.0594965675057142</v>
      </c>
      <c r="K580" s="643" t="s">
        <v>1970</v>
      </c>
      <c r="L580" s="948">
        <f>Stores!U303</f>
        <v>54</v>
      </c>
      <c r="M580" s="256"/>
      <c r="N580" s="811">
        <f>AVERAGE(L580,L576)</f>
        <v>54.5</v>
      </c>
      <c r="O580" s="256"/>
      <c r="P580" s="288">
        <f>(N580/N573-1)*100</f>
        <v>-1.8018018018018056</v>
      </c>
      <c r="Q580" s="643" t="s">
        <v>1970</v>
      </c>
      <c r="R580" s="1487" t="s">
        <v>1086</v>
      </c>
      <c r="S580" s="587" t="s">
        <v>1970</v>
      </c>
      <c r="T580" s="256"/>
      <c r="U580" s="256"/>
      <c r="V580" s="296">
        <f>'segSales&amp;comps'!W229</f>
        <v>128.4</v>
      </c>
      <c r="W580" s="238"/>
      <c r="X580" s="813">
        <f>V580/N580</f>
        <v>2.3559633027522935</v>
      </c>
      <c r="Y580" s="256"/>
      <c r="Z580" s="814">
        <f>(X580/X573-1)*100</f>
        <v>-0.26242311002876439</v>
      </c>
      <c r="AA580" s="643" t="s">
        <v>1970</v>
      </c>
      <c r="AB580" s="256"/>
      <c r="AC580" s="1017">
        <f>N580*yrSales!$AB$153/1000000</f>
        <v>0.14169999999999999</v>
      </c>
      <c r="AD580" s="256" t="s">
        <v>505</v>
      </c>
      <c r="AE580" s="816">
        <f>AVERAGE(AC580,AC576)</f>
        <v>0.14293928571428571</v>
      </c>
      <c r="AF580" s="256"/>
      <c r="AG580" s="1122" t="s">
        <v>1086</v>
      </c>
      <c r="AH580" s="643" t="s">
        <v>1970</v>
      </c>
      <c r="AI580" s="1122" t="s">
        <v>1086</v>
      </c>
      <c r="AJ580" s="587" t="s">
        <v>1970</v>
      </c>
      <c r="AK580" s="256"/>
      <c r="AL580" s="296">
        <f>+V580</f>
        <v>128.4</v>
      </c>
      <c r="AM580" s="256" t="s">
        <v>505</v>
      </c>
      <c r="AN580" s="817">
        <f>AL580/AE580</f>
        <v>898.28348699497792</v>
      </c>
      <c r="AO580" s="256"/>
      <c r="AP580" s="1122" t="s">
        <v>1086</v>
      </c>
      <c r="AQ580" s="643" t="s">
        <v>1970</v>
      </c>
      <c r="AR580" s="643"/>
      <c r="AS580" s="256"/>
      <c r="AT580" s="256"/>
      <c r="AU580" s="256"/>
      <c r="AV580" s="256"/>
      <c r="AW580" s="256"/>
      <c r="AX580" s="256"/>
      <c r="AY580" s="256"/>
      <c r="AZ580" s="1017">
        <v>-2.2816015468270168E-2</v>
      </c>
      <c r="BA580" s="1167">
        <f>+(AZ580/AZ573-1)*100</f>
        <v>-356.42076575060264</v>
      </c>
      <c r="BB580" s="256"/>
      <c r="BC580" s="256"/>
      <c r="BD580" s="1017"/>
      <c r="BE580" s="1017"/>
      <c r="BF580" s="1167"/>
      <c r="BG580" s="1167"/>
      <c r="BH580" s="1167"/>
      <c r="BI580" s="297">
        <f>BA580</f>
        <v>-356.42076575060264</v>
      </c>
      <c r="BJ580" s="1017"/>
      <c r="BK580" s="1167">
        <f>F580</f>
        <v>1</v>
      </c>
      <c r="BL580" s="1167"/>
      <c r="BM580" s="1167"/>
      <c r="BN580" s="256"/>
      <c r="BO580" s="1592"/>
      <c r="BP580" s="1492"/>
    </row>
    <row r="581" spans="1:68">
      <c r="A581" s="256" t="str">
        <f>$A$41</f>
        <v>2Q</v>
      </c>
      <c r="B581" s="302" t="str">
        <f>$B$41</f>
        <v>Jul</v>
      </c>
      <c r="C581" s="256"/>
      <c r="D581" s="288">
        <f>(V581/V574-1)*100</f>
        <v>1.3043478260869712</v>
      </c>
      <c r="E581" s="256"/>
      <c r="F581" s="1156">
        <v>-6</v>
      </c>
      <c r="G581" s="256"/>
      <c r="H581" s="2091">
        <f>'segSales&amp;comps'!Y230</f>
        <v>9</v>
      </c>
      <c r="I581" s="256"/>
      <c r="J581" s="288">
        <f>D581-H581-F581</f>
        <v>-1.6956521739130288</v>
      </c>
      <c r="K581" s="256"/>
      <c r="L581" s="948">
        <f>Stores!U304</f>
        <v>54</v>
      </c>
      <c r="M581" s="256"/>
      <c r="N581" s="811">
        <f>AVERAGE(L581,L580)</f>
        <v>54</v>
      </c>
      <c r="O581" s="256"/>
      <c r="P581" s="288">
        <f>(N581/N574-1)*100</f>
        <v>-1.8181818181818188</v>
      </c>
      <c r="Q581" s="643"/>
      <c r="R581" s="1487" t="s">
        <v>1086</v>
      </c>
      <c r="S581" s="587"/>
      <c r="T581" s="256"/>
      <c r="U581" s="256"/>
      <c r="V581" s="315">
        <f>'segSales&amp;comps'!W230</f>
        <v>139.80000000000001</v>
      </c>
      <c r="W581" s="238"/>
      <c r="X581" s="818">
        <f>V581/N581</f>
        <v>2.588888888888889</v>
      </c>
      <c r="Y581" s="256"/>
      <c r="Z581" s="814">
        <f>(X581/X574-1)*100</f>
        <v>3.180354267310781</v>
      </c>
      <c r="AA581" s="643"/>
      <c r="AB581" s="256"/>
      <c r="AC581" s="1017">
        <f>N581*yrSales!$AB$153/1000000</f>
        <v>0.1404</v>
      </c>
      <c r="AD581" s="238"/>
      <c r="AE581" s="816">
        <f>AVERAGE(AC580:AC581)</f>
        <v>0.14105000000000001</v>
      </c>
      <c r="AF581" s="256"/>
      <c r="AG581" s="1122" t="s">
        <v>1086</v>
      </c>
      <c r="AH581" s="643"/>
      <c r="AI581" s="1122" t="s">
        <v>1086</v>
      </c>
      <c r="AJ581" s="587"/>
      <c r="AK581" s="256"/>
      <c r="AL581" s="315">
        <f>+V581</f>
        <v>139.80000000000001</v>
      </c>
      <c r="AM581" s="256"/>
      <c r="AN581" s="817">
        <f>AL581/AE581</f>
        <v>991.13789436370087</v>
      </c>
      <c r="AO581" s="256"/>
      <c r="AP581" s="1122" t="s">
        <v>1086</v>
      </c>
      <c r="AQ581" s="643"/>
      <c r="AR581" s="643"/>
      <c r="AS581" s="256"/>
      <c r="AT581" s="256"/>
      <c r="AU581" s="256"/>
      <c r="AV581" s="256"/>
      <c r="AW581" s="256"/>
      <c r="AX581" s="256"/>
      <c r="AY581" s="256"/>
      <c r="AZ581" s="1017">
        <v>9.0971124946201964E-3</v>
      </c>
      <c r="BA581" s="1167">
        <f>+(AZ581/AZ574-1)*100</f>
        <v>0</v>
      </c>
      <c r="BB581" s="256"/>
      <c r="BC581" s="256"/>
      <c r="BD581" s="1017"/>
      <c r="BE581" s="1017"/>
      <c r="BF581" s="1167"/>
      <c r="BG581" s="1167"/>
      <c r="BH581" s="1167"/>
      <c r="BI581" s="297">
        <f>BA581</f>
        <v>0</v>
      </c>
      <c r="BJ581" s="1017"/>
      <c r="BK581" s="1167">
        <f>F581</f>
        <v>-6</v>
      </c>
      <c r="BL581" s="1167"/>
      <c r="BM581" s="1167"/>
      <c r="BN581" s="256"/>
      <c r="BO581" s="1592"/>
      <c r="BP581" s="1492"/>
    </row>
    <row r="582" spans="1:68">
      <c r="A582" s="256" t="str">
        <f>$A$42</f>
        <v>3Q</v>
      </c>
      <c r="B582" s="302" t="str">
        <f>$B$42</f>
        <v>Oct</v>
      </c>
      <c r="C582" s="256"/>
      <c r="D582" s="288">
        <f>(V582/V575-1)*100</f>
        <v>-7.5949367088607662</v>
      </c>
      <c r="E582" s="256"/>
      <c r="F582" s="1156">
        <v>-8</v>
      </c>
      <c r="G582" s="256"/>
      <c r="H582" s="2091">
        <f>'segSales&amp;comps'!Y231</f>
        <v>0</v>
      </c>
      <c r="I582" s="256"/>
      <c r="J582" s="288">
        <f>D582-H582-F582</f>
        <v>0.40506329113923378</v>
      </c>
      <c r="K582" s="256"/>
      <c r="L582" s="948">
        <f>Stores!U305</f>
        <v>54</v>
      </c>
      <c r="M582" s="238"/>
      <c r="N582" s="811">
        <f>AVERAGE(L582,L581)</f>
        <v>54</v>
      </c>
      <c r="O582" s="256"/>
      <c r="P582" s="288">
        <f>(N582/N575-1)*100</f>
        <v>-1.8181818181818188</v>
      </c>
      <c r="Q582" s="643"/>
      <c r="R582" s="1487" t="s">
        <v>1086</v>
      </c>
      <c r="S582" s="587"/>
      <c r="T582" s="256"/>
      <c r="U582" s="256"/>
      <c r="V582" s="315">
        <f>'segSales&amp;comps'!W231</f>
        <v>138.69999999999999</v>
      </c>
      <c r="W582" s="256"/>
      <c r="X582" s="818">
        <f>V582/N582</f>
        <v>2.5685185185185184</v>
      </c>
      <c r="Y582" s="256"/>
      <c r="Z582" s="814">
        <f>(X582/X575-1)*100</f>
        <v>-5.8837318330989259</v>
      </c>
      <c r="AA582" s="643"/>
      <c r="AB582" s="256"/>
      <c r="AC582" s="1017">
        <f>N582*yrSales!$AB$153/1000000</f>
        <v>0.1404</v>
      </c>
      <c r="AD582" s="238"/>
      <c r="AE582" s="816">
        <f>AVERAGE(AC581:AC582)</f>
        <v>0.1404</v>
      </c>
      <c r="AF582" s="256"/>
      <c r="AG582" s="1122" t="s">
        <v>1086</v>
      </c>
      <c r="AH582" s="643"/>
      <c r="AI582" s="1122" t="s">
        <v>1086</v>
      </c>
      <c r="AJ582" s="587"/>
      <c r="AK582" s="256"/>
      <c r="AL582" s="315">
        <f>+V582</f>
        <v>138.69999999999999</v>
      </c>
      <c r="AM582" s="256"/>
      <c r="AN582" s="817">
        <f>AL582/AE582</f>
        <v>987.89173789173788</v>
      </c>
      <c r="AO582" s="256"/>
      <c r="AP582" s="1122" t="s">
        <v>1086</v>
      </c>
      <c r="AQ582" s="643"/>
      <c r="AR582" s="643"/>
      <c r="AS582" s="256"/>
      <c r="AT582" s="256"/>
      <c r="AU582" s="256"/>
      <c r="AV582" s="256"/>
      <c r="AW582" s="256"/>
      <c r="AX582" s="256"/>
      <c r="AY582" s="256"/>
      <c r="AZ582" s="1017">
        <v>9.0971124946201964E-3</v>
      </c>
      <c r="BA582" s="1167">
        <f>+(AZ582/AZ575-1)*100</f>
        <v>0</v>
      </c>
      <c r="BB582" s="256"/>
      <c r="BC582" s="256"/>
      <c r="BD582" s="1017"/>
      <c r="BE582" s="1017"/>
      <c r="BF582" s="1167"/>
      <c r="BG582" s="1167"/>
      <c r="BH582" s="1167"/>
      <c r="BI582" s="297">
        <f>BA582</f>
        <v>0</v>
      </c>
      <c r="BJ582" s="1017"/>
      <c r="BK582" s="1167">
        <f>F582</f>
        <v>-8</v>
      </c>
      <c r="BL582" s="1167"/>
      <c r="BM582" s="1167"/>
      <c r="BN582" s="256"/>
      <c r="BO582" s="1592"/>
      <c r="BP582" s="1492"/>
    </row>
    <row r="583" spans="1:68" s="2443" customFormat="1">
      <c r="A583" s="256" t="str">
        <f>$A$43</f>
        <v>4Q</v>
      </c>
      <c r="B583" s="302" t="str">
        <f>$B$43</f>
        <v>Jan</v>
      </c>
      <c r="C583" s="256"/>
      <c r="D583" s="318">
        <f>(V583/V576-1)*100</f>
        <v>2.2678185745140578</v>
      </c>
      <c r="E583" s="256"/>
      <c r="F583" s="298">
        <v>1</v>
      </c>
      <c r="G583" s="256"/>
      <c r="H583" s="2454">
        <f>'segSales&amp;comps'!Y232</f>
        <v>0</v>
      </c>
      <c r="I583" s="256"/>
      <c r="J583" s="318">
        <f>D583-H583-F583</f>
        <v>1.2678185745140578</v>
      </c>
      <c r="K583" s="256"/>
      <c r="L583" s="949">
        <f>Stores!U306</f>
        <v>54</v>
      </c>
      <c r="M583" s="238"/>
      <c r="N583" s="820">
        <f>AVERAGE(L583,L582)</f>
        <v>54</v>
      </c>
      <c r="O583" s="256"/>
      <c r="P583" s="318">
        <f>(N583/N576-1)*100</f>
        <v>-1.8181818181818188</v>
      </c>
      <c r="Q583" s="643"/>
      <c r="R583" s="1488" t="s">
        <v>1086</v>
      </c>
      <c r="S583" s="587"/>
      <c r="T583" s="256"/>
      <c r="U583" s="256"/>
      <c r="V583" s="316">
        <f>'segSales&amp;comps'!W232</f>
        <v>189.4</v>
      </c>
      <c r="W583" s="256"/>
      <c r="X583" s="821">
        <f>V583/N583</f>
        <v>3.5074074074074075</v>
      </c>
      <c r="Y583" s="256"/>
      <c r="Z583" s="298">
        <f>(X583/X576-1)*100</f>
        <v>4.1616670666346778</v>
      </c>
      <c r="AA583" s="643"/>
      <c r="AB583" s="256"/>
      <c r="AC583" s="1017">
        <f>N583*yrSales!$AB$153/1000000</f>
        <v>0.1404</v>
      </c>
      <c r="AD583" s="238"/>
      <c r="AE583" s="822">
        <f>AVERAGE(AC582:AC583)</f>
        <v>0.1404</v>
      </c>
      <c r="AF583" s="256"/>
      <c r="AG583" s="1123" t="s">
        <v>1086</v>
      </c>
      <c r="AH583" s="643"/>
      <c r="AI583" s="1123" t="s">
        <v>1086</v>
      </c>
      <c r="AJ583" s="587"/>
      <c r="AK583" s="256"/>
      <c r="AL583" s="316">
        <f>+V583</f>
        <v>189.4</v>
      </c>
      <c r="AM583" s="256"/>
      <c r="AN583" s="950">
        <f>AL583/AE583</f>
        <v>1349.002849002849</v>
      </c>
      <c r="AO583" s="256"/>
      <c r="AP583" s="1123" t="s">
        <v>1086</v>
      </c>
      <c r="AQ583" s="643"/>
      <c r="AR583" s="643"/>
      <c r="AS583" s="256"/>
      <c r="AT583" s="256"/>
      <c r="AU583" s="256"/>
      <c r="AV583" s="256"/>
      <c r="AW583" s="256"/>
      <c r="AX583" s="256"/>
      <c r="AY583" s="256"/>
      <c r="AZ583" s="1601">
        <v>9.0971124946201964E-3</v>
      </c>
      <c r="BA583" s="1602">
        <f>+(AZ583/AZ576-1)*100</f>
        <v>0</v>
      </c>
      <c r="BB583" s="256"/>
      <c r="BC583" s="256"/>
      <c r="BD583" s="1017"/>
      <c r="BE583" s="1017"/>
      <c r="BF583" s="1167"/>
      <c r="BG583" s="1167"/>
      <c r="BH583" s="1167"/>
      <c r="BI583" s="297">
        <f>BA583</f>
        <v>0</v>
      </c>
      <c r="BJ583" s="1017"/>
      <c r="BK583" s="1167">
        <f>F583</f>
        <v>1</v>
      </c>
      <c r="BL583" s="1167"/>
      <c r="BM583" s="1167"/>
      <c r="BN583" s="256"/>
      <c r="BO583" s="1592"/>
      <c r="BP583" s="1492"/>
    </row>
    <row r="584" spans="1:68" s="2443" customFormat="1">
      <c r="A584" s="256"/>
      <c r="B584" s="302" t="str">
        <f>$B$44</f>
        <v>Year</v>
      </c>
      <c r="C584" s="256"/>
      <c r="D584" s="288">
        <f>(V584/V577-1)*100</f>
        <v>-1.3401720714758425</v>
      </c>
      <c r="E584" s="256"/>
      <c r="F584" s="814">
        <v>-2</v>
      </c>
      <c r="G584" s="256"/>
      <c r="H584" s="2455">
        <f>'segSales&amp;comps'!Y233</f>
        <v>2</v>
      </c>
      <c r="I584" s="256"/>
      <c r="J584" s="288">
        <f>D584-H584-F584</f>
        <v>-1.3401720714758425</v>
      </c>
      <c r="K584" s="256"/>
      <c r="L584" s="948">
        <f>Stores!U307</f>
        <v>54</v>
      </c>
      <c r="M584" s="256"/>
      <c r="N584" s="811">
        <f>AVERAGE(N580:N583)</f>
        <v>54.125</v>
      </c>
      <c r="O584" s="256"/>
      <c r="P584" s="288">
        <f>(N584/N577-1)*100</f>
        <v>-1.8140589569160981</v>
      </c>
      <c r="Q584" s="643"/>
      <c r="R584" s="1487" t="s">
        <v>1086</v>
      </c>
      <c r="S584" s="587"/>
      <c r="T584" s="256"/>
      <c r="U584" s="256"/>
      <c r="V584" s="296">
        <f>SUM(V580:V583)</f>
        <v>596.30000000000007</v>
      </c>
      <c r="W584" s="256"/>
      <c r="X584" s="813">
        <f>SUM(X580:X583)</f>
        <v>11.020778117567108</v>
      </c>
      <c r="Y584" s="256"/>
      <c r="Z584" s="814">
        <f>(X584/X577-1)*100</f>
        <v>0.4847125074445735</v>
      </c>
      <c r="AA584" s="643"/>
      <c r="AB584" s="256"/>
      <c r="AC584" s="815"/>
      <c r="AD584" s="256"/>
      <c r="AE584" s="816">
        <f>AVERAGE(AE580:AE583)</f>
        <v>0.14119732142857142</v>
      </c>
      <c r="AF584" s="256"/>
      <c r="AG584" s="1122" t="s">
        <v>1086</v>
      </c>
      <c r="AH584" s="643"/>
      <c r="AI584" s="1122" t="s">
        <v>1086</v>
      </c>
      <c r="AJ584" s="587"/>
      <c r="AK584" s="256"/>
      <c r="AL584" s="296">
        <f>SUM(AL580:AL583)</f>
        <v>596.30000000000007</v>
      </c>
      <c r="AM584" s="256"/>
      <c r="AN584" s="817">
        <f>AL584/AE584</f>
        <v>4223.1679324147444</v>
      </c>
      <c r="AO584" s="256"/>
      <c r="AP584" s="1122" t="s">
        <v>1086</v>
      </c>
      <c r="AQ584" s="643"/>
      <c r="AR584" s="643"/>
      <c r="AS584" s="256"/>
      <c r="AT584" s="256"/>
      <c r="AU584" s="256"/>
      <c r="AV584" s="256"/>
      <c r="AW584" s="256"/>
      <c r="AX584" s="256"/>
      <c r="AY584" s="256"/>
      <c r="AZ584" s="1017">
        <v>0</v>
      </c>
      <c r="BA584" s="1167">
        <f>+(AZ584/AZ577-1)*100</f>
        <v>-100</v>
      </c>
      <c r="BB584" s="256"/>
      <c r="BC584" s="256"/>
      <c r="BD584" s="1017"/>
      <c r="BE584" s="1017"/>
      <c r="BF584" s="1167"/>
      <c r="BG584" s="1167"/>
      <c r="BH584" s="1167"/>
      <c r="BI584" s="297">
        <f>BA584</f>
        <v>-100</v>
      </c>
      <c r="BJ584" s="1017"/>
      <c r="BK584" s="1167">
        <f>F584</f>
        <v>-2</v>
      </c>
      <c r="BL584" s="1167"/>
      <c r="BM584" s="1167"/>
      <c r="BN584" s="302"/>
      <c r="BO584" s="587"/>
      <c r="BP584" s="587"/>
    </row>
    <row r="585" spans="1:68" ht="13.5" thickBot="1">
      <c r="H585" s="2100"/>
      <c r="BO585" s="629"/>
      <c r="BP585" s="629"/>
    </row>
    <row r="586" spans="1:68" ht="13.5" thickBot="1">
      <c r="A586" s="810"/>
      <c r="B586" s="1160">
        <f>+B579+1</f>
        <v>2018</v>
      </c>
      <c r="C586" s="256"/>
      <c r="D586" s="256"/>
      <c r="E586" s="643"/>
      <c r="F586" s="1473"/>
      <c r="G586" s="643"/>
      <c r="H586" s="2091"/>
      <c r="I586" s="643"/>
      <c r="J586" s="256"/>
      <c r="K586" s="643"/>
      <c r="L586" s="256"/>
      <c r="M586" s="256"/>
      <c r="N586" s="256"/>
      <c r="O586" s="256"/>
      <c r="P586" s="256"/>
      <c r="Q586" s="643"/>
      <c r="R586" s="587"/>
      <c r="S586" s="587"/>
      <c r="T586" s="256"/>
      <c r="U586" s="256"/>
      <c r="V586" s="256"/>
      <c r="W586" s="256"/>
      <c r="X586" s="256"/>
      <c r="Y586" s="256"/>
      <c r="Z586" s="256"/>
      <c r="AA586" s="643"/>
      <c r="AB586" s="256"/>
      <c r="AC586" s="256"/>
      <c r="AD586" s="256"/>
      <c r="AE586" s="256"/>
      <c r="AF586" s="256"/>
      <c r="AG586" s="256"/>
      <c r="AH586" s="643"/>
      <c r="AI586" s="587"/>
      <c r="AJ586" s="587"/>
      <c r="AK586" s="256"/>
      <c r="AL586" s="256"/>
      <c r="AM586" s="256"/>
      <c r="AN586" s="256"/>
      <c r="AO586" s="256"/>
      <c r="AP586" s="320"/>
      <c r="AQ586" s="643"/>
      <c r="AR586" s="643"/>
      <c r="AS586" s="256"/>
      <c r="AT586" s="256"/>
      <c r="AU586" s="256"/>
      <c r="AV586" s="256"/>
      <c r="AW586" s="256"/>
      <c r="AX586" s="256"/>
      <c r="AY586" s="256"/>
      <c r="AZ586" s="1605">
        <v>1</v>
      </c>
      <c r="BA586" s="587"/>
      <c r="BB586" s="587"/>
      <c r="BC586" s="1605"/>
      <c r="BD586" s="1603"/>
      <c r="BE586" s="587"/>
      <c r="BF586" s="2261"/>
      <c r="BG586" s="1167"/>
      <c r="BH586" s="1167"/>
      <c r="BI586" s="297"/>
      <c r="BJ586" s="256"/>
      <c r="BK586" s="256"/>
      <c r="BL586" s="256"/>
      <c r="BM586" s="256"/>
      <c r="BN586" s="256"/>
      <c r="BO586" s="587"/>
      <c r="BP586" s="587"/>
    </row>
    <row r="587" spans="1:68">
      <c r="A587" s="256" t="str">
        <f>$A$40</f>
        <v>1Q</v>
      </c>
      <c r="B587" s="302" t="str">
        <f>$B$40</f>
        <v>Apr</v>
      </c>
      <c r="C587" s="256"/>
      <c r="D587" s="288">
        <f>F587+H587+J587</f>
        <v>4</v>
      </c>
      <c r="E587" s="643" t="s">
        <v>1970</v>
      </c>
      <c r="F587" s="1156">
        <v>1</v>
      </c>
      <c r="G587" s="643"/>
      <c r="H587" s="2091">
        <f>'segSales&amp;comps'!Y236</f>
        <v>4</v>
      </c>
      <c r="I587" s="643" t="s">
        <v>1970</v>
      </c>
      <c r="J587" s="2227">
        <v>-1</v>
      </c>
      <c r="K587" s="643" t="s">
        <v>1970</v>
      </c>
      <c r="L587" s="948">
        <f>Stores!U310</f>
        <v>54</v>
      </c>
      <c r="M587" s="256"/>
      <c r="N587" s="811">
        <f>AVERAGE(L587,L583)</f>
        <v>54</v>
      </c>
      <c r="O587" s="256"/>
      <c r="P587" s="288">
        <f>(N587/N580-1)*100</f>
        <v>-0.91743119266054496</v>
      </c>
      <c r="Q587" s="643" t="s">
        <v>1970</v>
      </c>
      <c r="R587" s="1487" t="s">
        <v>1086</v>
      </c>
      <c r="S587" s="587" t="s">
        <v>1970</v>
      </c>
      <c r="T587" s="256"/>
      <c r="U587" s="256"/>
      <c r="V587" s="296">
        <f>V580*(1+D587/100)</f>
        <v>133.536</v>
      </c>
      <c r="W587" s="238"/>
      <c r="X587" s="813">
        <f>V587/N587</f>
        <v>2.4728888888888889</v>
      </c>
      <c r="Y587" s="256"/>
      <c r="Z587" s="814">
        <f>(X587/X580-1)*100</f>
        <v>4.962962962962969</v>
      </c>
      <c r="AA587" s="643" t="s">
        <v>1970</v>
      </c>
      <c r="AB587" s="256"/>
      <c r="AC587" s="1017">
        <f>N587*yrSales!$AC$153/1000000</f>
        <v>0.13919999999999999</v>
      </c>
      <c r="AD587" s="256" t="s">
        <v>505</v>
      </c>
      <c r="AE587" s="816">
        <f>AVERAGE(AC587,AC583)</f>
        <v>0.13979999999999998</v>
      </c>
      <c r="AF587" s="256"/>
      <c r="AG587" s="1507" t="s">
        <v>1086</v>
      </c>
      <c r="AH587" s="643" t="s">
        <v>1970</v>
      </c>
      <c r="AI587" s="1507" t="s">
        <v>1086</v>
      </c>
      <c r="AJ587" s="587" t="s">
        <v>1970</v>
      </c>
      <c r="AK587" s="256"/>
      <c r="AL587" s="296">
        <f>+V587</f>
        <v>133.536</v>
      </c>
      <c r="AM587" s="256" t="s">
        <v>505</v>
      </c>
      <c r="AN587" s="817">
        <f>AL587/AE587</f>
        <v>955.19313304721049</v>
      </c>
      <c r="AO587" s="256"/>
      <c r="AP587" s="1507" t="s">
        <v>1086</v>
      </c>
      <c r="AQ587" s="643" t="s">
        <v>1970</v>
      </c>
      <c r="AR587" s="643"/>
      <c r="AS587" s="256"/>
      <c r="AT587" s="256"/>
      <c r="AU587" s="256"/>
      <c r="AV587" s="256"/>
      <c r="AW587" s="256"/>
      <c r="AX587" s="256"/>
      <c r="AY587" s="256"/>
      <c r="AZ587" s="1017">
        <v>9.0971124946201964E-3</v>
      </c>
      <c r="BA587" s="1167">
        <f>+(AZ587/AZ580-1)*100</f>
        <v>-139.87160907771732</v>
      </c>
      <c r="BB587" s="256"/>
      <c r="BC587" s="256"/>
      <c r="BD587" s="1017"/>
      <c r="BE587" s="1017"/>
      <c r="BF587" s="1167"/>
      <c r="BG587" s="1167"/>
      <c r="BH587" s="1167"/>
      <c r="BI587" s="297">
        <f>BA587</f>
        <v>-139.87160907771732</v>
      </c>
      <c r="BJ587" s="1017"/>
      <c r="BK587" s="1167">
        <f>F587</f>
        <v>1</v>
      </c>
      <c r="BL587" s="1167"/>
      <c r="BM587" s="1167"/>
      <c r="BN587" s="256"/>
      <c r="BO587" s="1592"/>
      <c r="BP587" s="1492"/>
    </row>
    <row r="588" spans="1:68">
      <c r="A588" s="256" t="str">
        <f>$A$41</f>
        <v>2Q</v>
      </c>
      <c r="B588" s="302" t="str">
        <f>$B$41</f>
        <v>Jul</v>
      </c>
      <c r="C588" s="256"/>
      <c r="D588" s="288">
        <f>F588+H588+J588</f>
        <v>-6</v>
      </c>
      <c r="E588" s="256"/>
      <c r="F588" s="1156">
        <v>0</v>
      </c>
      <c r="G588" s="256"/>
      <c r="H588" s="2091">
        <f>'segSales&amp;comps'!Y237</f>
        <v>-5</v>
      </c>
      <c r="I588" s="256"/>
      <c r="J588" s="2227">
        <v>-1</v>
      </c>
      <c r="K588" s="256"/>
      <c r="L588" s="948">
        <f>Stores!U311</f>
        <v>55</v>
      </c>
      <c r="M588" s="256"/>
      <c r="N588" s="811">
        <f>AVERAGE(L588,L587)</f>
        <v>54.5</v>
      </c>
      <c r="O588" s="256"/>
      <c r="P588" s="288">
        <f>(N588/N581-1)*100</f>
        <v>0.92592592592593004</v>
      </c>
      <c r="Q588" s="643"/>
      <c r="R588" s="1487" t="s">
        <v>1086</v>
      </c>
      <c r="S588" s="587"/>
      <c r="T588" s="256"/>
      <c r="U588" s="256"/>
      <c r="V588" s="296">
        <f>V581*(1+D588/100)</f>
        <v>131.41200000000001</v>
      </c>
      <c r="W588" s="238"/>
      <c r="X588" s="818">
        <f>V588/N588</f>
        <v>2.4112293577981654</v>
      </c>
      <c r="Y588" s="256"/>
      <c r="Z588" s="814">
        <f>(X588/X581-1)*100</f>
        <v>-6.8623853211009163</v>
      </c>
      <c r="AA588" s="643"/>
      <c r="AB588" s="256"/>
      <c r="AC588" s="1017">
        <f>N588*yrSales!$AC$153/1000000</f>
        <v>0.14048888888888891</v>
      </c>
      <c r="AD588" s="238"/>
      <c r="AE588" s="816">
        <f>AVERAGE(AC587:AC588)</f>
        <v>0.13984444444444444</v>
      </c>
      <c r="AF588" s="256"/>
      <c r="AG588" s="1507" t="s">
        <v>1086</v>
      </c>
      <c r="AH588" s="643"/>
      <c r="AI588" s="1507" t="s">
        <v>1086</v>
      </c>
      <c r="AJ588" s="587"/>
      <c r="AK588" s="256"/>
      <c r="AL588" s="315">
        <f>+V588</f>
        <v>131.41200000000001</v>
      </c>
      <c r="AM588" s="256"/>
      <c r="AN588" s="817">
        <f>AL588/AE588</f>
        <v>939.70125536310195</v>
      </c>
      <c r="AO588" s="256"/>
      <c r="AP588" s="1507" t="s">
        <v>1086</v>
      </c>
      <c r="AQ588" s="643"/>
      <c r="AR588" s="643"/>
      <c r="AS588" s="256"/>
      <c r="AT588" s="256"/>
      <c r="AU588" s="256"/>
      <c r="AV588" s="256"/>
      <c r="AW588" s="256"/>
      <c r="AX588" s="256"/>
      <c r="AY588" s="256"/>
      <c r="AZ588" s="1017">
        <v>9.0971124946201964E-3</v>
      </c>
      <c r="BA588" s="1167">
        <f>+(AZ588/AZ581-1)*100</f>
        <v>0</v>
      </c>
      <c r="BB588" s="256"/>
      <c r="BC588" s="256"/>
      <c r="BD588" s="1017"/>
      <c r="BE588" s="1017"/>
      <c r="BF588" s="1167"/>
      <c r="BG588" s="1167"/>
      <c r="BH588" s="1167"/>
      <c r="BI588" s="297">
        <f>BA588</f>
        <v>0</v>
      </c>
      <c r="BJ588" s="1017"/>
      <c r="BK588" s="1167">
        <f>F588</f>
        <v>0</v>
      </c>
      <c r="BL588" s="1167"/>
      <c r="BM588" s="1167"/>
      <c r="BN588" s="256"/>
      <c r="BO588" s="1592"/>
      <c r="BP588" s="1492"/>
    </row>
    <row r="589" spans="1:68">
      <c r="A589" s="256" t="str">
        <f>$A$42</f>
        <v>3Q</v>
      </c>
      <c r="B589" s="302" t="str">
        <f>$B$42</f>
        <v>Oct</v>
      </c>
      <c r="C589" s="256"/>
      <c r="D589" s="288">
        <f>F589+H589+J589</f>
        <v>3</v>
      </c>
      <c r="E589" s="256"/>
      <c r="F589" s="1156">
        <v>0</v>
      </c>
      <c r="G589" s="256"/>
      <c r="H589" s="2091">
        <f>'segSales&amp;comps'!Y238</f>
        <v>4</v>
      </c>
      <c r="I589" s="256"/>
      <c r="J589" s="2227">
        <v>-1</v>
      </c>
      <c r="K589" s="256"/>
      <c r="L589" s="948">
        <f>Stores!U312</f>
        <v>55</v>
      </c>
      <c r="M589" s="238"/>
      <c r="N589" s="811">
        <f>AVERAGE(L589,L588)</f>
        <v>55</v>
      </c>
      <c r="O589" s="256"/>
      <c r="P589" s="288">
        <f>(N589/N582-1)*100</f>
        <v>1.8518518518518601</v>
      </c>
      <c r="Q589" s="643"/>
      <c r="R589" s="1487" t="s">
        <v>1086</v>
      </c>
      <c r="S589" s="587"/>
      <c r="T589" s="256"/>
      <c r="U589" s="256"/>
      <c r="V589" s="1518">
        <f>V582*(1+D589/100)</f>
        <v>142.86099999999999</v>
      </c>
      <c r="W589" s="256"/>
      <c r="X589" s="818">
        <f>V589/N589</f>
        <v>2.5974727272727272</v>
      </c>
      <c r="Y589" s="256"/>
      <c r="Z589" s="814">
        <f>(X589/X582-1)*100</f>
        <v>1.1272727272727323</v>
      </c>
      <c r="AA589" s="643"/>
      <c r="AB589" s="256"/>
      <c r="AC589" s="1017">
        <f>N589*yrSales!$AC$153/1000000</f>
        <v>0.14177777777777778</v>
      </c>
      <c r="AD589" s="238"/>
      <c r="AE589" s="816">
        <f>AVERAGE(AC588:AC589)</f>
        <v>0.14113333333333333</v>
      </c>
      <c r="AF589" s="256"/>
      <c r="AG589" s="1507" t="s">
        <v>1086</v>
      </c>
      <c r="AH589" s="643"/>
      <c r="AI589" s="1507" t="s">
        <v>1086</v>
      </c>
      <c r="AJ589" s="587"/>
      <c r="AK589" s="256"/>
      <c r="AL589" s="315">
        <f>+V589</f>
        <v>142.86099999999999</v>
      </c>
      <c r="AM589" s="256"/>
      <c r="AN589" s="817">
        <f>AL589/AE589</f>
        <v>1012.2413793103448</v>
      </c>
      <c r="AO589" s="256"/>
      <c r="AP589" s="1507" t="s">
        <v>1086</v>
      </c>
      <c r="AQ589" s="643"/>
      <c r="AR589" s="643"/>
      <c r="AS589" s="256"/>
      <c r="AT589" s="256"/>
      <c r="AU589" s="256"/>
      <c r="AV589" s="256"/>
      <c r="AW589" s="256"/>
      <c r="AX589" s="256"/>
      <c r="AY589" s="256"/>
      <c r="AZ589" s="1017">
        <v>9.0971124946201964E-3</v>
      </c>
      <c r="BA589" s="1167">
        <f>+(AZ589/AZ582-1)*100</f>
        <v>0</v>
      </c>
      <c r="BB589" s="256"/>
      <c r="BC589" s="256"/>
      <c r="BD589" s="1017"/>
      <c r="BE589" s="1017"/>
      <c r="BF589" s="1167"/>
      <c r="BG589" s="1167"/>
      <c r="BH589" s="1167"/>
      <c r="BI589" s="297">
        <f>BA589</f>
        <v>0</v>
      </c>
      <c r="BJ589" s="1017"/>
      <c r="BK589" s="1167">
        <f>F589</f>
        <v>0</v>
      </c>
      <c r="BL589" s="1167"/>
      <c r="BM589" s="1167"/>
      <c r="BN589" s="256"/>
      <c r="BO589" s="1592"/>
      <c r="BP589" s="1492"/>
    </row>
    <row r="590" spans="1:68">
      <c r="A590" s="256" t="str">
        <f>$A$43</f>
        <v>4Q</v>
      </c>
      <c r="B590" s="302" t="str">
        <f>$B$43</f>
        <v>Jan</v>
      </c>
      <c r="C590" s="256"/>
      <c r="D590" s="318">
        <f>F590+H590+J590</f>
        <v>3</v>
      </c>
      <c r="E590" s="256"/>
      <c r="F590" s="1148">
        <v>0</v>
      </c>
      <c r="G590" s="256"/>
      <c r="H590" s="2095">
        <f>'segSales&amp;comps'!Y239</f>
        <v>4</v>
      </c>
      <c r="I590" s="256"/>
      <c r="J590" s="2230">
        <v>-1</v>
      </c>
      <c r="K590" s="256"/>
      <c r="L590" s="949">
        <f>Stores!U313</f>
        <v>55</v>
      </c>
      <c r="M590" s="238"/>
      <c r="N590" s="820">
        <f>AVERAGE(L590,L589)</f>
        <v>55</v>
      </c>
      <c r="O590" s="256"/>
      <c r="P590" s="318">
        <f>(N590/N583-1)*100</f>
        <v>1.8518518518518601</v>
      </c>
      <c r="Q590" s="643"/>
      <c r="R590" s="1488" t="s">
        <v>1086</v>
      </c>
      <c r="S590" s="587"/>
      <c r="T590" s="256"/>
      <c r="U590" s="256"/>
      <c r="V590" s="316">
        <f>V583*(1+D590/100)</f>
        <v>195.08200000000002</v>
      </c>
      <c r="W590" s="256"/>
      <c r="X590" s="821">
        <f>V590/N590</f>
        <v>3.5469454545454551</v>
      </c>
      <c r="Y590" s="256"/>
      <c r="Z590" s="298">
        <f>(X590/X583-1)*100</f>
        <v>1.1272727272727323</v>
      </c>
      <c r="AA590" s="643"/>
      <c r="AB590" s="256"/>
      <c r="AC590" s="1017">
        <f>N590*yrSales!$AC$153/1000000</f>
        <v>0.14177777777777778</v>
      </c>
      <c r="AD590" s="238"/>
      <c r="AE590" s="822">
        <f>AVERAGE(AC589:AC590)</f>
        <v>0.14177777777777778</v>
      </c>
      <c r="AF590" s="256"/>
      <c r="AG590" s="1508" t="s">
        <v>1086</v>
      </c>
      <c r="AH590" s="643"/>
      <c r="AI590" s="1508" t="s">
        <v>1086</v>
      </c>
      <c r="AJ590" s="587"/>
      <c r="AK590" s="256"/>
      <c r="AL590" s="316">
        <f>+V590</f>
        <v>195.08200000000002</v>
      </c>
      <c r="AM590" s="256"/>
      <c r="AN590" s="950">
        <f>AL590/AE590</f>
        <v>1375.9702194357369</v>
      </c>
      <c r="AO590" s="256"/>
      <c r="AP590" s="1508" t="s">
        <v>1086</v>
      </c>
      <c r="AQ590" s="643"/>
      <c r="AR590" s="643"/>
      <c r="AS590" s="256"/>
      <c r="AT590" s="256"/>
      <c r="AU590" s="256"/>
      <c r="AV590" s="256"/>
      <c r="AW590" s="256"/>
      <c r="AX590" s="256"/>
      <c r="AY590" s="256"/>
      <c r="AZ590" s="1601">
        <v>9.0971124946201964E-3</v>
      </c>
      <c r="BA590" s="1602">
        <f>+(AZ590/AZ583-1)*100</f>
        <v>0</v>
      </c>
      <c r="BB590" s="256"/>
      <c r="BC590" s="256"/>
      <c r="BD590" s="1017"/>
      <c r="BE590" s="1017"/>
      <c r="BF590" s="1167"/>
      <c r="BG590" s="1167"/>
      <c r="BH590" s="1167"/>
      <c r="BI590" s="297">
        <f>BA590</f>
        <v>0</v>
      </c>
      <c r="BJ590" s="1017"/>
      <c r="BK590" s="1167">
        <f>F590</f>
        <v>0</v>
      </c>
      <c r="BL590" s="1167"/>
      <c r="BM590" s="1167"/>
      <c r="BN590" s="256"/>
      <c r="BO590" s="1592"/>
      <c r="BP590" s="1492"/>
    </row>
    <row r="591" spans="1:68">
      <c r="A591" s="256"/>
      <c r="B591" s="302" t="str">
        <f>$B$44</f>
        <v>Year</v>
      </c>
      <c r="C591" s="256"/>
      <c r="D591" s="288">
        <f>(V591/V584-1)*100</f>
        <v>1.10531611604896</v>
      </c>
      <c r="E591" s="256"/>
      <c r="F591" s="814">
        <f>F587*V587/V591+F588*V588/V591+F589*V589/V591+F590*V590/V591</f>
        <v>0.22149277398402034</v>
      </c>
      <c r="G591" s="256"/>
      <c r="H591" s="2398">
        <f>H587*V587/V591+H588*V588/V591+H589*V589/V591+H590*V590/V591</f>
        <v>2.0382722581693873</v>
      </c>
      <c r="I591" s="256"/>
      <c r="J591" s="288">
        <f>D591-H591-F591</f>
        <v>-1.1544489161044478</v>
      </c>
      <c r="K591" s="256"/>
      <c r="L591" s="948">
        <f>Stores!U314</f>
        <v>55</v>
      </c>
      <c r="M591" s="256"/>
      <c r="N591" s="811">
        <f>AVERAGE(N587:N590)</f>
        <v>54.625</v>
      </c>
      <c r="O591" s="256"/>
      <c r="P591" s="288">
        <f>(N591/N584-1)*100</f>
        <v>0.92378752886836946</v>
      </c>
      <c r="Q591" s="643"/>
      <c r="R591" s="1487" t="s">
        <v>1086</v>
      </c>
      <c r="S591" s="587"/>
      <c r="T591" s="256"/>
      <c r="U591" s="256"/>
      <c r="V591" s="296">
        <f>SUM(V587:V590)</f>
        <v>602.89099999999996</v>
      </c>
      <c r="W591" s="256"/>
      <c r="X591" s="813">
        <f>SUM(X587:X590)</f>
        <v>11.028536428505236</v>
      </c>
      <c r="Y591" s="256"/>
      <c r="Z591" s="814">
        <f>(X591/X584-1)*100</f>
        <v>7.0397124915899667E-2</v>
      </c>
      <c r="AA591" s="643"/>
      <c r="AB591" s="256"/>
      <c r="AC591" s="815"/>
      <c r="AD591" s="256"/>
      <c r="AE591" s="816">
        <f>AVERAGE(AE587:AE590)</f>
        <v>0.14063888888888887</v>
      </c>
      <c r="AF591" s="256"/>
      <c r="AG591" s="1507" t="s">
        <v>1086</v>
      </c>
      <c r="AH591" s="643"/>
      <c r="AI591" s="1507" t="s">
        <v>1086</v>
      </c>
      <c r="AJ591" s="587"/>
      <c r="AK591" s="256"/>
      <c r="AL591" s="296">
        <f>SUM(AL587:AL590)</f>
        <v>602.89099999999996</v>
      </c>
      <c r="AM591" s="256"/>
      <c r="AN591" s="817">
        <f>AL591/AE591</f>
        <v>4286.8015010863128</v>
      </c>
      <c r="AO591" s="256"/>
      <c r="AP591" s="1507" t="s">
        <v>1086</v>
      </c>
      <c r="AQ591" s="643"/>
      <c r="AR591" s="643"/>
      <c r="AS591" s="256"/>
      <c r="AT591" s="256"/>
      <c r="AU591" s="256"/>
      <c r="AV591" s="256"/>
      <c r="AW591" s="256"/>
      <c r="AX591" s="256"/>
      <c r="AY591" s="256"/>
      <c r="AZ591" s="1017">
        <v>0</v>
      </c>
      <c r="BA591" s="1167"/>
      <c r="BB591" s="256"/>
      <c r="BC591" s="256"/>
      <c r="BD591" s="1017"/>
      <c r="BE591" s="1017"/>
      <c r="BF591" s="1167"/>
      <c r="BG591" s="1167"/>
      <c r="BH591" s="1167"/>
      <c r="BI591" s="297">
        <f>BA591</f>
        <v>0</v>
      </c>
      <c r="BJ591" s="1017"/>
      <c r="BK591" s="1167">
        <f>F591</f>
        <v>0.22149277398402034</v>
      </c>
      <c r="BL591" s="1167"/>
      <c r="BM591" s="1167"/>
      <c r="BN591" s="302"/>
      <c r="BO591" s="587"/>
      <c r="BP591" s="587"/>
    </row>
  </sheetData>
  <phoneticPr fontId="0" type="noConversion"/>
  <pageMargins left="0.75" right="0.75" top="1" bottom="1" header="0.5" footer="0.5"/>
  <pageSetup scale="46" orientation="landscape" r:id="rId1"/>
  <headerFooter alignWithMargins="0"/>
  <rowBreaks count="1" manualBreakCount="1">
    <brk id="418" max="16383" man="1"/>
  </rowBreaks>
  <colBreaks count="1" manualBreakCount="1">
    <brk id="51" max="1048575" man="1"/>
  </col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N216"/>
  <sheetViews>
    <sheetView showGridLines="0" zoomScaleNormal="100" zoomScaleSheetLayoutView="100" workbookViewId="0">
      <pane xSplit="3" ySplit="9" topLeftCell="D182" activePane="bottomRight" state="frozen"/>
      <selection activeCell="C39" sqref="C39"/>
      <selection pane="topRight" activeCell="C39" sqref="C39"/>
      <selection pane="bottomLeft" activeCell="C39" sqref="C39"/>
      <selection pane="bottomRight" activeCell="H194" sqref="H194"/>
    </sheetView>
  </sheetViews>
  <sheetFormatPr defaultRowHeight="12.75" outlineLevelRow="1" outlineLevelCol="1"/>
  <cols>
    <col min="1" max="1" width="2.7109375" customWidth="1"/>
    <col min="2" max="2" width="6" customWidth="1"/>
    <col min="3" max="3" width="1.28515625" customWidth="1"/>
    <col min="4" max="4" width="6.140625" customWidth="1"/>
    <col min="5" max="5" width="1.7109375" customWidth="1"/>
    <col min="7" max="7" width="1.5703125" customWidth="1"/>
    <col min="9" max="9" width="1.7109375" customWidth="1"/>
    <col min="10" max="10" width="6.42578125" customWidth="1"/>
    <col min="11" max="11" width="1.28515625" customWidth="1"/>
    <col min="12" max="12" width="6.85546875" customWidth="1"/>
    <col min="13" max="13" width="1.28515625" customWidth="1"/>
    <col min="14" max="14" width="8.42578125" customWidth="1"/>
    <col min="15" max="15" width="1.7109375" customWidth="1"/>
    <col min="16" max="16" width="9.85546875" customWidth="1"/>
    <col min="17" max="17" width="3.7109375" customWidth="1"/>
    <col min="18" max="18" width="7" customWidth="1"/>
    <col min="19" max="19" width="1.5703125" customWidth="1"/>
    <col min="20" max="20" width="6.42578125" customWidth="1"/>
    <col min="21" max="21" width="1.28515625" customWidth="1"/>
    <col min="22" max="22" width="6.42578125" customWidth="1"/>
    <col min="23" max="24" width="1.7109375" customWidth="1"/>
    <col min="25" max="25" width="6.42578125" customWidth="1"/>
    <col min="26" max="26" width="1.7109375" customWidth="1"/>
    <col min="27" max="27" width="6.28515625" customWidth="1"/>
    <col min="28" max="28" width="1.28515625" customWidth="1"/>
    <col min="29" max="29" width="7.85546875" customWidth="1"/>
    <col min="30" max="30" width="1.7109375" customWidth="1"/>
    <col min="31" max="31" width="12.140625" customWidth="1"/>
    <col min="32" max="32" width="2.5703125" customWidth="1"/>
    <col min="33" max="33" width="6.85546875" customWidth="1"/>
    <col min="34" max="34" width="1.28515625" customWidth="1"/>
    <col min="35" max="35" width="8.140625" customWidth="1"/>
    <col min="36" max="36" width="1.28515625" customWidth="1"/>
    <col min="37" max="37" width="7" customWidth="1"/>
    <col min="38" max="38" width="1.7109375" customWidth="1"/>
    <col min="39" max="39" width="4.28515625" customWidth="1"/>
    <col min="41" max="41" width="5.28515625" bestFit="1" customWidth="1"/>
    <col min="42" max="42" width="2.28515625" customWidth="1"/>
    <col min="43" max="43" width="8.28515625" customWidth="1"/>
    <col min="44" max="44" width="5.7109375" bestFit="1" customWidth="1"/>
    <col min="46" max="49" width="9.28515625" hidden="1" customWidth="1" outlineLevel="1"/>
    <col min="50" max="50" width="9.140625" collapsed="1"/>
    <col min="61" max="61" width="7.28515625" customWidth="1"/>
    <col min="63" max="63" width="9.140625" customWidth="1"/>
    <col min="66" max="66" width="10.7109375" customWidth="1"/>
  </cols>
  <sheetData>
    <row r="1" spans="1:66">
      <c r="A1" s="133" t="s">
        <v>1616</v>
      </c>
      <c r="B1" s="172"/>
      <c r="C1" s="133"/>
      <c r="D1" s="133"/>
      <c r="E1" s="152"/>
      <c r="F1" s="133"/>
      <c r="G1" s="133"/>
      <c r="H1" s="133"/>
      <c r="I1" s="152"/>
      <c r="J1" s="155"/>
      <c r="K1" s="155"/>
      <c r="L1" s="155"/>
      <c r="M1" s="156"/>
      <c r="N1" s="155"/>
      <c r="O1" s="152"/>
      <c r="P1" s="155"/>
      <c r="Q1" s="155"/>
      <c r="R1" s="155"/>
      <c r="S1" s="155"/>
      <c r="T1" s="156"/>
      <c r="U1" s="156"/>
      <c r="V1" s="155"/>
      <c r="W1" s="246"/>
      <c r="X1" s="155"/>
      <c r="Y1" s="155"/>
      <c r="Z1" s="155"/>
      <c r="AA1" s="155"/>
      <c r="AB1" s="156"/>
      <c r="AC1" s="155"/>
      <c r="AD1" s="156"/>
      <c r="AE1" s="155"/>
      <c r="AF1" s="155"/>
      <c r="AG1" s="155"/>
      <c r="AH1" s="155"/>
      <c r="AI1" s="156"/>
      <c r="AJ1" s="156"/>
      <c r="AK1" s="155"/>
      <c r="AL1" s="246"/>
      <c r="AM1" s="246"/>
      <c r="AN1" s="930"/>
      <c r="AO1" s="228"/>
      <c r="AP1" s="228"/>
      <c r="AQ1" s="933"/>
      <c r="AR1" s="228"/>
      <c r="AS1" s="133"/>
      <c r="AT1" s="133"/>
      <c r="AU1" s="133"/>
      <c r="AV1" s="133"/>
      <c r="AW1" s="133"/>
    </row>
    <row r="2" spans="1:66">
      <c r="A2" s="135" t="s">
        <v>2410</v>
      </c>
      <c r="B2" s="173"/>
      <c r="C2" s="135"/>
      <c r="D2" s="135"/>
      <c r="E2" s="153"/>
      <c r="F2" s="135"/>
      <c r="G2" s="135"/>
      <c r="H2" s="135"/>
      <c r="I2" s="153"/>
      <c r="J2" s="135"/>
      <c r="K2" s="135"/>
      <c r="L2" s="135"/>
      <c r="M2" s="153"/>
      <c r="N2" s="135"/>
      <c r="O2" s="153"/>
      <c r="P2" s="135"/>
      <c r="Q2" s="135"/>
      <c r="R2" s="135"/>
      <c r="S2" s="135"/>
      <c r="T2" s="153"/>
      <c r="U2" s="153"/>
      <c r="V2" s="135"/>
      <c r="W2" s="187"/>
      <c r="X2" s="135"/>
      <c r="Y2" s="135"/>
      <c r="Z2" s="135"/>
      <c r="AA2" s="135"/>
      <c r="AB2" s="153"/>
      <c r="AC2" s="135"/>
      <c r="AD2" s="153"/>
      <c r="AE2" s="135"/>
      <c r="AF2" s="135"/>
      <c r="AG2" s="135"/>
      <c r="AH2" s="135"/>
      <c r="AI2" s="153"/>
      <c r="AJ2" s="153"/>
      <c r="AK2" s="135"/>
      <c r="AL2" s="246"/>
      <c r="AM2" s="246"/>
      <c r="AN2" s="930"/>
      <c r="AO2" s="228"/>
      <c r="AP2" s="228"/>
      <c r="AQ2" s="933"/>
      <c r="AR2" s="228"/>
      <c r="AS2" s="133"/>
      <c r="AT2" s="133"/>
      <c r="AU2" s="133"/>
      <c r="AV2" s="133"/>
      <c r="AW2" s="133"/>
    </row>
    <row r="3" spans="1:66">
      <c r="A3" s="132"/>
      <c r="B3" s="174"/>
      <c r="C3" s="132"/>
      <c r="D3" s="132"/>
      <c r="E3" s="132"/>
      <c r="F3" s="132"/>
      <c r="G3" s="132"/>
      <c r="H3" s="132"/>
      <c r="I3" s="132"/>
      <c r="J3" s="132"/>
      <c r="K3" s="132"/>
      <c r="L3" s="132"/>
      <c r="M3" s="132"/>
      <c r="N3" s="132"/>
      <c r="O3" s="132"/>
      <c r="P3" s="132"/>
      <c r="Q3" s="132"/>
      <c r="R3" s="132"/>
      <c r="S3" s="132"/>
      <c r="T3" s="132"/>
      <c r="U3" s="132"/>
      <c r="V3" s="132"/>
      <c r="W3" s="230"/>
      <c r="X3" s="132"/>
      <c r="Y3" s="132"/>
      <c r="Z3" s="132"/>
      <c r="AA3" s="132"/>
      <c r="AB3" s="132"/>
      <c r="AC3" s="132"/>
      <c r="AD3" s="132"/>
      <c r="AE3" s="132"/>
      <c r="AF3" s="132"/>
      <c r="AG3" s="132"/>
      <c r="AH3" s="132"/>
      <c r="AI3" s="132"/>
      <c r="AJ3" s="132"/>
      <c r="AK3" s="132"/>
      <c r="AL3" s="230"/>
      <c r="AM3" s="230"/>
      <c r="AN3" s="145"/>
      <c r="AO3" s="132"/>
      <c r="AP3" s="132"/>
      <c r="AQ3" s="145"/>
      <c r="AR3" s="132"/>
      <c r="AT3" s="132"/>
      <c r="AU3" s="132"/>
      <c r="AV3" s="132"/>
      <c r="AW3" s="132"/>
    </row>
    <row r="4" spans="1:66">
      <c r="A4" s="132"/>
      <c r="B4" s="174"/>
      <c r="C4" s="132"/>
      <c r="D4" s="132"/>
      <c r="E4" s="132"/>
      <c r="F4" s="132"/>
      <c r="G4" s="132"/>
      <c r="H4" s="132"/>
      <c r="I4" s="132"/>
      <c r="J4" s="132"/>
      <c r="K4" s="132"/>
      <c r="L4" s="132"/>
      <c r="M4" s="132"/>
      <c r="N4" s="132"/>
      <c r="O4" s="132"/>
      <c r="P4" s="132"/>
      <c r="Q4" s="132"/>
      <c r="R4" s="132"/>
      <c r="S4" s="132"/>
      <c r="T4" s="132"/>
      <c r="U4" s="132"/>
      <c r="V4" s="132"/>
      <c r="W4" s="230"/>
      <c r="X4" s="132"/>
      <c r="Y4" s="132"/>
      <c r="Z4" s="132"/>
      <c r="AA4" s="132"/>
      <c r="AB4" s="132"/>
      <c r="AC4" s="132"/>
      <c r="AD4" s="132"/>
      <c r="AE4" s="132"/>
      <c r="AF4" s="132"/>
      <c r="AG4" s="132"/>
      <c r="AH4" s="132"/>
      <c r="AI4" s="132"/>
      <c r="AJ4" s="132"/>
      <c r="AK4" s="132"/>
      <c r="AL4" s="230"/>
      <c r="AM4" s="230"/>
      <c r="AN4" s="145"/>
      <c r="AO4" s="132"/>
      <c r="AP4" s="132"/>
      <c r="AQ4" s="145"/>
      <c r="AR4" s="132"/>
      <c r="AT4" s="132"/>
      <c r="AU4" s="132"/>
      <c r="AV4" s="132"/>
      <c r="AW4" s="132"/>
      <c r="AX4" s="2033"/>
      <c r="AY4" s="319" t="s">
        <v>45</v>
      </c>
      <c r="AZ4" s="2033"/>
      <c r="BA4" s="739" t="s">
        <v>2441</v>
      </c>
      <c r="BB4" s="2033"/>
      <c r="BC4" s="2033"/>
      <c r="BD4" s="2033"/>
      <c r="BF4" s="739" t="s">
        <v>2443</v>
      </c>
      <c r="BG4" s="2033"/>
      <c r="BH4" s="2033"/>
      <c r="BI4" s="2033"/>
      <c r="BK4" s="739" t="s">
        <v>45</v>
      </c>
      <c r="BL4" s="739" t="s">
        <v>45</v>
      </c>
      <c r="BN4" s="739" t="s">
        <v>2446</v>
      </c>
    </row>
    <row r="5" spans="1:66">
      <c r="A5" s="132"/>
      <c r="B5" s="174"/>
      <c r="C5" s="132"/>
      <c r="D5" s="132"/>
      <c r="E5" s="132"/>
      <c r="F5" s="132"/>
      <c r="G5" s="132"/>
      <c r="H5" s="132"/>
      <c r="I5" s="132"/>
      <c r="J5" s="260" t="s">
        <v>111</v>
      </c>
      <c r="K5" s="261"/>
      <c r="L5" s="261"/>
      <c r="M5" s="261"/>
      <c r="N5" s="261"/>
      <c r="O5" s="261"/>
      <c r="P5" s="261"/>
      <c r="Q5" s="261"/>
      <c r="R5" s="261"/>
      <c r="S5" s="261"/>
      <c r="T5" s="261"/>
      <c r="U5" s="261"/>
      <c r="V5" s="261"/>
      <c r="W5" s="262"/>
      <c r="X5" s="132"/>
      <c r="Y5" s="260" t="s">
        <v>1890</v>
      </c>
      <c r="Z5" s="261"/>
      <c r="AA5" s="261"/>
      <c r="AB5" s="261"/>
      <c r="AC5" s="261"/>
      <c r="AD5" s="261"/>
      <c r="AE5" s="261"/>
      <c r="AF5" s="261"/>
      <c r="AG5" s="261"/>
      <c r="AH5" s="261"/>
      <c r="AI5" s="261"/>
      <c r="AJ5" s="261"/>
      <c r="AK5" s="261"/>
      <c r="AL5" s="972"/>
      <c r="AM5" s="971"/>
      <c r="AN5" s="837" t="s">
        <v>2411</v>
      </c>
      <c r="AO5" s="837"/>
      <c r="AP5" s="837"/>
      <c r="AQ5" s="837"/>
      <c r="AR5" s="839"/>
      <c r="AS5" s="973"/>
      <c r="AT5" s="132"/>
      <c r="AU5" s="132"/>
      <c r="AV5" s="132"/>
      <c r="AW5" s="132"/>
      <c r="AY5" s="739" t="s">
        <v>1015</v>
      </c>
      <c r="BA5" s="739" t="s">
        <v>1581</v>
      </c>
      <c r="BB5" s="739" t="s">
        <v>2442</v>
      </c>
      <c r="BC5" s="739" t="s">
        <v>2007</v>
      </c>
      <c r="BD5" s="739" t="s">
        <v>2008</v>
      </c>
      <c r="BF5" s="739" t="s">
        <v>1581</v>
      </c>
      <c r="BG5" s="739" t="s">
        <v>2442</v>
      </c>
      <c r="BH5" s="739" t="s">
        <v>2007</v>
      </c>
      <c r="BI5" s="739" t="s">
        <v>2008</v>
      </c>
      <c r="BK5" s="739" t="s">
        <v>2444</v>
      </c>
      <c r="BL5" s="739" t="s">
        <v>1453</v>
      </c>
      <c r="BN5" s="739" t="s">
        <v>2447</v>
      </c>
    </row>
    <row r="6" spans="1:66">
      <c r="A6" s="132"/>
      <c r="B6" s="174"/>
      <c r="C6" s="132"/>
      <c r="D6" s="163"/>
      <c r="E6" s="165" t="s">
        <v>1015</v>
      </c>
      <c r="F6" s="163"/>
      <c r="G6" s="132"/>
      <c r="H6" s="166" t="s">
        <v>47</v>
      </c>
      <c r="I6" s="132"/>
      <c r="J6" s="132"/>
      <c r="K6" s="132"/>
      <c r="L6" s="132"/>
      <c r="M6" s="132"/>
      <c r="N6" s="132"/>
      <c r="O6" s="132"/>
      <c r="P6" s="167" t="s">
        <v>2025</v>
      </c>
      <c r="Q6" s="167"/>
      <c r="R6" s="164"/>
      <c r="S6" s="164"/>
      <c r="T6" s="163" t="s">
        <v>109</v>
      </c>
      <c r="U6" s="164"/>
      <c r="V6" s="164"/>
      <c r="W6" s="230"/>
      <c r="X6" s="132"/>
      <c r="Y6" s="132"/>
      <c r="Z6" s="132"/>
      <c r="AA6" s="132"/>
      <c r="AB6" s="132"/>
      <c r="AC6" s="132"/>
      <c r="AD6" s="132"/>
      <c r="AE6" s="167" t="s">
        <v>2025</v>
      </c>
      <c r="AF6" s="167"/>
      <c r="AG6" s="164"/>
      <c r="AH6" s="164"/>
      <c r="AI6" s="165" t="s">
        <v>110</v>
      </c>
      <c r="AJ6" s="164"/>
      <c r="AK6" s="164"/>
      <c r="AL6" s="230"/>
      <c r="AM6" s="230"/>
      <c r="AN6" s="931"/>
      <c r="AO6" s="929"/>
      <c r="AP6" s="929"/>
      <c r="AQ6" s="931"/>
      <c r="AR6" s="929"/>
      <c r="AT6" s="132"/>
      <c r="AU6" s="132"/>
      <c r="AV6" s="132"/>
      <c r="AW6" s="132"/>
    </row>
    <row r="7" spans="1:66">
      <c r="A7" s="132"/>
      <c r="B7" s="174"/>
      <c r="C7" s="132"/>
      <c r="D7" s="166"/>
      <c r="E7" s="166"/>
      <c r="F7" s="166" t="s">
        <v>46</v>
      </c>
      <c r="G7" s="166"/>
      <c r="H7" s="165" t="s">
        <v>48</v>
      </c>
      <c r="I7" s="132"/>
      <c r="J7" s="165"/>
      <c r="K7" s="165" t="s">
        <v>2020</v>
      </c>
      <c r="L7" s="165"/>
      <c r="M7" s="166"/>
      <c r="N7" s="166" t="s">
        <v>2023</v>
      </c>
      <c r="O7" s="132"/>
      <c r="P7" s="167" t="s">
        <v>2026</v>
      </c>
      <c r="Q7" s="167"/>
      <c r="R7" s="132"/>
      <c r="S7" s="132"/>
      <c r="T7" s="166" t="s">
        <v>616</v>
      </c>
      <c r="U7" s="132"/>
      <c r="V7" s="166" t="s">
        <v>618</v>
      </c>
      <c r="W7" s="230"/>
      <c r="X7" s="132"/>
      <c r="Y7" s="165"/>
      <c r="Z7" s="165" t="s">
        <v>442</v>
      </c>
      <c r="AA7" s="165"/>
      <c r="AB7" s="166"/>
      <c r="AC7" s="166" t="s">
        <v>2023</v>
      </c>
      <c r="AD7" s="132"/>
      <c r="AE7" s="167" t="s">
        <v>2026</v>
      </c>
      <c r="AF7" s="167"/>
      <c r="AG7" s="132"/>
      <c r="AH7" s="132"/>
      <c r="AI7" s="166" t="s">
        <v>616</v>
      </c>
      <c r="AJ7" s="132"/>
      <c r="AK7" s="166" t="s">
        <v>618</v>
      </c>
      <c r="AL7" s="230"/>
      <c r="AM7" s="230"/>
      <c r="AN7" s="932" t="s">
        <v>2415</v>
      </c>
      <c r="AO7" s="929"/>
      <c r="AP7" s="929"/>
      <c r="AQ7" s="931"/>
      <c r="AR7" s="929"/>
      <c r="AT7" s="132"/>
      <c r="AU7" s="132"/>
      <c r="AV7" s="132"/>
      <c r="AW7" s="132"/>
    </row>
    <row r="8" spans="1:66">
      <c r="A8" s="132"/>
      <c r="B8" s="174"/>
      <c r="C8" s="132"/>
      <c r="D8" s="165" t="s">
        <v>45</v>
      </c>
      <c r="E8" s="166"/>
      <c r="F8" s="165" t="s">
        <v>1028</v>
      </c>
      <c r="G8" s="166"/>
      <c r="H8" s="166" t="s">
        <v>2016</v>
      </c>
      <c r="I8" s="132"/>
      <c r="J8" s="165" t="s">
        <v>45</v>
      </c>
      <c r="K8" s="166"/>
      <c r="L8" s="165" t="s">
        <v>1041</v>
      </c>
      <c r="M8" s="166"/>
      <c r="N8" s="165" t="s">
        <v>1970</v>
      </c>
      <c r="O8" s="132"/>
      <c r="P8" s="168" t="s">
        <v>2259</v>
      </c>
      <c r="Q8" s="168"/>
      <c r="R8" s="165" t="s">
        <v>45</v>
      </c>
      <c r="S8" s="132"/>
      <c r="T8" s="165" t="s">
        <v>1456</v>
      </c>
      <c r="U8" s="132"/>
      <c r="V8" s="165" t="s">
        <v>1457</v>
      </c>
      <c r="W8" s="230"/>
      <c r="X8" s="132"/>
      <c r="Y8" s="165" t="s">
        <v>45</v>
      </c>
      <c r="Z8" s="166"/>
      <c r="AA8" s="165" t="s">
        <v>1041</v>
      </c>
      <c r="AB8" s="166"/>
      <c r="AC8" s="165" t="s">
        <v>1970</v>
      </c>
      <c r="AD8" s="132"/>
      <c r="AE8" s="168" t="s">
        <v>108</v>
      </c>
      <c r="AF8" s="168"/>
      <c r="AG8" s="165" t="s">
        <v>45</v>
      </c>
      <c r="AH8" s="132"/>
      <c r="AI8" s="165" t="s">
        <v>103</v>
      </c>
      <c r="AJ8" s="132"/>
      <c r="AK8" s="165" t="s">
        <v>1457</v>
      </c>
      <c r="AL8" s="230"/>
      <c r="AM8" s="230"/>
      <c r="AN8" s="932" t="s">
        <v>2416</v>
      </c>
      <c r="AO8" s="966" t="s">
        <v>2412</v>
      </c>
      <c r="AP8" s="966"/>
      <c r="AQ8" s="932" t="s">
        <v>1375</v>
      </c>
      <c r="AR8" s="966" t="s">
        <v>2412</v>
      </c>
      <c r="AT8" s="132"/>
      <c r="AU8" s="132"/>
      <c r="AV8" s="132"/>
      <c r="AW8" s="132"/>
    </row>
    <row r="9" spans="1:66">
      <c r="A9" s="132"/>
      <c r="B9" s="174"/>
      <c r="C9" s="132"/>
      <c r="D9" s="277" t="s">
        <v>2018</v>
      </c>
      <c r="E9" s="166"/>
      <c r="F9" s="277" t="s">
        <v>2019</v>
      </c>
      <c r="G9" s="166"/>
      <c r="H9" s="277" t="s">
        <v>2017</v>
      </c>
      <c r="I9" s="132"/>
      <c r="J9" s="277" t="s">
        <v>2021</v>
      </c>
      <c r="K9" s="166"/>
      <c r="L9" s="277" t="s">
        <v>2022</v>
      </c>
      <c r="M9" s="166"/>
      <c r="N9" s="277" t="s">
        <v>2024</v>
      </c>
      <c r="O9" s="132"/>
      <c r="P9" s="258" t="s">
        <v>2260</v>
      </c>
      <c r="Q9" s="258"/>
      <c r="R9" s="277" t="s">
        <v>615</v>
      </c>
      <c r="S9" s="132"/>
      <c r="T9" s="277" t="s">
        <v>617</v>
      </c>
      <c r="U9" s="132"/>
      <c r="V9" s="277" t="s">
        <v>619</v>
      </c>
      <c r="W9" s="230"/>
      <c r="X9" s="132"/>
      <c r="Y9" s="277" t="s">
        <v>100</v>
      </c>
      <c r="Z9" s="166"/>
      <c r="AA9" s="277" t="s">
        <v>101</v>
      </c>
      <c r="AB9" s="166"/>
      <c r="AC9" s="277" t="s">
        <v>102</v>
      </c>
      <c r="AD9" s="132"/>
      <c r="AE9" s="258" t="s">
        <v>104</v>
      </c>
      <c r="AF9" s="258"/>
      <c r="AG9" s="277" t="s">
        <v>105</v>
      </c>
      <c r="AH9" s="132"/>
      <c r="AI9" s="277" t="s">
        <v>106</v>
      </c>
      <c r="AJ9" s="132"/>
      <c r="AK9" s="277" t="s">
        <v>107</v>
      </c>
      <c r="AL9" s="230"/>
      <c r="AM9" s="230"/>
      <c r="AN9" s="145"/>
      <c r="AO9" s="967"/>
      <c r="AP9" s="967"/>
      <c r="AQ9" s="145"/>
      <c r="AR9" s="967"/>
      <c r="AT9" s="132"/>
      <c r="AU9" s="132"/>
      <c r="AV9" s="166" t="s">
        <v>2417</v>
      </c>
      <c r="AW9" s="166" t="s">
        <v>2418</v>
      </c>
    </row>
    <row r="10" spans="1:66">
      <c r="A10" s="132"/>
      <c r="B10" s="174"/>
      <c r="C10" s="132"/>
      <c r="D10" s="132"/>
      <c r="E10" s="132"/>
      <c r="F10" s="132"/>
      <c r="G10" s="132"/>
      <c r="H10" s="132"/>
      <c r="I10" s="132"/>
      <c r="J10" s="132"/>
      <c r="K10" s="132"/>
      <c r="L10" s="132"/>
      <c r="M10" s="132"/>
      <c r="N10" s="132"/>
      <c r="O10" s="132"/>
      <c r="P10" s="138"/>
      <c r="Q10" s="138"/>
      <c r="R10" s="132"/>
      <c r="S10" s="132"/>
      <c r="T10" s="132"/>
      <c r="U10" s="132"/>
      <c r="V10" s="132"/>
      <c r="W10" s="230"/>
      <c r="X10" s="132"/>
      <c r="Y10" s="132"/>
      <c r="Z10" s="132"/>
      <c r="AA10" s="132"/>
      <c r="AB10" s="132"/>
      <c r="AC10" s="132"/>
      <c r="AD10" s="132"/>
      <c r="AE10" s="138"/>
      <c r="AF10" s="138"/>
      <c r="AG10" s="132"/>
      <c r="AH10" s="132"/>
      <c r="AI10" s="132"/>
      <c r="AJ10" s="132"/>
      <c r="AK10" s="132"/>
      <c r="AL10" s="230"/>
      <c r="AM10" s="230"/>
      <c r="AN10" s="932"/>
      <c r="AO10" s="966"/>
      <c r="AP10" s="966"/>
      <c r="AQ10" s="932"/>
      <c r="AR10" s="966"/>
      <c r="AT10" s="132"/>
      <c r="AU10" s="132"/>
      <c r="AV10" s="132"/>
      <c r="AW10" s="132"/>
    </row>
    <row r="11" spans="1:66" hidden="1" outlineLevel="1" collapsed="1">
      <c r="A11" s="169"/>
      <c r="B11" s="175">
        <v>1990</v>
      </c>
      <c r="C11" s="132"/>
      <c r="D11" s="132"/>
      <c r="E11" s="132"/>
      <c r="F11" s="132"/>
      <c r="G11" s="132"/>
      <c r="H11" s="132"/>
      <c r="I11" s="132"/>
      <c r="J11" s="132"/>
      <c r="K11" s="132"/>
      <c r="L11" s="132"/>
      <c r="M11" s="132"/>
      <c r="N11" s="132"/>
      <c r="O11" s="132"/>
      <c r="P11" s="138"/>
      <c r="Q11" s="138"/>
      <c r="R11" s="132"/>
      <c r="S11" s="132"/>
      <c r="T11" s="132"/>
      <c r="U11" s="132"/>
      <c r="V11" s="132"/>
      <c r="W11" s="230"/>
      <c r="X11" s="132"/>
      <c r="Y11" s="132"/>
      <c r="Z11" s="132"/>
      <c r="AA11" s="132"/>
      <c r="AB11" s="132"/>
      <c r="AC11" s="132"/>
      <c r="AD11" s="132"/>
      <c r="AE11" s="138"/>
      <c r="AF11" s="138"/>
      <c r="AG11" s="132"/>
      <c r="AH11" s="132"/>
      <c r="AI11" s="132"/>
      <c r="AJ11" s="132"/>
      <c r="AK11" s="132"/>
      <c r="AL11" s="230"/>
      <c r="AM11" s="230"/>
      <c r="AN11" s="931"/>
      <c r="AO11" s="968"/>
      <c r="AP11" s="968"/>
      <c r="AQ11" s="931"/>
      <c r="AR11" s="968"/>
      <c r="AT11" s="132"/>
      <c r="AU11" s="132"/>
      <c r="AV11" s="132"/>
      <c r="AW11" s="132"/>
    </row>
    <row r="12" spans="1:66" hidden="1" outlineLevel="1">
      <c r="A12" s="132" t="str">
        <f>$A$40</f>
        <v>1Q</v>
      </c>
      <c r="B12" s="174" t="str">
        <f>$B$40</f>
        <v>Apr</v>
      </c>
      <c r="C12" s="132"/>
      <c r="D12" s="145">
        <f>'qtrP&amp;L'!G10</f>
        <v>0</v>
      </c>
      <c r="E12" s="132" t="s">
        <v>1970</v>
      </c>
      <c r="F12" s="217">
        <f>'qtrP&amp;L'!H10</f>
        <v>0</v>
      </c>
      <c r="G12" s="132" t="s">
        <v>1970</v>
      </c>
      <c r="H12" s="145">
        <f>D12-F12</f>
        <v>0</v>
      </c>
      <c r="I12" s="230" t="s">
        <v>1970</v>
      </c>
      <c r="J12" s="725">
        <f>Stores!D30+Stores!AX30</f>
        <v>16</v>
      </c>
      <c r="K12" s="132"/>
      <c r="L12" s="177">
        <f>AVERAGE(J12,152)</f>
        <v>84</v>
      </c>
      <c r="M12" s="132"/>
      <c r="N12" s="145"/>
      <c r="O12" s="230" t="s">
        <v>1970</v>
      </c>
      <c r="P12" s="259"/>
      <c r="Q12" s="138" t="s">
        <v>1970</v>
      </c>
      <c r="R12" s="141">
        <f>'qtrP&amp;L'!F$10</f>
        <v>0</v>
      </c>
      <c r="S12" s="132"/>
      <c r="T12" s="143">
        <f>R12/L12</f>
        <v>0</v>
      </c>
      <c r="U12" s="132"/>
      <c r="V12" s="217"/>
      <c r="W12" s="230" t="s">
        <v>1970</v>
      </c>
      <c r="X12" s="132"/>
      <c r="Y12" s="237"/>
      <c r="Z12" s="132"/>
      <c r="AA12" s="254"/>
      <c r="AB12" s="132"/>
      <c r="AC12" s="145"/>
      <c r="AD12" s="230"/>
      <c r="AE12" s="259"/>
      <c r="AF12" s="138" t="s">
        <v>1970</v>
      </c>
      <c r="AG12" s="141">
        <f>+R12</f>
        <v>0</v>
      </c>
      <c r="AH12" s="132"/>
      <c r="AI12" s="244"/>
      <c r="AJ12" s="132"/>
      <c r="AK12" s="145"/>
      <c r="AL12" s="230" t="s">
        <v>1970</v>
      </c>
      <c r="AM12" s="230"/>
      <c r="AN12" s="145"/>
      <c r="AO12" s="967"/>
      <c r="AP12" s="967"/>
      <c r="AQ12" s="145"/>
      <c r="AR12" s="967"/>
      <c r="AT12" s="132"/>
      <c r="AU12" s="132"/>
      <c r="AV12" s="132"/>
      <c r="AW12" s="132"/>
    </row>
    <row r="13" spans="1:66" hidden="1" outlineLevel="1">
      <c r="A13" s="132" t="str">
        <f>$A$41</f>
        <v>2Q</v>
      </c>
      <c r="B13" s="174" t="str">
        <f>$B$41</f>
        <v>Jul</v>
      </c>
      <c r="C13" s="132"/>
      <c r="D13" s="145">
        <f>'qtrP&amp;L'!G11</f>
        <v>0</v>
      </c>
      <c r="E13" s="132"/>
      <c r="F13" s="217">
        <f>'qtrP&amp;L'!H11</f>
        <v>0</v>
      </c>
      <c r="G13" s="132"/>
      <c r="H13" s="145">
        <f>D13-F13</f>
        <v>0</v>
      </c>
      <c r="I13" s="230"/>
      <c r="J13" s="725">
        <f>Stores!D31+Stores!AX31</f>
        <v>18</v>
      </c>
      <c r="K13" s="132"/>
      <c r="L13" s="177">
        <f>AVERAGE(J13,J12)</f>
        <v>17</v>
      </c>
      <c r="M13" s="132"/>
      <c r="N13" s="145"/>
      <c r="O13" s="230"/>
      <c r="P13" s="259"/>
      <c r="Q13" s="138"/>
      <c r="R13" s="142">
        <f>'qtrP&amp;L'!F$11</f>
        <v>0</v>
      </c>
      <c r="S13" s="132"/>
      <c r="T13" s="147">
        <f>R13/L13</f>
        <v>0</v>
      </c>
      <c r="U13" s="132"/>
      <c r="V13" s="217"/>
      <c r="W13" s="230"/>
      <c r="X13" s="132"/>
      <c r="Y13" s="237"/>
      <c r="Z13" s="132"/>
      <c r="AA13" s="254"/>
      <c r="AB13" s="132"/>
      <c r="AC13" s="145"/>
      <c r="AD13" s="230"/>
      <c r="AE13" s="259"/>
      <c r="AF13" s="138"/>
      <c r="AG13" s="142">
        <f>+R13</f>
        <v>0</v>
      </c>
      <c r="AH13" s="132"/>
      <c r="AI13" s="245"/>
      <c r="AJ13" s="132"/>
      <c r="AK13" s="217"/>
      <c r="AL13" s="230"/>
      <c r="AM13" s="230"/>
      <c r="AN13" s="145"/>
      <c r="AO13" s="967"/>
      <c r="AP13" s="967"/>
      <c r="AQ13" s="145"/>
      <c r="AR13" s="967"/>
      <c r="AT13" s="132"/>
      <c r="AU13" s="132"/>
      <c r="AV13" s="132"/>
      <c r="AW13" s="132"/>
    </row>
    <row r="14" spans="1:66" hidden="1" outlineLevel="1">
      <c r="A14" s="132" t="str">
        <f>$A$42</f>
        <v>3Q</v>
      </c>
      <c r="B14" s="174" t="str">
        <f>$B$42</f>
        <v>Oct</v>
      </c>
      <c r="C14" s="132"/>
      <c r="D14" s="145">
        <f>'qtrP&amp;L'!G12</f>
        <v>0</v>
      </c>
      <c r="E14" s="132"/>
      <c r="F14" s="217">
        <f>'qtrP&amp;L'!H12</f>
        <v>0</v>
      </c>
      <c r="G14" s="132"/>
      <c r="H14" s="145">
        <f>D14-F14</f>
        <v>0</v>
      </c>
      <c r="I14" s="230"/>
      <c r="J14" s="725">
        <f>Stores!D32+Stores!AX32</f>
        <v>19</v>
      </c>
      <c r="K14" s="132"/>
      <c r="L14" s="177">
        <f>AVERAGE(J14,J13)</f>
        <v>18.5</v>
      </c>
      <c r="M14" s="132"/>
      <c r="N14" s="145"/>
      <c r="O14" s="230"/>
      <c r="P14" s="259"/>
      <c r="Q14" s="138"/>
      <c r="R14" s="142">
        <f>'qtrP&amp;L'!F$12</f>
        <v>0</v>
      </c>
      <c r="S14" s="132"/>
      <c r="T14" s="147">
        <f>R14/L14</f>
        <v>0</v>
      </c>
      <c r="U14" s="132"/>
      <c r="V14" s="217"/>
      <c r="W14" s="230"/>
      <c r="X14" s="132"/>
      <c r="Y14" s="237"/>
      <c r="Z14" s="132"/>
      <c r="AA14" s="254"/>
      <c r="AB14" s="132"/>
      <c r="AC14" s="145"/>
      <c r="AD14" s="230"/>
      <c r="AE14" s="259"/>
      <c r="AF14" s="138"/>
      <c r="AG14" s="142">
        <f>+R14</f>
        <v>0</v>
      </c>
      <c r="AH14" s="132"/>
      <c r="AI14" s="245"/>
      <c r="AJ14" s="132"/>
      <c r="AK14" s="217"/>
      <c r="AL14" s="230"/>
      <c r="AM14" s="230"/>
      <c r="AN14" s="145"/>
      <c r="AO14" s="967"/>
      <c r="AP14" s="967"/>
      <c r="AQ14" s="145"/>
      <c r="AR14" s="967"/>
      <c r="AT14" s="132"/>
      <c r="AU14" s="132"/>
      <c r="AV14" s="132"/>
      <c r="AW14" s="132"/>
    </row>
    <row r="15" spans="1:66" hidden="1" outlineLevel="1">
      <c r="A15" s="132" t="str">
        <f>$A$43</f>
        <v>4Q</v>
      </c>
      <c r="B15" s="174" t="str">
        <f>$B$43</f>
        <v>Jan</v>
      </c>
      <c r="C15" s="132"/>
      <c r="D15" s="176">
        <f>'qtrP&amp;L'!G13</f>
        <v>0</v>
      </c>
      <c r="E15" s="132"/>
      <c r="F15" s="218">
        <f>'qtrP&amp;L'!H13</f>
        <v>0</v>
      </c>
      <c r="G15" s="132"/>
      <c r="H15" s="176">
        <f>D15-F15</f>
        <v>0</v>
      </c>
      <c r="I15" s="230"/>
      <c r="J15" s="725">
        <f>Stores!D33+Stores!AX33</f>
        <v>20</v>
      </c>
      <c r="K15" s="132"/>
      <c r="L15" s="178">
        <f>AVERAGE(J15,J14)</f>
        <v>19.5</v>
      </c>
      <c r="M15" s="132"/>
      <c r="N15" s="176"/>
      <c r="O15" s="230"/>
      <c r="P15" s="178"/>
      <c r="Q15" s="138"/>
      <c r="R15" s="146">
        <f>'qtrP&amp;L'!F$13</f>
        <v>0</v>
      </c>
      <c r="S15" s="132"/>
      <c r="T15" s="148">
        <f>R15/L15</f>
        <v>0</v>
      </c>
      <c r="U15" s="132"/>
      <c r="V15" s="218"/>
      <c r="W15" s="230"/>
      <c r="X15" s="132"/>
      <c r="Y15" s="236">
        <f>yrSales!B$30</f>
        <v>0</v>
      </c>
      <c r="Z15" s="132"/>
      <c r="AA15" s="255"/>
      <c r="AB15" s="132"/>
      <c r="AC15" s="176"/>
      <c r="AD15" s="230"/>
      <c r="AE15" s="178"/>
      <c r="AF15" s="138"/>
      <c r="AG15" s="146">
        <f>+R15</f>
        <v>0</v>
      </c>
      <c r="AH15" s="132"/>
      <c r="AI15" s="257"/>
      <c r="AJ15" s="132"/>
      <c r="AK15" s="218"/>
      <c r="AL15" s="230"/>
      <c r="AM15" s="230"/>
      <c r="AN15" s="145"/>
      <c r="AO15" s="967"/>
      <c r="AP15" s="967"/>
      <c r="AQ15" s="145"/>
      <c r="AR15" s="967"/>
      <c r="AT15" s="132"/>
      <c r="AU15" s="132"/>
      <c r="AV15" s="132"/>
      <c r="AW15" s="132"/>
    </row>
    <row r="16" spans="1:66" hidden="1" outlineLevel="1">
      <c r="A16" s="132"/>
      <c r="B16" s="174" t="str">
        <f>$B$44</f>
        <v>Year</v>
      </c>
      <c r="C16" s="132"/>
      <c r="D16" s="145">
        <f>+'qtrP&amp;L'!G14</f>
        <v>0</v>
      </c>
      <c r="E16" s="132"/>
      <c r="F16" s="217">
        <f>'qtrP&amp;L'!H14</f>
        <v>0</v>
      </c>
      <c r="G16" s="132"/>
      <c r="H16" s="145">
        <f>D16-F16</f>
        <v>0</v>
      </c>
      <c r="I16" s="230"/>
      <c r="J16" s="725">
        <f>Stores!D34+Stores!AX34</f>
        <v>20</v>
      </c>
      <c r="K16" s="132"/>
      <c r="L16" s="177">
        <f>AVERAGE(L12:L15)</f>
        <v>34.75</v>
      </c>
      <c r="M16" s="132"/>
      <c r="N16" s="145"/>
      <c r="O16" s="230"/>
      <c r="P16" s="259"/>
      <c r="Q16" s="138"/>
      <c r="R16" s="141">
        <f>SUM(R12:R15)</f>
        <v>0</v>
      </c>
      <c r="S16" s="132"/>
      <c r="T16" s="143">
        <f>SUM(T12:T15)</f>
        <v>0</v>
      </c>
      <c r="U16" s="132"/>
      <c r="V16" s="217"/>
      <c r="W16" s="230"/>
      <c r="X16" s="132"/>
      <c r="Y16" s="139"/>
      <c r="Z16" s="132"/>
      <c r="AA16" s="254"/>
      <c r="AB16" s="132"/>
      <c r="AC16" s="145"/>
      <c r="AD16" s="230"/>
      <c r="AE16" s="259"/>
      <c r="AF16" s="138"/>
      <c r="AG16" s="141">
        <f>SUM(AG12:AG15)</f>
        <v>0</v>
      </c>
      <c r="AH16" s="132"/>
      <c r="AI16" s="244"/>
      <c r="AJ16" s="132"/>
      <c r="AK16" s="217"/>
      <c r="AL16" s="230"/>
      <c r="AM16" s="230"/>
      <c r="AN16" s="145"/>
      <c r="AO16" s="967"/>
      <c r="AP16" s="967"/>
      <c r="AQ16" s="145"/>
      <c r="AR16" s="967"/>
      <c r="AT16" s="132"/>
      <c r="AU16" s="132"/>
      <c r="AV16" s="132"/>
      <c r="AW16" s="132"/>
    </row>
    <row r="17" spans="1:49" hidden="1" outlineLevel="1">
      <c r="A17" s="132"/>
      <c r="B17" s="174"/>
      <c r="C17" s="132"/>
      <c r="D17" s="132"/>
      <c r="E17" s="132"/>
      <c r="F17" s="132"/>
      <c r="G17" s="132"/>
      <c r="H17" s="132"/>
      <c r="I17" s="230"/>
      <c r="J17" s="139"/>
      <c r="K17" s="132"/>
      <c r="L17" s="132"/>
      <c r="M17" s="132"/>
      <c r="N17" s="132"/>
      <c r="O17" s="230"/>
      <c r="P17" s="138"/>
      <c r="Q17" s="138"/>
      <c r="R17" s="132"/>
      <c r="S17" s="132"/>
      <c r="T17" s="132"/>
      <c r="U17" s="132"/>
      <c r="V17" s="132"/>
      <c r="W17" s="230"/>
      <c r="X17" s="132"/>
      <c r="Y17" s="139"/>
      <c r="Z17" s="132"/>
      <c r="AA17" s="132"/>
      <c r="AB17" s="132"/>
      <c r="AC17" s="132"/>
      <c r="AD17" s="230"/>
      <c r="AE17" s="138"/>
      <c r="AF17" s="138"/>
      <c r="AG17" s="132"/>
      <c r="AH17" s="132"/>
      <c r="AI17" s="132"/>
      <c r="AJ17" s="132"/>
      <c r="AK17" s="132"/>
      <c r="AL17" s="230"/>
      <c r="AM17" s="230"/>
      <c r="AN17" s="145"/>
      <c r="AO17" s="967"/>
      <c r="AP17" s="967"/>
      <c r="AQ17" s="145"/>
      <c r="AR17" s="967"/>
      <c r="AT17" s="132"/>
      <c r="AU17" s="132"/>
      <c r="AV17" s="132"/>
      <c r="AW17" s="132"/>
    </row>
    <row r="18" spans="1:49" hidden="1" outlineLevel="1" collapsed="1">
      <c r="A18" s="169"/>
      <c r="B18" s="171">
        <f>B11+1</f>
        <v>1991</v>
      </c>
      <c r="C18" s="132"/>
      <c r="D18" s="132"/>
      <c r="E18" s="132"/>
      <c r="F18" s="132"/>
      <c r="G18" s="132"/>
      <c r="H18" s="132"/>
      <c r="I18" s="132"/>
      <c r="J18" s="132"/>
      <c r="K18" s="132"/>
      <c r="L18" s="132"/>
      <c r="M18" s="132"/>
      <c r="N18" s="132"/>
      <c r="O18" s="132"/>
      <c r="P18" s="138"/>
      <c r="Q18" s="138"/>
      <c r="R18" s="132"/>
      <c r="S18" s="132"/>
      <c r="T18" s="132"/>
      <c r="U18" s="132"/>
      <c r="V18" s="132"/>
      <c r="W18" s="230"/>
      <c r="X18" s="132"/>
      <c r="Y18" s="132"/>
      <c r="Z18" s="132"/>
      <c r="AA18" s="132"/>
      <c r="AB18" s="132"/>
      <c r="AC18" s="132"/>
      <c r="AD18" s="132"/>
      <c r="AE18" s="138"/>
      <c r="AF18" s="138"/>
      <c r="AG18" s="132"/>
      <c r="AH18" s="132"/>
      <c r="AI18" s="132"/>
      <c r="AJ18" s="132"/>
      <c r="AK18" s="132"/>
      <c r="AL18" s="230"/>
      <c r="AM18" s="230"/>
      <c r="AN18" s="145"/>
      <c r="AO18" s="967"/>
      <c r="AP18" s="967"/>
      <c r="AQ18" s="145"/>
      <c r="AR18" s="967"/>
      <c r="AT18" s="132"/>
      <c r="AU18" s="132"/>
      <c r="AV18" s="132"/>
      <c r="AW18" s="132"/>
    </row>
    <row r="19" spans="1:49" hidden="1" outlineLevel="1">
      <c r="A19" s="132" t="str">
        <f>$A$40</f>
        <v>1Q</v>
      </c>
      <c r="B19" s="174" t="str">
        <f>$B$40</f>
        <v>Apr</v>
      </c>
      <c r="C19" s="132"/>
      <c r="D19" s="288" t="e">
        <f>(R19/R12-1)*100</f>
        <v>#DIV/0!</v>
      </c>
      <c r="E19" s="256" t="s">
        <v>1970</v>
      </c>
      <c r="F19" s="297">
        <f>'qtrP&amp;L'!L$10</f>
        <v>0</v>
      </c>
      <c r="G19" s="132" t="s">
        <v>1970</v>
      </c>
      <c r="H19" s="145" t="e">
        <f>D19-F19</f>
        <v>#DIV/0!</v>
      </c>
      <c r="I19" s="230" t="s">
        <v>1970</v>
      </c>
      <c r="J19" s="725">
        <f>Stores!D37+Stores!AX37</f>
        <v>21</v>
      </c>
      <c r="K19" s="132"/>
      <c r="L19" s="132">
        <f>AVERAGE(J19,J15)</f>
        <v>20.5</v>
      </c>
      <c r="M19" s="132"/>
      <c r="N19" s="145">
        <f>(L19/L12-1)*100</f>
        <v>-75.595238095238088</v>
      </c>
      <c r="O19" s="230" t="s">
        <v>1970</v>
      </c>
      <c r="P19" s="259" t="e">
        <f>H19/N19*100</f>
        <v>#DIV/0!</v>
      </c>
      <c r="Q19" s="138" t="s">
        <v>1970</v>
      </c>
      <c r="R19" s="296">
        <f>'qtrP&amp;L'!J10-AN19-AQ19</f>
        <v>97.105000000000004</v>
      </c>
      <c r="S19" s="132"/>
      <c r="T19" s="143">
        <f>R19/L19</f>
        <v>4.7368292682926834</v>
      </c>
      <c r="U19" s="132"/>
      <c r="V19" s="217" t="e">
        <f>(T19/T12-1)*100</f>
        <v>#DIV/0!</v>
      </c>
      <c r="W19" s="230" t="s">
        <v>1970</v>
      </c>
      <c r="X19" s="132"/>
      <c r="Y19" s="237"/>
      <c r="Z19" s="132"/>
      <c r="AA19" s="254"/>
      <c r="AB19" s="132"/>
      <c r="AC19" s="145"/>
      <c r="AD19" s="230"/>
      <c r="AE19" s="259"/>
      <c r="AF19" s="138" t="s">
        <v>1970</v>
      </c>
      <c r="AG19" s="141">
        <f>+R19</f>
        <v>97.105000000000004</v>
      </c>
      <c r="AH19" s="132"/>
      <c r="AI19" s="244"/>
      <c r="AJ19" s="132"/>
      <c r="AK19" s="145"/>
      <c r="AL19" s="230" t="s">
        <v>1970</v>
      </c>
      <c r="AM19" s="230"/>
      <c r="AN19" s="145">
        <f>'segSales&amp;comps'!AM21</f>
        <v>0</v>
      </c>
      <c r="AO19" s="969">
        <f>'segSales&amp;comps'!AN21</f>
        <v>0</v>
      </c>
      <c r="AP19" s="969"/>
      <c r="AQ19" s="145"/>
      <c r="AR19" s="969"/>
      <c r="AT19" s="132"/>
      <c r="AU19" s="132"/>
      <c r="AV19" s="132"/>
      <c r="AW19" s="132"/>
    </row>
    <row r="20" spans="1:49" hidden="1" outlineLevel="1">
      <c r="A20" s="132" t="str">
        <f>$A$41</f>
        <v>2Q</v>
      </c>
      <c r="B20" s="174" t="str">
        <f>$B$41</f>
        <v>Jul</v>
      </c>
      <c r="C20" s="132"/>
      <c r="D20" s="288" t="e">
        <f>(R20/R13-1)*100</f>
        <v>#DIV/0!</v>
      </c>
      <c r="E20" s="256"/>
      <c r="F20" s="297">
        <f>'qtrP&amp;L'!L$11</f>
        <v>0</v>
      </c>
      <c r="G20" s="132"/>
      <c r="H20" s="145" t="e">
        <f>D20-F20</f>
        <v>#DIV/0!</v>
      </c>
      <c r="I20" s="230"/>
      <c r="J20" s="725">
        <f>Stores!D38+Stores!AX38</f>
        <v>23</v>
      </c>
      <c r="K20" s="132"/>
      <c r="L20" s="177">
        <f>AVERAGE(J20,J19)</f>
        <v>22</v>
      </c>
      <c r="M20" s="132"/>
      <c r="N20" s="145">
        <f>(L20/L13-1)*100</f>
        <v>29.411764705882359</v>
      </c>
      <c r="O20" s="230"/>
      <c r="P20" s="259" t="e">
        <f>H20/N20*100</f>
        <v>#DIV/0!</v>
      </c>
      <c r="Q20" s="138"/>
      <c r="R20" s="315">
        <f>'qtrP&amp;L'!J11-AN20-AQ20</f>
        <v>101.44514814814815</v>
      </c>
      <c r="S20" s="132"/>
      <c r="T20" s="147">
        <f>R20/L20</f>
        <v>4.6111430976430974</v>
      </c>
      <c r="U20" s="132"/>
      <c r="V20" s="217" t="e">
        <f>(T20/T13-1)*100</f>
        <v>#DIV/0!</v>
      </c>
      <c r="W20" s="230"/>
      <c r="X20" s="132"/>
      <c r="Y20" s="237"/>
      <c r="Z20" s="132"/>
      <c r="AA20" s="254"/>
      <c r="AB20" s="132"/>
      <c r="AC20" s="145"/>
      <c r="AD20" s="230"/>
      <c r="AE20" s="259"/>
      <c r="AF20" s="138"/>
      <c r="AG20" s="142">
        <f>+R20</f>
        <v>101.44514814814815</v>
      </c>
      <c r="AH20" s="132"/>
      <c r="AI20" s="245"/>
      <c r="AJ20" s="132"/>
      <c r="AK20" s="217"/>
      <c r="AL20" s="230"/>
      <c r="AM20" s="230"/>
      <c r="AN20" s="145">
        <f>'segSales&amp;comps'!AM22</f>
        <v>17.92685185185185</v>
      </c>
      <c r="AO20" s="969">
        <f>'segSales&amp;comps'!AN22</f>
        <v>0</v>
      </c>
      <c r="AP20" s="969"/>
      <c r="AQ20" s="145"/>
      <c r="AR20" s="969"/>
      <c r="AT20" s="132"/>
      <c r="AU20" s="132"/>
      <c r="AV20" s="132"/>
      <c r="AW20" s="132"/>
    </row>
    <row r="21" spans="1:49" hidden="1" outlineLevel="1">
      <c r="A21" s="132" t="str">
        <f>$A$42</f>
        <v>3Q</v>
      </c>
      <c r="B21" s="174" t="str">
        <f>$B$42</f>
        <v>Oct</v>
      </c>
      <c r="C21" s="132"/>
      <c r="D21" s="288" t="e">
        <f>(R21/R14-1)*100</f>
        <v>#DIV/0!</v>
      </c>
      <c r="E21" s="256"/>
      <c r="F21" s="297">
        <f>'qtrP&amp;L'!L$12</f>
        <v>0</v>
      </c>
      <c r="G21" s="132"/>
      <c r="H21" s="145" t="e">
        <f>D21-F21</f>
        <v>#DIV/0!</v>
      </c>
      <c r="I21" s="230"/>
      <c r="J21" s="725">
        <f>Stores!D39+Stores!AX39</f>
        <v>24</v>
      </c>
      <c r="K21" s="132"/>
      <c r="L21" s="177">
        <f>AVERAGE(J21,J20)</f>
        <v>23.5</v>
      </c>
      <c r="M21" s="132"/>
      <c r="N21" s="145">
        <f>(L21/L14-1)*100</f>
        <v>27.027027027027017</v>
      </c>
      <c r="O21" s="230"/>
      <c r="P21" s="259" t="e">
        <f>H21/N21*100</f>
        <v>#DIV/0!</v>
      </c>
      <c r="Q21" s="138"/>
      <c r="R21" s="315">
        <f>'qtrP&amp;L'!J12-AN21-AQ21</f>
        <v>126.401</v>
      </c>
      <c r="S21" s="132"/>
      <c r="T21" s="147">
        <f>R21/L21</f>
        <v>5.3787659574468085</v>
      </c>
      <c r="U21" s="132"/>
      <c r="V21" s="217" t="e">
        <f>(T21/T14-1)*100</f>
        <v>#DIV/0!</v>
      </c>
      <c r="W21" s="230"/>
      <c r="X21" s="132"/>
      <c r="Y21" s="237"/>
      <c r="Z21" s="132"/>
      <c r="AA21" s="254"/>
      <c r="AB21" s="132"/>
      <c r="AC21" s="145"/>
      <c r="AD21" s="230"/>
      <c r="AE21" s="259"/>
      <c r="AF21" s="138"/>
      <c r="AG21" s="142">
        <f>+R21</f>
        <v>126.401</v>
      </c>
      <c r="AH21" s="132"/>
      <c r="AI21" s="245"/>
      <c r="AJ21" s="132"/>
      <c r="AK21" s="217"/>
      <c r="AL21" s="230"/>
      <c r="AM21" s="230"/>
      <c r="AN21" s="145">
        <f>'segSales&amp;comps'!AM23</f>
        <v>0</v>
      </c>
      <c r="AO21" s="969">
        <f>'segSales&amp;comps'!AN23</f>
        <v>0</v>
      </c>
      <c r="AP21" s="969"/>
      <c r="AQ21" s="145"/>
      <c r="AR21" s="969"/>
      <c r="AT21" s="132"/>
      <c r="AU21" s="132"/>
      <c r="AV21" s="132"/>
      <c r="AW21" s="132"/>
    </row>
    <row r="22" spans="1:49" hidden="1" outlineLevel="1">
      <c r="A22" s="132" t="str">
        <f>$A$43</f>
        <v>4Q</v>
      </c>
      <c r="B22" s="174" t="str">
        <f>$B$43</f>
        <v>Jan</v>
      </c>
      <c r="C22" s="132"/>
      <c r="D22" s="318" t="e">
        <f>(R22/R15-1)*100</f>
        <v>#DIV/0!</v>
      </c>
      <c r="E22" s="256"/>
      <c r="F22" s="298">
        <f>'qtrP&amp;L'!L$13</f>
        <v>0</v>
      </c>
      <c r="G22" s="132"/>
      <c r="H22" s="176" t="e">
        <f>D22-F22</f>
        <v>#DIV/0!</v>
      </c>
      <c r="I22" s="230"/>
      <c r="J22" s="725">
        <f>Stores!D40+Stores!AX40</f>
        <v>25</v>
      </c>
      <c r="K22" s="132"/>
      <c r="L22" s="178">
        <f>AVERAGE(J22,J21)</f>
        <v>24.5</v>
      </c>
      <c r="M22" s="132"/>
      <c r="N22" s="176">
        <f>(L22/L15-1)*100</f>
        <v>25.641025641025639</v>
      </c>
      <c r="O22" s="230"/>
      <c r="P22" s="178" t="e">
        <f>H22/N22*100</f>
        <v>#DIV/0!</v>
      </c>
      <c r="Q22" s="138"/>
      <c r="R22" s="316">
        <f>'qtrP&amp;L'!J13-AN22-AQ22</f>
        <v>119.99674999999999</v>
      </c>
      <c r="S22" s="132"/>
      <c r="T22" s="148">
        <f>R22/L22</f>
        <v>4.8978265306122442</v>
      </c>
      <c r="U22" s="132"/>
      <c r="V22" s="218" t="e">
        <f>(T22/T15-1)*100</f>
        <v>#DIV/0!</v>
      </c>
      <c r="W22" s="230"/>
      <c r="X22" s="132"/>
      <c r="Y22" s="236">
        <f>yrSales!C$30</f>
        <v>0</v>
      </c>
      <c r="Z22" s="132"/>
      <c r="AA22" s="255"/>
      <c r="AB22" s="132"/>
      <c r="AC22" s="176"/>
      <c r="AD22" s="230"/>
      <c r="AE22" s="178"/>
      <c r="AF22" s="138"/>
      <c r="AG22" s="146">
        <f>+R22</f>
        <v>119.99674999999999</v>
      </c>
      <c r="AH22" s="132"/>
      <c r="AI22" s="257"/>
      <c r="AJ22" s="132"/>
      <c r="AK22" s="218"/>
      <c r="AL22" s="230"/>
      <c r="AM22" s="230"/>
      <c r="AN22" s="145">
        <f>'segSales&amp;comps'!AM24</f>
        <v>29.031249999999996</v>
      </c>
      <c r="AO22" s="969">
        <f>'segSales&amp;comps'!AN24</f>
        <v>0</v>
      </c>
      <c r="AP22" s="969"/>
      <c r="AQ22" s="145"/>
      <c r="AR22" s="969"/>
      <c r="AT22" s="132"/>
      <c r="AU22" s="132"/>
      <c r="AV22" s="132"/>
      <c r="AW22" s="132"/>
    </row>
    <row r="23" spans="1:49" hidden="1" outlineLevel="1">
      <c r="A23" s="132"/>
      <c r="B23" s="174" t="str">
        <f>$B$44</f>
        <v>Year</v>
      </c>
      <c r="C23" s="132"/>
      <c r="D23" s="288" t="e">
        <f>(R23/R16-1)*100</f>
        <v>#DIV/0!</v>
      </c>
      <c r="E23" s="256"/>
      <c r="F23" s="297">
        <f>'qtrP&amp;L'!L$14</f>
        <v>0</v>
      </c>
      <c r="G23" s="132"/>
      <c r="H23" s="145" t="e">
        <f>D23-F23</f>
        <v>#DIV/0!</v>
      </c>
      <c r="I23" s="230"/>
      <c r="J23" s="725">
        <f>Stores!D41+Stores!AX41</f>
        <v>25</v>
      </c>
      <c r="K23" s="132"/>
      <c r="L23" s="177">
        <f>AVERAGE(L19:L22)</f>
        <v>22.625</v>
      </c>
      <c r="M23" s="132"/>
      <c r="N23" s="145">
        <f>(L23/L16-1)*100</f>
        <v>-34.892086330935257</v>
      </c>
      <c r="O23" s="230"/>
      <c r="P23" s="259" t="e">
        <f>H23/N23*100</f>
        <v>#DIV/0!</v>
      </c>
      <c r="Q23" s="138"/>
      <c r="R23" s="296">
        <f>SUM(R19:R22)</f>
        <v>444.94789814814817</v>
      </c>
      <c r="S23" s="132"/>
      <c r="T23" s="143">
        <f>SUM(T19:T22)</f>
        <v>19.624564853994833</v>
      </c>
      <c r="U23" s="132"/>
      <c r="V23" s="217" t="e">
        <f>(T23/T16-1)*100</f>
        <v>#DIV/0!</v>
      </c>
      <c r="W23" s="230"/>
      <c r="X23" s="132"/>
      <c r="Y23" s="139"/>
      <c r="Z23" s="132"/>
      <c r="AA23" s="254"/>
      <c r="AB23" s="132"/>
      <c r="AC23" s="145"/>
      <c r="AD23" s="230"/>
      <c r="AE23" s="259"/>
      <c r="AF23" s="138"/>
      <c r="AG23" s="141">
        <f>SUM(AG19:AG22)</f>
        <v>444.94789814814817</v>
      </c>
      <c r="AH23" s="132"/>
      <c r="AI23" s="244"/>
      <c r="AJ23" s="132"/>
      <c r="AK23" s="217"/>
      <c r="AL23" s="230"/>
      <c r="AM23" s="230"/>
      <c r="AN23" s="145">
        <f>'segSales&amp;comps'!AM25</f>
        <v>82.147706422018345</v>
      </c>
      <c r="AO23" s="969">
        <f>'segSales&amp;comps'!AN25</f>
        <v>0</v>
      </c>
      <c r="AP23" s="969"/>
      <c r="AQ23" s="145"/>
      <c r="AR23" s="969"/>
      <c r="AT23" s="132"/>
      <c r="AU23" s="132"/>
      <c r="AV23" s="132"/>
      <c r="AW23" s="132"/>
    </row>
    <row r="24" spans="1:49" hidden="1" outlineLevel="1">
      <c r="A24" s="132"/>
      <c r="B24" s="174"/>
      <c r="C24" s="132"/>
      <c r="D24" s="256"/>
      <c r="E24" s="256"/>
      <c r="F24" s="256"/>
      <c r="G24" s="132"/>
      <c r="H24" s="132"/>
      <c r="I24" s="230"/>
      <c r="J24" s="139"/>
      <c r="K24" s="132"/>
      <c r="L24" s="132"/>
      <c r="M24" s="132"/>
      <c r="N24" s="132"/>
      <c r="O24" s="230"/>
      <c r="P24" s="138"/>
      <c r="Q24" s="138"/>
      <c r="R24" s="256"/>
      <c r="S24" s="132"/>
      <c r="T24" s="132"/>
      <c r="U24" s="132"/>
      <c r="V24" s="132"/>
      <c r="W24" s="230"/>
      <c r="X24" s="132"/>
      <c r="Y24" s="139"/>
      <c r="Z24" s="132"/>
      <c r="AA24" s="132"/>
      <c r="AB24" s="132"/>
      <c r="AC24" s="132"/>
      <c r="AD24" s="230"/>
      <c r="AE24" s="138"/>
      <c r="AF24" s="138"/>
      <c r="AG24" s="132"/>
      <c r="AH24" s="132"/>
      <c r="AI24" s="132"/>
      <c r="AJ24" s="132"/>
      <c r="AK24" s="132"/>
      <c r="AL24" s="230"/>
      <c r="AM24" s="230"/>
      <c r="AN24" s="145"/>
      <c r="AO24" s="967"/>
      <c r="AP24" s="967"/>
      <c r="AQ24" s="145"/>
      <c r="AR24" s="967"/>
      <c r="AT24" s="132"/>
      <c r="AU24" s="132"/>
      <c r="AV24" s="132"/>
      <c r="AW24" s="132"/>
    </row>
    <row r="25" spans="1:49" hidden="1" outlineLevel="1" collapsed="1">
      <c r="A25" s="169"/>
      <c r="B25" s="171">
        <f>B18+1</f>
        <v>1992</v>
      </c>
      <c r="C25" s="132"/>
      <c r="D25" s="256"/>
      <c r="E25" s="256"/>
      <c r="F25" s="256"/>
      <c r="G25" s="132"/>
      <c r="H25" s="132"/>
      <c r="I25" s="132"/>
      <c r="J25" s="132"/>
      <c r="K25" s="132"/>
      <c r="L25" s="132"/>
      <c r="M25" s="132"/>
      <c r="N25" s="132"/>
      <c r="O25" s="132"/>
      <c r="P25" s="138"/>
      <c r="Q25" s="138"/>
      <c r="R25" s="256"/>
      <c r="S25" s="132"/>
      <c r="T25" s="132"/>
      <c r="U25" s="132"/>
      <c r="V25" s="132"/>
      <c r="W25" s="230"/>
      <c r="X25" s="132"/>
      <c r="Y25" s="132"/>
      <c r="Z25" s="132"/>
      <c r="AA25" s="132"/>
      <c r="AB25" s="132"/>
      <c r="AC25" s="132"/>
      <c r="AD25" s="132"/>
      <c r="AE25" s="138"/>
      <c r="AF25" s="138"/>
      <c r="AG25" s="132"/>
      <c r="AH25" s="132"/>
      <c r="AI25" s="132"/>
      <c r="AJ25" s="132"/>
      <c r="AK25" s="132"/>
      <c r="AL25" s="230"/>
      <c r="AM25" s="230"/>
      <c r="AN25" s="145"/>
      <c r="AO25" s="967"/>
      <c r="AP25" s="967"/>
      <c r="AQ25" s="145"/>
      <c r="AR25" s="967"/>
      <c r="AT25" s="132"/>
      <c r="AU25" s="132"/>
      <c r="AV25" s="132"/>
      <c r="AW25" s="132"/>
    </row>
    <row r="26" spans="1:49" hidden="1" outlineLevel="1">
      <c r="A26" s="132" t="str">
        <f>$A$40</f>
        <v>1Q</v>
      </c>
      <c r="B26" s="174" t="str">
        <f>$B$40</f>
        <v>Apr</v>
      </c>
      <c r="C26" s="132"/>
      <c r="D26" s="288">
        <f>(R26/R19-1)*100</f>
        <v>-7.5475001287266252</v>
      </c>
      <c r="E26" s="256" t="s">
        <v>1970</v>
      </c>
      <c r="F26" s="297">
        <f>'qtrP&amp;L'!P$10</f>
        <v>0</v>
      </c>
      <c r="G26" s="132" t="s">
        <v>1970</v>
      </c>
      <c r="H26" s="145">
        <f>D26-F26</f>
        <v>-7.5475001287266252</v>
      </c>
      <c r="I26" s="230" t="s">
        <v>1970</v>
      </c>
      <c r="J26" s="725">
        <f>Stores!D44+Stores!AX44</f>
        <v>27</v>
      </c>
      <c r="K26" s="132"/>
      <c r="L26" s="132">
        <f>AVERAGE(J26,J22)</f>
        <v>26</v>
      </c>
      <c r="M26" s="132"/>
      <c r="N26" s="145">
        <f>(L26/L19-1)*100</f>
        <v>26.829268292682929</v>
      </c>
      <c r="O26" s="230" t="s">
        <v>1970</v>
      </c>
      <c r="P26" s="259">
        <f>H26/N26*100</f>
        <v>-28.131591388890147</v>
      </c>
      <c r="Q26" s="138" t="s">
        <v>1970</v>
      </c>
      <c r="R26" s="934">
        <f>'qtrP&amp;L'!N10-AN26-AQ26</f>
        <v>89.77600000000001</v>
      </c>
      <c r="S26" s="132"/>
      <c r="T26" s="143">
        <f>R26/L26</f>
        <v>3.4529230769230774</v>
      </c>
      <c r="U26" s="132"/>
      <c r="V26" s="217">
        <f>(T26/T19-1)*100</f>
        <v>-27.104759716880611</v>
      </c>
      <c r="W26" s="230" t="s">
        <v>1970</v>
      </c>
      <c r="X26" s="132"/>
      <c r="Y26" s="237"/>
      <c r="Z26" s="132"/>
      <c r="AA26" s="254"/>
      <c r="AB26" s="132"/>
      <c r="AC26" s="145"/>
      <c r="AD26" s="230" t="s">
        <v>1970</v>
      </c>
      <c r="AE26" s="259"/>
      <c r="AF26" s="138" t="s">
        <v>1970</v>
      </c>
      <c r="AG26" s="141">
        <f>+R26</f>
        <v>89.77600000000001</v>
      </c>
      <c r="AH26" s="132"/>
      <c r="AI26" s="244"/>
      <c r="AJ26" s="132"/>
      <c r="AK26" s="145"/>
      <c r="AL26" s="230" t="s">
        <v>1970</v>
      </c>
      <c r="AM26" s="230"/>
      <c r="AN26" s="145">
        <f>'segSales&amp;comps'!AM28</f>
        <v>17.462</v>
      </c>
      <c r="AO26" s="969"/>
      <c r="AP26" s="969"/>
      <c r="AQ26" s="145"/>
      <c r="AR26" s="969"/>
      <c r="AT26" s="132"/>
      <c r="AU26" s="132"/>
      <c r="AV26" s="132"/>
      <c r="AW26" s="132"/>
    </row>
    <row r="27" spans="1:49" hidden="1" outlineLevel="1">
      <c r="A27" s="132" t="str">
        <f>$A$41</f>
        <v>2Q</v>
      </c>
      <c r="B27" s="174" t="str">
        <f>$B$41</f>
        <v>Jul</v>
      </c>
      <c r="C27" s="132"/>
      <c r="D27" s="288">
        <f>(R27/R20-1)*100</f>
        <v>2.3512067641728862E-2</v>
      </c>
      <c r="E27" s="256"/>
      <c r="F27" s="297">
        <f>'qtrP&amp;L'!P$11</f>
        <v>0</v>
      </c>
      <c r="G27" s="132"/>
      <c r="H27" s="145">
        <f>D27-F27</f>
        <v>2.3512067641728862E-2</v>
      </c>
      <c r="I27" s="230"/>
      <c r="J27" s="725">
        <f>Stores!D45+Stores!AX45</f>
        <v>30</v>
      </c>
      <c r="K27" s="132"/>
      <c r="L27" s="177">
        <f>AVERAGE(J27,J26)</f>
        <v>28.5</v>
      </c>
      <c r="M27" s="132"/>
      <c r="N27" s="145">
        <f>(L27/L20-1)*100</f>
        <v>29.54545454545454</v>
      </c>
      <c r="O27" s="230"/>
      <c r="P27" s="259">
        <f>H27/N27*100</f>
        <v>7.9579305864313082E-2</v>
      </c>
      <c r="Q27" s="138"/>
      <c r="R27" s="317">
        <f>'qtrP&amp;L'!N11-AN27-AQ27</f>
        <v>101.46899999999999</v>
      </c>
      <c r="S27" s="132"/>
      <c r="T27" s="147">
        <f>R27/L27</f>
        <v>3.5603157894736839</v>
      </c>
      <c r="U27" s="132"/>
      <c r="V27" s="217">
        <f>(T27/T20-1)*100</f>
        <v>-22.788867877609885</v>
      </c>
      <c r="W27" s="230"/>
      <c r="X27" s="132"/>
      <c r="Y27" s="237"/>
      <c r="Z27" s="132"/>
      <c r="AA27" s="254"/>
      <c r="AB27" s="132"/>
      <c r="AC27" s="145"/>
      <c r="AD27" s="230"/>
      <c r="AE27" s="259"/>
      <c r="AF27" s="138"/>
      <c r="AG27" s="142">
        <f>+R27</f>
        <v>101.46899999999999</v>
      </c>
      <c r="AH27" s="132"/>
      <c r="AI27" s="245"/>
      <c r="AJ27" s="132"/>
      <c r="AK27" s="217"/>
      <c r="AL27" s="230"/>
      <c r="AM27" s="230"/>
      <c r="AN27" s="145">
        <f>'segSales&amp;comps'!AM29</f>
        <v>19.361000000000001</v>
      </c>
      <c r="AO27" s="969">
        <f>'segSales&amp;comps'!AN29</f>
        <v>0</v>
      </c>
      <c r="AP27" s="969"/>
      <c r="AQ27" s="145"/>
      <c r="AR27" s="969"/>
      <c r="AT27" s="132"/>
      <c r="AU27" s="132"/>
      <c r="AV27" s="132"/>
      <c r="AW27" s="132"/>
    </row>
    <row r="28" spans="1:49" hidden="1" outlineLevel="1">
      <c r="A28" s="132" t="str">
        <f>$A$42</f>
        <v>3Q</v>
      </c>
      <c r="B28" s="174" t="str">
        <f>$B$42</f>
        <v>Oct</v>
      </c>
      <c r="C28" s="132"/>
      <c r="D28" s="288">
        <f>(R28/R21-1)*100</f>
        <v>-16.221390653554945</v>
      </c>
      <c r="E28" s="256"/>
      <c r="F28" s="297">
        <f>'qtrP&amp;L'!P$12</f>
        <v>0</v>
      </c>
      <c r="G28" s="132"/>
      <c r="H28" s="145">
        <f>D28-F28</f>
        <v>-16.221390653554945</v>
      </c>
      <c r="I28" s="230"/>
      <c r="J28" s="725">
        <f>Stores!D46+Stores!AX46</f>
        <v>33</v>
      </c>
      <c r="K28" s="132"/>
      <c r="L28" s="177">
        <f>AVERAGE(J28,J27)</f>
        <v>31.5</v>
      </c>
      <c r="M28" s="132"/>
      <c r="N28" s="145">
        <f>(L28/L21-1)*100</f>
        <v>34.042553191489368</v>
      </c>
      <c r="O28" s="230"/>
      <c r="P28" s="259">
        <f>H28/N28*100</f>
        <v>-47.650335044817645</v>
      </c>
      <c r="Q28" s="138"/>
      <c r="R28" s="317">
        <f>'qtrP&amp;L'!N12-AN28-AQ28</f>
        <v>105.89700000000001</v>
      </c>
      <c r="S28" s="132"/>
      <c r="T28" s="147">
        <f>R28/L28</f>
        <v>3.3618095238095238</v>
      </c>
      <c r="U28" s="132"/>
      <c r="V28" s="217">
        <f>(T28/T21-1)*100</f>
        <v>-37.498497789160048</v>
      </c>
      <c r="W28" s="230"/>
      <c r="X28" s="132"/>
      <c r="Y28" s="237"/>
      <c r="Z28" s="132"/>
      <c r="AA28" s="254"/>
      <c r="AB28" s="132"/>
      <c r="AC28" s="145"/>
      <c r="AD28" s="230"/>
      <c r="AE28" s="259"/>
      <c r="AF28" s="138"/>
      <c r="AG28" s="142">
        <f>+R28</f>
        <v>105.89700000000001</v>
      </c>
      <c r="AH28" s="132"/>
      <c r="AI28" s="245"/>
      <c r="AJ28" s="132"/>
      <c r="AK28" s="217"/>
      <c r="AL28" s="230"/>
      <c r="AM28" s="230"/>
      <c r="AN28" s="145">
        <f>'segSales&amp;comps'!AM30</f>
        <v>0</v>
      </c>
      <c r="AO28" s="969">
        <f>'segSales&amp;comps'!AN30</f>
        <v>0</v>
      </c>
      <c r="AP28" s="969"/>
      <c r="AQ28" s="145"/>
      <c r="AR28" s="969"/>
      <c r="AT28" s="132"/>
      <c r="AU28" s="132"/>
      <c r="AV28" s="132"/>
      <c r="AW28" s="132"/>
    </row>
    <row r="29" spans="1:49" hidden="1" outlineLevel="1">
      <c r="A29" s="132" t="str">
        <f>$A$43</f>
        <v>4Q</v>
      </c>
      <c r="B29" s="174" t="str">
        <f>$B$43</f>
        <v>Jan</v>
      </c>
      <c r="C29" s="132"/>
      <c r="D29" s="318">
        <f>(R29/R22-1)*100</f>
        <v>-6.7293489198649858E-2</v>
      </c>
      <c r="E29" s="256"/>
      <c r="F29" s="298">
        <f>'qtrP&amp;L'!P$13</f>
        <v>0</v>
      </c>
      <c r="G29" s="132"/>
      <c r="H29" s="176">
        <f>D29-F29</f>
        <v>-6.7293489198649858E-2</v>
      </c>
      <c r="I29" s="230"/>
      <c r="J29" s="725">
        <f>Stores!D47+Stores!AX47</f>
        <v>35</v>
      </c>
      <c r="K29" s="132"/>
      <c r="L29" s="178">
        <f>AVERAGE(J29,J28)</f>
        <v>34</v>
      </c>
      <c r="M29" s="132"/>
      <c r="N29" s="176">
        <f>(L29/L22-1)*100</f>
        <v>38.775510204081634</v>
      </c>
      <c r="O29" s="230"/>
      <c r="P29" s="178">
        <f>H29/N29*100</f>
        <v>-0.17354636688072858</v>
      </c>
      <c r="Q29" s="138"/>
      <c r="R29" s="955">
        <f>'qtrP&amp;L'!N13-AN29-AQ29</f>
        <v>119.91600000000001</v>
      </c>
      <c r="S29" s="132"/>
      <c r="T29" s="148">
        <f>R29/L29</f>
        <v>3.5269411764705887</v>
      </c>
      <c r="U29" s="132"/>
      <c r="V29" s="218">
        <f>(T29/T22-1)*100</f>
        <v>-27.989667367216665</v>
      </c>
      <c r="W29" s="230"/>
      <c r="X29" s="132"/>
      <c r="Y29" s="236">
        <f>yrSales!D$30</f>
        <v>0</v>
      </c>
      <c r="Z29" s="132"/>
      <c r="AA29" s="255"/>
      <c r="AB29" s="132"/>
      <c r="AC29" s="176"/>
      <c r="AD29" s="230"/>
      <c r="AE29" s="178"/>
      <c r="AF29" s="138"/>
      <c r="AG29" s="146">
        <f>+R29</f>
        <v>119.91600000000001</v>
      </c>
      <c r="AH29" s="132"/>
      <c r="AI29" s="257"/>
      <c r="AJ29" s="132"/>
      <c r="AK29" s="218"/>
      <c r="AL29" s="230"/>
      <c r="AM29" s="230"/>
      <c r="AN29" s="145">
        <f>'segSales&amp;comps'!AM31</f>
        <v>32.515000000000001</v>
      </c>
      <c r="AO29" s="969">
        <f>'segSales&amp;comps'!AN31</f>
        <v>12.000000000000011</v>
      </c>
      <c r="AP29" s="969"/>
      <c r="AQ29" s="145"/>
      <c r="AR29" s="969"/>
      <c r="AT29" s="132"/>
      <c r="AU29" s="132"/>
      <c r="AV29" s="132"/>
      <c r="AW29" s="132"/>
    </row>
    <row r="30" spans="1:49" hidden="1" outlineLevel="1">
      <c r="A30" s="132"/>
      <c r="B30" s="174" t="str">
        <f>$B$44</f>
        <v>Year</v>
      </c>
      <c r="C30" s="132"/>
      <c r="D30" s="288">
        <f>(R30/R23-1)*100</f>
        <v>-6.2681267321914813</v>
      </c>
      <c r="E30" s="256"/>
      <c r="F30" s="297">
        <f>'qtrP&amp;L'!P$14</f>
        <v>0</v>
      </c>
      <c r="G30" s="132"/>
      <c r="H30" s="145">
        <f>D30-F30</f>
        <v>-6.2681267321914813</v>
      </c>
      <c r="I30" s="230"/>
      <c r="J30" s="725">
        <f>Stores!D48+Stores!AX48</f>
        <v>35</v>
      </c>
      <c r="K30" s="132"/>
      <c r="L30" s="177">
        <f>AVERAGE(L26:L29)</f>
        <v>30</v>
      </c>
      <c r="M30" s="132"/>
      <c r="N30" s="145">
        <f>(L30/L23-1)*100</f>
        <v>32.596685082872924</v>
      </c>
      <c r="O30" s="230"/>
      <c r="P30" s="259">
        <f>H30/N30*100</f>
        <v>-19.229337941129803</v>
      </c>
      <c r="Q30" s="138"/>
      <c r="R30" s="296">
        <f>SUM(R26:R29)</f>
        <v>417.05799999999999</v>
      </c>
      <c r="S30" s="132"/>
      <c r="T30" s="143">
        <f>SUM(T26:T29)</f>
        <v>13.901989566676873</v>
      </c>
      <c r="U30" s="132"/>
      <c r="V30" s="217">
        <f>(T30/T23-1)*100</f>
        <v>-29.160265870318426</v>
      </c>
      <c r="W30" s="230"/>
      <c r="X30" s="132"/>
      <c r="Y30" s="139"/>
      <c r="Z30" s="132"/>
      <c r="AA30" s="254"/>
      <c r="AB30" s="132"/>
      <c r="AC30" s="145"/>
      <c r="AD30" s="230"/>
      <c r="AE30" s="259"/>
      <c r="AF30" s="138"/>
      <c r="AG30" s="141">
        <f>SUM(AG26:AG29)</f>
        <v>417.05799999999999</v>
      </c>
      <c r="AH30" s="132"/>
      <c r="AI30" s="244"/>
      <c r="AJ30" s="132"/>
      <c r="AK30" s="217"/>
      <c r="AL30" s="230"/>
      <c r="AM30" s="230"/>
      <c r="AN30" s="145">
        <f>'segSales&amp;comps'!AM32</f>
        <v>89.540999999999997</v>
      </c>
      <c r="AO30" s="969">
        <f>'segSales&amp;comps'!AN32</f>
        <v>9.0000000000000071</v>
      </c>
      <c r="AP30" s="969"/>
      <c r="AQ30" s="145"/>
      <c r="AR30" s="969"/>
      <c r="AT30" s="132"/>
      <c r="AU30" s="132"/>
      <c r="AV30" s="132"/>
      <c r="AW30" s="132"/>
    </row>
    <row r="31" spans="1:49" hidden="1" outlineLevel="1">
      <c r="A31" s="132"/>
      <c r="B31" s="174"/>
      <c r="C31" s="132"/>
      <c r="D31" s="256"/>
      <c r="E31" s="256"/>
      <c r="F31" s="256"/>
      <c r="G31" s="132"/>
      <c r="H31" s="132"/>
      <c r="I31" s="230"/>
      <c r="J31" s="139"/>
      <c r="K31" s="132"/>
      <c r="L31" s="132"/>
      <c r="M31" s="132"/>
      <c r="N31" s="132"/>
      <c r="O31" s="230"/>
      <c r="P31" s="138"/>
      <c r="Q31" s="138"/>
      <c r="R31" s="256"/>
      <c r="S31" s="132"/>
      <c r="T31" s="132"/>
      <c r="U31" s="132"/>
      <c r="V31" s="132"/>
      <c r="W31" s="230"/>
      <c r="X31" s="132"/>
      <c r="Y31" s="139"/>
      <c r="Z31" s="132"/>
      <c r="AA31" s="132"/>
      <c r="AB31" s="132"/>
      <c r="AC31" s="132"/>
      <c r="AD31" s="230"/>
      <c r="AE31" s="138"/>
      <c r="AF31" s="138"/>
      <c r="AG31" s="132"/>
      <c r="AH31" s="132"/>
      <c r="AI31" s="132"/>
      <c r="AJ31" s="132"/>
      <c r="AK31" s="132"/>
      <c r="AL31" s="230"/>
      <c r="AM31" s="230"/>
      <c r="AN31" s="145"/>
      <c r="AO31" s="967"/>
      <c r="AP31" s="967"/>
      <c r="AQ31" s="145"/>
      <c r="AR31" s="967"/>
      <c r="AT31" s="132"/>
      <c r="AU31" s="132"/>
      <c r="AV31" s="132"/>
      <c r="AW31" s="132"/>
    </row>
    <row r="32" spans="1:49" hidden="1" outlineLevel="1" collapsed="1">
      <c r="A32" s="169"/>
      <c r="B32" s="171">
        <f>B25+1</f>
        <v>1993</v>
      </c>
      <c r="C32" s="132"/>
      <c r="D32" s="256"/>
      <c r="E32" s="256"/>
      <c r="F32" s="256"/>
      <c r="G32" s="132"/>
      <c r="H32" s="132"/>
      <c r="I32" s="132"/>
      <c r="J32" s="132"/>
      <c r="K32" s="132"/>
      <c r="L32" s="132"/>
      <c r="M32" s="132"/>
      <c r="N32" s="132"/>
      <c r="O32" s="132"/>
      <c r="P32" s="138"/>
      <c r="Q32" s="138"/>
      <c r="R32" s="256"/>
      <c r="S32" s="132"/>
      <c r="T32" s="132"/>
      <c r="U32" s="132"/>
      <c r="V32" s="132"/>
      <c r="W32" s="230"/>
      <c r="X32" s="132"/>
      <c r="Y32" s="132"/>
      <c r="Z32" s="132"/>
      <c r="AA32" s="132"/>
      <c r="AB32" s="132"/>
      <c r="AC32" s="132"/>
      <c r="AD32" s="132"/>
      <c r="AE32" s="138"/>
      <c r="AF32" s="138"/>
      <c r="AG32" s="132"/>
      <c r="AH32" s="132"/>
      <c r="AI32" s="132"/>
      <c r="AJ32" s="132"/>
      <c r="AK32" s="132"/>
      <c r="AL32" s="230"/>
      <c r="AM32" s="230"/>
      <c r="AN32" s="145"/>
      <c r="AO32" s="967"/>
      <c r="AP32" s="967"/>
      <c r="AQ32" s="145"/>
      <c r="AR32" s="967"/>
      <c r="AT32" s="132"/>
      <c r="AU32" s="132"/>
      <c r="AV32" s="132"/>
      <c r="AW32" s="132"/>
    </row>
    <row r="33" spans="1:49" hidden="1" outlineLevel="1">
      <c r="A33" s="132" t="str">
        <f>$A$40</f>
        <v>1Q</v>
      </c>
      <c r="B33" s="174" t="str">
        <f>$B$40</f>
        <v>Apr</v>
      </c>
      <c r="C33" s="132"/>
      <c r="D33" s="288">
        <f>(R33/R26-1)*100</f>
        <v>21.949073248975214</v>
      </c>
      <c r="E33" s="256" t="s">
        <v>1970</v>
      </c>
      <c r="F33" s="297">
        <f>'qtrP&amp;L'!T$10</f>
        <v>0</v>
      </c>
      <c r="G33" s="132" t="s">
        <v>1970</v>
      </c>
      <c r="H33" s="145">
        <f>D33-F33</f>
        <v>21.949073248975214</v>
      </c>
      <c r="I33" s="230" t="s">
        <v>1970</v>
      </c>
      <c r="J33" s="725">
        <f>Stores!D51+Stores!AX51</f>
        <v>42</v>
      </c>
      <c r="K33" s="132"/>
      <c r="L33" s="725">
        <f>AVERAGE(J33,J29)</f>
        <v>38.5</v>
      </c>
      <c r="M33" s="132"/>
      <c r="N33" s="145">
        <f>(L33/L26-1)*100</f>
        <v>48.07692307692308</v>
      </c>
      <c r="O33" s="230" t="s">
        <v>1970</v>
      </c>
      <c r="P33" s="259">
        <f>H33/N33*100</f>
        <v>45.654072357868444</v>
      </c>
      <c r="Q33" s="138" t="s">
        <v>1970</v>
      </c>
      <c r="R33" s="296">
        <f>'qtrP&amp;L'!R10-AN33-AQ33</f>
        <v>109.48099999999999</v>
      </c>
      <c r="S33" s="132"/>
      <c r="T33" s="143">
        <f>R33/L33</f>
        <v>2.8436623376623373</v>
      </c>
      <c r="U33" s="132"/>
      <c r="V33" s="217">
        <f>(T33/T26-1)*100</f>
        <v>-17.644781701990773</v>
      </c>
      <c r="W33" s="230" t="s">
        <v>1970</v>
      </c>
      <c r="X33" s="132"/>
      <c r="Y33" s="236"/>
      <c r="Z33" s="132"/>
      <c r="AA33" s="254"/>
      <c r="AB33" s="132"/>
      <c r="AC33" s="145"/>
      <c r="AD33" s="230"/>
      <c r="AE33" s="259"/>
      <c r="AF33" s="138" t="s">
        <v>1970</v>
      </c>
      <c r="AG33" s="141">
        <f>+R33</f>
        <v>109.48099999999999</v>
      </c>
      <c r="AH33" s="132"/>
      <c r="AI33" s="244" t="e">
        <f>AG33/AA33</f>
        <v>#DIV/0!</v>
      </c>
      <c r="AJ33" s="132"/>
      <c r="AK33" s="145"/>
      <c r="AL33" s="230" t="s">
        <v>1970</v>
      </c>
      <c r="AM33" s="230"/>
      <c r="AN33" s="145">
        <f>'segSales&amp;comps'!AM35</f>
        <v>0</v>
      </c>
      <c r="AO33" s="969">
        <f>'segSales&amp;comps'!AN35</f>
        <v>0</v>
      </c>
      <c r="AP33" s="969"/>
      <c r="AQ33" s="145"/>
      <c r="AR33" s="969"/>
      <c r="AT33" s="132"/>
      <c r="AU33" s="132"/>
      <c r="AV33" s="132"/>
      <c r="AW33" s="132"/>
    </row>
    <row r="34" spans="1:49" hidden="1" outlineLevel="1">
      <c r="A34" s="132" t="str">
        <f>$A$41</f>
        <v>2Q</v>
      </c>
      <c r="B34" s="174" t="str">
        <f>$B$41</f>
        <v>Jul</v>
      </c>
      <c r="C34" s="132"/>
      <c r="D34" s="288">
        <f>(R34/R27-1)*100</f>
        <v>12.579211384757926</v>
      </c>
      <c r="E34" s="256"/>
      <c r="F34" s="297">
        <f>'qtrP&amp;L'!T$11</f>
        <v>0</v>
      </c>
      <c r="G34" s="132"/>
      <c r="H34" s="145">
        <f>D34-F34</f>
        <v>12.579211384757926</v>
      </c>
      <c r="I34" s="230"/>
      <c r="J34" s="725">
        <f>Stores!D52+Stores!AX52</f>
        <v>49</v>
      </c>
      <c r="K34" s="132"/>
      <c r="L34" s="177">
        <f>AVERAGE(J34,J33)</f>
        <v>45.5</v>
      </c>
      <c r="M34" s="132"/>
      <c r="N34" s="145">
        <f>(L34/L27-1)*100</f>
        <v>59.649122807017548</v>
      </c>
      <c r="O34" s="230"/>
      <c r="P34" s="259">
        <f>H34/N34*100</f>
        <v>21.088677909741229</v>
      </c>
      <c r="Q34" s="138"/>
      <c r="R34" s="315">
        <f>'qtrP&amp;L'!R11-AN34-AQ34</f>
        <v>114.233</v>
      </c>
      <c r="S34" s="132"/>
      <c r="T34" s="147">
        <f>R34/L34</f>
        <v>2.5106153846153849</v>
      </c>
      <c r="U34" s="132"/>
      <c r="V34" s="217">
        <f>(T34/T27-1)*100</f>
        <v>-29.483351110646126</v>
      </c>
      <c r="W34" s="230"/>
      <c r="X34" s="132"/>
      <c r="Y34" s="236"/>
      <c r="Z34" s="132"/>
      <c r="AA34" s="254"/>
      <c r="AB34" s="132"/>
      <c r="AC34" s="145"/>
      <c r="AD34" s="230"/>
      <c r="AE34" s="259"/>
      <c r="AF34" s="138"/>
      <c r="AG34" s="142">
        <f>+R34</f>
        <v>114.233</v>
      </c>
      <c r="AH34" s="132"/>
      <c r="AI34" s="245" t="e">
        <f>AG34/AA34</f>
        <v>#DIV/0!</v>
      </c>
      <c r="AJ34" s="132"/>
      <c r="AK34" s="217"/>
      <c r="AL34" s="230"/>
      <c r="AM34" s="230"/>
      <c r="AN34" s="145">
        <f>'segSales&amp;comps'!AM36</f>
        <v>0</v>
      </c>
      <c r="AO34" s="969">
        <f>'segSales&amp;comps'!AN36</f>
        <v>0</v>
      </c>
      <c r="AP34" s="969"/>
      <c r="AQ34" s="145"/>
      <c r="AR34" s="969"/>
      <c r="AT34" s="132"/>
      <c r="AU34" s="132"/>
      <c r="AV34" s="132"/>
      <c r="AW34" s="132"/>
    </row>
    <row r="35" spans="1:49" hidden="1" outlineLevel="1">
      <c r="A35" s="132" t="str">
        <f>$A$42</f>
        <v>3Q</v>
      </c>
      <c r="B35" s="174" t="str">
        <f>$B$42</f>
        <v>Oct</v>
      </c>
      <c r="C35" s="132"/>
      <c r="D35" s="288">
        <f>(R35/R28-1)*100</f>
        <v>8.1144886068538202</v>
      </c>
      <c r="E35" s="256"/>
      <c r="F35" s="297">
        <f>'qtrP&amp;L'!T$12</f>
        <v>0</v>
      </c>
      <c r="G35" s="132"/>
      <c r="H35" s="145">
        <f>D35-F35</f>
        <v>8.1144886068538202</v>
      </c>
      <c r="I35" s="230"/>
      <c r="J35" s="725">
        <f>Stores!D53+Stores!AX53</f>
        <v>57</v>
      </c>
      <c r="K35" s="132"/>
      <c r="L35" s="177">
        <f>AVERAGE(J35,J34)</f>
        <v>53</v>
      </c>
      <c r="M35" s="132"/>
      <c r="N35" s="145">
        <f>(L35/L28-1)*100</f>
        <v>68.253968253968253</v>
      </c>
      <c r="O35" s="230"/>
      <c r="P35" s="259">
        <f>H35/N35*100</f>
        <v>11.888669354227691</v>
      </c>
      <c r="Q35" s="138"/>
      <c r="R35" s="315">
        <f>'qtrP&amp;L'!R12-AN35-AQ35</f>
        <v>114.49</v>
      </c>
      <c r="S35" s="132"/>
      <c r="T35" s="147">
        <f>R35/L35</f>
        <v>2.1601886792452829</v>
      </c>
      <c r="U35" s="132"/>
      <c r="V35" s="217">
        <f>(T35/T28-1)*100</f>
        <v>-35.743275639322725</v>
      </c>
      <c r="W35" s="230"/>
      <c r="X35" s="132"/>
      <c r="Y35" s="236"/>
      <c r="Z35" s="132"/>
      <c r="AA35" s="254"/>
      <c r="AB35" s="132"/>
      <c r="AC35" s="145"/>
      <c r="AD35" s="230"/>
      <c r="AE35" s="259"/>
      <c r="AF35" s="138"/>
      <c r="AG35" s="142">
        <f>+R35</f>
        <v>114.49</v>
      </c>
      <c r="AH35" s="132"/>
      <c r="AI35" s="245" t="e">
        <f>AG35/AA35</f>
        <v>#DIV/0!</v>
      </c>
      <c r="AJ35" s="132"/>
      <c r="AK35" s="217"/>
      <c r="AL35" s="230"/>
      <c r="AM35" s="230"/>
      <c r="AN35" s="145">
        <f>'segSales&amp;comps'!AM37</f>
        <v>20.260000000000002</v>
      </c>
      <c r="AO35" s="969">
        <f>'segSales&amp;comps'!AN37</f>
        <v>0</v>
      </c>
      <c r="AP35" s="969"/>
      <c r="AQ35" s="145"/>
      <c r="AR35" s="969"/>
      <c r="AT35" s="132"/>
      <c r="AU35" s="132"/>
      <c r="AV35" s="132"/>
      <c r="AW35" s="132"/>
    </row>
    <row r="36" spans="1:49" hidden="1" outlineLevel="1">
      <c r="A36" s="132" t="str">
        <f>$A$43</f>
        <v>4Q</v>
      </c>
      <c r="B36" s="174" t="str">
        <f>$B$43</f>
        <v>Jan</v>
      </c>
      <c r="C36" s="132"/>
      <c r="D36" s="318">
        <f>(R36/R29-1)*100</f>
        <v>48.488942259581712</v>
      </c>
      <c r="E36" s="256"/>
      <c r="F36" s="298">
        <f>'qtrP&amp;L'!T$13</f>
        <v>0</v>
      </c>
      <c r="G36" s="132"/>
      <c r="H36" s="176">
        <f>D36-F36</f>
        <v>48.488942259581712</v>
      </c>
      <c r="I36" s="230"/>
      <c r="J36" s="725">
        <f>Stores!D54+Stores!AX54</f>
        <v>65</v>
      </c>
      <c r="K36" s="132"/>
      <c r="L36" s="178">
        <f>AVERAGE(J36,J35)</f>
        <v>61</v>
      </c>
      <c r="M36" s="132"/>
      <c r="N36" s="176">
        <f>(L36/L29-1)*100</f>
        <v>79.411764705882362</v>
      </c>
      <c r="O36" s="230"/>
      <c r="P36" s="178">
        <f>H36/N36*100</f>
        <v>61.060149512065856</v>
      </c>
      <c r="Q36" s="138"/>
      <c r="R36" s="316">
        <f>'qtrP&amp;L'!R13-AN36-AQ36</f>
        <v>178.06200000000001</v>
      </c>
      <c r="S36" s="132"/>
      <c r="T36" s="148">
        <f>R36/L36</f>
        <v>2.9190491803278689</v>
      </c>
      <c r="U36" s="132"/>
      <c r="V36" s="218">
        <f>(T36/T29-1)*100</f>
        <v>-17.235671527446272</v>
      </c>
      <c r="W36" s="230"/>
      <c r="X36" s="132"/>
      <c r="Y36" s="956">
        <f>Stores!G54+Stores!AH54</f>
        <v>0.32945000000000002</v>
      </c>
      <c r="Z36" s="132"/>
      <c r="AA36" s="255">
        <f>AVERAGE(Y36,Y35)</f>
        <v>0.32945000000000002</v>
      </c>
      <c r="AB36" s="132"/>
      <c r="AC36" s="176"/>
      <c r="AD36" s="230"/>
      <c r="AE36" s="178"/>
      <c r="AF36" s="138"/>
      <c r="AG36" s="146">
        <f>+R36</f>
        <v>178.06200000000001</v>
      </c>
      <c r="AH36" s="132"/>
      <c r="AI36" s="257">
        <f>AG36/AA36</f>
        <v>540.48262255273937</v>
      </c>
      <c r="AJ36" s="132"/>
      <c r="AK36" s="218"/>
      <c r="AL36" s="230"/>
      <c r="AM36" s="230"/>
      <c r="AN36" s="145">
        <f>'segSales&amp;comps'!AM38</f>
        <v>29.975000000000001</v>
      </c>
      <c r="AO36" s="969">
        <f>'segSales&amp;comps'!AN38</f>
        <v>-7.8117791788405277</v>
      </c>
      <c r="AP36" s="969"/>
      <c r="AQ36" s="145"/>
      <c r="AR36" s="969"/>
      <c r="AT36" s="132"/>
      <c r="AU36" s="132"/>
      <c r="AV36" s="132"/>
      <c r="AW36" s="132"/>
    </row>
    <row r="37" spans="1:49" hidden="1" outlineLevel="1">
      <c r="A37" s="132"/>
      <c r="B37" s="174" t="str">
        <f>$B$44</f>
        <v>Year</v>
      </c>
      <c r="C37" s="132"/>
      <c r="D37" s="288">
        <f>(R37/R30-1)*100</f>
        <v>23.787578706079259</v>
      </c>
      <c r="E37" s="256"/>
      <c r="F37" s="297">
        <f>'qtrP&amp;L'!T$14</f>
        <v>0</v>
      </c>
      <c r="G37" s="132"/>
      <c r="H37" s="145">
        <f>D37-F37</f>
        <v>23.787578706079259</v>
      </c>
      <c r="I37" s="230"/>
      <c r="J37" s="725">
        <f>Stores!D55+Stores!AX55</f>
        <v>65</v>
      </c>
      <c r="K37" s="132"/>
      <c r="L37" s="177">
        <f>AVERAGE(L33:L36)</f>
        <v>49.5</v>
      </c>
      <c r="M37" s="132"/>
      <c r="N37" s="145">
        <f>(L37/L30-1)*100</f>
        <v>64.999999999999986</v>
      </c>
      <c r="O37" s="230"/>
      <c r="P37" s="259">
        <f>H37/N37*100</f>
        <v>36.596274932429637</v>
      </c>
      <c r="Q37" s="138"/>
      <c r="R37" s="296">
        <f>SUM(R33:R36)</f>
        <v>516.26600000000008</v>
      </c>
      <c r="S37" s="132"/>
      <c r="T37" s="143">
        <f>SUM(T33:T36)</f>
        <v>10.433515581850873</v>
      </c>
      <c r="U37" s="132"/>
      <c r="V37" s="217">
        <f>(T37/T30-1)*100</f>
        <v>-24.949479124484064</v>
      </c>
      <c r="W37" s="230"/>
      <c r="X37" s="132"/>
      <c r="Y37" s="236">
        <f>Stores!G55+Stores!AH55</f>
        <v>0.32945000000000002</v>
      </c>
      <c r="Z37" s="132"/>
      <c r="AA37" s="254">
        <f>AA36</f>
        <v>0.32945000000000002</v>
      </c>
      <c r="AB37" s="132"/>
      <c r="AC37" s="145"/>
      <c r="AD37" s="230"/>
      <c r="AE37" s="259"/>
      <c r="AF37" s="138"/>
      <c r="AG37" s="141">
        <f>SUM(AG33:AG36)</f>
        <v>516.26600000000008</v>
      </c>
      <c r="AH37" s="132"/>
      <c r="AI37" s="244">
        <f>AG37/AA37</f>
        <v>1567.0541812111096</v>
      </c>
      <c r="AJ37" s="132"/>
      <c r="AK37" s="217"/>
      <c r="AL37" s="230"/>
      <c r="AM37" s="230"/>
      <c r="AN37" s="145">
        <f>'segSales&amp;comps'!AM39</f>
        <v>87.429000000000002</v>
      </c>
      <c r="AO37" s="969">
        <f>'segSales&amp;comps'!AN39</f>
        <v>-2.3586960163500481</v>
      </c>
      <c r="AP37" s="969"/>
      <c r="AQ37" s="145"/>
      <c r="AR37" s="969"/>
      <c r="AT37" s="132"/>
      <c r="AU37" s="132"/>
      <c r="AV37" s="132"/>
      <c r="AW37" s="132"/>
    </row>
    <row r="38" spans="1:49" hidden="1" outlineLevel="1">
      <c r="A38" s="132"/>
      <c r="B38" s="174"/>
      <c r="C38" s="132"/>
      <c r="D38" s="256"/>
      <c r="E38" s="256"/>
      <c r="F38" s="256"/>
      <c r="G38" s="132"/>
      <c r="H38" s="132"/>
      <c r="I38" s="230"/>
      <c r="J38" s="139"/>
      <c r="K38" s="132"/>
      <c r="L38" s="132"/>
      <c r="M38" s="132"/>
      <c r="N38" s="132"/>
      <c r="O38" s="230"/>
      <c r="P38" s="138"/>
      <c r="Q38" s="138"/>
      <c r="R38" s="256"/>
      <c r="S38" s="132"/>
      <c r="T38" s="132"/>
      <c r="U38" s="132"/>
      <c r="V38" s="132"/>
      <c r="W38" s="230"/>
      <c r="X38" s="132"/>
      <c r="Y38" s="139"/>
      <c r="Z38" s="132"/>
      <c r="AA38" s="132"/>
      <c r="AB38" s="132"/>
      <c r="AC38" s="132"/>
      <c r="AD38" s="230"/>
      <c r="AE38" s="138"/>
      <c r="AF38" s="138"/>
      <c r="AG38" s="132"/>
      <c r="AH38" s="132"/>
      <c r="AI38" s="132"/>
      <c r="AJ38" s="132"/>
      <c r="AK38" s="132"/>
      <c r="AL38" s="230"/>
      <c r="AM38" s="230"/>
      <c r="AN38" s="145"/>
      <c r="AO38" s="967"/>
      <c r="AP38" s="967"/>
      <c r="AQ38" s="145"/>
      <c r="AR38" s="967"/>
      <c r="AT38" s="132"/>
      <c r="AU38" s="132"/>
      <c r="AV38" s="132"/>
      <c r="AW38" s="132"/>
    </row>
    <row r="39" spans="1:49" hidden="1" outlineLevel="1">
      <c r="A39" s="170"/>
      <c r="B39" s="171">
        <f>B32+1</f>
        <v>1994</v>
      </c>
      <c r="C39" s="132"/>
      <c r="D39" s="256"/>
      <c r="E39" s="256"/>
      <c r="F39" s="256"/>
      <c r="G39" s="132"/>
      <c r="H39" s="132"/>
      <c r="I39" s="132"/>
      <c r="J39" s="132"/>
      <c r="K39" s="132"/>
      <c r="L39" s="132"/>
      <c r="M39" s="132"/>
      <c r="N39" s="132"/>
      <c r="O39" s="132"/>
      <c r="P39" s="138"/>
      <c r="Q39" s="138"/>
      <c r="R39" s="256"/>
      <c r="S39" s="132"/>
      <c r="T39" s="132"/>
      <c r="U39" s="132"/>
      <c r="V39" s="132"/>
      <c r="W39" s="230"/>
      <c r="X39" s="132"/>
      <c r="Y39" s="132"/>
      <c r="Z39" s="132"/>
      <c r="AA39" s="132"/>
      <c r="AB39" s="132"/>
      <c r="AC39" s="132"/>
      <c r="AD39" s="132"/>
      <c r="AE39" s="138"/>
      <c r="AF39" s="138"/>
      <c r="AG39" s="132"/>
      <c r="AH39" s="132"/>
      <c r="AI39" s="132"/>
      <c r="AJ39" s="132"/>
      <c r="AK39" s="132"/>
      <c r="AL39" s="230"/>
      <c r="AM39" s="230"/>
      <c r="AN39" s="145"/>
      <c r="AO39" s="967"/>
      <c r="AP39" s="967"/>
      <c r="AQ39" s="145"/>
      <c r="AR39" s="967"/>
      <c r="AT39" s="132"/>
      <c r="AU39" s="132"/>
      <c r="AV39" s="132"/>
      <c r="AW39" s="132"/>
    </row>
    <row r="40" spans="1:49" hidden="1" outlineLevel="1">
      <c r="A40" s="132" t="s">
        <v>1998</v>
      </c>
      <c r="B40" s="174" t="s">
        <v>1985</v>
      </c>
      <c r="C40" s="132"/>
      <c r="D40" s="288">
        <f>(R40/R33-1)*100</f>
        <v>2.6662160557539671</v>
      </c>
      <c r="E40" s="256" t="s">
        <v>1970</v>
      </c>
      <c r="F40" s="297">
        <f>'qtrP&amp;L'!X$10</f>
        <v>0</v>
      </c>
      <c r="G40" s="132" t="s">
        <v>1970</v>
      </c>
      <c r="H40" s="145">
        <f>D40-F40</f>
        <v>2.6662160557539671</v>
      </c>
      <c r="I40" s="230" t="s">
        <v>1970</v>
      </c>
      <c r="J40" s="725">
        <f>Stores!D58+Stores!AX58</f>
        <v>65</v>
      </c>
      <c r="K40" s="132"/>
      <c r="L40" s="132">
        <f>AVERAGE(J40,J36)</f>
        <v>65</v>
      </c>
      <c r="M40" s="132"/>
      <c r="N40" s="145">
        <f>(L40/L33-1)*100</f>
        <v>68.831168831168824</v>
      </c>
      <c r="O40" s="230" t="s">
        <v>1970</v>
      </c>
      <c r="P40" s="259">
        <f>H40/N40*100</f>
        <v>3.8735591753406697</v>
      </c>
      <c r="Q40" s="138" t="s">
        <v>1970</v>
      </c>
      <c r="R40" s="296">
        <f>'qtrP&amp;L'!V10-AN40-AQ40</f>
        <v>112.39999999999999</v>
      </c>
      <c r="S40" s="132"/>
      <c r="T40" s="143">
        <f>R40/L40</f>
        <v>1.7292307692307691</v>
      </c>
      <c r="U40" s="132"/>
      <c r="V40" s="217">
        <f>(T40/T33-1)*100</f>
        <v>-39.190010490053417</v>
      </c>
      <c r="W40" s="230" t="s">
        <v>1970</v>
      </c>
      <c r="X40" s="132"/>
      <c r="Y40" s="236">
        <f>Stores!G58+Stores!AH58</f>
        <v>0.32945000000000002</v>
      </c>
      <c r="Z40" s="132"/>
      <c r="AA40" s="254">
        <f>AVERAGE(Y40,Y36)</f>
        <v>0.32945000000000002</v>
      </c>
      <c r="AB40" s="132"/>
      <c r="AC40" s="145" t="e">
        <f>(AA40/AA33-1)*100</f>
        <v>#DIV/0!</v>
      </c>
      <c r="AD40" s="230" t="s">
        <v>1970</v>
      </c>
      <c r="AE40" s="259" t="e">
        <f>+H40/AC40*100</f>
        <v>#DIV/0!</v>
      </c>
      <c r="AF40" s="138" t="s">
        <v>1970</v>
      </c>
      <c r="AG40" s="141">
        <f>+R40</f>
        <v>112.39999999999999</v>
      </c>
      <c r="AH40" s="132"/>
      <c r="AI40" s="244">
        <f>AG40/AA40</f>
        <v>341.17468508119589</v>
      </c>
      <c r="AJ40" s="132"/>
      <c r="AK40" s="145" t="e">
        <f>(AI40/AI33-1)*100</f>
        <v>#DIV/0!</v>
      </c>
      <c r="AL40" s="230" t="s">
        <v>1970</v>
      </c>
      <c r="AM40" s="230"/>
      <c r="AN40" s="145">
        <f>'segSales&amp;comps'!AM42</f>
        <v>18.806999999999999</v>
      </c>
      <c r="AO40" s="969">
        <f>'segSales&amp;comps'!AN42</f>
        <v>0</v>
      </c>
      <c r="AP40" s="969"/>
      <c r="AQ40" s="145"/>
      <c r="AR40" s="969"/>
      <c r="AT40" s="132"/>
      <c r="AU40" s="132"/>
      <c r="AV40" s="132"/>
      <c r="AW40" s="132"/>
    </row>
    <row r="41" spans="1:49" hidden="1" outlineLevel="1">
      <c r="A41" s="132" t="s">
        <v>1999</v>
      </c>
      <c r="B41" s="174" t="s">
        <v>1986</v>
      </c>
      <c r="C41" s="132"/>
      <c r="D41" s="288">
        <f>(R41/R34-1)*100</f>
        <v>15.182127756427644</v>
      </c>
      <c r="E41" s="256"/>
      <c r="F41" s="297">
        <f>'qtrP&amp;L'!X$11</f>
        <v>0</v>
      </c>
      <c r="G41" s="132"/>
      <c r="H41" s="145">
        <f>D41-F41</f>
        <v>15.182127756427644</v>
      </c>
      <c r="I41" s="230"/>
      <c r="J41" s="725">
        <f>Stores!D59+Stores!AX59</f>
        <v>67</v>
      </c>
      <c r="K41" s="132"/>
      <c r="L41" s="177">
        <f>AVERAGE(J41,J40)</f>
        <v>66</v>
      </c>
      <c r="M41" s="132"/>
      <c r="N41" s="145">
        <f>(L41/L34-1)*100</f>
        <v>45.054945054945051</v>
      </c>
      <c r="O41" s="230"/>
      <c r="P41" s="259">
        <f>H41/N41*100</f>
        <v>33.696917703290623</v>
      </c>
      <c r="Q41" s="138"/>
      <c r="R41" s="315">
        <f>'qtrP&amp;L'!V11-AN41-AQ41</f>
        <v>131.57599999999999</v>
      </c>
      <c r="S41" s="132"/>
      <c r="T41" s="147">
        <f>R41/L41</f>
        <v>1.9935757575757576</v>
      </c>
      <c r="U41" s="132"/>
      <c r="V41" s="217">
        <f>(T41/T34-1)*100</f>
        <v>-20.59413919822034</v>
      </c>
      <c r="W41" s="230"/>
      <c r="X41" s="132"/>
      <c r="Y41" s="236">
        <f>Stores!G59+Stores!AH59</f>
        <v>0.33795000000000003</v>
      </c>
      <c r="Z41" s="132"/>
      <c r="AA41" s="254">
        <f>AVERAGE(Y41,Y40)</f>
        <v>0.3337</v>
      </c>
      <c r="AB41" s="132"/>
      <c r="AC41" s="145" t="e">
        <f>(AA41/AA34-1)*100</f>
        <v>#DIV/0!</v>
      </c>
      <c r="AD41" s="230"/>
      <c r="AE41" s="259" t="e">
        <f>+H41/AC41*100</f>
        <v>#DIV/0!</v>
      </c>
      <c r="AF41" s="138"/>
      <c r="AG41" s="142">
        <f>+R41</f>
        <v>131.57599999999999</v>
      </c>
      <c r="AH41" s="132"/>
      <c r="AI41" s="245">
        <f>AG41/AA41</f>
        <v>394.29427629607432</v>
      </c>
      <c r="AJ41" s="132"/>
      <c r="AK41" s="217" t="e">
        <f>(AI41/AI34-1)*100</f>
        <v>#DIV/0!</v>
      </c>
      <c r="AL41" s="230"/>
      <c r="AM41" s="230"/>
      <c r="AN41" s="145">
        <f>'segSales&amp;comps'!AM43</f>
        <v>20.681000000000001</v>
      </c>
      <c r="AO41" s="969">
        <f>'segSales&amp;comps'!AN43</f>
        <v>0</v>
      </c>
      <c r="AP41" s="969"/>
      <c r="AQ41" s="145"/>
      <c r="AR41" s="969"/>
      <c r="AT41" s="132"/>
      <c r="AU41" s="132"/>
      <c r="AV41" s="132"/>
      <c r="AW41" s="132"/>
    </row>
    <row r="42" spans="1:49" hidden="1" outlineLevel="1">
      <c r="A42" s="132" t="s">
        <v>2000</v>
      </c>
      <c r="B42" s="174" t="s">
        <v>1987</v>
      </c>
      <c r="C42" s="132"/>
      <c r="D42" s="288">
        <f>(R42/R35-1)*100</f>
        <v>21.665647654817043</v>
      </c>
      <c r="E42" s="256"/>
      <c r="F42" s="299">
        <f>'qtrP&amp;L'!X$12</f>
        <v>0</v>
      </c>
      <c r="G42" s="132"/>
      <c r="H42" s="145">
        <f>D42-F42</f>
        <v>21.665647654817043</v>
      </c>
      <c r="I42" s="230"/>
      <c r="J42" s="725">
        <f>Stores!D60+Stores!AX60</f>
        <v>69</v>
      </c>
      <c r="K42" s="132"/>
      <c r="L42" s="177">
        <f>AVERAGE(J42,J41)</f>
        <v>68</v>
      </c>
      <c r="M42" s="132"/>
      <c r="N42" s="145">
        <f>(L42/L35-1)*100</f>
        <v>28.301886792452823</v>
      </c>
      <c r="O42" s="230"/>
      <c r="P42" s="259">
        <f>H42/N42*100</f>
        <v>76.551955047020243</v>
      </c>
      <c r="Q42" s="138"/>
      <c r="R42" s="315">
        <f>'qtrP&amp;L'!V12-AN42-AQ42</f>
        <v>139.29500000000002</v>
      </c>
      <c r="S42" s="132"/>
      <c r="T42" s="147">
        <f>R42/L42</f>
        <v>2.0484558823529415</v>
      </c>
      <c r="U42" s="132"/>
      <c r="V42" s="217">
        <f>(T42/T35-1)*100</f>
        <v>-5.1723628572749476</v>
      </c>
      <c r="W42" s="230"/>
      <c r="X42" s="132"/>
      <c r="Y42" s="236">
        <f>Stores!G60+Stores!AH60</f>
        <v>0.34645000000000004</v>
      </c>
      <c r="Z42" s="132"/>
      <c r="AA42" s="254">
        <f>AVERAGE(Y42,Y41)</f>
        <v>0.34220000000000006</v>
      </c>
      <c r="AB42" s="132"/>
      <c r="AC42" s="145" t="e">
        <f>(AA42/AA35-1)*100</f>
        <v>#DIV/0!</v>
      </c>
      <c r="AD42" s="230"/>
      <c r="AE42" s="259" t="e">
        <f>+H42/AC42*100</f>
        <v>#DIV/0!</v>
      </c>
      <c r="AF42" s="138"/>
      <c r="AG42" s="142">
        <f>+R42</f>
        <v>139.29500000000002</v>
      </c>
      <c r="AH42" s="132"/>
      <c r="AI42" s="245">
        <f>AG42/AA42</f>
        <v>407.05727644652245</v>
      </c>
      <c r="AJ42" s="132"/>
      <c r="AK42" s="217" t="e">
        <f>(AI42/AI35-1)*100</f>
        <v>#DIV/0!</v>
      </c>
      <c r="AL42" s="230"/>
      <c r="AM42" s="230"/>
      <c r="AN42" s="145">
        <f>'segSales&amp;comps'!AM44</f>
        <v>20.795999999999999</v>
      </c>
      <c r="AO42" s="969">
        <f>'segSales&amp;comps'!AN44</f>
        <v>2.6456071076011778</v>
      </c>
      <c r="AP42" s="969"/>
      <c r="AQ42" s="145"/>
      <c r="AR42" s="969"/>
      <c r="AT42" s="132"/>
      <c r="AU42" s="132"/>
      <c r="AV42" s="132"/>
      <c r="AW42" s="132"/>
    </row>
    <row r="43" spans="1:49" hidden="1" outlineLevel="1">
      <c r="A43" s="132" t="s">
        <v>2001</v>
      </c>
      <c r="B43" s="174" t="s">
        <v>1988</v>
      </c>
      <c r="C43" s="132"/>
      <c r="D43" s="318">
        <f>(R43/R36-1)*100</f>
        <v>34.377913311093877</v>
      </c>
      <c r="E43" s="256"/>
      <c r="F43" s="298">
        <f>'qtrP&amp;L'!X$13</f>
        <v>0</v>
      </c>
      <c r="G43" s="132"/>
      <c r="H43" s="176">
        <f>D43-F43</f>
        <v>34.377913311093877</v>
      </c>
      <c r="I43" s="230"/>
      <c r="J43" s="725">
        <f>Stores!D61+Stores!AX61</f>
        <v>69</v>
      </c>
      <c r="K43" s="132"/>
      <c r="L43" s="178">
        <f>AVERAGE(J43,J42)</f>
        <v>69</v>
      </c>
      <c r="M43" s="132"/>
      <c r="N43" s="176">
        <f>(L43/L36-1)*100</f>
        <v>13.114754098360649</v>
      </c>
      <c r="O43" s="230"/>
      <c r="P43" s="178">
        <f>H43/N43*100</f>
        <v>262.13158899709094</v>
      </c>
      <c r="Q43" s="138"/>
      <c r="R43" s="316">
        <f>'qtrP&amp;L'!V13-AN43-AQ43</f>
        <v>239.27600000000001</v>
      </c>
      <c r="S43" s="132"/>
      <c r="T43" s="148">
        <f>R43/L43</f>
        <v>3.4677681159420293</v>
      </c>
      <c r="U43" s="132"/>
      <c r="V43" s="218">
        <f>(T43/T36-1)*100</f>
        <v>18.797865390967061</v>
      </c>
      <c r="W43" s="230"/>
      <c r="X43" s="132"/>
      <c r="Y43" s="956">
        <f>Stores!G61+Stores!AH61</f>
        <v>0.34645000000000004</v>
      </c>
      <c r="Z43" s="132"/>
      <c r="AA43" s="255">
        <f>AVERAGE(Y43,Y42)</f>
        <v>0.34645000000000004</v>
      </c>
      <c r="AB43" s="132"/>
      <c r="AC43" s="176">
        <f>(AA43/AA36-1)*100</f>
        <v>5.1601153437547564</v>
      </c>
      <c r="AD43" s="230"/>
      <c r="AE43" s="178">
        <f>+H43/AC43*100</f>
        <v>666.22373766704982</v>
      </c>
      <c r="AF43" s="138"/>
      <c r="AG43" s="146">
        <f>+R43</f>
        <v>239.27600000000001</v>
      </c>
      <c r="AH43" s="132"/>
      <c r="AI43" s="257">
        <f>AG43/AA43</f>
        <v>690.6508875739645</v>
      </c>
      <c r="AJ43" s="132"/>
      <c r="AK43" s="218">
        <f>(AI43/AI36-1)*100</f>
        <v>27.784106048029678</v>
      </c>
      <c r="AL43" s="230"/>
      <c r="AM43" s="230"/>
      <c r="AN43" s="145">
        <f>'segSales&amp;comps'!AM45</f>
        <v>0</v>
      </c>
      <c r="AO43" s="969">
        <f>'segSales&amp;comps'!AN45</f>
        <v>0</v>
      </c>
      <c r="AP43" s="969"/>
      <c r="AQ43" s="145"/>
      <c r="AR43" s="969"/>
      <c r="AT43" s="132"/>
      <c r="AU43" s="132"/>
      <c r="AV43" s="132"/>
      <c r="AW43" s="132"/>
    </row>
    <row r="44" spans="1:49" hidden="1" outlineLevel="1">
      <c r="A44" s="132"/>
      <c r="B44" s="174" t="s">
        <v>999</v>
      </c>
      <c r="C44" s="132"/>
      <c r="D44" s="288">
        <f>(R44/R37-1)*100</f>
        <v>20.58648061270738</v>
      </c>
      <c r="E44" s="256"/>
      <c r="F44" s="297">
        <f>'qtrP&amp;L'!X$14</f>
        <v>0</v>
      </c>
      <c r="G44" s="132"/>
      <c r="H44" s="145">
        <f>D44-F44</f>
        <v>20.58648061270738</v>
      </c>
      <c r="I44" s="230"/>
      <c r="J44" s="725">
        <f>Stores!D62+Stores!AX62</f>
        <v>69</v>
      </c>
      <c r="K44" s="132"/>
      <c r="L44" s="177">
        <f>AVERAGE(L40:L43)</f>
        <v>67</v>
      </c>
      <c r="M44" s="132"/>
      <c r="N44" s="145">
        <f>(L44/L37-1)*100</f>
        <v>35.353535353535356</v>
      </c>
      <c r="O44" s="230"/>
      <c r="P44" s="259">
        <f>H44/N44*100</f>
        <v>58.230330875943729</v>
      </c>
      <c r="Q44" s="138"/>
      <c r="R44" s="296">
        <f>SUM(R40:R43)</f>
        <v>622.54700000000003</v>
      </c>
      <c r="S44" s="132"/>
      <c r="T44" s="143">
        <f>SUM(T40:T43)</f>
        <v>9.2390305251014979</v>
      </c>
      <c r="U44" s="132"/>
      <c r="V44" s="217">
        <f>(T44/T37-1)*100</f>
        <v>-11.448538581062595</v>
      </c>
      <c r="W44" s="230"/>
      <c r="X44" s="132"/>
      <c r="Y44" s="236">
        <f>Stores!G62+Stores!AH62</f>
        <v>0.34645000000000004</v>
      </c>
      <c r="Z44" s="132"/>
      <c r="AA44" s="254">
        <f>AVERAGE(AA40:AA43)</f>
        <v>0.33794999999999997</v>
      </c>
      <c r="AB44" s="132"/>
      <c r="AC44" s="145">
        <f>(AA44/AA37-1)*100</f>
        <v>2.5800576718773671</v>
      </c>
      <c r="AD44" s="230"/>
      <c r="AE44" s="259">
        <f>+H44/AC44*100</f>
        <v>797.90776915958327</v>
      </c>
      <c r="AF44" s="138"/>
      <c r="AG44" s="141">
        <f>SUM(AG40:AG43)</f>
        <v>622.54700000000003</v>
      </c>
      <c r="AH44" s="132"/>
      <c r="AI44" s="244">
        <f>AG44/AA44</f>
        <v>1842.1275336588255</v>
      </c>
      <c r="AJ44" s="132"/>
      <c r="AK44" s="217">
        <f>(AI44/AI37-1)*100</f>
        <v>17.553531699530865</v>
      </c>
      <c r="AL44" s="230"/>
      <c r="AM44" s="230"/>
      <c r="AN44" s="145">
        <f>'segSales&amp;comps'!AM46</f>
        <v>92.683999999999997</v>
      </c>
      <c r="AO44" s="969">
        <f>'segSales&amp;comps'!AN46</f>
        <v>6.0105914513490788</v>
      </c>
      <c r="AP44" s="969"/>
      <c r="AQ44" s="145"/>
      <c r="AR44" s="969"/>
      <c r="AT44" s="132"/>
      <c r="AU44" s="132"/>
      <c r="AV44" s="132"/>
      <c r="AW44" s="132"/>
    </row>
    <row r="45" spans="1:49" hidden="1" outlineLevel="1">
      <c r="A45" s="132"/>
      <c r="B45" s="174"/>
      <c r="C45" s="132"/>
      <c r="D45" s="256"/>
      <c r="E45" s="256"/>
      <c r="F45" s="256"/>
      <c r="G45" s="132"/>
      <c r="H45" s="132"/>
      <c r="I45" s="132"/>
      <c r="J45" s="132"/>
      <c r="K45" s="132"/>
      <c r="L45" s="132"/>
      <c r="M45" s="132"/>
      <c r="N45" s="132"/>
      <c r="O45" s="132"/>
      <c r="P45" s="138"/>
      <c r="Q45" s="138"/>
      <c r="R45" s="256"/>
      <c r="S45" s="132"/>
      <c r="T45" s="132"/>
      <c r="U45" s="132"/>
      <c r="V45" s="132"/>
      <c r="W45" s="230"/>
      <c r="X45" s="132"/>
      <c r="Y45" s="132"/>
      <c r="Z45" s="132"/>
      <c r="AA45" s="132"/>
      <c r="AB45" s="132"/>
      <c r="AC45" s="132"/>
      <c r="AD45" s="132"/>
      <c r="AE45" s="138"/>
      <c r="AF45" s="138"/>
      <c r="AG45" s="132"/>
      <c r="AH45" s="132"/>
      <c r="AI45" s="132"/>
      <c r="AJ45" s="132"/>
      <c r="AK45" s="132"/>
      <c r="AL45" s="230"/>
      <c r="AM45" s="230"/>
      <c r="AN45" s="145"/>
      <c r="AO45" s="967"/>
      <c r="AP45" s="967"/>
      <c r="AQ45" s="145"/>
      <c r="AR45" s="967"/>
      <c r="AT45" s="132"/>
      <c r="AU45" s="132"/>
      <c r="AV45" s="132"/>
      <c r="AW45" s="132"/>
    </row>
    <row r="46" spans="1:49" hidden="1" outlineLevel="1" collapsed="1">
      <c r="A46" s="169"/>
      <c r="B46" s="171">
        <f>B39+1</f>
        <v>1995</v>
      </c>
      <c r="C46" s="132"/>
      <c r="D46" s="256"/>
      <c r="E46" s="256"/>
      <c r="F46" s="256"/>
      <c r="G46" s="132"/>
      <c r="H46" s="132"/>
      <c r="I46" s="132"/>
      <c r="J46" s="132"/>
      <c r="K46" s="132"/>
      <c r="L46" s="132"/>
      <c r="M46" s="132"/>
      <c r="N46" s="132"/>
      <c r="O46" s="132"/>
      <c r="P46" s="138"/>
      <c r="Q46" s="138"/>
      <c r="R46" s="256"/>
      <c r="S46" s="132"/>
      <c r="T46" s="132"/>
      <c r="U46" s="132"/>
      <c r="V46" s="132"/>
      <c r="W46" s="230"/>
      <c r="X46" s="132"/>
      <c r="Y46" s="132"/>
      <c r="Z46" s="132"/>
      <c r="AA46" s="132"/>
      <c r="AB46" s="132"/>
      <c r="AC46" s="132"/>
      <c r="AD46" s="132"/>
      <c r="AE46" s="138"/>
      <c r="AF46" s="138"/>
      <c r="AG46" s="132"/>
      <c r="AH46" s="132"/>
      <c r="AI46" s="132"/>
      <c r="AJ46" s="132"/>
      <c r="AK46" s="132"/>
      <c r="AL46" s="230"/>
      <c r="AM46" s="230"/>
      <c r="AN46" s="145"/>
      <c r="AO46" s="967"/>
      <c r="AP46" s="967"/>
      <c r="AQ46" s="145"/>
      <c r="AR46" s="967"/>
      <c r="AT46" s="132"/>
      <c r="AU46" s="132"/>
      <c r="AV46" s="132"/>
      <c r="AW46" s="132"/>
    </row>
    <row r="47" spans="1:49" hidden="1" outlineLevel="1">
      <c r="A47" s="132" t="str">
        <f>$A$40</f>
        <v>1Q</v>
      </c>
      <c r="B47" s="174" t="str">
        <f>$B$40</f>
        <v>Apr</v>
      </c>
      <c r="C47" s="132"/>
      <c r="D47" s="288">
        <f>(R47/R40-1)*100</f>
        <v>16.887010676156589</v>
      </c>
      <c r="E47" s="256" t="s">
        <v>1970</v>
      </c>
      <c r="F47" s="297">
        <f>'qtrP&amp;L'!AB$10</f>
        <v>0</v>
      </c>
      <c r="G47" s="132" t="s">
        <v>1970</v>
      </c>
      <c r="H47" s="145">
        <f>D47-F47</f>
        <v>16.887010676156589</v>
      </c>
      <c r="I47" s="230" t="s">
        <v>1970</v>
      </c>
      <c r="J47" s="725">
        <f>Stores!D65+Stores!AX65</f>
        <v>69</v>
      </c>
      <c r="K47" s="132"/>
      <c r="L47" s="132">
        <f>AVERAGE(J47,J43)</f>
        <v>69</v>
      </c>
      <c r="M47" s="132"/>
      <c r="N47" s="145">
        <f>(L47/L40-1)*100</f>
        <v>6.1538461538461542</v>
      </c>
      <c r="O47" s="230" t="s">
        <v>1970</v>
      </c>
      <c r="P47" s="259">
        <f>H47/N47*100</f>
        <v>274.41392348754454</v>
      </c>
      <c r="Q47" s="138" t="s">
        <v>1970</v>
      </c>
      <c r="R47" s="296">
        <f>'qtrP&amp;L'!Z10-AN47-AQ47</f>
        <v>131.381</v>
      </c>
      <c r="S47" s="132"/>
      <c r="T47" s="143">
        <f>R47/L47</f>
        <v>1.9040724637681159</v>
      </c>
      <c r="U47" s="132"/>
      <c r="V47" s="217">
        <f>(T47/T40-1)*100</f>
        <v>10.11095208623447</v>
      </c>
      <c r="W47" s="230" t="s">
        <v>1970</v>
      </c>
      <c r="X47" s="132"/>
      <c r="Y47" s="236">
        <f>Stores!G65+Stores!AH65</f>
        <v>0.34645000000000004</v>
      </c>
      <c r="Z47" s="132"/>
      <c r="AA47" s="254">
        <f>AVERAGE(Y47,Y43)</f>
        <v>0.34645000000000004</v>
      </c>
      <c r="AB47" s="132"/>
      <c r="AC47" s="145">
        <f>(AA47/AA40-1)*100</f>
        <v>5.1601153437547564</v>
      </c>
      <c r="AD47" s="230" t="s">
        <v>1970</v>
      </c>
      <c r="AE47" s="259">
        <f>+H47/AC47*100</f>
        <v>327.26033336822195</v>
      </c>
      <c r="AF47" s="138" t="s">
        <v>1970</v>
      </c>
      <c r="AG47" s="141">
        <f>+R47</f>
        <v>131.381</v>
      </c>
      <c r="AH47" s="132"/>
      <c r="AI47" s="244">
        <f>AG47/AA47</f>
        <v>379.22066676288063</v>
      </c>
      <c r="AJ47" s="132"/>
      <c r="AK47" s="145">
        <f>(AI47/AI40-1)*100</f>
        <v>11.151466783835451</v>
      </c>
      <c r="AL47" s="230" t="s">
        <v>1970</v>
      </c>
      <c r="AM47" s="230"/>
      <c r="AN47" s="145">
        <f>'segSales&amp;comps'!AM49</f>
        <v>18.763000000000002</v>
      </c>
      <c r="AO47" s="969">
        <f>'segSales&amp;comps'!AN49</f>
        <v>-0.233955442122602</v>
      </c>
      <c r="AP47" s="969"/>
      <c r="AQ47" s="145"/>
      <c r="AR47" s="969"/>
      <c r="AT47" s="132"/>
      <c r="AU47" s="132"/>
      <c r="AV47" s="132"/>
      <c r="AW47" s="132"/>
    </row>
    <row r="48" spans="1:49" hidden="1" outlineLevel="1">
      <c r="A48" s="132" t="str">
        <f>$A$41</f>
        <v>2Q</v>
      </c>
      <c r="B48" s="174" t="str">
        <f>$B$41</f>
        <v>Jul</v>
      </c>
      <c r="C48" s="132"/>
      <c r="D48" s="288">
        <f>(R48/R41-1)*100</f>
        <v>24.889797531464698</v>
      </c>
      <c r="E48" s="256"/>
      <c r="F48" s="297">
        <f>'qtrP&amp;L'!AB$11</f>
        <v>0</v>
      </c>
      <c r="G48" s="132"/>
      <c r="H48" s="145">
        <f>D48-F48</f>
        <v>24.889797531464698</v>
      </c>
      <c r="I48" s="230"/>
      <c r="J48" s="725">
        <f>Stores!D66+Stores!AX66</f>
        <v>71</v>
      </c>
      <c r="K48" s="132"/>
      <c r="L48" s="177">
        <f>AVERAGE(J48,J47)</f>
        <v>70</v>
      </c>
      <c r="M48" s="132"/>
      <c r="N48" s="145">
        <f>(L48/L41-1)*100</f>
        <v>6.0606060606060552</v>
      </c>
      <c r="O48" s="230"/>
      <c r="P48" s="259">
        <f>H48/N48*100</f>
        <v>410.68165926916788</v>
      </c>
      <c r="Q48" s="138"/>
      <c r="R48" s="315">
        <f>'qtrP&amp;L'!Z11-AN48-AQ48</f>
        <v>164.32499999999999</v>
      </c>
      <c r="S48" s="132"/>
      <c r="T48" s="147">
        <f>R48/L48</f>
        <v>2.3474999999999997</v>
      </c>
      <c r="U48" s="132"/>
      <c r="V48" s="217">
        <f>(T48/T41-1)*100</f>
        <v>17.753237672523859</v>
      </c>
      <c r="W48" s="230"/>
      <c r="X48" s="132"/>
      <c r="Y48" s="236">
        <f>Stores!G66+Stores!AH66</f>
        <v>0.35445000000000004</v>
      </c>
      <c r="Z48" s="132"/>
      <c r="AA48" s="254">
        <f>AVERAGE(Y48,Y47)</f>
        <v>0.35045000000000004</v>
      </c>
      <c r="AB48" s="132"/>
      <c r="AC48" s="145">
        <f>(AA48/AA41-1)*100</f>
        <v>5.0194785735690806</v>
      </c>
      <c r="AD48" s="230"/>
      <c r="AE48" s="259">
        <f>+H48/AC48*100</f>
        <v>495.86420514923935</v>
      </c>
      <c r="AF48" s="138"/>
      <c r="AG48" s="142">
        <f>+R48</f>
        <v>164.32499999999999</v>
      </c>
      <c r="AH48" s="132"/>
      <c r="AI48" s="245">
        <f>AG48/AA48</f>
        <v>468.89713225852466</v>
      </c>
      <c r="AJ48" s="132"/>
      <c r="AK48" s="217">
        <f>(AI48/AI41-1)*100</f>
        <v>18.920603327863496</v>
      </c>
      <c r="AL48" s="230"/>
      <c r="AM48" s="230"/>
      <c r="AN48" s="145">
        <f>'segSales&amp;comps'!AM50</f>
        <v>20.356999999999999</v>
      </c>
      <c r="AO48" s="969">
        <f>'segSales&amp;comps'!AN50</f>
        <v>-1.5666553841690467</v>
      </c>
      <c r="AP48" s="969"/>
      <c r="AQ48" s="145"/>
      <c r="AR48" s="969"/>
      <c r="AT48" s="132"/>
      <c r="AU48" s="132"/>
      <c r="AV48" s="132"/>
      <c r="AW48" s="132"/>
    </row>
    <row r="49" spans="1:49" hidden="1" outlineLevel="1">
      <c r="A49" s="132" t="str">
        <f>$A$42</f>
        <v>3Q</v>
      </c>
      <c r="B49" s="174" t="str">
        <f>$B$42</f>
        <v>Oct</v>
      </c>
      <c r="C49" s="132"/>
      <c r="D49" s="288">
        <f>(R49/R42-1)*100</f>
        <v>19.850676621558549</v>
      </c>
      <c r="E49" s="256"/>
      <c r="F49" s="297">
        <f>'qtrP&amp;L'!AB$12</f>
        <v>0</v>
      </c>
      <c r="G49" s="132"/>
      <c r="H49" s="145">
        <f>D49-F49</f>
        <v>19.850676621558549</v>
      </c>
      <c r="I49" s="230"/>
      <c r="J49" s="725">
        <f>Stores!D67+Stores!AX67</f>
        <v>73</v>
      </c>
      <c r="K49" s="132"/>
      <c r="L49" s="177">
        <f>AVERAGE(J49,J48)</f>
        <v>72</v>
      </c>
      <c r="M49" s="132"/>
      <c r="N49" s="145">
        <f>(L49/L42-1)*100</f>
        <v>5.8823529411764719</v>
      </c>
      <c r="O49" s="230"/>
      <c r="P49" s="259">
        <f>H49/N49*100</f>
        <v>337.46150256649526</v>
      </c>
      <c r="Q49" s="138"/>
      <c r="R49" s="315">
        <f>'qtrP&amp;L'!Z12-AN49-AQ49</f>
        <v>166.946</v>
      </c>
      <c r="S49" s="132"/>
      <c r="T49" s="147">
        <f>R49/L49</f>
        <v>2.3186944444444446</v>
      </c>
      <c r="U49" s="132"/>
      <c r="V49" s="217">
        <f>(T49/T42-1)*100</f>
        <v>13.192305698138629</v>
      </c>
      <c r="W49" s="230"/>
      <c r="X49" s="132"/>
      <c r="Y49" s="236">
        <f>Stores!G67+Stores!AH67</f>
        <v>0.36245000000000005</v>
      </c>
      <c r="Z49" s="132"/>
      <c r="AA49" s="254">
        <f>AVERAGE(Y49,Y48)</f>
        <v>0.35845000000000005</v>
      </c>
      <c r="AB49" s="132"/>
      <c r="AC49" s="145">
        <f>(AA49/AA42-1)*100</f>
        <v>4.7486849795441266</v>
      </c>
      <c r="AD49" s="230"/>
      <c r="AE49" s="259">
        <f>+H49/AC49*100</f>
        <v>418.02471014752831</v>
      </c>
      <c r="AF49" s="138"/>
      <c r="AG49" s="142">
        <f>+R49</f>
        <v>166.946</v>
      </c>
      <c r="AH49" s="132"/>
      <c r="AI49" s="245">
        <f>AG49/AA49</f>
        <v>465.74417631468816</v>
      </c>
      <c r="AJ49" s="132"/>
      <c r="AK49" s="217">
        <f>(AI49/AI42-1)*100</f>
        <v>14.417356785876233</v>
      </c>
      <c r="AL49" s="230"/>
      <c r="AM49" s="230"/>
      <c r="AN49" s="145">
        <f>'segSales&amp;comps'!AM51</f>
        <v>20.82</v>
      </c>
      <c r="AO49" s="969">
        <f>'segSales&amp;comps'!AN51</f>
        <v>0.11540680900172795</v>
      </c>
      <c r="AP49" s="969"/>
      <c r="AQ49" s="145"/>
      <c r="AR49" s="969"/>
      <c r="AT49" s="132"/>
      <c r="AU49" s="132"/>
      <c r="AV49" s="132"/>
      <c r="AW49" s="132"/>
    </row>
    <row r="50" spans="1:49" hidden="1" outlineLevel="1">
      <c r="A50" s="132" t="str">
        <f>$A$43</f>
        <v>4Q</v>
      </c>
      <c r="B50" s="174" t="str">
        <f>$B$43</f>
        <v>Jan</v>
      </c>
      <c r="C50" s="132"/>
      <c r="D50" s="318">
        <f>(R50/R43-1)*100</f>
        <v>3.3781072903257936</v>
      </c>
      <c r="E50" s="256"/>
      <c r="F50" s="298">
        <f>'qtrP&amp;L'!AB$13</f>
        <v>0</v>
      </c>
      <c r="G50" s="132"/>
      <c r="H50" s="176">
        <f>D50-F50</f>
        <v>3.3781072903257936</v>
      </c>
      <c r="I50" s="230"/>
      <c r="J50" s="725">
        <f>Stores!D68+Stores!AX68</f>
        <v>75</v>
      </c>
      <c r="K50" s="132"/>
      <c r="L50" s="178">
        <f>AVERAGE(J50,J49)</f>
        <v>74</v>
      </c>
      <c r="M50" s="132"/>
      <c r="N50" s="176">
        <f>(L50/L43-1)*100</f>
        <v>7.2463768115942129</v>
      </c>
      <c r="O50" s="230"/>
      <c r="P50" s="178">
        <f>H50/N50*100</f>
        <v>46.617880606495888</v>
      </c>
      <c r="Q50" s="138"/>
      <c r="R50" s="316">
        <f>'qtrP&amp;L'!Z13-AN50-AQ50</f>
        <v>247.35899999999998</v>
      </c>
      <c r="S50" s="132"/>
      <c r="T50" s="148">
        <f>R50/L50</f>
        <v>3.3426891891891888</v>
      </c>
      <c r="U50" s="132"/>
      <c r="V50" s="218">
        <f>(T50/T43-1)*100</f>
        <v>-3.6068999590205375</v>
      </c>
      <c r="W50" s="230"/>
      <c r="X50" s="132"/>
      <c r="Y50" s="956">
        <f>Stores!G68+Stores!AH68</f>
        <v>0.37045</v>
      </c>
      <c r="Z50" s="132"/>
      <c r="AA50" s="255">
        <f>AVERAGE(Y50,Y49)</f>
        <v>0.36645000000000005</v>
      </c>
      <c r="AB50" s="132"/>
      <c r="AC50" s="176">
        <f>(AA50/AA43-1)*100</f>
        <v>5.7728387934766978</v>
      </c>
      <c r="AD50" s="230"/>
      <c r="AE50" s="178">
        <f>+H50/AC50*100</f>
        <v>58.517263536668509</v>
      </c>
      <c r="AF50" s="138"/>
      <c r="AG50" s="146">
        <f>+R50</f>
        <v>247.35899999999998</v>
      </c>
      <c r="AH50" s="132"/>
      <c r="AI50" s="257">
        <f>AG50/AA50</f>
        <v>675.0143266475643</v>
      </c>
      <c r="AJ50" s="132"/>
      <c r="AK50" s="218">
        <f>(AI50/AI43-1)*100</f>
        <v>-2.2640325535997485</v>
      </c>
      <c r="AL50" s="230"/>
      <c r="AM50" s="230"/>
      <c r="AN50" s="145">
        <f>'segSales&amp;comps'!AM52</f>
        <v>33.341000000000001</v>
      </c>
      <c r="AO50" s="969">
        <f>'segSales&amp;comps'!AN52</f>
        <v>0</v>
      </c>
      <c r="AP50" s="969"/>
      <c r="AQ50" s="145"/>
      <c r="AR50" s="969"/>
      <c r="AT50" s="132"/>
      <c r="AU50" s="132"/>
      <c r="AV50" s="132"/>
      <c r="AW50" s="132"/>
    </row>
    <row r="51" spans="1:49" hidden="1" outlineLevel="1">
      <c r="A51" s="132"/>
      <c r="B51" s="174" t="str">
        <f>$B$44</f>
        <v>Year</v>
      </c>
      <c r="C51" s="132"/>
      <c r="D51" s="288">
        <f>(R51/R44-1)*100</f>
        <v>14.049381010590345</v>
      </c>
      <c r="E51" s="256"/>
      <c r="F51" s="297">
        <f>'qtrP&amp;L'!AB$14</f>
        <v>0</v>
      </c>
      <c r="G51" s="132"/>
      <c r="H51" s="145">
        <f>D51-F51</f>
        <v>14.049381010590345</v>
      </c>
      <c r="I51" s="230"/>
      <c r="J51" s="725">
        <f>Stores!D69+Stores!AX69</f>
        <v>75</v>
      </c>
      <c r="K51" s="132"/>
      <c r="L51" s="177">
        <f>AVERAGE(L47:L50)</f>
        <v>71.25</v>
      </c>
      <c r="M51" s="132"/>
      <c r="N51" s="145">
        <f>(L51/L44-1)*100</f>
        <v>6.3432835820895539</v>
      </c>
      <c r="O51" s="230"/>
      <c r="P51" s="259">
        <f>H51/N51*100</f>
        <v>221.48435946107128</v>
      </c>
      <c r="Q51" s="138"/>
      <c r="R51" s="296">
        <f>SUM(R47:R50)</f>
        <v>710.01099999999997</v>
      </c>
      <c r="S51" s="132"/>
      <c r="T51" s="143">
        <f>SUM(T47:T50)</f>
        <v>9.9129560974017501</v>
      </c>
      <c r="U51" s="132"/>
      <c r="V51" s="217">
        <f>(T51/T44-1)*100</f>
        <v>7.2943321322433752</v>
      </c>
      <c r="W51" s="230"/>
      <c r="X51" s="132"/>
      <c r="Y51" s="236">
        <f>Stores!G69+Stores!AH69</f>
        <v>0.37045</v>
      </c>
      <c r="Z51" s="132"/>
      <c r="AA51" s="254">
        <f>AVERAGE(AA47:AA50)</f>
        <v>0.35545000000000004</v>
      </c>
      <c r="AB51" s="132"/>
      <c r="AC51" s="145">
        <f>(AA51/AA44-1)*100</f>
        <v>5.1782808107708522</v>
      </c>
      <c r="AD51" s="230"/>
      <c r="AE51" s="259">
        <f>+H51/AC51*100</f>
        <v>271.31361785879892</v>
      </c>
      <c r="AF51" s="138"/>
      <c r="AG51" s="141">
        <f>SUM(AG47:AG50)</f>
        <v>710.01099999999997</v>
      </c>
      <c r="AH51" s="132"/>
      <c r="AI51" s="244">
        <f>AG51/AA51</f>
        <v>1997.4989449992963</v>
      </c>
      <c r="AJ51" s="132"/>
      <c r="AK51" s="217">
        <f>(AI51/AI44-1)*100</f>
        <v>8.4343460754789703</v>
      </c>
      <c r="AL51" s="230"/>
      <c r="AM51" s="230"/>
      <c r="AN51" s="145">
        <f>'segSales&amp;comps'!AM53</f>
        <v>93.281000000000006</v>
      </c>
      <c r="AO51" s="969">
        <f>'segSales&amp;comps'!AN53</f>
        <v>0.644124120668077</v>
      </c>
      <c r="AP51" s="969"/>
      <c r="AQ51" s="145"/>
      <c r="AR51" s="969"/>
      <c r="AT51" s="132"/>
      <c r="AU51" s="132"/>
      <c r="AV51" s="132"/>
      <c r="AW51" s="132"/>
    </row>
    <row r="52" spans="1:49" hidden="1" outlineLevel="1">
      <c r="A52" s="132"/>
      <c r="B52" s="174"/>
      <c r="C52" s="132"/>
      <c r="D52" s="256"/>
      <c r="E52" s="256"/>
      <c r="F52" s="256"/>
      <c r="G52" s="132"/>
      <c r="H52" s="132"/>
      <c r="I52" s="230"/>
      <c r="J52" s="139"/>
      <c r="K52" s="132"/>
      <c r="L52" s="132"/>
      <c r="M52" s="132"/>
      <c r="N52" s="132"/>
      <c r="O52" s="230"/>
      <c r="P52" s="138"/>
      <c r="Q52" s="138"/>
      <c r="R52" s="256"/>
      <c r="S52" s="132"/>
      <c r="T52" s="132"/>
      <c r="U52" s="132"/>
      <c r="V52" s="132"/>
      <c r="W52" s="230"/>
      <c r="X52" s="132"/>
      <c r="Y52" s="139"/>
      <c r="Z52" s="132"/>
      <c r="AA52" s="132"/>
      <c r="AB52" s="132"/>
      <c r="AC52" s="132"/>
      <c r="AD52" s="230"/>
      <c r="AE52" s="138"/>
      <c r="AF52" s="138"/>
      <c r="AG52" s="132"/>
      <c r="AH52" s="132"/>
      <c r="AI52" s="132"/>
      <c r="AJ52" s="132"/>
      <c r="AK52" s="132"/>
      <c r="AL52" s="230"/>
      <c r="AM52" s="230"/>
      <c r="AN52" s="145"/>
      <c r="AO52" s="967"/>
      <c r="AP52" s="967"/>
      <c r="AQ52" s="145"/>
      <c r="AR52" s="967"/>
      <c r="AT52" s="132"/>
      <c r="AU52" s="132"/>
      <c r="AV52" s="132"/>
      <c r="AW52" s="132"/>
    </row>
    <row r="53" spans="1:49" hidden="1" outlineLevel="1">
      <c r="A53" s="169"/>
      <c r="B53" s="171">
        <f>B46+1</f>
        <v>1996</v>
      </c>
      <c r="C53" s="132"/>
      <c r="D53" s="256"/>
      <c r="E53" s="256"/>
      <c r="F53" s="256"/>
      <c r="G53" s="132"/>
      <c r="H53" s="132"/>
      <c r="I53" s="230"/>
      <c r="J53" s="139"/>
      <c r="K53" s="132"/>
      <c r="L53" s="132"/>
      <c r="M53" s="132"/>
      <c r="N53" s="132"/>
      <c r="O53" s="230"/>
      <c r="P53" s="138"/>
      <c r="Q53" s="138"/>
      <c r="R53" s="256"/>
      <c r="S53" s="132"/>
      <c r="T53" s="132"/>
      <c r="U53" s="132"/>
      <c r="V53" s="132"/>
      <c r="W53" s="230"/>
      <c r="X53" s="132"/>
      <c r="Y53" s="139"/>
      <c r="Z53" s="132"/>
      <c r="AA53" s="132"/>
      <c r="AB53" s="132"/>
      <c r="AC53" s="132"/>
      <c r="AD53" s="230"/>
      <c r="AE53" s="138"/>
      <c r="AF53" s="138"/>
      <c r="AG53" s="132"/>
      <c r="AH53" s="132"/>
      <c r="AI53" s="132"/>
      <c r="AJ53" s="132"/>
      <c r="AK53" s="132"/>
      <c r="AL53" s="230"/>
      <c r="AM53" s="230"/>
      <c r="AN53" s="145"/>
      <c r="AO53" s="967"/>
      <c r="AP53" s="967"/>
      <c r="AQ53" s="145"/>
      <c r="AR53" s="967"/>
      <c r="AT53" s="132"/>
      <c r="AU53" s="132"/>
      <c r="AV53" s="132"/>
      <c r="AW53" s="132"/>
    </row>
    <row r="54" spans="1:49" hidden="1" outlineLevel="1">
      <c r="A54" s="132" t="str">
        <f>$A$40</f>
        <v>1Q</v>
      </c>
      <c r="B54" s="174" t="str">
        <f>$B$40</f>
        <v>Apr</v>
      </c>
      <c r="C54" s="132"/>
      <c r="D54" s="288">
        <f>(R54/R47-1)*100</f>
        <v>23.170778118601621</v>
      </c>
      <c r="E54" s="256" t="s">
        <v>1970</v>
      </c>
      <c r="F54" s="297">
        <f>'qtrP&amp;L'!AF10</f>
        <v>0</v>
      </c>
      <c r="G54" s="132" t="s">
        <v>1970</v>
      </c>
      <c r="H54" s="145">
        <f>D54-F54</f>
        <v>23.170778118601621</v>
      </c>
      <c r="I54" s="230" t="s">
        <v>1970</v>
      </c>
      <c r="J54" s="725">
        <f>Stores!D72+Stores!AX72</f>
        <v>76</v>
      </c>
      <c r="K54" s="132"/>
      <c r="L54" s="177">
        <f>AVERAGE(J54,J50)</f>
        <v>75.5</v>
      </c>
      <c r="M54" s="132"/>
      <c r="N54" s="145">
        <f>(L54/L47-1)*100</f>
        <v>9.4202898550724612</v>
      </c>
      <c r="O54" s="230" t="s">
        <v>1970</v>
      </c>
      <c r="P54" s="259">
        <f>H54/N54*100</f>
        <v>245.96672156669422</v>
      </c>
      <c r="Q54" s="138" t="s">
        <v>1970</v>
      </c>
      <c r="R54" s="296">
        <f>'qtrP&amp;L'!AD10-AN54-AQ54</f>
        <v>161.82300000000001</v>
      </c>
      <c r="S54" s="132"/>
      <c r="T54" s="143">
        <f>R54/L54</f>
        <v>2.1433509933774837</v>
      </c>
      <c r="U54" s="132"/>
      <c r="V54" s="145">
        <f>(T54/T47-1)*100</f>
        <v>12.566671393159123</v>
      </c>
      <c r="W54" s="230" t="s">
        <v>1970</v>
      </c>
      <c r="X54" s="132"/>
      <c r="Y54" s="236">
        <f>Stores!G72+Stores!AH72</f>
        <v>0.37319999999999998</v>
      </c>
      <c r="Z54" s="132"/>
      <c r="AA54" s="254">
        <f>AVERAGE(Y54,Y50)</f>
        <v>0.37182499999999996</v>
      </c>
      <c r="AB54" s="132"/>
      <c r="AC54" s="145">
        <f>(AA54/AA47-1)*100</f>
        <v>7.3242892192235232</v>
      </c>
      <c r="AD54" s="230" t="s">
        <v>1970</v>
      </c>
      <c r="AE54" s="259">
        <f>+H54/AC54*100</f>
        <v>316.35531346559861</v>
      </c>
      <c r="AF54" s="138" t="s">
        <v>1970</v>
      </c>
      <c r="AG54" s="141">
        <f>+R54</f>
        <v>161.82300000000001</v>
      </c>
      <c r="AH54" s="132"/>
      <c r="AI54" s="244">
        <f>AG54/AA54</f>
        <v>435.21280172123988</v>
      </c>
      <c r="AJ54" s="132"/>
      <c r="AK54" s="145">
        <f>(AI54/AI47-1)*100</f>
        <v>14.76505366554035</v>
      </c>
      <c r="AL54" s="230" t="s">
        <v>1970</v>
      </c>
      <c r="AM54" s="230"/>
      <c r="AN54" s="145">
        <f>'segSales&amp;comps'!AM56</f>
        <v>18.917999999999999</v>
      </c>
      <c r="AO54" s="969">
        <f>'segSales&amp;comps'!AN56</f>
        <v>0.82609390822361295</v>
      </c>
      <c r="AP54" s="969"/>
      <c r="AQ54" s="145"/>
      <c r="AR54" s="969"/>
      <c r="AT54" s="132"/>
      <c r="AU54" s="132"/>
      <c r="AV54" s="132"/>
      <c r="AW54" s="132"/>
    </row>
    <row r="55" spans="1:49" hidden="1" outlineLevel="1">
      <c r="A55" s="132" t="str">
        <f>$A$41</f>
        <v>2Q</v>
      </c>
      <c r="B55" s="174" t="str">
        <f>$B$41</f>
        <v>Jul</v>
      </c>
      <c r="C55" s="132"/>
      <c r="D55" s="288">
        <f>(R55/R48-1)*100</f>
        <v>9.9376236117450176</v>
      </c>
      <c r="E55" s="256"/>
      <c r="F55" s="297">
        <f>'qtrP&amp;L'!AF11</f>
        <v>0</v>
      </c>
      <c r="G55" s="132"/>
      <c r="H55" s="145">
        <f>D55-F55</f>
        <v>9.9376236117450176</v>
      </c>
      <c r="I55" s="230"/>
      <c r="J55" s="725">
        <f>Stores!D73+Stores!AX73</f>
        <v>78</v>
      </c>
      <c r="K55" s="132"/>
      <c r="L55" s="177">
        <f>AVERAGE(J55,J54)</f>
        <v>77</v>
      </c>
      <c r="M55" s="132"/>
      <c r="N55" s="145">
        <f>(L55/L48-1)*100</f>
        <v>10.000000000000009</v>
      </c>
      <c r="O55" s="230"/>
      <c r="P55" s="259">
        <f>H55/N55*100</f>
        <v>99.376236117450091</v>
      </c>
      <c r="Q55" s="138"/>
      <c r="R55" s="315">
        <f>'qtrP&amp;L'!AD11-AN55-AQ55</f>
        <v>180.655</v>
      </c>
      <c r="S55" s="132"/>
      <c r="T55" s="147">
        <f>R55/L55</f>
        <v>2.3461688311688311</v>
      </c>
      <c r="U55" s="132"/>
      <c r="V55" s="145">
        <f>(T55/T48-1)*100</f>
        <v>-5.6705807504520145E-2</v>
      </c>
      <c r="W55" s="230"/>
      <c r="X55" s="132"/>
      <c r="Y55" s="236">
        <f>Stores!G73+Stores!AH73</f>
        <v>0.38245000000000001</v>
      </c>
      <c r="Z55" s="132"/>
      <c r="AA55" s="254">
        <f>AVERAGE(Y55,Y54)</f>
        <v>0.37782499999999997</v>
      </c>
      <c r="AB55" s="132"/>
      <c r="AC55" s="145">
        <f>(AA55/AA48-1)*100</f>
        <v>7.811385361677825</v>
      </c>
      <c r="AD55" s="230"/>
      <c r="AE55" s="259">
        <f>+H55/AC55*100</f>
        <v>127.21973314104289</v>
      </c>
      <c r="AF55" s="138"/>
      <c r="AG55" s="142">
        <f>+R55</f>
        <v>180.655</v>
      </c>
      <c r="AH55" s="132"/>
      <c r="AI55" s="245">
        <f>AG55/AA55</f>
        <v>478.14464368424541</v>
      </c>
      <c r="AJ55" s="132"/>
      <c r="AK55" s="145">
        <f>(AI55/AI48-1)*100</f>
        <v>1.9721834043169517</v>
      </c>
      <c r="AL55" s="230"/>
      <c r="AM55" s="230"/>
      <c r="AN55" s="145">
        <f>'segSales&amp;comps'!AM57</f>
        <v>22.108000000000001</v>
      </c>
      <c r="AO55" s="969">
        <f>'segSales&amp;comps'!AN57</f>
        <v>8.6014638699219113</v>
      </c>
      <c r="AP55" s="969"/>
      <c r="AQ55" s="145"/>
      <c r="AR55" s="969"/>
      <c r="AT55" s="132"/>
      <c r="AU55" s="132"/>
      <c r="AV55" s="132"/>
      <c r="AW55" s="132"/>
    </row>
    <row r="56" spans="1:49" hidden="1" outlineLevel="1">
      <c r="A56" s="132" t="str">
        <f>$A$42</f>
        <v>3Q</v>
      </c>
      <c r="B56" s="174" t="str">
        <f>$B$42</f>
        <v>Oct</v>
      </c>
      <c r="C56" s="132"/>
      <c r="D56" s="288">
        <f>(R56/R49-1)*100</f>
        <v>12.87422280258288</v>
      </c>
      <c r="E56" s="256"/>
      <c r="F56" s="297">
        <f>'qtrP&amp;L'!AF12</f>
        <v>0</v>
      </c>
      <c r="G56" s="132"/>
      <c r="H56" s="145">
        <f>D56-F56</f>
        <v>12.87422280258288</v>
      </c>
      <c r="I56" s="230"/>
      <c r="J56" s="725">
        <f>Stores!D74+Stores!AX74</f>
        <v>80</v>
      </c>
      <c r="K56" s="132"/>
      <c r="L56" s="177">
        <f>AVERAGE(J56,J55)</f>
        <v>79</v>
      </c>
      <c r="M56" s="132"/>
      <c r="N56" s="145">
        <f>(L56/L49-1)*100</f>
        <v>9.7222222222222321</v>
      </c>
      <c r="O56" s="230"/>
      <c r="P56" s="259">
        <f>H56/N56*100</f>
        <v>132.4205773979952</v>
      </c>
      <c r="Q56" s="138"/>
      <c r="R56" s="315">
        <f>'qtrP&amp;L'!AD12-AN56-AQ56</f>
        <v>188.43900000000002</v>
      </c>
      <c r="S56" s="132"/>
      <c r="T56" s="147">
        <f>R56/L56</f>
        <v>2.3853037974683549</v>
      </c>
      <c r="U56" s="132"/>
      <c r="V56" s="145">
        <f>(T56/T49-1)*100</f>
        <v>2.8727093896957934</v>
      </c>
      <c r="W56" s="230"/>
      <c r="X56" s="132"/>
      <c r="Y56" s="236">
        <f>Stores!G74+Stores!AH74</f>
        <v>0.39170000000000005</v>
      </c>
      <c r="Z56" s="132"/>
      <c r="AA56" s="254">
        <f>AVERAGE(Y56,Y55)</f>
        <v>0.38707500000000006</v>
      </c>
      <c r="AB56" s="132"/>
      <c r="AC56" s="145">
        <f>(AA56/AA49-1)*100</f>
        <v>7.9857720742084082</v>
      </c>
      <c r="AD56" s="230"/>
      <c r="AE56" s="259">
        <f>+H56/AC56*100</f>
        <v>161.2145035313826</v>
      </c>
      <c r="AF56" s="138"/>
      <c r="AG56" s="142">
        <f>+R56</f>
        <v>188.43900000000002</v>
      </c>
      <c r="AH56" s="132"/>
      <c r="AI56" s="245">
        <f>AG56/AA56</f>
        <v>486.82813408254214</v>
      </c>
      <c r="AJ56" s="132"/>
      <c r="AK56" s="145">
        <f>(AI56/AI49-1)*100</f>
        <v>4.5269396462851885</v>
      </c>
      <c r="AL56" s="230"/>
      <c r="AM56" s="230"/>
      <c r="AN56" s="145">
        <f>'segSales&amp;comps'!AM58</f>
        <v>22.545999999999999</v>
      </c>
      <c r="AO56" s="969">
        <f>'segSales&amp;comps'!AN58</f>
        <v>8.2901056676272677</v>
      </c>
      <c r="AP56" s="969"/>
      <c r="AQ56" s="145"/>
      <c r="AR56" s="969"/>
      <c r="AT56" s="132"/>
      <c r="AU56" s="132"/>
      <c r="AV56" s="132"/>
      <c r="AW56" s="132"/>
    </row>
    <row r="57" spans="1:49" hidden="1" outlineLevel="1">
      <c r="A57" s="132" t="str">
        <f>$A$43</f>
        <v>4Q</v>
      </c>
      <c r="B57" s="174" t="str">
        <f>$B$43</f>
        <v>Jan</v>
      </c>
      <c r="C57" s="132"/>
      <c r="D57" s="318">
        <f>(R57/R50-1)*100</f>
        <v>17.484708460173294</v>
      </c>
      <c r="E57" s="256"/>
      <c r="F57" s="298">
        <f>'qtrP&amp;L'!AF13</f>
        <v>0</v>
      </c>
      <c r="G57" s="132"/>
      <c r="H57" s="176">
        <f>D57-F57</f>
        <v>17.484708460173294</v>
      </c>
      <c r="I57" s="230"/>
      <c r="J57" s="725">
        <f>Stores!D75+Stores!AX75</f>
        <v>81</v>
      </c>
      <c r="K57" s="132"/>
      <c r="L57" s="178">
        <f>AVERAGE(J57,J56)</f>
        <v>80.5</v>
      </c>
      <c r="M57" s="132"/>
      <c r="N57" s="176">
        <f>(L57/L50-1)*100</f>
        <v>8.7837837837837931</v>
      </c>
      <c r="O57" s="230"/>
      <c r="P57" s="178">
        <f>H57/N57*100</f>
        <v>199.05668093120346</v>
      </c>
      <c r="Q57" s="138"/>
      <c r="R57" s="316">
        <f>'qtrP&amp;L'!AD13-AN57-AQ57</f>
        <v>290.60900000000004</v>
      </c>
      <c r="S57" s="132"/>
      <c r="T57" s="148">
        <f>R57/L57</f>
        <v>3.6100496894409941</v>
      </c>
      <c r="U57" s="132"/>
      <c r="V57" s="176">
        <f>(T57/T50-1)*100</f>
        <v>7.9983655410288623</v>
      </c>
      <c r="W57" s="230"/>
      <c r="X57" s="132"/>
      <c r="Y57" s="956">
        <f>Stores!G75+Stores!AH75</f>
        <v>0.39444999999999997</v>
      </c>
      <c r="Z57" s="132"/>
      <c r="AA57" s="255">
        <f>AVERAGE(Y57,Y56)</f>
        <v>0.39307500000000001</v>
      </c>
      <c r="AB57" s="132"/>
      <c r="AC57" s="176">
        <f>(AA57/AA50-1)*100</f>
        <v>7.2656569791240244</v>
      </c>
      <c r="AD57" s="230"/>
      <c r="AE57" s="178">
        <f>+H57/AC57*100</f>
        <v>240.64869165185004</v>
      </c>
      <c r="AF57" s="138"/>
      <c r="AG57" s="146">
        <f>+R57</f>
        <v>290.60900000000004</v>
      </c>
      <c r="AH57" s="132"/>
      <c r="AI57" s="257">
        <f>AG57/AA57</f>
        <v>739.32201233861235</v>
      </c>
      <c r="AJ57" s="132"/>
      <c r="AK57" s="176">
        <f>(AI57/AI50-1)*100</f>
        <v>9.5268623423787169</v>
      </c>
      <c r="AL57" s="230"/>
      <c r="AM57" s="230"/>
      <c r="AN57" s="145">
        <f>'segSales&amp;comps'!AM59</f>
        <v>37.01</v>
      </c>
      <c r="AO57" s="969">
        <f>'segSales&amp;comps'!AN59</f>
        <v>11.004468972136404</v>
      </c>
      <c r="AP57" s="969"/>
      <c r="AQ57" s="145"/>
      <c r="AR57" s="969"/>
      <c r="AT57" s="132"/>
      <c r="AU57" s="132"/>
      <c r="AV57" s="132"/>
      <c r="AW57" s="132"/>
    </row>
    <row r="58" spans="1:49" hidden="1" outlineLevel="1">
      <c r="A58" s="132"/>
      <c r="B58" s="174" t="str">
        <f>$B$44</f>
        <v>Year</v>
      </c>
      <c r="C58" s="132"/>
      <c r="D58" s="288">
        <f>(R58/R51-1)*100</f>
        <v>15.70609469430757</v>
      </c>
      <c r="E58" s="256"/>
      <c r="F58" s="297">
        <f>'qtrP&amp;L'!AF14</f>
        <v>0</v>
      </c>
      <c r="G58" s="132"/>
      <c r="H58" s="145">
        <f>D58-F58</f>
        <v>15.70609469430757</v>
      </c>
      <c r="I58" s="230"/>
      <c r="J58" s="725">
        <f>Stores!D76+Stores!AX76</f>
        <v>81</v>
      </c>
      <c r="K58" s="132"/>
      <c r="L58" s="177">
        <f>AVERAGE(L54:L57)</f>
        <v>78</v>
      </c>
      <c r="M58" s="132"/>
      <c r="N58" s="145">
        <f>(L58/L51-1)*100</f>
        <v>9.4736842105263221</v>
      </c>
      <c r="O58" s="230"/>
      <c r="P58" s="259">
        <f>H58/N58*100</f>
        <v>165.78655510657981</v>
      </c>
      <c r="Q58" s="138"/>
      <c r="R58" s="296">
        <f>SUM(R54:R57)</f>
        <v>821.52600000000007</v>
      </c>
      <c r="S58" s="132"/>
      <c r="T58" s="143">
        <f>SUM(T54:T57)</f>
        <v>10.484873311455665</v>
      </c>
      <c r="U58" s="132"/>
      <c r="V58" s="145">
        <f>(T58/T51-1)*100</f>
        <v>5.769391172869387</v>
      </c>
      <c r="W58" s="230"/>
      <c r="X58" s="132"/>
      <c r="Y58" s="236">
        <f>Stores!G76+Stores!AH76</f>
        <v>0.39444999999999997</v>
      </c>
      <c r="Z58" s="132"/>
      <c r="AA58" s="254">
        <f>AVERAGE(AA54:AA57)</f>
        <v>0.38245000000000001</v>
      </c>
      <c r="AB58" s="132"/>
      <c r="AC58" s="145">
        <f>(AA58/AA51-1)*100</f>
        <v>7.5960050640033749</v>
      </c>
      <c r="AD58" s="230"/>
      <c r="AE58" s="259">
        <f>+H58/AC58*100</f>
        <v>206.76782811450468</v>
      </c>
      <c r="AF58" s="138"/>
      <c r="AG58" s="141">
        <f>SUM(AG54:AG57)</f>
        <v>821.52600000000007</v>
      </c>
      <c r="AH58" s="132"/>
      <c r="AI58" s="244">
        <f>AG58/AA58</f>
        <v>2148.0611844685582</v>
      </c>
      <c r="AJ58" s="132"/>
      <c r="AK58" s="145">
        <f>(AI58/AI51-1)*100</f>
        <v>7.5375378718568031</v>
      </c>
      <c r="AL58" s="230"/>
      <c r="AM58" s="230"/>
      <c r="AN58" s="145">
        <f>'segSales&amp;comps'!AM60</f>
        <v>100.58199999999999</v>
      </c>
      <c r="AO58" s="969">
        <f>'segSales&amp;comps'!AN60</f>
        <v>7.8268886482777633</v>
      </c>
      <c r="AP58" s="969"/>
      <c r="AQ58" s="145"/>
      <c r="AR58" s="969"/>
      <c r="AT58" s="132"/>
      <c r="AU58" s="132"/>
      <c r="AV58" s="132"/>
      <c r="AW58" s="132"/>
    </row>
    <row r="59" spans="1:49" hidden="1" outlineLevel="1">
      <c r="A59" s="132"/>
      <c r="B59" s="174"/>
      <c r="C59" s="132"/>
      <c r="D59" s="256"/>
      <c r="E59" s="256"/>
      <c r="F59" s="256"/>
      <c r="G59" s="132"/>
      <c r="H59" s="132"/>
      <c r="I59" s="230"/>
      <c r="J59" s="139"/>
      <c r="K59" s="132"/>
      <c r="L59" s="132"/>
      <c r="M59" s="132"/>
      <c r="N59" s="132"/>
      <c r="O59" s="230"/>
      <c r="P59" s="138"/>
      <c r="Q59" s="138"/>
      <c r="R59" s="256"/>
      <c r="S59" s="132"/>
      <c r="T59" s="132"/>
      <c r="U59" s="132"/>
      <c r="V59" s="132"/>
      <c r="W59" s="230"/>
      <c r="X59" s="132"/>
      <c r="Y59" s="139"/>
      <c r="Z59" s="132"/>
      <c r="AA59" s="132"/>
      <c r="AB59" s="132"/>
      <c r="AC59" s="132"/>
      <c r="AD59" s="230"/>
      <c r="AE59" s="138"/>
      <c r="AF59" s="138"/>
      <c r="AG59" s="132"/>
      <c r="AH59" s="132"/>
      <c r="AI59" s="132"/>
      <c r="AJ59" s="132"/>
      <c r="AK59" s="132"/>
      <c r="AL59" s="230"/>
      <c r="AM59" s="230"/>
      <c r="AN59" s="145"/>
      <c r="AO59" s="967"/>
      <c r="AP59" s="967"/>
      <c r="AQ59" s="145"/>
      <c r="AR59" s="967"/>
      <c r="AT59" s="132"/>
      <c r="AU59" s="132"/>
      <c r="AV59" s="132"/>
      <c r="AW59" s="132"/>
    </row>
    <row r="60" spans="1:49" hidden="1" outlineLevel="1">
      <c r="A60" s="169"/>
      <c r="B60" s="171">
        <f>B53+1</f>
        <v>1997</v>
      </c>
      <c r="C60" s="132"/>
      <c r="D60" s="256"/>
      <c r="E60" s="256"/>
      <c r="F60" s="256"/>
      <c r="G60" s="132"/>
      <c r="H60" s="132"/>
      <c r="I60" s="230"/>
      <c r="J60" s="139"/>
      <c r="K60" s="132"/>
      <c r="L60" s="132"/>
      <c r="M60" s="132"/>
      <c r="N60" s="132"/>
      <c r="O60" s="230"/>
      <c r="P60" s="138"/>
      <c r="Q60" s="138"/>
      <c r="R60" s="256"/>
      <c r="S60" s="132"/>
      <c r="T60" s="132"/>
      <c r="U60" s="132"/>
      <c r="V60" s="132"/>
      <c r="W60" s="230"/>
      <c r="X60" s="132"/>
      <c r="Y60" s="139"/>
      <c r="Z60" s="132"/>
      <c r="AA60" s="132"/>
      <c r="AB60" s="132"/>
      <c r="AC60" s="132"/>
      <c r="AD60" s="230"/>
      <c r="AE60" s="138"/>
      <c r="AF60" s="138"/>
      <c r="AG60" s="132"/>
      <c r="AH60" s="132"/>
      <c r="AI60" s="132"/>
      <c r="AJ60" s="132"/>
      <c r="AK60" s="132"/>
      <c r="AL60" s="230"/>
      <c r="AM60" s="230"/>
      <c r="AN60" s="145"/>
      <c r="AO60" s="967"/>
      <c r="AP60" s="967"/>
      <c r="AQ60" s="145"/>
      <c r="AR60" s="967"/>
      <c r="AT60" s="132"/>
      <c r="AU60" s="132"/>
      <c r="AV60" s="132"/>
      <c r="AW60" s="132"/>
    </row>
    <row r="61" spans="1:49" hidden="1" outlineLevel="1">
      <c r="A61" s="132" t="str">
        <f>$A$40</f>
        <v>1Q</v>
      </c>
      <c r="B61" s="174" t="str">
        <f>$B$40</f>
        <v>Apr</v>
      </c>
      <c r="C61" s="132"/>
      <c r="D61" s="288">
        <f>(R61/R54-1)*100</f>
        <v>13.069217601947813</v>
      </c>
      <c r="E61" s="256" t="s">
        <v>1970</v>
      </c>
      <c r="F61" s="297">
        <f>'qtrP&amp;L'!AJ10</f>
        <v>0</v>
      </c>
      <c r="G61" s="132" t="s">
        <v>1970</v>
      </c>
      <c r="H61" s="145">
        <f>D61-F61</f>
        <v>13.069217601947813</v>
      </c>
      <c r="I61" s="230" t="s">
        <v>1970</v>
      </c>
      <c r="J61" s="725">
        <f>Stores!D79+Stores!AX79</f>
        <v>84</v>
      </c>
      <c r="K61" s="132"/>
      <c r="L61" s="132">
        <f>AVERAGE(J61,J57)</f>
        <v>82.5</v>
      </c>
      <c r="M61" s="132"/>
      <c r="N61" s="145">
        <f>(L61/L54-1)*100</f>
        <v>9.27152317880795</v>
      </c>
      <c r="O61" s="230" t="s">
        <v>1970</v>
      </c>
      <c r="P61" s="259">
        <f>H61/N61*100</f>
        <v>140.96084699243707</v>
      </c>
      <c r="Q61" s="138" t="s">
        <v>1970</v>
      </c>
      <c r="R61" s="296">
        <f>'qtrP&amp;L'!AH10-AN61-AQ61</f>
        <v>182.97200000000001</v>
      </c>
      <c r="S61" s="132"/>
      <c r="T61" s="143">
        <f>R61/L61</f>
        <v>2.2178424242424244</v>
      </c>
      <c r="U61" s="132"/>
      <c r="V61" s="219">
        <f>(T61/T54-1)*100</f>
        <v>3.4754658054188869</v>
      </c>
      <c r="W61" s="230" t="s">
        <v>1970</v>
      </c>
      <c r="X61" s="132"/>
      <c r="Y61" s="236">
        <f>Stores!G79+Stores!AH79</f>
        <v>0.39774999999999999</v>
      </c>
      <c r="Z61" s="132"/>
      <c r="AA61" s="254">
        <f>AVERAGE(Y61,Y57)</f>
        <v>0.39610000000000001</v>
      </c>
      <c r="AB61" s="132"/>
      <c r="AC61" s="145">
        <f>(AA61/AA54-1)*100</f>
        <v>6.5286088885900817</v>
      </c>
      <c r="AD61" s="230" t="s">
        <v>1970</v>
      </c>
      <c r="AE61" s="259">
        <f>+H61/AC61*100</f>
        <v>200.18380370110117</v>
      </c>
      <c r="AF61" s="138" t="s">
        <v>1970</v>
      </c>
      <c r="AG61" s="141">
        <f>+R61</f>
        <v>182.97200000000001</v>
      </c>
      <c r="AH61" s="132"/>
      <c r="AI61" s="244">
        <f>AG61/AA61</f>
        <v>461.93385508709923</v>
      </c>
      <c r="AJ61" s="132"/>
      <c r="AK61" s="145">
        <f>(AI61/AI54-1)*100</f>
        <v>6.1397673184656387</v>
      </c>
      <c r="AL61" s="230" t="s">
        <v>1970</v>
      </c>
      <c r="AM61" s="230"/>
      <c r="AN61" s="145">
        <f>'segSales&amp;comps'!AM63</f>
        <v>16.727</v>
      </c>
      <c r="AO61" s="969">
        <f>'segSales&amp;comps'!AN63</f>
        <v>-11.581562533037316</v>
      </c>
      <c r="AP61" s="969"/>
      <c r="AQ61" s="145"/>
      <c r="AR61" s="969"/>
      <c r="AT61" s="132"/>
      <c r="AU61" s="132"/>
      <c r="AV61" s="132"/>
      <c r="AW61" s="132"/>
    </row>
    <row r="62" spans="1:49" hidden="1" outlineLevel="1">
      <c r="A62" s="132" t="str">
        <f>$A$41</f>
        <v>2Q</v>
      </c>
      <c r="B62" s="174" t="str">
        <f>$B$41</f>
        <v>Jul</v>
      </c>
      <c r="C62" s="132"/>
      <c r="D62" s="145">
        <f>(R62/R55-1)*100</f>
        <v>8.5782292214441789</v>
      </c>
      <c r="E62" s="132"/>
      <c r="F62" s="217">
        <f>'qtrP&amp;L'!AJ11</f>
        <v>0</v>
      </c>
      <c r="G62" s="132"/>
      <c r="H62" s="145">
        <f>D62-F62</f>
        <v>8.5782292214441789</v>
      </c>
      <c r="I62" s="230"/>
      <c r="J62" s="725">
        <f>Stores!D80+Stores!AX80</f>
        <v>88</v>
      </c>
      <c r="K62" s="132"/>
      <c r="L62" s="132">
        <f>AVERAGE(J62,J61)</f>
        <v>86</v>
      </c>
      <c r="M62" s="132"/>
      <c r="N62" s="145">
        <f>(L62/L55-1)*100</f>
        <v>11.688311688311682</v>
      </c>
      <c r="O62" s="230"/>
      <c r="P62" s="259">
        <f>H62/N62*100</f>
        <v>73.391516672355792</v>
      </c>
      <c r="Q62" s="138"/>
      <c r="R62" s="315">
        <f>'qtrP&amp;L'!AH11-AN62-AQ62</f>
        <v>196.15199999999999</v>
      </c>
      <c r="S62" s="132"/>
      <c r="T62" s="147">
        <f>R62/L62</f>
        <v>2.2808372093023253</v>
      </c>
      <c r="U62" s="132"/>
      <c r="V62" s="219">
        <f>(T62/T55-1)*100</f>
        <v>-2.7846087203348691</v>
      </c>
      <c r="W62" s="230"/>
      <c r="X62" s="132"/>
      <c r="Y62" s="236">
        <f>Stores!G80+Stores!AH80</f>
        <v>0.40605000000000002</v>
      </c>
      <c r="Z62" s="132"/>
      <c r="AA62" s="254">
        <f>AVERAGE(Y62,Y61)</f>
        <v>0.40190000000000003</v>
      </c>
      <c r="AB62" s="132"/>
      <c r="AC62" s="145">
        <f>(AA62/AA55-1)*100</f>
        <v>6.3719976179448246</v>
      </c>
      <c r="AD62" s="230"/>
      <c r="AE62" s="259">
        <f>+H62/AC62*100</f>
        <v>134.62386108378575</v>
      </c>
      <c r="AF62" s="138"/>
      <c r="AG62" s="142">
        <f>+R62</f>
        <v>196.15199999999999</v>
      </c>
      <c r="AH62" s="132"/>
      <c r="AI62" s="245">
        <f>AG62/AA62</f>
        <v>488.06170689226167</v>
      </c>
      <c r="AJ62" s="132"/>
      <c r="AK62" s="145">
        <f>(AI62/AI55-1)*100</f>
        <v>2.0740717979401246</v>
      </c>
      <c r="AL62" s="230"/>
      <c r="AM62" s="230"/>
      <c r="AN62" s="145">
        <f>'segSales&amp;comps'!AM64</f>
        <v>20.997</v>
      </c>
      <c r="AO62" s="969">
        <f>'segSales&amp;comps'!AN64</f>
        <v>-5.0253301972136839</v>
      </c>
      <c r="AP62" s="969"/>
      <c r="AQ62" s="145"/>
      <c r="AR62" s="969"/>
      <c r="AT62" s="132"/>
      <c r="AU62" s="132"/>
      <c r="AV62" s="132"/>
      <c r="AW62" s="132"/>
    </row>
    <row r="63" spans="1:49" hidden="1" outlineLevel="1">
      <c r="A63" s="132" t="str">
        <f>$A$42</f>
        <v>3Q</v>
      </c>
      <c r="B63" s="174" t="str">
        <f>$B$42</f>
        <v>Oct</v>
      </c>
      <c r="C63" s="132"/>
      <c r="D63" s="145">
        <f>(R63/R56-1)*100</f>
        <v>10.605023376264988</v>
      </c>
      <c r="E63" s="132"/>
      <c r="F63" s="217">
        <f>'qtrP&amp;L'!AJ12</f>
        <v>0</v>
      </c>
      <c r="G63" s="132"/>
      <c r="H63" s="145">
        <f>D63-F63</f>
        <v>10.605023376264988</v>
      </c>
      <c r="I63" s="230"/>
      <c r="J63" s="725">
        <f>Stores!D81+Stores!AX81</f>
        <v>93</v>
      </c>
      <c r="K63" s="132"/>
      <c r="L63" s="177">
        <f>AVERAGE(J63,J62)</f>
        <v>90.5</v>
      </c>
      <c r="M63" s="132"/>
      <c r="N63" s="145">
        <f>(L63/L56-1)*100</f>
        <v>14.556962025316466</v>
      </c>
      <c r="O63" s="230"/>
      <c r="P63" s="259">
        <f>H63/N63*100</f>
        <v>72.851899715211616</v>
      </c>
      <c r="Q63" s="138"/>
      <c r="R63" s="315">
        <f>'qtrP&amp;L'!AH12-AN63-AQ63</f>
        <v>208.423</v>
      </c>
      <c r="S63" s="132"/>
      <c r="T63" s="147">
        <f>R63/L63</f>
        <v>2.3030165745856355</v>
      </c>
      <c r="U63" s="132"/>
      <c r="V63" s="219">
        <f>(T63/T56-1)*100</f>
        <v>-3.449758599724484</v>
      </c>
      <c r="W63" s="230"/>
      <c r="X63" s="132"/>
      <c r="Y63" s="236">
        <f>Stores!G81+Stores!AH81</f>
        <v>0.42324999999999996</v>
      </c>
      <c r="Z63" s="132"/>
      <c r="AA63" s="254">
        <f>AVERAGE(Y63,Y62)</f>
        <v>0.41464999999999996</v>
      </c>
      <c r="AB63" s="132"/>
      <c r="AC63" s="145">
        <f>(AA63/AA56-1)*100</f>
        <v>7.1239423884259967</v>
      </c>
      <c r="AD63" s="230"/>
      <c r="AE63" s="259">
        <f>+H63/AC63*100</f>
        <v>148.86453031252154</v>
      </c>
      <c r="AF63" s="138"/>
      <c r="AG63" s="142">
        <f>+R63</f>
        <v>208.423</v>
      </c>
      <c r="AH63" s="132"/>
      <c r="AI63" s="245">
        <f>AG63/AA63</f>
        <v>502.64801639937303</v>
      </c>
      <c r="AJ63" s="132"/>
      <c r="AK63" s="145">
        <f>(AI63/AI56-1)*100</f>
        <v>3.2495825958465785</v>
      </c>
      <c r="AL63" s="230"/>
      <c r="AM63" s="230"/>
      <c r="AN63" s="145">
        <f>'segSales&amp;comps'!AM65</f>
        <v>24.651</v>
      </c>
      <c r="AO63" s="969">
        <f>'segSales&amp;comps'!AN65</f>
        <v>9.336467666104852</v>
      </c>
      <c r="AP63" s="969"/>
      <c r="AQ63" s="145"/>
      <c r="AR63" s="969"/>
      <c r="AT63" s="132"/>
      <c r="AU63" s="132"/>
      <c r="AV63" s="132"/>
      <c r="AW63" s="132"/>
    </row>
    <row r="64" spans="1:49" hidden="1" outlineLevel="1">
      <c r="A64" s="132" t="str">
        <f>$A$43</f>
        <v>4Q</v>
      </c>
      <c r="B64" s="174" t="str">
        <f>$B$43</f>
        <v>Jan</v>
      </c>
      <c r="C64" s="132"/>
      <c r="D64" s="176">
        <f>(R64/R57-1)*100</f>
        <v>11.822414309260875</v>
      </c>
      <c r="E64" s="132"/>
      <c r="F64" s="218">
        <f>'qtrP&amp;L'!AJ13</f>
        <v>0</v>
      </c>
      <c r="G64" s="132"/>
      <c r="H64" s="176">
        <f>D64-F64</f>
        <v>11.822414309260875</v>
      </c>
      <c r="I64" s="230"/>
      <c r="J64" s="725">
        <f>Stores!D82+Stores!AX82</f>
        <v>96</v>
      </c>
      <c r="K64" s="132"/>
      <c r="L64" s="164">
        <f>AVERAGE(J64,J63)</f>
        <v>94.5</v>
      </c>
      <c r="M64" s="132"/>
      <c r="N64" s="176">
        <f>(L64/L57-1)*100</f>
        <v>17.391304347826097</v>
      </c>
      <c r="O64" s="230"/>
      <c r="P64" s="178">
        <f>H64/N64*100</f>
        <v>67.978882278249998</v>
      </c>
      <c r="Q64" s="138"/>
      <c r="R64" s="316">
        <f>'qtrP&amp;L'!AH13-AN64-AQ64</f>
        <v>324.96600000000001</v>
      </c>
      <c r="S64" s="132"/>
      <c r="T64" s="148">
        <f>R64/L64</f>
        <v>3.438793650793651</v>
      </c>
      <c r="U64" s="132"/>
      <c r="V64" s="218">
        <f>(T64/T57-1)*100</f>
        <v>-4.743869292111091</v>
      </c>
      <c r="W64" s="230"/>
      <c r="X64" s="132"/>
      <c r="Y64" s="956">
        <f>Stores!G82+Stores!AH82</f>
        <v>0.43045</v>
      </c>
      <c r="Z64" s="132"/>
      <c r="AA64" s="255">
        <f>AVERAGE(Y64,Y63)</f>
        <v>0.42684999999999995</v>
      </c>
      <c r="AB64" s="132"/>
      <c r="AC64" s="176">
        <f>(AA64/AA57-1)*100</f>
        <v>8.5925077911339862</v>
      </c>
      <c r="AD64" s="230"/>
      <c r="AE64" s="178">
        <f>+H64/AC64*100</f>
        <v>137.58980028461082</v>
      </c>
      <c r="AF64" s="138"/>
      <c r="AG64" s="146">
        <f>+R64</f>
        <v>324.96600000000001</v>
      </c>
      <c r="AH64" s="132"/>
      <c r="AI64" s="257">
        <f>AG64/AA64</f>
        <v>761.31193627738094</v>
      </c>
      <c r="AJ64" s="132"/>
      <c r="AK64" s="176">
        <f>(AI64/AI57-1)*100</f>
        <v>2.9743364287518448</v>
      </c>
      <c r="AL64" s="230"/>
      <c r="AM64" s="230"/>
      <c r="AN64" s="145">
        <f>'segSales&amp;comps'!AM66</f>
        <v>42.728000000000002</v>
      </c>
      <c r="AO64" s="969">
        <f>'segSales&amp;comps'!AN66</f>
        <v>15.449878411240213</v>
      </c>
      <c r="AP64" s="969"/>
      <c r="AQ64" s="145"/>
      <c r="AR64" s="969"/>
      <c r="AT64" s="132"/>
      <c r="AU64" s="132"/>
      <c r="AV64" s="132"/>
      <c r="AW64" s="132"/>
    </row>
    <row r="65" spans="1:49" hidden="1" outlineLevel="1">
      <c r="A65" s="132"/>
      <c r="B65" s="174" t="str">
        <f>$B$44</f>
        <v>Year</v>
      </c>
      <c r="C65" s="132"/>
      <c r="D65" s="145">
        <f>(R65/R58-1)*100</f>
        <v>11.075364626317352</v>
      </c>
      <c r="E65" s="132"/>
      <c r="F65" s="217">
        <f>'qtrP&amp;L'!AJ14</f>
        <v>0</v>
      </c>
      <c r="G65" s="132"/>
      <c r="H65" s="145">
        <f>D65-F65</f>
        <v>11.075364626317352</v>
      </c>
      <c r="I65" s="230"/>
      <c r="J65" s="725">
        <f>Stores!D83+Stores!AX83</f>
        <v>96</v>
      </c>
      <c r="K65" s="132"/>
      <c r="L65" s="177">
        <f>AVERAGE(L61:L64)</f>
        <v>88.375</v>
      </c>
      <c r="M65" s="132"/>
      <c r="N65" s="145">
        <f>(L65/L58-1)*100</f>
        <v>13.301282051282048</v>
      </c>
      <c r="O65" s="230"/>
      <c r="P65" s="259">
        <f>H65/N65*100</f>
        <v>83.265391889422048</v>
      </c>
      <c r="Q65" s="138"/>
      <c r="R65" s="296">
        <f>SUM(R61:R64)</f>
        <v>912.51300000000003</v>
      </c>
      <c r="S65" s="132"/>
      <c r="T65" s="143">
        <f>SUM(T61:T64)</f>
        <v>10.240489858924036</v>
      </c>
      <c r="U65" s="132"/>
      <c r="V65" s="219">
        <f>(T65/T58-1)*100</f>
        <v>-2.330819317240751</v>
      </c>
      <c r="W65" s="230"/>
      <c r="X65" s="132"/>
      <c r="Y65" s="236">
        <f>Stores!G83+Stores!AH83</f>
        <v>0.43045</v>
      </c>
      <c r="Z65" s="132"/>
      <c r="AA65" s="254">
        <f>AVERAGE(AA61:AA64)</f>
        <v>0.40987499999999999</v>
      </c>
      <c r="AB65" s="132"/>
      <c r="AC65" s="145">
        <f>(AA65/AA58-1)*100</f>
        <v>7.1708720094129985</v>
      </c>
      <c r="AD65" s="230"/>
      <c r="AE65" s="259">
        <f>+H65/AC65*100</f>
        <v>154.44934189006634</v>
      </c>
      <c r="AF65" s="138"/>
      <c r="AG65" s="141">
        <f>SUM(AG61:AG64)</f>
        <v>912.51300000000003</v>
      </c>
      <c r="AH65" s="132"/>
      <c r="AI65" s="244">
        <f>AG65/AA65</f>
        <v>2226.32021957914</v>
      </c>
      <c r="AJ65" s="132"/>
      <c r="AK65" s="145">
        <f>(AI65/AI58-1)*100</f>
        <v>3.6432405034097615</v>
      </c>
      <c r="AL65" s="230"/>
      <c r="AM65" s="230"/>
      <c r="AN65" s="145">
        <f>'segSales&amp;comps'!AM67</f>
        <v>105.10300000000001</v>
      </c>
      <c r="AO65" s="969">
        <f>'segSales&amp;comps'!AN67</f>
        <v>4.4948400310194758</v>
      </c>
      <c r="AP65" s="969"/>
      <c r="AQ65" s="145"/>
      <c r="AR65" s="969"/>
      <c r="AT65" s="132"/>
      <c r="AU65" s="132"/>
      <c r="AV65" s="132"/>
      <c r="AW65" s="132"/>
    </row>
    <row r="66" spans="1:49" hidden="1" outlineLevel="1">
      <c r="A66" s="132"/>
      <c r="B66" s="174"/>
      <c r="C66" s="132"/>
      <c r="D66" s="132"/>
      <c r="E66" s="132"/>
      <c r="F66" s="132"/>
      <c r="G66" s="132"/>
      <c r="H66" s="132"/>
      <c r="I66" s="230"/>
      <c r="J66" s="139"/>
      <c r="K66" s="132"/>
      <c r="L66" s="132"/>
      <c r="M66" s="132"/>
      <c r="N66" s="132"/>
      <c r="O66" s="230"/>
      <c r="P66" s="138"/>
      <c r="Q66" s="138"/>
      <c r="R66" s="256"/>
      <c r="S66" s="132"/>
      <c r="T66" s="132"/>
      <c r="U66" s="132"/>
      <c r="V66" s="132"/>
      <c r="W66" s="230"/>
      <c r="X66" s="132"/>
      <c r="Y66" s="139"/>
      <c r="Z66" s="132"/>
      <c r="AA66" s="132"/>
      <c r="AB66" s="132"/>
      <c r="AC66" s="132"/>
      <c r="AD66" s="230"/>
      <c r="AE66" s="138"/>
      <c r="AF66" s="138"/>
      <c r="AG66" s="132"/>
      <c r="AH66" s="132"/>
      <c r="AI66" s="132"/>
      <c r="AJ66" s="132"/>
      <c r="AK66" s="132"/>
      <c r="AL66" s="230"/>
      <c r="AM66" s="230"/>
      <c r="AN66" s="145"/>
      <c r="AO66" s="967"/>
      <c r="AP66" s="967"/>
      <c r="AQ66" s="145"/>
      <c r="AR66" s="967"/>
      <c r="AT66" s="132"/>
      <c r="AU66" s="132"/>
      <c r="AV66" s="132"/>
      <c r="AW66" s="132"/>
    </row>
    <row r="67" spans="1:49" hidden="1" outlineLevel="1">
      <c r="A67" s="169"/>
      <c r="B67" s="171">
        <f>B60+1</f>
        <v>1998</v>
      </c>
      <c r="C67" s="132"/>
      <c r="D67" s="132"/>
      <c r="E67" s="132"/>
      <c r="F67" s="132"/>
      <c r="G67" s="132"/>
      <c r="H67" s="132"/>
      <c r="I67" s="230"/>
      <c r="J67" s="139"/>
      <c r="K67" s="132"/>
      <c r="L67" s="132"/>
      <c r="M67" s="132"/>
      <c r="N67" s="132"/>
      <c r="O67" s="230"/>
      <c r="P67" s="138"/>
      <c r="Q67" s="138"/>
      <c r="R67" s="256"/>
      <c r="S67" s="132"/>
      <c r="T67" s="132"/>
      <c r="U67" s="132"/>
      <c r="V67" s="132"/>
      <c r="W67" s="230"/>
      <c r="X67" s="132"/>
      <c r="Y67" s="238"/>
      <c r="Z67" s="132"/>
      <c r="AA67" s="132"/>
      <c r="AB67" s="132"/>
      <c r="AC67" s="132"/>
      <c r="AD67" s="230"/>
      <c r="AE67" s="138"/>
      <c r="AF67" s="138"/>
      <c r="AG67" s="132"/>
      <c r="AH67" s="132"/>
      <c r="AI67" s="132"/>
      <c r="AJ67" s="132"/>
      <c r="AK67" s="132"/>
      <c r="AL67" s="230"/>
      <c r="AM67" s="230"/>
      <c r="AN67" s="145"/>
      <c r="AO67" s="967"/>
      <c r="AP67" s="967"/>
      <c r="AQ67" s="145"/>
      <c r="AR67" s="967"/>
      <c r="AT67" s="132"/>
      <c r="AU67" s="132"/>
      <c r="AV67" s="132"/>
      <c r="AW67" s="132"/>
    </row>
    <row r="68" spans="1:49" hidden="1" outlineLevel="1">
      <c r="A68" s="132" t="str">
        <f>$A$40</f>
        <v>1Q</v>
      </c>
      <c r="B68" s="174" t="str">
        <f>$B$40</f>
        <v>Apr</v>
      </c>
      <c r="C68" s="132"/>
      <c r="D68" s="145">
        <f>(R68/R61-1)*100</f>
        <v>11.763548521085188</v>
      </c>
      <c r="E68" s="230" t="s">
        <v>1970</v>
      </c>
      <c r="F68" s="217">
        <v>12</v>
      </c>
      <c r="G68" s="230" t="s">
        <v>1970</v>
      </c>
      <c r="H68" s="145">
        <f>D68-F68</f>
        <v>-0.23645147891481244</v>
      </c>
      <c r="I68" s="230" t="s">
        <v>1970</v>
      </c>
      <c r="J68" s="725">
        <f>Stores!D86+Stores!AX86</f>
        <v>96</v>
      </c>
      <c r="K68" s="132"/>
      <c r="L68" s="177">
        <f>AVERAGE(J68,J64)</f>
        <v>96</v>
      </c>
      <c r="M68" s="132"/>
      <c r="N68" s="145">
        <f>(L68/L61-1)*100</f>
        <v>16.36363636363636</v>
      </c>
      <c r="O68" s="230" t="s">
        <v>1970</v>
      </c>
      <c r="P68" s="259">
        <f>H68/N68*100</f>
        <v>-1.4449812600349654</v>
      </c>
      <c r="Q68" s="138" t="s">
        <v>1970</v>
      </c>
      <c r="R68" s="296">
        <f>'qtrP&amp;L'!AL10-AN68-AQ68</f>
        <v>204.49599999999998</v>
      </c>
      <c r="S68" s="132"/>
      <c r="T68" s="143">
        <f>R68/L68</f>
        <v>2.1301666666666663</v>
      </c>
      <c r="U68" s="132"/>
      <c r="V68" s="219">
        <f>(T68/T61-1)*100</f>
        <v>-3.9532004896924322</v>
      </c>
      <c r="W68" s="230" t="s">
        <v>1970</v>
      </c>
      <c r="X68" s="132"/>
      <c r="Y68" s="1017">
        <f>Stores!G86+Stores!AH86</f>
        <v>0.43045</v>
      </c>
      <c r="Z68" s="132"/>
      <c r="AA68" s="254">
        <f>AVERAGE(Y68,Y64)</f>
        <v>0.43045</v>
      </c>
      <c r="AB68" s="132"/>
      <c r="AC68" s="145">
        <f>(AA68/AA61-1)*100</f>
        <v>8.6720525119919234</v>
      </c>
      <c r="AD68" s="230" t="s">
        <v>1970</v>
      </c>
      <c r="AE68" s="259">
        <f>+H68/AC68*100</f>
        <v>-2.7265918718531932</v>
      </c>
      <c r="AF68" s="138" t="s">
        <v>1970</v>
      </c>
      <c r="AG68" s="141">
        <f>+R68</f>
        <v>204.49599999999998</v>
      </c>
      <c r="AH68" s="132"/>
      <c r="AI68" s="244">
        <f>AG68/AA68</f>
        <v>475.07492159368098</v>
      </c>
      <c r="AJ68" s="132"/>
      <c r="AK68" s="145">
        <f>(AI68/AI61-1)*100</f>
        <v>2.8447939811867551</v>
      </c>
      <c r="AL68" s="230" t="s">
        <v>1970</v>
      </c>
      <c r="AM68" s="230"/>
      <c r="AN68" s="145">
        <f>'segSales&amp;comps'!AM70</f>
        <v>21.663</v>
      </c>
      <c r="AO68" s="969">
        <f>'segSales&amp;comps'!AN70</f>
        <v>29.509176780056201</v>
      </c>
      <c r="AP68" s="969"/>
      <c r="AQ68" s="145"/>
      <c r="AR68" s="969"/>
      <c r="AT68" s="315">
        <f>+R68-AU68</f>
        <v>0</v>
      </c>
      <c r="AU68" s="978">
        <f>+AV68+AW68</f>
        <v>204.49599999999998</v>
      </c>
      <c r="AV68" s="296">
        <f>+SeqQtrSales!V68</f>
        <v>108.024</v>
      </c>
      <c r="AW68" s="296">
        <f>+SeqQtrSales!V249</f>
        <v>96.471999999999994</v>
      </c>
    </row>
    <row r="69" spans="1:49" hidden="1" outlineLevel="1">
      <c r="A69" s="132" t="str">
        <f>$A$41</f>
        <v>2Q</v>
      </c>
      <c r="B69" s="174" t="str">
        <f>$B$41</f>
        <v>Jul</v>
      </c>
      <c r="C69" s="132"/>
      <c r="D69" s="145">
        <f>(R69/R62-1)*100</f>
        <v>13.686834699620732</v>
      </c>
      <c r="E69" s="132"/>
      <c r="F69" s="217">
        <v>15</v>
      </c>
      <c r="G69" s="132"/>
      <c r="H69" s="145">
        <f>D69-F69</f>
        <v>-1.3131653003792678</v>
      </c>
      <c r="I69" s="230"/>
      <c r="J69" s="725">
        <f>Stores!D87+Stores!AX87</f>
        <v>99</v>
      </c>
      <c r="K69" s="132"/>
      <c r="L69" s="177">
        <f>AVERAGE(J69,J68)</f>
        <v>97.5</v>
      </c>
      <c r="M69" s="132"/>
      <c r="N69" s="145">
        <f>(L69/L62-1)*100</f>
        <v>13.372093023255815</v>
      </c>
      <c r="O69" s="230"/>
      <c r="P69" s="259">
        <f>H69/N69*100</f>
        <v>-9.8201926810971329</v>
      </c>
      <c r="Q69" s="138"/>
      <c r="R69" s="315">
        <f>'qtrP&amp;L'!AL11-AN69-AQ69</f>
        <v>222.99900000000002</v>
      </c>
      <c r="S69" s="132"/>
      <c r="T69" s="147">
        <f>R69/L69</f>
        <v>2.2871692307692308</v>
      </c>
      <c r="U69" s="132"/>
      <c r="V69" s="219">
        <f>(T69/T62-1)*100</f>
        <v>0.27761829915262659</v>
      </c>
      <c r="W69" s="230"/>
      <c r="X69" s="132"/>
      <c r="Y69" s="1017">
        <f>Stores!G87+Stores!AH87</f>
        <v>0.44461666666666666</v>
      </c>
      <c r="Z69" s="132"/>
      <c r="AA69" s="254">
        <f>AVERAGE(Y69,Y68)</f>
        <v>0.43753333333333333</v>
      </c>
      <c r="AB69" s="132"/>
      <c r="AC69" s="145">
        <f>(AA69/AA62-1)*100</f>
        <v>8.8662187940615311</v>
      </c>
      <c r="AD69" s="230"/>
      <c r="AE69" s="259">
        <f>+H69/AC69*100</f>
        <v>-14.810883093239335</v>
      </c>
      <c r="AF69" s="138"/>
      <c r="AG69" s="142">
        <f>+R69</f>
        <v>222.99900000000002</v>
      </c>
      <c r="AH69" s="132"/>
      <c r="AI69" s="245">
        <f>AG69/AA69</f>
        <v>509.67316775864703</v>
      </c>
      <c r="AJ69" s="132"/>
      <c r="AK69" s="145">
        <f>(AI69/AI62-1)*100</f>
        <v>4.4280181299197974</v>
      </c>
      <c r="AL69" s="230"/>
      <c r="AM69" s="230"/>
      <c r="AN69" s="145">
        <f>'segSales&amp;comps'!AM71</f>
        <v>24.722999999999999</v>
      </c>
      <c r="AO69" s="969">
        <f>'segSales&amp;comps'!AN71</f>
        <v>17.745392198885558</v>
      </c>
      <c r="AP69" s="969"/>
      <c r="AQ69" s="145"/>
      <c r="AR69" s="969"/>
      <c r="AT69" s="315">
        <f>+R69-AU69</f>
        <v>0</v>
      </c>
      <c r="AU69" s="974">
        <f>+AV69+AW69</f>
        <v>222.99900000000002</v>
      </c>
      <c r="AV69" s="315">
        <f>+SeqQtrSales!V69</f>
        <v>129.733</v>
      </c>
      <c r="AW69" s="315">
        <f>+SeqQtrSales!V250</f>
        <v>93.266000000000005</v>
      </c>
    </row>
    <row r="70" spans="1:49" hidden="1" outlineLevel="1">
      <c r="A70" s="132" t="str">
        <f>$A$42</f>
        <v>3Q</v>
      </c>
      <c r="B70" s="174" t="str">
        <f>$B$42</f>
        <v>Oct</v>
      </c>
      <c r="C70" s="132"/>
      <c r="D70" s="145">
        <f>(R70/R63-1)*100</f>
        <v>8.918401519985796</v>
      </c>
      <c r="E70" s="132"/>
      <c r="F70" s="217">
        <v>-1</v>
      </c>
      <c r="G70" s="132"/>
      <c r="H70" s="145">
        <f>D70-F70</f>
        <v>9.918401519985796</v>
      </c>
      <c r="I70" s="230"/>
      <c r="J70" s="725">
        <f>Stores!D88+Stores!AX88</f>
        <v>102</v>
      </c>
      <c r="K70" s="132"/>
      <c r="L70" s="177">
        <f>AVERAGE(J70,J69)</f>
        <v>100.5</v>
      </c>
      <c r="M70" s="132"/>
      <c r="N70" s="145">
        <f>(L70/L63-1)*100</f>
        <v>11.049723756906072</v>
      </c>
      <c r="O70" s="230"/>
      <c r="P70" s="259">
        <f>H70/N70*100</f>
        <v>89.761533755871497</v>
      </c>
      <c r="Q70" s="138"/>
      <c r="R70" s="315">
        <f>'qtrP&amp;L'!AL12-AN70-AQ70</f>
        <v>227.011</v>
      </c>
      <c r="S70" s="132"/>
      <c r="T70" s="147">
        <f>R70/L70</f>
        <v>2.25881592039801</v>
      </c>
      <c r="U70" s="132"/>
      <c r="V70" s="219">
        <f>(T70/T63-1)*100</f>
        <v>-1.9192503725501076</v>
      </c>
      <c r="W70" s="230"/>
      <c r="X70" s="132"/>
      <c r="Y70" s="1017">
        <f>Stores!G88+Stores!AH88</f>
        <v>0.45878333333333332</v>
      </c>
      <c r="Z70" s="132"/>
      <c r="AA70" s="254">
        <f>AVERAGE(Y70,Y69)</f>
        <v>0.45169999999999999</v>
      </c>
      <c r="AB70" s="132"/>
      <c r="AC70" s="145">
        <f>(AA70/AA63-1)*100</f>
        <v>8.9352465935126126</v>
      </c>
      <c r="AD70" s="230"/>
      <c r="AE70" s="259">
        <f>+H70/AC70*100</f>
        <v>111.00310904890971</v>
      </c>
      <c r="AF70" s="138"/>
      <c r="AG70" s="142">
        <f>+R70</f>
        <v>227.011</v>
      </c>
      <c r="AH70" s="132"/>
      <c r="AI70" s="245">
        <f>AG70/AA70</f>
        <v>502.57029001549699</v>
      </c>
      <c r="AJ70" s="132"/>
      <c r="AK70" s="219">
        <f>(AI70/AI63-1)*100</f>
        <v>-1.5463382195923803E-2</v>
      </c>
      <c r="AL70" s="230"/>
      <c r="AM70" s="230"/>
      <c r="AN70" s="145">
        <f>'segSales&amp;comps'!AM72</f>
        <v>25.548999999999999</v>
      </c>
      <c r="AO70" s="969">
        <f>'segSales&amp;comps'!AN72</f>
        <v>3.6428542452638935</v>
      </c>
      <c r="AP70" s="969"/>
      <c r="AQ70" s="145"/>
      <c r="AR70" s="969"/>
      <c r="AT70" s="315">
        <f>+R70-AU70</f>
        <v>0</v>
      </c>
      <c r="AU70" s="974">
        <f>+AV70+AW70</f>
        <v>227.011</v>
      </c>
      <c r="AV70" s="315">
        <f>+SeqQtrSales!V70</f>
        <v>125.762</v>
      </c>
      <c r="AW70" s="315">
        <f>+SeqQtrSales!V251</f>
        <v>101.249</v>
      </c>
    </row>
    <row r="71" spans="1:49" hidden="1" outlineLevel="1">
      <c r="A71" s="132" t="str">
        <f>$A$43</f>
        <v>4Q</v>
      </c>
      <c r="B71" s="174" t="str">
        <f>$B$43</f>
        <v>Jan</v>
      </c>
      <c r="C71" s="132"/>
      <c r="D71" s="176">
        <f>(R71/R64-1)*100</f>
        <v>23.568927210846692</v>
      </c>
      <c r="E71" s="132"/>
      <c r="F71" s="218">
        <f>(1+F72/100)/((1+F68/100)*(1+F69/100)*(1+F70/100))-1</f>
        <v>-0.13733609385783296</v>
      </c>
      <c r="G71" s="132"/>
      <c r="H71" s="176">
        <f>D71-F71</f>
        <v>23.706263304704525</v>
      </c>
      <c r="I71" s="230"/>
      <c r="J71" s="725">
        <f>Stores!D89+Stores!AX89</f>
        <v>104</v>
      </c>
      <c r="K71" s="132"/>
      <c r="L71" s="178">
        <f>AVERAGE(J71,J70)</f>
        <v>103</v>
      </c>
      <c r="M71" s="132"/>
      <c r="N71" s="176">
        <f>(L71/L64-1)*100</f>
        <v>8.9947089947090006</v>
      </c>
      <c r="O71" s="230"/>
      <c r="P71" s="178">
        <f>H71/N71*100</f>
        <v>263.55786850524424</v>
      </c>
      <c r="Q71" s="138"/>
      <c r="R71" s="316">
        <f>'qtrP&amp;L'!AL13-AN71-AQ71</f>
        <v>401.55700000000007</v>
      </c>
      <c r="S71" s="132"/>
      <c r="T71" s="148">
        <f>R71/L71</f>
        <v>3.8986116504854378</v>
      </c>
      <c r="U71" s="132"/>
      <c r="V71" s="218">
        <f>(T71/T64-1)*100</f>
        <v>13.371491470145758</v>
      </c>
      <c r="W71" s="230"/>
      <c r="X71" s="132"/>
      <c r="Y71" s="1017">
        <f>Stores!G89+Stores!AH89</f>
        <v>0.47145000000000004</v>
      </c>
      <c r="Z71" s="132"/>
      <c r="AA71" s="255">
        <f>AVERAGE(Y71,Y70)</f>
        <v>0.46511666666666668</v>
      </c>
      <c r="AB71" s="132"/>
      <c r="AC71" s="176">
        <f>(AA71/AA64-1)*100</f>
        <v>8.9648978954355751</v>
      </c>
      <c r="AD71" s="230"/>
      <c r="AE71" s="178">
        <f>+H71/AC71*100</f>
        <v>264.43428113971527</v>
      </c>
      <c r="AF71" s="138"/>
      <c r="AG71" s="146">
        <f>+R71</f>
        <v>401.55700000000007</v>
      </c>
      <c r="AH71" s="132"/>
      <c r="AI71" s="257">
        <f>AG71/AA71</f>
        <v>863.34683054430798</v>
      </c>
      <c r="AJ71" s="132"/>
      <c r="AK71" s="218">
        <f>(AI71/AI64-1)*100</f>
        <v>13.402508144802173</v>
      </c>
      <c r="AL71" s="230"/>
      <c r="AM71" s="230"/>
      <c r="AN71" s="145">
        <f>'segSales&amp;comps'!AM73</f>
        <v>49.930999999999997</v>
      </c>
      <c r="AO71" s="969">
        <f>'segSales&amp;comps'!AN73</f>
        <v>16.857798165137595</v>
      </c>
      <c r="AP71" s="969"/>
      <c r="AQ71" s="145"/>
      <c r="AR71" s="969"/>
      <c r="AT71" s="315">
        <f>+R71-AU71</f>
        <v>0</v>
      </c>
      <c r="AU71" s="974">
        <f>+AV71+AW71</f>
        <v>401.55700000000007</v>
      </c>
      <c r="AV71" s="315">
        <f>+SeqQtrSales!V71</f>
        <v>230.07000000000005</v>
      </c>
      <c r="AW71" s="315">
        <f>+SeqQtrSales!V252</f>
        <v>171.48700000000002</v>
      </c>
    </row>
    <row r="72" spans="1:49" hidden="1" outlineLevel="1">
      <c r="A72" s="132"/>
      <c r="B72" s="174" t="str">
        <f>$B$44</f>
        <v>Year</v>
      </c>
      <c r="C72" s="132"/>
      <c r="D72" s="145">
        <f>(R72/R65-1)*100</f>
        <v>15.731282732410401</v>
      </c>
      <c r="E72" s="132"/>
      <c r="F72" s="217">
        <v>10</v>
      </c>
      <c r="G72" s="132"/>
      <c r="H72" s="145">
        <f>D72-F72</f>
        <v>5.731282732410401</v>
      </c>
      <c r="I72" s="230"/>
      <c r="J72" s="725"/>
      <c r="K72" s="132"/>
      <c r="L72" s="177">
        <f>AVERAGE(L68:L71)</f>
        <v>99.25</v>
      </c>
      <c r="M72" s="132"/>
      <c r="N72" s="145">
        <f>(L72/L65-1)*100</f>
        <v>12.305516265912297</v>
      </c>
      <c r="O72" s="230"/>
      <c r="P72" s="259">
        <f>H72/N72*100</f>
        <v>46.574906802461562</v>
      </c>
      <c r="Q72" s="138"/>
      <c r="R72" s="296">
        <f>SUM(R68:R71)</f>
        <v>1056.0630000000001</v>
      </c>
      <c r="S72" s="132"/>
      <c r="T72" s="143">
        <f>SUM(T68:T71)</f>
        <v>10.574763468319347</v>
      </c>
      <c r="U72" s="132"/>
      <c r="V72" s="219">
        <f>(T72/T65-1)*100</f>
        <v>3.2642345629980696</v>
      </c>
      <c r="W72" s="230"/>
      <c r="X72" s="132"/>
      <c r="Y72" s="236"/>
      <c r="Z72" s="132"/>
      <c r="AA72" s="254">
        <f>AVERAGE(AA68:AA71)</f>
        <v>0.44619999999999999</v>
      </c>
      <c r="AB72" s="132"/>
      <c r="AC72" s="145">
        <f>(AA72/AA65-1)*100</f>
        <v>8.8624580664836916</v>
      </c>
      <c r="AD72" s="230"/>
      <c r="AE72" s="259">
        <f>+H72/AC72*100</f>
        <v>64.669222572517853</v>
      </c>
      <c r="AF72" s="138"/>
      <c r="AG72" s="141">
        <f>SUM(AG68:AG71)</f>
        <v>1056.0630000000001</v>
      </c>
      <c r="AH72" s="132"/>
      <c r="AI72" s="244">
        <f>AG72/AA72</f>
        <v>2366.7929179740031</v>
      </c>
      <c r="AJ72" s="132"/>
      <c r="AK72" s="219">
        <f>(AI72/AI65-1)*100</f>
        <v>6.3096358358285753</v>
      </c>
      <c r="AL72" s="230"/>
      <c r="AM72" s="230"/>
      <c r="AN72" s="145">
        <f>'segSales&amp;comps'!AM74</f>
        <v>121.866</v>
      </c>
      <c r="AO72" s="969">
        <f>'segSales&amp;comps'!AN74</f>
        <v>15.949116580877787</v>
      </c>
      <c r="AP72" s="969"/>
      <c r="AQ72" s="145"/>
      <c r="AR72" s="969"/>
      <c r="AT72" s="315">
        <f>+R72-AU72</f>
        <v>0</v>
      </c>
      <c r="AU72" s="975">
        <f>+SUM(AU68:AU71)</f>
        <v>1056.0630000000001</v>
      </c>
      <c r="AV72" s="976">
        <f>+SUM(AV68:AV71)</f>
        <v>593.58900000000006</v>
      </c>
      <c r="AW72" s="976">
        <f>+SUM(AW68:AW71)</f>
        <v>462.47399999999999</v>
      </c>
    </row>
    <row r="73" spans="1:49" hidden="1" outlineLevel="1">
      <c r="A73" s="132"/>
      <c r="B73" s="174"/>
      <c r="C73" s="132"/>
      <c r="D73" s="132"/>
      <c r="E73" s="132"/>
      <c r="F73" s="132"/>
      <c r="G73" s="132"/>
      <c r="H73" s="132"/>
      <c r="I73" s="230"/>
      <c r="J73" s="132"/>
      <c r="K73" s="132"/>
      <c r="L73" s="132"/>
      <c r="M73" s="132"/>
      <c r="N73" s="132"/>
      <c r="O73" s="230"/>
      <c r="P73" s="138"/>
      <c r="Q73" s="138"/>
      <c r="R73" s="256"/>
      <c r="S73" s="132"/>
      <c r="T73" s="132"/>
      <c r="U73" s="132"/>
      <c r="V73" s="132"/>
      <c r="W73" s="230"/>
      <c r="X73" s="132"/>
      <c r="Y73" s="256"/>
      <c r="Z73" s="132"/>
      <c r="AA73" s="132"/>
      <c r="AB73" s="132"/>
      <c r="AC73" s="132"/>
      <c r="AD73" s="230"/>
      <c r="AE73" s="138"/>
      <c r="AF73" s="138"/>
      <c r="AG73" s="132"/>
      <c r="AH73" s="132"/>
      <c r="AI73" s="132"/>
      <c r="AJ73" s="132"/>
      <c r="AK73" s="132"/>
      <c r="AL73" s="230"/>
      <c r="AM73" s="230"/>
      <c r="AN73" s="145"/>
      <c r="AO73" s="967"/>
      <c r="AP73" s="967"/>
      <c r="AQ73" s="145"/>
      <c r="AR73" s="967"/>
      <c r="AT73" s="132"/>
      <c r="AU73" s="132"/>
      <c r="AV73" s="132"/>
      <c r="AW73" s="132"/>
    </row>
    <row r="74" spans="1:49" hidden="1" outlineLevel="1">
      <c r="A74" s="169"/>
      <c r="B74" s="171">
        <f>B67+1</f>
        <v>1999</v>
      </c>
      <c r="C74" s="132"/>
      <c r="D74" s="132"/>
      <c r="E74" s="132"/>
      <c r="F74" s="132"/>
      <c r="G74" s="132"/>
      <c r="H74" s="132"/>
      <c r="I74" s="230"/>
      <c r="J74" s="132"/>
      <c r="K74" s="132"/>
      <c r="L74" s="132"/>
      <c r="M74" s="132"/>
      <c r="N74" s="132"/>
      <c r="O74" s="230"/>
      <c r="P74" s="138"/>
      <c r="Q74" s="138"/>
      <c r="R74" s="256"/>
      <c r="S74" s="132"/>
      <c r="T74" s="132"/>
      <c r="U74" s="132"/>
      <c r="V74" s="132"/>
      <c r="W74" s="230"/>
      <c r="X74" s="132"/>
      <c r="Y74" s="256"/>
      <c r="Z74" s="132"/>
      <c r="AA74" s="132"/>
      <c r="AB74" s="132"/>
      <c r="AC74" s="132"/>
      <c r="AD74" s="230"/>
      <c r="AE74" s="138"/>
      <c r="AF74" s="138"/>
      <c r="AG74" s="132"/>
      <c r="AH74" s="132"/>
      <c r="AI74" s="132"/>
      <c r="AJ74" s="132"/>
      <c r="AK74" s="132"/>
      <c r="AL74" s="230"/>
      <c r="AM74" s="230"/>
      <c r="AN74" s="145"/>
      <c r="AO74" s="967"/>
      <c r="AP74" s="967"/>
      <c r="AQ74" s="145"/>
      <c r="AR74" s="967"/>
      <c r="AT74" s="132"/>
      <c r="AU74" s="132"/>
      <c r="AV74" s="132"/>
      <c r="AW74" s="132"/>
    </row>
    <row r="75" spans="1:49" hidden="1" outlineLevel="1">
      <c r="A75" s="132" t="str">
        <f>$A$40</f>
        <v>1Q</v>
      </c>
      <c r="B75" s="174" t="str">
        <f>$B$40</f>
        <v>Apr</v>
      </c>
      <c r="C75" s="132"/>
      <c r="D75" s="145">
        <f>(R75/R68-1)*100</f>
        <v>21.843459040763634</v>
      </c>
      <c r="E75" s="230" t="s">
        <v>1970</v>
      </c>
      <c r="F75" s="217">
        <v>12</v>
      </c>
      <c r="G75" s="230" t="s">
        <v>1970</v>
      </c>
      <c r="H75" s="145">
        <f>D75-F75</f>
        <v>9.8434590407636335</v>
      </c>
      <c r="I75" s="230" t="s">
        <v>1970</v>
      </c>
      <c r="J75" s="725">
        <f>Stores!D93+Stores!AX93</f>
        <v>105</v>
      </c>
      <c r="K75" s="132"/>
      <c r="L75" s="177">
        <f>AVERAGE(J75,J71)</f>
        <v>104.5</v>
      </c>
      <c r="M75" s="132"/>
      <c r="N75" s="145">
        <f>(L75/L68-1)*100</f>
        <v>8.854166666666675</v>
      </c>
      <c r="O75" s="230" t="s">
        <v>1970</v>
      </c>
      <c r="P75" s="259">
        <f>H75/N75*100</f>
        <v>111.17318446038918</v>
      </c>
      <c r="Q75" s="138" t="s">
        <v>1970</v>
      </c>
      <c r="R75" s="296">
        <f>'qtrP&amp;L'!AP10-AN75-AQ75</f>
        <v>249.16499999999999</v>
      </c>
      <c r="S75" s="132"/>
      <c r="T75" s="143">
        <f>R75/L75</f>
        <v>2.384354066985646</v>
      </c>
      <c r="U75" s="132"/>
      <c r="V75" s="219">
        <f>(T75/T68-1)*100</f>
        <v>11.932747061371396</v>
      </c>
      <c r="W75" s="230" t="s">
        <v>1970</v>
      </c>
      <c r="X75" s="132"/>
      <c r="Y75" s="1017">
        <f>Stores!G93+Stores!AH93</f>
        <v>0.48294999999999999</v>
      </c>
      <c r="Z75" s="132"/>
      <c r="AA75" s="254">
        <f>AVERAGE(Y75,Y71)</f>
        <v>0.47720000000000001</v>
      </c>
      <c r="AB75" s="132"/>
      <c r="AC75" s="145">
        <f>(AA75/AA68-1)*100</f>
        <v>10.860727146009985</v>
      </c>
      <c r="AD75" s="230" t="s">
        <v>1970</v>
      </c>
      <c r="AE75" s="259">
        <f>+H75/AC75*100</f>
        <v>90.63351752078519</v>
      </c>
      <c r="AF75" s="138" t="s">
        <v>1970</v>
      </c>
      <c r="AG75" s="141">
        <f>+R75</f>
        <v>249.16499999999999</v>
      </c>
      <c r="AH75" s="132"/>
      <c r="AI75" s="244">
        <f>AG75/AA75</f>
        <v>522.13956412405696</v>
      </c>
      <c r="AJ75" s="132"/>
      <c r="AK75" s="145">
        <f>(AI75/AI68-1)*100</f>
        <v>9.9067832022143865</v>
      </c>
      <c r="AL75" s="230" t="s">
        <v>1970</v>
      </c>
      <c r="AM75" s="230"/>
      <c r="AN75" s="145">
        <f>'segSales&amp;comps'!AM77</f>
        <v>23.111999999999998</v>
      </c>
      <c r="AO75" s="969">
        <f>'segSales&amp;comps'!AN77</f>
        <v>6.6888242625674943</v>
      </c>
      <c r="AP75" s="969"/>
      <c r="AQ75" s="145"/>
      <c r="AR75" s="969"/>
      <c r="AT75" s="979">
        <f>+R75-AU75</f>
        <v>0</v>
      </c>
      <c r="AU75" s="978">
        <f>+AV75+AW75</f>
        <v>249.16500000000002</v>
      </c>
      <c r="AV75" s="296">
        <f>+SeqQtrSales!V75</f>
        <v>131.691</v>
      </c>
      <c r="AW75" s="296">
        <f>+SeqQtrSales!V256</f>
        <v>117.474</v>
      </c>
    </row>
    <row r="76" spans="1:49" hidden="1" outlineLevel="1">
      <c r="A76" s="132" t="str">
        <f>$A$41</f>
        <v>2Q</v>
      </c>
      <c r="B76" s="174" t="str">
        <f>$B$41</f>
        <v>Jul</v>
      </c>
      <c r="C76" s="132"/>
      <c r="D76" s="145">
        <f>(R76/R69-1)*100</f>
        <v>26.048098870398519</v>
      </c>
      <c r="E76" s="230"/>
      <c r="F76" s="217">
        <v>12</v>
      </c>
      <c r="G76" s="230"/>
      <c r="H76" s="145">
        <f>D76-F76</f>
        <v>14.048098870398519</v>
      </c>
      <c r="I76" s="230"/>
      <c r="J76" s="725">
        <f>Stores!D94+Stores!AX94</f>
        <v>107</v>
      </c>
      <c r="K76" s="132"/>
      <c r="L76" s="177">
        <f>AVERAGE(J76,J75)</f>
        <v>106</v>
      </c>
      <c r="M76" s="132"/>
      <c r="N76" s="145">
        <f>(L76/L69-1)*100</f>
        <v>8.7179487179487083</v>
      </c>
      <c r="O76" s="230"/>
      <c r="P76" s="259">
        <f>H76/N76*100</f>
        <v>161.13995763104199</v>
      </c>
      <c r="Q76" s="138"/>
      <c r="R76" s="315">
        <f>'qtrP&amp;L'!AP11-AN76-AQ76</f>
        <v>281.08600000000001</v>
      </c>
      <c r="S76" s="132"/>
      <c r="T76" s="147">
        <f>R76/L76</f>
        <v>2.6517547169811322</v>
      </c>
      <c r="U76" s="132"/>
      <c r="V76" s="219">
        <f>(T76/T69-1)*100</f>
        <v>15.940468300602406</v>
      </c>
      <c r="W76" s="230"/>
      <c r="X76" s="132"/>
      <c r="Y76" s="1017">
        <f>Stores!G94+Stores!AH94</f>
        <v>0.49395</v>
      </c>
      <c r="Z76" s="132"/>
      <c r="AA76" s="254">
        <f>AVERAGE(Y76,Y75)</f>
        <v>0.48845</v>
      </c>
      <c r="AB76" s="132"/>
      <c r="AC76" s="145">
        <f>(AA76/AA69-1)*100</f>
        <v>11.637208593630955</v>
      </c>
      <c r="AD76" s="230"/>
      <c r="AE76" s="259">
        <f>+H76/AC76*100</f>
        <v>120.71708397567991</v>
      </c>
      <c r="AF76" s="138"/>
      <c r="AG76" s="142">
        <f>+R76</f>
        <v>281.08600000000001</v>
      </c>
      <c r="AH76" s="132"/>
      <c r="AI76" s="245">
        <f>AG76/AA76</f>
        <v>575.46524721056403</v>
      </c>
      <c r="AJ76" s="132"/>
      <c r="AK76" s="145">
        <f>(AI76/AI69-1)*100</f>
        <v>12.908680231538593</v>
      </c>
      <c r="AL76" s="230"/>
      <c r="AM76" s="230"/>
      <c r="AN76" s="145">
        <f>'segSales&amp;comps'!AM78</f>
        <v>25.981000000000002</v>
      </c>
      <c r="AO76" s="969">
        <f>'segSales&amp;comps'!AN78</f>
        <v>5.088379242001384</v>
      </c>
      <c r="AP76" s="969"/>
      <c r="AQ76" s="145"/>
      <c r="AR76" s="969"/>
      <c r="AT76" s="979">
        <f>+R76-AU76</f>
        <v>0</v>
      </c>
      <c r="AU76" s="974">
        <f>+AV76+AW76</f>
        <v>281.08600000000001</v>
      </c>
      <c r="AV76" s="315">
        <f>+SeqQtrSales!V76</f>
        <v>159.512</v>
      </c>
      <c r="AW76" s="315">
        <f>+SeqQtrSales!V257</f>
        <v>121.574</v>
      </c>
    </row>
    <row r="77" spans="1:49" hidden="1" outlineLevel="1">
      <c r="A77" s="132" t="str">
        <f>$A$42</f>
        <v>3Q</v>
      </c>
      <c r="B77" s="174" t="str">
        <f>$B$42</f>
        <v>Oct</v>
      </c>
      <c r="C77" s="132"/>
      <c r="D77" s="145">
        <f>(R77/R70-1)*100</f>
        <v>29.667725352515962</v>
      </c>
      <c r="E77" s="230"/>
      <c r="F77" s="217">
        <v>22</v>
      </c>
      <c r="G77" s="230"/>
      <c r="H77" s="145">
        <f>D77-F77</f>
        <v>7.6677253525159621</v>
      </c>
      <c r="I77" s="230"/>
      <c r="J77" s="725">
        <f>Stores!D95+Stores!AX95</f>
        <v>111</v>
      </c>
      <c r="K77" s="132"/>
      <c r="L77" s="177">
        <f>AVERAGE(J77,J76)</f>
        <v>109</v>
      </c>
      <c r="M77" s="132"/>
      <c r="N77" s="145">
        <f>(L77/L70-1)*100</f>
        <v>8.4577114427860636</v>
      </c>
      <c r="O77" s="230"/>
      <c r="P77" s="259">
        <f>H77/N77*100</f>
        <v>90.659576226806436</v>
      </c>
      <c r="Q77" s="138"/>
      <c r="R77" s="315">
        <f>'qtrP&amp;L'!AP12-AN77-AQ77</f>
        <v>294.36</v>
      </c>
      <c r="S77" s="132"/>
      <c r="T77" s="147">
        <f>R77/L77</f>
        <v>2.7005504587155964</v>
      </c>
      <c r="U77" s="132"/>
      <c r="V77" s="219">
        <f>(T77/T70-1)*100</f>
        <v>19.556021999338103</v>
      </c>
      <c r="W77" s="230"/>
      <c r="X77" s="132"/>
      <c r="Y77" s="1017">
        <f>Stores!G95+Stores!AH95</f>
        <v>0.53394999999999992</v>
      </c>
      <c r="Z77" s="132"/>
      <c r="AA77" s="254">
        <f>AVERAGE(Y77,Y76)</f>
        <v>0.51394999999999991</v>
      </c>
      <c r="AB77" s="132"/>
      <c r="AC77" s="145">
        <f>(AA77/AA70-1)*100</f>
        <v>13.781270754925812</v>
      </c>
      <c r="AD77" s="230"/>
      <c r="AE77" s="259">
        <f>+H77/AC77*100</f>
        <v>55.638739626208292</v>
      </c>
      <c r="AF77" s="138"/>
      <c r="AG77" s="142">
        <f>+R77</f>
        <v>294.36</v>
      </c>
      <c r="AH77" s="132"/>
      <c r="AI77" s="245">
        <f>AG77/AA77</f>
        <v>572.74053896293424</v>
      </c>
      <c r="AJ77" s="132"/>
      <c r="AK77" s="219">
        <f>(AI77/AI70-1)*100</f>
        <v>13.962275594379747</v>
      </c>
      <c r="AL77" s="230"/>
      <c r="AM77" s="230"/>
      <c r="AN77" s="145">
        <f>'segSales&amp;comps'!AM79</f>
        <v>28.346</v>
      </c>
      <c r="AO77" s="969">
        <f>'segSales&amp;comps'!AN79</f>
        <v>10.947590903753568</v>
      </c>
      <c r="AP77" s="969"/>
      <c r="AQ77" s="145"/>
      <c r="AR77" s="969"/>
      <c r="AT77" s="979">
        <f>+R77-AU77</f>
        <v>0</v>
      </c>
      <c r="AU77" s="974">
        <f>+AV77+AW77</f>
        <v>294.36</v>
      </c>
      <c r="AV77" s="315">
        <f>+SeqQtrSales!V77</f>
        <v>161.49100000000001</v>
      </c>
      <c r="AW77" s="315">
        <f>+SeqQtrSales!V258</f>
        <v>132.869</v>
      </c>
    </row>
    <row r="78" spans="1:49" hidden="1" outlineLevel="1">
      <c r="A78" s="132" t="str">
        <f>$A$43</f>
        <v>4Q</v>
      </c>
      <c r="B78" s="174" t="str">
        <f>$B$43</f>
        <v>Jan</v>
      </c>
      <c r="C78" s="132"/>
      <c r="D78" s="176">
        <f>(R78/R71-1)*100</f>
        <v>26.861441837646936</v>
      </c>
      <c r="E78" s="230"/>
      <c r="F78" s="218">
        <f>(1+F79/100)/((1+F75/100)*(1+F76/100)*(1+F77/100))-1</f>
        <v>-0.21587487453998</v>
      </c>
      <c r="G78" s="230"/>
      <c r="H78" s="176">
        <f>D78-F78</f>
        <v>27.077316712186917</v>
      </c>
      <c r="I78" s="230"/>
      <c r="J78" s="725">
        <f>Stores!D96+Stores!AX96</f>
        <v>110</v>
      </c>
      <c r="K78" s="132"/>
      <c r="L78" s="178">
        <f>AVERAGE(J78,J77)</f>
        <v>110.5</v>
      </c>
      <c r="M78" s="132"/>
      <c r="N78" s="176">
        <f>(L78/L71-1)*100</f>
        <v>7.2815533980582492</v>
      </c>
      <c r="O78" s="230"/>
      <c r="P78" s="178">
        <f>H78/N78*100</f>
        <v>371.86181618070049</v>
      </c>
      <c r="Q78" s="138"/>
      <c r="R78" s="316">
        <f>'qtrP&amp;L'!AP13-AN78-AQ78</f>
        <v>509.42099999999999</v>
      </c>
      <c r="S78" s="132"/>
      <c r="T78" s="148">
        <f>R78/L78</f>
        <v>4.6101447963800908</v>
      </c>
      <c r="U78" s="132"/>
      <c r="V78" s="218">
        <f>(T78/T71-1)*100</f>
        <v>18.250936735544208</v>
      </c>
      <c r="W78" s="230"/>
      <c r="X78" s="132"/>
      <c r="Y78" s="1017">
        <f>Stores!G96+Stores!AH96</f>
        <v>0.51644999999999996</v>
      </c>
      <c r="Z78" s="132"/>
      <c r="AA78" s="255">
        <f>AVERAGE(Y78,Y77)</f>
        <v>0.52519999999999989</v>
      </c>
      <c r="AB78" s="132"/>
      <c r="AC78" s="176">
        <f>(AA78/AA71-1)*100</f>
        <v>12.917905901745064</v>
      </c>
      <c r="AD78" s="230"/>
      <c r="AE78" s="178">
        <f>+H78/AC78*100</f>
        <v>209.61072884521536</v>
      </c>
      <c r="AF78" s="138"/>
      <c r="AG78" s="146">
        <f>+R78</f>
        <v>509.42099999999999</v>
      </c>
      <c r="AH78" s="132"/>
      <c r="AI78" s="257">
        <f>AG78/AA78</f>
        <v>969.95620715917767</v>
      </c>
      <c r="AJ78" s="132"/>
      <c r="AK78" s="218">
        <f>(AI78/AI71-1)*100</f>
        <v>12.348383389287076</v>
      </c>
      <c r="AL78" s="230"/>
      <c r="AM78" s="230"/>
      <c r="AN78" s="145">
        <f>'segSales&amp;comps'!AM80</f>
        <v>60.21899999999998</v>
      </c>
      <c r="AO78" s="969">
        <f>'segSales&amp;comps'!AN80</f>
        <v>20.604434119084303</v>
      </c>
      <c r="AP78" s="969"/>
      <c r="AQ78" s="145"/>
      <c r="AR78" s="969"/>
      <c r="AT78" s="979">
        <f>+R78-AU78</f>
        <v>0</v>
      </c>
      <c r="AU78" s="974">
        <f>+AV78+AW78</f>
        <v>509.42099999999994</v>
      </c>
      <c r="AV78" s="315">
        <f>+SeqQtrSales!V78</f>
        <v>291.73099999999999</v>
      </c>
      <c r="AW78" s="315">
        <f>+SeqQtrSales!V259</f>
        <v>217.68999999999994</v>
      </c>
    </row>
    <row r="79" spans="1:49" hidden="1" outlineLevel="1">
      <c r="A79" s="132"/>
      <c r="B79" s="174" t="str">
        <f>$B$44</f>
        <v>Year</v>
      </c>
      <c r="C79" s="132"/>
      <c r="D79" s="145">
        <f>(R79/R72-1)*100</f>
        <v>26.321251667750857</v>
      </c>
      <c r="E79" s="230"/>
      <c r="F79" s="217">
        <v>20</v>
      </c>
      <c r="G79" s="230"/>
      <c r="H79" s="145">
        <f>D79-F79</f>
        <v>6.3212516677508575</v>
      </c>
      <c r="I79" s="230"/>
      <c r="J79" s="725"/>
      <c r="K79" s="132"/>
      <c r="L79" s="177">
        <f>AVERAGE(L75:L78)</f>
        <v>107.5</v>
      </c>
      <c r="M79" s="132"/>
      <c r="N79" s="145">
        <f>(L79/L72-1)*100</f>
        <v>8.3123425692695143</v>
      </c>
      <c r="O79" s="230"/>
      <c r="P79" s="259">
        <f>H79/N79*100</f>
        <v>76.046573093851293</v>
      </c>
      <c r="Q79" s="138"/>
      <c r="R79" s="296">
        <f>SUM(R75:R78)</f>
        <v>1334.0319999999999</v>
      </c>
      <c r="S79" s="132"/>
      <c r="T79" s="143">
        <f>SUM(T75:T78)</f>
        <v>12.346804039062466</v>
      </c>
      <c r="U79" s="132"/>
      <c r="V79" s="219">
        <f>(T79/T72-1)*100</f>
        <v>16.757259640387502</v>
      </c>
      <c r="W79" s="230"/>
      <c r="X79" s="132"/>
      <c r="Y79" s="236"/>
      <c r="Z79" s="132"/>
      <c r="AA79" s="254">
        <f>AVERAGE(AA75:AA78)</f>
        <v>0.50119999999999998</v>
      </c>
      <c r="AB79" s="132"/>
      <c r="AC79" s="145">
        <f>(AA79/AA72-1)*100</f>
        <v>12.326311071268492</v>
      </c>
      <c r="AD79" s="230"/>
      <c r="AE79" s="259">
        <f>+H79/AC79*100</f>
        <v>51.282590802735129</v>
      </c>
      <c r="AF79" s="138"/>
      <c r="AG79" s="141">
        <f>SUM(AG75:AG78)</f>
        <v>1334.0319999999999</v>
      </c>
      <c r="AH79" s="132"/>
      <c r="AI79" s="244">
        <f>AG79/AA79</f>
        <v>2661.6759776536314</v>
      </c>
      <c r="AJ79" s="132"/>
      <c r="AK79" s="219">
        <f>(AI79/AI72-1)*100</f>
        <v>12.459182949222747</v>
      </c>
      <c r="AL79" s="230"/>
      <c r="AM79" s="230"/>
      <c r="AN79" s="145">
        <f>'segSales&amp;comps'!AM81</f>
        <v>137.65799999999999</v>
      </c>
      <c r="AO79" s="969">
        <f>'segSales&amp;comps'!AN81</f>
        <v>12.958495396583114</v>
      </c>
      <c r="AP79" s="969"/>
      <c r="AQ79" s="145"/>
      <c r="AR79" s="969"/>
      <c r="AT79" s="979">
        <f>+R79-AU79</f>
        <v>0</v>
      </c>
      <c r="AU79" s="975">
        <f>+SUM(AU75:AU78)</f>
        <v>1334.0319999999999</v>
      </c>
      <c r="AV79" s="976">
        <f>+SUM(AV75:AV78)</f>
        <v>744.42499999999995</v>
      </c>
      <c r="AW79" s="976">
        <f>+SUM(AW75:AW78)</f>
        <v>589.60699999999997</v>
      </c>
    </row>
    <row r="80" spans="1:49" hidden="1" outlineLevel="1">
      <c r="A80" s="132"/>
      <c r="B80" s="174"/>
      <c r="C80" s="132"/>
      <c r="D80" s="132"/>
      <c r="E80" s="230"/>
      <c r="F80" s="132"/>
      <c r="G80" s="230"/>
      <c r="H80" s="132"/>
      <c r="I80" s="230"/>
      <c r="J80" s="132"/>
      <c r="K80" s="132"/>
      <c r="L80" s="132"/>
      <c r="M80" s="132"/>
      <c r="N80" s="132"/>
      <c r="O80" s="230"/>
      <c r="P80" s="138"/>
      <c r="Q80" s="138"/>
      <c r="R80" s="256"/>
      <c r="S80" s="132"/>
      <c r="T80" s="132"/>
      <c r="U80" s="132"/>
      <c r="V80" s="132"/>
      <c r="W80" s="230"/>
      <c r="X80" s="132"/>
      <c r="Y80" s="256"/>
      <c r="Z80" s="132"/>
      <c r="AA80" s="132"/>
      <c r="AB80" s="132"/>
      <c r="AC80" s="132"/>
      <c r="AD80" s="230"/>
      <c r="AE80" s="138"/>
      <c r="AF80" s="138"/>
      <c r="AG80" s="132"/>
      <c r="AH80" s="132"/>
      <c r="AI80" s="132"/>
      <c r="AJ80" s="132"/>
      <c r="AK80" s="132"/>
      <c r="AL80" s="230"/>
      <c r="AM80" s="230"/>
      <c r="AN80" s="145"/>
      <c r="AO80" s="967"/>
      <c r="AP80" s="967"/>
      <c r="AQ80" s="145"/>
      <c r="AR80" s="967"/>
      <c r="AT80" s="132"/>
      <c r="AU80" s="132"/>
      <c r="AV80" s="132"/>
      <c r="AW80" s="132"/>
    </row>
    <row r="81" spans="1:49" hidden="1" outlineLevel="1">
      <c r="A81" s="169"/>
      <c r="B81" s="171">
        <f>B74+1</f>
        <v>2000</v>
      </c>
      <c r="C81" s="132"/>
      <c r="D81" s="132"/>
      <c r="E81" s="230"/>
      <c r="F81" s="132"/>
      <c r="G81" s="230"/>
      <c r="H81" s="132"/>
      <c r="I81" s="230"/>
      <c r="J81" s="132"/>
      <c r="K81" s="132"/>
      <c r="L81" s="132"/>
      <c r="M81" s="132"/>
      <c r="N81" s="132"/>
      <c r="O81" s="230"/>
      <c r="P81" s="138"/>
      <c r="Q81" s="138"/>
      <c r="R81" s="256"/>
      <c r="S81" s="132"/>
      <c r="T81" s="132"/>
      <c r="U81" s="132"/>
      <c r="V81" s="132"/>
      <c r="W81" s="230"/>
      <c r="X81" s="132"/>
      <c r="Y81" s="256"/>
      <c r="Z81" s="132"/>
      <c r="AA81" s="132"/>
      <c r="AB81" s="132"/>
      <c r="AC81" s="132"/>
      <c r="AD81" s="230"/>
      <c r="AE81" s="138"/>
      <c r="AF81" s="138"/>
      <c r="AG81" s="132"/>
      <c r="AH81" s="132"/>
      <c r="AI81" s="132"/>
      <c r="AJ81" s="132"/>
      <c r="AK81" s="132"/>
      <c r="AL81" s="230"/>
      <c r="AM81" s="230"/>
      <c r="AN81" s="145"/>
      <c r="AO81" s="967"/>
      <c r="AP81" s="967"/>
      <c r="AQ81" s="145"/>
      <c r="AR81" s="967"/>
      <c r="AT81" s="132"/>
      <c r="AU81" s="132"/>
      <c r="AV81" s="132"/>
      <c r="AW81" s="132"/>
    </row>
    <row r="82" spans="1:49" hidden="1" outlineLevel="1">
      <c r="A82" s="132" t="str">
        <f>$A$40</f>
        <v>1Q</v>
      </c>
      <c r="B82" s="174" t="str">
        <f>$B$40</f>
        <v>Apr</v>
      </c>
      <c r="C82" s="132"/>
      <c r="D82" s="145">
        <f>(R82/R75-1)*100</f>
        <v>27.310416792085547</v>
      </c>
      <c r="E82" s="230" t="s">
        <v>1970</v>
      </c>
      <c r="F82" s="217">
        <f>'qtrP&amp;L'!AV10</f>
        <v>24.254720507152104</v>
      </c>
      <c r="G82" s="230" t="s">
        <v>1970</v>
      </c>
      <c r="H82" s="145">
        <f>D82-F82</f>
        <v>3.0556962849334433</v>
      </c>
      <c r="I82" s="230" t="s">
        <v>1970</v>
      </c>
      <c r="J82" s="725">
        <f>Stores!D100+Stores!AX100</f>
        <v>112</v>
      </c>
      <c r="K82" s="132" t="s">
        <v>505</v>
      </c>
      <c r="L82" s="177">
        <f>AVERAGE(J82,J78)</f>
        <v>111</v>
      </c>
      <c r="M82" s="132"/>
      <c r="N82" s="145">
        <f>(L82/L75-1)*100</f>
        <v>6.2200956937799035</v>
      </c>
      <c r="O82" s="230" t="s">
        <v>1970</v>
      </c>
      <c r="P82" s="259">
        <f>H82/N82*100</f>
        <v>49.12619411931459</v>
      </c>
      <c r="Q82" s="138" t="s">
        <v>1970</v>
      </c>
      <c r="R82" s="296">
        <f>+'qtrP&amp;L'!AT10-AN82-AQ82</f>
        <v>317.21299999999997</v>
      </c>
      <c r="S82" s="132" t="s">
        <v>505</v>
      </c>
      <c r="T82" s="143">
        <f>R82/L82</f>
        <v>2.8577747747747746</v>
      </c>
      <c r="U82" s="132"/>
      <c r="V82" s="219">
        <f>(T82/T75-1)*100</f>
        <v>19.855302295251718</v>
      </c>
      <c r="W82" s="230" t="s">
        <v>1970</v>
      </c>
      <c r="X82" s="132"/>
      <c r="Y82" s="1017">
        <f>Stores!G100+Stores!AH100</f>
        <v>0.52244999999999997</v>
      </c>
      <c r="Z82" s="132" t="s">
        <v>505</v>
      </c>
      <c r="AA82" s="254">
        <f>AVERAGE(Y82,Y78)</f>
        <v>0.51944999999999997</v>
      </c>
      <c r="AB82" s="132"/>
      <c r="AC82" s="145">
        <f>(AA82/AA75-1)*100</f>
        <v>8.8537300922045148</v>
      </c>
      <c r="AD82" s="230" t="s">
        <v>1970</v>
      </c>
      <c r="AE82" s="259">
        <f>+H82/AC82*100</f>
        <v>34.513095080952446</v>
      </c>
      <c r="AF82" s="138" t="s">
        <v>1970</v>
      </c>
      <c r="AG82" s="141">
        <f>+R82</f>
        <v>317.21299999999997</v>
      </c>
      <c r="AH82" s="132" t="s">
        <v>505</v>
      </c>
      <c r="AI82" s="244">
        <f>AG82/AA82</f>
        <v>610.67090191548755</v>
      </c>
      <c r="AJ82" s="132"/>
      <c r="AK82" s="219">
        <f>(AI82/AI75-1)*100</f>
        <v>16.955493104597629</v>
      </c>
      <c r="AL82" s="230" t="s">
        <v>1970</v>
      </c>
      <c r="AM82" s="230"/>
      <c r="AN82" s="145">
        <f>'segSales&amp;comps'!AM84</f>
        <v>27.93</v>
      </c>
      <c r="AO82" s="969">
        <f>'segSales&amp;comps'!AN84</f>
        <v>20.846313603322962</v>
      </c>
      <c r="AP82" s="969"/>
      <c r="AQ82" s="145"/>
      <c r="AR82" s="969"/>
      <c r="AT82" s="315">
        <f>+R82-AU82</f>
        <v>0</v>
      </c>
      <c r="AU82" s="978">
        <f>+AV82+AW82</f>
        <v>317.21299999999997</v>
      </c>
      <c r="AV82" s="296">
        <f>+SeqQtrSales!V82</f>
        <v>169.767</v>
      </c>
      <c r="AW82" s="296">
        <f>+SeqQtrSales!V263</f>
        <v>147.446</v>
      </c>
    </row>
    <row r="83" spans="1:49" hidden="1" outlineLevel="1">
      <c r="A83" s="132" t="str">
        <f>$A$41</f>
        <v>2Q</v>
      </c>
      <c r="B83" s="174" t="str">
        <f>$B$41</f>
        <v>Jul</v>
      </c>
      <c r="C83" s="132"/>
      <c r="D83" s="145">
        <f>(R83/R76-1)*100</f>
        <v>21.639996300064745</v>
      </c>
      <c r="E83" s="132"/>
      <c r="F83" s="217">
        <f>'qtrP&amp;L'!AV11</f>
        <v>18</v>
      </c>
      <c r="G83" s="132"/>
      <c r="H83" s="145">
        <f>D83-F83</f>
        <v>3.6399963000647446</v>
      </c>
      <c r="I83" s="132"/>
      <c r="J83" s="725">
        <f>Stores!D101+Stores!AX101</f>
        <v>113</v>
      </c>
      <c r="K83" s="238"/>
      <c r="L83" s="177">
        <f>AVERAGE(J83,J82)</f>
        <v>112.5</v>
      </c>
      <c r="M83" s="132"/>
      <c r="N83" s="145">
        <f>(L83/L76-1)*100</f>
        <v>6.1320754716981174</v>
      </c>
      <c r="O83" s="230"/>
      <c r="P83" s="259">
        <f>H83/N83*100</f>
        <v>59.35993966259425</v>
      </c>
      <c r="Q83" s="138"/>
      <c r="R83" s="315">
        <f>+'qtrP&amp;L'!AT11-AN83-AQ83</f>
        <v>341.91300000000001</v>
      </c>
      <c r="S83" s="132"/>
      <c r="T83" s="147">
        <f>R83/L83</f>
        <v>3.039226666666667</v>
      </c>
      <c r="U83" s="132"/>
      <c r="V83" s="219">
        <f>(T83/T76-1)*100</f>
        <v>14.611907624949904</v>
      </c>
      <c r="W83" s="230"/>
      <c r="X83" s="132"/>
      <c r="Y83" s="1017">
        <f>Stores!G101+Stores!AH101</f>
        <v>0.52970000000000006</v>
      </c>
      <c r="Z83" s="238"/>
      <c r="AA83" s="254">
        <f>AVERAGE(Y83,Y82)</f>
        <v>0.52607500000000007</v>
      </c>
      <c r="AB83" s="132"/>
      <c r="AC83" s="145">
        <f>(AA83/AA76-1)*100</f>
        <v>7.7029378646739755</v>
      </c>
      <c r="AD83" s="230"/>
      <c r="AE83" s="259">
        <f>+H83/AC83*100</f>
        <v>47.254649641637819</v>
      </c>
      <c r="AF83" s="138"/>
      <c r="AG83" s="142">
        <f>+R83</f>
        <v>341.91300000000001</v>
      </c>
      <c r="AH83" s="132"/>
      <c r="AI83" s="245">
        <f>AG83/AA83</f>
        <v>649.93204391008885</v>
      </c>
      <c r="AJ83" s="132"/>
      <c r="AK83" s="219">
        <f>(AI83/AI76-1)*100</f>
        <v>12.940276942957984</v>
      </c>
      <c r="AL83" s="230"/>
      <c r="AM83" s="230"/>
      <c r="AN83" s="145">
        <f>'segSales&amp;comps'!AM85</f>
        <v>32.534999999999997</v>
      </c>
      <c r="AO83" s="969">
        <f>'segSales&amp;comps'!AN85</f>
        <v>25.226126784958215</v>
      </c>
      <c r="AP83" s="969"/>
      <c r="AQ83" s="145"/>
      <c r="AR83" s="969"/>
      <c r="AT83" s="315">
        <f>+R83-AU83</f>
        <v>0</v>
      </c>
      <c r="AU83" s="974">
        <f>+AV83+AW83</f>
        <v>341.91300000000001</v>
      </c>
      <c r="AV83" s="315">
        <f>+SeqQtrSales!V83</f>
        <v>188.65899999999999</v>
      </c>
      <c r="AW83" s="315">
        <f>+SeqQtrSales!V264</f>
        <v>153.25399999999999</v>
      </c>
    </row>
    <row r="84" spans="1:49" hidden="1" outlineLevel="1">
      <c r="A84" s="132" t="str">
        <f>$A$42</f>
        <v>3Q</v>
      </c>
      <c r="B84" s="174" t="str">
        <f>$B$42</f>
        <v>Oct</v>
      </c>
      <c r="C84" s="132"/>
      <c r="D84" s="145">
        <f>(R84/R77-1)*100</f>
        <v>14.516918059518936</v>
      </c>
      <c r="E84" s="132"/>
      <c r="F84" s="217">
        <f>'qtrP&amp;L'!AV12</f>
        <v>17</v>
      </c>
      <c r="G84" s="132"/>
      <c r="H84" s="145">
        <f>D84-F84</f>
        <v>-2.483081940481064</v>
      </c>
      <c r="I84" s="132"/>
      <c r="J84" s="725">
        <f>Stores!D102+Stores!AX102</f>
        <v>118</v>
      </c>
      <c r="K84" s="238"/>
      <c r="L84" s="177">
        <f>AVERAGE(J84,J83)</f>
        <v>115.5</v>
      </c>
      <c r="M84" s="132"/>
      <c r="N84" s="145">
        <f>(L84/L77-1)*100</f>
        <v>5.9633027522935755</v>
      </c>
      <c r="O84" s="230"/>
      <c r="P84" s="259">
        <f>H84/N84*100</f>
        <v>-41.639374078836319</v>
      </c>
      <c r="Q84" s="138"/>
      <c r="R84" s="315">
        <f>+'qtrP&amp;L'!AT12-AN84-AQ84</f>
        <v>337.09199999999998</v>
      </c>
      <c r="S84" s="132"/>
      <c r="T84" s="147">
        <f>R84/L84</f>
        <v>2.9185454545454546</v>
      </c>
      <c r="U84" s="132"/>
      <c r="V84" s="219">
        <f>(T84/T77-1)*100</f>
        <v>8.0722430172083683</v>
      </c>
      <c r="W84" s="230"/>
      <c r="X84" s="132"/>
      <c r="Y84" s="1017">
        <f>Stores!G102+Stores!AH102</f>
        <v>0.54895000000000005</v>
      </c>
      <c r="Z84" s="238"/>
      <c r="AA84" s="254">
        <f>AVERAGE(Y84,Y83)</f>
        <v>0.53932500000000005</v>
      </c>
      <c r="AB84" s="132"/>
      <c r="AC84" s="145">
        <f>(AA84/AA77-1)*100</f>
        <v>4.9372507053215609</v>
      </c>
      <c r="AD84" s="230"/>
      <c r="AE84" s="259">
        <f>+H84/AC84*100</f>
        <v>-50.29280643587132</v>
      </c>
      <c r="AF84" s="138"/>
      <c r="AG84" s="142">
        <f>+R84</f>
        <v>337.09199999999998</v>
      </c>
      <c r="AH84" s="132"/>
      <c r="AI84" s="245">
        <f>AG84/AA84</f>
        <v>625.02572660269777</v>
      </c>
      <c r="AJ84" s="132"/>
      <c r="AK84" s="219">
        <f>(AI84/AI77-1)*100</f>
        <v>9.1289482903439634</v>
      </c>
      <c r="AL84" s="230"/>
      <c r="AM84" s="230"/>
      <c r="AN84" s="145">
        <f>'segSales&amp;comps'!AM86</f>
        <v>34.981999999999999</v>
      </c>
      <c r="AO84" s="969">
        <f>'segSales&amp;comps'!AN86</f>
        <v>23.410710505891473</v>
      </c>
      <c r="AP84" s="969"/>
      <c r="AQ84" s="145"/>
      <c r="AR84" s="969"/>
      <c r="AT84" s="315">
        <f>+R84-AU84</f>
        <v>0</v>
      </c>
      <c r="AU84" s="974">
        <f>+AV84+AW84</f>
        <v>337.09199999999998</v>
      </c>
      <c r="AV84" s="315">
        <f>+SeqQtrSales!V84</f>
        <v>182.36199999999999</v>
      </c>
      <c r="AW84" s="315">
        <f>+SeqQtrSales!V265</f>
        <v>154.72999999999999</v>
      </c>
    </row>
    <row r="85" spans="1:49" hidden="1" outlineLevel="1">
      <c r="A85" s="132" t="str">
        <f>$A$43</f>
        <v>4Q</v>
      </c>
      <c r="B85" s="174" t="str">
        <f>$B$43</f>
        <v>Jan</v>
      </c>
      <c r="C85" s="132"/>
      <c r="D85" s="176">
        <f>(R85/R78-1)*100</f>
        <v>1.3458416516005434</v>
      </c>
      <c r="E85" s="132"/>
      <c r="F85" s="218">
        <f>(1+F86/100)/((1+F82/100)*(1+F83/100)*(1+F84/100))-1</f>
        <v>-0.34128481119339882</v>
      </c>
      <c r="G85" s="132"/>
      <c r="H85" s="176">
        <f>D85-F85</f>
        <v>1.6871264627939422</v>
      </c>
      <c r="I85" s="132"/>
      <c r="J85" s="725">
        <f>Stores!D103+Stores!AX103</f>
        <v>119</v>
      </c>
      <c r="K85" s="139"/>
      <c r="L85" s="178">
        <f>AVERAGE(J85,J84)</f>
        <v>118.5</v>
      </c>
      <c r="M85" s="132"/>
      <c r="N85" s="176">
        <f>(L85/L78-1)*100</f>
        <v>7.2398190045248834</v>
      </c>
      <c r="O85" s="230"/>
      <c r="P85" s="178">
        <f>H85/N85*100</f>
        <v>23.303434267341338</v>
      </c>
      <c r="Q85" s="138"/>
      <c r="R85" s="316">
        <f>+'qtrP&amp;L'!AT13-AN85-AQ85</f>
        <v>516.27700000000004</v>
      </c>
      <c r="S85" s="132"/>
      <c r="T85" s="148">
        <f>R85/L85</f>
        <v>4.3567679324894515</v>
      </c>
      <c r="U85" s="132"/>
      <c r="V85" s="218">
        <f>(T85/T78-1)*100</f>
        <v>-5.4960717088450739</v>
      </c>
      <c r="W85" s="230"/>
      <c r="X85" s="132"/>
      <c r="Y85" s="1017">
        <f>Stores!G103+Stores!AH103</f>
        <v>0.56045</v>
      </c>
      <c r="Z85" s="139"/>
      <c r="AA85" s="255">
        <f>AVERAGE(Y85,Y84)</f>
        <v>0.55469999999999997</v>
      </c>
      <c r="AB85" s="132"/>
      <c r="AC85" s="176">
        <f>(AA85/AA78-1)*100</f>
        <v>5.6169078446306253</v>
      </c>
      <c r="AD85" s="230"/>
      <c r="AE85" s="178">
        <f>+H85/AC85*100</f>
        <v>30.036570110487361</v>
      </c>
      <c r="AF85" s="138"/>
      <c r="AG85" s="146">
        <f>+R85</f>
        <v>516.27700000000004</v>
      </c>
      <c r="AH85" s="132"/>
      <c r="AI85" s="257">
        <f>AG85/AA85</f>
        <v>930.73192716783865</v>
      </c>
      <c r="AJ85" s="132"/>
      <c r="AK85" s="218">
        <f>(AI85/AI78-1)*100</f>
        <v>-4.0439227773199864</v>
      </c>
      <c r="AL85" s="230"/>
      <c r="AM85" s="230"/>
      <c r="AN85" s="145">
        <f>'segSales&amp;comps'!AM87</f>
        <v>60.113999999999997</v>
      </c>
      <c r="AO85" s="969">
        <f>'segSales&amp;comps'!AN87</f>
        <v>-0.174363572958669</v>
      </c>
      <c r="AP85" s="969"/>
      <c r="AQ85" s="145"/>
      <c r="AR85" s="969"/>
      <c r="AT85" s="315">
        <f>+R85-AU85</f>
        <v>0</v>
      </c>
      <c r="AU85" s="974">
        <f>+AV85+AW85</f>
        <v>516.27700000000004</v>
      </c>
      <c r="AV85" s="315">
        <f>+SeqQtrSales!V85</f>
        <v>292.43299999999999</v>
      </c>
      <c r="AW85" s="315">
        <f>+SeqQtrSales!V266</f>
        <v>223.84399999999999</v>
      </c>
    </row>
    <row r="86" spans="1:49" hidden="1" outlineLevel="1">
      <c r="A86" s="132"/>
      <c r="B86" s="174" t="str">
        <f>$B$44</f>
        <v>Year</v>
      </c>
      <c r="C86" s="132"/>
      <c r="D86" s="145">
        <f>(R86/R79-1)*100</f>
        <v>13.377715077299502</v>
      </c>
      <c r="E86" s="132"/>
      <c r="F86" s="219">
        <f>'qtrP&amp;L'!AV14</f>
        <v>13</v>
      </c>
      <c r="G86" s="132"/>
      <c r="H86" s="145">
        <f>D86-F86</f>
        <v>0.37771507729950216</v>
      </c>
      <c r="I86" s="132"/>
      <c r="J86" s="725"/>
      <c r="K86" s="132"/>
      <c r="L86" s="177">
        <f>AVERAGE(L82:L85)</f>
        <v>114.375</v>
      </c>
      <c r="M86" s="132"/>
      <c r="N86" s="145">
        <f>(L86/L79-1)*100</f>
        <v>6.3953488372092915</v>
      </c>
      <c r="O86" s="230"/>
      <c r="P86" s="259">
        <f>H86/N86*100</f>
        <v>5.9060902995922255</v>
      </c>
      <c r="Q86" s="138"/>
      <c r="R86" s="296">
        <f>SUM(R82:R85)</f>
        <v>1512.4949999999999</v>
      </c>
      <c r="S86" s="132"/>
      <c r="T86" s="143">
        <f>SUM(T82:T85)</f>
        <v>13.172314828476345</v>
      </c>
      <c r="U86" s="132"/>
      <c r="V86" s="219">
        <f>(T86/T79-1)*100</f>
        <v>6.6860281154714318</v>
      </c>
      <c r="W86" s="230"/>
      <c r="X86" s="132"/>
      <c r="Y86" s="236"/>
      <c r="Z86" s="132"/>
      <c r="AA86" s="254">
        <f>AVERAGE(AA82:AA85)</f>
        <v>0.53488749999999996</v>
      </c>
      <c r="AB86" s="132"/>
      <c r="AC86" s="145">
        <f>(AA86/AA79-1)*100</f>
        <v>6.7213687150837975</v>
      </c>
      <c r="AD86" s="230"/>
      <c r="AE86" s="259">
        <f>+H86/AC86*100</f>
        <v>5.6196154877183089</v>
      </c>
      <c r="AF86" s="138"/>
      <c r="AG86" s="141">
        <f>SUM(AG82:AG85)</f>
        <v>1512.4949999999999</v>
      </c>
      <c r="AH86" s="132"/>
      <c r="AI86" s="244">
        <f>AG86/AA86</f>
        <v>2827.6880652473651</v>
      </c>
      <c r="AJ86" s="132"/>
      <c r="AK86" s="219">
        <f>(AI86/AI79-1)*100</f>
        <v>6.2371261185623306</v>
      </c>
      <c r="AL86" s="230"/>
      <c r="AM86" s="230"/>
      <c r="AN86" s="145">
        <f>'segSales&amp;comps'!AM88</f>
        <v>155.56100000000001</v>
      </c>
      <c r="AO86" s="969">
        <f>'segSales&amp;comps'!AN88</f>
        <v>13.005419227360582</v>
      </c>
      <c r="AP86" s="969"/>
      <c r="AQ86" s="145"/>
      <c r="AR86" s="969"/>
      <c r="AT86" s="315">
        <f>+R86-AU86</f>
        <v>0</v>
      </c>
      <c r="AU86" s="975">
        <f>+SUM(AU82:AU85)</f>
        <v>1512.4949999999999</v>
      </c>
      <c r="AV86" s="976">
        <f>+SUM(AV82:AV85)</f>
        <v>833.221</v>
      </c>
      <c r="AW86" s="976">
        <f>+SUM(AW82:AW85)</f>
        <v>679.27399999999989</v>
      </c>
    </row>
    <row r="87" spans="1:49" hidden="1" outlineLevel="1">
      <c r="A87" s="132"/>
      <c r="B87" s="174"/>
      <c r="C87" s="132"/>
      <c r="D87" s="132"/>
      <c r="E87" s="132"/>
      <c r="F87" s="217"/>
      <c r="G87" s="132"/>
      <c r="H87" s="132"/>
      <c r="I87" s="132"/>
      <c r="J87" s="132"/>
      <c r="K87" s="132"/>
      <c r="L87" s="132"/>
      <c r="M87" s="132"/>
      <c r="N87" s="132"/>
      <c r="O87" s="230"/>
      <c r="P87" s="138"/>
      <c r="Q87" s="138"/>
      <c r="R87" s="256"/>
      <c r="S87" s="132"/>
      <c r="T87" s="132"/>
      <c r="U87" s="132"/>
      <c r="V87" s="132"/>
      <c r="W87" s="230"/>
      <c r="X87" s="132"/>
      <c r="Y87" s="256"/>
      <c r="Z87" s="132"/>
      <c r="AA87" s="132"/>
      <c r="AB87" s="132"/>
      <c r="AC87" s="132"/>
      <c r="AD87" s="230"/>
      <c r="AE87" s="138"/>
      <c r="AF87" s="138"/>
      <c r="AG87" s="132"/>
      <c r="AH87" s="132"/>
      <c r="AI87" s="132"/>
      <c r="AJ87" s="132"/>
      <c r="AK87" s="132"/>
      <c r="AL87" s="132"/>
      <c r="AM87" s="132"/>
      <c r="AN87" s="145"/>
      <c r="AO87" s="967"/>
      <c r="AP87" s="967"/>
      <c r="AQ87" s="145"/>
      <c r="AR87" s="967"/>
      <c r="AT87" s="132"/>
      <c r="AU87" s="132"/>
      <c r="AV87" s="132"/>
      <c r="AW87" s="132"/>
    </row>
    <row r="88" spans="1:49" hidden="1" outlineLevel="1">
      <c r="A88" s="169"/>
      <c r="B88" s="171">
        <f>B81+1</f>
        <v>2001</v>
      </c>
      <c r="C88" s="132"/>
      <c r="D88" s="132"/>
      <c r="E88" s="230"/>
      <c r="F88" s="132"/>
      <c r="G88" s="230"/>
      <c r="H88" s="132"/>
      <c r="I88" s="230"/>
      <c r="J88" s="132"/>
      <c r="K88" s="132"/>
      <c r="L88" s="132"/>
      <c r="M88" s="132"/>
      <c r="N88" s="132"/>
      <c r="O88" s="230"/>
      <c r="P88" s="138"/>
      <c r="Q88" s="138"/>
      <c r="R88" s="256"/>
      <c r="S88" s="132"/>
      <c r="T88" s="132"/>
      <c r="U88" s="132"/>
      <c r="V88" s="132"/>
      <c r="W88" s="230"/>
      <c r="X88" s="132"/>
      <c r="Y88" s="256"/>
      <c r="Z88" s="132"/>
      <c r="AA88" s="132"/>
      <c r="AB88" s="132"/>
      <c r="AC88" s="132"/>
      <c r="AD88" s="230"/>
      <c r="AE88" s="138"/>
      <c r="AF88" s="138"/>
      <c r="AG88" s="132"/>
      <c r="AH88" s="132"/>
      <c r="AI88" s="132"/>
      <c r="AJ88" s="132"/>
      <c r="AK88" s="132"/>
      <c r="AL88" s="230"/>
      <c r="AM88" s="230"/>
      <c r="AN88" s="145"/>
      <c r="AO88" s="967"/>
      <c r="AP88" s="967"/>
      <c r="AQ88" s="145"/>
      <c r="AR88" s="967"/>
      <c r="AT88" s="132"/>
      <c r="AU88" s="132"/>
      <c r="AV88" s="132"/>
      <c r="AW88" s="132"/>
    </row>
    <row r="89" spans="1:49" hidden="1" outlineLevel="1">
      <c r="A89" s="132" t="str">
        <f>$A$40</f>
        <v>1Q</v>
      </c>
      <c r="B89" s="174" t="str">
        <f>$B$40</f>
        <v>Apr</v>
      </c>
      <c r="C89" s="132"/>
      <c r="D89" s="145">
        <f>(R89/R82-1)*100</f>
        <v>-3.7129625835006674</v>
      </c>
      <c r="E89" s="230" t="s">
        <v>1970</v>
      </c>
      <c r="F89" s="266">
        <f>'qtrP&amp;L'!AZ10</f>
        <v>-2</v>
      </c>
      <c r="G89" s="230" t="s">
        <v>1970</v>
      </c>
      <c r="H89" s="145">
        <f>D89-F89</f>
        <v>-1.7129625835006674</v>
      </c>
      <c r="I89" s="230" t="s">
        <v>1970</v>
      </c>
      <c r="J89" s="725">
        <f>Stores!D107+Stores!AX107</f>
        <v>123</v>
      </c>
      <c r="K89" s="132" t="s">
        <v>505</v>
      </c>
      <c r="L89" s="177">
        <f>AVERAGE(J89,J85)</f>
        <v>121</v>
      </c>
      <c r="M89" s="132"/>
      <c r="N89" s="145">
        <f>(L89/L82-1)*100</f>
        <v>9.0090090090090058</v>
      </c>
      <c r="O89" s="230" t="s">
        <v>1970</v>
      </c>
      <c r="P89" s="259">
        <f>H89/N89*100</f>
        <v>-19.013884676857415</v>
      </c>
      <c r="Q89" s="138" t="s">
        <v>1970</v>
      </c>
      <c r="R89" s="296">
        <f>+'qtrP&amp;L'!AX10-AN89-AQ89</f>
        <v>305.435</v>
      </c>
      <c r="S89" s="132" t="s">
        <v>505</v>
      </c>
      <c r="T89" s="143">
        <f>R89/L89</f>
        <v>2.5242561983471075</v>
      </c>
      <c r="U89" s="132"/>
      <c r="V89" s="219">
        <f>(T89/T82-1)*100</f>
        <v>-11.670568981558461</v>
      </c>
      <c r="W89" s="230" t="s">
        <v>1970</v>
      </c>
      <c r="X89" s="132"/>
      <c r="Y89" s="1017">
        <f>Stores!G107+Stores!AH107</f>
        <v>0.58204999999999996</v>
      </c>
      <c r="Z89" s="132" t="s">
        <v>505</v>
      </c>
      <c r="AA89" s="254">
        <f>AVERAGE(Y89,Y85)</f>
        <v>0.57125000000000004</v>
      </c>
      <c r="AB89" s="132"/>
      <c r="AC89" s="145">
        <f>(AA89/AA82-1)*100</f>
        <v>9.9720858600442988</v>
      </c>
      <c r="AD89" s="230" t="s">
        <v>1970</v>
      </c>
      <c r="AE89" s="259">
        <f>+H89/AC89*100</f>
        <v>-17.177575559834359</v>
      </c>
      <c r="AF89" s="138" t="s">
        <v>1970</v>
      </c>
      <c r="AG89" s="141">
        <f>+R89</f>
        <v>305.435</v>
      </c>
      <c r="AH89" s="132" t="s">
        <v>505</v>
      </c>
      <c r="AI89" s="244">
        <f>AG89/AA89</f>
        <v>534.67833698030631</v>
      </c>
      <c r="AJ89" s="132"/>
      <c r="AK89" s="219">
        <f>(AI89/AI82-1)*100</f>
        <v>-12.444111009189374</v>
      </c>
      <c r="AL89" s="230" t="s">
        <v>1970</v>
      </c>
      <c r="AM89" s="230"/>
      <c r="AN89" s="145">
        <f>'segSales&amp;comps'!AM91</f>
        <v>30.966000000000001</v>
      </c>
      <c r="AO89" s="969">
        <f>'segSales&amp;comps'!AN91</f>
        <v>10.870032223415693</v>
      </c>
      <c r="AP89" s="969"/>
      <c r="AQ89" s="145"/>
      <c r="AR89" s="969"/>
      <c r="AT89" s="315">
        <f>+R89-AU89</f>
        <v>0</v>
      </c>
      <c r="AU89" s="978">
        <f>+AV89+AW89</f>
        <v>305.435</v>
      </c>
      <c r="AV89" s="296">
        <f>+SeqQtrSales!V89</f>
        <v>159.012</v>
      </c>
      <c r="AW89" s="296">
        <f>+SeqQtrSales!V270</f>
        <v>146.423</v>
      </c>
    </row>
    <row r="90" spans="1:49" hidden="1" outlineLevel="1">
      <c r="A90" s="132" t="str">
        <f>$A$41</f>
        <v>2Q</v>
      </c>
      <c r="B90" s="174" t="str">
        <f>$B$41</f>
        <v>Jul</v>
      </c>
      <c r="C90" s="132"/>
      <c r="D90" s="145">
        <f>(R90/R83-1)*100</f>
        <v>-1.5138353908742963</v>
      </c>
      <c r="E90" s="132"/>
      <c r="F90" s="217">
        <f>'qtrP&amp;L'!AZ11</f>
        <v>0</v>
      </c>
      <c r="G90" s="132"/>
      <c r="H90" s="145">
        <f>D90-F90</f>
        <v>-1.5138353908742963</v>
      </c>
      <c r="I90" s="132"/>
      <c r="J90" s="725">
        <f>Stores!D108+Stores!AX108</f>
        <v>123</v>
      </c>
      <c r="K90" s="238"/>
      <c r="L90" s="177">
        <f>AVERAGE(J90,J89)</f>
        <v>123</v>
      </c>
      <c r="M90" s="132"/>
      <c r="N90" s="145">
        <f>(L90/L83-1)*100</f>
        <v>9.3333333333333268</v>
      </c>
      <c r="O90" s="230"/>
      <c r="P90" s="259">
        <f>H90/N90*100</f>
        <v>-16.219664902224615</v>
      </c>
      <c r="Q90" s="138"/>
      <c r="R90" s="315">
        <f>+'qtrP&amp;L'!AX11-AN90-AQ90</f>
        <v>336.73699999999997</v>
      </c>
      <c r="S90" s="132"/>
      <c r="T90" s="147">
        <f>R90/L90</f>
        <v>2.7376991869918696</v>
      </c>
      <c r="U90" s="132"/>
      <c r="V90" s="219">
        <f>(T90/T83-1)*100</f>
        <v>-9.9211909062874799</v>
      </c>
      <c r="W90" s="230"/>
      <c r="X90" s="132"/>
      <c r="Y90" s="1017">
        <f>Stores!G108+Stores!AH108</f>
        <v>0.58742499999999997</v>
      </c>
      <c r="Z90" s="238"/>
      <c r="AA90" s="254">
        <f>AVERAGE(Y90,Y89)</f>
        <v>0.58473749999999991</v>
      </c>
      <c r="AB90" s="132"/>
      <c r="AC90" s="145">
        <f>(AA90/AA83-1)*100</f>
        <v>11.150976571781568</v>
      </c>
      <c r="AD90" s="230"/>
      <c r="AE90" s="259">
        <f>+H90/AC90*100</f>
        <v>-13.575809985155713</v>
      </c>
      <c r="AF90" s="138"/>
      <c r="AG90" s="142">
        <f>+R90</f>
        <v>336.73699999999997</v>
      </c>
      <c r="AH90" s="132"/>
      <c r="AI90" s="245">
        <f>AG90/AA90</f>
        <v>575.87720985912483</v>
      </c>
      <c r="AJ90" s="132"/>
      <c r="AK90" s="219">
        <f>(AI90/AI83-1)*100</f>
        <v>-11.394242635805274</v>
      </c>
      <c r="AL90" s="230"/>
      <c r="AM90" s="230"/>
      <c r="AN90" s="145">
        <f>'segSales&amp;comps'!AM92</f>
        <v>34.564</v>
      </c>
      <c r="AO90" s="969">
        <f>'segSales&amp;comps'!AN92</f>
        <v>6.2363608421699857</v>
      </c>
      <c r="AP90" s="969"/>
      <c r="AQ90" s="145"/>
      <c r="AR90" s="969"/>
      <c r="AT90" s="315">
        <f>+R90-AU90</f>
        <v>0</v>
      </c>
      <c r="AU90" s="974">
        <f>+AV90+AW90</f>
        <v>336.73700000000002</v>
      </c>
      <c r="AV90" s="315">
        <f>+SeqQtrSales!V90</f>
        <v>186.16300000000001</v>
      </c>
      <c r="AW90" s="315">
        <f>+SeqQtrSales!V271</f>
        <v>150.57400000000001</v>
      </c>
    </row>
    <row r="91" spans="1:49" hidden="1" outlineLevel="1">
      <c r="A91" s="132" t="str">
        <f>$A$42</f>
        <v>3Q</v>
      </c>
      <c r="B91" s="174" t="str">
        <f>$B$42</f>
        <v>Oct</v>
      </c>
      <c r="C91" s="132"/>
      <c r="D91" s="145">
        <f>(R91/R84-1)*100</f>
        <v>-11.214742562861169</v>
      </c>
      <c r="E91" s="132"/>
      <c r="F91" s="217">
        <f>'qtrP&amp;L'!AZ12</f>
        <v>-11</v>
      </c>
      <c r="G91" s="132"/>
      <c r="H91" s="145">
        <f>D91-F91</f>
        <v>-0.21474256286116855</v>
      </c>
      <c r="I91" s="132"/>
      <c r="J91" s="725">
        <f>Stores!D109+Stores!AX109</f>
        <v>124</v>
      </c>
      <c r="K91" s="238"/>
      <c r="L91" s="177">
        <f>AVERAGE(J91,J90)</f>
        <v>123.5</v>
      </c>
      <c r="M91" s="132"/>
      <c r="N91" s="145">
        <f>(L91/L84-1)*100</f>
        <v>6.9264069264069361</v>
      </c>
      <c r="O91" s="230"/>
      <c r="P91" s="259">
        <f>H91/N91*100</f>
        <v>-3.1003457513081165</v>
      </c>
      <c r="Q91" s="138"/>
      <c r="R91" s="315">
        <f>+'qtrP&amp;L'!AX12-AN91-AQ91</f>
        <v>299.28800000000001</v>
      </c>
      <c r="S91" s="132"/>
      <c r="T91" s="147">
        <f>R91/L91</f>
        <v>2.4233846153846157</v>
      </c>
      <c r="U91" s="132"/>
      <c r="V91" s="219">
        <f>(T91/T84-1)*100</f>
        <v>-16.966014299679877</v>
      </c>
      <c r="W91" s="230"/>
      <c r="X91" s="132"/>
      <c r="Y91" s="1017">
        <f>Stores!G109+Stores!AH109</f>
        <v>0.59819999999999995</v>
      </c>
      <c r="Z91" s="238"/>
      <c r="AA91" s="254">
        <f>AVERAGE(Y91,Y90)</f>
        <v>0.59281249999999996</v>
      </c>
      <c r="AB91" s="132"/>
      <c r="AC91" s="145">
        <f>(AA91/AA84-1)*100</f>
        <v>9.9174894544105783</v>
      </c>
      <c r="AD91" s="230"/>
      <c r="AE91" s="259">
        <f>+H91/AC91*100</f>
        <v>-2.1652915674709052</v>
      </c>
      <c r="AF91" s="138"/>
      <c r="AG91" s="142">
        <f>+R91</f>
        <v>299.28800000000001</v>
      </c>
      <c r="AH91" s="132"/>
      <c r="AI91" s="245">
        <f>AG91/AA91</f>
        <v>504.86114918292043</v>
      </c>
      <c r="AJ91" s="132"/>
      <c r="AK91" s="219">
        <f>(AI91/AI84-1)*100</f>
        <v>-19.225541014595848</v>
      </c>
      <c r="AL91" s="230"/>
      <c r="AM91" s="230"/>
      <c r="AN91" s="145">
        <f>'segSales&amp;comps'!AM93</f>
        <v>33.786000000000001</v>
      </c>
      <c r="AO91" s="969">
        <f>'segSales&amp;comps'!AN93</f>
        <v>-3.4189011491624233</v>
      </c>
      <c r="AP91" s="969"/>
      <c r="AQ91" s="145"/>
      <c r="AR91" s="969"/>
      <c r="AT91" s="315">
        <f>+R91-AU91</f>
        <v>0</v>
      </c>
      <c r="AU91" s="974">
        <f>+AV91+AW91</f>
        <v>299.28800000000001</v>
      </c>
      <c r="AV91" s="315">
        <f>+SeqQtrSales!V91</f>
        <v>152.06800000000001</v>
      </c>
      <c r="AW91" s="315">
        <f>+SeqQtrSales!V272</f>
        <v>147.22</v>
      </c>
    </row>
    <row r="92" spans="1:49" hidden="1" outlineLevel="1">
      <c r="A92" s="132" t="str">
        <f>$A$43</f>
        <v>4Q</v>
      </c>
      <c r="B92" s="174" t="str">
        <f>$B$43</f>
        <v>Jan</v>
      </c>
      <c r="C92" s="132"/>
      <c r="D92" s="176">
        <f>(R92/R85-1)*100</f>
        <v>-2.3082570015708681</v>
      </c>
      <c r="E92" s="132"/>
      <c r="F92" s="218">
        <f>'qtrP&amp;L'!AZ13</f>
        <v>-2</v>
      </c>
      <c r="G92" s="132"/>
      <c r="H92" s="176">
        <f>D92-F92</f>
        <v>-0.30825700157086811</v>
      </c>
      <c r="I92" s="132"/>
      <c r="J92" s="725">
        <f>Stores!D110+Stores!AX110</f>
        <v>126</v>
      </c>
      <c r="K92" s="139"/>
      <c r="L92" s="178">
        <f>AVERAGE(J92,J91)</f>
        <v>125</v>
      </c>
      <c r="M92" s="132"/>
      <c r="N92" s="176">
        <f>(L92/L85-1)*100</f>
        <v>5.4852320675105481</v>
      </c>
      <c r="O92" s="230"/>
      <c r="P92" s="178">
        <f>H92/N92*100</f>
        <v>-5.6197622594073655</v>
      </c>
      <c r="Q92" s="138"/>
      <c r="R92" s="316">
        <f>+'qtrP&amp;L'!AX13-AN92-AQ92</f>
        <v>504.36</v>
      </c>
      <c r="S92" s="132"/>
      <c r="T92" s="148">
        <f>R92/L92</f>
        <v>4.0348800000000002</v>
      </c>
      <c r="U92" s="132"/>
      <c r="V92" s="218">
        <f>(T92/T85-1)*100</f>
        <v>-7.3882276374891749</v>
      </c>
      <c r="W92" s="230"/>
      <c r="X92" s="132"/>
      <c r="Y92" s="1017">
        <f>Stores!G110+Stores!AH110</f>
        <v>0.60899999999999999</v>
      </c>
      <c r="Z92" s="139"/>
      <c r="AA92" s="255">
        <f>AVERAGE(Y92,Y91)</f>
        <v>0.60359999999999991</v>
      </c>
      <c r="AB92" s="132"/>
      <c r="AC92" s="176">
        <f>(AA92/AA85-1)*100</f>
        <v>8.8155759870200079</v>
      </c>
      <c r="AD92" s="230"/>
      <c r="AE92" s="178">
        <f>+H92/AC92*100</f>
        <v>-3.4967312632180079</v>
      </c>
      <c r="AF92" s="138"/>
      <c r="AG92" s="146">
        <f>+R92</f>
        <v>504.36</v>
      </c>
      <c r="AH92" s="132"/>
      <c r="AI92" s="257">
        <f>AG92/AA92</f>
        <v>835.58648111332025</v>
      </c>
      <c r="AJ92" s="132"/>
      <c r="AK92" s="218">
        <f>(AI92/AI85-1)*100</f>
        <v>-10.222647711682164</v>
      </c>
      <c r="AL92" s="230"/>
      <c r="AM92" s="230"/>
      <c r="AN92" s="145">
        <f>'segSales&amp;comps'!AM94</f>
        <v>61.399000000000001</v>
      </c>
      <c r="AO92" s="969">
        <f>'segSales&amp;comps'!AN94</f>
        <v>2.1376052167548343</v>
      </c>
      <c r="AP92" s="969"/>
      <c r="AQ92" s="145"/>
      <c r="AR92" s="969"/>
      <c r="AT92" s="315">
        <f>+R92-AU92</f>
        <v>0</v>
      </c>
      <c r="AU92" s="974">
        <f>+AV92+AW92</f>
        <v>504.36</v>
      </c>
      <c r="AV92" s="315">
        <f>+SeqQtrSales!V92</f>
        <v>289.54899999999998</v>
      </c>
      <c r="AW92" s="315">
        <f>+SeqQtrSales!V273</f>
        <v>214.81100000000001</v>
      </c>
    </row>
    <row r="93" spans="1:49" hidden="1" outlineLevel="1">
      <c r="A93" s="132"/>
      <c r="B93" s="174" t="str">
        <f>$B$44</f>
        <v>Year</v>
      </c>
      <c r="C93" s="132"/>
      <c r="D93" s="145">
        <f>(R93/R86-1)*100</f>
        <v>-4.4082790356331554</v>
      </c>
      <c r="E93" s="132"/>
      <c r="F93" s="217">
        <f>'qtrP&amp;L'!AZ14</f>
        <v>-4</v>
      </c>
      <c r="G93" s="132"/>
      <c r="H93" s="145">
        <f>D93-F93</f>
        <v>-0.40827903563315537</v>
      </c>
      <c r="I93" s="132"/>
      <c r="J93" s="725"/>
      <c r="K93" s="132"/>
      <c r="L93" s="177">
        <f>AVERAGE(L89:L92)</f>
        <v>123.125</v>
      </c>
      <c r="M93" s="132"/>
      <c r="N93" s="145">
        <f>(L93/L86-1)*100</f>
        <v>7.6502732240437243</v>
      </c>
      <c r="O93" s="230"/>
      <c r="P93" s="259">
        <f>H93/N93*100</f>
        <v>-5.336790251490525</v>
      </c>
      <c r="Q93" s="138"/>
      <c r="R93" s="296">
        <f>SUM(R89:R92)</f>
        <v>1445.8200000000002</v>
      </c>
      <c r="S93" s="132"/>
      <c r="T93" s="143">
        <f>SUM(T89:T92)</f>
        <v>11.720220000723593</v>
      </c>
      <c r="U93" s="132"/>
      <c r="V93" s="219">
        <f>(T93/T86-1)*100</f>
        <v>-11.02383936810838</v>
      </c>
      <c r="W93" s="230"/>
      <c r="X93" s="132"/>
      <c r="Y93" s="236"/>
      <c r="Z93" s="132"/>
      <c r="AA93" s="254">
        <f>AVERAGE(AA89:AA92)</f>
        <v>0.58809999999999996</v>
      </c>
      <c r="AB93" s="132"/>
      <c r="AC93" s="145">
        <f>(AA93/AA86-1)*100</f>
        <v>9.9483536257624294</v>
      </c>
      <c r="AD93" s="230"/>
      <c r="AE93" s="259">
        <f>+H93/AC93*100</f>
        <v>-4.1039859557853759</v>
      </c>
      <c r="AF93" s="138"/>
      <c r="AG93" s="141">
        <f>SUM(AG89:AG92)</f>
        <v>1445.8200000000002</v>
      </c>
      <c r="AH93" s="132"/>
      <c r="AI93" s="244">
        <f>AG93/AA93</f>
        <v>2458.4594456725054</v>
      </c>
      <c r="AJ93" s="132"/>
      <c r="AK93" s="219">
        <f>(AI93/AI86-1)*100</f>
        <v>-13.057614950981511</v>
      </c>
      <c r="AL93" s="230"/>
      <c r="AM93" s="230"/>
      <c r="AN93" s="145">
        <f>'segSales&amp;comps'!AM95</f>
        <v>160.715</v>
      </c>
      <c r="AO93" s="969">
        <f>'segSales&amp;comps'!AN95</f>
        <v>3.3131697533443472</v>
      </c>
      <c r="AP93" s="969"/>
      <c r="AQ93" s="145"/>
      <c r="AR93" s="969"/>
      <c r="AT93" s="315">
        <f>+R93-AU93</f>
        <v>0</v>
      </c>
      <c r="AU93" s="975">
        <f>+SUM(AU89:AU92)</f>
        <v>1445.8200000000002</v>
      </c>
      <c r="AV93" s="976">
        <f>+SUM(AV89:AV92)</f>
        <v>786.79200000000003</v>
      </c>
      <c r="AW93" s="976">
        <f>+SUM(AW89:AW92)</f>
        <v>659.02800000000002</v>
      </c>
    </row>
    <row r="94" spans="1:49" hidden="1" outlineLevel="1">
      <c r="A94" s="132"/>
      <c r="B94" s="174"/>
      <c r="C94" s="132"/>
      <c r="D94" s="132"/>
      <c r="E94" s="132"/>
      <c r="F94" s="132"/>
      <c r="G94" s="132"/>
      <c r="H94" s="132"/>
      <c r="I94" s="132"/>
      <c r="J94" s="132"/>
      <c r="K94" s="132"/>
      <c r="L94" s="132"/>
      <c r="M94" s="132"/>
      <c r="N94" s="132"/>
      <c r="O94" s="230"/>
      <c r="P94" s="132"/>
      <c r="Q94" s="132"/>
      <c r="R94" s="132"/>
      <c r="S94" s="132"/>
      <c r="T94" s="132"/>
      <c r="U94" s="132"/>
      <c r="V94" s="132"/>
      <c r="W94" s="132"/>
      <c r="X94" s="132"/>
      <c r="Y94" s="256"/>
      <c r="Z94" s="132"/>
      <c r="AA94" s="132"/>
      <c r="AB94" s="132"/>
      <c r="AC94" s="132"/>
      <c r="AD94" s="230"/>
      <c r="AE94" s="132"/>
      <c r="AF94" s="132"/>
      <c r="AG94" s="132"/>
      <c r="AH94" s="132"/>
      <c r="AI94" s="132"/>
      <c r="AJ94" s="132"/>
      <c r="AK94" s="132"/>
      <c r="AL94" s="132"/>
      <c r="AM94" s="132"/>
      <c r="AN94" s="145"/>
      <c r="AO94" s="967"/>
      <c r="AP94" s="967"/>
      <c r="AQ94" s="145"/>
      <c r="AR94" s="967"/>
      <c r="AT94" s="132"/>
      <c r="AU94" s="132"/>
      <c r="AV94" s="132"/>
      <c r="AW94" s="132"/>
    </row>
    <row r="95" spans="1:49" hidden="1" outlineLevel="1">
      <c r="A95" s="169"/>
      <c r="B95" s="171">
        <v>2002</v>
      </c>
      <c r="C95" s="132"/>
      <c r="D95" s="132"/>
      <c r="E95" s="230"/>
      <c r="F95" s="132"/>
      <c r="G95" s="230"/>
      <c r="H95" s="132"/>
      <c r="I95" s="230"/>
      <c r="J95" s="132"/>
      <c r="K95" s="132"/>
      <c r="L95" s="132"/>
      <c r="M95" s="132"/>
      <c r="N95" s="132"/>
      <c r="O95" s="230"/>
      <c r="P95" s="138"/>
      <c r="Q95" s="138"/>
      <c r="R95" s="132"/>
      <c r="S95" s="132"/>
      <c r="T95" s="132"/>
      <c r="U95" s="132"/>
      <c r="V95" s="132"/>
      <c r="W95" s="230"/>
      <c r="X95" s="132"/>
      <c r="Y95" s="256"/>
      <c r="Z95" s="132"/>
      <c r="AA95" s="132"/>
      <c r="AB95" s="132"/>
      <c r="AC95" s="132"/>
      <c r="AD95" s="230"/>
      <c r="AE95" s="138"/>
      <c r="AF95" s="138"/>
      <c r="AG95" s="132"/>
      <c r="AH95" s="132"/>
      <c r="AI95" s="132"/>
      <c r="AJ95" s="132"/>
      <c r="AK95" s="132"/>
      <c r="AL95" s="230"/>
      <c r="AM95" s="230"/>
      <c r="AN95" s="145"/>
      <c r="AO95" s="967"/>
      <c r="AP95" s="967"/>
      <c r="AQ95" s="145"/>
      <c r="AR95" s="967"/>
      <c r="AT95" s="132"/>
      <c r="AU95" s="132"/>
      <c r="AV95" s="132"/>
      <c r="AW95" s="132"/>
    </row>
    <row r="96" spans="1:49" hidden="1" outlineLevel="1">
      <c r="A96" s="132" t="str">
        <f>$A$40</f>
        <v>1Q</v>
      </c>
      <c r="B96" s="174" t="str">
        <f>$B$40</f>
        <v>Apr</v>
      </c>
      <c r="C96" s="132"/>
      <c r="D96" s="145">
        <f>(R96/R89-1)*100</f>
        <v>2.5776351760603777</v>
      </c>
      <c r="E96" s="230" t="s">
        <v>1970</v>
      </c>
      <c r="F96" s="265">
        <f>'qtrP&amp;L'!BD10</f>
        <v>1</v>
      </c>
      <c r="G96" s="230" t="s">
        <v>1970</v>
      </c>
      <c r="H96" s="145">
        <f>D96-F96</f>
        <v>1.5776351760603777</v>
      </c>
      <c r="I96" s="230" t="s">
        <v>1970</v>
      </c>
      <c r="J96" s="725">
        <f>Stores!D114+Stores!AX114</f>
        <v>128</v>
      </c>
      <c r="K96" s="132" t="s">
        <v>505</v>
      </c>
      <c r="L96" s="177">
        <f>AVERAGE(J96,J92)</f>
        <v>127</v>
      </c>
      <c r="M96" s="132"/>
      <c r="N96" s="145">
        <f>(L96/L89-1)*100</f>
        <v>4.9586776859504189</v>
      </c>
      <c r="O96" s="230" t="s">
        <v>1970</v>
      </c>
      <c r="P96" s="259">
        <f>H96/N96*100</f>
        <v>31.815642717217578</v>
      </c>
      <c r="Q96" s="138" t="s">
        <v>1970</v>
      </c>
      <c r="R96" s="141">
        <f>+'qtrP&amp;L'!BB10-AN96-AQ96</f>
        <v>313.30799999999999</v>
      </c>
      <c r="S96" s="132" t="s">
        <v>505</v>
      </c>
      <c r="T96" s="143">
        <f>R96/L96</f>
        <v>2.4669921259842518</v>
      </c>
      <c r="U96" s="132"/>
      <c r="V96" s="219">
        <f>(T96/T89-1)*100</f>
        <v>-2.2685523125724139</v>
      </c>
      <c r="W96" s="230" t="s">
        <v>1970</v>
      </c>
      <c r="X96" s="132"/>
      <c r="Y96" s="236">
        <f>Stores!G114+Stores!AH114</f>
        <v>0.61699999999999999</v>
      </c>
      <c r="Z96" s="132" t="s">
        <v>505</v>
      </c>
      <c r="AA96" s="254">
        <f>AVERAGE(Y96,Y92)</f>
        <v>0.61299999999999999</v>
      </c>
      <c r="AB96" s="132"/>
      <c r="AC96" s="145">
        <f>(AA96/AA89-1)*100</f>
        <v>7.3085339168490027</v>
      </c>
      <c r="AD96" s="230" t="s">
        <v>1970</v>
      </c>
      <c r="AE96" s="259">
        <f>+H96/AC96*100</f>
        <v>21.586205852083648</v>
      </c>
      <c r="AF96" s="138" t="s">
        <v>1970</v>
      </c>
      <c r="AG96" s="141">
        <f>+R96</f>
        <v>313.30799999999999</v>
      </c>
      <c r="AH96" s="132" t="s">
        <v>505</v>
      </c>
      <c r="AI96" s="244">
        <f>AG96/AA96</f>
        <v>511.10603588907014</v>
      </c>
      <c r="AJ96" s="132"/>
      <c r="AK96" s="219">
        <f>(AI96/AI89-1)*100</f>
        <v>-4.4086882637447093</v>
      </c>
      <c r="AL96" s="230" t="s">
        <v>1970</v>
      </c>
      <c r="AM96" s="230"/>
      <c r="AN96" s="145">
        <f>'segSales&amp;comps'!AM98</f>
        <v>33.820999999999998</v>
      </c>
      <c r="AO96" s="969">
        <f>'segSales&amp;comps'!AN98</f>
        <v>9.2197894464896901</v>
      </c>
      <c r="AP96" s="969"/>
      <c r="AQ96" s="145"/>
      <c r="AR96" s="969"/>
      <c r="AT96" s="315">
        <f>+R96-AU96</f>
        <v>0</v>
      </c>
      <c r="AU96" s="978">
        <f>+AV96+AW96</f>
        <v>313.30799999999999</v>
      </c>
      <c r="AV96" s="296">
        <f>+SeqQtrSales!V96</f>
        <v>165.67</v>
      </c>
      <c r="AW96" s="296">
        <f>+SeqQtrSales!V277</f>
        <v>147.63800000000001</v>
      </c>
    </row>
    <row r="97" spans="1:64" hidden="1" outlineLevel="1">
      <c r="A97" s="132" t="str">
        <f>$A$41</f>
        <v>2Q</v>
      </c>
      <c r="B97" s="174" t="str">
        <f>$B$41</f>
        <v>Jul</v>
      </c>
      <c r="C97" s="132"/>
      <c r="D97" s="145">
        <f>(R97/R90-1)*100</f>
        <v>-0.31389481999304358</v>
      </c>
      <c r="E97" s="132"/>
      <c r="F97" s="265">
        <f>'qtrP&amp;L'!BD11</f>
        <v>-5</v>
      </c>
      <c r="G97" s="132"/>
      <c r="H97" s="145">
        <f>D97-F97</f>
        <v>4.6861051800069564</v>
      </c>
      <c r="I97" s="132"/>
      <c r="J97" s="725">
        <f>Stores!D115+Stores!AX115</f>
        <v>132</v>
      </c>
      <c r="K97" s="238"/>
      <c r="L97" s="177">
        <f>AVERAGE(J97,J96)</f>
        <v>130</v>
      </c>
      <c r="M97" s="132"/>
      <c r="N97" s="145">
        <f>(L97/L90-1)*100</f>
        <v>5.6910569105691033</v>
      </c>
      <c r="O97" s="230"/>
      <c r="P97" s="259">
        <f>H97/N97*100</f>
        <v>82.341562448693693</v>
      </c>
      <c r="Q97" s="138"/>
      <c r="R97" s="142">
        <f>+'qtrP&amp;L'!BB11-AN97-AQ97</f>
        <v>335.68</v>
      </c>
      <c r="S97" s="132"/>
      <c r="T97" s="147">
        <f>R97/L97</f>
        <v>2.582153846153846</v>
      </c>
      <c r="U97" s="132"/>
      <c r="V97" s="219">
        <f>(T97/T90-1)*100</f>
        <v>-5.6816081758395693</v>
      </c>
      <c r="W97" s="230"/>
      <c r="X97" s="132"/>
      <c r="Y97" s="236">
        <f>Stores!G115+Stores!AH115</f>
        <v>0.64166666666666661</v>
      </c>
      <c r="Z97" s="238"/>
      <c r="AA97" s="254">
        <f>AVERAGE(Y97,Y96)</f>
        <v>0.6293333333333333</v>
      </c>
      <c r="AB97" s="132"/>
      <c r="AC97" s="145">
        <f>(AA97/AA90-1)*100</f>
        <v>7.6266415841866442</v>
      </c>
      <c r="AD97" s="230"/>
      <c r="AE97" s="259">
        <f>+H97/AC97*100</f>
        <v>61.443888876636045</v>
      </c>
      <c r="AF97" s="138"/>
      <c r="AG97" s="142">
        <f>+R97</f>
        <v>335.68</v>
      </c>
      <c r="AH97" s="132"/>
      <c r="AI97" s="245">
        <f>AG97/AA97</f>
        <v>533.38983050847457</v>
      </c>
      <c r="AJ97" s="132"/>
      <c r="AK97" s="219">
        <f>(AI97/AI90-1)*100</f>
        <v>-7.3778539284518381</v>
      </c>
      <c r="AL97" s="230"/>
      <c r="AM97" s="230"/>
      <c r="AN97" s="145">
        <f>'segSales&amp;comps'!AM99</f>
        <v>38.747</v>
      </c>
      <c r="AO97" s="969">
        <f>'segSales&amp;comps'!AN99</f>
        <v>12.10218724684642</v>
      </c>
      <c r="AP97" s="969"/>
      <c r="AQ97" s="145"/>
      <c r="AR97" s="969"/>
      <c r="AT97" s="315">
        <f>+R97-AU97</f>
        <v>0</v>
      </c>
      <c r="AU97" s="974">
        <f>+AV97+AW97</f>
        <v>335.67999999999995</v>
      </c>
      <c r="AV97" s="315">
        <f>+SeqQtrSales!V97</f>
        <v>187.21799999999999</v>
      </c>
      <c r="AW97" s="315">
        <f>+SeqQtrSales!V278</f>
        <v>148.46199999999999</v>
      </c>
    </row>
    <row r="98" spans="1:64" hidden="1" outlineLevel="1">
      <c r="A98" s="132" t="str">
        <f>$A$42</f>
        <v>3Q</v>
      </c>
      <c r="B98" s="174" t="str">
        <f>$B$42</f>
        <v>Oct</v>
      </c>
      <c r="C98" s="132"/>
      <c r="D98" s="145">
        <f>(R98/R91-1)*100</f>
        <v>8.5155435567079163</v>
      </c>
      <c r="E98" s="132"/>
      <c r="F98" s="265">
        <f>'qtrP&amp;L'!BD12</f>
        <v>3</v>
      </c>
      <c r="G98" s="132"/>
      <c r="H98" s="145">
        <f>D98-F98</f>
        <v>5.5155435567079163</v>
      </c>
      <c r="I98" s="132"/>
      <c r="J98" s="725">
        <f>Stores!D116+Stores!AX116</f>
        <v>134</v>
      </c>
      <c r="K98" s="238"/>
      <c r="L98" s="177">
        <f>AVERAGE(J98,J97)</f>
        <v>133</v>
      </c>
      <c r="M98" s="132"/>
      <c r="N98" s="145">
        <f>(L98/L91-1)*100</f>
        <v>7.6923076923076872</v>
      </c>
      <c r="O98" s="230"/>
      <c r="P98" s="259">
        <f>H98/N98*100</f>
        <v>71.702066237202956</v>
      </c>
      <c r="Q98" s="138"/>
      <c r="R98" s="142">
        <f>+'qtrP&amp;L'!BB12-AN98-AQ98</f>
        <v>324.774</v>
      </c>
      <c r="S98" s="132"/>
      <c r="T98" s="147">
        <f>R98/L98</f>
        <v>2.4419097744360903</v>
      </c>
      <c r="U98" s="132"/>
      <c r="V98" s="219">
        <f>(T98/T91-1)*100</f>
        <v>0.76443330265734133</v>
      </c>
      <c r="W98" s="230"/>
      <c r="X98" s="132"/>
      <c r="Y98" s="236">
        <f>Stores!G116+Stores!AH116</f>
        <v>0.65833333333333333</v>
      </c>
      <c r="Z98" s="238"/>
      <c r="AA98" s="254">
        <f>AVERAGE(Y98,Y97)</f>
        <v>0.64999999999999991</v>
      </c>
      <c r="AB98" s="132"/>
      <c r="AC98" s="145">
        <f>(AA98/AA91-1)*100</f>
        <v>9.6468107538218106</v>
      </c>
      <c r="AD98" s="230"/>
      <c r="AE98" s="259">
        <f>+H98/AC98*100</f>
        <v>57.174787579644438</v>
      </c>
      <c r="AF98" s="138"/>
      <c r="AG98" s="142">
        <f>+R98</f>
        <v>324.774</v>
      </c>
      <c r="AH98" s="132"/>
      <c r="AI98" s="245">
        <f>AG98/AA98</f>
        <v>499.65230769230777</v>
      </c>
      <c r="AJ98" s="132"/>
      <c r="AK98" s="219">
        <f>(AI98/AI91-1)*100</f>
        <v>-1.0317374389062772</v>
      </c>
      <c r="AL98" s="230"/>
      <c r="AM98" s="230"/>
      <c r="AN98" s="145">
        <f>'segSales&amp;comps'!AM100</f>
        <v>37.337000000000003</v>
      </c>
      <c r="AO98" s="969">
        <f>'segSales&amp;comps'!AN100</f>
        <v>10.510270526253485</v>
      </c>
      <c r="AP98" s="969"/>
      <c r="AQ98" s="145">
        <f>'segSales&amp;comps'!AR100</f>
        <v>3.9220000000000002</v>
      </c>
      <c r="AR98" s="969"/>
      <c r="AT98" s="315">
        <f>+R98-AU98</f>
        <v>0</v>
      </c>
      <c r="AU98" s="974">
        <f>+AV98+AW98</f>
        <v>324.774</v>
      </c>
      <c r="AV98" s="315">
        <f>+SeqQtrSales!V98</f>
        <v>168.49299999999999</v>
      </c>
      <c r="AW98" s="315">
        <f>+SeqQtrSales!V279</f>
        <v>156.28100000000001</v>
      </c>
    </row>
    <row r="99" spans="1:64" hidden="1" outlineLevel="1">
      <c r="A99" s="132" t="str">
        <f>$A$43</f>
        <v>4Q</v>
      </c>
      <c r="B99" s="174" t="str">
        <f>$B$43</f>
        <v>Jan</v>
      </c>
      <c r="C99" s="132"/>
      <c r="D99" s="176">
        <f>(R99/R92-1)*100</f>
        <v>4.9926639701800335</v>
      </c>
      <c r="E99" s="132"/>
      <c r="F99" s="385">
        <f>'qtrP&amp;L'!BD13</f>
        <v>-1</v>
      </c>
      <c r="G99" s="132"/>
      <c r="H99" s="176">
        <f>D99-F99</f>
        <v>5.9926639701800335</v>
      </c>
      <c r="I99" s="132"/>
      <c r="J99" s="725">
        <f>Stores!D117+Stores!AX117</f>
        <v>131</v>
      </c>
      <c r="K99" s="139"/>
      <c r="L99" s="178">
        <f>AVERAGE(J99,J98)</f>
        <v>132.5</v>
      </c>
      <c r="M99" s="132"/>
      <c r="N99" s="176">
        <f>(L99/L92-1)*100</f>
        <v>6.0000000000000053</v>
      </c>
      <c r="O99" s="230"/>
      <c r="P99" s="178">
        <f>H99/N99*100</f>
        <v>99.877732836333806</v>
      </c>
      <c r="Q99" s="138"/>
      <c r="R99" s="146">
        <f>+'qtrP&amp;L'!BB13-AN99-AQ99</f>
        <v>529.54100000000005</v>
      </c>
      <c r="S99" s="139"/>
      <c r="T99" s="148">
        <f>R99/L99</f>
        <v>3.9965358490566043</v>
      </c>
      <c r="U99" s="132"/>
      <c r="V99" s="218">
        <f>(T99/T92-1)*100</f>
        <v>-0.95031700926411222</v>
      </c>
      <c r="W99" s="230"/>
      <c r="X99" s="132"/>
      <c r="Y99" s="1018">
        <f>Stores!G117+Stores!AH117</f>
        <v>0.64200000000000002</v>
      </c>
      <c r="Z99" s="139"/>
      <c r="AA99" s="255">
        <f>AVERAGE(Y99,Y98)</f>
        <v>0.65016666666666667</v>
      </c>
      <c r="AB99" s="132"/>
      <c r="AC99" s="176">
        <f>(AA99/AA92-1)*100</f>
        <v>7.7148221780428683</v>
      </c>
      <c r="AD99" s="230"/>
      <c r="AE99" s="178">
        <f>+H99/AC99*100</f>
        <v>77.677279292784434</v>
      </c>
      <c r="AF99" s="138"/>
      <c r="AG99" s="146">
        <f>+R99</f>
        <v>529.54100000000005</v>
      </c>
      <c r="AH99" s="132"/>
      <c r="AI99" s="257">
        <f>AG99/AA99</f>
        <v>814.4696231735453</v>
      </c>
      <c r="AJ99" s="132"/>
      <c r="AK99" s="218">
        <f>(AI99/AI92-1)*100</f>
        <v>-2.5271899937441833</v>
      </c>
      <c r="AL99" s="230"/>
      <c r="AM99" s="230"/>
      <c r="AN99" s="145">
        <f>'segSales&amp;comps'!AM101</f>
        <v>69.27</v>
      </c>
      <c r="AO99" s="969">
        <f>'segSales&amp;comps'!AN101</f>
        <v>12.819427026498786</v>
      </c>
      <c r="AP99" s="969"/>
      <c r="AQ99" s="145">
        <f>'segSales&amp;comps'!AR101</f>
        <v>20.202000000000002</v>
      </c>
      <c r="AR99" s="969"/>
      <c r="AT99" s="315">
        <f>+R99-AU99</f>
        <v>0</v>
      </c>
      <c r="AU99" s="974">
        <f>+AV99+AW99</f>
        <v>529.54099999999994</v>
      </c>
      <c r="AV99" s="315">
        <f>+SeqQtrSales!V99</f>
        <v>298.43299999999999</v>
      </c>
      <c r="AW99" s="315">
        <f>+SeqQtrSales!V280</f>
        <v>231.108</v>
      </c>
    </row>
    <row r="100" spans="1:64" hidden="1" outlineLevel="1">
      <c r="A100" s="132"/>
      <c r="B100" s="174" t="str">
        <f>$B$44</f>
        <v>Year</v>
      </c>
      <c r="C100" s="132"/>
      <c r="D100" s="145">
        <f>(R100/R93-1)*100</f>
        <v>3.975806116944014</v>
      </c>
      <c r="E100" s="132"/>
      <c r="F100" s="390">
        <f>'qtrP&amp;L'!BD14</f>
        <v>-1</v>
      </c>
      <c r="G100" s="132"/>
      <c r="H100" s="145">
        <f>D100-F100</f>
        <v>4.975806116944014</v>
      </c>
      <c r="I100" s="132"/>
      <c r="J100" s="725"/>
      <c r="K100" s="132"/>
      <c r="L100" s="177">
        <f>AVERAGE(L96:L99)</f>
        <v>130.625</v>
      </c>
      <c r="M100" s="132"/>
      <c r="N100" s="145">
        <f>(L100/L93-1)*100</f>
        <v>6.0913705583756306</v>
      </c>
      <c r="O100" s="230"/>
      <c r="P100" s="259">
        <f>H100/N100*100</f>
        <v>81.686150419830952</v>
      </c>
      <c r="Q100" s="138"/>
      <c r="R100" s="141">
        <f>SUM(R96:R99)</f>
        <v>1503.3030000000001</v>
      </c>
      <c r="S100" s="132"/>
      <c r="T100" s="143">
        <f>SUM(T96:T99)</f>
        <v>11.487591595630793</v>
      </c>
      <c r="U100" s="132"/>
      <c r="V100" s="219">
        <f>(T100/T93-1)*100</f>
        <v>-1.9848467441604178</v>
      </c>
      <c r="W100" s="230"/>
      <c r="X100" s="132"/>
      <c r="Y100" s="236"/>
      <c r="Z100" s="132"/>
      <c r="AA100" s="254">
        <f>AVERAGE(AA96:AA99)</f>
        <v>0.635625</v>
      </c>
      <c r="AB100" s="132"/>
      <c r="AC100" s="145">
        <f>(AA100/AA93-1)*100</f>
        <v>8.0811086549906541</v>
      </c>
      <c r="AD100" s="230"/>
      <c r="AE100" s="259">
        <f>+H100/AC100*100</f>
        <v>61.573310412935768</v>
      </c>
      <c r="AF100" s="138"/>
      <c r="AG100" s="141">
        <f>SUM(AG96:AG99)</f>
        <v>1503.3030000000001</v>
      </c>
      <c r="AH100" s="132"/>
      <c r="AI100" s="244">
        <f>AG100/AA100</f>
        <v>2365.0784660766963</v>
      </c>
      <c r="AJ100" s="132"/>
      <c r="AK100" s="219">
        <f>(AI100/AI93-1)*100</f>
        <v>-3.7983534672570096</v>
      </c>
      <c r="AL100" s="230"/>
      <c r="AM100" s="230"/>
      <c r="AN100" s="145">
        <f>'segSales&amp;comps'!AM102</f>
        <v>179.17500000000001</v>
      </c>
      <c r="AO100" s="969">
        <f>'segSales&amp;comps'!AN102</f>
        <v>11.486171172572579</v>
      </c>
      <c r="AP100" s="969"/>
      <c r="AQ100" s="145">
        <f>'segSales&amp;comps'!AR102</f>
        <v>24.124000000000002</v>
      </c>
      <c r="AR100" s="969"/>
      <c r="AT100" s="315">
        <f>+R100-AU100</f>
        <v>0</v>
      </c>
      <c r="AU100" s="975">
        <f>+SUM(AU96:AU99)</f>
        <v>1503.3029999999999</v>
      </c>
      <c r="AV100" s="976">
        <f>+SUM(AV96:AV99)</f>
        <v>819.81399999999996</v>
      </c>
      <c r="AW100" s="976">
        <f>+SUM(AW96:AW99)</f>
        <v>683.48900000000003</v>
      </c>
    </row>
    <row r="101" spans="1:64" hidden="1" outlineLevel="1">
      <c r="A101" s="132"/>
      <c r="B101" s="174"/>
      <c r="C101" s="132"/>
      <c r="D101" s="132"/>
      <c r="E101" s="132"/>
      <c r="F101" s="132"/>
      <c r="G101" s="132"/>
      <c r="H101" s="132"/>
      <c r="I101" s="132"/>
      <c r="J101" s="132"/>
      <c r="K101" s="132"/>
      <c r="L101" s="132"/>
      <c r="M101" s="132"/>
      <c r="N101" s="132"/>
      <c r="O101" s="230"/>
      <c r="P101" s="132"/>
      <c r="Q101" s="132"/>
      <c r="R101" s="132"/>
      <c r="S101" s="132"/>
      <c r="T101" s="132"/>
      <c r="U101" s="132"/>
      <c r="V101" s="132"/>
      <c r="W101" s="132"/>
      <c r="X101" s="132"/>
      <c r="Y101" s="256"/>
      <c r="Z101" s="132"/>
      <c r="AA101" s="132"/>
      <c r="AB101" s="132"/>
      <c r="AC101" s="132"/>
      <c r="AD101" s="230"/>
      <c r="AE101" s="132"/>
      <c r="AF101" s="132"/>
      <c r="AG101" s="132"/>
      <c r="AH101" s="132"/>
      <c r="AI101" s="132"/>
      <c r="AJ101" s="132"/>
      <c r="AK101" s="132"/>
      <c r="AL101" s="132"/>
      <c r="AM101" s="132"/>
      <c r="AN101" s="145"/>
      <c r="AO101" s="967"/>
      <c r="AP101" s="967"/>
      <c r="AQ101" s="145"/>
      <c r="AR101" s="967"/>
      <c r="AT101" s="132"/>
      <c r="AU101" s="132"/>
      <c r="AV101" s="132"/>
      <c r="AW101" s="132"/>
      <c r="BL101" s="1482"/>
    </row>
    <row r="102" spans="1:64" hidden="1" outlineLevel="1">
      <c r="A102" s="169"/>
      <c r="B102" s="171">
        <v>2003</v>
      </c>
      <c r="C102" s="132"/>
      <c r="D102" s="132"/>
      <c r="E102" s="230"/>
      <c r="F102" s="132"/>
      <c r="G102" s="230"/>
      <c r="H102" s="132"/>
      <c r="I102" s="230"/>
      <c r="J102" s="704"/>
      <c r="K102" s="132"/>
      <c r="L102" s="132"/>
      <c r="M102" s="132"/>
      <c r="N102" s="132"/>
      <c r="O102" s="230"/>
      <c r="P102" s="138"/>
      <c r="Q102" s="138"/>
      <c r="R102" s="132"/>
      <c r="S102" s="132"/>
      <c r="T102" s="132"/>
      <c r="U102" s="132"/>
      <c r="V102" s="132"/>
      <c r="W102" s="230"/>
      <c r="X102" s="132"/>
      <c r="Y102" s="256"/>
      <c r="Z102" s="132"/>
      <c r="AA102" s="132"/>
      <c r="AB102" s="132"/>
      <c r="AC102" s="132"/>
      <c r="AD102" s="230"/>
      <c r="AE102" s="138"/>
      <c r="AF102" s="138"/>
      <c r="AG102" s="132"/>
      <c r="AH102" s="132"/>
      <c r="AI102" s="132"/>
      <c r="AJ102" s="132"/>
      <c r="AK102" s="132"/>
      <c r="AL102" s="230"/>
      <c r="AM102" s="230"/>
      <c r="AN102" s="145"/>
      <c r="AO102" s="967"/>
      <c r="AP102" s="967"/>
      <c r="AQ102" s="145"/>
      <c r="AR102" s="967"/>
      <c r="AT102" s="132"/>
      <c r="AU102" s="132"/>
      <c r="AV102" s="132"/>
      <c r="AW102" s="132"/>
      <c r="BL102" s="1482"/>
    </row>
    <row r="103" spans="1:64" hidden="1" outlineLevel="1">
      <c r="A103" s="132" t="str">
        <f>$A$40</f>
        <v>1Q</v>
      </c>
      <c r="B103" s="174" t="str">
        <f>$B$40</f>
        <v>Apr</v>
      </c>
      <c r="C103" s="132"/>
      <c r="D103" s="145">
        <f>(R103/R96-1)*100</f>
        <v>8.2353466876045278</v>
      </c>
      <c r="E103" s="230" t="s">
        <v>1970</v>
      </c>
      <c r="F103" s="265">
        <f>'qtrP&amp;L'!BH10</f>
        <v>0.4</v>
      </c>
      <c r="G103" s="230" t="s">
        <v>1970</v>
      </c>
      <c r="H103" s="145">
        <f>D103-F103</f>
        <v>7.8353466876045275</v>
      </c>
      <c r="I103" s="230" t="s">
        <v>1970</v>
      </c>
      <c r="J103" s="725">
        <f>Stores!D121+Stores!AX121</f>
        <v>136</v>
      </c>
      <c r="K103" s="132" t="s">
        <v>505</v>
      </c>
      <c r="L103" s="177">
        <f>AVERAGE(J103,J99)</f>
        <v>133.5</v>
      </c>
      <c r="M103" s="132"/>
      <c r="N103" s="145">
        <f>(L103/L96-1)*100</f>
        <v>5.1181102362204633</v>
      </c>
      <c r="O103" s="230" t="s">
        <v>1970</v>
      </c>
      <c r="P103" s="259">
        <f>H103/N103*100</f>
        <v>153.09061989627335</v>
      </c>
      <c r="Q103" s="138" t="s">
        <v>1970</v>
      </c>
      <c r="R103" s="141">
        <f>'qtrP&amp;L'!BF10-AN103-AQ103</f>
        <v>339.10999999999996</v>
      </c>
      <c r="S103" s="139"/>
      <c r="T103" s="143">
        <f>R103/L103</f>
        <v>2.5401498127340822</v>
      </c>
      <c r="U103" s="132"/>
      <c r="V103" s="219">
        <f>(T103/T96-1)*100</f>
        <v>2.965460893826033</v>
      </c>
      <c r="W103" s="230" t="s">
        <v>1970</v>
      </c>
      <c r="X103" s="132"/>
      <c r="Y103" s="236">
        <f>Stores!G121+Stores!AH121</f>
        <v>0.65700000000000003</v>
      </c>
      <c r="Z103" s="132" t="s">
        <v>505</v>
      </c>
      <c r="AA103" s="254">
        <f>AVERAGE(Y103,Y99)</f>
        <v>0.64949999999999997</v>
      </c>
      <c r="AB103" s="132"/>
      <c r="AC103" s="145">
        <f>(AA103/AA96-1)*100</f>
        <v>5.9543230016313231</v>
      </c>
      <c r="AD103" s="230" t="s">
        <v>1970</v>
      </c>
      <c r="AE103" s="259">
        <f>+H103/AC103*100</f>
        <v>131.59089094524862</v>
      </c>
      <c r="AF103" s="138" t="s">
        <v>1970</v>
      </c>
      <c r="AG103" s="141">
        <f>+R103</f>
        <v>339.10999999999996</v>
      </c>
      <c r="AH103" s="132" t="s">
        <v>505</v>
      </c>
      <c r="AI103" s="244">
        <f>AG103/AA103</f>
        <v>522.10931485758272</v>
      </c>
      <c r="AJ103" s="132"/>
      <c r="AK103" s="219">
        <f>(AI103/AI96-1)*100</f>
        <v>2.1528368275620879</v>
      </c>
      <c r="AL103" s="230" t="s">
        <v>1970</v>
      </c>
      <c r="AM103" s="230"/>
      <c r="AN103" s="145">
        <f>'segSales&amp;comps'!AM105</f>
        <v>37.283000000000001</v>
      </c>
      <c r="AO103" s="969">
        <f>'segSales&amp;comps'!AN105</f>
        <v>10.236243753880725</v>
      </c>
      <c r="AP103" s="969"/>
      <c r="AQ103" s="145">
        <f>'segSales&amp;comps'!AR105</f>
        <v>19.446000000000002</v>
      </c>
      <c r="AR103" s="969">
        <f>'segSales&amp;comps'!AS105</f>
        <v>0</v>
      </c>
      <c r="AT103" s="315">
        <f>+R103-AU103</f>
        <v>0</v>
      </c>
      <c r="AU103" s="978">
        <f>+AV103+AW103</f>
        <v>339.11</v>
      </c>
      <c r="AV103" s="296">
        <f>+SeqQtrSales!V103</f>
        <v>173.58600000000001</v>
      </c>
      <c r="AW103" s="296">
        <f>+SeqQtrSales!V284</f>
        <v>165.524</v>
      </c>
      <c r="BL103" s="1482"/>
    </row>
    <row r="104" spans="1:64" hidden="1" outlineLevel="1">
      <c r="A104" s="132" t="str">
        <f>$A$41</f>
        <v>2Q</v>
      </c>
      <c r="B104" s="174" t="str">
        <f>$B$41</f>
        <v>Jul</v>
      </c>
      <c r="C104" s="132"/>
      <c r="D104" s="145">
        <f>(R104/R97-1)*100</f>
        <v>13.80570781696855</v>
      </c>
      <c r="E104" s="132"/>
      <c r="F104" s="265">
        <f>'qtrP&amp;L'!BH11</f>
        <v>8</v>
      </c>
      <c r="G104" s="132"/>
      <c r="H104" s="145">
        <f>D104-F104</f>
        <v>5.8057078169685497</v>
      </c>
      <c r="I104" s="132"/>
      <c r="J104" s="725">
        <f>Stores!D122+Stores!AX122</f>
        <v>137</v>
      </c>
      <c r="K104" s="132" t="s">
        <v>505</v>
      </c>
      <c r="L104" s="177">
        <f>AVERAGE(J104,J103)</f>
        <v>136.5</v>
      </c>
      <c r="M104" s="132"/>
      <c r="N104" s="145">
        <f>(L104/L97-1)*100</f>
        <v>5.0000000000000044</v>
      </c>
      <c r="O104" s="230"/>
      <c r="P104" s="259">
        <f>H104/N104*100</f>
        <v>116.11415633937089</v>
      </c>
      <c r="Q104" s="138"/>
      <c r="R104" s="142">
        <f>'qtrP&amp;L'!BF11-AN104-AQ104</f>
        <v>382.02300000000002</v>
      </c>
      <c r="S104" s="139"/>
      <c r="T104" s="147">
        <f>R104/L104</f>
        <v>2.7987032967032968</v>
      </c>
      <c r="U104" s="132"/>
      <c r="V104" s="219">
        <f>(T104/T97-1)*100</f>
        <v>8.3863883971128992</v>
      </c>
      <c r="W104" s="230"/>
      <c r="X104" s="132"/>
      <c r="Y104" s="236">
        <f>Stores!G122+Stores!AH122</f>
        <v>0.66049999999999998</v>
      </c>
      <c r="Z104" s="238"/>
      <c r="AA104" s="254">
        <f>AVERAGE(Y104,Y103)</f>
        <v>0.65874999999999995</v>
      </c>
      <c r="AB104" s="132"/>
      <c r="AC104" s="145">
        <f>(AA104/AA97-1)*100</f>
        <v>4.6742584745762761</v>
      </c>
      <c r="AD104" s="230"/>
      <c r="AE104" s="259">
        <f>+H104/AC104*100</f>
        <v>124.20596440154799</v>
      </c>
      <c r="AF104" s="138"/>
      <c r="AG104" s="142">
        <f>+R104</f>
        <v>382.02300000000002</v>
      </c>
      <c r="AH104" s="132"/>
      <c r="AI104" s="245">
        <f>AG104/AA104</f>
        <v>579.9210626185959</v>
      </c>
      <c r="AJ104" s="132"/>
      <c r="AK104" s="219">
        <f>(AI104/AI97-1)*100</f>
        <v>8.723681901802216</v>
      </c>
      <c r="AL104" s="230"/>
      <c r="AM104" s="230"/>
      <c r="AN104" s="145">
        <f>'segSales&amp;comps'!AM106</f>
        <v>43.942999999999998</v>
      </c>
      <c r="AO104" s="969">
        <f>'segSales&amp;comps'!AN106</f>
        <v>13.410070457067636</v>
      </c>
      <c r="AP104" s="969"/>
      <c r="AQ104" s="145">
        <f>'segSales&amp;comps'!AR106</f>
        <v>16.529</v>
      </c>
      <c r="AR104" s="969">
        <f>'segSales&amp;comps'!AS106</f>
        <v>0</v>
      </c>
      <c r="AT104" s="315">
        <f>+R104-AU104</f>
        <v>0</v>
      </c>
      <c r="AU104" s="974">
        <f>+AV104+AW104</f>
        <v>382.02300000000002</v>
      </c>
      <c r="AV104" s="315">
        <f>+SeqQtrSales!V104</f>
        <v>213.036</v>
      </c>
      <c r="AW104" s="315">
        <f>+SeqQtrSales!V285</f>
        <v>168.98699999999999</v>
      </c>
      <c r="BL104" s="1482"/>
    </row>
    <row r="105" spans="1:64" hidden="1" outlineLevel="1">
      <c r="A105" s="132" t="str">
        <f>$A$42</f>
        <v>3Q</v>
      </c>
      <c r="B105" s="174" t="str">
        <f>$B$42</f>
        <v>Oct</v>
      </c>
      <c r="C105" s="132"/>
      <c r="D105" s="145">
        <f>(R105/R98-1)*100</f>
        <v>15.888895047017314</v>
      </c>
      <c r="E105" s="132"/>
      <c r="F105" s="265">
        <f>'qtrP&amp;L'!BH12</f>
        <v>10</v>
      </c>
      <c r="G105" s="132"/>
      <c r="H105" s="145">
        <f>D105-F105</f>
        <v>5.8888950470173143</v>
      </c>
      <c r="I105" s="132"/>
      <c r="J105" s="725">
        <f>Stores!D123+Stores!AX123</f>
        <v>140</v>
      </c>
      <c r="K105" s="238"/>
      <c r="L105" s="177">
        <f>AVERAGE(J105,J104)</f>
        <v>138.5</v>
      </c>
      <c r="M105" s="132"/>
      <c r="N105" s="145">
        <f>(L105/L98-1)*100</f>
        <v>4.1353383458646586</v>
      </c>
      <c r="O105" s="230"/>
      <c r="P105" s="259">
        <f>H105/N105*100</f>
        <v>142.40418931878241</v>
      </c>
      <c r="Q105" s="138"/>
      <c r="R105" s="142">
        <f>'qtrP&amp;L'!BF12-AN105-AQ105</f>
        <v>376.37700000000001</v>
      </c>
      <c r="S105" s="139"/>
      <c r="T105" s="147">
        <f>R105/L105</f>
        <v>2.7175234657039713</v>
      </c>
      <c r="U105" s="132"/>
      <c r="V105" s="219">
        <f>(T105/T98-1)*100</f>
        <v>11.286808962117711</v>
      </c>
      <c r="W105" s="230"/>
      <c r="X105" s="132"/>
      <c r="Y105" s="236">
        <f>Stores!G123+Stores!AH123</f>
        <v>0.66933333333333334</v>
      </c>
      <c r="Z105" s="238"/>
      <c r="AA105" s="254">
        <f>AVERAGE(Y105,Y104)</f>
        <v>0.6649166666666666</v>
      </c>
      <c r="AB105" s="132"/>
      <c r="AC105" s="145">
        <f>(AA105/AA98-1)*100</f>
        <v>2.2948717948718</v>
      </c>
      <c r="AD105" s="230"/>
      <c r="AE105" s="259">
        <f>+H105/AC105*100</f>
        <v>256.61106908790475</v>
      </c>
      <c r="AF105" s="138"/>
      <c r="AG105" s="142">
        <f>+R105</f>
        <v>376.37700000000001</v>
      </c>
      <c r="AH105" s="132"/>
      <c r="AI105" s="245">
        <f>AG105/AA105</f>
        <v>566.05138488532407</v>
      </c>
      <c r="AJ105" s="132"/>
      <c r="AK105" s="219">
        <f>(AI105/AI98-1)*100</f>
        <v>13.289056444007397</v>
      </c>
      <c r="AL105" s="230"/>
      <c r="AM105" s="230"/>
      <c r="AN105" s="145">
        <f>'segSales&amp;comps'!AM107</f>
        <v>39.311</v>
      </c>
      <c r="AO105" s="969">
        <f>'segSales&amp;comps'!AN107</f>
        <v>5.2869807429627436</v>
      </c>
      <c r="AP105" s="969"/>
      <c r="AQ105" s="145">
        <f>'segSales&amp;comps'!AR107</f>
        <v>14.435</v>
      </c>
      <c r="AR105" s="969">
        <f>'segSales&amp;comps'!AS107</f>
        <v>268.0520142784294</v>
      </c>
      <c r="AT105" s="315">
        <f>+R105-AU105</f>
        <v>0</v>
      </c>
      <c r="AU105" s="974">
        <f>+AV105+AW105</f>
        <v>376.37699999999995</v>
      </c>
      <c r="AV105" s="315">
        <f>+SeqQtrSales!V105</f>
        <v>202.84399999999999</v>
      </c>
      <c r="AW105" s="315">
        <f>+SeqQtrSales!V286</f>
        <v>173.53299999999999</v>
      </c>
      <c r="BL105" s="1482"/>
    </row>
    <row r="106" spans="1:64" hidden="1" outlineLevel="1">
      <c r="A106" s="132" t="str">
        <f>$A$43</f>
        <v>4Q</v>
      </c>
      <c r="B106" s="174" t="str">
        <f>$B$43</f>
        <v>Jan</v>
      </c>
      <c r="C106" s="132"/>
      <c r="D106" s="176">
        <f>(R106/R99-1)*100</f>
        <v>19.528421784148907</v>
      </c>
      <c r="E106" s="132"/>
      <c r="F106" s="389">
        <f>'qtrP&amp;L'!BH13</f>
        <v>10</v>
      </c>
      <c r="G106" s="132"/>
      <c r="H106" s="176">
        <f>D106-F106</f>
        <v>9.5284217841489074</v>
      </c>
      <c r="I106" s="132"/>
      <c r="J106" s="725">
        <f>Stores!D124+Stores!AX124</f>
        <v>141</v>
      </c>
      <c r="K106" s="139"/>
      <c r="L106" s="178">
        <f>AVERAGE(J106,J105)</f>
        <v>140.5</v>
      </c>
      <c r="M106" s="132"/>
      <c r="N106" s="176">
        <f>(L106/L99-1)*100</f>
        <v>6.0377358490566024</v>
      </c>
      <c r="O106" s="230"/>
      <c r="P106" s="178">
        <f>H106/N106*100</f>
        <v>157.81448579996632</v>
      </c>
      <c r="Q106" s="138"/>
      <c r="R106" s="146">
        <f>'qtrP&amp;L'!BF13-AN106-AQ106</f>
        <v>632.952</v>
      </c>
      <c r="S106" s="139"/>
      <c r="T106" s="148">
        <f>R106/L106</f>
        <v>4.504996441281139</v>
      </c>
      <c r="U106" s="132"/>
      <c r="V106" s="218">
        <f>(T106/T99-1)*100</f>
        <v>12.72253299928634</v>
      </c>
      <c r="W106" s="230"/>
      <c r="X106" s="132"/>
      <c r="Y106" s="1018">
        <f>Stores!G124+Stores!AH124</f>
        <v>0.67199999999999993</v>
      </c>
      <c r="Z106" s="139"/>
      <c r="AA106" s="255">
        <f>AVERAGE(Y106,Y105)</f>
        <v>0.67066666666666663</v>
      </c>
      <c r="AB106" s="132"/>
      <c r="AC106" s="176">
        <f>(AA106/AA99-1)*100</f>
        <v>3.1530376826454765</v>
      </c>
      <c r="AD106" s="230"/>
      <c r="AE106" s="178">
        <f>+H106/AC106*100</f>
        <v>302.19815756069005</v>
      </c>
      <c r="AF106" s="138"/>
      <c r="AG106" s="146">
        <f>+R106</f>
        <v>632.952</v>
      </c>
      <c r="AH106" s="132"/>
      <c r="AI106" s="257">
        <f>AG106/AA106</f>
        <v>943.76540755467204</v>
      </c>
      <c r="AJ106" s="132"/>
      <c r="AK106" s="218">
        <f>(AI106/AI99-1)*100</f>
        <v>15.874844279315337</v>
      </c>
      <c r="AL106" s="230"/>
      <c r="AM106" s="230"/>
      <c r="AN106" s="145">
        <f>'segSales&amp;comps'!AM108</f>
        <v>76.86</v>
      </c>
      <c r="AO106" s="969">
        <f>'segSales&amp;comps'!AN108</f>
        <v>10.957124296232145</v>
      </c>
      <c r="AP106" s="969"/>
      <c r="AQ106" s="145">
        <f>'segSales&amp;comps'!AR108</f>
        <v>21.776</v>
      </c>
      <c r="AR106" s="969">
        <f>'segSales&amp;comps'!AS108</f>
        <v>7.7913077913077888</v>
      </c>
      <c r="AT106" s="315">
        <f>+R106-AU106</f>
        <v>0</v>
      </c>
      <c r="AU106" s="974">
        <f>+AV106+AW106</f>
        <v>632.952</v>
      </c>
      <c r="AV106" s="315">
        <f>+SeqQtrSales!V106</f>
        <v>359.41800000000001</v>
      </c>
      <c r="AW106" s="315">
        <f>+SeqQtrSales!V287</f>
        <v>273.53399999999999</v>
      </c>
      <c r="BL106" s="1482"/>
    </row>
    <row r="107" spans="1:64" hidden="1" outlineLevel="1">
      <c r="A107" s="132"/>
      <c r="B107" s="174" t="str">
        <f>$B$44</f>
        <v>Year</v>
      </c>
      <c r="C107" s="132"/>
      <c r="D107" s="145">
        <f>(R107/R100-1)*100</f>
        <v>15.110659660760328</v>
      </c>
      <c r="E107" s="132"/>
      <c r="F107" s="390">
        <f>'qtrP&amp;L'!BH14</f>
        <v>8</v>
      </c>
      <c r="G107" s="132"/>
      <c r="H107" s="145">
        <f>D107-F107</f>
        <v>7.1106596607603283</v>
      </c>
      <c r="I107" s="132"/>
      <c r="J107" s="725"/>
      <c r="K107" s="132"/>
      <c r="L107" s="177">
        <f>AVERAGE(L103:L106)</f>
        <v>137.25</v>
      </c>
      <c r="M107" s="132"/>
      <c r="N107" s="145">
        <f>(L107/L100-1)*100</f>
        <v>5.0717703349282273</v>
      </c>
      <c r="O107" s="230"/>
      <c r="P107" s="259">
        <f>H107/N107*100</f>
        <v>140.20074236782162</v>
      </c>
      <c r="Q107" s="138"/>
      <c r="R107" s="141">
        <f>SUM(R103:R106)</f>
        <v>1730.462</v>
      </c>
      <c r="S107" s="132"/>
      <c r="T107" s="143">
        <f>SUM(T103:T106)</f>
        <v>12.56137301642249</v>
      </c>
      <c r="U107" s="132"/>
      <c r="V107" s="219">
        <f>(T107/T100-1)*100</f>
        <v>9.3473154216250123</v>
      </c>
      <c r="W107" s="230"/>
      <c r="X107" s="132"/>
      <c r="Y107" s="236"/>
      <c r="Z107" s="132"/>
      <c r="AA107" s="254">
        <f>AVERAGE(AA103:AA106)</f>
        <v>0.66095833333333331</v>
      </c>
      <c r="AB107" s="132"/>
      <c r="AC107" s="145">
        <f>(AA107/AA100-1)*100</f>
        <v>3.9855784988528375</v>
      </c>
      <c r="AD107" s="230"/>
      <c r="AE107" s="259">
        <f>+H107/AC107*100</f>
        <v>178.40972553437294</v>
      </c>
      <c r="AF107" s="138"/>
      <c r="AG107" s="141">
        <f>SUM(AG103:AG106)</f>
        <v>1730.462</v>
      </c>
      <c r="AH107" s="132"/>
      <c r="AI107" s="244">
        <f>AG107/AA107</f>
        <v>2618.1105717707874</v>
      </c>
      <c r="AJ107" s="132"/>
      <c r="AK107" s="219">
        <f>(AI107/AI100-1)*100</f>
        <v>10.698676992050604</v>
      </c>
      <c r="AL107" s="230"/>
      <c r="AM107" s="230"/>
      <c r="AN107" s="145">
        <f>'segSales&amp;comps'!AM109</f>
        <v>133.25399999999999</v>
      </c>
      <c r="AO107" s="969">
        <f>'segSales&amp;comps'!AN109</f>
        <v>-25.629133528673098</v>
      </c>
      <c r="AP107" s="969"/>
      <c r="AQ107" s="145">
        <f>'segSales&amp;comps'!AR109</f>
        <v>72.185000000000002</v>
      </c>
      <c r="AR107" s="969">
        <f>'segSales&amp;comps'!AS109</f>
        <v>199.22483833526775</v>
      </c>
      <c r="AT107" s="315">
        <f>+R107-AU107</f>
        <v>0</v>
      </c>
      <c r="AU107" s="975">
        <f>+SUM(AU103:AU106)</f>
        <v>1730.462</v>
      </c>
      <c r="AV107" s="976">
        <f>+SUM(AV103:AV106)</f>
        <v>948.88400000000001</v>
      </c>
      <c r="AW107" s="976">
        <f>+SUM(AW103:AW106)</f>
        <v>781.57799999999997</v>
      </c>
      <c r="BL107" s="1482"/>
    </row>
    <row r="108" spans="1:64" hidden="1" outlineLevel="1">
      <c r="A108" s="132"/>
      <c r="B108" s="174"/>
      <c r="C108" s="132"/>
      <c r="D108" s="132"/>
      <c r="E108" s="132"/>
      <c r="F108" s="132"/>
      <c r="G108" s="132"/>
      <c r="H108" s="132"/>
      <c r="I108" s="132"/>
      <c r="J108" s="132"/>
      <c r="K108" s="132"/>
      <c r="L108" s="177"/>
      <c r="M108" s="132"/>
      <c r="N108" s="132"/>
      <c r="O108" s="230"/>
      <c r="P108" s="132"/>
      <c r="Q108" s="132"/>
      <c r="R108" s="132"/>
      <c r="S108" s="132"/>
      <c r="T108" s="132"/>
      <c r="U108" s="132"/>
      <c r="V108" s="132"/>
      <c r="W108" s="132"/>
      <c r="X108" s="132"/>
      <c r="Y108" s="256"/>
      <c r="Z108" s="132"/>
      <c r="AA108" s="132"/>
      <c r="AB108" s="132"/>
      <c r="AC108" s="132"/>
      <c r="AD108" s="230"/>
      <c r="AE108" s="132"/>
      <c r="AF108" s="132"/>
      <c r="AG108" s="132"/>
      <c r="AH108" s="132"/>
      <c r="AI108" s="132"/>
      <c r="AJ108" s="132"/>
      <c r="AK108" s="132"/>
      <c r="AL108" s="132"/>
      <c r="AM108" s="132"/>
      <c r="AN108" s="145"/>
      <c r="AO108" s="967"/>
      <c r="AP108" s="967"/>
      <c r="AQ108" s="145"/>
      <c r="AR108" s="967"/>
      <c r="AT108" s="132"/>
      <c r="AU108" s="132"/>
      <c r="AV108" s="132"/>
      <c r="AW108" s="132"/>
      <c r="BL108" s="1482"/>
    </row>
    <row r="109" spans="1:64" hidden="1" outlineLevel="1">
      <c r="A109" s="169"/>
      <c r="B109" s="171">
        <v>2004</v>
      </c>
      <c r="C109" s="132"/>
      <c r="D109" s="132"/>
      <c r="E109" s="230"/>
      <c r="F109" s="132"/>
      <c r="G109" s="230"/>
      <c r="H109" s="132"/>
      <c r="I109" s="230"/>
      <c r="J109" s="132"/>
      <c r="K109" s="132"/>
      <c r="L109" s="132"/>
      <c r="M109" s="132"/>
      <c r="N109" s="132"/>
      <c r="O109" s="230"/>
      <c r="P109" s="138"/>
      <c r="Q109" s="138"/>
      <c r="R109" s="132"/>
      <c r="S109" s="132"/>
      <c r="T109" s="132"/>
      <c r="U109" s="132"/>
      <c r="V109" s="132"/>
      <c r="W109" s="230"/>
      <c r="X109" s="132"/>
      <c r="Y109" s="256"/>
      <c r="Z109" s="132"/>
      <c r="AA109" s="132"/>
      <c r="AB109" s="132"/>
      <c r="AC109" s="132"/>
      <c r="AD109" s="230"/>
      <c r="AE109" s="138"/>
      <c r="AF109" s="138"/>
      <c r="AG109" s="132"/>
      <c r="AH109" s="132"/>
      <c r="AI109" s="132"/>
      <c r="AJ109" s="132"/>
      <c r="AK109" s="132"/>
      <c r="AL109" s="230"/>
      <c r="AM109" s="230"/>
      <c r="AN109" s="145"/>
      <c r="AO109" s="967"/>
      <c r="AP109" s="967"/>
      <c r="AQ109" s="145"/>
      <c r="AR109" s="967"/>
      <c r="AT109" s="132"/>
      <c r="AU109" s="132"/>
      <c r="AV109" s="132"/>
      <c r="AW109" s="132"/>
      <c r="BL109" s="1482"/>
    </row>
    <row r="110" spans="1:64" hidden="1" outlineLevel="1">
      <c r="A110" s="132" t="str">
        <f>$A$40</f>
        <v>1Q</v>
      </c>
      <c r="B110" s="174" t="str">
        <f>$B$40</f>
        <v>Apr</v>
      </c>
      <c r="C110" s="132"/>
      <c r="D110" s="145">
        <f>(R110/R103-1)*100</f>
        <v>17.481938014213693</v>
      </c>
      <c r="E110" s="230" t="s">
        <v>1970</v>
      </c>
      <c r="F110" s="265">
        <f>'qtrP&amp;L'!BL10</f>
        <v>9</v>
      </c>
      <c r="G110" s="230" t="s">
        <v>1970</v>
      </c>
      <c r="H110" s="145">
        <f>D110-F110</f>
        <v>8.4819380142136929</v>
      </c>
      <c r="I110" s="230" t="s">
        <v>1970</v>
      </c>
      <c r="J110" s="725">
        <f>Stores!D128+Stores!AX128</f>
        <v>142</v>
      </c>
      <c r="K110" s="132"/>
      <c r="L110" s="177">
        <f>AVERAGE(J110,J106)</f>
        <v>141.5</v>
      </c>
      <c r="M110" s="132"/>
      <c r="N110" s="145">
        <f>(L110/L103-1)*100</f>
        <v>5.9925093632958726</v>
      </c>
      <c r="O110" s="230" t="s">
        <v>1970</v>
      </c>
      <c r="P110" s="259">
        <f>H110/N110*100</f>
        <v>141.54234061219117</v>
      </c>
      <c r="Q110" s="138" t="s">
        <v>1970</v>
      </c>
      <c r="R110" s="141">
        <f>'qtrP&amp;L'!BJ10-AN110-AQ110</f>
        <v>398.39299999999997</v>
      </c>
      <c r="S110" s="139"/>
      <c r="T110" s="143">
        <f>R110/L110</f>
        <v>2.8154982332155476</v>
      </c>
      <c r="U110" s="132"/>
      <c r="V110" s="219">
        <f>(T110/T103-1)*100</f>
        <v>10.839849645918909</v>
      </c>
      <c r="W110" s="230" t="s">
        <v>1970</v>
      </c>
      <c r="X110" s="132"/>
      <c r="Y110" s="236">
        <f>Stores!G128+Stores!AH128</f>
        <v>0.67716666666666669</v>
      </c>
      <c r="Z110" s="132" t="s">
        <v>505</v>
      </c>
      <c r="AA110" s="254">
        <f>AVERAGE(Y110,Y106)</f>
        <v>0.67458333333333331</v>
      </c>
      <c r="AB110" s="132"/>
      <c r="AC110" s="145">
        <f>(AA110/AA103-1)*100</f>
        <v>3.8619450859635585</v>
      </c>
      <c r="AD110" s="230" t="s">
        <v>1970</v>
      </c>
      <c r="AE110" s="259">
        <f>+H110/AC110*100</f>
        <v>219.62865409561988</v>
      </c>
      <c r="AF110" s="138" t="s">
        <v>1970</v>
      </c>
      <c r="AG110" s="141">
        <f>+R110</f>
        <v>398.39299999999997</v>
      </c>
      <c r="AH110" s="132" t="s">
        <v>505</v>
      </c>
      <c r="AI110" s="244">
        <f>AG110/AA110</f>
        <v>590.57640518838787</v>
      </c>
      <c r="AJ110" s="132"/>
      <c r="AK110" s="219">
        <f>(AI110/AI103-1)*100</f>
        <v>13.113554648892078</v>
      </c>
      <c r="AL110" s="230" t="s">
        <v>1970</v>
      </c>
      <c r="AM110" s="230"/>
      <c r="AN110" s="145">
        <f>'segSales&amp;comps'!AM112</f>
        <v>36.899000000000001</v>
      </c>
      <c r="AO110" s="969">
        <f>'segSales&amp;comps'!AN112</f>
        <v>-1.0299600354048755</v>
      </c>
      <c r="AP110" s="969"/>
      <c r="AQ110" s="145">
        <f>'segSales&amp;comps'!AR112</f>
        <v>21.667999999999999</v>
      </c>
      <c r="AR110" s="969">
        <f>'segSales&amp;comps'!AS112</f>
        <v>11.42651445027254</v>
      </c>
      <c r="AT110" s="315">
        <f>+R110-AU110</f>
        <v>0</v>
      </c>
      <c r="AU110" s="978">
        <f>+AV110+AW110</f>
        <v>398.39300000000003</v>
      </c>
      <c r="AV110" s="296">
        <f>+SeqQtrSales!V110</f>
        <v>213.66200000000001</v>
      </c>
      <c r="AW110" s="296">
        <f>+SeqQtrSales!V291</f>
        <v>184.73099999999999</v>
      </c>
      <c r="BL110" s="1482"/>
    </row>
    <row r="111" spans="1:64" hidden="1" outlineLevel="1">
      <c r="A111" s="132" t="str">
        <f>$A$41</f>
        <v>2Q</v>
      </c>
      <c r="B111" s="174" t="str">
        <f>$B$41</f>
        <v>Jul</v>
      </c>
      <c r="C111" s="132"/>
      <c r="D111" s="145">
        <f>(R111/R104-1)*100</f>
        <v>12.318368265785029</v>
      </c>
      <c r="E111" s="132"/>
      <c r="F111" s="265">
        <f>'qtrP&amp;L'!BL11</f>
        <v>5</v>
      </c>
      <c r="G111" s="132"/>
      <c r="H111" s="145">
        <f>D111-F111</f>
        <v>7.3183682657850291</v>
      </c>
      <c r="I111" s="132"/>
      <c r="J111" s="725">
        <f>Stores!D129+Stores!AX129</f>
        <v>145</v>
      </c>
      <c r="K111" s="132"/>
      <c r="L111" s="177">
        <f>AVERAGE(J111,J110)</f>
        <v>143.5</v>
      </c>
      <c r="M111" s="132"/>
      <c r="N111" s="145">
        <f>(L111/L104-1)*100</f>
        <v>5.1282051282051322</v>
      </c>
      <c r="O111" s="230"/>
      <c r="P111" s="259">
        <f>H111/N111*100</f>
        <v>142.70818118280795</v>
      </c>
      <c r="Q111" s="138"/>
      <c r="R111" s="142">
        <f>'qtrP&amp;L'!BJ11-AN111-AQ111</f>
        <v>429.08199999999994</v>
      </c>
      <c r="S111" s="139"/>
      <c r="T111" s="147">
        <f>R111/L111</f>
        <v>2.9901184668989544</v>
      </c>
      <c r="U111" s="132"/>
      <c r="V111" s="219">
        <f>(T111/T104-1)*100</f>
        <v>6.8394234723321068</v>
      </c>
      <c r="W111" s="230"/>
      <c r="X111" s="132"/>
      <c r="Y111" s="236">
        <f>Stores!G129+Stores!AH129</f>
        <v>0.69333333333333336</v>
      </c>
      <c r="Z111" s="238"/>
      <c r="AA111" s="254">
        <f>AVERAGE(Y111,Y110)</f>
        <v>0.68525000000000003</v>
      </c>
      <c r="AB111" s="132"/>
      <c r="AC111" s="145">
        <f>(AA111/AA104-1)*100</f>
        <v>4.0227703984819785</v>
      </c>
      <c r="AD111" s="230"/>
      <c r="AE111" s="259">
        <f>+H111/AC111*100</f>
        <v>181.92358849380685</v>
      </c>
      <c r="AF111" s="138"/>
      <c r="AG111" s="142">
        <f>+R111</f>
        <v>429.08199999999994</v>
      </c>
      <c r="AH111" s="132"/>
      <c r="AI111" s="245">
        <f>AG111/AA111</f>
        <v>626.16855162349498</v>
      </c>
      <c r="AJ111" s="132"/>
      <c r="AK111" s="219">
        <f>(AI111/AI104-1)*100</f>
        <v>7.9747903613073712</v>
      </c>
      <c r="AL111" s="230"/>
      <c r="AM111" s="230"/>
      <c r="AN111" s="145">
        <f>'segSales&amp;comps'!AM113</f>
        <v>28.91</v>
      </c>
      <c r="AO111" s="969">
        <f>'segSales&amp;comps'!AN113</f>
        <v>-34.210226884828067</v>
      </c>
      <c r="AP111" s="969"/>
      <c r="AQ111" s="145">
        <f>'segSales&amp;comps'!AR113</f>
        <v>18.605</v>
      </c>
      <c r="AR111" s="969">
        <f>'segSales&amp;comps'!AS113</f>
        <v>12.559743481154339</v>
      </c>
      <c r="AT111" s="315">
        <f>+R111-AU111</f>
        <v>0</v>
      </c>
      <c r="AU111" s="974">
        <f>+AV111+AW111</f>
        <v>429.08199999999999</v>
      </c>
      <c r="AV111" s="315">
        <f>+SeqQtrSales!V111</f>
        <v>248.13399999999999</v>
      </c>
      <c r="AW111" s="315">
        <f>+SeqQtrSales!V292</f>
        <v>180.94800000000001</v>
      </c>
      <c r="BL111" s="1482"/>
    </row>
    <row r="112" spans="1:64" hidden="1" outlineLevel="1">
      <c r="A112" s="132" t="str">
        <f>$A$42</f>
        <v>3Q</v>
      </c>
      <c r="B112" s="174" t="str">
        <f>$B$42</f>
        <v>Oct</v>
      </c>
      <c r="C112" s="132"/>
      <c r="D112" s="145">
        <f>(R112/R105-1)*100</f>
        <v>11.026975612218592</v>
      </c>
      <c r="E112" s="132"/>
      <c r="F112" s="265">
        <f>'qtrP&amp;L'!BL12</f>
        <v>1</v>
      </c>
      <c r="G112" s="132"/>
      <c r="H112" s="145">
        <f>D112-F112</f>
        <v>10.026975612218592</v>
      </c>
      <c r="I112" s="132"/>
      <c r="J112" s="725">
        <f>Stores!D130+Stores!AX130</f>
        <v>148</v>
      </c>
      <c r="K112" s="238"/>
      <c r="L112" s="177">
        <f>AVERAGE(J112,J111)</f>
        <v>146.5</v>
      </c>
      <c r="M112" s="132"/>
      <c r="N112" s="145">
        <f>(L112/L105-1)*100</f>
        <v>5.7761732851985492</v>
      </c>
      <c r="O112" s="230"/>
      <c r="P112" s="259">
        <f>H112/N112*100</f>
        <v>173.59201528653458</v>
      </c>
      <c r="Q112" s="138"/>
      <c r="R112" s="142">
        <f>'qtrP&amp;L'!BJ12-AN112-AQ112</f>
        <v>417.88</v>
      </c>
      <c r="S112" s="132"/>
      <c r="T112" s="147">
        <f>R112/L112</f>
        <v>2.852423208191126</v>
      </c>
      <c r="U112" s="132"/>
      <c r="V112" s="219">
        <f>(T112/T105-1)*100</f>
        <v>4.9640690941452181</v>
      </c>
      <c r="W112" s="230"/>
      <c r="X112" s="132"/>
      <c r="Y112" s="236">
        <f>Stores!G130+Stores!AH130</f>
        <v>0.70916666666666672</v>
      </c>
      <c r="Z112" s="238"/>
      <c r="AA112" s="254">
        <f>AVERAGE(Y112,Y111)</f>
        <v>0.70125000000000004</v>
      </c>
      <c r="AB112" s="132"/>
      <c r="AC112" s="145">
        <f>(AA112/AA105-1)*100</f>
        <v>5.4643439027447283</v>
      </c>
      <c r="AD112" s="230"/>
      <c r="AE112" s="259">
        <f>+H112/AC112*100</f>
        <v>183.4982532336968</v>
      </c>
      <c r="AF112" s="138"/>
      <c r="AG112" s="142">
        <f>+R112</f>
        <v>417.88</v>
      </c>
      <c r="AH112" s="132"/>
      <c r="AI112" s="245">
        <f>AG112/AA112</f>
        <v>595.90730837789658</v>
      </c>
      <c r="AJ112" s="132"/>
      <c r="AK112" s="219">
        <f>(AI112/AI105-1)*100</f>
        <v>5.2744193000465955</v>
      </c>
      <c r="AL112" s="230"/>
      <c r="AM112" s="230"/>
      <c r="AN112" s="145">
        <f>'segSales&amp;comps'!AM114</f>
        <v>26.332000000000001</v>
      </c>
      <c r="AO112" s="969">
        <f>'segSales&amp;comps'!AN114</f>
        <v>-33.016204115896308</v>
      </c>
      <c r="AP112" s="969"/>
      <c r="AQ112" s="145">
        <f>'segSales&amp;comps'!AR114</f>
        <v>16.940000000000001</v>
      </c>
      <c r="AR112" s="969">
        <f>'segSales&amp;comps'!AS114</f>
        <v>17.353654312435051</v>
      </c>
      <c r="AT112" s="315">
        <f>+R112-AU112</f>
        <v>0</v>
      </c>
      <c r="AU112" s="974">
        <f>+AV112+AW112</f>
        <v>417.88</v>
      </c>
      <c r="AV112" s="315">
        <f>+SeqQtrSales!V112</f>
        <v>227.029</v>
      </c>
      <c r="AW112" s="315">
        <f>+SeqQtrSales!V293</f>
        <v>190.851</v>
      </c>
      <c r="BL112" s="1482"/>
    </row>
    <row r="113" spans="1:64" hidden="1" outlineLevel="1">
      <c r="A113" s="132" t="str">
        <f>$A$43</f>
        <v>4Q</v>
      </c>
      <c r="B113" s="174" t="str">
        <f>$B$43</f>
        <v>Jan</v>
      </c>
      <c r="C113" s="132"/>
      <c r="D113" s="176">
        <f>(R113/R106-1)*100</f>
        <v>10.243746761207806</v>
      </c>
      <c r="E113" s="132"/>
      <c r="F113" s="389">
        <f>'qtrP&amp;L'!BL13</f>
        <v>3</v>
      </c>
      <c r="G113" s="132"/>
      <c r="H113" s="176">
        <f>D113-F113</f>
        <v>7.2437467612078059</v>
      </c>
      <c r="I113" s="132"/>
      <c r="J113" s="725">
        <f>Stores!D131+Stores!AX131</f>
        <v>151</v>
      </c>
      <c r="K113" s="139"/>
      <c r="L113" s="178">
        <f>AVERAGE(J113,J112)</f>
        <v>149.5</v>
      </c>
      <c r="M113" s="132"/>
      <c r="N113" s="176">
        <f>(L113/L106-1)*100</f>
        <v>6.4056939501779375</v>
      </c>
      <c r="O113" s="230"/>
      <c r="P113" s="178">
        <f>H113/N113*100</f>
        <v>113.08293554996627</v>
      </c>
      <c r="Q113" s="138"/>
      <c r="R113" s="146">
        <f>'qtrP&amp;L'!BJ13-AN113-AQ113</f>
        <v>697.79</v>
      </c>
      <c r="S113" s="132"/>
      <c r="T113" s="148">
        <f>R113/L113</f>
        <v>4.6674916387959859</v>
      </c>
      <c r="U113" s="132"/>
      <c r="V113" s="218">
        <f>(T113/T106-1)*100</f>
        <v>3.6069994645464343</v>
      </c>
      <c r="W113" s="230"/>
      <c r="X113" s="132"/>
      <c r="Y113" s="1018">
        <f>Stores!G131+Stores!AH131</f>
        <v>0.72500000000000009</v>
      </c>
      <c r="Z113" s="139"/>
      <c r="AA113" s="255">
        <f>AVERAGE(Y113,Y112)</f>
        <v>0.71708333333333341</v>
      </c>
      <c r="AB113" s="132"/>
      <c r="AC113" s="176">
        <f>(AA113/AA106-1)*100</f>
        <v>6.9209741550696036</v>
      </c>
      <c r="AD113" s="230"/>
      <c r="AE113" s="178">
        <f>+H113/AC113*100</f>
        <v>104.66368749407584</v>
      </c>
      <c r="AF113" s="138"/>
      <c r="AG113" s="146">
        <f>+R113</f>
        <v>697.79</v>
      </c>
      <c r="AH113" s="132"/>
      <c r="AI113" s="257">
        <f>AG113/AA113</f>
        <v>973.09471237652508</v>
      </c>
      <c r="AJ113" s="132"/>
      <c r="AK113" s="218">
        <f>(AI113/AI106-1)*100</f>
        <v>3.1076901724811368</v>
      </c>
      <c r="AL113" s="230"/>
      <c r="AM113" s="230"/>
      <c r="AN113" s="145">
        <f>'segSales&amp;comps'!AM115</f>
        <v>81.427000000000007</v>
      </c>
      <c r="AO113" s="969">
        <f>'segSales&amp;comps'!AN115</f>
        <v>5.9419724173822575</v>
      </c>
      <c r="AP113" s="969"/>
      <c r="AQ113" s="145">
        <f>'segSales&amp;comps'!AR115</f>
        <v>30.905000000000001</v>
      </c>
      <c r="AR113" s="969">
        <f>'segSales&amp;comps'!AS115</f>
        <v>41.922299779573848</v>
      </c>
      <c r="AT113" s="315">
        <f>+R113-AU113</f>
        <v>0</v>
      </c>
      <c r="AU113" s="974">
        <f>+AV113+AW113</f>
        <v>697.79</v>
      </c>
      <c r="AV113" s="315">
        <f>+SeqQtrSales!V113</f>
        <v>396.96</v>
      </c>
      <c r="AW113" s="315">
        <f>+SeqQtrSales!V294</f>
        <v>300.83</v>
      </c>
      <c r="BL113" s="1482"/>
    </row>
    <row r="114" spans="1:64" hidden="1" outlineLevel="1">
      <c r="A114" s="132"/>
      <c r="B114" s="174" t="str">
        <f>$B$44</f>
        <v>Year</v>
      </c>
      <c r="C114" s="132"/>
      <c r="D114" s="145">
        <f>(R114/R107-1)*100</f>
        <v>12.290532817247657</v>
      </c>
      <c r="E114" s="132"/>
      <c r="F114" s="390">
        <f>+'qtrP&amp;L'!BL14</f>
        <v>4</v>
      </c>
      <c r="G114" s="132"/>
      <c r="H114" s="145">
        <f>D114-F114</f>
        <v>8.2905328172476569</v>
      </c>
      <c r="I114" s="132"/>
      <c r="J114" s="725"/>
      <c r="K114" s="132"/>
      <c r="L114" s="177">
        <f>AVERAGE(L110:L113)</f>
        <v>145.25</v>
      </c>
      <c r="M114" s="132"/>
      <c r="N114" s="145">
        <f>(L114/L107-1)*100</f>
        <v>5.8287795992713942</v>
      </c>
      <c r="O114" s="230"/>
      <c r="P114" s="259">
        <f>H114/N114*100</f>
        <v>142.23445364590532</v>
      </c>
      <c r="Q114" s="138"/>
      <c r="R114" s="141">
        <f>SUM(R110:R113)</f>
        <v>1943.145</v>
      </c>
      <c r="S114" s="132"/>
      <c r="T114" s="143">
        <f>SUM(T110:T113)</f>
        <v>13.325531547101615</v>
      </c>
      <c r="U114" s="132"/>
      <c r="V114" s="219">
        <f>(T114/T107-1)*100</f>
        <v>6.0833997181683808</v>
      </c>
      <c r="W114" s="230"/>
      <c r="X114" s="132"/>
      <c r="Y114" s="236"/>
      <c r="Z114" s="132"/>
      <c r="AA114" s="254">
        <f>AVERAGE(AA110:AA113)</f>
        <v>0.69454166666666672</v>
      </c>
      <c r="AB114" s="132"/>
      <c r="AC114" s="145">
        <f>(AA114/AA107-1)*100</f>
        <v>5.0810061148584884</v>
      </c>
      <c r="AD114" s="230"/>
      <c r="AE114" s="259">
        <f>+H114/AC114*100</f>
        <v>163.16714898262933</v>
      </c>
      <c r="AF114" s="138"/>
      <c r="AG114" s="141">
        <f>SUM(AG110:AG113)</f>
        <v>1943.145</v>
      </c>
      <c r="AH114" s="132"/>
      <c r="AI114" s="244">
        <f>AG114/AA114</f>
        <v>2797.737116803647</v>
      </c>
      <c r="AJ114" s="132"/>
      <c r="AK114" s="219">
        <f>(AI114/AI107-1)*100</f>
        <v>6.8609227956085705</v>
      </c>
      <c r="AL114" s="230"/>
      <c r="AM114" s="230"/>
      <c r="AN114" s="145">
        <f>'segSales&amp;comps'!AM116</f>
        <v>142.50800000000001</v>
      </c>
      <c r="AO114" s="969">
        <f>'segSales&amp;comps'!AN116</f>
        <v>6.9446320560733854</v>
      </c>
      <c r="AP114" s="969"/>
      <c r="AQ114" s="145">
        <f>'segSales&amp;comps'!AR116</f>
        <v>88.117999999999995</v>
      </c>
      <c r="AR114" s="969">
        <f>'segSales&amp;comps'!AS116</f>
        <v>22.072452725635515</v>
      </c>
      <c r="AT114" s="315">
        <f>+R114-AU114</f>
        <v>0</v>
      </c>
      <c r="AU114" s="975">
        <f>+SUM(AU110:AU113)</f>
        <v>1943.145</v>
      </c>
      <c r="AV114" s="976">
        <f>+SUM(AV110:AV113)</f>
        <v>1085.7850000000001</v>
      </c>
      <c r="AW114" s="976">
        <f>+SUM(AW110:AW113)</f>
        <v>857.3599999999999</v>
      </c>
      <c r="BL114" s="1482"/>
    </row>
    <row r="115" spans="1:64" hidden="1" outlineLevel="1">
      <c r="A115" s="132"/>
      <c r="B115" s="174"/>
      <c r="C115" s="132"/>
      <c r="D115" s="132"/>
      <c r="E115" s="132"/>
      <c r="F115" s="132"/>
      <c r="G115" s="132"/>
      <c r="H115" s="132"/>
      <c r="I115" s="132"/>
      <c r="J115" s="132"/>
      <c r="K115" s="132"/>
      <c r="L115" s="177"/>
      <c r="M115" s="132"/>
      <c r="N115" s="132"/>
      <c r="O115" s="230"/>
      <c r="P115" s="132"/>
      <c r="Q115" s="132"/>
      <c r="R115" s="132"/>
      <c r="S115" s="132"/>
      <c r="T115" s="132"/>
      <c r="U115" s="132"/>
      <c r="V115" s="132"/>
      <c r="W115" s="132"/>
      <c r="X115" s="132"/>
      <c r="Y115" s="256"/>
      <c r="Z115" s="256"/>
      <c r="AA115" s="132"/>
      <c r="AB115" s="132"/>
      <c r="AC115" s="132"/>
      <c r="AD115" s="230"/>
      <c r="AE115" s="132"/>
      <c r="AF115" s="132"/>
      <c r="AG115" s="132"/>
      <c r="AH115" s="132"/>
      <c r="AI115" s="132"/>
      <c r="AJ115" s="132"/>
      <c r="AK115" s="132"/>
      <c r="AL115" s="132"/>
      <c r="AM115" s="132"/>
      <c r="AN115" s="145"/>
      <c r="AO115" s="967"/>
      <c r="AP115" s="967"/>
      <c r="AQ115" s="145"/>
      <c r="AR115" s="967"/>
      <c r="AT115" s="132"/>
      <c r="AU115" s="132"/>
      <c r="AV115" s="132"/>
      <c r="AW115" s="132"/>
      <c r="BL115" s="1482"/>
    </row>
    <row r="116" spans="1:64" hidden="1" outlineLevel="1">
      <c r="A116" s="169"/>
      <c r="B116" s="171">
        <v>2005</v>
      </c>
      <c r="C116" s="132"/>
      <c r="D116" s="132"/>
      <c r="E116" s="230"/>
      <c r="F116" s="132"/>
      <c r="G116" s="230"/>
      <c r="H116" s="132"/>
      <c r="I116" s="230"/>
      <c r="J116" s="132"/>
      <c r="K116" s="132"/>
      <c r="L116" s="132"/>
      <c r="M116" s="132"/>
      <c r="N116" s="132"/>
      <c r="O116" s="230"/>
      <c r="P116" s="138"/>
      <c r="Q116" s="138"/>
      <c r="R116" s="132"/>
      <c r="S116" s="132"/>
      <c r="T116" s="132"/>
      <c r="U116" s="132"/>
      <c r="V116" s="132"/>
      <c r="W116" s="230"/>
      <c r="X116" s="132"/>
      <c r="Y116" s="256"/>
      <c r="Z116" s="256"/>
      <c r="AA116" s="132"/>
      <c r="AB116" s="132"/>
      <c r="AC116" s="132"/>
      <c r="AD116" s="230"/>
      <c r="AE116" s="138"/>
      <c r="AF116" s="138"/>
      <c r="AG116" s="132"/>
      <c r="AH116" s="132"/>
      <c r="AI116" s="132"/>
      <c r="AJ116" s="132"/>
      <c r="AK116" s="132"/>
      <c r="AL116" s="230"/>
      <c r="AM116" s="230"/>
      <c r="AN116" s="145"/>
      <c r="AO116" s="967"/>
      <c r="AP116" s="967"/>
      <c r="AQ116" s="145"/>
      <c r="AR116" s="967"/>
      <c r="AT116" s="132"/>
      <c r="AU116" s="132"/>
      <c r="AV116" s="132"/>
      <c r="AW116" s="132"/>
      <c r="BL116" s="1482"/>
    </row>
    <row r="117" spans="1:64" hidden="1" outlineLevel="1">
      <c r="A117" s="132" t="str">
        <f>$A$40</f>
        <v>1Q</v>
      </c>
      <c r="B117" s="174" t="str">
        <f>$B$40</f>
        <v>Apr</v>
      </c>
      <c r="C117" s="132"/>
      <c r="D117" s="145">
        <f>(R117/R110-1)*100</f>
        <v>11.99192756900851</v>
      </c>
      <c r="E117" s="230" t="s">
        <v>1970</v>
      </c>
      <c r="F117" s="265">
        <f>+'qtrP&amp;L'!BP10</f>
        <v>4</v>
      </c>
      <c r="G117" s="230" t="s">
        <v>1970</v>
      </c>
      <c r="H117" s="145">
        <f>D117-F117</f>
        <v>7.9919275690085101</v>
      </c>
      <c r="I117" s="230" t="s">
        <v>1970</v>
      </c>
      <c r="J117" s="725">
        <f>Stores!D135+Stores!AX135</f>
        <v>152</v>
      </c>
      <c r="K117" s="132"/>
      <c r="L117" s="177">
        <f>AVERAGE(J117,J113)</f>
        <v>151.5</v>
      </c>
      <c r="M117" s="132"/>
      <c r="N117" s="145">
        <f>(L117/L110-1)*100</f>
        <v>7.067137809187285</v>
      </c>
      <c r="O117" s="230" t="s">
        <v>1970</v>
      </c>
      <c r="P117" s="259">
        <f>H117/N117*100</f>
        <v>113.08577510147033</v>
      </c>
      <c r="Q117" s="138" t="s">
        <v>1970</v>
      </c>
      <c r="R117" s="141">
        <f>+'qtrP&amp;L'!BN10-AN117-AQ117</f>
        <v>446.16800000000001</v>
      </c>
      <c r="S117" s="139"/>
      <c r="T117" s="143">
        <f>R117/L117</f>
        <v>2.9450033003300331</v>
      </c>
      <c r="U117" s="132"/>
      <c r="V117" s="219">
        <f>(T117/T110-1)*100</f>
        <v>4.5997211288099082</v>
      </c>
      <c r="W117" s="230" t="s">
        <v>1970</v>
      </c>
      <c r="X117" s="132"/>
      <c r="Y117" s="236">
        <f>Stores!G135+Stores!AH135</f>
        <v>0.73025000000000007</v>
      </c>
      <c r="Z117" s="132" t="s">
        <v>505</v>
      </c>
      <c r="AA117" s="254">
        <f>AVERAGE(Y117,Y113)</f>
        <v>0.72762500000000008</v>
      </c>
      <c r="AB117" s="132"/>
      <c r="AC117" s="145">
        <f>(AA117/AA110-1)*100</f>
        <v>7.8628783199506058</v>
      </c>
      <c r="AD117" s="230" t="s">
        <v>1970</v>
      </c>
      <c r="AE117" s="259">
        <f>+H117/AC117*100</f>
        <v>101.6412469302808</v>
      </c>
      <c r="AF117" s="138" t="s">
        <v>1970</v>
      </c>
      <c r="AG117" s="141">
        <f>+R117</f>
        <v>446.16800000000001</v>
      </c>
      <c r="AH117" s="132" t="s">
        <v>505</v>
      </c>
      <c r="AI117" s="244">
        <f>AG117/AA117</f>
        <v>613.18398900532554</v>
      </c>
      <c r="AJ117" s="132"/>
      <c r="AK117" s="219">
        <f>(AI117/AI110-1)*100</f>
        <v>3.8280540194839174</v>
      </c>
      <c r="AL117" s="230" t="s">
        <v>1970</v>
      </c>
      <c r="AM117" s="230"/>
      <c r="AN117" s="145">
        <f>'segSales&amp;comps'!AM119</f>
        <v>28.936</v>
      </c>
      <c r="AO117" s="969">
        <f>'segSales&amp;comps'!AN119</f>
        <v>-21.580530637686657</v>
      </c>
      <c r="AP117" s="969"/>
      <c r="AQ117" s="145">
        <f>'segSales&amp;comps'!AR119</f>
        <v>34.796999999999997</v>
      </c>
      <c r="AR117" s="969">
        <f>'segSales&amp;comps'!AS119</f>
        <v>60.591655898098566</v>
      </c>
      <c r="AT117" s="315">
        <f>+R117-AU117</f>
        <v>0</v>
      </c>
      <c r="AU117" s="978">
        <f>+AV117+AW117</f>
        <v>446.16800000000001</v>
      </c>
      <c r="AV117" s="296">
        <f>+SeqQtrSales!V117</f>
        <v>255.852</v>
      </c>
      <c r="AW117" s="296">
        <f>+SeqQtrSales!V298</f>
        <v>190.316</v>
      </c>
      <c r="BL117" s="1482"/>
    </row>
    <row r="118" spans="1:64" hidden="1" outlineLevel="1">
      <c r="A118" s="132" t="str">
        <f>$A$41</f>
        <v>2Q</v>
      </c>
      <c r="B118" s="174" t="str">
        <f>$B$41</f>
        <v>Jul</v>
      </c>
      <c r="C118" s="132"/>
      <c r="D118" s="145">
        <f>(R118/R111-1)*100</f>
        <v>9.4928242154180609</v>
      </c>
      <c r="E118" s="132"/>
      <c r="F118" s="265">
        <f>'qtrP&amp;L'!BP11</f>
        <v>4</v>
      </c>
      <c r="G118" s="132"/>
      <c r="H118" s="201">
        <f>D118-F118</f>
        <v>5.4928242154180609</v>
      </c>
      <c r="I118" s="132"/>
      <c r="J118" s="725">
        <f>Stores!D136+Stores!AX136</f>
        <v>155</v>
      </c>
      <c r="K118" s="132"/>
      <c r="L118" s="177">
        <f>AVERAGE(J118,J117)</f>
        <v>153.5</v>
      </c>
      <c r="M118" s="132"/>
      <c r="N118" s="145">
        <f>(L118/L111-1)*100</f>
        <v>6.9686411149825878</v>
      </c>
      <c r="O118" s="230"/>
      <c r="P118" s="259">
        <f>H118/N118*100</f>
        <v>78.822027491249074</v>
      </c>
      <c r="Q118" s="138"/>
      <c r="R118" s="142">
        <f>+'qtrP&amp;L'!BN11-AN118-AQ118</f>
        <v>469.81400000000002</v>
      </c>
      <c r="S118" s="139"/>
      <c r="T118" s="147">
        <f>R118/L118</f>
        <v>3.0606775244299675</v>
      </c>
      <c r="U118" s="132"/>
      <c r="V118" s="219">
        <f>(T118/T111-1)*100</f>
        <v>2.3597412046416189</v>
      </c>
      <c r="W118" s="230"/>
      <c r="X118" s="132"/>
      <c r="Y118" s="236">
        <f>Stores!G136+Stores!AH136</f>
        <v>0.73750000000000004</v>
      </c>
      <c r="Z118" s="238"/>
      <c r="AA118" s="254">
        <f>AVERAGE(Y118,Y117)</f>
        <v>0.73387500000000006</v>
      </c>
      <c r="AB118" s="132"/>
      <c r="AC118" s="145">
        <f>(AA118/AA111-1)*100</f>
        <v>7.0959503830718695</v>
      </c>
      <c r="AD118" s="230"/>
      <c r="AE118" s="259">
        <f>+H118/AC118*100</f>
        <v>77.407872362266886</v>
      </c>
      <c r="AF118" s="138"/>
      <c r="AG118" s="142">
        <f>+R118</f>
        <v>469.81400000000002</v>
      </c>
      <c r="AH118" s="132"/>
      <c r="AI118" s="245">
        <f>AG118/AA118</f>
        <v>640.18259240333839</v>
      </c>
      <c r="AJ118" s="132"/>
      <c r="AK118" s="219">
        <f>(AI118/AI111-1)*100</f>
        <v>2.2380620590907396</v>
      </c>
      <c r="AL118" s="230"/>
      <c r="AM118" s="230"/>
      <c r="AN118" s="145">
        <f>'segSales&amp;comps'!AM120</f>
        <v>30.353999999999999</v>
      </c>
      <c r="AO118" s="969">
        <f>'segSales&amp;comps'!AN120</f>
        <v>4.9948114839156066</v>
      </c>
      <c r="AP118" s="969"/>
      <c r="AQ118" s="145">
        <f>'segSales&amp;comps'!AR120</f>
        <v>26.533000000000001</v>
      </c>
      <c r="AR118" s="969">
        <f>'segSales&amp;comps'!AS120</f>
        <v>42.612201021230845</v>
      </c>
      <c r="AT118" s="315">
        <f>+R118-AU118</f>
        <v>0</v>
      </c>
      <c r="AU118" s="974">
        <f>+AV118+AW118</f>
        <v>469.81399999999996</v>
      </c>
      <c r="AV118" s="315">
        <f>+SeqQtrSales!V118</f>
        <v>267.70999999999998</v>
      </c>
      <c r="AW118" s="315">
        <f>+SeqQtrSales!V299</f>
        <v>202.10400000000001</v>
      </c>
      <c r="BL118" s="1482"/>
    </row>
    <row r="119" spans="1:64" hidden="1" outlineLevel="1">
      <c r="A119" s="132" t="str">
        <f>$A$42</f>
        <v>3Q</v>
      </c>
      <c r="B119" s="174" t="str">
        <f>$B$42</f>
        <v>Oct</v>
      </c>
      <c r="C119" s="132"/>
      <c r="D119" s="145">
        <f>(R119/R112-1)*100</f>
        <v>8.1815353690054557</v>
      </c>
      <c r="E119" s="132"/>
      <c r="F119" s="390">
        <f>'qtrP&amp;L'!BP12</f>
        <v>5</v>
      </c>
      <c r="G119" s="132"/>
      <c r="H119" s="201">
        <f>D119-F119</f>
        <v>3.1815353690054557</v>
      </c>
      <c r="I119" s="132"/>
      <c r="J119" s="725">
        <f>Stores!D137+Stores!AX137</f>
        <v>158</v>
      </c>
      <c r="K119" s="238"/>
      <c r="L119" s="177">
        <f>AVERAGE(J119,J118)</f>
        <v>156.5</v>
      </c>
      <c r="M119" s="132"/>
      <c r="N119" s="145">
        <f>(L119/L112-1)*100</f>
        <v>6.8259385665528916</v>
      </c>
      <c r="O119" s="230"/>
      <c r="P119" s="259">
        <f>H119/N119*100</f>
        <v>46.609493155929997</v>
      </c>
      <c r="Q119" s="138"/>
      <c r="R119" s="142">
        <f>+'qtrP&amp;L'!BN12-AN119-AQ119</f>
        <v>452.06900000000002</v>
      </c>
      <c r="S119" s="132"/>
      <c r="T119" s="147">
        <f>R119/L119</f>
        <v>2.8886198083067094</v>
      </c>
      <c r="U119" s="132"/>
      <c r="V119" s="219">
        <f>(T119/T112-1)*100</f>
        <v>1.2689771984619957</v>
      </c>
      <c r="W119" s="230"/>
      <c r="X119" s="132"/>
      <c r="Y119" s="236">
        <f>Stores!G137+Stores!AH137</f>
        <v>0.74475000000000002</v>
      </c>
      <c r="Z119" s="238"/>
      <c r="AA119" s="254">
        <f>AVERAGE(Y119,Y118)</f>
        <v>0.74112500000000003</v>
      </c>
      <c r="AB119" s="132"/>
      <c r="AC119" s="145">
        <f>(AA119/AA112-1)*100</f>
        <v>5.6862745098039236</v>
      </c>
      <c r="AD119" s="230"/>
      <c r="AE119" s="259">
        <f>+H119/AC119*100</f>
        <v>55.951139248026962</v>
      </c>
      <c r="AF119" s="138"/>
      <c r="AG119" s="142">
        <f>+R119</f>
        <v>452.06900000000002</v>
      </c>
      <c r="AH119" s="132"/>
      <c r="AI119" s="245">
        <f>AG119/AA119</f>
        <v>609.97672457412716</v>
      </c>
      <c r="AJ119" s="132"/>
      <c r="AK119" s="219">
        <f>(AI119/AI112-1)*100</f>
        <v>2.3610074920088708</v>
      </c>
      <c r="AL119" s="230"/>
      <c r="AM119" s="230"/>
      <c r="AN119" s="145">
        <f>'segSales&amp;comps'!AM121</f>
        <v>27.308</v>
      </c>
      <c r="AO119" s="969">
        <f>'segSales&amp;comps'!AN121</f>
        <v>3.7065167856600301</v>
      </c>
      <c r="AP119" s="969"/>
      <c r="AQ119" s="145">
        <f>'segSales&amp;comps'!AR121</f>
        <v>20.728000000000002</v>
      </c>
      <c r="AR119" s="969">
        <f>'segSales&amp;comps'!AS121</f>
        <v>22.361275088547817</v>
      </c>
      <c r="AT119" s="315">
        <f>+R119-AU119</f>
        <v>0</v>
      </c>
      <c r="AU119" s="974">
        <f>+AV119+AW119</f>
        <v>452.06900000000002</v>
      </c>
      <c r="AV119" s="315">
        <f>+SeqQtrSales!V119</f>
        <v>247.78200000000001</v>
      </c>
      <c r="AW119" s="315">
        <f>+SeqQtrSales!V300</f>
        <v>204.28700000000001</v>
      </c>
      <c r="BL119" s="1482"/>
    </row>
    <row r="120" spans="1:64" hidden="1" outlineLevel="1">
      <c r="A120" s="132" t="str">
        <f>$A$43</f>
        <v>4Q</v>
      </c>
      <c r="B120" s="174" t="str">
        <f>$B$43</f>
        <v>Jan</v>
      </c>
      <c r="C120" s="132"/>
      <c r="D120" s="145">
        <f>(R120/R113-1)*100</f>
        <v>7.9581249373020579</v>
      </c>
      <c r="E120" s="132"/>
      <c r="F120" s="385">
        <f>'qtrP&amp;L'!BP13</f>
        <v>6</v>
      </c>
      <c r="G120" s="132"/>
      <c r="H120" s="201">
        <f>D120-F120</f>
        <v>1.9581249373020579</v>
      </c>
      <c r="I120" s="132"/>
      <c r="J120" s="725">
        <f>Stores!D138+Stores!AX138</f>
        <v>154</v>
      </c>
      <c r="K120" s="139"/>
      <c r="L120" s="178">
        <f>AVERAGE(J120,J119)</f>
        <v>156</v>
      </c>
      <c r="M120" s="132"/>
      <c r="N120" s="176">
        <f>(L120/L113-1)*100</f>
        <v>4.3478260869565188</v>
      </c>
      <c r="O120" s="230"/>
      <c r="P120" s="259">
        <f>H120/N120*100</f>
        <v>45.036873557947359</v>
      </c>
      <c r="Q120" s="138"/>
      <c r="R120" s="146">
        <f>+'qtrP&amp;L'!BN13-AN120-AQ120</f>
        <v>753.32100000000003</v>
      </c>
      <c r="S120" s="132"/>
      <c r="T120" s="148">
        <f>R120/L120</f>
        <v>4.8289807692307694</v>
      </c>
      <c r="U120" s="132"/>
      <c r="V120" s="218">
        <f>(T120/T113-1)*100</f>
        <v>3.4598697315811444</v>
      </c>
      <c r="W120" s="230"/>
      <c r="X120" s="132"/>
      <c r="Y120" s="1018">
        <f>Stores!G138+Stores!AH138</f>
        <v>0.74500000000000011</v>
      </c>
      <c r="Z120" s="139"/>
      <c r="AA120" s="255">
        <f>AVERAGE(Y120,Y119)</f>
        <v>0.74487500000000006</v>
      </c>
      <c r="AB120" s="132"/>
      <c r="AC120" s="176">
        <f>(AA120/AA113-1)*100</f>
        <v>3.8756536897152749</v>
      </c>
      <c r="AD120" s="230"/>
      <c r="AE120" s="178">
        <f>+H120/AC120*100</f>
        <v>50.523733389757844</v>
      </c>
      <c r="AF120" s="138"/>
      <c r="AG120" s="146">
        <f>+R120</f>
        <v>753.32100000000003</v>
      </c>
      <c r="AH120" s="132"/>
      <c r="AI120" s="257">
        <f>AG120/AA120</f>
        <v>1011.3388152374559</v>
      </c>
      <c r="AJ120" s="132"/>
      <c r="AK120" s="218">
        <f>(AI120/AI113-1)*100</f>
        <v>3.9301521603719136</v>
      </c>
      <c r="AL120" s="230"/>
      <c r="AM120" s="230"/>
      <c r="AN120" s="145">
        <f>'segSales&amp;comps'!AM122</f>
        <v>70.885000000000005</v>
      </c>
      <c r="AO120" s="969">
        <f>'segSales&amp;comps'!AN122</f>
        <v>-12.946565635477182</v>
      </c>
      <c r="AP120" s="969"/>
      <c r="AQ120" s="145">
        <f>'segSales&amp;comps'!AR122</f>
        <v>34.24</v>
      </c>
      <c r="AR120" s="969">
        <f>'segSales&amp;comps'!AS122</f>
        <v>10.791134120692437</v>
      </c>
      <c r="AT120" s="315">
        <f>+R120-AU120</f>
        <v>0</v>
      </c>
      <c r="AU120" s="974">
        <f>+AV120+AW120</f>
        <v>753.32100000000003</v>
      </c>
      <c r="AV120" s="315">
        <f>+SeqQtrSales!V120</f>
        <v>449.339</v>
      </c>
      <c r="AW120" s="315">
        <f>+SeqQtrSales!V301</f>
        <v>303.98200000000003</v>
      </c>
      <c r="BL120" s="1482"/>
    </row>
    <row r="121" spans="1:64" hidden="1" outlineLevel="1">
      <c r="A121" s="132"/>
      <c r="B121" s="174" t="str">
        <f>$B$44</f>
        <v>Year</v>
      </c>
      <c r="C121" s="132"/>
      <c r="D121" s="784">
        <f>(R121/R114-1)*100</f>
        <v>9.1720895764340717</v>
      </c>
      <c r="E121" s="132"/>
      <c r="F121" s="824">
        <f>'qtrP&amp;L'!BP14</f>
        <v>5</v>
      </c>
      <c r="G121" s="132"/>
      <c r="H121" s="784">
        <f>D121-F121</f>
        <v>4.1720895764340717</v>
      </c>
      <c r="I121" s="132"/>
      <c r="J121" s="725"/>
      <c r="K121" s="132"/>
      <c r="L121" s="177">
        <f>AVERAGE(L117:L120)</f>
        <v>154.375</v>
      </c>
      <c r="M121" s="132"/>
      <c r="N121" s="145">
        <f>(L121/L114-1)*100</f>
        <v>6.2822719449225461</v>
      </c>
      <c r="O121" s="230"/>
      <c r="P121" s="785">
        <f>H121/N121*100</f>
        <v>66.410521750909481</v>
      </c>
      <c r="Q121" s="138"/>
      <c r="R121" s="141">
        <f>SUM(R117:R120)</f>
        <v>2121.3719999999998</v>
      </c>
      <c r="S121" s="132"/>
      <c r="T121" s="143">
        <f>SUM(T117:T120)</f>
        <v>13.723281402297479</v>
      </c>
      <c r="U121" s="132"/>
      <c r="V121" s="219">
        <f>(T121/T114-1)*100</f>
        <v>2.9848704630651479</v>
      </c>
      <c r="W121" s="230"/>
      <c r="X121" s="132"/>
      <c r="Y121" s="236"/>
      <c r="Z121" s="132"/>
      <c r="AA121" s="254">
        <f>AVERAGE(AA117:AA120)</f>
        <v>0.73687500000000006</v>
      </c>
      <c r="AB121" s="132"/>
      <c r="AC121" s="145">
        <f>(AA121/AA114-1)*100</f>
        <v>6.095146679464869</v>
      </c>
      <c r="AD121" s="230"/>
      <c r="AE121" s="259">
        <f>+H121/AC121*100</f>
        <v>68.449371210216142</v>
      </c>
      <c r="AF121" s="138"/>
      <c r="AG121" s="141">
        <f>SUM(AG117:AG120)</f>
        <v>2121.3719999999998</v>
      </c>
      <c r="AH121" s="132"/>
      <c r="AI121" s="244">
        <f>AG121/AA121</f>
        <v>2878.8763358778619</v>
      </c>
      <c r="AJ121" s="132"/>
      <c r="AK121" s="219">
        <f>(AI121/AI114-1)*100</f>
        <v>2.9001730929929082</v>
      </c>
      <c r="AL121" s="230"/>
      <c r="AM121" s="230"/>
      <c r="AN121" s="145">
        <f>'segSales&amp;comps'!AM123</f>
        <v>157.483</v>
      </c>
      <c r="AO121" s="969">
        <f>'segSales&amp;comps'!AN123</f>
        <v>10.50818199680017</v>
      </c>
      <c r="AP121" s="969"/>
      <c r="AQ121" s="145">
        <f>'segSales&amp;comps'!AR123</f>
        <v>116.298</v>
      </c>
      <c r="AR121" s="969">
        <f>'segSales&amp;comps'!AS123</f>
        <v>31.979845207562608</v>
      </c>
      <c r="AT121" s="315">
        <f>+R121-AU121</f>
        <v>0</v>
      </c>
      <c r="AU121" s="975">
        <f>+SUM(AU117:AU120)</f>
        <v>2121.3719999999998</v>
      </c>
      <c r="AV121" s="976">
        <f>+SUM(AV117:AV120)</f>
        <v>1220.683</v>
      </c>
      <c r="AW121" s="976">
        <f>+SUM(AW117:AW120)</f>
        <v>900.68900000000008</v>
      </c>
      <c r="BL121" s="1482"/>
    </row>
    <row r="122" spans="1:64" hidden="1" outlineLevel="1">
      <c r="A122" s="132"/>
      <c r="B122" s="174"/>
      <c r="C122" s="132"/>
      <c r="D122" s="256"/>
      <c r="E122" s="256"/>
      <c r="F122" s="256"/>
      <c r="G122" s="256"/>
      <c r="H122" s="132"/>
      <c r="I122" s="132"/>
      <c r="J122" s="132"/>
      <c r="K122" s="132"/>
      <c r="L122" s="132"/>
      <c r="M122" s="132"/>
      <c r="N122" s="132"/>
      <c r="O122" s="230"/>
      <c r="P122" s="132"/>
      <c r="Q122" s="132"/>
      <c r="R122" s="132"/>
      <c r="S122" s="132"/>
      <c r="T122" s="132"/>
      <c r="U122" s="132"/>
      <c r="V122" s="132"/>
      <c r="W122" s="132"/>
      <c r="X122" s="132"/>
      <c r="Y122" s="132"/>
      <c r="Z122" s="132"/>
      <c r="AA122" s="132"/>
      <c r="AB122" s="132"/>
      <c r="AC122" s="132"/>
      <c r="AD122" s="230"/>
      <c r="AE122" s="132"/>
      <c r="AF122" s="132"/>
      <c r="AG122" s="132"/>
      <c r="AH122" s="132"/>
      <c r="AI122" s="132"/>
      <c r="AJ122" s="132"/>
      <c r="AK122" s="132"/>
      <c r="AL122" s="132"/>
      <c r="AM122" s="132"/>
      <c r="AN122" s="145"/>
      <c r="AO122" s="967"/>
      <c r="AP122" s="967"/>
      <c r="AQ122" s="145"/>
      <c r="AR122" s="967"/>
      <c r="AT122" s="132"/>
      <c r="AU122" s="132"/>
      <c r="AV122" s="132"/>
      <c r="AW122" s="132"/>
      <c r="BL122" s="1482"/>
    </row>
    <row r="123" spans="1:64" hidden="1" outlineLevel="1">
      <c r="A123" s="810"/>
      <c r="B123" s="171">
        <f>+B116+1</f>
        <v>2006</v>
      </c>
      <c r="C123" s="256"/>
      <c r="D123" s="256"/>
      <c r="E123" s="643"/>
      <c r="F123" s="256"/>
      <c r="G123" s="643"/>
      <c r="H123" s="256"/>
      <c r="I123" s="643"/>
      <c r="J123" s="256"/>
      <c r="K123" s="256"/>
      <c r="L123" s="256"/>
      <c r="M123" s="256"/>
      <c r="N123" s="256"/>
      <c r="O123" s="643"/>
      <c r="P123" s="587"/>
      <c r="Q123" s="587"/>
      <c r="R123" s="256"/>
      <c r="S123" s="256"/>
      <c r="T123" s="256"/>
      <c r="U123" s="256"/>
      <c r="V123" s="256"/>
      <c r="W123" s="643"/>
      <c r="X123" s="256"/>
      <c r="Y123" s="256"/>
      <c r="Z123" s="256"/>
      <c r="AA123" s="256"/>
      <c r="AB123" s="256"/>
      <c r="AC123" s="256"/>
      <c r="AD123" s="643"/>
      <c r="AE123" s="587"/>
      <c r="AF123" s="587"/>
      <c r="AG123" s="256"/>
      <c r="AH123" s="256"/>
      <c r="AI123" s="256"/>
      <c r="AJ123" s="256"/>
      <c r="AK123" s="256"/>
      <c r="AL123" s="643"/>
      <c r="AM123" s="643"/>
      <c r="AN123" s="145"/>
      <c r="AO123" s="970"/>
      <c r="AP123" s="970"/>
      <c r="AQ123" s="145"/>
      <c r="AR123" s="970"/>
      <c r="AS123" s="256"/>
      <c r="AT123" s="256"/>
      <c r="AU123" s="256"/>
      <c r="AV123" s="256"/>
      <c r="AW123" s="256"/>
      <c r="BL123" s="1482"/>
    </row>
    <row r="124" spans="1:64" hidden="1" outlineLevel="1">
      <c r="A124" s="256" t="str">
        <f>$A$40</f>
        <v>1Q</v>
      </c>
      <c r="B124" s="302" t="str">
        <f>$B$40</f>
        <v>Apr</v>
      </c>
      <c r="C124" s="256"/>
      <c r="D124" s="288">
        <f>(R124/R117-1)*100</f>
        <v>6.6354690291746454</v>
      </c>
      <c r="E124" s="643" t="s">
        <v>1970</v>
      </c>
      <c r="F124" s="265">
        <f>'qtrP&amp;L'!BT10</f>
        <v>5</v>
      </c>
      <c r="G124" s="643" t="s">
        <v>1970</v>
      </c>
      <c r="H124" s="288">
        <f>D124-F124</f>
        <v>1.6354690291746454</v>
      </c>
      <c r="I124" s="643" t="s">
        <v>1970</v>
      </c>
      <c r="J124" s="725">
        <f>Stores!D142+Stores!AX142</f>
        <v>156</v>
      </c>
      <c r="K124" s="256"/>
      <c r="L124" s="811">
        <f>AVERAGE(J124,J120)</f>
        <v>155</v>
      </c>
      <c r="M124" s="256"/>
      <c r="N124" s="288">
        <f>(L124/L117-1)*100</f>
        <v>2.3102310231023049</v>
      </c>
      <c r="O124" s="643" t="s">
        <v>1970</v>
      </c>
      <c r="P124" s="259">
        <f>H124/N124*100</f>
        <v>70.792445119988386</v>
      </c>
      <c r="Q124" s="587" t="s">
        <v>1970</v>
      </c>
      <c r="R124" s="141">
        <f>+'qtrP&amp;L'!BR10-AN124-AQ124</f>
        <v>475.77333945808795</v>
      </c>
      <c r="S124" s="238"/>
      <c r="T124" s="813">
        <f>R124/L124</f>
        <v>3.0695054158586319</v>
      </c>
      <c r="U124" s="256"/>
      <c r="V124" s="814">
        <f>(T124/T117-1)*100</f>
        <v>4.2275713414190896</v>
      </c>
      <c r="W124" s="643" t="s">
        <v>1970</v>
      </c>
      <c r="X124" s="256"/>
      <c r="Y124" s="236">
        <f>Stores!G142+Stores!AH142</f>
        <v>0.752</v>
      </c>
      <c r="Z124" s="256" t="s">
        <v>505</v>
      </c>
      <c r="AA124" s="816">
        <f>AVERAGE(Y124,Y120)</f>
        <v>0.74850000000000005</v>
      </c>
      <c r="AB124" s="256"/>
      <c r="AC124" s="288">
        <f>(AA124/AA117-1)*100</f>
        <v>2.8689228654870336</v>
      </c>
      <c r="AD124" s="643" t="s">
        <v>1970</v>
      </c>
      <c r="AE124" s="812">
        <f>+H124/AC124*100</f>
        <v>57.006378555841906</v>
      </c>
      <c r="AF124" s="587" t="s">
        <v>1970</v>
      </c>
      <c r="AG124" s="296">
        <f>+R124</f>
        <v>475.77333945808795</v>
      </c>
      <c r="AH124" s="256" t="s">
        <v>505</v>
      </c>
      <c r="AI124" s="817">
        <f>AG124/AA124</f>
        <v>635.6357240589017</v>
      </c>
      <c r="AJ124" s="256"/>
      <c r="AK124" s="814">
        <f>(AI124/AI117-1)*100</f>
        <v>3.6615005375460363</v>
      </c>
      <c r="AL124" s="643" t="s">
        <v>1970</v>
      </c>
      <c r="AM124" s="643"/>
      <c r="AN124" s="145">
        <f>'segSales&amp;comps'!AM126</f>
        <v>29.957000000000001</v>
      </c>
      <c r="AO124" s="969">
        <f>'segSales&amp;comps'!AN126</f>
        <v>3.5284766380978771</v>
      </c>
      <c r="AP124" s="969"/>
      <c r="AQ124" s="145">
        <f>'segSales&amp;comps'!AR126</f>
        <v>9.6256605419119516</v>
      </c>
      <c r="AR124" s="969">
        <f>'segSales&amp;comps'!AS126</f>
        <v>-72.337671230531498</v>
      </c>
      <c r="AS124" s="256"/>
      <c r="AT124" s="315">
        <f>+R124-AU124</f>
        <v>2.933945808797489E-2</v>
      </c>
      <c r="AU124" s="978">
        <f>+AV124+AW124</f>
        <v>475.74399999999997</v>
      </c>
      <c r="AV124" s="296">
        <f>+SeqQtrSales!V124</f>
        <v>260.58</v>
      </c>
      <c r="AW124" s="296">
        <f>+SeqQtrSales!V305</f>
        <v>215.16399999999999</v>
      </c>
      <c r="BL124" s="1482"/>
    </row>
    <row r="125" spans="1:64" hidden="1" outlineLevel="1">
      <c r="A125" s="256" t="str">
        <f>$A$41</f>
        <v>2Q</v>
      </c>
      <c r="B125" s="302" t="str">
        <f>$B$41</f>
        <v>Jul</v>
      </c>
      <c r="C125" s="256"/>
      <c r="D125" s="288">
        <f>(R125/R118-1)*100</f>
        <v>8.9162614612408255</v>
      </c>
      <c r="E125" s="256"/>
      <c r="F125" s="265">
        <f>'qtrP&amp;L'!BT11</f>
        <v>6</v>
      </c>
      <c r="G125" s="256"/>
      <c r="H125" s="288">
        <f>D125-F125</f>
        <v>2.9162614612408255</v>
      </c>
      <c r="I125" s="256"/>
      <c r="J125" s="725">
        <f>Stores!D143+Stores!AX143</f>
        <v>157</v>
      </c>
      <c r="K125" s="256"/>
      <c r="L125" s="811">
        <f>AVERAGE(J125,J124)</f>
        <v>156.5</v>
      </c>
      <c r="M125" s="256"/>
      <c r="N125" s="288">
        <f>(L125/L118-1)*100</f>
        <v>1.9543973941368087</v>
      </c>
      <c r="O125" s="643"/>
      <c r="P125" s="259">
        <f>H125/N125*100</f>
        <v>149.2153781001555</v>
      </c>
      <c r="Q125" s="587"/>
      <c r="R125" s="142">
        <f>+'qtrP&amp;L'!BR11-AN125-AQ125</f>
        <v>511.70384462151401</v>
      </c>
      <c r="S125" s="238"/>
      <c r="T125" s="818">
        <f>R125/L125</f>
        <v>3.2696731285719745</v>
      </c>
      <c r="U125" s="256"/>
      <c r="V125" s="814">
        <f>(T125/T118-1)*100</f>
        <v>6.8284098038368546</v>
      </c>
      <c r="W125" s="643"/>
      <c r="X125" s="256"/>
      <c r="Y125" s="236">
        <f>Stores!G143+Stores!AH143</f>
        <v>0.75580000000000003</v>
      </c>
      <c r="Z125" s="238"/>
      <c r="AA125" s="816">
        <f>AVERAGE(Y125,Y124)</f>
        <v>0.75390000000000001</v>
      </c>
      <c r="AB125" s="256"/>
      <c r="AC125" s="288">
        <f>(AA125/AA118-1)*100</f>
        <v>2.7286663260091881</v>
      </c>
      <c r="AD125" s="643"/>
      <c r="AE125" s="812">
        <f>+H125/AC125*100</f>
        <v>106.87497527431302</v>
      </c>
      <c r="AF125" s="587"/>
      <c r="AG125" s="315">
        <f>+R125</f>
        <v>511.70384462151401</v>
      </c>
      <c r="AH125" s="256"/>
      <c r="AI125" s="819">
        <f>AG125/AA125</f>
        <v>678.74233269865238</v>
      </c>
      <c r="AJ125" s="256"/>
      <c r="AK125" s="814">
        <f>(AI125/AI118-1)*100</f>
        <v>6.0232409866933567</v>
      </c>
      <c r="AL125" s="643"/>
      <c r="AM125" s="643"/>
      <c r="AN125" s="145">
        <f>'segSales&amp;comps'!AM127</f>
        <v>35.741999999999997</v>
      </c>
      <c r="AO125" s="969">
        <f>'segSales&amp;comps'!AN127</f>
        <v>17.75054358568886</v>
      </c>
      <c r="AP125" s="969"/>
      <c r="AQ125" s="145">
        <f>'segSales&amp;comps'!AR127</f>
        <v>7.2111553784860574</v>
      </c>
      <c r="AR125" s="969">
        <f>'segSales&amp;comps'!AS127</f>
        <v>-72.821937291350181</v>
      </c>
      <c r="AS125" s="256"/>
      <c r="AT125" s="315">
        <f>+R125-AU125</f>
        <v>-5.1553784859379448E-3</v>
      </c>
      <c r="AU125" s="974">
        <f>+AV125+AW125</f>
        <v>511.70899999999995</v>
      </c>
      <c r="AV125" s="315">
        <f>+SeqQtrSales!V125</f>
        <v>288.55599999999998</v>
      </c>
      <c r="AW125" s="315">
        <f>+SeqQtrSales!V306</f>
        <v>223.15299999999999</v>
      </c>
      <c r="BL125" s="1482"/>
    </row>
    <row r="126" spans="1:64" hidden="1" outlineLevel="1">
      <c r="A126" s="256" t="str">
        <f>$A$42</f>
        <v>3Q</v>
      </c>
      <c r="B126" s="302" t="str">
        <f>$B$42</f>
        <v>Oct</v>
      </c>
      <c r="C126" s="256"/>
      <c r="D126" s="288">
        <f>(R126/R119-1)*100</f>
        <v>5.31622385078383</v>
      </c>
      <c r="E126" s="256"/>
      <c r="F126" s="390">
        <f>'qtrP&amp;L'!BT12</f>
        <v>4</v>
      </c>
      <c r="G126" s="256"/>
      <c r="H126" s="288">
        <f>D126-F126</f>
        <v>1.31622385078383</v>
      </c>
      <c r="I126" s="256"/>
      <c r="J126" s="725">
        <f>Stores!D144+Stores!AX144</f>
        <v>164</v>
      </c>
      <c r="K126" s="238"/>
      <c r="L126" s="811">
        <f>AVERAGE(J126,J125)</f>
        <v>160.5</v>
      </c>
      <c r="M126" s="256"/>
      <c r="N126" s="288">
        <f>(L126/L119-1)*100</f>
        <v>2.5559105431310014</v>
      </c>
      <c r="O126" s="643"/>
      <c r="P126" s="259">
        <f>H126/N126*100</f>
        <v>51.497258161917124</v>
      </c>
      <c r="Q126" s="587"/>
      <c r="R126" s="142">
        <f>+'qtrP&amp;L'!BR12-AN126-AQ126</f>
        <v>476.10199999999998</v>
      </c>
      <c r="S126" s="256"/>
      <c r="T126" s="818">
        <f>R126/L126</f>
        <v>2.9663676012461058</v>
      </c>
      <c r="U126" s="256"/>
      <c r="V126" s="814">
        <f>(T126/T119-1)*100</f>
        <v>2.6915204526334557</v>
      </c>
      <c r="W126" s="643"/>
      <c r="X126" s="256"/>
      <c r="Y126" s="236">
        <f>Stores!G144+Stores!AH144</f>
        <v>0.78120000000000001</v>
      </c>
      <c r="Z126" s="238"/>
      <c r="AA126" s="816">
        <f>AVERAGE(Y126,Y125)</f>
        <v>0.76849999999999996</v>
      </c>
      <c r="AB126" s="256"/>
      <c r="AC126" s="288">
        <f>(AA126/AA119-1)*100</f>
        <v>3.6937088885140801</v>
      </c>
      <c r="AD126" s="643"/>
      <c r="AE126" s="812">
        <f>+H126/AC126*100</f>
        <v>35.634206444280068</v>
      </c>
      <c r="AF126" s="587"/>
      <c r="AG126" s="315">
        <f>+R126</f>
        <v>476.10199999999998</v>
      </c>
      <c r="AH126" s="256"/>
      <c r="AI126" s="819">
        <f>AG126/AA126</f>
        <v>619.52114508783347</v>
      </c>
      <c r="AJ126" s="256"/>
      <c r="AK126" s="814">
        <f>(AI126/AI119-1)*100</f>
        <v>1.5647188047003047</v>
      </c>
      <c r="AL126" s="643"/>
      <c r="AM126" s="643"/>
      <c r="AN126" s="145">
        <f>'segSales&amp;comps'!AM128</f>
        <v>30.308</v>
      </c>
      <c r="AO126" s="969">
        <f>'segSales&amp;comps'!AN128</f>
        <v>10.985791709389181</v>
      </c>
      <c r="AP126" s="969"/>
      <c r="AQ126" s="145">
        <f>'segSales&amp;comps'!AR128</f>
        <v>25.423999999999999</v>
      </c>
      <c r="AR126" s="969">
        <f>'segSales&amp;comps'!AS128</f>
        <v>22.655345426476249</v>
      </c>
      <c r="AS126" s="256"/>
      <c r="AT126" s="315">
        <f>+R126-AU126</f>
        <v>-15.951999999999998</v>
      </c>
      <c r="AU126" s="974">
        <f>+AV126+AW126</f>
        <v>492.05399999999997</v>
      </c>
      <c r="AV126" s="315">
        <f>+SeqQtrSales!V126</f>
        <v>270.37299999999999</v>
      </c>
      <c r="AW126" s="315">
        <f>+SeqQtrSales!V307</f>
        <v>221.68100000000001</v>
      </c>
      <c r="BL126" s="1482"/>
    </row>
    <row r="127" spans="1:64" hidden="1" outlineLevel="1">
      <c r="A127" s="256" t="str">
        <f>$A$43</f>
        <v>4Q</v>
      </c>
      <c r="B127" s="302" t="str">
        <f>$B$43</f>
        <v>Jan</v>
      </c>
      <c r="C127" s="256"/>
      <c r="D127" s="176">
        <f>(R127/R120-1)*100</f>
        <v>10.191273042965744</v>
      </c>
      <c r="E127" s="256"/>
      <c r="F127" s="385">
        <f>'qtrP&amp;L'!BT13</f>
        <v>8</v>
      </c>
      <c r="G127" s="256"/>
      <c r="H127" s="318">
        <f>D127-F127</f>
        <v>2.1912730429657437</v>
      </c>
      <c r="I127" s="256"/>
      <c r="J127" s="725">
        <f>Stores!D145+Stores!AX145</f>
        <v>167</v>
      </c>
      <c r="K127" s="238"/>
      <c r="L127" s="820">
        <f>AVERAGE(J127,J126)</f>
        <v>165.5</v>
      </c>
      <c r="M127" s="256"/>
      <c r="N127" s="318">
        <f>(L127/L120-1)*100</f>
        <v>6.0897435897435903</v>
      </c>
      <c r="O127" s="643"/>
      <c r="P127" s="178">
        <f>H127/N127*100</f>
        <v>35.983009968700628</v>
      </c>
      <c r="Q127" s="587"/>
      <c r="R127" s="146">
        <f>+'qtrP&amp;L'!BR13-AN127-AQ127</f>
        <v>830.09399999999994</v>
      </c>
      <c r="S127" s="256"/>
      <c r="T127" s="821">
        <f>R127/L127</f>
        <v>5.0156737160120839</v>
      </c>
      <c r="U127" s="256"/>
      <c r="V127" s="298">
        <f>(T127/T120-1)*100</f>
        <v>3.8660942278105903</v>
      </c>
      <c r="W127" s="643"/>
      <c r="X127" s="256"/>
      <c r="Y127" s="1018">
        <f>Stores!G145+Stores!AH145</f>
        <v>0.79200000000000004</v>
      </c>
      <c r="Z127" s="238"/>
      <c r="AA127" s="822">
        <f>AVERAGE(Y127,Y126)</f>
        <v>0.78659999999999997</v>
      </c>
      <c r="AB127" s="256"/>
      <c r="AC127" s="318">
        <f>(AA127/AA120-1)*100</f>
        <v>5.6016110085584714</v>
      </c>
      <c r="AD127" s="643"/>
      <c r="AE127" s="820">
        <f>+H127/AC127*100</f>
        <v>39.118622118133295</v>
      </c>
      <c r="AF127" s="587"/>
      <c r="AG127" s="316">
        <f>+R127</f>
        <v>830.09399999999994</v>
      </c>
      <c r="AH127" s="256"/>
      <c r="AI127" s="823">
        <f>AG127/AA127</f>
        <v>1055.2936689549961</v>
      </c>
      <c r="AJ127" s="256"/>
      <c r="AK127" s="298">
        <f>(AI127/AI120-1)*100</f>
        <v>4.3462045612498112</v>
      </c>
      <c r="AL127" s="643"/>
      <c r="AM127" s="643"/>
      <c r="AN127" s="145">
        <f>'segSales&amp;comps'!AM129</f>
        <v>78.070999999999998</v>
      </c>
      <c r="AO127" s="969">
        <f>'segSales&amp;comps'!AN129</f>
        <v>10.137546730620016</v>
      </c>
      <c r="AP127" s="969"/>
      <c r="AQ127" s="145">
        <f>'segSales&amp;comps'!AR129</f>
        <v>50.722000000000001</v>
      </c>
      <c r="AR127" s="969">
        <f>'segSales&amp;comps'!AS129</f>
        <v>48.136682242990659</v>
      </c>
      <c r="AS127" s="256"/>
      <c r="AT127" s="315">
        <f>+R127-AU127</f>
        <v>-27.467000000000098</v>
      </c>
      <c r="AU127" s="974">
        <f>+AV127+AW127</f>
        <v>857.56100000000004</v>
      </c>
      <c r="AV127" s="315">
        <f>+SeqQtrSales!V127</f>
        <v>506.93200000000002</v>
      </c>
      <c r="AW127" s="315">
        <f>+SeqQtrSales!V308</f>
        <v>350.62900000000002</v>
      </c>
      <c r="BL127" s="1482"/>
    </row>
    <row r="128" spans="1:64" hidden="1" outlineLevel="1">
      <c r="A128" s="256"/>
      <c r="B128" s="302" t="str">
        <f>$B$44</f>
        <v>Year</v>
      </c>
      <c r="C128" s="256"/>
      <c r="D128" s="288">
        <f>(R128/R121-1)*100</f>
        <v>8.1221579279636913</v>
      </c>
      <c r="E128" s="256"/>
      <c r="F128" s="824">
        <f>'qtrP&amp;L'!BT14</f>
        <v>6</v>
      </c>
      <c r="G128" s="256"/>
      <c r="H128" s="288">
        <f>D128-F128</f>
        <v>2.1221579279636913</v>
      </c>
      <c r="I128" s="256"/>
      <c r="J128" s="725"/>
      <c r="K128" s="256"/>
      <c r="L128" s="811">
        <f>AVERAGE(L124:L127)</f>
        <v>159.375</v>
      </c>
      <c r="M128" s="256"/>
      <c r="N128" s="288">
        <f>(L128/L121-1)*100</f>
        <v>3.238866396761142</v>
      </c>
      <c r="O128" s="643"/>
      <c r="P128" s="812">
        <f>H128/N128*100</f>
        <v>65.521626025878803</v>
      </c>
      <c r="Q128" s="587"/>
      <c r="R128" s="141">
        <f>SUM(R124:R127)</f>
        <v>2293.6731840796019</v>
      </c>
      <c r="S128" s="256"/>
      <c r="T128" s="813">
        <f>SUM(T124:T127)</f>
        <v>14.321219861688796</v>
      </c>
      <c r="U128" s="256"/>
      <c r="V128" s="814">
        <f>(T128/T121-1)*100</f>
        <v>4.3571099496015009</v>
      </c>
      <c r="W128" s="643"/>
      <c r="X128" s="256"/>
      <c r="Y128" s="236"/>
      <c r="Z128" s="256"/>
      <c r="AA128" s="816">
        <f>AVERAGE(AA124:AA127)</f>
        <v>0.76437500000000003</v>
      </c>
      <c r="AB128" s="256"/>
      <c r="AC128" s="288">
        <f>(AA128/AA121-1)*100</f>
        <v>3.7319762510602095</v>
      </c>
      <c r="AD128" s="643"/>
      <c r="AE128" s="812">
        <f>+H128/AC128*100</f>
        <v>56.864186297027267</v>
      </c>
      <c r="AF128" s="587"/>
      <c r="AG128" s="296">
        <f>SUM(AG124:AG127)</f>
        <v>2293.6731840796019</v>
      </c>
      <c r="AH128" s="256"/>
      <c r="AI128" s="244">
        <f>AG128/AA128</f>
        <v>3000.7171664164866</v>
      </c>
      <c r="AJ128" s="256"/>
      <c r="AK128" s="814">
        <f>(AI128/AI121-1)*100</f>
        <v>4.2322356476445</v>
      </c>
      <c r="AL128" s="643"/>
      <c r="AM128" s="643"/>
      <c r="AN128" s="145">
        <f>'segSales&amp;comps'!AM130</f>
        <v>174.078</v>
      </c>
      <c r="AO128" s="969">
        <f>'segSales&amp;comps'!AN130</f>
        <v>10.537645333147072</v>
      </c>
      <c r="AP128" s="969"/>
      <c r="AQ128" s="145">
        <f>'segSales&amp;comps'!AR130</f>
        <v>92.982815920398011</v>
      </c>
      <c r="AR128" s="969">
        <f>'segSales&amp;comps'!AS130</f>
        <v>-20.047794527508632</v>
      </c>
      <c r="AS128" s="256"/>
      <c r="AT128" s="315">
        <f>+R128-AU128</f>
        <v>-43.394815920398287</v>
      </c>
      <c r="AU128" s="975">
        <f>+SUM(AU124:AU127)</f>
        <v>2337.0680000000002</v>
      </c>
      <c r="AV128" s="976">
        <f>+SUM(AV124:AV127)</f>
        <v>1326.441</v>
      </c>
      <c r="AW128" s="976">
        <f>+SUM(AW124:AW127)</f>
        <v>1010.6270000000001</v>
      </c>
      <c r="BL128" s="1482"/>
    </row>
    <row r="129" spans="1:64" hidden="1" outlineLevel="1">
      <c r="A129" s="132"/>
      <c r="B129" s="174"/>
      <c r="C129" s="132"/>
      <c r="D129" s="256"/>
      <c r="E129" s="256"/>
      <c r="F129" s="256"/>
      <c r="G129" s="256"/>
      <c r="H129" s="132"/>
      <c r="I129" s="132"/>
      <c r="J129" s="132"/>
      <c r="K129" s="132"/>
      <c r="L129" s="132"/>
      <c r="M129" s="132"/>
      <c r="N129" s="132"/>
      <c r="O129" s="230"/>
      <c r="P129" s="132"/>
      <c r="Q129" s="132"/>
      <c r="R129" s="132"/>
      <c r="S129" s="132"/>
      <c r="T129" s="132"/>
      <c r="U129" s="132"/>
      <c r="V129" s="132"/>
      <c r="W129" s="132"/>
      <c r="X129" s="132"/>
      <c r="Y129" s="132"/>
      <c r="Z129" s="132"/>
      <c r="AA129" s="132"/>
      <c r="AB129" s="132"/>
      <c r="AC129" s="132"/>
      <c r="AD129" s="230"/>
      <c r="AE129" s="132"/>
      <c r="AF129" s="132"/>
      <c r="AG129" s="132"/>
      <c r="AH129" s="132"/>
      <c r="AI129" s="132"/>
      <c r="AJ129" s="132"/>
      <c r="AK129" s="132"/>
      <c r="AL129" s="132"/>
      <c r="AM129" s="132"/>
      <c r="AN129" s="145"/>
      <c r="AO129" s="967"/>
      <c r="AP129" s="967"/>
      <c r="AQ129" s="145"/>
      <c r="AR129" s="967"/>
      <c r="AT129" s="132"/>
      <c r="AU129" s="132"/>
      <c r="AV129" s="132"/>
      <c r="AW129" s="132"/>
      <c r="BL129" s="1482"/>
    </row>
    <row r="130" spans="1:64" hidden="1" outlineLevel="1">
      <c r="A130" s="256"/>
      <c r="B130" s="876">
        <f>+B123+1</f>
        <v>2007</v>
      </c>
      <c r="C130" s="132"/>
      <c r="D130" s="256"/>
      <c r="E130" s="256"/>
      <c r="F130" s="256"/>
      <c r="G130" s="256"/>
      <c r="H130" s="132"/>
      <c r="I130" s="132"/>
      <c r="J130" s="132"/>
      <c r="K130" s="132"/>
      <c r="L130" s="132"/>
      <c r="M130" s="132"/>
      <c r="N130" s="132"/>
      <c r="O130" s="230"/>
      <c r="P130" s="132"/>
      <c r="Q130" s="132"/>
      <c r="R130" s="132"/>
      <c r="S130" s="132"/>
      <c r="T130" s="132"/>
      <c r="U130" s="132"/>
      <c r="V130" s="132"/>
      <c r="W130" s="132"/>
      <c r="X130" s="132"/>
      <c r="Y130" s="132"/>
      <c r="Z130" s="132"/>
      <c r="AA130" s="132"/>
      <c r="AB130" s="132"/>
      <c r="AC130" s="132"/>
      <c r="AD130" s="230"/>
      <c r="AE130" s="132"/>
      <c r="AF130" s="132"/>
      <c r="AG130" s="132"/>
      <c r="AH130" s="132"/>
      <c r="AI130" s="132"/>
      <c r="AJ130" s="132"/>
      <c r="AK130" s="132"/>
      <c r="AL130" s="132"/>
      <c r="AM130" s="132"/>
      <c r="AN130" s="145"/>
      <c r="AO130" s="967"/>
      <c r="AP130" s="967"/>
      <c r="AQ130" s="145"/>
      <c r="AR130" s="967"/>
      <c r="AT130" s="132"/>
      <c r="AU130" s="164"/>
      <c r="AV130" s="132"/>
      <c r="AW130" s="132"/>
      <c r="BL130" s="1482"/>
    </row>
    <row r="131" spans="1:64" hidden="1" outlineLevel="1">
      <c r="A131" s="256" t="str">
        <f>$A$40</f>
        <v>1Q</v>
      </c>
      <c r="B131" s="302" t="str">
        <f>$B$40</f>
        <v>Apr</v>
      </c>
      <c r="C131" s="256"/>
      <c r="D131" s="288">
        <f>(R131/R124-1)*100</f>
        <v>21.904056385465577</v>
      </c>
      <c r="E131" s="643" t="s">
        <v>1970</v>
      </c>
      <c r="F131" s="265">
        <f>+'qtrP&amp;L'!BX10</f>
        <v>9</v>
      </c>
      <c r="G131" s="643" t="s">
        <v>1970</v>
      </c>
      <c r="H131" s="288">
        <f>+D131-F131</f>
        <v>12.904056385465577</v>
      </c>
      <c r="I131" s="643" t="s">
        <v>1970</v>
      </c>
      <c r="J131" s="725">
        <f>Stores!D149+Stores!AX149</f>
        <v>172</v>
      </c>
      <c r="K131" s="256"/>
      <c r="L131" s="811">
        <f>AVERAGE(J131,J127)</f>
        <v>169.5</v>
      </c>
      <c r="M131" s="256"/>
      <c r="N131" s="288">
        <f>(L131/L124-1)*100</f>
        <v>9.3548387096774164</v>
      </c>
      <c r="O131" s="643" t="s">
        <v>1970</v>
      </c>
      <c r="P131" s="259">
        <f>H131/N131*100</f>
        <v>137.93991308601139</v>
      </c>
      <c r="Q131" s="587" t="s">
        <v>1970</v>
      </c>
      <c r="R131" s="141">
        <f>'qtrP&amp;L'!BV10-AQ131</f>
        <v>579.98700000000008</v>
      </c>
      <c r="S131" s="238"/>
      <c r="T131" s="813">
        <f>R131/L131</f>
        <v>3.4217522123893809</v>
      </c>
      <c r="U131" s="256"/>
      <c r="V131" s="814">
        <f>(T131/T124-1)*100</f>
        <v>11.475685780219248</v>
      </c>
      <c r="W131" s="643" t="s">
        <v>1970</v>
      </c>
      <c r="X131" s="256"/>
      <c r="Y131" s="236">
        <f>Stores!G149+Stores!AH149</f>
        <v>0.80574174757281547</v>
      </c>
      <c r="Z131" s="256" t="s">
        <v>505</v>
      </c>
      <c r="AA131" s="816">
        <f>AVERAGE(Y131,Y127)</f>
        <v>0.79887087378640775</v>
      </c>
      <c r="AB131" s="256"/>
      <c r="AC131" s="288">
        <f>(AA131/AA124-1)*100</f>
        <v>6.7295756561666975</v>
      </c>
      <c r="AD131" s="643" t="s">
        <v>1970</v>
      </c>
      <c r="AE131" s="812">
        <f>+H131/AC131*100</f>
        <v>191.75141264131338</v>
      </c>
      <c r="AF131" s="587" t="s">
        <v>1970</v>
      </c>
      <c r="AG131" s="296">
        <f>+R131</f>
        <v>579.98700000000008</v>
      </c>
      <c r="AH131" s="256" t="s">
        <v>505</v>
      </c>
      <c r="AI131" s="817">
        <f>AG131/AA131</f>
        <v>726.00844395670117</v>
      </c>
      <c r="AJ131" s="256"/>
      <c r="AK131" s="814">
        <f>(AI131/AI124-1)*100</f>
        <v>14.217690491138125</v>
      </c>
      <c r="AL131" s="643" t="s">
        <v>1970</v>
      </c>
      <c r="AM131" s="643"/>
      <c r="AN131" s="145">
        <f>'segSales&amp;comps'!AM133</f>
        <v>33.295999999999999</v>
      </c>
      <c r="AO131" s="969">
        <f>'segSales&amp;comps'!AN133</f>
        <v>11.145975898788251</v>
      </c>
      <c r="AP131" s="969"/>
      <c r="AQ131" s="145">
        <f>'segSales&amp;comps'!AR133</f>
        <v>15.742000000000001</v>
      </c>
      <c r="AR131" s="969">
        <f>'segSales&amp;comps'!AS133</f>
        <v>63.542023235250689</v>
      </c>
      <c r="AS131" s="256"/>
      <c r="AT131" s="315">
        <f>+R131-AU131</f>
        <v>33.296000000000049</v>
      </c>
      <c r="AU131" s="977">
        <f>+AV131+AW131</f>
        <v>546.69100000000003</v>
      </c>
      <c r="AV131" s="296">
        <f>+SeqQtrSales!V131</f>
        <v>298.68400000000003</v>
      </c>
      <c r="AW131" s="296">
        <f>+SeqQtrSales!V312</f>
        <v>248.00700000000001</v>
      </c>
      <c r="BA131" s="1815">
        <f>'segSales&amp;comps'!E159/'segSales&amp;comps'!$AW159</f>
        <v>0.59313714793135797</v>
      </c>
      <c r="BB131" s="1815">
        <f>'segSales&amp;comps'!Q159/'segSales&amp;comps'!$AW159</f>
        <v>0.30734444688776269</v>
      </c>
      <c r="BC131" s="1815">
        <f>'segSales&amp;comps'!W159/'segSales&amp;comps'!$AW159</f>
        <v>0.18605597184810099</v>
      </c>
      <c r="BD131" s="1815">
        <f>'segSales&amp;comps'!AG159/'segSales&amp;comps'!$AW159</f>
        <v>7.3093638214691573E-2</v>
      </c>
      <c r="BL131" s="1482"/>
    </row>
    <row r="132" spans="1:64" hidden="1" outlineLevel="1">
      <c r="A132" s="256" t="str">
        <f>$A$41</f>
        <v>2Q</v>
      </c>
      <c r="B132" s="302" t="str">
        <f>$B$41</f>
        <v>Jul</v>
      </c>
      <c r="C132" s="256"/>
      <c r="D132" s="288">
        <f>(R132/R125-1)*100</f>
        <v>25.944334163969728</v>
      </c>
      <c r="E132" s="256"/>
      <c r="F132" s="265">
        <f>+'qtrP&amp;L'!BX11</f>
        <v>13</v>
      </c>
      <c r="G132" s="256"/>
      <c r="H132" s="288">
        <f>+D132-F132</f>
        <v>12.944334163969728</v>
      </c>
      <c r="I132" s="256"/>
      <c r="J132" s="725">
        <f>Stores!D150+Stores!AX150</f>
        <v>175</v>
      </c>
      <c r="K132" s="256"/>
      <c r="L132" s="811">
        <f>AVERAGE(J132,J131)</f>
        <v>173.5</v>
      </c>
      <c r="M132" s="256"/>
      <c r="N132" s="288">
        <f>(L132/L125-1)*100</f>
        <v>10.862619808306718</v>
      </c>
      <c r="O132" s="643"/>
      <c r="P132" s="812">
        <f>H132/N132*100</f>
        <v>119.16401745066241</v>
      </c>
      <c r="Q132" s="587"/>
      <c r="R132" s="142">
        <f>'qtrP&amp;L'!BV11-AQ132</f>
        <v>644.46199999999999</v>
      </c>
      <c r="S132" s="238"/>
      <c r="T132" s="818">
        <f>R132/L132</f>
        <v>3.7144783861671469</v>
      </c>
      <c r="U132" s="256"/>
      <c r="V132" s="814">
        <f>(T132/T125-1)*100</f>
        <v>13.60396712773062</v>
      </c>
      <c r="W132" s="643"/>
      <c r="X132" s="256"/>
      <c r="Y132" s="236">
        <f>Stores!G150+Stores!AH150</f>
        <v>0.80814174757281554</v>
      </c>
      <c r="Z132" s="238"/>
      <c r="AA132" s="816">
        <f>AVERAGE(Y132,Y131)</f>
        <v>0.80694174757281556</v>
      </c>
      <c r="AB132" s="256"/>
      <c r="AC132" s="288">
        <f>(AA132/AA125-1)*100</f>
        <v>7.0356476419704883</v>
      </c>
      <c r="AD132" s="643"/>
      <c r="AE132" s="812">
        <f>+H132/AC132*100</f>
        <v>183.98212677325583</v>
      </c>
      <c r="AF132" s="587"/>
      <c r="AG132" s="315">
        <f>+R132</f>
        <v>644.46199999999999</v>
      </c>
      <c r="AH132" s="256"/>
      <c r="AI132" s="819">
        <f>AG132/AA132</f>
        <v>798.64748841965945</v>
      </c>
      <c r="AJ132" s="256"/>
      <c r="AK132" s="814">
        <f>(AI132/AI125-1)*100</f>
        <v>17.665784192989541</v>
      </c>
      <c r="AL132" s="643"/>
      <c r="AM132" s="643"/>
      <c r="AN132" s="145">
        <f>'segSales&amp;comps'!AM134</f>
        <v>40.103000000000002</v>
      </c>
      <c r="AO132" s="969">
        <f>'segSales&amp;comps'!AN134</f>
        <v>12.201331766549162</v>
      </c>
      <c r="AP132" s="969"/>
      <c r="AQ132" s="145">
        <f>'segSales&amp;comps'!AR134</f>
        <v>18.100000000000001</v>
      </c>
      <c r="AR132" s="969">
        <f>'segSales&amp;comps'!AS134</f>
        <v>150.99999999999997</v>
      </c>
      <c r="AS132" s="256"/>
      <c r="AT132" s="315">
        <f>+R132-AU132</f>
        <v>40.102999999999952</v>
      </c>
      <c r="AU132" s="974">
        <f>+AV132+AW132</f>
        <v>604.35900000000004</v>
      </c>
      <c r="AV132" s="315">
        <f>+SeqQtrSales!V132</f>
        <v>345.33600000000001</v>
      </c>
      <c r="AW132" s="315">
        <f>+SeqQtrSales!V313</f>
        <v>259.02300000000002</v>
      </c>
      <c r="BA132" s="1815">
        <f>'segSales&amp;comps'!E160/'segSales&amp;comps'!$AW160</f>
        <v>0.61721167226614271</v>
      </c>
      <c r="BB132" s="1815">
        <f>'segSales&amp;comps'!Q160/'segSales&amp;comps'!$AW160</f>
        <v>0.27614321376716444</v>
      </c>
      <c r="BC132" s="1815">
        <f>'segSales&amp;comps'!W160/'segSales&amp;comps'!$AW160</f>
        <v>0.15978693314738845</v>
      </c>
      <c r="BD132" s="1815">
        <f>'segSales&amp;comps'!AG160/'segSales&amp;comps'!$AW160</f>
        <v>7.932691582070811E-2</v>
      </c>
      <c r="BL132" s="1482"/>
    </row>
    <row r="133" spans="1:64" hidden="1" outlineLevel="1">
      <c r="A133" s="256" t="str">
        <f>$A$42</f>
        <v>3Q</v>
      </c>
      <c r="B133" s="302" t="str">
        <f>$B$42</f>
        <v>Oct</v>
      </c>
      <c r="C133" s="256"/>
      <c r="D133" s="288">
        <f>(R133/R126-1)*100</f>
        <v>27.050716023037079</v>
      </c>
      <c r="E133" s="256"/>
      <c r="F133" s="390">
        <f>+'qtrP&amp;L'!BX12</f>
        <v>9</v>
      </c>
      <c r="G133" s="256"/>
      <c r="H133" s="288">
        <f>+D133-F133</f>
        <v>18.050716023037079</v>
      </c>
      <c r="I133" s="256"/>
      <c r="J133" s="725">
        <f>Stores!D151+Stores!AX151</f>
        <v>186</v>
      </c>
      <c r="K133" s="238"/>
      <c r="L133" s="811">
        <f>AVERAGE(J133,J132)</f>
        <v>180.5</v>
      </c>
      <c r="M133" s="256"/>
      <c r="N133" s="288">
        <f>(L133/L126-1)*100</f>
        <v>12.461059190031154</v>
      </c>
      <c r="O133" s="643"/>
      <c r="P133" s="812">
        <f>H133/N133*100</f>
        <v>144.85699608487255</v>
      </c>
      <c r="Q133" s="587"/>
      <c r="R133" s="142">
        <f>'qtrP&amp;L'!BV12-AQ133</f>
        <v>604.89099999999996</v>
      </c>
      <c r="S133" s="256"/>
      <c r="T133" s="818">
        <f>R133/L133</f>
        <v>3.3511966759002769</v>
      </c>
      <c r="U133" s="256"/>
      <c r="V133" s="814">
        <f>(T133/T126-1)*100</f>
        <v>12.973074358434644</v>
      </c>
      <c r="W133" s="643"/>
      <c r="X133" s="256"/>
      <c r="Y133" s="236">
        <f>Stores!G151+Stores!AH151</f>
        <v>0.84330873786407756</v>
      </c>
      <c r="Z133" s="238"/>
      <c r="AA133" s="816">
        <f>AVERAGE(Y133,Y132)</f>
        <v>0.82572524271844649</v>
      </c>
      <c r="AB133" s="256"/>
      <c r="AC133" s="288">
        <f>(AA133/AA126-1)*100</f>
        <v>7.4463555912096968</v>
      </c>
      <c r="AD133" s="643"/>
      <c r="AE133" s="812">
        <f>+H133/AC133*100</f>
        <v>242.41007298047461</v>
      </c>
      <c r="AF133" s="587"/>
      <c r="AG133" s="315">
        <f>+R133</f>
        <v>604.89099999999996</v>
      </c>
      <c r="AH133" s="256"/>
      <c r="AI133" s="819">
        <f>AG133/AA133</f>
        <v>732.55723418189609</v>
      </c>
      <c r="AJ133" s="256"/>
      <c r="AK133" s="814">
        <f>(AI133/AI126-1)*100</f>
        <v>18.245719293089955</v>
      </c>
      <c r="AL133" s="643"/>
      <c r="AM133" s="643"/>
      <c r="AN133" s="145">
        <f>'segSales&amp;comps'!AM135</f>
        <v>31.373000000000001</v>
      </c>
      <c r="AO133" s="969">
        <f>'segSales&amp;comps'!AN135</f>
        <v>3.513923716510492</v>
      </c>
      <c r="AP133" s="969"/>
      <c r="AQ133" s="145">
        <f>'segSales&amp;comps'!AR135</f>
        <v>22.431999999999999</v>
      </c>
      <c r="AR133" s="969">
        <f>'segSales&amp;comps'!AS135</f>
        <v>-11.768407803650094</v>
      </c>
      <c r="AS133" s="256"/>
      <c r="AT133" s="315">
        <f>+R133-AU133</f>
        <v>31.372999999999934</v>
      </c>
      <c r="AU133" s="974">
        <f>+AV133+AW133</f>
        <v>573.51800000000003</v>
      </c>
      <c r="AV133" s="315">
        <f>+SeqQtrSales!V133</f>
        <v>302.673</v>
      </c>
      <c r="AW133" s="315">
        <f>+SeqQtrSales!V314</f>
        <v>270.84500000000003</v>
      </c>
      <c r="BA133" s="1815">
        <f>'segSales&amp;comps'!E161/'segSales&amp;comps'!$AW161</f>
        <v>0.56644822523644123</v>
      </c>
      <c r="BB133" s="1815">
        <f>'segSales&amp;comps'!Q161/'segSales&amp;comps'!$AW161</f>
        <v>0.31797016847780174</v>
      </c>
      <c r="BC133" s="1815">
        <f>'segSales&amp;comps'!W161/'segSales&amp;comps'!$AW161</f>
        <v>0.17923086442607147</v>
      </c>
      <c r="BD133" s="1815">
        <f>'segSales&amp;comps'!AG161/'segSales&amp;comps'!$AW161</f>
        <v>7.9823312711314598E-2</v>
      </c>
      <c r="BL133" s="1482"/>
    </row>
    <row r="134" spans="1:64" hidden="1" outlineLevel="1">
      <c r="A134" s="256" t="str">
        <f>$A$43</f>
        <v>4Q</v>
      </c>
      <c r="B134" s="302" t="str">
        <f>$B$43</f>
        <v>Jan</v>
      </c>
      <c r="C134" s="256"/>
      <c r="D134" s="176">
        <f>(R134/R127-1)*100</f>
        <v>23.825373993788656</v>
      </c>
      <c r="E134" s="256"/>
      <c r="F134" s="385">
        <f>+'qtrP&amp;L'!BX13</f>
        <v>1</v>
      </c>
      <c r="G134" s="256"/>
      <c r="H134" s="318">
        <f>+D134-F134</f>
        <v>22.825373993788656</v>
      </c>
      <c r="I134" s="256"/>
      <c r="J134" s="725">
        <f>Stores!D152+Stores!AX152</f>
        <v>184</v>
      </c>
      <c r="K134" s="238"/>
      <c r="L134" s="820">
        <f>AVERAGE(J134,J133)</f>
        <v>185</v>
      </c>
      <c r="M134" s="256"/>
      <c r="N134" s="318">
        <f>(L134/L127-1)*100</f>
        <v>11.782477341389729</v>
      </c>
      <c r="O134" s="643"/>
      <c r="P134" s="820">
        <f>H134/N134*100</f>
        <v>193.7230459472832</v>
      </c>
      <c r="Q134" s="587"/>
      <c r="R134" s="146">
        <f>'qtrP&amp;L'!BV13-AQ134</f>
        <v>1027.867</v>
      </c>
      <c r="S134" s="256"/>
      <c r="T134" s="821">
        <f>R134/L134</f>
        <v>5.5560378378378372</v>
      </c>
      <c r="U134" s="256"/>
      <c r="V134" s="298">
        <f>(T134/T127-1)*100</f>
        <v>10.77351024849742</v>
      </c>
      <c r="W134" s="643"/>
      <c r="X134" s="256"/>
      <c r="Y134" s="1018">
        <f>Stores!G152+Stores!AH152</f>
        <v>0.8600000000000001</v>
      </c>
      <c r="Z134" s="238"/>
      <c r="AA134" s="822">
        <f>AVERAGE(Y134,Y133)</f>
        <v>0.85165436893203883</v>
      </c>
      <c r="AB134" s="256"/>
      <c r="AC134" s="318">
        <f>(AA134/AA127-1)*100</f>
        <v>8.2703240442459691</v>
      </c>
      <c r="AD134" s="643"/>
      <c r="AE134" s="820">
        <f>+H134/AC134*100</f>
        <v>275.99128972061595</v>
      </c>
      <c r="AF134" s="587"/>
      <c r="AG134" s="316">
        <f>+R134</f>
        <v>1027.867</v>
      </c>
      <c r="AH134" s="256"/>
      <c r="AI134" s="823">
        <f>AG134/AA134</f>
        <v>1206.9062726572154</v>
      </c>
      <c r="AJ134" s="256"/>
      <c r="AK134" s="298">
        <f>(AI134/AI127-1)*100</f>
        <v>14.366863761473493</v>
      </c>
      <c r="AL134" s="643"/>
      <c r="AM134" s="643"/>
      <c r="AN134" s="176">
        <f>'segSales&amp;comps'!AM136</f>
        <v>77.355000000000004</v>
      </c>
      <c r="AO134" s="969">
        <f>'segSales&amp;comps'!AN136</f>
        <v>-0.91711390913398194</v>
      </c>
      <c r="AP134" s="969"/>
      <c r="AQ134" s="145">
        <f>'segSales&amp;comps'!AR136</f>
        <v>25.29</v>
      </c>
      <c r="AR134" s="969">
        <f>'segSales&amp;comps'!AS136</f>
        <v>-50.13997870746423</v>
      </c>
      <c r="AS134" s="256"/>
      <c r="AT134" s="315">
        <f>+R134-AU134</f>
        <v>77.354999999999905</v>
      </c>
      <c r="AU134" s="974">
        <f>+AV134+AW134</f>
        <v>950.51200000000006</v>
      </c>
      <c r="AV134" s="315">
        <f>+SeqQtrSales!V134</f>
        <v>527.94500000000005</v>
      </c>
      <c r="AW134" s="315">
        <f>+SeqQtrSales!V315</f>
        <v>422.56700000000001</v>
      </c>
      <c r="BA134" s="1815">
        <f>'segSales&amp;comps'!E162/'segSales&amp;comps'!$AW162</f>
        <v>0.60981695986448359</v>
      </c>
      <c r="BB134" s="1815">
        <f>'segSales&amp;comps'!Q162/'segSales&amp;comps'!$AW162</f>
        <v>0.27368474026189832</v>
      </c>
      <c r="BC134" s="1815">
        <f>'segSales&amp;comps'!W162/'segSales&amp;comps'!$AW162</f>
        <v>0.16077393238395823</v>
      </c>
      <c r="BD134" s="1815">
        <f>'segSales&amp;comps'!AG162/'segSales&amp;comps'!$AW162</f>
        <v>9.2484786218958809E-2</v>
      </c>
      <c r="BL134" s="1482"/>
    </row>
    <row r="135" spans="1:64" hidden="1" outlineLevel="1">
      <c r="A135" s="256"/>
      <c r="B135" s="302" t="str">
        <f>$B$44</f>
        <v>Year</v>
      </c>
      <c r="C135" s="256"/>
      <c r="D135" s="288">
        <f>(R135/R128-1)*100</f>
        <v>24.569054555456702</v>
      </c>
      <c r="E135" s="256"/>
      <c r="F135" s="824">
        <f>R131/R135*F131+R132/R135*F132+R133/R135*F133+R134/R135*F134</f>
        <v>7.0242635552831834</v>
      </c>
      <c r="G135" s="256"/>
      <c r="H135" s="288">
        <f>D135-F135</f>
        <v>17.544791000173518</v>
      </c>
      <c r="I135" s="256"/>
      <c r="J135" s="725"/>
      <c r="K135" s="256"/>
      <c r="L135" s="811">
        <f>AVERAGE(L131:L134)</f>
        <v>177.125</v>
      </c>
      <c r="M135" s="256"/>
      <c r="N135" s="288">
        <f>(L135/L128-1)*100</f>
        <v>11.13725490196078</v>
      </c>
      <c r="O135" s="643"/>
      <c r="P135" s="812">
        <f>H135/N135*100</f>
        <v>157.53245440296649</v>
      </c>
      <c r="Q135" s="587"/>
      <c r="R135" s="141">
        <f>SUM(R131:R134)</f>
        <v>2857.2070000000003</v>
      </c>
      <c r="S135" s="256"/>
      <c r="T135" s="813">
        <f>SUM(T131:T134)</f>
        <v>16.043465112294644</v>
      </c>
      <c r="U135" s="256"/>
      <c r="V135" s="814">
        <f>(T135/T128-1)*100</f>
        <v>12.025827878064277</v>
      </c>
      <c r="W135" s="643"/>
      <c r="X135" s="256"/>
      <c r="Y135" s="236"/>
      <c r="Z135" s="256"/>
      <c r="AA135" s="816">
        <f>AVERAGE(AA131:AA134)</f>
        <v>0.82079805825242724</v>
      </c>
      <c r="AB135" s="256"/>
      <c r="AC135" s="288">
        <f>(AA135/AA128-1)*100</f>
        <v>7.3815938842096029</v>
      </c>
      <c r="AD135" s="643"/>
      <c r="AE135" s="812">
        <f>+H135/AC135*100</f>
        <v>237.68296218117069</v>
      </c>
      <c r="AF135" s="587"/>
      <c r="AG135" s="296">
        <f>SUM(AG131:AG134)</f>
        <v>2857.2070000000003</v>
      </c>
      <c r="AH135" s="256"/>
      <c r="AI135" s="244">
        <f>AG135/AA135</f>
        <v>3481.0109152588884</v>
      </c>
      <c r="AJ135" s="256"/>
      <c r="AK135" s="814">
        <f>(AI135/AI128-1)*100</f>
        <v>16.005965314484392</v>
      </c>
      <c r="AL135" s="643"/>
      <c r="AM135" s="643"/>
      <c r="AN135" s="145">
        <f>'segSales&amp;comps'!AM137</f>
        <v>182.12700000000001</v>
      </c>
      <c r="AO135" s="969">
        <f>'segSales&amp;comps'!AN137</f>
        <v>4.6237893358149762</v>
      </c>
      <c r="AP135" s="969"/>
      <c r="AQ135" s="145">
        <f>'segSales&amp;comps'!AR137</f>
        <v>81.563999999999993</v>
      </c>
      <c r="AR135" s="969">
        <f>'segSales&amp;comps'!AS137</f>
        <v>-12.280565830759082</v>
      </c>
      <c r="AS135" s="256"/>
      <c r="AT135" s="315">
        <f>+R135-AU135</f>
        <v>182.12699999999995</v>
      </c>
      <c r="AU135" s="975">
        <f>+SUM(AU131:AU134)</f>
        <v>2675.0800000000004</v>
      </c>
      <c r="AV135" s="976">
        <f>+SUM(AV131:AV134)</f>
        <v>1474.6379999999999</v>
      </c>
      <c r="AW135" s="976">
        <f>+SUM(AW131:AW134)</f>
        <v>1200.442</v>
      </c>
      <c r="BA135" s="1815">
        <f>'segSales&amp;comps'!E163/'segSales&amp;comps'!$AW163</f>
        <v>0.5988452315610846</v>
      </c>
      <c r="BB135" s="1815">
        <f>'segSales&amp;comps'!Q163/'segSales&amp;comps'!$AW163</f>
        <v>0.29051566113861887</v>
      </c>
      <c r="BC135" s="1815">
        <f>'segSales&amp;comps'!W163/'segSales&amp;comps'!$AW163</f>
        <v>0.16961632053846529</v>
      </c>
      <c r="BD135" s="1815">
        <f>'segSales&amp;comps'!AG163/'segSales&amp;comps'!$AW163</f>
        <v>8.2884648038244566E-2</v>
      </c>
      <c r="BL135" s="1482"/>
    </row>
    <row r="136" spans="1:64" hidden="1" outlineLevel="1">
      <c r="A136" s="256"/>
      <c r="B136" s="302"/>
      <c r="C136" s="256"/>
      <c r="D136" s="288"/>
      <c r="E136" s="256"/>
      <c r="F136" s="824"/>
      <c r="G136" s="256"/>
      <c r="H136" s="288"/>
      <c r="I136" s="256"/>
      <c r="J136" s="725"/>
      <c r="K136" s="256"/>
      <c r="L136" s="811"/>
      <c r="M136" s="256"/>
      <c r="N136" s="288"/>
      <c r="O136" s="643"/>
      <c r="P136" s="812"/>
      <c r="Q136" s="587"/>
      <c r="R136" s="141"/>
      <c r="S136" s="256"/>
      <c r="T136" s="813"/>
      <c r="U136" s="256"/>
      <c r="V136" s="814"/>
      <c r="W136" s="643"/>
      <c r="X136" s="256"/>
      <c r="Y136" s="236"/>
      <c r="Z136" s="256"/>
      <c r="AA136" s="816"/>
      <c r="AB136" s="256"/>
      <c r="AC136" s="288"/>
      <c r="AD136" s="643"/>
      <c r="AE136" s="812"/>
      <c r="AF136" s="587"/>
      <c r="AG136" s="296"/>
      <c r="AH136" s="256"/>
      <c r="AI136" s="244"/>
      <c r="AJ136" s="256"/>
      <c r="AK136" s="814"/>
      <c r="AL136" s="643"/>
      <c r="AM136" s="643"/>
      <c r="AN136" s="1171"/>
      <c r="AO136" s="969"/>
      <c r="AP136" s="969"/>
      <c r="AQ136" s="145"/>
      <c r="AR136" s="969"/>
      <c r="AS136" s="256"/>
      <c r="AT136" s="315"/>
      <c r="AU136" s="1044"/>
      <c r="AV136" s="976"/>
      <c r="AW136" s="976"/>
      <c r="BL136" s="1482"/>
    </row>
    <row r="137" spans="1:64" hidden="1" outlineLevel="1">
      <c r="A137" s="256"/>
      <c r="B137" s="876">
        <f>+B130+1</f>
        <v>2008</v>
      </c>
      <c r="C137" s="132"/>
      <c r="D137" s="256"/>
      <c r="E137" s="256"/>
      <c r="F137" s="256"/>
      <c r="G137" s="256"/>
      <c r="H137" s="132"/>
      <c r="I137" s="132"/>
      <c r="J137" s="132"/>
      <c r="K137" s="132"/>
      <c r="L137" s="132"/>
      <c r="M137" s="132"/>
      <c r="N137" s="132"/>
      <c r="O137" s="230"/>
      <c r="P137" s="132"/>
      <c r="Q137" s="132"/>
      <c r="R137" s="132"/>
      <c r="S137" s="132"/>
      <c r="T137" s="132"/>
      <c r="U137" s="132"/>
      <c r="V137" s="132"/>
      <c r="W137" s="132"/>
      <c r="X137" s="132"/>
      <c r="Y137" s="132"/>
      <c r="Z137" s="132"/>
      <c r="AA137" s="132"/>
      <c r="AB137" s="132"/>
      <c r="AC137" s="132"/>
      <c r="AD137" s="230"/>
      <c r="AE137" s="132"/>
      <c r="AF137" s="132"/>
      <c r="AG137" s="132"/>
      <c r="AH137" s="132"/>
      <c r="AI137" s="132"/>
      <c r="AJ137" s="132"/>
      <c r="AK137" s="132"/>
      <c r="AL137" s="132"/>
      <c r="AM137" s="132"/>
      <c r="AN137" s="145"/>
      <c r="AO137" s="967"/>
      <c r="AP137" s="967"/>
      <c r="AQ137" s="145"/>
      <c r="AR137" s="967"/>
      <c r="AT137" s="132"/>
      <c r="AU137" s="164"/>
      <c r="AV137" s="132"/>
      <c r="AW137" s="132"/>
      <c r="BK137" s="2034"/>
      <c r="BL137" s="1482"/>
    </row>
    <row r="138" spans="1:64" hidden="1" outlineLevel="1">
      <c r="A138" s="256" t="str">
        <f>$A$40</f>
        <v>1Q</v>
      </c>
      <c r="B138" s="302" t="str">
        <f>$B$40</f>
        <v>Apr</v>
      </c>
      <c r="C138" s="256"/>
      <c r="D138" s="288">
        <f>(R138/R131-1)*100</f>
        <v>5.7844468927751524</v>
      </c>
      <c r="E138" s="643" t="s">
        <v>1970</v>
      </c>
      <c r="F138" s="265">
        <f>'qtrP&amp;L'!CB10</f>
        <v>3</v>
      </c>
      <c r="G138" s="643" t="s">
        <v>1970</v>
      </c>
      <c r="H138" s="288">
        <f>+D138-F138</f>
        <v>2.7844468927751524</v>
      </c>
      <c r="I138" s="643" t="s">
        <v>1970</v>
      </c>
      <c r="J138" s="725">
        <f>Stores!AS240</f>
        <v>192</v>
      </c>
      <c r="K138" s="256"/>
      <c r="L138" s="811">
        <f>AVERAGE(J138,J134)</f>
        <v>188</v>
      </c>
      <c r="M138" s="256"/>
      <c r="N138" s="288">
        <f>(L138/L131-1)*100</f>
        <v>10.914454277286145</v>
      </c>
      <c r="O138" s="643" t="s">
        <v>1970</v>
      </c>
      <c r="P138" s="259">
        <f>H138/N138*100</f>
        <v>25.511553963534482</v>
      </c>
      <c r="Q138" s="587" t="s">
        <v>1970</v>
      </c>
      <c r="R138" s="141">
        <f>'qtrP&amp;L'!BZ10-AQ138-AN138</f>
        <v>613.53603999999996</v>
      </c>
      <c r="S138" s="238"/>
      <c r="T138" s="813">
        <f>R138/L138</f>
        <v>3.263489574468085</v>
      </c>
      <c r="U138" s="256"/>
      <c r="V138" s="814">
        <f>(T138/T131-1)*100</f>
        <v>-4.6251928280564343</v>
      </c>
      <c r="W138" s="643" t="s">
        <v>1970</v>
      </c>
      <c r="X138" s="256"/>
      <c r="Y138" s="236">
        <f>Stores!G156+Stores!AH156</f>
        <v>0.8735560332871013</v>
      </c>
      <c r="Z138" s="256" t="s">
        <v>505</v>
      </c>
      <c r="AA138" s="816">
        <f>AVERAGE(Y138,Y134)</f>
        <v>0.8667780166435507</v>
      </c>
      <c r="AB138" s="256"/>
      <c r="AC138" s="288">
        <f>(AA138/AA131-1)*100</f>
        <v>8.5003903741393891</v>
      </c>
      <c r="AD138" s="643" t="s">
        <v>1970</v>
      </c>
      <c r="AE138" s="812">
        <f>+H138/AC138*100</f>
        <v>32.75669434248848</v>
      </c>
      <c r="AF138" s="587" t="s">
        <v>1970</v>
      </c>
      <c r="AG138" s="296">
        <f>+R138</f>
        <v>613.53603999999996</v>
      </c>
      <c r="AH138" s="256" t="s">
        <v>505</v>
      </c>
      <c r="AI138" s="817">
        <f>AG138/AA138</f>
        <v>707.83525680059711</v>
      </c>
      <c r="AJ138" s="256"/>
      <c r="AK138" s="814">
        <f>(AI138/AI131-1)*100</f>
        <v>-2.5031647093608611</v>
      </c>
      <c r="AL138" s="643" t="s">
        <v>1970</v>
      </c>
      <c r="AM138" s="643"/>
      <c r="AN138" s="145">
        <f>AN131*(1+AO138/100)</f>
        <v>33.628959999999999</v>
      </c>
      <c r="AO138" s="1161">
        <v>1</v>
      </c>
      <c r="AP138" s="969"/>
      <c r="AQ138" s="145">
        <f>'segSales&amp;comps'!AR166</f>
        <v>18.315000000000001</v>
      </c>
      <c r="AR138" s="969">
        <f>(AQ138/AQ131-1)*100</f>
        <v>16.344810062253835</v>
      </c>
      <c r="AS138" s="256"/>
      <c r="AT138" s="315">
        <f>+R138-AU138</f>
        <v>-41.486199371428711</v>
      </c>
      <c r="AU138" s="977">
        <f>+AV138+AW138</f>
        <v>655.02223937142867</v>
      </c>
      <c r="AV138" s="296">
        <f>+SeqQtrSales!V156</f>
        <v>373.565</v>
      </c>
      <c r="AW138" s="296">
        <f>+SeqQtrSales!V319</f>
        <v>281.45723937142861</v>
      </c>
      <c r="BA138" s="1815">
        <f>'segSales&amp;comps'!E166/'segSales&amp;comps'!$AW166</f>
        <v>0.56134669712087515</v>
      </c>
      <c r="BB138" s="1815">
        <f>'segSales&amp;comps'!Q166/'segSales&amp;comps'!$AW166</f>
        <v>0.13684408246679086</v>
      </c>
      <c r="BC138" s="1815">
        <f>'segSales&amp;comps'!W166/'segSales&amp;comps'!$AW166</f>
        <v>0.18820700847508565</v>
      </c>
      <c r="BD138" s="1815">
        <f>'segSales&amp;comps'!AG166/'segSales&amp;comps'!$AW166</f>
        <v>8.6080723688164926E-2</v>
      </c>
      <c r="BF138" s="1815">
        <f>SeqQtrSales!F156/100</f>
        <v>0.01</v>
      </c>
      <c r="BG138" s="1815">
        <f>SeqQtrSales!F343/100</f>
        <v>0.06</v>
      </c>
      <c r="BH138" s="1815">
        <f>SeqQtrSales!F517/100</f>
        <v>0.14000000000000001</v>
      </c>
      <c r="BI138" s="1815">
        <f>SeqQtrSales!F437/100</f>
        <v>0.08</v>
      </c>
      <c r="BK138" s="728">
        <f>SUMPRODUCT(BA131:BD131,BF138:BI138)</f>
        <v>5.6267365408488805E-2</v>
      </c>
      <c r="BL138" s="1482"/>
    </row>
    <row r="139" spans="1:64" hidden="1" outlineLevel="1">
      <c r="A139" s="256" t="str">
        <f>$A$41</f>
        <v>2Q</v>
      </c>
      <c r="B139" s="302" t="str">
        <f>$B$41</f>
        <v>Jul</v>
      </c>
      <c r="C139" s="256"/>
      <c r="D139" s="288">
        <f>(R139/R132-1)*100</f>
        <v>1.8004350915957756</v>
      </c>
      <c r="E139" s="256"/>
      <c r="F139" s="1045">
        <f>'qtrP&amp;L'!CB11</f>
        <v>-1</v>
      </c>
      <c r="G139" s="256"/>
      <c r="H139" s="288">
        <f>+D139-F139</f>
        <v>2.8004350915957756</v>
      </c>
      <c r="I139" s="256"/>
      <c r="J139" s="725">
        <f>Stores!AS241</f>
        <v>196</v>
      </c>
      <c r="K139" s="256"/>
      <c r="L139" s="811">
        <f>AVERAGE(J139,J138)</f>
        <v>194</v>
      </c>
      <c r="M139" s="256"/>
      <c r="N139" s="288">
        <f>(L139/L132-1)*100</f>
        <v>11.815561959654186</v>
      </c>
      <c r="O139" s="643"/>
      <c r="P139" s="812">
        <f>H139/N139*100</f>
        <v>23.701243336188625</v>
      </c>
      <c r="Q139" s="587"/>
      <c r="R139" s="142">
        <f>'qtrP&amp;L'!BZ11-AQ139-AN139</f>
        <v>656.06511999999998</v>
      </c>
      <c r="S139" s="238"/>
      <c r="T139" s="818">
        <f>R139/L139</f>
        <v>3.3817789690721649</v>
      </c>
      <c r="U139" s="256"/>
      <c r="V139" s="814">
        <f>(T139/T132-1)*100</f>
        <v>-8.956827379423359</v>
      </c>
      <c r="W139" s="643"/>
      <c r="X139" s="256"/>
      <c r="Y139" s="236">
        <f>Stores!G157+Stores!AH157</f>
        <v>0.88841040221914014</v>
      </c>
      <c r="Z139" s="238"/>
      <c r="AA139" s="816">
        <f>AVERAGE(Y139,Y138)</f>
        <v>0.88098321775312072</v>
      </c>
      <c r="AB139" s="256"/>
      <c r="AC139" s="288">
        <f>(AA139/AA132-1)*100</f>
        <v>9.1755656964103149</v>
      </c>
      <c r="AD139" s="643"/>
      <c r="AE139" s="812">
        <f>+H139/AC139*100</f>
        <v>30.520571529353969</v>
      </c>
      <c r="AF139" s="587"/>
      <c r="AG139" s="315">
        <f>+R139</f>
        <v>656.06511999999998</v>
      </c>
      <c r="AH139" s="256"/>
      <c r="AI139" s="819">
        <f>AG139/AA139</f>
        <v>744.69650133999505</v>
      </c>
      <c r="AJ139" s="256"/>
      <c r="AK139" s="814">
        <f>(AI139/AI132-1)*100</f>
        <v>-6.7552941519193999</v>
      </c>
      <c r="AL139" s="643"/>
      <c r="AM139" s="643"/>
      <c r="AN139" s="145">
        <f>AN132*(1+AO139/100)</f>
        <v>38.49888</v>
      </c>
      <c r="AO139" s="1161">
        <v>-4</v>
      </c>
      <c r="AP139" s="969"/>
      <c r="AQ139" s="145">
        <f>'segSales&amp;comps'!AR167</f>
        <v>35.07</v>
      </c>
      <c r="AR139" s="969">
        <f>(AQ139/AQ132-1)*100</f>
        <v>93.756906077348063</v>
      </c>
      <c r="AS139" s="256"/>
      <c r="AT139" s="315">
        <f>+R139-AU139</f>
        <v>-59.543934379723623</v>
      </c>
      <c r="AU139" s="974">
        <f>+AV139+AW139</f>
        <v>715.6090543797236</v>
      </c>
      <c r="AV139" s="315">
        <f>+SeqQtrSales!V157</f>
        <v>422.40600000000001</v>
      </c>
      <c r="AW139" s="315">
        <f>+SeqQtrSales!V320</f>
        <v>293.2030543797236</v>
      </c>
      <c r="BA139" s="1815">
        <f>'segSales&amp;comps'!E167/'segSales&amp;comps'!$AW167</f>
        <v>0.5789286135240409</v>
      </c>
      <c r="BB139" s="1815">
        <f>'segSales&amp;comps'!Q167/'segSales&amp;comps'!$AW167</f>
        <v>0.12029455864172998</v>
      </c>
      <c r="BC139" s="1815">
        <f>'segSales&amp;comps'!W167/'segSales&amp;comps'!$AW167</f>
        <v>0.16251024486249271</v>
      </c>
      <c r="BD139" s="1815">
        <f>'segSales&amp;comps'!AG167/'segSales&amp;comps'!$AW167</f>
        <v>9.0201388641428445E-2</v>
      </c>
      <c r="BF139" s="1815">
        <f>SeqQtrSales!F157/100</f>
        <v>0</v>
      </c>
      <c r="BG139" s="1815">
        <f>SeqQtrSales!F344/100</f>
        <v>0.05</v>
      </c>
      <c r="BH139" s="1815">
        <f>SeqQtrSales!F518/100</f>
        <v>0.14000000000000001</v>
      </c>
      <c r="BI139" s="1815">
        <f>SeqQtrSales!F438/100</f>
        <v>0.06</v>
      </c>
      <c r="BK139" s="728">
        <f>SUMPRODUCT(BA132:BD132,BF139:BI139)</f>
        <v>4.093694627823509E-2</v>
      </c>
      <c r="BL139" s="1482"/>
    </row>
    <row r="140" spans="1:64" hidden="1" outlineLevel="1">
      <c r="A140" s="256" t="str">
        <f>$A$42</f>
        <v>3Q</v>
      </c>
      <c r="B140" s="302" t="str">
        <f>$B$42</f>
        <v>Oct</v>
      </c>
      <c r="C140" s="256"/>
      <c r="D140" s="288">
        <f>(R140/R133-1)*100</f>
        <v>-7.9777827740865508</v>
      </c>
      <c r="E140" s="256"/>
      <c r="F140" s="1046">
        <f>'qtrP&amp;L'!CB12</f>
        <v>-7</v>
      </c>
      <c r="G140" s="256"/>
      <c r="H140" s="288">
        <f>+D140-F140</f>
        <v>-0.97778277408655079</v>
      </c>
      <c r="I140" s="256"/>
      <c r="J140" s="725">
        <f>Stores!AS242</f>
        <v>204</v>
      </c>
      <c r="K140" s="238"/>
      <c r="L140" s="811">
        <f>AVERAGE(J140,J139)</f>
        <v>200</v>
      </c>
      <c r="M140" s="256"/>
      <c r="N140" s="288">
        <f>(L140/L133-1)*100</f>
        <v>10.803324099723</v>
      </c>
      <c r="O140" s="643"/>
      <c r="P140" s="812">
        <f>H140/N140*100</f>
        <v>-9.0507584985960143</v>
      </c>
      <c r="Q140" s="587"/>
      <c r="R140" s="142">
        <f>'qtrP&amp;L'!BZ12-AQ140-AN140</f>
        <v>556.63411000000008</v>
      </c>
      <c r="S140" s="256"/>
      <c r="T140" s="818">
        <f>R140/L140</f>
        <v>2.7831705500000004</v>
      </c>
      <c r="U140" s="256"/>
      <c r="V140" s="814">
        <f>(T140/T133-1)*100</f>
        <v>-16.949948953613113</v>
      </c>
      <c r="W140" s="643"/>
      <c r="X140" s="256"/>
      <c r="Y140" s="236">
        <f>Stores!G158+Stores!AH158</f>
        <v>0.93567739251040227</v>
      </c>
      <c r="Z140" s="238"/>
      <c r="AA140" s="816">
        <f>AVERAGE(Y140,Y139)</f>
        <v>0.91204389736477121</v>
      </c>
      <c r="AB140" s="256"/>
      <c r="AC140" s="288">
        <f>(AA140/AA133-1)*100</f>
        <v>10.453677589187782</v>
      </c>
      <c r="AD140" s="643"/>
      <c r="AE140" s="812">
        <f>+H140/AC140*100</f>
        <v>-9.353481258096858</v>
      </c>
      <c r="AF140" s="587"/>
      <c r="AG140" s="315">
        <f>+R140</f>
        <v>556.63411000000008</v>
      </c>
      <c r="AH140" s="256"/>
      <c r="AI140" s="819">
        <f>AG140/AA140</f>
        <v>610.31504251968556</v>
      </c>
      <c r="AJ140" s="256"/>
      <c r="AK140" s="814">
        <f>(AI140/AI133-1)*100</f>
        <v>-16.687049961185341</v>
      </c>
      <c r="AL140" s="643"/>
      <c r="AM140" s="643"/>
      <c r="AN140" s="145">
        <f>AN133*(1+AO140/100)</f>
        <v>29.17689</v>
      </c>
      <c r="AO140" s="1161">
        <v>-7</v>
      </c>
      <c r="AP140" s="969"/>
      <c r="AQ140" s="145">
        <f>'segSales&amp;comps'!AR168</f>
        <v>30.341000000000001</v>
      </c>
      <c r="AR140" s="969">
        <f>(AQ140/AQ133-1)*100</f>
        <v>35.257667617689023</v>
      </c>
      <c r="AS140" s="256"/>
      <c r="AT140" s="315">
        <f>+R140-AU140</f>
        <v>-82.84686633333331</v>
      </c>
      <c r="AU140" s="974">
        <f>+AV140+AW140</f>
        <v>639.48097633333339</v>
      </c>
      <c r="AV140" s="315">
        <f>+SeqQtrSales!V158</f>
        <v>331.78300000000002</v>
      </c>
      <c r="AW140" s="315">
        <f>+SeqQtrSales!V321</f>
        <v>307.69797633333337</v>
      </c>
      <c r="BA140" s="1815">
        <f>'segSales&amp;comps'!E168/'segSales&amp;comps'!$AW168</f>
        <v>0.53847589555823883</v>
      </c>
      <c r="BB140" s="1815">
        <f>'segSales&amp;comps'!Q168/'segSales&amp;comps'!$AW168</f>
        <v>0.13804385930744362</v>
      </c>
      <c r="BC140" s="1815">
        <f>'segSales&amp;comps'!W168/'segSales&amp;comps'!$AW168</f>
        <v>0.18430517145120034</v>
      </c>
      <c r="BD140" s="1815">
        <f>'segSales&amp;comps'!AG168/'segSales&amp;comps'!$AW168</f>
        <v>8.9932354354120406E-2</v>
      </c>
      <c r="BF140" s="1815">
        <f>SeqQtrSales!F158/100</f>
        <v>-0.01</v>
      </c>
      <c r="BG140" s="1815">
        <f>SeqQtrSales!F345/100</f>
        <v>-0.02</v>
      </c>
      <c r="BH140" s="1815">
        <f>SeqQtrSales!F519/100</f>
        <v>0.09</v>
      </c>
      <c r="BI140" s="1815">
        <f>SeqQtrSales!F439/100</f>
        <v>-0.08</v>
      </c>
      <c r="BK140" s="728">
        <f>SUMPRODUCT(BA133:BD133,BF140:BI140)</f>
        <v>-2.2789728404791825E-3</v>
      </c>
      <c r="BL140" s="1482"/>
    </row>
    <row r="141" spans="1:64" hidden="1" outlineLevel="1">
      <c r="A141" s="256" t="str">
        <f>$A$43</f>
        <v>4Q</v>
      </c>
      <c r="B141" s="302" t="str">
        <f>$B$43</f>
        <v>Jan</v>
      </c>
      <c r="C141" s="256"/>
      <c r="D141" s="176">
        <f>(R141/R134-1)*100</f>
        <v>-25.391709238646641</v>
      </c>
      <c r="E141" s="256"/>
      <c r="F141" s="1047">
        <f>'qtrP&amp;L'!CB13</f>
        <v>-23</v>
      </c>
      <c r="G141" s="256"/>
      <c r="H141" s="318">
        <f>+D141-F141</f>
        <v>-2.3917092386466408</v>
      </c>
      <c r="I141" s="256"/>
      <c r="J141" s="725">
        <f>Stores!AS243</f>
        <v>206</v>
      </c>
      <c r="K141" s="238"/>
      <c r="L141" s="820">
        <f>AVERAGE(J141,J140)</f>
        <v>205</v>
      </c>
      <c r="M141" s="256"/>
      <c r="N141" s="318">
        <f>(L141/L134-1)*100</f>
        <v>10.810810810810811</v>
      </c>
      <c r="O141" s="643"/>
      <c r="P141" s="820">
        <f>H141/N141*100</f>
        <v>-22.123310457481427</v>
      </c>
      <c r="Q141" s="587"/>
      <c r="R141" s="146">
        <f>'qtrP&amp;L'!BZ13-AQ141-AN141</f>
        <v>766.87399999999991</v>
      </c>
      <c r="S141" s="256"/>
      <c r="T141" s="821">
        <f>R141/L141</f>
        <v>3.7408487804878043</v>
      </c>
      <c r="U141" s="256"/>
      <c r="V141" s="298">
        <f>(T141/T134-1)*100</f>
        <v>-32.670566873900619</v>
      </c>
      <c r="W141" s="643"/>
      <c r="X141" s="256"/>
      <c r="Y141" s="1018">
        <f>Stores!AZ244</f>
        <v>0.93500000000000005</v>
      </c>
      <c r="Z141" s="238"/>
      <c r="AA141" s="822">
        <f>AVERAGE(Y141,Y140)</f>
        <v>0.93533869625520116</v>
      </c>
      <c r="AB141" s="256"/>
      <c r="AC141" s="318">
        <f>(AA141/AA134-1)*100</f>
        <v>9.826090298591561</v>
      </c>
      <c r="AD141" s="643"/>
      <c r="AE141" s="820">
        <f>+H141/AC141*100</f>
        <v>-24.340395477430736</v>
      </c>
      <c r="AF141" s="587"/>
      <c r="AG141" s="316">
        <f>+R141</f>
        <v>766.87399999999991</v>
      </c>
      <c r="AH141" s="256"/>
      <c r="AI141" s="823">
        <f>AG141/AA141</f>
        <v>819.88909800302247</v>
      </c>
      <c r="AJ141" s="256"/>
      <c r="AK141" s="298">
        <f>(AI141/AI134-1)*100</f>
        <v>-32.066879046216812</v>
      </c>
      <c r="AL141" s="643"/>
      <c r="AM141" s="643"/>
      <c r="AN141" s="176">
        <f>AN134*(1+AO141/100)</f>
        <v>61.884000000000007</v>
      </c>
      <c r="AO141" s="1161">
        <v>-20</v>
      </c>
      <c r="AP141" s="969"/>
      <c r="AQ141" s="145">
        <f>'segSales&amp;comps'!AR169</f>
        <v>8.8350000000000009</v>
      </c>
      <c r="AR141" s="969">
        <f>(AQ141/AQ134-1)*100</f>
        <v>-65.065243179122177</v>
      </c>
      <c r="AS141" s="256"/>
      <c r="AT141" s="315">
        <f>+R141-AU141</f>
        <v>-180.05612803275869</v>
      </c>
      <c r="AU141" s="974">
        <f>+AV141+AW141</f>
        <v>946.9301280327586</v>
      </c>
      <c r="AV141" s="315">
        <f>+SeqQtrSales!V159</f>
        <v>458.88200000000001</v>
      </c>
      <c r="AW141" s="315">
        <f>+SeqQtrSales!V322</f>
        <v>488.04812803275865</v>
      </c>
      <c r="BA141" s="1815">
        <f>'segSales&amp;comps'!E169/'segSales&amp;comps'!$AW169</f>
        <v>0.54785796920461372</v>
      </c>
      <c r="BB141" s="1815">
        <f>'segSales&amp;comps'!Q169/'segSales&amp;comps'!$AW169</f>
        <v>0.11843580354659124</v>
      </c>
      <c r="BC141" s="1815">
        <f>'segSales&amp;comps'!W169/'segSales&amp;comps'!$AW169</f>
        <v>0.21023695279210786</v>
      </c>
      <c r="BD141" s="1815">
        <f>'segSales&amp;comps'!AG169/'segSales&amp;comps'!$AW169</f>
        <v>0.11292119203479493</v>
      </c>
      <c r="BF141" s="1815">
        <f>SeqQtrSales!F159/100</f>
        <v>-0.02</v>
      </c>
      <c r="BG141" s="1815">
        <f>SeqQtrSales!F346/100</f>
        <v>-0.09</v>
      </c>
      <c r="BH141" s="1815">
        <f>SeqQtrSales!F520/100</f>
        <v>0.17</v>
      </c>
      <c r="BI141" s="1815">
        <f>SeqQtrSales!F440/100</f>
        <v>-0.22</v>
      </c>
      <c r="BK141" s="728">
        <f>SUMPRODUCT(BA134:BD134,BF141:BI141)</f>
        <v>-2.9843050283758561E-2</v>
      </c>
      <c r="BL141" s="1482"/>
    </row>
    <row r="142" spans="1:64" hidden="1" outlineLevel="1">
      <c r="A142" s="256"/>
      <c r="B142" s="302" t="str">
        <f>$B$44</f>
        <v>Year</v>
      </c>
      <c r="C142" s="256"/>
      <c r="D142" s="288">
        <f>(R142/R135-1)*100</f>
        <v>-9.2432130398672712</v>
      </c>
      <c r="E142" s="256"/>
      <c r="F142" s="824">
        <f>'qtrP&amp;L'!CB14</f>
        <v>-9</v>
      </c>
      <c r="G142" s="256"/>
      <c r="H142" s="288">
        <f>D142-F142</f>
        <v>-0.24321303986727116</v>
      </c>
      <c r="I142" s="256"/>
      <c r="J142" s="725"/>
      <c r="K142" s="256"/>
      <c r="L142" s="811">
        <f>AVERAGE(L138:L141)</f>
        <v>196.75</v>
      </c>
      <c r="M142" s="256"/>
      <c r="N142" s="288">
        <f>(L142/L135-1)*100</f>
        <v>11.079745942131257</v>
      </c>
      <c r="O142" s="643"/>
      <c r="P142" s="812">
        <f>H142/N142*100</f>
        <v>-2.1951138693753083</v>
      </c>
      <c r="Q142" s="587"/>
      <c r="R142" s="141">
        <f>SUM(R138:R141)</f>
        <v>2593.1092699999999</v>
      </c>
      <c r="S142" s="256"/>
      <c r="T142" s="813">
        <f>SUM(T138:T141)</f>
        <v>13.169287874028054</v>
      </c>
      <c r="U142" s="256"/>
      <c r="V142" s="814">
        <f>(T142/T135-1)*100</f>
        <v>-17.914940557722858</v>
      </c>
      <c r="W142" s="643"/>
      <c r="X142" s="256"/>
      <c r="Y142" s="236"/>
      <c r="Z142" s="256"/>
      <c r="AA142" s="816">
        <f>AVERAGE(AA138:AA141)</f>
        <v>0.89878595700416097</v>
      </c>
      <c r="AB142" s="256"/>
      <c r="AC142" s="288">
        <f>(AA142/AA135-1)*100</f>
        <v>9.5014721304018224</v>
      </c>
      <c r="AD142" s="643"/>
      <c r="AE142" s="812">
        <f>+H142/AC142*100</f>
        <v>-2.5597406015543989</v>
      </c>
      <c r="AF142" s="587"/>
      <c r="AG142" s="296">
        <f>SUM(AG138:AG141)</f>
        <v>2593.1092699999999</v>
      </c>
      <c r="AH142" s="256"/>
      <c r="AI142" s="244">
        <f>AG142/AA142</f>
        <v>2885.1243722625218</v>
      </c>
      <c r="AJ142" s="256"/>
      <c r="AK142" s="814">
        <f>(AI142/AI135-1)*100</f>
        <v>-17.118203806380471</v>
      </c>
      <c r="AL142" s="643"/>
      <c r="AM142" s="643"/>
      <c r="AN142" s="145">
        <f>AN135-18.655</f>
        <v>163.47200000000001</v>
      </c>
      <c r="AO142" s="969">
        <f>100*(AN142/AN135-1)</f>
        <v>-10.242852515003264</v>
      </c>
      <c r="AP142" s="969"/>
      <c r="AQ142" s="145">
        <f>'segSales&amp;comps'!AR170</f>
        <v>92.561000000000007</v>
      </c>
      <c r="AR142" s="969">
        <f>(AQ142/AQ135-1)*100</f>
        <v>13.482663920357041</v>
      </c>
      <c r="AS142" s="256"/>
      <c r="AT142" s="315">
        <f>+R142-AU142</f>
        <v>-363.93312811724445</v>
      </c>
      <c r="AU142" s="975">
        <f>+SUM(AU138:AU141)</f>
        <v>2957.0423981172444</v>
      </c>
      <c r="AV142" s="976">
        <f>+SUM(AV138:AV141)</f>
        <v>1586.636</v>
      </c>
      <c r="AW142" s="976">
        <f>+SUM(AW138:AW141)</f>
        <v>1370.4063981172444</v>
      </c>
      <c r="BA142" s="1815">
        <f>'segSales&amp;comps'!E170/'segSales&amp;comps'!$AW170</f>
        <v>0.55693735632405805</v>
      </c>
      <c r="BB142" s="1815">
        <f>'segSales&amp;comps'!Q170/'segSales&amp;comps'!$AW170</f>
        <v>0.12745278021832598</v>
      </c>
      <c r="BC142" s="1815">
        <f>'segSales&amp;comps'!W170/'segSales&amp;comps'!$AW170</f>
        <v>0.18725882888552922</v>
      </c>
      <c r="BD142" s="1815">
        <f>'segSales&amp;comps'!AG170/'segSales&amp;comps'!$AW170</f>
        <v>9.5860483091651752E-2</v>
      </c>
      <c r="BF142" s="1815">
        <f>SeqQtrSales!F160/100</f>
        <v>0</v>
      </c>
      <c r="BG142" s="1815">
        <f>SeqQtrSales!F347/100</f>
        <v>-0.02</v>
      </c>
      <c r="BH142" s="1815">
        <f>SeqQtrSales!F521/100</f>
        <v>0.14000000000000001</v>
      </c>
      <c r="BI142" s="1815">
        <f>SeqQtrSales!F441/100</f>
        <v>-0.08</v>
      </c>
      <c r="BK142" s="728">
        <f>SUMPRODUCT(BA135:BD135,BF142:BI142)</f>
        <v>1.1305199809553199E-2</v>
      </c>
      <c r="BL142" s="1482"/>
    </row>
    <row r="143" spans="1:64" hidden="1" outlineLevel="1">
      <c r="A143" s="256"/>
      <c r="B143" s="302"/>
      <c r="C143" s="256"/>
      <c r="D143" s="288"/>
      <c r="E143" s="256"/>
      <c r="F143" s="824"/>
      <c r="G143" s="256"/>
      <c r="H143" s="288"/>
      <c r="I143" s="256"/>
      <c r="J143" s="725"/>
      <c r="K143" s="256"/>
      <c r="L143" s="811"/>
      <c r="M143" s="256"/>
      <c r="N143" s="288"/>
      <c r="O143" s="643"/>
      <c r="P143" s="812"/>
      <c r="Q143" s="587"/>
      <c r="R143" s="141"/>
      <c r="S143" s="256"/>
      <c r="T143" s="813"/>
      <c r="U143" s="256"/>
      <c r="V143" s="814"/>
      <c r="W143" s="643"/>
      <c r="X143" s="256"/>
      <c r="Y143" s="236"/>
      <c r="Z143" s="256"/>
      <c r="AA143" s="816"/>
      <c r="AB143" s="256"/>
      <c r="AC143" s="288"/>
      <c r="AD143" s="643"/>
      <c r="AE143" s="812"/>
      <c r="AF143" s="587"/>
      <c r="AG143" s="296"/>
      <c r="AH143" s="256"/>
      <c r="AI143" s="244"/>
      <c r="AJ143" s="256"/>
      <c r="AK143" s="814"/>
      <c r="AL143" s="643"/>
      <c r="AM143" s="643"/>
      <c r="AN143" s="145"/>
      <c r="AO143" s="969"/>
      <c r="AP143" s="969"/>
      <c r="AQ143" s="145"/>
      <c r="AR143" s="969"/>
      <c r="AS143" s="256"/>
      <c r="AT143" s="315"/>
      <c r="AU143" s="1044"/>
      <c r="AV143" s="976"/>
      <c r="AW143" s="976"/>
      <c r="BL143" s="1482"/>
    </row>
    <row r="144" spans="1:64" hidden="1" outlineLevel="1">
      <c r="A144" s="256"/>
      <c r="B144" s="876">
        <f>+B137+1</f>
        <v>2009</v>
      </c>
      <c r="C144" s="132"/>
      <c r="D144" s="256"/>
      <c r="E144" s="256"/>
      <c r="F144" s="256"/>
      <c r="G144" s="256"/>
      <c r="H144" s="132"/>
      <c r="I144" s="132"/>
      <c r="J144" s="132"/>
      <c r="K144" s="132"/>
      <c r="L144" s="132"/>
      <c r="M144" s="132"/>
      <c r="N144" s="132"/>
      <c r="O144" s="230"/>
      <c r="P144" s="132"/>
      <c r="Q144" s="132"/>
      <c r="R144" s="132"/>
      <c r="S144" s="132"/>
      <c r="T144" s="132"/>
      <c r="U144" s="132"/>
      <c r="V144" s="132"/>
      <c r="W144" s="132"/>
      <c r="X144" s="132"/>
      <c r="Y144" s="132"/>
      <c r="Z144" s="132"/>
      <c r="AA144" s="132"/>
      <c r="AB144" s="132"/>
      <c r="AC144" s="132"/>
      <c r="AD144" s="230"/>
      <c r="AE144" s="132"/>
      <c r="AF144" s="132"/>
      <c r="AG144" s="132"/>
      <c r="AH144" s="132"/>
      <c r="AI144" s="132"/>
      <c r="AJ144" s="132"/>
      <c r="AK144" s="132"/>
      <c r="AL144" s="132"/>
      <c r="AM144" s="132"/>
      <c r="AN144" s="145"/>
      <c r="AO144" s="967"/>
      <c r="AP144" s="967"/>
      <c r="AQ144" s="145"/>
      <c r="AR144" s="967"/>
      <c r="AT144" s="132"/>
      <c r="AU144" s="164"/>
      <c r="AV144" s="132"/>
      <c r="AW144" s="132"/>
      <c r="BL144" s="1482"/>
    </row>
    <row r="145" spans="1:64" hidden="1" outlineLevel="1">
      <c r="A145" s="256" t="str">
        <f>$A$40</f>
        <v>1Q</v>
      </c>
      <c r="B145" s="302" t="str">
        <f>$B$40</f>
        <v>Apr</v>
      </c>
      <c r="C145" s="256"/>
      <c r="D145" s="288">
        <f>(R145/R138-1)*100</f>
        <v>-20.988673591204197</v>
      </c>
      <c r="E145" s="643" t="s">
        <v>1970</v>
      </c>
      <c r="F145" s="265">
        <f>'qtrP&amp;L'!CF10</f>
        <v>-21</v>
      </c>
      <c r="G145" s="643" t="s">
        <v>1970</v>
      </c>
      <c r="H145" s="288">
        <f>+D145-F145</f>
        <v>1.1326408795802934E-2</v>
      </c>
      <c r="I145" s="643" t="s">
        <v>1970</v>
      </c>
      <c r="J145" s="725">
        <f>Stores!AS247</f>
        <v>209</v>
      </c>
      <c r="K145" s="256"/>
      <c r="L145" s="811">
        <f>AVERAGE(J145,J141)</f>
        <v>207.5</v>
      </c>
      <c r="M145" s="256"/>
      <c r="N145" s="288">
        <f>(L145/L138-1)*100</f>
        <v>10.372340425531924</v>
      </c>
      <c r="O145" s="643" t="s">
        <v>1970</v>
      </c>
      <c r="P145" s="259">
        <f>H145/N145*100</f>
        <v>0.10919819762107434</v>
      </c>
      <c r="Q145" s="587" t="s">
        <v>1970</v>
      </c>
      <c r="R145" s="141">
        <f>'qtrP&amp;L'!CD10-AQ145-AN145</f>
        <v>484.76296319999994</v>
      </c>
      <c r="S145" s="238"/>
      <c r="T145" s="813">
        <f>R145/L145</f>
        <v>2.336207051566265</v>
      </c>
      <c r="U145" s="256"/>
      <c r="V145" s="814">
        <f>(T145/T138-1)*100</f>
        <v>-28.413834386247661</v>
      </c>
      <c r="W145" s="643" t="s">
        <v>1970</v>
      </c>
      <c r="X145" s="256"/>
      <c r="Y145" s="236">
        <f>Stores!AZ247</f>
        <v>0.94776000000000016</v>
      </c>
      <c r="Z145" s="256"/>
      <c r="AA145" s="816">
        <f>AVERAGE(Y145,Y141)</f>
        <v>0.94138000000000011</v>
      </c>
      <c r="AB145" s="256"/>
      <c r="AC145" s="288">
        <f>(AA145/AA138-1)*100</f>
        <v>8.6068153464866182</v>
      </c>
      <c r="AD145" s="643" t="s">
        <v>1970</v>
      </c>
      <c r="AE145" s="812">
        <f>+H145/AC145*100</f>
        <v>0.1315981386823464</v>
      </c>
      <c r="AF145" s="587" t="s">
        <v>1970</v>
      </c>
      <c r="AG145" s="296">
        <f>+R145</f>
        <v>484.76296319999994</v>
      </c>
      <c r="AH145" s="256" t="s">
        <v>505</v>
      </c>
      <c r="AI145" s="817">
        <f>AG145/AA145</f>
        <v>514.94929061590415</v>
      </c>
      <c r="AJ145" s="256"/>
      <c r="AK145" s="814">
        <f>(AI145/AI138-1)*100</f>
        <v>-27.250121314461516</v>
      </c>
      <c r="AL145" s="643" t="s">
        <v>1970</v>
      </c>
      <c r="AM145" s="643"/>
      <c r="AN145" s="145">
        <f>AN138*(1+AO145/100)</f>
        <v>27.912036799999999</v>
      </c>
      <c r="AO145" s="1161">
        <v>-17</v>
      </c>
      <c r="AP145" s="969"/>
      <c r="AQ145" s="145">
        <f>'segSales&amp;comps'!AR173</f>
        <v>4.9400000000000004</v>
      </c>
      <c r="AR145" s="969">
        <f>(AQ145/AQ138-1)*100</f>
        <v>-73.027573027573027</v>
      </c>
      <c r="AS145" s="256"/>
      <c r="AT145" s="315"/>
      <c r="AU145" s="977">
        <f>+AV145+AW145</f>
        <v>258.99400000000003</v>
      </c>
      <c r="AV145" s="296">
        <f>+SeqQtrSales!V163</f>
        <v>258.99400000000003</v>
      </c>
      <c r="AW145" s="296">
        <f>+SeqQtrSales!V326</f>
        <v>0</v>
      </c>
      <c r="BA145" s="1815">
        <f>'segSales&amp;comps'!E173/'segSales&amp;comps'!$AW173</f>
        <v>0.50036030640533991</v>
      </c>
      <c r="BB145" s="1815">
        <f>'segSales&amp;comps'!Q173/'segSales&amp;comps'!$AW173</f>
        <v>0.15783159297933791</v>
      </c>
      <c r="BC145" s="1815">
        <f>'segSales&amp;comps'!W173/'segSales&amp;comps'!$AW173</f>
        <v>0.22609275233522985</v>
      </c>
      <c r="BD145" s="1815">
        <f>'segSales&amp;comps'!AG173/'segSales&amp;comps'!$AW173</f>
        <v>0.10617157539870367</v>
      </c>
      <c r="BF145" s="1815">
        <f>SeqQtrSales!F163/100</f>
        <v>-0.02</v>
      </c>
      <c r="BG145" s="1815">
        <f>SeqQtrSales!F350/100</f>
        <v>-0.11</v>
      </c>
      <c r="BH145" s="1815">
        <f>SeqQtrSales!F524/100</f>
        <v>7.0000000000000007E-2</v>
      </c>
      <c r="BI145" s="1815">
        <f>SeqQtrSales!F444/100</f>
        <v>-0.22</v>
      </c>
      <c r="BK145" s="728">
        <f>SUMPRODUCT(BA138:BD138,BF145:BI145)</f>
        <v>-3.2043051631904781E-2</v>
      </c>
      <c r="BL145" s="1482"/>
    </row>
    <row r="146" spans="1:64" hidden="1" outlineLevel="1">
      <c r="A146" s="256" t="str">
        <f>$A$41</f>
        <v>2Q</v>
      </c>
      <c r="B146" s="302" t="str">
        <f>$B$41</f>
        <v>Jul</v>
      </c>
      <c r="C146" s="256"/>
      <c r="D146" s="288">
        <f>(R146/R139-1)*100</f>
        <v>-14.276492796934537</v>
      </c>
      <c r="E146" s="256"/>
      <c r="F146" s="265">
        <f>'qtrP&amp;L'!CF11</f>
        <v>-16</v>
      </c>
      <c r="G146" s="256"/>
      <c r="H146" s="288">
        <f>+D146-F146</f>
        <v>1.7235072030654628</v>
      </c>
      <c r="I146" s="256"/>
      <c r="J146" s="725">
        <f>Stores!AS248</f>
        <v>211</v>
      </c>
      <c r="K146" s="256"/>
      <c r="L146" s="811">
        <f>AVERAGE(J146,J145)</f>
        <v>210</v>
      </c>
      <c r="M146" s="256"/>
      <c r="N146" s="288">
        <f>(L146/L139-1)*100</f>
        <v>8.2474226804123631</v>
      </c>
      <c r="O146" s="643"/>
      <c r="P146" s="812">
        <f>H146/N146*100</f>
        <v>20.897524837168756</v>
      </c>
      <c r="Q146" s="587"/>
      <c r="R146" s="142">
        <f>'qtrP&amp;L'!CD11-AQ146-AN146</f>
        <v>562.40203040000006</v>
      </c>
      <c r="S146" s="238"/>
      <c r="T146" s="818">
        <f>R146/L146</f>
        <v>2.6781049066666669</v>
      </c>
      <c r="U146" s="256"/>
      <c r="V146" s="814">
        <f>(T146/T139-1)*100</f>
        <v>-20.807807631453812</v>
      </c>
      <c r="W146" s="643"/>
      <c r="X146" s="256"/>
      <c r="Y146" s="236">
        <f>Stores!AZ248</f>
        <v>0.95046000000000019</v>
      </c>
      <c r="Z146" s="238"/>
      <c r="AA146" s="816">
        <f>AVERAGE(Y146,Y145)</f>
        <v>0.94911000000000012</v>
      </c>
      <c r="AB146" s="256"/>
      <c r="AC146" s="288">
        <f>(AA146/AA139-1)*100</f>
        <v>7.7330397303857268</v>
      </c>
      <c r="AD146" s="643"/>
      <c r="AE146" s="812">
        <f>+H146/AC146*100</f>
        <v>22.287577242015459</v>
      </c>
      <c r="AF146" s="587"/>
      <c r="AG146" s="315">
        <f>+R146</f>
        <v>562.40203040000006</v>
      </c>
      <c r="AH146" s="256"/>
      <c r="AI146" s="819">
        <f>AG146/AA146</f>
        <v>592.5572698633456</v>
      </c>
      <c r="AJ146" s="256"/>
      <c r="AK146" s="814">
        <f>(AI146/AI139-1)*100</f>
        <v>-20.429696017490684</v>
      </c>
      <c r="AL146" s="643"/>
      <c r="AM146" s="643"/>
      <c r="AN146" s="145">
        <f>AN139*(1+AO146/100)</f>
        <v>35.418969600000004</v>
      </c>
      <c r="AO146" s="1161">
        <v>-8</v>
      </c>
      <c r="AP146" s="969"/>
      <c r="AQ146" s="145">
        <f>'segSales&amp;comps'!AR174</f>
        <v>14.672000000000001</v>
      </c>
      <c r="AR146" s="969">
        <f>(AQ146/AQ139-1)*100</f>
        <v>-58.163672654690622</v>
      </c>
      <c r="AS146" s="256"/>
      <c r="AT146" s="315"/>
      <c r="AU146" s="974">
        <f>+AV146+AW146</f>
        <v>324.86200000000002</v>
      </c>
      <c r="AV146" s="315">
        <f>+SeqQtrSales!V164</f>
        <v>324.86200000000002</v>
      </c>
      <c r="AW146" s="315">
        <f>+SeqQtrSales!V327</f>
        <v>0</v>
      </c>
      <c r="BA146" s="1815">
        <f>'segSales&amp;comps'!E174/'segSales&amp;comps'!$AW174</f>
        <v>0.53039300040980064</v>
      </c>
      <c r="BB146" s="1815">
        <f>'segSales&amp;comps'!Q174/'segSales&amp;comps'!$AW174</f>
        <v>0.1500751845327212</v>
      </c>
      <c r="BC146" s="1815">
        <f>'segSales&amp;comps'!W174/'segSales&amp;comps'!$AW174</f>
        <v>0.18569681612687819</v>
      </c>
      <c r="BD146" s="1815">
        <f>'segSales&amp;comps'!AG174/'segSales&amp;comps'!$AW174</f>
        <v>0.10988043944992026</v>
      </c>
      <c r="BF146" s="1815">
        <f>SeqQtrSales!F164/100</f>
        <v>-0.01</v>
      </c>
      <c r="BG146" s="1815">
        <f>SeqQtrSales!F351/100</f>
        <v>-0.08</v>
      </c>
      <c r="BH146" s="1815">
        <f>SeqQtrSales!F525/100</f>
        <v>0.1</v>
      </c>
      <c r="BI146" s="1815">
        <f>SeqQtrSales!F445/100</f>
        <v>-0.15</v>
      </c>
      <c r="BK146" s="728">
        <f>SUMPRODUCT(BA139:BD139,BF146:BI146)</f>
        <v>-1.2692034636543802E-2</v>
      </c>
      <c r="BL146" s="1482"/>
    </row>
    <row r="147" spans="1:64" hidden="1" outlineLevel="1">
      <c r="A147" s="256" t="str">
        <f>$A$42</f>
        <v>3Q</v>
      </c>
      <c r="B147" s="302" t="str">
        <f>$B$42</f>
        <v>Oct</v>
      </c>
      <c r="C147" s="256"/>
      <c r="D147" s="288">
        <f>(R147/R140-1)*100</f>
        <v>0.60666783427985038</v>
      </c>
      <c r="E147" s="256"/>
      <c r="F147" s="390">
        <f>'qtrP&amp;L'!CF12</f>
        <v>-6</v>
      </c>
      <c r="G147" s="256"/>
      <c r="H147" s="288">
        <f>+D147-F147</f>
        <v>6.6066678342798504</v>
      </c>
      <c r="I147" s="256"/>
      <c r="J147" s="725">
        <f>Stores!AS249</f>
        <v>215</v>
      </c>
      <c r="K147" s="238"/>
      <c r="L147" s="811">
        <f>AVERAGE(J147,J146)</f>
        <v>213</v>
      </c>
      <c r="M147" s="256"/>
      <c r="N147" s="288">
        <f>(L147/L140-1)*100</f>
        <v>6.4999999999999947</v>
      </c>
      <c r="O147" s="643"/>
      <c r="P147" s="812">
        <f>H147/N147*100</f>
        <v>101.64104360430548</v>
      </c>
      <c r="Q147" s="587"/>
      <c r="R147" s="142">
        <f>'qtrP&amp;L'!CD12-AQ147-AN147</f>
        <v>560.01103009999997</v>
      </c>
      <c r="S147" s="256"/>
      <c r="T147" s="818">
        <f>R147/L147</f>
        <v>2.6291597657276995</v>
      </c>
      <c r="U147" s="256"/>
      <c r="V147" s="814">
        <f>(T147/T140-1)*100</f>
        <v>-5.5336452260283053</v>
      </c>
      <c r="W147" s="643"/>
      <c r="X147" s="256"/>
      <c r="Y147" s="236">
        <f>Stores!AZ249</f>
        <v>0.96635333333333351</v>
      </c>
      <c r="Z147" s="238"/>
      <c r="AA147" s="816">
        <f>AVERAGE(Y147,Y146)</f>
        <v>0.95840666666666685</v>
      </c>
      <c r="AB147" s="256"/>
      <c r="AC147" s="288">
        <f>(AA147/AA140-1)*100</f>
        <v>5.0833923055518149</v>
      </c>
      <c r="AD147" s="643"/>
      <c r="AE147" s="812">
        <f>+H147/AC147*100</f>
        <v>129.96572833980161</v>
      </c>
      <c r="AF147" s="587"/>
      <c r="AG147" s="315">
        <f>+R147</f>
        <v>560.01103009999997</v>
      </c>
      <c r="AH147" s="256"/>
      <c r="AI147" s="819">
        <f>AG147/AA147</f>
        <v>584.31462298537144</v>
      </c>
      <c r="AJ147" s="256"/>
      <c r="AK147" s="814">
        <f>(AI147/AI140-1)*100</f>
        <v>-4.2601636405636301</v>
      </c>
      <c r="AL147" s="643"/>
      <c r="AM147" s="643"/>
      <c r="AN147" s="145">
        <f>AN140*(1+AO147/100)</f>
        <v>26.550969900000002</v>
      </c>
      <c r="AO147" s="1161">
        <v>-9</v>
      </c>
      <c r="AP147" s="969"/>
      <c r="AQ147" s="145">
        <f>'segSales&amp;comps'!AR175</f>
        <v>11.65</v>
      </c>
      <c r="AR147" s="969">
        <f>(AQ147/AQ140-1)*100</f>
        <v>-61.603111301539172</v>
      </c>
      <c r="AS147" s="256"/>
      <c r="AT147" s="315"/>
      <c r="AU147" s="974">
        <f>+AV147+AW147</f>
        <v>303.51499999999999</v>
      </c>
      <c r="AV147" s="315">
        <f>+SeqQtrSales!V165</f>
        <v>303.51499999999999</v>
      </c>
      <c r="AW147" s="315">
        <f>+SeqQtrSales!V328</f>
        <v>0</v>
      </c>
      <c r="BA147" s="1815">
        <f>'segSales&amp;comps'!E175/'segSales&amp;comps'!$AW175</f>
        <v>0.50737029681785051</v>
      </c>
      <c r="BB147" s="1815">
        <f>'segSales&amp;comps'!Q175/'segSales&amp;comps'!$AW175</f>
        <v>0.17114501213616579</v>
      </c>
      <c r="BC147" s="1815">
        <f>'segSales&amp;comps'!W175/'segSales&amp;comps'!$AW175</f>
        <v>0.19568647904087513</v>
      </c>
      <c r="BD147" s="1815">
        <f>'segSales&amp;comps'!AG175/'segSales&amp;comps'!$AW175</f>
        <v>0.10632351072863801</v>
      </c>
      <c r="BF147" s="1815">
        <f>SeqQtrSales!F165/100</f>
        <v>-0.01</v>
      </c>
      <c r="BG147" s="1815">
        <f>SeqQtrSales!F352/100</f>
        <v>0.01</v>
      </c>
      <c r="BH147" s="1815">
        <f>SeqQtrSales!F526/100</f>
        <v>0.13</v>
      </c>
      <c r="BI147" s="1815">
        <f>SeqQtrSales!F446/100</f>
        <v>-0.03</v>
      </c>
      <c r="BK147" s="728">
        <f>SUMPRODUCT(BA140:BD140,BF147:BI147)</f>
        <v>1.7257381295524479E-2</v>
      </c>
      <c r="BL147" s="1482"/>
    </row>
    <row r="148" spans="1:64" hidden="1" outlineLevel="1">
      <c r="A148" s="256" t="str">
        <f>$A$43</f>
        <v>4Q</v>
      </c>
      <c r="B148" s="302" t="str">
        <f>$B$43</f>
        <v>Jan</v>
      </c>
      <c r="C148" s="256"/>
      <c r="D148" s="176">
        <f>(R148/R141-1)*100</f>
        <v>15.743598035661677</v>
      </c>
      <c r="E148" s="256"/>
      <c r="F148" s="385">
        <f>'qtrP&amp;L'!CF13</f>
        <v>8</v>
      </c>
      <c r="G148" s="256"/>
      <c r="H148" s="318">
        <f>+D148-F148</f>
        <v>7.7435980356616767</v>
      </c>
      <c r="I148" s="256"/>
      <c r="J148" s="725">
        <f>Stores!AS250</f>
        <v>220</v>
      </c>
      <c r="K148" s="238"/>
      <c r="L148" s="820">
        <f>AVERAGE(J148,J147)</f>
        <v>217.5</v>
      </c>
      <c r="M148" s="256"/>
      <c r="N148" s="318">
        <f>(L148/L141-1)*100</f>
        <v>6.0975609756097615</v>
      </c>
      <c r="O148" s="643"/>
      <c r="P148" s="820">
        <f>H148/N148*100</f>
        <v>126.99500778485138</v>
      </c>
      <c r="Q148" s="587"/>
      <c r="R148" s="146">
        <f>'qtrP&amp;L'!CD13-AQ148-AN148</f>
        <v>887.60756000000003</v>
      </c>
      <c r="S148" s="256"/>
      <c r="T148" s="821">
        <f>R148/L148</f>
        <v>4.0809542988505747</v>
      </c>
      <c r="U148" s="256"/>
      <c r="V148" s="298">
        <f>(T148/T141-1)*100</f>
        <v>9.091667114071921</v>
      </c>
      <c r="W148" s="643"/>
      <c r="X148" s="256"/>
      <c r="Y148" s="1018">
        <f>Stores!AZ250</f>
        <v>0.98220000000000007</v>
      </c>
      <c r="Z148" s="238"/>
      <c r="AA148" s="822">
        <f>AVERAGE(Y148,Y147)</f>
        <v>0.97427666666666679</v>
      </c>
      <c r="AB148" s="256"/>
      <c r="AC148" s="318">
        <f>(AA148/AA141-1)*100</f>
        <v>4.1629808076326658</v>
      </c>
      <c r="AD148" s="643"/>
      <c r="AE148" s="820">
        <f>+H148/AC148*100</f>
        <v>186.01089924469713</v>
      </c>
      <c r="AF148" s="587"/>
      <c r="AG148" s="316">
        <f>+R148</f>
        <v>887.60756000000003</v>
      </c>
      <c r="AH148" s="256"/>
      <c r="AI148" s="823">
        <f>AG148/AA148</f>
        <v>911.04261281018728</v>
      </c>
      <c r="AJ148" s="256"/>
      <c r="AK148" s="298">
        <f>(AI148/AI141-1)*100</f>
        <v>11.117785933388369</v>
      </c>
      <c r="AL148" s="643"/>
      <c r="AM148" s="643"/>
      <c r="AN148" s="176">
        <f>AN141*(1+AO148/100)</f>
        <v>71.785440000000008</v>
      </c>
      <c r="AO148" s="1161">
        <v>16</v>
      </c>
      <c r="AP148" s="969"/>
      <c r="AQ148" s="145">
        <f>'segSales&amp;comps'!AR176</f>
        <v>21.991</v>
      </c>
      <c r="AR148" s="969">
        <f>(AQ148/AQ141-1)*100</f>
        <v>148.907753254103</v>
      </c>
      <c r="AS148" s="256"/>
      <c r="AT148" s="315"/>
      <c r="AU148" s="974"/>
      <c r="AV148" s="315">
        <f>+SeqQtrSales!V166</f>
        <v>523.5</v>
      </c>
      <c r="AW148" s="315" t="str">
        <f>+SeqQtrSales!V329</f>
        <v>N/A</v>
      </c>
      <c r="BA148" s="1815">
        <f>'segSales&amp;comps'!E176/'segSales&amp;comps'!$AW176</f>
        <v>0.53341620729358785</v>
      </c>
      <c r="BB148" s="1815">
        <f>'segSales&amp;comps'!Q176/'segSales&amp;comps'!$AW176</f>
        <v>0.15314598383957775</v>
      </c>
      <c r="BC148" s="1815">
        <f>'segSales&amp;comps'!W176/'segSales&amp;comps'!$AW176</f>
        <v>0.16828848289705628</v>
      </c>
      <c r="BD148" s="1815">
        <f>'segSales&amp;comps'!AG176/'segSales&amp;comps'!$AW176</f>
        <v>0.12274176949491038</v>
      </c>
      <c r="BF148" s="1815">
        <f>SeqQtrSales!F166/100</f>
        <v>0.01</v>
      </c>
      <c r="BG148" s="1815">
        <f>SeqQtrSales!F353/100</f>
        <v>0.12</v>
      </c>
      <c r="BH148" s="1815">
        <f>SeqQtrSales!F527/100</f>
        <v>0.02</v>
      </c>
      <c r="BI148" s="1815">
        <f>SeqQtrSales!F447/100</f>
        <v>0.11</v>
      </c>
      <c r="BK148" s="728">
        <f>SUMPRODUCT(BA141:BD141,BF148:BI148)</f>
        <v>3.6316946297306682E-2</v>
      </c>
      <c r="BL148" s="1482"/>
    </row>
    <row r="149" spans="1:64" hidden="1" outlineLevel="1">
      <c r="A149" s="256"/>
      <c r="B149" s="302" t="str">
        <f>$B$44</f>
        <v>Year</v>
      </c>
      <c r="C149" s="256"/>
      <c r="D149" s="288">
        <f>(R149/R142-1)*100</f>
        <v>-3.7918065172780069</v>
      </c>
      <c r="E149" s="256"/>
      <c r="F149" s="824">
        <f>'qtrP&amp;L'!CF14</f>
        <v>-8</v>
      </c>
      <c r="G149" s="256"/>
      <c r="H149" s="288">
        <f>D149-F149</f>
        <v>4.2081934827219936</v>
      </c>
      <c r="I149" s="256"/>
      <c r="J149" s="725"/>
      <c r="K149" s="256"/>
      <c r="L149" s="811">
        <f>AVERAGE(L145:L148)</f>
        <v>212</v>
      </c>
      <c r="M149" s="256"/>
      <c r="N149" s="288">
        <f>(L149/L142-1)*100</f>
        <v>7.7509529860228632</v>
      </c>
      <c r="O149" s="643"/>
      <c r="P149" s="812">
        <f>H149/N149*100</f>
        <v>54.292594604954303</v>
      </c>
      <c r="Q149" s="587"/>
      <c r="R149" s="141">
        <f>SUM(R145:R148)</f>
        <v>2494.7835836999998</v>
      </c>
      <c r="S149" s="256"/>
      <c r="T149" s="813">
        <f>SUM(T145:T148)</f>
        <v>11.724426022811206</v>
      </c>
      <c r="U149" s="256"/>
      <c r="V149" s="814">
        <f>(T149/T142-1)*100</f>
        <v>-10.971450127279446</v>
      </c>
      <c r="W149" s="643"/>
      <c r="X149" s="256"/>
      <c r="Y149" s="236"/>
      <c r="Z149" s="256"/>
      <c r="AA149" s="816">
        <f>AVERAGE(AA145:AA148)</f>
        <v>0.95579333333333349</v>
      </c>
      <c r="AB149" s="256"/>
      <c r="AC149" s="288">
        <f>(AA149/AA142-1)*100</f>
        <v>6.3427088379517826</v>
      </c>
      <c r="AD149" s="643"/>
      <c r="AE149" s="812">
        <f>+H149/AC149*100</f>
        <v>66.346944030319435</v>
      </c>
      <c r="AF149" s="587"/>
      <c r="AG149" s="296">
        <f>SUM(AG145:AG148)</f>
        <v>2494.7835836999998</v>
      </c>
      <c r="AH149" s="256"/>
      <c r="AI149" s="244">
        <f>AG149/AA149</f>
        <v>2610.1705219050136</v>
      </c>
      <c r="AJ149" s="256"/>
      <c r="AK149" s="814">
        <f>(AI149/AI142-1)*100</f>
        <v>-9.5300519104446373</v>
      </c>
      <c r="AL149" s="643"/>
      <c r="AM149" s="643"/>
      <c r="AN149" s="145">
        <f>SUM(AN145:AN148)</f>
        <v>161.66741630000001</v>
      </c>
      <c r="AO149" s="969">
        <f>100*(AN149/AN142-1)</f>
        <v>-1.1039099662327412</v>
      </c>
      <c r="AP149" s="969"/>
      <c r="AQ149" s="145">
        <f>'segSales&amp;comps'!AR177</f>
        <v>53.253</v>
      </c>
      <c r="AR149" s="969">
        <f>(AQ149/AQ142-1)*100</f>
        <v>-42.467129784682534</v>
      </c>
      <c r="AS149" s="256"/>
      <c r="AT149" s="315"/>
      <c r="AU149" s="975">
        <f>+SUM(AU145:AU148)</f>
        <v>887.37099999999998</v>
      </c>
      <c r="AV149" s="976">
        <f>+SUM(AV145:AV148)</f>
        <v>1410.8710000000001</v>
      </c>
      <c r="AW149" s="976">
        <f>+SUM(AW145:AW148)</f>
        <v>0</v>
      </c>
      <c r="BA149" s="1815">
        <f>'segSales&amp;comps'!E177/'segSales&amp;comps'!$AW177</f>
        <v>0.52066847988544984</v>
      </c>
      <c r="BB149" s="1815">
        <f>'segSales&amp;comps'!Q177/'segSales&amp;comps'!$AW177</f>
        <v>0.15732047104324046</v>
      </c>
      <c r="BC149" s="1815">
        <f>'segSales&amp;comps'!W177/'segSales&amp;comps'!$AW177</f>
        <v>0.18931369546043333</v>
      </c>
      <c r="BD149" s="1815">
        <f>'segSales&amp;comps'!AG177/'segSales&amp;comps'!$AW177</f>
        <v>0.11304484210604007</v>
      </c>
      <c r="BF149" s="1815">
        <f>SeqQtrSales!F167/100</f>
        <v>0</v>
      </c>
      <c r="BG149" s="1815">
        <f>SeqQtrSales!F354/100</f>
        <v>0</v>
      </c>
      <c r="BH149" s="1815">
        <f>SeqQtrSales!F528/100</f>
        <v>7.0000000000000007E-2</v>
      </c>
      <c r="BI149" s="1815">
        <f>SeqQtrSales!F448/100</f>
        <v>-0.06</v>
      </c>
      <c r="BK149" s="728">
        <f>SUMPRODUCT(BA142:BD142,BF149:BI149)</f>
        <v>7.3564890364879411E-3</v>
      </c>
      <c r="BL149" s="1482"/>
    </row>
    <row r="150" spans="1:64" hidden="1" outlineLevel="1">
      <c r="A150" s="256"/>
      <c r="B150" s="302"/>
      <c r="C150" s="256"/>
      <c r="D150" s="288"/>
      <c r="E150" s="256"/>
      <c r="F150" s="824"/>
      <c r="G150" s="256"/>
      <c r="H150" s="288"/>
      <c r="I150" s="256"/>
      <c r="J150" s="725"/>
      <c r="K150" s="256"/>
      <c r="L150" s="811"/>
      <c r="M150" s="256"/>
      <c r="N150" s="288"/>
      <c r="O150" s="643"/>
      <c r="P150" s="812"/>
      <c r="Q150" s="587"/>
      <c r="R150" s="141"/>
      <c r="S150" s="256"/>
      <c r="T150" s="813"/>
      <c r="U150" s="256"/>
      <c r="V150" s="814"/>
      <c r="W150" s="643"/>
      <c r="X150" s="256"/>
      <c r="Y150" s="236"/>
      <c r="Z150" s="256"/>
      <c r="AA150" s="816"/>
      <c r="AB150" s="256"/>
      <c r="AC150" s="288"/>
      <c r="AD150" s="643"/>
      <c r="AE150" s="812"/>
      <c r="AF150" s="587"/>
      <c r="AG150" s="296"/>
      <c r="AH150" s="256"/>
      <c r="AI150" s="244"/>
      <c r="AJ150" s="256"/>
      <c r="AK150" s="814"/>
      <c r="AL150" s="643"/>
      <c r="AM150" s="643"/>
      <c r="AN150" s="145"/>
      <c r="AO150" s="969"/>
      <c r="AP150" s="969"/>
      <c r="AQ150" s="145"/>
      <c r="AR150" s="969"/>
      <c r="AS150" s="256"/>
      <c r="AT150" s="315"/>
      <c r="AU150" s="1044"/>
      <c r="AV150" s="976"/>
      <c r="AW150" s="976"/>
      <c r="BL150" s="1482"/>
    </row>
    <row r="151" spans="1:64" collapsed="1">
      <c r="A151" s="256"/>
      <c r="B151" s="876">
        <f>+B144+1</f>
        <v>2010</v>
      </c>
      <c r="C151" s="132"/>
      <c r="D151" s="256"/>
      <c r="E151" s="256"/>
      <c r="F151" s="256"/>
      <c r="G151" s="256"/>
      <c r="H151" s="132"/>
      <c r="I151" s="132"/>
      <c r="J151" s="132"/>
      <c r="K151" s="132"/>
      <c r="L151" s="132"/>
      <c r="M151" s="132"/>
      <c r="N151" s="132"/>
      <c r="O151" s="230"/>
      <c r="P151" s="132"/>
      <c r="Q151" s="132"/>
      <c r="R151" s="132"/>
      <c r="S151" s="132"/>
      <c r="T151" s="132"/>
      <c r="U151" s="132"/>
      <c r="V151" s="132"/>
      <c r="W151" s="132"/>
      <c r="X151" s="132"/>
      <c r="Y151" s="132"/>
      <c r="Z151" s="132"/>
      <c r="AA151" s="132"/>
      <c r="AB151" s="132"/>
      <c r="AC151" s="132"/>
      <c r="AD151" s="230"/>
      <c r="AE151" s="132"/>
      <c r="AF151" s="132"/>
      <c r="AG151" s="132"/>
      <c r="AH151" s="132"/>
      <c r="AI151" s="132"/>
      <c r="AJ151" s="132"/>
      <c r="AK151" s="132"/>
      <c r="AL151" s="132"/>
      <c r="AM151" s="132"/>
      <c r="AN151" s="145"/>
      <c r="AO151" s="967"/>
      <c r="AP151" s="967"/>
      <c r="AQ151" s="145"/>
      <c r="AR151" s="967"/>
      <c r="AT151" s="132"/>
      <c r="AU151" s="164"/>
      <c r="AV151" s="132"/>
      <c r="AW151" s="132"/>
      <c r="BL151" s="1482"/>
    </row>
    <row r="152" spans="1:64">
      <c r="A152" s="256" t="str">
        <f>$A$40</f>
        <v>1Q</v>
      </c>
      <c r="B152" s="302" t="str">
        <f>$B$40</f>
        <v>Apr</v>
      </c>
      <c r="C152" s="256"/>
      <c r="D152" s="288">
        <f>(R152/R145-1)*100</f>
        <v>21.07756559237075</v>
      </c>
      <c r="E152" s="643" t="s">
        <v>1970</v>
      </c>
      <c r="F152" s="265">
        <f>+'qtrP&amp;L'!CJ10</f>
        <v>10</v>
      </c>
      <c r="G152" s="643" t="s">
        <v>1970</v>
      </c>
      <c r="H152" s="288">
        <f>+D152-F152</f>
        <v>11.07756559237075</v>
      </c>
      <c r="I152" s="643" t="s">
        <v>1970</v>
      </c>
      <c r="J152" s="725">
        <f>Stores!AS254</f>
        <v>221</v>
      </c>
      <c r="K152" s="256"/>
      <c r="L152" s="811">
        <f>AVERAGE(J152,J148)</f>
        <v>220.5</v>
      </c>
      <c r="M152" s="256"/>
      <c r="N152" s="288">
        <f>(L152/L145-1)*100</f>
        <v>6.2650602409638489</v>
      </c>
      <c r="O152" s="643" t="s">
        <v>1970</v>
      </c>
      <c r="P152" s="259">
        <f>H152/N152*100</f>
        <v>176.81498926284101</v>
      </c>
      <c r="Q152" s="587" t="s">
        <v>1970</v>
      </c>
      <c r="R152" s="141">
        <f>'qtrP&amp;L'!CH10-AQ152-AN152</f>
        <v>586.93919473599999</v>
      </c>
      <c r="S152" s="238"/>
      <c r="T152" s="813">
        <f>R152/L152</f>
        <v>2.6618557584399092</v>
      </c>
      <c r="U152" s="256"/>
      <c r="V152" s="814">
        <f>(T152/T145-1)*100</f>
        <v>13.93920571617655</v>
      </c>
      <c r="W152" s="643" t="s">
        <v>1970</v>
      </c>
      <c r="X152" s="256"/>
      <c r="Y152" s="236">
        <f>Stores!AZ254</f>
        <v>0.98362321428571442</v>
      </c>
      <c r="Z152" s="256"/>
      <c r="AA152" s="816">
        <f>AVERAGE(Y152,Y148)</f>
        <v>0.98291160714285719</v>
      </c>
      <c r="AB152" s="256"/>
      <c r="AC152" s="288">
        <f>(AA152/AA145-1)*100</f>
        <v>4.4117792116740384</v>
      </c>
      <c r="AD152" s="643" t="s">
        <v>1970</v>
      </c>
      <c r="AE152" s="812">
        <f>+H152/AC152*100</f>
        <v>251.09066117946992</v>
      </c>
      <c r="AF152" s="587" t="s">
        <v>1970</v>
      </c>
      <c r="AG152" s="296">
        <f>+R152</f>
        <v>586.93919473599999</v>
      </c>
      <c r="AH152" s="256" t="s">
        <v>505</v>
      </c>
      <c r="AI152" s="817">
        <f>AG152/AA152</f>
        <v>597.14341602102354</v>
      </c>
      <c r="AJ152" s="256"/>
      <c r="AK152" s="814">
        <f>(AI152/AI145-1)*100</f>
        <v>15.96159600624194</v>
      </c>
      <c r="AL152" s="643" t="s">
        <v>1970</v>
      </c>
      <c r="AM152" s="643"/>
      <c r="AN152" s="145">
        <f>AN145*(1+AO152/100)</f>
        <v>34.331805263999996</v>
      </c>
      <c r="AO152" s="1161">
        <v>23</v>
      </c>
      <c r="AP152" s="969"/>
      <c r="AQ152" s="145">
        <f>'segSales&amp;comps'!AR180</f>
        <v>12.315</v>
      </c>
      <c r="AR152" s="969">
        <f>(AQ152/AQ145-1)*100</f>
        <v>149.29149797570847</v>
      </c>
      <c r="AS152" s="256"/>
      <c r="AT152" s="315">
        <f>+R152-AU152</f>
        <v>271.68119473600001</v>
      </c>
      <c r="AU152" s="977">
        <f>+AV152+AW152</f>
        <v>315.25799999999998</v>
      </c>
      <c r="AV152" s="296">
        <f>+SeqQtrSales!V170</f>
        <v>315.25799999999998</v>
      </c>
      <c r="AW152" s="296"/>
      <c r="BA152" s="1815">
        <f>'segSales&amp;comps'!E180/'segSales&amp;comps'!$AW180</f>
        <v>0.49757728232631399</v>
      </c>
      <c r="BB152" s="1815">
        <f>'segSales&amp;comps'!Q180/'segSales&amp;comps'!$AW180</f>
        <v>0.19308507448081239</v>
      </c>
      <c r="BC152" s="1815">
        <f>'segSales&amp;comps'!W180/'segSales&amp;comps'!$AW180</f>
        <v>0.18158387338104062</v>
      </c>
      <c r="BD152" s="1815">
        <f>'segSales&amp;comps'!AG180/'segSales&amp;comps'!$AW180</f>
        <v>0.10831678730274973</v>
      </c>
      <c r="BF152" s="1815">
        <f>SeqQtrSales!F170/100</f>
        <v>0.02</v>
      </c>
      <c r="BG152" s="1815">
        <f>SeqQtrSales!F357/100</f>
        <v>0.12</v>
      </c>
      <c r="BH152" s="1815">
        <f>SeqQtrSales!F531/100</f>
        <v>0.05</v>
      </c>
      <c r="BI152" s="1815">
        <f>SeqQtrSales!F451/100</f>
        <v>0.06</v>
      </c>
      <c r="BK152" s="728">
        <f>SUMPRODUCT(BA145:BD145,BF152:BI152)</f>
        <v>4.6621929426311062E-2</v>
      </c>
      <c r="BL152" s="1482"/>
    </row>
    <row r="153" spans="1:64">
      <c r="A153" s="256" t="str">
        <f>$A$41</f>
        <v>2Q</v>
      </c>
      <c r="B153" s="302" t="str">
        <f>$B$41</f>
        <v>Jul</v>
      </c>
      <c r="C153" s="256"/>
      <c r="D153" s="288">
        <f>(R153/R146-1)*100</f>
        <v>10.621295116860585</v>
      </c>
      <c r="E153" s="256"/>
      <c r="F153" s="265">
        <f>+'qtrP&amp;L'!CJ11</f>
        <v>5</v>
      </c>
      <c r="G153" s="256"/>
      <c r="H153" s="288">
        <f>+D153-F153</f>
        <v>5.6212951168605851</v>
      </c>
      <c r="I153" s="256"/>
      <c r="J153" s="725">
        <f>Stores!AS255</f>
        <v>223</v>
      </c>
      <c r="K153" s="256"/>
      <c r="L153" s="811">
        <f>AVERAGE(J153,J152)</f>
        <v>222</v>
      </c>
      <c r="M153" s="256"/>
      <c r="N153" s="288">
        <f>(L153/L146-1)*100</f>
        <v>5.7142857142857162</v>
      </c>
      <c r="O153" s="643"/>
      <c r="P153" s="812">
        <f>H153/N153*100</f>
        <v>98.372664545060204</v>
      </c>
      <c r="Q153" s="587"/>
      <c r="R153" s="142">
        <f>'qtrP&amp;L'!CH11-AQ153-AN153</f>
        <v>622.13640979199999</v>
      </c>
      <c r="S153" s="238"/>
      <c r="T153" s="818">
        <f>R153/L153</f>
        <v>2.8024162603243243</v>
      </c>
      <c r="U153" s="256"/>
      <c r="V153" s="814">
        <f>(T153/T146-1)*100</f>
        <v>4.6417656510843397</v>
      </c>
      <c r="W153" s="643"/>
      <c r="X153" s="256"/>
      <c r="Y153" s="236">
        <f>Stores!AZ255</f>
        <v>0.98842321428571434</v>
      </c>
      <c r="Z153" s="238"/>
      <c r="AA153" s="816">
        <f>AVERAGE(Y153,Y152)</f>
        <v>0.98602321428571438</v>
      </c>
      <c r="AB153" s="256"/>
      <c r="AC153" s="288">
        <f>(AA153/AA146-1)*100</f>
        <v>3.8892451123383243</v>
      </c>
      <c r="AD153" s="643"/>
      <c r="AE153" s="812">
        <f>+H153/AC153*100</f>
        <v>144.53434932726324</v>
      </c>
      <c r="AF153" s="587"/>
      <c r="AG153" s="315">
        <f>+R153</f>
        <v>622.13640979199999</v>
      </c>
      <c r="AH153" s="256"/>
      <c r="AI153" s="819">
        <f>AG153/AA153</f>
        <v>630.95513450226645</v>
      </c>
      <c r="AJ153" s="256"/>
      <c r="AK153" s="814">
        <f>(AI153/AI146-1)*100</f>
        <v>6.4800259134068394</v>
      </c>
      <c r="AL153" s="643"/>
      <c r="AM153" s="643"/>
      <c r="AN153" s="145">
        <f>AN146*(1+AO153/100)</f>
        <v>34.710590208000006</v>
      </c>
      <c r="AO153" s="1161">
        <v>-2</v>
      </c>
      <c r="AP153" s="969"/>
      <c r="AQ153" s="145">
        <f>'segSales&amp;comps'!AR181</f>
        <v>11.913</v>
      </c>
      <c r="AR153" s="969">
        <f>(AQ153/AQ146-1)*100</f>
        <v>-18.804525627044711</v>
      </c>
      <c r="AS153" s="256"/>
      <c r="AT153" s="315">
        <f>+R153-AU153</f>
        <v>271.703409792</v>
      </c>
      <c r="AU153" s="974">
        <f>+AV153+AW153</f>
        <v>350.43299999999999</v>
      </c>
      <c r="AV153" s="315">
        <f>+SeqQtrSales!V171</f>
        <v>350.43299999999999</v>
      </c>
      <c r="AW153" s="315">
        <f>+SeqQtrSales!V334</f>
        <v>0</v>
      </c>
      <c r="BA153" s="1815">
        <f>'segSales&amp;comps'!E181/'segSales&amp;comps'!$AW181</f>
        <v>0.52400412704109101</v>
      </c>
      <c r="BB153" s="1815">
        <f>'segSales&amp;comps'!Q181/'segSales&amp;comps'!$AW181</f>
        <v>0.16671152580895987</v>
      </c>
      <c r="BC153" s="1815">
        <f>'segSales&amp;comps'!W181/'segSales&amp;comps'!$AW181</f>
        <v>0.17649231413362043</v>
      </c>
      <c r="BD153" s="1815">
        <f>'segSales&amp;comps'!AG181/'segSales&amp;comps'!$AW181</f>
        <v>0.11497846761169926</v>
      </c>
      <c r="BF153" s="1815">
        <f>SeqQtrSales!F171/100</f>
        <v>0.01</v>
      </c>
      <c r="BG153" s="1815">
        <f>SeqQtrSales!F358/100</f>
        <v>0.03</v>
      </c>
      <c r="BH153" s="1815">
        <f>SeqQtrSales!F532/100</f>
        <v>0.06</v>
      </c>
      <c r="BI153" s="1815">
        <f>SeqQtrSales!F452/100</f>
        <v>-0.1</v>
      </c>
      <c r="BK153" s="728">
        <f>SUMPRODUCT(BA146:BD146,BF153:BI153)</f>
        <v>9.9599505627003069E-3</v>
      </c>
      <c r="BL153" s="1482"/>
    </row>
    <row r="154" spans="1:64">
      <c r="A154" s="256" t="str">
        <f>$A$42</f>
        <v>3Q</v>
      </c>
      <c r="B154" s="302" t="str">
        <f>$B$42</f>
        <v>Oct</v>
      </c>
      <c r="C154" s="256"/>
      <c r="D154" s="288">
        <f>(R154/R147-1)*100</f>
        <v>14.049086156919266</v>
      </c>
      <c r="E154" s="256"/>
      <c r="F154" s="265">
        <f>+'qtrP&amp;L'!CJ12</f>
        <v>7</v>
      </c>
      <c r="G154" s="256"/>
      <c r="H154" s="288">
        <f>+D154-F154</f>
        <v>7.049086156919266</v>
      </c>
      <c r="I154" s="256"/>
      <c r="J154" s="725">
        <f>Stores!AS256</f>
        <v>225</v>
      </c>
      <c r="K154" s="238"/>
      <c r="L154" s="811">
        <f>AVERAGE(J154,J153)</f>
        <v>224</v>
      </c>
      <c r="M154" s="256"/>
      <c r="N154" s="288">
        <f>(L154/L147-1)*100</f>
        <v>5.164319248826299</v>
      </c>
      <c r="O154" s="643"/>
      <c r="P154" s="812">
        <f>H154/N154*100</f>
        <v>136.49594103852741</v>
      </c>
      <c r="Q154" s="587"/>
      <c r="R154" s="142">
        <f>'qtrP&amp;L'!CH12-AQ154-AN154</f>
        <v>638.68746220700007</v>
      </c>
      <c r="S154" s="256"/>
      <c r="T154" s="818">
        <f>R154/L154</f>
        <v>2.8512833134241076</v>
      </c>
      <c r="U154" s="256"/>
      <c r="V154" s="814">
        <f>(T154/T147-1)*100</f>
        <v>8.4484613902848338</v>
      </c>
      <c r="W154" s="643"/>
      <c r="X154" s="256"/>
      <c r="Y154" s="236">
        <f>Stores!AZ256</f>
        <v>0.99508000000000019</v>
      </c>
      <c r="Z154" s="238"/>
      <c r="AA154" s="816">
        <f>AVERAGE(Y154,Y153)</f>
        <v>0.99175160714285726</v>
      </c>
      <c r="AB154" s="256"/>
      <c r="AC154" s="288">
        <f>(AA154/AA147-1)*100</f>
        <v>3.4792058148096938</v>
      </c>
      <c r="AD154" s="643"/>
      <c r="AE154" s="812">
        <f>+H154/AC154*100</f>
        <v>202.6061846331111</v>
      </c>
      <c r="AF154" s="587"/>
      <c r="AG154" s="315">
        <f>+R154</f>
        <v>638.68746220700007</v>
      </c>
      <c r="AH154" s="256"/>
      <c r="AI154" s="819">
        <f>AG154/AA154</f>
        <v>643.99942244308363</v>
      </c>
      <c r="AJ154" s="256"/>
      <c r="AK154" s="814">
        <f>(AI154/AI147-1)*100</f>
        <v>10.214496969590027</v>
      </c>
      <c r="AL154" s="643"/>
      <c r="AM154" s="643"/>
      <c r="AN154" s="145">
        <f>AN147*(1+AO154/100)</f>
        <v>28.409537793000002</v>
      </c>
      <c r="AO154" s="1161">
        <v>7</v>
      </c>
      <c r="AP154" s="969"/>
      <c r="AQ154" s="145">
        <f>'segSales&amp;comps'!AR182</f>
        <v>14.632</v>
      </c>
      <c r="AR154" s="969">
        <f>(AQ154/AQ147-1)*100</f>
        <v>25.596566523605134</v>
      </c>
      <c r="AS154" s="256"/>
      <c r="AT154" s="315">
        <f>+R154-AU154</f>
        <v>306.92046220700007</v>
      </c>
      <c r="AU154" s="974">
        <f>+AV154+AW154</f>
        <v>331.767</v>
      </c>
      <c r="AV154" s="315">
        <f>+SeqQtrSales!V172</f>
        <v>331.767</v>
      </c>
      <c r="AW154" s="315">
        <f>+SeqQtrSales!V335</f>
        <v>0</v>
      </c>
      <c r="BA154" s="1815">
        <f>'segSales&amp;comps'!E182/'segSales&amp;comps'!$AW182</f>
        <v>0.48665525450728953</v>
      </c>
      <c r="BB154" s="1815">
        <f>'segSales&amp;comps'!Q182/'segSales&amp;comps'!$AW182</f>
        <v>0.18637464447016336</v>
      </c>
      <c r="BC154" s="1815">
        <f>'segSales&amp;comps'!W182/'segSales&amp;comps'!$AW182</f>
        <v>0.19189003254959081</v>
      </c>
      <c r="BD154" s="1815">
        <f>'segSales&amp;comps'!AG182/'segSales&amp;comps'!$AW182</f>
        <v>0.11361699443620558</v>
      </c>
      <c r="BF154" s="1815">
        <f>SeqQtrSales!F172/100</f>
        <v>0.01</v>
      </c>
      <c r="BG154" s="1815">
        <f>SeqQtrSales!F359/100</f>
        <v>0.04</v>
      </c>
      <c r="BH154" s="1815">
        <f>SeqQtrSales!F533/100</f>
        <v>0.1</v>
      </c>
      <c r="BI154" s="1815">
        <f>SeqQtrSales!F453/100</f>
        <v>-0.08</v>
      </c>
      <c r="BK154" s="728">
        <f>SUMPRODUCT(BA147:BD147,BF154:BI154)</f>
        <v>2.2982270499421607E-2</v>
      </c>
      <c r="BL154" s="1482"/>
    </row>
    <row r="155" spans="1:64">
      <c r="A155" s="256" t="str">
        <f>$A$43</f>
        <v>4Q</v>
      </c>
      <c r="B155" s="302" t="str">
        <f>$B$43</f>
        <v>Jan</v>
      </c>
      <c r="C155" s="256"/>
      <c r="D155" s="176">
        <f>(R155/R148-1)*100</f>
        <v>13.607946827311812</v>
      </c>
      <c r="E155" s="256"/>
      <c r="F155" s="385">
        <f>+'qtrP&amp;L'!CJ13</f>
        <v>9</v>
      </c>
      <c r="G155" s="256"/>
      <c r="H155" s="318">
        <f>+D155-F155</f>
        <v>4.607946827311812</v>
      </c>
      <c r="I155" s="256"/>
      <c r="J155" s="725">
        <f>Stores!AS257</f>
        <v>233</v>
      </c>
      <c r="K155" s="238"/>
      <c r="L155" s="820">
        <f>AVERAGE(J155,J154)</f>
        <v>229</v>
      </c>
      <c r="M155" s="256"/>
      <c r="N155" s="318">
        <f>(L155/L148-1)*100</f>
        <v>5.2873563218390762</v>
      </c>
      <c r="O155" s="643"/>
      <c r="P155" s="820">
        <f>H155/N155*100</f>
        <v>87.150298690462606</v>
      </c>
      <c r="Q155" s="587"/>
      <c r="R155" s="146">
        <f>'qtrP&amp;L'!CH13-AQ155-AN155</f>
        <v>1008.3927247999998</v>
      </c>
      <c r="S155" s="256"/>
      <c r="T155" s="821">
        <f>R155/L155</f>
        <v>4.403461680349344</v>
      </c>
      <c r="U155" s="256"/>
      <c r="V155" s="298">
        <f>(T155/T148-1)*100</f>
        <v>7.9027442573813111</v>
      </c>
      <c r="W155" s="643"/>
      <c r="X155" s="256"/>
      <c r="Y155" s="1018">
        <f>Stores!AZ257</f>
        <v>1.0390999999999999</v>
      </c>
      <c r="Z155" s="238"/>
      <c r="AA155" s="822">
        <f>AVERAGE(Y155,Y154)</f>
        <v>1.01709</v>
      </c>
      <c r="AB155" s="256"/>
      <c r="AC155" s="318">
        <f>(AA155/AA148-1)*100</f>
        <v>4.3943712087257891</v>
      </c>
      <c r="AD155" s="643"/>
      <c r="AE155" s="820">
        <f>+H155/AC155*100</f>
        <v>104.8602088544985</v>
      </c>
      <c r="AF155" s="587"/>
      <c r="AG155" s="316">
        <f>+R155</f>
        <v>1008.3927247999998</v>
      </c>
      <c r="AH155" s="256"/>
      <c r="AI155" s="823">
        <f>AG155/AA155</f>
        <v>991.44886371904136</v>
      </c>
      <c r="AJ155" s="256"/>
      <c r="AK155" s="298">
        <f>(AI155/AI148-1)*100</f>
        <v>8.8257398477590741</v>
      </c>
      <c r="AL155" s="643"/>
      <c r="AM155" s="643"/>
      <c r="AN155" s="176">
        <f>AN148*(1+AO155/100)</f>
        <v>77.52827520000001</v>
      </c>
      <c r="AO155" s="1161">
        <v>8</v>
      </c>
      <c r="AP155" s="969"/>
      <c r="AQ155" s="145">
        <f>'segSales&amp;comps'!AR183</f>
        <v>15.294000000000006</v>
      </c>
      <c r="AR155" s="969">
        <f>(AQ155/AQ148-1)*100</f>
        <v>-30.45336728661723</v>
      </c>
      <c r="AS155" s="256"/>
      <c r="AT155" s="315">
        <f>+R155-AU155</f>
        <v>359.02466285309731</v>
      </c>
      <c r="AU155" s="974">
        <f>+AV155+AW155</f>
        <v>649.36806194690246</v>
      </c>
      <c r="AV155" s="315">
        <f>+SeqQtrSales!V173</f>
        <v>577.11299999999983</v>
      </c>
      <c r="AW155" s="315">
        <f>+SeqQtrSales!V336</f>
        <v>72.255061946902629</v>
      </c>
      <c r="BA155" s="1815">
        <f>'segSales&amp;comps'!E183/'segSales&amp;comps'!$AW183</f>
        <v>0.52406932342912138</v>
      </c>
      <c r="BB155" s="1815">
        <f>'segSales&amp;comps'!Q183/'segSales&amp;comps'!$AW183</f>
        <v>0.17100566192796138</v>
      </c>
      <c r="BC155" s="1815">
        <f>'segSales&amp;comps'!W183/'segSales&amp;comps'!$AW183</f>
        <v>0.16585317126991556</v>
      </c>
      <c r="BD155" s="1815">
        <f>'segSales&amp;comps'!AG183/'segSales&amp;comps'!$AW183</f>
        <v>0.12518354726370423</v>
      </c>
      <c r="BF155" s="1815">
        <f>SeqQtrSales!F173/100</f>
        <v>0</v>
      </c>
      <c r="BG155" s="1815">
        <f>SeqQtrSales!F360/100</f>
        <v>0.04</v>
      </c>
      <c r="BH155" s="1815">
        <f>SeqQtrSales!F534/100</f>
        <v>0.09</v>
      </c>
      <c r="BI155" s="1815">
        <f>SeqQtrSales!F454/100</f>
        <v>-7.0000000000000007E-2</v>
      </c>
      <c r="BK155" s="728">
        <f>SUMPRODUCT(BA148:BD148,BF155:BI155)</f>
        <v>1.2679878949674447E-2</v>
      </c>
      <c r="BL155" s="1482"/>
    </row>
    <row r="156" spans="1:64">
      <c r="A156" s="256"/>
      <c r="B156" s="302" t="str">
        <f>$B$44</f>
        <v>Year</v>
      </c>
      <c r="C156" s="256"/>
      <c r="D156" s="288">
        <f>(R156/R149-1)*100</f>
        <v>14.48511246410602</v>
      </c>
      <c r="E156" s="256"/>
      <c r="F156" s="824">
        <f>R152/R156*F152+R153/R156*F153+R154/R156*F154+R155/R156*F155</f>
        <v>7.8869719998230554</v>
      </c>
      <c r="G156" s="256"/>
      <c r="H156" s="288">
        <f>D156-F156</f>
        <v>6.5981404642829649</v>
      </c>
      <c r="I156" s="256"/>
      <c r="J156" s="725"/>
      <c r="K156" s="256"/>
      <c r="L156" s="811">
        <f>AVERAGE(L152:L155)</f>
        <v>223.875</v>
      </c>
      <c r="M156" s="256"/>
      <c r="N156" s="288">
        <f>(L156/L149-1)*100</f>
        <v>5.6014150943396235</v>
      </c>
      <c r="O156" s="643"/>
      <c r="P156" s="812">
        <f>H156/N156*100</f>
        <v>117.79417081498849</v>
      </c>
      <c r="Q156" s="587"/>
      <c r="R156" s="141">
        <f>SUM(R152:R155)</f>
        <v>2856.1557915349995</v>
      </c>
      <c r="S156" s="256"/>
      <c r="T156" s="813">
        <f>SUM(T152:T155)</f>
        <v>12.719017012537687</v>
      </c>
      <c r="U156" s="256"/>
      <c r="V156" s="814">
        <f>(T156/T149-1)*100</f>
        <v>8.4830676383764292</v>
      </c>
      <c r="W156" s="643"/>
      <c r="X156" s="256"/>
      <c r="Y156" s="236"/>
      <c r="Z156" s="256"/>
      <c r="AA156" s="816">
        <f>AVERAGE(AA152:AA155)</f>
        <v>0.99444410714285725</v>
      </c>
      <c r="AB156" s="256"/>
      <c r="AC156" s="288">
        <f>(AA156/AA149-1)*100</f>
        <v>4.0438421635280664</v>
      </c>
      <c r="AD156" s="643"/>
      <c r="AE156" s="812">
        <f>+H156/AC156*100</f>
        <v>163.1651334909271</v>
      </c>
      <c r="AF156" s="587"/>
      <c r="AG156" s="296">
        <f>SUM(AG152:AG155)</f>
        <v>2856.1557915349995</v>
      </c>
      <c r="AH156" s="256"/>
      <c r="AI156" s="244">
        <f>AG156/AA156</f>
        <v>2872.1129433217079</v>
      </c>
      <c r="AJ156" s="256"/>
      <c r="AK156" s="814">
        <f>(AI156/AI149-1)*100</f>
        <v>10.035452443372073</v>
      </c>
      <c r="AL156" s="643"/>
      <c r="AM156" s="643"/>
      <c r="AN156" s="145">
        <f>SUM(AN152:AN155)</f>
        <v>174.98020846500003</v>
      </c>
      <c r="AO156" s="969">
        <f>100*(AN156/AN149-1)</f>
        <v>8.2346786196520796</v>
      </c>
      <c r="AP156" s="969"/>
      <c r="AQ156" s="145">
        <f>'segSales&amp;comps'!AR184</f>
        <v>54.154000000000003</v>
      </c>
      <c r="AR156" s="969">
        <f>(AQ156/AQ149-1)*100</f>
        <v>1.6919234597111865</v>
      </c>
      <c r="AS156" s="256"/>
      <c r="AT156" s="315"/>
      <c r="AU156" s="975"/>
      <c r="AV156" s="976">
        <f>+SUM(AV152:AV155)</f>
        <v>1574.5709999999999</v>
      </c>
      <c r="AW156" s="976">
        <f>+SUM(AW152:AW155)</f>
        <v>72.255061946902629</v>
      </c>
      <c r="BA156" s="1815">
        <f>'segSales&amp;comps'!E184/'segSales&amp;comps'!$AW184</f>
        <v>0.51034781171299937</v>
      </c>
      <c r="BB156" s="1815">
        <f>'segSales&amp;comps'!Q184/'segSales&amp;comps'!$AW184</f>
        <v>0.17800498494468911</v>
      </c>
      <c r="BC156" s="1815">
        <f>'segSales&amp;comps'!W184/'segSales&amp;comps'!$AW184</f>
        <v>0.17714282936125941</v>
      </c>
      <c r="BD156" s="1815">
        <f>'segSales&amp;comps'!AG184/'segSales&amp;comps'!$AW184</f>
        <v>0.11695205312952754</v>
      </c>
      <c r="BF156" s="1815">
        <f>SeqQtrSales!F174/100</f>
        <v>8.3369755952573746E-3</v>
      </c>
      <c r="BG156" s="1815">
        <f>SeqQtrSales!F361/100</f>
        <v>5.5790290187309841E-2</v>
      </c>
      <c r="BH156" s="1815">
        <f>SeqQtrSales!F535/100</f>
        <v>7.7494497170365426E-2</v>
      </c>
      <c r="BI156" s="1815">
        <f>SeqQtrSales!F455/100</f>
        <v>-5.3814334134262315E-2</v>
      </c>
      <c r="BK156" s="728">
        <f>SUMPRODUCT(BA149:BD149,BF156:BI156)</f>
        <v>2.1705091873852018E-2</v>
      </c>
      <c r="BL156" s="1482"/>
    </row>
    <row r="157" spans="1:64">
      <c r="A157" s="256"/>
      <c r="B157" s="302"/>
      <c r="C157" s="256"/>
      <c r="D157" s="288"/>
      <c r="E157" s="256"/>
      <c r="F157" s="824"/>
      <c r="G157" s="256"/>
      <c r="H157" s="288"/>
      <c r="I157" s="256"/>
      <c r="J157" s="725"/>
      <c r="K157" s="256"/>
      <c r="L157" s="811"/>
      <c r="M157" s="256"/>
      <c r="N157" s="288"/>
      <c r="O157" s="643"/>
      <c r="P157" s="812"/>
      <c r="Q157" s="587"/>
      <c r="R157" s="141"/>
      <c r="S157" s="256"/>
      <c r="T157" s="813"/>
      <c r="U157" s="256"/>
      <c r="V157" s="814"/>
      <c r="W157" s="643"/>
      <c r="X157" s="256"/>
      <c r="Y157" s="236"/>
      <c r="Z157" s="256"/>
      <c r="AA157" s="816"/>
      <c r="AB157" s="256"/>
      <c r="AC157" s="288"/>
      <c r="AD157" s="643"/>
      <c r="AE157" s="812"/>
      <c r="AF157" s="587"/>
      <c r="AG157" s="296"/>
      <c r="AH157" s="256"/>
      <c r="AI157" s="244"/>
      <c r="AJ157" s="256"/>
      <c r="AK157" s="814"/>
      <c r="AL157" s="643"/>
      <c r="AM157" s="643"/>
      <c r="AN157" s="145"/>
      <c r="AO157" s="969"/>
      <c r="AP157" s="969"/>
      <c r="AQ157" s="145"/>
      <c r="AR157" s="969"/>
      <c r="AS157" s="256"/>
      <c r="AT157" s="315"/>
      <c r="AU157" s="1044"/>
      <c r="AV157" s="976"/>
      <c r="AW157" s="976"/>
      <c r="BL157" s="1482"/>
    </row>
    <row r="158" spans="1:64">
      <c r="A158" s="256"/>
      <c r="B158" s="876">
        <f>+B151+1</f>
        <v>2011</v>
      </c>
      <c r="C158" s="132"/>
      <c r="D158" s="256"/>
      <c r="E158" s="256"/>
      <c r="F158" s="256"/>
      <c r="G158" s="256"/>
      <c r="H158" s="132"/>
      <c r="I158" s="132"/>
      <c r="J158" s="132"/>
      <c r="K158" s="132"/>
      <c r="L158" s="132"/>
      <c r="M158" s="132"/>
      <c r="N158" s="132"/>
      <c r="O158" s="230"/>
      <c r="P158" s="132"/>
      <c r="Q158" s="132"/>
      <c r="R158" s="132"/>
      <c r="S158" s="132"/>
      <c r="T158" s="132"/>
      <c r="U158" s="132"/>
      <c r="V158" s="132"/>
      <c r="W158" s="132"/>
      <c r="X158" s="132"/>
      <c r="Y158" s="132"/>
      <c r="Z158" s="132"/>
      <c r="AA158" s="132"/>
      <c r="AB158" s="132"/>
      <c r="AC158" s="132"/>
      <c r="AD158" s="230"/>
      <c r="AE158" s="132"/>
      <c r="AF158" s="132"/>
      <c r="AG158" s="132"/>
      <c r="AH158" s="132"/>
      <c r="AI158" s="132"/>
      <c r="AJ158" s="132"/>
      <c r="AK158" s="132"/>
      <c r="AL158" s="132"/>
      <c r="AM158" s="132"/>
      <c r="AN158" s="145"/>
      <c r="AO158" s="967"/>
      <c r="AP158" s="967"/>
      <c r="AQ158" s="145"/>
      <c r="AR158" s="967"/>
      <c r="AT158" s="132"/>
      <c r="AU158" s="164"/>
      <c r="AV158" s="132"/>
      <c r="AW158" s="132"/>
      <c r="BL158" s="1482"/>
    </row>
    <row r="159" spans="1:64">
      <c r="A159" s="256" t="str">
        <f>$A$40</f>
        <v>1Q</v>
      </c>
      <c r="B159" s="302" t="str">
        <f>$B$40</f>
        <v>Apr</v>
      </c>
      <c r="C159" s="256"/>
      <c r="D159" s="288">
        <f>(R159/R152-1)*100</f>
        <v>21.269758159393692</v>
      </c>
      <c r="E159" s="643" t="s">
        <v>1970</v>
      </c>
      <c r="F159" s="265">
        <f>+'qtrP&amp;L'!CN10</f>
        <v>15</v>
      </c>
      <c r="G159" s="643" t="s">
        <v>1970</v>
      </c>
      <c r="H159" s="288">
        <f>+D159-F159</f>
        <v>6.2697581593936924</v>
      </c>
      <c r="I159" s="643" t="s">
        <v>1970</v>
      </c>
      <c r="J159" s="725">
        <f>Stores!AS261</f>
        <v>233</v>
      </c>
      <c r="K159" s="256"/>
      <c r="L159" s="811">
        <f>AVERAGE(J159,J155)</f>
        <v>233</v>
      </c>
      <c r="M159" s="256"/>
      <c r="N159" s="288">
        <f>(L159/L152-1)*100</f>
        <v>5.6689342403628107</v>
      </c>
      <c r="O159" s="643" t="s">
        <v>1970</v>
      </c>
      <c r="P159" s="259">
        <f>H159/N159*100</f>
        <v>110.59853393170475</v>
      </c>
      <c r="Q159" s="587" t="s">
        <v>1970</v>
      </c>
      <c r="R159" s="141">
        <f>'qtrP&amp;L'!CL10-AQ159-AN159</f>
        <v>711.77974199903997</v>
      </c>
      <c r="S159" s="238"/>
      <c r="T159" s="813">
        <f>R159/L159</f>
        <v>3.0548486781074677</v>
      </c>
      <c r="U159" s="256"/>
      <c r="V159" s="814">
        <f>(T159/T152-1)*100</f>
        <v>14.763869846121501</v>
      </c>
      <c r="W159" s="643" t="s">
        <v>1970</v>
      </c>
      <c r="X159" s="256"/>
      <c r="Y159" s="236">
        <f>Stores!AZ261</f>
        <v>1.0302</v>
      </c>
      <c r="Z159" s="256"/>
      <c r="AA159" s="816">
        <f>AVERAGE(Y159,Y155)</f>
        <v>1.0346500000000001</v>
      </c>
      <c r="AB159" s="256"/>
      <c r="AC159" s="288">
        <f>(AA159/AA152-1)*100</f>
        <v>5.263788979716777</v>
      </c>
      <c r="AD159" s="643" t="s">
        <v>1970</v>
      </c>
      <c r="AE159" s="812">
        <f>+H159/AC159*100</f>
        <v>119.11112287276839</v>
      </c>
      <c r="AF159" s="587" t="s">
        <v>1970</v>
      </c>
      <c r="AG159" s="296">
        <f>+R159</f>
        <v>711.77974199903997</v>
      </c>
      <c r="AH159" s="256" t="s">
        <v>505</v>
      </c>
      <c r="AI159" s="817">
        <f>AG159/AA159</f>
        <v>687.94253322286761</v>
      </c>
      <c r="AJ159" s="256"/>
      <c r="AK159" s="814">
        <f>(AI159/AI152-1)*100</f>
        <v>15.205579558570781</v>
      </c>
      <c r="AL159" s="643" t="s">
        <v>1970</v>
      </c>
      <c r="AM159" s="643"/>
      <c r="AN159" s="145">
        <f>AN152*(1+AO159/100)</f>
        <v>39.138258000960001</v>
      </c>
      <c r="AO159" s="1161">
        <v>14</v>
      </c>
      <c r="AP159" s="969"/>
      <c r="AQ159" s="145">
        <f>'segSales&amp;comps'!AR187</f>
        <v>10.1</v>
      </c>
      <c r="AR159" s="969">
        <f>(AQ159/AQ152-1)*100</f>
        <v>-17.98619569630532</v>
      </c>
      <c r="AS159" s="256"/>
      <c r="AT159" s="315">
        <f>+R159-AU159</f>
        <v>356.48426592418605</v>
      </c>
      <c r="AU159" s="977">
        <f>+AV159+AW159</f>
        <v>355.29547607485392</v>
      </c>
      <c r="AV159" s="296">
        <f>+SeqQtrSales!V233</f>
        <v>0</v>
      </c>
      <c r="AW159" s="296">
        <f>+SeqQtrSales!V340</f>
        <v>355.29547607485392</v>
      </c>
      <c r="BA159" s="1815">
        <f>'segSales&amp;comps'!E187/'segSales&amp;comps'!$AW187</f>
        <v>0.49237844940867287</v>
      </c>
      <c r="BB159" s="1815">
        <f>'segSales&amp;comps'!Q187/'segSales&amp;comps'!$AW187</f>
        <v>0.21971090670170829</v>
      </c>
      <c r="BC159" s="1815">
        <f>'segSales&amp;comps'!W187/'segSales&amp;comps'!$AW187</f>
        <v>0.16215505913272013</v>
      </c>
      <c r="BD159" s="1815">
        <f>'segSales&amp;comps'!AG187/'segSales&amp;comps'!$AW187</f>
        <v>0.11248357424441525</v>
      </c>
      <c r="BF159" s="1815">
        <f>SeqQtrSales!F177/100</f>
        <v>0.01</v>
      </c>
      <c r="BG159" s="1815">
        <f>SeqQtrSales!F364/100</f>
        <v>0.06</v>
      </c>
      <c r="BH159" s="1815">
        <f>SeqQtrSales!F538/100</f>
        <v>0.1</v>
      </c>
      <c r="BI159" s="1815">
        <f>SeqQtrSales!F458/100</f>
        <v>0.06</v>
      </c>
      <c r="BK159" s="728">
        <f>SUMPRODUCT(BA152:BD152,BF159:BI159)</f>
        <v>4.121827186838093E-2</v>
      </c>
      <c r="BL159" s="1482"/>
    </row>
    <row r="160" spans="1:64">
      <c r="A160" s="256" t="str">
        <f>$A$41</f>
        <v>2Q</v>
      </c>
      <c r="B160" s="302" t="str">
        <f>$B$41</f>
        <v>Jul</v>
      </c>
      <c r="C160" s="256"/>
      <c r="D160" s="288">
        <f>(R160/R153-1)*100</f>
        <v>31.510494418897906</v>
      </c>
      <c r="E160" s="256"/>
      <c r="F160" s="265">
        <f>+'qtrP&amp;L'!CN11</f>
        <v>22</v>
      </c>
      <c r="G160" s="256"/>
      <c r="H160" s="288">
        <f>+D160-F160</f>
        <v>9.5104944188979061</v>
      </c>
      <c r="I160" s="256"/>
      <c r="J160" s="725">
        <f>Stores!AS262</f>
        <v>237</v>
      </c>
      <c r="K160" s="256"/>
      <c r="L160" s="811">
        <f>AVERAGE(J160,J159)</f>
        <v>235</v>
      </c>
      <c r="M160" s="256"/>
      <c r="N160" s="288">
        <f>(L160/L153-1)*100</f>
        <v>5.8558558558558627</v>
      </c>
      <c r="O160" s="643"/>
      <c r="P160" s="812">
        <f>H160/N160*100</f>
        <v>162.4099816150256</v>
      </c>
      <c r="Q160" s="587"/>
      <c r="R160" s="142">
        <f>'qtrP&amp;L'!CL11-AQ160-AN160</f>
        <v>818.17466847743992</v>
      </c>
      <c r="S160" s="238"/>
      <c r="T160" s="818">
        <f>R160/L160</f>
        <v>3.4815943339465529</v>
      </c>
      <c r="U160" s="256"/>
      <c r="V160" s="814">
        <f>(T160/T153-1)*100</f>
        <v>24.235445791469502</v>
      </c>
      <c r="W160" s="643"/>
      <c r="X160" s="256"/>
      <c r="Y160" s="236">
        <f>Stores!AZ262</f>
        <v>1.0427999999999999</v>
      </c>
      <c r="Z160" s="238"/>
      <c r="AA160" s="816">
        <f>AVERAGE(Y160,Y159)</f>
        <v>1.0365</v>
      </c>
      <c r="AB160" s="256"/>
      <c r="AC160" s="288">
        <f>(AA160/AA153-1)*100</f>
        <v>5.1192289373076738</v>
      </c>
      <c r="AD160" s="643"/>
      <c r="AE160" s="812">
        <f>+H160/AC160*100</f>
        <v>185.77982222259638</v>
      </c>
      <c r="AF160" s="587"/>
      <c r="AG160" s="315">
        <f>+R160</f>
        <v>818.17466847743992</v>
      </c>
      <c r="AH160" s="256"/>
      <c r="AI160" s="819">
        <f>AG160/AA160</f>
        <v>789.36292183062221</v>
      </c>
      <c r="AJ160" s="256"/>
      <c r="AK160" s="814">
        <f>(AI160/AI153-1)*100</f>
        <v>25.106030312807714</v>
      </c>
      <c r="AL160" s="643"/>
      <c r="AM160" s="643"/>
      <c r="AN160" s="145">
        <f>AN153*(1+AO160/100)</f>
        <v>37.140331522560011</v>
      </c>
      <c r="AO160" s="1161">
        <v>7</v>
      </c>
      <c r="AP160" s="969"/>
      <c r="AQ160" s="145">
        <f>'segSales&amp;comps'!AR188</f>
        <v>17.396999999999998</v>
      </c>
      <c r="AR160" s="969">
        <f>(AQ160/AQ153-1)*100</f>
        <v>46.033744648703092</v>
      </c>
      <c r="AS160" s="256"/>
      <c r="AT160" s="315">
        <f>+R160-AU160</f>
        <v>818.17466847743992</v>
      </c>
      <c r="AU160" s="974">
        <f>+AV160+AW160</f>
        <v>0</v>
      </c>
      <c r="AV160" s="315">
        <f>+SeqQtrSales!V234</f>
        <v>0</v>
      </c>
      <c r="AW160" s="315">
        <f>+SeqQtrSales!V341</f>
        <v>0</v>
      </c>
      <c r="BA160" s="1815">
        <f>'segSales&amp;comps'!E188/'segSales&amp;comps'!$AW188</f>
        <v>0.5021393082712281</v>
      </c>
      <c r="BB160" s="1815">
        <f>'segSales&amp;comps'!Q188/'segSales&amp;comps'!$AW188</f>
        <v>0.19850878640376207</v>
      </c>
      <c r="BC160" s="1815">
        <f>'segSales&amp;comps'!W188/'segSales&amp;comps'!$AW188</f>
        <v>0.16328639917865231</v>
      </c>
      <c r="BD160" s="1815">
        <f>'segSales&amp;comps'!AG188/'segSales&amp;comps'!$AW188</f>
        <v>0.11613109479415891</v>
      </c>
      <c r="BF160" s="1815">
        <f>SeqQtrSales!F178/100</f>
        <v>0.01</v>
      </c>
      <c r="BG160" s="1815">
        <f>SeqQtrSales!F365/100</f>
        <v>0.1</v>
      </c>
      <c r="BH160" s="1815">
        <f>SeqQtrSales!F539/100</f>
        <v>0.13</v>
      </c>
      <c r="BI160" s="1815">
        <f>SeqQtrSales!F459/100</f>
        <v>0.15</v>
      </c>
      <c r="BK160" s="728">
        <f>SUMPRODUCT(BA153:BD153,BF160:BI160)</f>
        <v>6.2101964830432448E-2</v>
      </c>
      <c r="BL160" s="1482"/>
    </row>
    <row r="161" spans="1:66">
      <c r="A161" s="256" t="str">
        <f>$A$42</f>
        <v>3Q</v>
      </c>
      <c r="B161" s="302" t="str">
        <f>$B$42</f>
        <v>Oct</v>
      </c>
      <c r="C161" s="256"/>
      <c r="D161" s="288">
        <f>(R161/R154-1)*100</f>
        <v>21.869217591984082</v>
      </c>
      <c r="E161" s="256"/>
      <c r="F161" s="265">
        <f>+'qtrP&amp;L'!CN12</f>
        <v>16</v>
      </c>
      <c r="G161" s="256"/>
      <c r="H161" s="288">
        <f>+D161-F161</f>
        <v>5.8692175919840821</v>
      </c>
      <c r="I161" s="256"/>
      <c r="J161" s="725">
        <f>Stores!AS263</f>
        <v>243</v>
      </c>
      <c r="K161" s="238"/>
      <c r="L161" s="811">
        <f>AVERAGE(J161,J160)</f>
        <v>240</v>
      </c>
      <c r="M161" s="256"/>
      <c r="N161" s="288">
        <f>(L161/L154-1)*100</f>
        <v>7.1428571428571397</v>
      </c>
      <c r="O161" s="643"/>
      <c r="P161" s="812">
        <f>H161/N161*100</f>
        <v>82.169046287777178</v>
      </c>
      <c r="Q161" s="587"/>
      <c r="R161" s="142">
        <f>'qtrP&amp;L'!CL12-AQ161-AN161</f>
        <v>778.36341304976997</v>
      </c>
      <c r="S161" s="256"/>
      <c r="T161" s="818">
        <f>R161/L161</f>
        <v>3.2431808877073749</v>
      </c>
      <c r="U161" s="256"/>
      <c r="V161" s="814">
        <f>(T161/T154-1)*100</f>
        <v>13.744603085851793</v>
      </c>
      <c r="W161" s="643"/>
      <c r="X161" s="256"/>
      <c r="Y161" s="236">
        <f>Stores!AZ263</f>
        <v>1.0576285714285716</v>
      </c>
      <c r="Z161" s="238"/>
      <c r="AA161" s="816">
        <f>AVERAGE(Y161,Y160)</f>
        <v>1.0502142857142858</v>
      </c>
      <c r="AB161" s="256"/>
      <c r="AC161" s="288">
        <f>(AA161/AA154-1)*100</f>
        <v>5.8948912359067407</v>
      </c>
      <c r="AD161" s="643"/>
      <c r="AE161" s="812">
        <f>+H161/AC161*100</f>
        <v>99.564476376319277</v>
      </c>
      <c r="AF161" s="587"/>
      <c r="AG161" s="315">
        <f>+R161</f>
        <v>778.36341304976997</v>
      </c>
      <c r="AH161" s="256"/>
      <c r="AI161" s="819">
        <f>AG161/AA161</f>
        <v>741.14723408126088</v>
      </c>
      <c r="AJ161" s="256"/>
      <c r="AK161" s="814">
        <f>(AI161/AI154-1)*100</f>
        <v>15.085077447684059</v>
      </c>
      <c r="AL161" s="643"/>
      <c r="AM161" s="643"/>
      <c r="AN161" s="145">
        <f>AN154*(1+AO161/100)</f>
        <v>31.534586950230004</v>
      </c>
      <c r="AO161" s="1161">
        <v>11</v>
      </c>
      <c r="AP161" s="969"/>
      <c r="AQ161" s="145">
        <f>'segSales&amp;comps'!AR189</f>
        <v>11.869</v>
      </c>
      <c r="AR161" s="969">
        <f>(AQ161/AQ154-1)*100</f>
        <v>-18.883269546200111</v>
      </c>
      <c r="AS161" s="256"/>
      <c r="AT161" s="315">
        <f>+R161-AU161</f>
        <v>778.36341304976997</v>
      </c>
      <c r="AU161" s="974">
        <f>+AV161+AW161</f>
        <v>0</v>
      </c>
      <c r="AV161" s="315">
        <f>+SeqQtrSales!V235</f>
        <v>0</v>
      </c>
      <c r="AW161" s="315">
        <f>+SeqQtrSales!V342</f>
        <v>0</v>
      </c>
      <c r="BA161" s="1815">
        <f>'segSales&amp;comps'!E189/'segSales&amp;comps'!$AW189</f>
        <v>0.47180405151338517</v>
      </c>
      <c r="BB161" s="1815">
        <f>'segSales&amp;comps'!Q189/'segSales&amp;comps'!$AW189</f>
        <v>0.22295857584935874</v>
      </c>
      <c r="BC161" s="1815">
        <f>'segSales&amp;comps'!W189/'segSales&amp;comps'!$AW189</f>
        <v>0.17819771297703607</v>
      </c>
      <c r="BD161" s="1815">
        <f>'segSales&amp;comps'!AG189/'segSales&amp;comps'!$AW189</f>
        <v>0.11259639289482298</v>
      </c>
      <c r="BF161" s="1815">
        <f>SeqQtrSales!F179/100</f>
        <v>0</v>
      </c>
      <c r="BG161" s="1815">
        <f>SeqQtrSales!F366/100</f>
        <v>0.04</v>
      </c>
      <c r="BH161" s="1815">
        <f>SeqQtrSales!F540/100</f>
        <v>0.09</v>
      </c>
      <c r="BI161" s="1815">
        <f>SeqQtrSales!F460/100</f>
        <v>0.04</v>
      </c>
      <c r="BK161" s="728">
        <f>SUMPRODUCT(BA154:BD154,BF161:BI161)</f>
        <v>2.9269768485717929E-2</v>
      </c>
      <c r="BL161" s="1482"/>
    </row>
    <row r="162" spans="1:66">
      <c r="A162" s="256" t="str">
        <f>$A$43</f>
        <v>4Q</v>
      </c>
      <c r="B162" s="302" t="str">
        <f>$B$43</f>
        <v>Jan</v>
      </c>
      <c r="C162" s="256"/>
      <c r="D162" s="176">
        <f>(R162/R155-1)*100</f>
        <v>9.1920666153540775</v>
      </c>
      <c r="E162" s="256"/>
      <c r="F162" s="385">
        <f>+'qtrP&amp;L'!CN13</f>
        <v>5</v>
      </c>
      <c r="G162" s="256"/>
      <c r="H162" s="318">
        <f>+D162-F162</f>
        <v>4.1920666153540775</v>
      </c>
      <c r="I162" s="256"/>
      <c r="J162" s="725">
        <f>Stores!AS264</f>
        <v>248</v>
      </c>
      <c r="K162" s="238"/>
      <c r="L162" s="820">
        <f>AVERAGE(J162,J161)</f>
        <v>245.5</v>
      </c>
      <c r="M162" s="256"/>
      <c r="N162" s="318">
        <f>(L162/L155-1)*100</f>
        <v>7.2052401746724781</v>
      </c>
      <c r="O162" s="643"/>
      <c r="P162" s="820">
        <f>H162/N162*100</f>
        <v>58.180803328247585</v>
      </c>
      <c r="Q162" s="587"/>
      <c r="R162" s="146">
        <f>'qtrP&amp;L'!CL13-AQ162-AN162</f>
        <v>1101.0848558079999</v>
      </c>
      <c r="S162" s="256"/>
      <c r="T162" s="821">
        <f>R162/L162</f>
        <v>4.4850706957556001</v>
      </c>
      <c r="U162" s="256"/>
      <c r="V162" s="298">
        <f>(T162/T155-1)*100</f>
        <v>1.8532922807172447</v>
      </c>
      <c r="W162" s="643"/>
      <c r="X162" s="256"/>
      <c r="Y162" s="1018">
        <f>Stores!AZ264</f>
        <v>1.0667</v>
      </c>
      <c r="Z162" s="238"/>
      <c r="AA162" s="822">
        <f>AVERAGE(Y162,Y161)</f>
        <v>1.0621642857142857</v>
      </c>
      <c r="AB162" s="256"/>
      <c r="AC162" s="318">
        <f>(AA162/AA155-1)*100</f>
        <v>4.431690972705038</v>
      </c>
      <c r="AD162" s="643"/>
      <c r="AE162" s="820">
        <f>+H162/AC162*100</f>
        <v>94.592936221708229</v>
      </c>
      <c r="AF162" s="587"/>
      <c r="AG162" s="316">
        <f>+R162</f>
        <v>1101.0848558079999</v>
      </c>
      <c r="AH162" s="256"/>
      <c r="AI162" s="823">
        <f>AG162/AA162</f>
        <v>1036.6427026564359</v>
      </c>
      <c r="AJ162" s="256"/>
      <c r="AK162" s="298">
        <f>(AI162/AI155-1)*100</f>
        <v>4.5583630776343975</v>
      </c>
      <c r="AL162" s="643"/>
      <c r="AM162" s="643"/>
      <c r="AN162" s="176">
        <f>AN155*(1+AO162/100)</f>
        <v>74.427144192</v>
      </c>
      <c r="AO162" s="1161">
        <v>-4</v>
      </c>
      <c r="AP162" s="969"/>
      <c r="AQ162" s="145">
        <f>'segSales&amp;comps'!AR190</f>
        <v>11.927999999999999</v>
      </c>
      <c r="AR162" s="969">
        <f>(AQ162/AQ155-1)*100</f>
        <v>-22.008630835621844</v>
      </c>
      <c r="AS162" s="256"/>
      <c r="AT162" s="315">
        <f>+R162-AU162</f>
        <v>1010.0178558079999</v>
      </c>
      <c r="AU162" s="974">
        <f>+AV162+AW162</f>
        <v>91.066999999999993</v>
      </c>
      <c r="AV162" s="315">
        <f>+SeqQtrSales!V236</f>
        <v>0</v>
      </c>
      <c r="AW162" s="315">
        <f>+SeqQtrSales!V343</f>
        <v>91.066999999999993</v>
      </c>
      <c r="BA162" s="1815">
        <f>'segSales&amp;comps'!E190/'segSales&amp;comps'!$AW190</f>
        <v>0.50962322306811281</v>
      </c>
      <c r="BB162" s="1815">
        <f>'segSales&amp;comps'!Q190/'segSales&amp;comps'!$AW190</f>
        <v>0.18910681802870044</v>
      </c>
      <c r="BC162" s="1815">
        <f>'segSales&amp;comps'!W190/'segSales&amp;comps'!$AW190</f>
        <v>0.17193795054908034</v>
      </c>
      <c r="BD162" s="1815">
        <f>'segSales&amp;comps'!AG190/'segSales&amp;comps'!$AW190</f>
        <v>0.1193020278919356</v>
      </c>
      <c r="BF162" s="1815">
        <f>SeqQtrSales!F180/100</f>
        <v>0</v>
      </c>
      <c r="BG162" s="1815">
        <f>SeqQtrSales!F367/100</f>
        <v>0.01</v>
      </c>
      <c r="BH162" s="1815">
        <f>SeqQtrSales!F541/100</f>
        <v>0.08</v>
      </c>
      <c r="BI162" s="1815">
        <f>SeqQtrSales!F461/100</f>
        <v>-0.01</v>
      </c>
      <c r="BK162" s="728">
        <f>SUMPRODUCT(BA155:BD155,BF162:BI162)</f>
        <v>1.3726474848235816E-2</v>
      </c>
      <c r="BL162" s="1482"/>
    </row>
    <row r="163" spans="1:66">
      <c r="A163" s="256"/>
      <c r="B163" s="302" t="str">
        <f>$B$44</f>
        <v>Year</v>
      </c>
      <c r="C163" s="256"/>
      <c r="D163" s="288">
        <f>(R163/R156-1)*100</f>
        <v>19.370332999304509</v>
      </c>
      <c r="E163" s="256"/>
      <c r="F163" s="824">
        <f>R159/R163*F159+R160/R163*F160+R161/R163*F161+R162/R163*F162</f>
        <v>13.678577190955956</v>
      </c>
      <c r="G163" s="256"/>
      <c r="H163" s="288">
        <f>D163-F163</f>
        <v>5.6917558083485531</v>
      </c>
      <c r="I163" s="256"/>
      <c r="J163" s="725"/>
      <c r="K163" s="256"/>
      <c r="L163" s="811">
        <f>AVERAGE(L159:L162)</f>
        <v>238.375</v>
      </c>
      <c r="M163" s="256"/>
      <c r="N163" s="288">
        <f>(L163/L156-1)*100</f>
        <v>6.4768285873813447</v>
      </c>
      <c r="O163" s="643"/>
      <c r="P163" s="812">
        <f>H163/N163*100</f>
        <v>87.878747006485085</v>
      </c>
      <c r="Q163" s="587"/>
      <c r="R163" s="141">
        <f>SUM(R159:R162)</f>
        <v>3409.40267933425</v>
      </c>
      <c r="S163" s="256"/>
      <c r="T163" s="813">
        <f>SUM(T159:T162)</f>
        <v>14.264694595516996</v>
      </c>
      <c r="U163" s="256"/>
      <c r="V163" s="814">
        <f>(T163/T156-1)*100</f>
        <v>12.152492456419139</v>
      </c>
      <c r="W163" s="643"/>
      <c r="X163" s="256"/>
      <c r="Y163" s="236"/>
      <c r="Z163" s="256"/>
      <c r="AA163" s="816">
        <f>AVERAGE(AA159:AA162)</f>
        <v>1.0458821428571428</v>
      </c>
      <c r="AB163" s="256"/>
      <c r="AC163" s="288">
        <f>(AA163/AA156-1)*100</f>
        <v>5.1725416586833051</v>
      </c>
      <c r="AD163" s="643"/>
      <c r="AE163" s="812">
        <f>+H163/AC163*100</f>
        <v>110.03789208335573</v>
      </c>
      <c r="AF163" s="587"/>
      <c r="AG163" s="296">
        <f>SUM(AG159:AG162)</f>
        <v>3409.40267933425</v>
      </c>
      <c r="AH163" s="256"/>
      <c r="AI163" s="244">
        <f>AG163/AA163</f>
        <v>3259.834487679881</v>
      </c>
      <c r="AJ163" s="256"/>
      <c r="AK163" s="814">
        <f>(AI163/AI156-1)*100</f>
        <v>13.499522895146265</v>
      </c>
      <c r="AL163" s="643"/>
      <c r="AM163" s="643"/>
      <c r="AN163" s="145">
        <f>SUM(AN159:AN162)</f>
        <v>182.24032066575</v>
      </c>
      <c r="AO163" s="969">
        <f>100*(AN163/AN156-1)</f>
        <v>4.1491047841574424</v>
      </c>
      <c r="AP163" s="969"/>
      <c r="AQ163" s="145">
        <f>'segSales&amp;comps'!AR191</f>
        <v>51.293999999999997</v>
      </c>
      <c r="AR163" s="969">
        <f>(AQ163/AQ156-1)*100</f>
        <v>-5.2812349964915022</v>
      </c>
      <c r="AS163" s="256"/>
      <c r="AT163" s="315">
        <f>+R163-AU163</f>
        <v>2963.0402032593961</v>
      </c>
      <c r="AU163" s="975">
        <f>+SUM(AU159:AU162)</f>
        <v>446.36247607485393</v>
      </c>
      <c r="AV163" s="976">
        <f>+SUM(AV159:AV162)</f>
        <v>0</v>
      </c>
      <c r="AW163" s="976">
        <f>+SUM(AW159:AW162)</f>
        <v>446.36247607485393</v>
      </c>
      <c r="BA163" s="1815">
        <f>'segSales&amp;comps'!E191/'segSales&amp;comps'!$AW191</f>
        <v>0.49569427085892503</v>
      </c>
      <c r="BB163" s="1815">
        <f>'segSales&amp;comps'!Q191/'segSales&amp;comps'!$AW191</f>
        <v>0.20538757601352978</v>
      </c>
      <c r="BC163" s="1815">
        <f>'segSales&amp;comps'!W191/'segSales&amp;comps'!$AW191</f>
        <v>0.16923295681478981</v>
      </c>
      <c r="BD163" s="1815">
        <f>'segSales&amp;comps'!AG191/'segSales&amp;comps'!$AW191</f>
        <v>0.11560479909479632</v>
      </c>
      <c r="BF163" s="1815">
        <f>SeqQtrSales!F181/100</f>
        <v>4.2277610854004046E-3</v>
      </c>
      <c r="BG163" s="1815">
        <f>SeqQtrSales!F368/100</f>
        <v>4.6348723682030323E-2</v>
      </c>
      <c r="BH163" s="1815">
        <f>SeqQtrSales!F542/100</f>
        <v>9.7935734503369787E-2</v>
      </c>
      <c r="BI163" s="1815">
        <f>SeqQtrSales!F462/100</f>
        <v>4.8142565356080816E-2</v>
      </c>
      <c r="BK163" s="728">
        <f>SUMPRODUCT(BA156:BD156,BF163:BI163)</f>
        <v>3.3386917446420993E-2</v>
      </c>
      <c r="BL163" s="1482"/>
    </row>
    <row r="164" spans="1:66">
      <c r="A164" s="256"/>
      <c r="B164" s="302"/>
      <c r="C164" s="256"/>
      <c r="D164" s="288"/>
      <c r="E164" s="256"/>
      <c r="F164" s="824"/>
      <c r="G164" s="256"/>
      <c r="H164" s="288"/>
      <c r="I164" s="256"/>
      <c r="J164" s="725"/>
      <c r="K164" s="256"/>
      <c r="L164" s="811"/>
      <c r="M164" s="256"/>
      <c r="N164" s="288"/>
      <c r="O164" s="643"/>
      <c r="P164" s="812"/>
      <c r="Q164" s="587"/>
      <c r="R164" s="141"/>
      <c r="S164" s="256"/>
      <c r="T164" s="813"/>
      <c r="U164" s="256"/>
      <c r="V164" s="814"/>
      <c r="W164" s="643"/>
      <c r="X164" s="256"/>
      <c r="Y164" s="236"/>
      <c r="Z164" s="256"/>
      <c r="AA164" s="816"/>
      <c r="AB164" s="256"/>
      <c r="AC164" s="288"/>
      <c r="AD164" s="643"/>
      <c r="AE164" s="812"/>
      <c r="AF164" s="587"/>
      <c r="AG164" s="296"/>
      <c r="AH164" s="256"/>
      <c r="AI164" s="244"/>
      <c r="AJ164" s="256"/>
      <c r="AK164" s="814"/>
      <c r="AL164" s="643"/>
      <c r="AM164" s="643"/>
      <c r="AN164" s="145"/>
      <c r="AO164" s="969"/>
      <c r="AP164" s="969"/>
      <c r="AQ164" s="145"/>
      <c r="AR164" s="969"/>
      <c r="AS164" s="256"/>
      <c r="AT164" s="315"/>
      <c r="AU164" s="1044"/>
      <c r="AV164" s="976"/>
      <c r="AW164" s="976"/>
      <c r="BL164" s="1482"/>
    </row>
    <row r="165" spans="1:66">
      <c r="A165" s="256"/>
      <c r="B165" s="876">
        <f>+B158+1</f>
        <v>2012</v>
      </c>
      <c r="C165" s="132"/>
      <c r="D165" s="256"/>
      <c r="E165" s="256"/>
      <c r="F165" s="256"/>
      <c r="G165" s="256"/>
      <c r="H165" s="132"/>
      <c r="I165" s="132"/>
      <c r="J165" s="132"/>
      <c r="K165" s="132"/>
      <c r="L165" s="132"/>
      <c r="M165" s="132"/>
      <c r="N165" s="132"/>
      <c r="O165" s="230"/>
      <c r="P165" s="132"/>
      <c r="Q165" s="132"/>
      <c r="R165" s="132"/>
      <c r="S165" s="132"/>
      <c r="T165" s="132"/>
      <c r="U165" s="132"/>
      <c r="V165" s="132"/>
      <c r="W165" s="132"/>
      <c r="X165" s="132"/>
      <c r="Y165" s="132"/>
      <c r="Z165" s="132"/>
      <c r="AA165" s="132"/>
      <c r="AB165" s="132"/>
      <c r="AC165" s="132"/>
      <c r="AD165" s="230"/>
      <c r="AE165" s="132"/>
      <c r="AF165" s="132"/>
      <c r="AG165" s="132"/>
      <c r="AH165" s="132"/>
      <c r="AI165" s="132"/>
      <c r="AJ165" s="132"/>
      <c r="AK165" s="132"/>
      <c r="AL165" s="132"/>
      <c r="AM165" s="132"/>
      <c r="AN165" s="145"/>
      <c r="AO165" s="967"/>
      <c r="AP165" s="967"/>
      <c r="AQ165" s="145"/>
      <c r="AR165" s="967"/>
      <c r="AT165" s="132"/>
      <c r="AU165" s="164"/>
      <c r="AV165" s="132"/>
      <c r="AW165" s="132"/>
      <c r="BL165" s="1482"/>
    </row>
    <row r="166" spans="1:66">
      <c r="A166" s="256" t="str">
        <f>$A$40</f>
        <v>1Q</v>
      </c>
      <c r="B166" s="302" t="str">
        <f>$B$40</f>
        <v>Apr</v>
      </c>
      <c r="C166" s="256"/>
      <c r="D166" s="288">
        <f>(R166/R159-1)*100</f>
        <v>8.3074319105965966</v>
      </c>
      <c r="E166" s="643" t="s">
        <v>1970</v>
      </c>
      <c r="F166" s="265">
        <f>+'qtrP&amp;L'!CR10</f>
        <v>4</v>
      </c>
      <c r="G166" s="643" t="s">
        <v>1970</v>
      </c>
      <c r="H166" s="288">
        <f>+D166-F166</f>
        <v>4.3074319105965966</v>
      </c>
      <c r="I166" s="643" t="s">
        <v>1970</v>
      </c>
      <c r="J166" s="725">
        <f>Stores!AS268</f>
        <v>252</v>
      </c>
      <c r="K166" s="256"/>
      <c r="L166" s="811">
        <f>AVERAGE(J166,J162)</f>
        <v>250</v>
      </c>
      <c r="M166" s="256"/>
      <c r="N166" s="288">
        <f>(L166/L159-1)*100</f>
        <v>7.296137339055786</v>
      </c>
      <c r="O166" s="643" t="s">
        <v>1970</v>
      </c>
      <c r="P166" s="259">
        <f>H166/N166*100</f>
        <v>59.037155009941657</v>
      </c>
      <c r="Q166" s="587" t="s">
        <v>1970</v>
      </c>
      <c r="R166" s="141">
        <f>'qtrP&amp;L'!CP10-AQ166-AN166</f>
        <v>770.91035941903033</v>
      </c>
      <c r="S166" s="238"/>
      <c r="T166" s="813">
        <f>R166/L166</f>
        <v>3.0836414376761212</v>
      </c>
      <c r="U166" s="256"/>
      <c r="V166" s="814">
        <f>(T166/T159-1)*100</f>
        <v>0.94252654067601416</v>
      </c>
      <c r="W166" s="643" t="s">
        <v>1970</v>
      </c>
      <c r="X166" s="256"/>
      <c r="Y166" s="236">
        <f>Stores!AZ268</f>
        <v>1.08605</v>
      </c>
      <c r="Z166" s="256"/>
      <c r="AA166" s="816">
        <f>AVERAGE(Y166,Y162)</f>
        <v>1.0763750000000001</v>
      </c>
      <c r="AB166" s="256"/>
      <c r="AC166" s="288">
        <f>(AA166/AA159-1)*100</f>
        <v>4.0327647030396818</v>
      </c>
      <c r="AD166" s="643" t="s">
        <v>1970</v>
      </c>
      <c r="AE166" s="812">
        <f>+H166/AC166*100</f>
        <v>106.81089098379297</v>
      </c>
      <c r="AF166" s="587" t="s">
        <v>1970</v>
      </c>
      <c r="AG166" s="296">
        <f>+R166</f>
        <v>770.91035941903033</v>
      </c>
      <c r="AH166" s="256" t="s">
        <v>505</v>
      </c>
      <c r="AI166" s="817">
        <f>AG166/AA166</f>
        <v>716.20983339359452</v>
      </c>
      <c r="AJ166" s="256"/>
      <c r="AK166" s="814">
        <f>(AI166/AI159-1)*100</f>
        <v>4.1089624213668685</v>
      </c>
      <c r="AL166" s="643" t="s">
        <v>1970</v>
      </c>
      <c r="AM166" s="643"/>
      <c r="AN166" s="145">
        <f>AN159*(1+AO166/100)</f>
        <v>39.529640580969598</v>
      </c>
      <c r="AO166" s="1161">
        <v>1</v>
      </c>
      <c r="AP166" s="969"/>
      <c r="AQ166" s="145">
        <f>'segSales&amp;comps'!AR194</f>
        <v>8.73</v>
      </c>
      <c r="AR166" s="969">
        <f>(AQ166/AQ159-1)*100</f>
        <v>-13.564356435643553</v>
      </c>
      <c r="AS166" s="256"/>
      <c r="AT166" s="315"/>
      <c r="AU166" s="977"/>
      <c r="AV166" s="296"/>
      <c r="AW166" s="296"/>
      <c r="AY166" s="1815">
        <f>'qtrP&amp;L'!CP10/'qtrP&amp;L'!CL10-1</f>
        <v>7.6413435687460618E-2</v>
      </c>
      <c r="BA166" s="1815">
        <f>'segSales&amp;comps'!E194/'segSales&amp;comps'!$AW194</f>
        <v>0.47081069863398317</v>
      </c>
      <c r="BB166" s="1815">
        <f>'segSales&amp;comps'!Q194/'segSales&amp;comps'!$AW194</f>
        <v>0.2381312792216512</v>
      </c>
      <c r="BC166" s="1815">
        <f>'segSales&amp;comps'!W194/'segSales&amp;comps'!$AW194</f>
        <v>0.17308861408498846</v>
      </c>
      <c r="BD166" s="1815">
        <f>'segSales&amp;comps'!AG194/'segSales&amp;comps'!$AW194</f>
        <v>0.10731227950242318</v>
      </c>
      <c r="BF166" s="1815">
        <f>SeqQtrSales!F184/100</f>
        <v>0</v>
      </c>
      <c r="BG166" s="1815">
        <f>SeqQtrSales!F371/100</f>
        <v>0.01</v>
      </c>
      <c r="BH166" s="1815">
        <f>SeqQtrSales!F545/100</f>
        <v>0.02</v>
      </c>
      <c r="BI166" s="1815">
        <f>SeqQtrSales!F465/100</f>
        <v>-0.04</v>
      </c>
      <c r="BK166" s="728">
        <f>SUMPRODUCT(BA159:BD159,BF166:BI166)</f>
        <v>9.4086727989487525E-4</v>
      </c>
      <c r="BL166" s="1482">
        <v>0</v>
      </c>
      <c r="BN166" s="1482">
        <f>AY166-BL166</f>
        <v>7.6413435687460618E-2</v>
      </c>
    </row>
    <row r="167" spans="1:66">
      <c r="A167" s="256" t="str">
        <f>$A$41</f>
        <v>2Q</v>
      </c>
      <c r="B167" s="302" t="str">
        <f>$B$41</f>
        <v>Jul</v>
      </c>
      <c r="C167" s="256"/>
      <c r="D167" s="288">
        <f>(R167/R160-1)*100</f>
        <v>1.2924856343941915</v>
      </c>
      <c r="E167" s="256"/>
      <c r="F167" s="265">
        <f>+'qtrP&amp;L'!CR11</f>
        <v>-1</v>
      </c>
      <c r="G167" s="256"/>
      <c r="H167" s="288">
        <f>+D167-F167</f>
        <v>2.2924856343941915</v>
      </c>
      <c r="I167" s="256"/>
      <c r="J167" s="725">
        <f>Stores!AS269</f>
        <v>261</v>
      </c>
      <c r="K167" s="256"/>
      <c r="L167" s="811">
        <f>AVERAGE(J167,J166)</f>
        <v>256.5</v>
      </c>
      <c r="M167" s="256"/>
      <c r="N167" s="288">
        <f>(L167/L160-1)*100</f>
        <v>9.1489361702127745</v>
      </c>
      <c r="O167" s="643"/>
      <c r="P167" s="812">
        <f>H167/N167*100</f>
        <v>25.057401120122535</v>
      </c>
      <c r="Q167" s="587"/>
      <c r="R167" s="142">
        <f>'qtrP&amp;L'!CP11-AQ167-AN167</f>
        <v>828.74945853176314</v>
      </c>
      <c r="S167" s="238"/>
      <c r="T167" s="818">
        <f>R167/L167</f>
        <v>3.2309920410595052</v>
      </c>
      <c r="U167" s="256"/>
      <c r="V167" s="814">
        <f>(T167/T160-1)*100</f>
        <v>-7.1979176449020184</v>
      </c>
      <c r="W167" s="643"/>
      <c r="X167" s="256"/>
      <c r="Y167" s="236">
        <f>Stores!AZ269</f>
        <v>1.0978000000000001</v>
      </c>
      <c r="Z167" s="238"/>
      <c r="AA167" s="816">
        <f>AVERAGE(Y167,Y166)</f>
        <v>1.091925</v>
      </c>
      <c r="AB167" s="256"/>
      <c r="AC167" s="288">
        <f>(AA167/AA160-1)*100</f>
        <v>5.3473227206946472</v>
      </c>
      <c r="AD167" s="643"/>
      <c r="AE167" s="812">
        <f>+H167/AC167*100</f>
        <v>42.871652865125462</v>
      </c>
      <c r="AF167" s="587"/>
      <c r="AG167" s="315">
        <f>+R167</f>
        <v>828.74945853176314</v>
      </c>
      <c r="AH167" s="256"/>
      <c r="AI167" s="819">
        <f>AG167/AA167</f>
        <v>758.98020333975603</v>
      </c>
      <c r="AJ167" s="256"/>
      <c r="AK167" s="814">
        <f>(AI167/AI160-1)*100</f>
        <v>-3.8490176888984373</v>
      </c>
      <c r="AL167" s="643"/>
      <c r="AM167" s="643"/>
      <c r="AN167" s="145">
        <f>AN160*(1+AO167/100)</f>
        <v>38.254541468236809</v>
      </c>
      <c r="AO167" s="1161">
        <v>3</v>
      </c>
      <c r="AP167" s="969"/>
      <c r="AQ167" s="145">
        <f>'segSales&amp;comps'!AR195</f>
        <v>19.565000000000001</v>
      </c>
      <c r="AR167" s="969">
        <f>(AQ167/AQ160-1)*100</f>
        <v>12.46191872161868</v>
      </c>
      <c r="AS167" s="256"/>
      <c r="AT167" s="315"/>
      <c r="AU167" s="974"/>
      <c r="AV167" s="315"/>
      <c r="AW167" s="315"/>
      <c r="AY167" s="1815">
        <f>'qtrP&amp;L'!CP11/'qtrP&amp;L'!CL11-1</f>
        <v>1.5878090366581388E-2</v>
      </c>
      <c r="BA167" s="1815">
        <f>'segSales&amp;comps'!E195/'segSales&amp;comps'!$AW195</f>
        <v>0.4895151984786294</v>
      </c>
      <c r="BB167" s="1815">
        <f>'segSales&amp;comps'!Q195/'segSales&amp;comps'!$AW195</f>
        <v>0.19641787610439798</v>
      </c>
      <c r="BC167" s="1815">
        <f>'segSales&amp;comps'!W195/'segSales&amp;comps'!$AW195</f>
        <v>0.178962945918479</v>
      </c>
      <c r="BD167" s="1815">
        <f>'segSales&amp;comps'!AG195/'segSales&amp;comps'!$AW195</f>
        <v>0.11303575920204745</v>
      </c>
      <c r="BF167" s="1815">
        <f>SeqQtrSales!F185/100</f>
        <v>-0.01</v>
      </c>
      <c r="BG167" s="1815">
        <f>SeqQtrSales!F372/100</f>
        <v>-0.05</v>
      </c>
      <c r="BH167" s="1815">
        <f>SeqQtrSales!F546/100</f>
        <v>0.01</v>
      </c>
      <c r="BI167" s="1815">
        <f>SeqQtrSales!F466/100</f>
        <v>-0.09</v>
      </c>
      <c r="BK167" s="728">
        <f>SUMPRODUCT(BA160:BD160,BF167:BI167)</f>
        <v>-2.3765766942588168E-2</v>
      </c>
      <c r="BL167" s="1482">
        <v>-0.01</v>
      </c>
      <c r="BN167" s="1482">
        <f>AY167-BL167</f>
        <v>2.587809036658139E-2</v>
      </c>
    </row>
    <row r="168" spans="1:66">
      <c r="A168" s="256" t="str">
        <f>$A$42</f>
        <v>3Q</v>
      </c>
      <c r="B168" s="302" t="str">
        <f>$B$42</f>
        <v>Oct</v>
      </c>
      <c r="C168" s="256"/>
      <c r="D168" s="288">
        <f>(R168/R161-1)*100</f>
        <v>2.9417739008681387</v>
      </c>
      <c r="E168" s="256"/>
      <c r="F168" s="265">
        <f>+'qtrP&amp;L'!CR12</f>
        <v>1</v>
      </c>
      <c r="G168" s="256"/>
      <c r="H168" s="288">
        <f>+D168-F168</f>
        <v>1.9417739008681387</v>
      </c>
      <c r="I168" s="256"/>
      <c r="J168" s="725">
        <f>Stores!AS270</f>
        <v>274</v>
      </c>
      <c r="K168" s="238"/>
      <c r="L168" s="811">
        <f>AVERAGE(J168,J167)</f>
        <v>267.5</v>
      </c>
      <c r="M168" s="256"/>
      <c r="N168" s="288">
        <f>(L168/L161-1)*100</f>
        <v>11.458333333333325</v>
      </c>
      <c r="O168" s="643"/>
      <c r="P168" s="812">
        <f>H168/N168*100</f>
        <v>16.946390407576494</v>
      </c>
      <c r="Q168" s="587"/>
      <c r="R168" s="142">
        <f>'qtrP&amp;L'!CP12-AQ168-AN168</f>
        <v>801.26110478877456</v>
      </c>
      <c r="S168" s="256"/>
      <c r="T168" s="818">
        <f>R168/L168</f>
        <v>2.9953686160328021</v>
      </c>
      <c r="U168" s="256"/>
      <c r="V168" s="814">
        <f>(T168/T161-1)*100</f>
        <v>-7.641025285202419</v>
      </c>
      <c r="W168" s="643"/>
      <c r="X168" s="256"/>
      <c r="Y168" s="236">
        <f>Stores!AZ270</f>
        <v>1.1379609090909091</v>
      </c>
      <c r="Z168" s="238"/>
      <c r="AA168" s="816">
        <f>AVERAGE(Y168,Y167)</f>
        <v>1.1178804545454546</v>
      </c>
      <c r="AB168" s="256"/>
      <c r="AC168" s="288">
        <f>(AA168/AA161-1)*100</f>
        <v>6.443082116822163</v>
      </c>
      <c r="AD168" s="643"/>
      <c r="AE168" s="812">
        <f>+H168/AC168*100</f>
        <v>30.137345227967611</v>
      </c>
      <c r="AF168" s="587"/>
      <c r="AG168" s="315">
        <f>+R168</f>
        <v>801.26110478877456</v>
      </c>
      <c r="AH168" s="256"/>
      <c r="AI168" s="819">
        <f>AG168/AA168</f>
        <v>716.76814951968925</v>
      </c>
      <c r="AJ168" s="256"/>
      <c r="AK168" s="814">
        <f>(AI168/AI161-1)*100</f>
        <v>-3.2893713206381126</v>
      </c>
      <c r="AL168" s="643"/>
      <c r="AM168" s="643"/>
      <c r="AN168" s="145">
        <f>AN161*(1+AO168/100)</f>
        <v>30.903895211225404</v>
      </c>
      <c r="AO168" s="1161">
        <v>-2</v>
      </c>
      <c r="AP168" s="969"/>
      <c r="AQ168" s="145">
        <f>'segSales&amp;comps'!AR196</f>
        <v>20.576000000000001</v>
      </c>
      <c r="AR168" s="969">
        <f>(AQ168/AQ161-1)*100</f>
        <v>73.359170949532398</v>
      </c>
      <c r="AS168" s="256"/>
      <c r="AT168" s="315"/>
      <c r="AU168" s="974"/>
      <c r="AV168" s="315"/>
      <c r="AW168" s="315"/>
      <c r="AY168" s="1815">
        <f>'qtrP&amp;L'!CP12/'qtrP&amp;L'!CL12-1</f>
        <v>3.769194917780827E-2</v>
      </c>
      <c r="BA168" s="1815">
        <f>'segSales&amp;comps'!E196/'segSales&amp;comps'!$AW196</f>
        <v>0.46920811829148595</v>
      </c>
      <c r="BB168" s="1815">
        <f>'segSales&amp;comps'!Q196/'segSales&amp;comps'!$AW196</f>
        <v>0.22009613704512859</v>
      </c>
      <c r="BC168" s="1815">
        <f>'segSales&amp;comps'!W196/'segSales&amp;comps'!$AW196</f>
        <v>0.17206044977314333</v>
      </c>
      <c r="BD168" s="1815">
        <f>'segSales&amp;comps'!AG196/'segSales&amp;comps'!$AW196</f>
        <v>0.11450604579819665</v>
      </c>
      <c r="BF168" s="1815">
        <f>SeqQtrSales!F186/100</f>
        <v>0</v>
      </c>
      <c r="BG168" s="1815">
        <f>SeqQtrSales!F373/100</f>
        <v>0</v>
      </c>
      <c r="BH168" s="1815">
        <f>SeqQtrSales!F547/100</f>
        <v>-0.03</v>
      </c>
      <c r="BI168" s="1815">
        <f>SeqQtrSales!F467/100</f>
        <v>-0.05</v>
      </c>
      <c r="BK168" s="728">
        <f>SUMPRODUCT(BA161:BD161,BF168:BI168)</f>
        <v>-1.0975751034052232E-2</v>
      </c>
      <c r="BL168" s="1482">
        <v>-0.01</v>
      </c>
      <c r="BN168" s="1482">
        <f>AY168-BL168</f>
        <v>4.7691949177808272E-2</v>
      </c>
    </row>
    <row r="169" spans="1:66">
      <c r="A169" s="256" t="str">
        <f>$A$43</f>
        <v>4Q</v>
      </c>
      <c r="B169" s="302" t="str">
        <f>$B$43</f>
        <v>Jan</v>
      </c>
      <c r="C169" s="256"/>
      <c r="D169" s="176">
        <f>(R169/R162-1)*100</f>
        <v>2.9202446277298399</v>
      </c>
      <c r="E169" s="256"/>
      <c r="F169" s="389">
        <f>+'qtrP&amp;L'!CR13</f>
        <v>0</v>
      </c>
      <c r="G169" s="256"/>
      <c r="H169" s="318">
        <f>+D169-F169</f>
        <v>2.9202446277298399</v>
      </c>
      <c r="I169" s="256"/>
      <c r="J169" s="725">
        <f>Stores!AS271</f>
        <v>276</v>
      </c>
      <c r="K169" s="238"/>
      <c r="L169" s="820">
        <f>AVERAGE(J169,J168)</f>
        <v>275</v>
      </c>
      <c r="M169" s="256"/>
      <c r="N169" s="318">
        <f>(L169/L162-1)*100</f>
        <v>12.016293279022406</v>
      </c>
      <c r="O169" s="643"/>
      <c r="P169" s="820">
        <f>H169/N169*100</f>
        <v>24.302374783311034</v>
      </c>
      <c r="Q169" s="587"/>
      <c r="R169" s="146">
        <f>'qtrP&amp;L'!CP13-AQ169-AN169</f>
        <v>1133.23922715648</v>
      </c>
      <c r="S169" s="256"/>
      <c r="T169" s="821">
        <f>R169/L169</f>
        <v>4.1208699169326541</v>
      </c>
      <c r="U169" s="256"/>
      <c r="V169" s="298">
        <f>(T169/T162-1)*100</f>
        <v>-8.1202907050629936</v>
      </c>
      <c r="W169" s="643"/>
      <c r="X169" s="256"/>
      <c r="Y169" s="1018">
        <f>Stores!AZ271</f>
        <v>1.1447499999999999</v>
      </c>
      <c r="Z169" s="238"/>
      <c r="AA169" s="822">
        <f>AVERAGE(Y169,Y168)</f>
        <v>1.1413554545454545</v>
      </c>
      <c r="AB169" s="256"/>
      <c r="AC169" s="318">
        <f>(AA169/AA162-1)*100</f>
        <v>7.455642210556368</v>
      </c>
      <c r="AD169" s="643"/>
      <c r="AE169" s="820">
        <f>+H169/AC169*100</f>
        <v>39.168250638356753</v>
      </c>
      <c r="AF169" s="587"/>
      <c r="AG169" s="316">
        <f>+R169</f>
        <v>1133.23922715648</v>
      </c>
      <c r="AH169" s="256"/>
      <c r="AI169" s="823">
        <f>AG169/AA169</f>
        <v>992.88895728613591</v>
      </c>
      <c r="AJ169" s="256"/>
      <c r="AK169" s="298">
        <f>(AI169/AI162-1)*100</f>
        <v>-4.220716092263932</v>
      </c>
      <c r="AL169" s="643"/>
      <c r="AM169" s="643"/>
      <c r="AN169" s="176">
        <f>AN162*(1+AO169/100)</f>
        <v>78.892772843520007</v>
      </c>
      <c r="AO169" s="1161">
        <v>6</v>
      </c>
      <c r="AP169" s="969"/>
      <c r="AQ169" s="145">
        <f>'segSales&amp;comps'!AR197</f>
        <v>23.636999999999993</v>
      </c>
      <c r="AR169" s="969">
        <f>(AQ169/AQ162-1)*100</f>
        <v>98.163983903420487</v>
      </c>
      <c r="AS169" s="256"/>
      <c r="AT169" s="315"/>
      <c r="AU169" s="974"/>
      <c r="AV169" s="315"/>
      <c r="AW169" s="315"/>
      <c r="AY169" s="1815">
        <f>'qtrP&amp;L'!CP13/'qtrP&amp;L'!CL13-1</f>
        <v>4.070016169238011E-2</v>
      </c>
      <c r="BA169" s="1815">
        <f>'segSales&amp;comps'!E197/'segSales&amp;comps'!$AW197</f>
        <v>0.50186806757573632</v>
      </c>
      <c r="BB169" s="1815">
        <f>'segSales&amp;comps'!Q197/'segSales&amp;comps'!$AW197</f>
        <v>0.20515727453917351</v>
      </c>
      <c r="BC169" s="1815">
        <f>'segSales&amp;comps'!W197/'segSales&amp;comps'!$AW197</f>
        <v>0.15537693533338348</v>
      </c>
      <c r="BD169" s="1815">
        <f>'segSales&amp;comps'!AG197/'segSales&amp;comps'!$AW197</f>
        <v>0.11847036137012663</v>
      </c>
      <c r="BF169" s="1815">
        <f>SeqQtrSales!F187/100</f>
        <v>0</v>
      </c>
      <c r="BG169" s="1815">
        <f>SeqQtrSales!F374/100</f>
        <v>0.03</v>
      </c>
      <c r="BH169" s="1815">
        <f>SeqQtrSales!F548/100</f>
        <v>-0.09</v>
      </c>
      <c r="BI169" s="1815">
        <f>SeqQtrSales!F468/100</f>
        <v>0</v>
      </c>
      <c r="BK169" s="728">
        <f>SUMPRODUCT(BA162:BD162,BF169:BI169)</f>
        <v>-9.8012110085562171E-3</v>
      </c>
      <c r="BL169" s="1482">
        <v>-0.01</v>
      </c>
      <c r="BN169" s="1482">
        <f>AY169-BL169</f>
        <v>5.0700161692380112E-2</v>
      </c>
    </row>
    <row r="170" spans="1:66">
      <c r="A170" s="256"/>
      <c r="B170" s="302" t="str">
        <f>$B$44</f>
        <v>Year</v>
      </c>
      <c r="C170" s="256"/>
      <c r="D170" s="288">
        <f>(R170/R163-1)*100</f>
        <v>3.6592178248114449</v>
      </c>
      <c r="E170" s="256"/>
      <c r="F170" s="824">
        <f>R166/R170*F166+R167/R170*F167+R168/R170*F168+R169/R170*F169</f>
        <v>0.86474663125354545</v>
      </c>
      <c r="G170" s="256"/>
      <c r="H170" s="288">
        <f>D170-F170</f>
        <v>2.7944711935578992</v>
      </c>
      <c r="I170" s="256"/>
      <c r="J170" s="725"/>
      <c r="K170" s="256"/>
      <c r="L170" s="811">
        <f>AVERAGE(L166:L169)</f>
        <v>262.25</v>
      </c>
      <c r="M170" s="256"/>
      <c r="N170" s="288">
        <f>(L170/L163-1)*100</f>
        <v>10.015731515469328</v>
      </c>
      <c r="O170" s="643"/>
      <c r="P170" s="812">
        <f>H170/N170*100</f>
        <v>27.900819717879116</v>
      </c>
      <c r="Q170" s="587"/>
      <c r="R170" s="141">
        <f>SUM(R166:R169)</f>
        <v>3534.1601498960481</v>
      </c>
      <c r="S170" s="256"/>
      <c r="T170" s="813">
        <f>SUM(T166:T169)</f>
        <v>13.430872011701084</v>
      </c>
      <c r="U170" s="256"/>
      <c r="V170" s="814">
        <f>(T170/T163-1)*100</f>
        <v>-5.8453588209169238</v>
      </c>
      <c r="W170" s="643"/>
      <c r="X170" s="256"/>
      <c r="Y170" s="236"/>
      <c r="Z170" s="256"/>
      <c r="AA170" s="816">
        <f>AVERAGE(AA166:AA169)</f>
        <v>1.1068839772727275</v>
      </c>
      <c r="AB170" s="256"/>
      <c r="AC170" s="288">
        <f>(AA170/AA163-1)*100</f>
        <v>5.8325725161479269</v>
      </c>
      <c r="AD170" s="643"/>
      <c r="AE170" s="812">
        <f>+H170/AC170*100</f>
        <v>47.911469352866</v>
      </c>
      <c r="AF170" s="587"/>
      <c r="AG170" s="296">
        <f>SUM(AG166:AG169)</f>
        <v>3534.1601498960481</v>
      </c>
      <c r="AH170" s="256"/>
      <c r="AI170" s="244">
        <f>AG170/AA170</f>
        <v>3192.8912356324217</v>
      </c>
      <c r="AJ170" s="256"/>
      <c r="AK170" s="814">
        <f>(AI170/AI163-1)*100</f>
        <v>-2.0535782506891809</v>
      </c>
      <c r="AL170" s="643"/>
      <c r="AM170" s="643"/>
      <c r="AN170" s="145">
        <f>SUM(AN166:AN169)</f>
        <v>187.58085010395183</v>
      </c>
      <c r="AO170" s="1161">
        <v>4</v>
      </c>
      <c r="AP170" s="969"/>
      <c r="AQ170" s="145">
        <f>'segSales&amp;comps'!AR198</f>
        <v>72.507999999999996</v>
      </c>
      <c r="AR170" s="969">
        <f>(AQ170/AQ163-1)*100</f>
        <v>41.357663664366193</v>
      </c>
      <c r="AS170" s="256"/>
      <c r="AT170" s="315"/>
      <c r="AU170" s="975"/>
      <c r="AV170" s="976"/>
      <c r="AW170" s="976"/>
      <c r="AY170" s="1815">
        <f>'qtrP&amp;L'!CP14/'qtrP&amp;L'!CL14-1</f>
        <v>4.1535716922911137E-2</v>
      </c>
      <c r="BA170" s="1815">
        <f>'segSales&amp;comps'!E198/'segSales&amp;comps'!$AW198</f>
        <v>0.48493628119820292</v>
      </c>
      <c r="BB170" s="1815">
        <f>'segSales&amp;comps'!Q198/'segSales&amp;comps'!$AW198</f>
        <v>0.21359167519053174</v>
      </c>
      <c r="BC170" s="1815">
        <f>'segSales&amp;comps'!W198/'segSales&amp;comps'!$AW198</f>
        <v>0.16846153217672324</v>
      </c>
      <c r="BD170" s="1815">
        <f>'segSales&amp;comps'!AG198/'segSales&amp;comps'!$AW198</f>
        <v>0.11390053736589244</v>
      </c>
      <c r="BF170" s="1815">
        <f>SeqQtrSales!F188/100</f>
        <v>-2.4267755317222504E-3</v>
      </c>
      <c r="BG170" s="1815">
        <f>SeqQtrSales!F375/100</f>
        <v>-3.3875335131392734E-4</v>
      </c>
      <c r="BH170" s="1815">
        <f>SeqQtrSales!F549/100</f>
        <v>-2.700341841563866E-2</v>
      </c>
      <c r="BI170" s="1815">
        <f>SeqQtrSales!F469/100</f>
        <v>-4.0774491203658628E-2</v>
      </c>
      <c r="BK170" s="728">
        <f>SUMPRODUCT(BA163:BD163,BF170:BI170)</f>
        <v>-1.055610966380514E-2</v>
      </c>
      <c r="BL170" s="1482">
        <v>-0.01</v>
      </c>
      <c r="BN170" s="1482">
        <f>AY170-BL170</f>
        <v>5.1535716922911139E-2</v>
      </c>
    </row>
    <row r="171" spans="1:66">
      <c r="A171" s="256"/>
      <c r="B171" s="302"/>
      <c r="C171" s="256"/>
      <c r="D171" s="288"/>
      <c r="E171" s="256"/>
      <c r="F171" s="390"/>
      <c r="G171" s="256"/>
      <c r="H171" s="288"/>
      <c r="I171" s="256"/>
      <c r="J171" s="256"/>
      <c r="K171" s="256"/>
      <c r="L171" s="811"/>
      <c r="M171" s="256"/>
      <c r="N171" s="288"/>
      <c r="O171" s="643"/>
      <c r="P171" s="812"/>
      <c r="Q171" s="587"/>
      <c r="R171" s="141"/>
      <c r="S171" s="256"/>
      <c r="T171" s="813"/>
      <c r="U171" s="256"/>
      <c r="V171" s="814"/>
      <c r="W171" s="643"/>
      <c r="X171" s="256"/>
      <c r="Y171" s="256"/>
      <c r="Z171" s="256"/>
      <c r="AA171" s="816"/>
      <c r="AB171" s="256"/>
      <c r="AC171" s="288"/>
      <c r="AD171" s="643"/>
      <c r="AE171" s="812"/>
      <c r="AF171" s="587"/>
      <c r="AG171" s="296"/>
      <c r="AH171" s="256"/>
      <c r="AI171" s="817"/>
      <c r="AJ171" s="256"/>
      <c r="AK171" s="814"/>
      <c r="AL171" s="643"/>
      <c r="AM171" s="643"/>
      <c r="AN171" s="288"/>
      <c r="AO171" s="256"/>
      <c r="AP171" s="256"/>
      <c r="AQ171" s="288"/>
      <c r="AR171" s="966"/>
      <c r="AS171" s="256"/>
      <c r="AT171" s="256"/>
      <c r="AU171" s="256"/>
      <c r="AV171" s="256"/>
      <c r="AW171" s="256"/>
      <c r="BL171" s="1482"/>
    </row>
    <row r="172" spans="1:66">
      <c r="A172" s="256"/>
      <c r="B172" s="876">
        <f>+B165+1</f>
        <v>2013</v>
      </c>
      <c r="C172" s="256"/>
      <c r="D172" s="256"/>
      <c r="E172" s="256"/>
      <c r="F172" s="256"/>
      <c r="G172" s="256"/>
      <c r="H172" s="256"/>
      <c r="I172" s="256"/>
      <c r="J172" s="256"/>
      <c r="K172" s="256"/>
      <c r="L172" s="256"/>
      <c r="M172" s="256"/>
      <c r="N172" s="256"/>
      <c r="O172" s="643"/>
      <c r="P172" s="256"/>
      <c r="Q172" s="256"/>
      <c r="R172" s="256"/>
      <c r="S172" s="256"/>
      <c r="T172" s="256"/>
      <c r="U172" s="256"/>
      <c r="V172" s="256"/>
      <c r="W172" s="256"/>
      <c r="X172" s="256"/>
      <c r="Y172" s="256"/>
      <c r="Z172" s="256"/>
      <c r="AA172" s="256"/>
      <c r="AB172" s="256"/>
      <c r="AC172" s="256"/>
      <c r="AD172" s="643"/>
      <c r="AE172" s="256"/>
      <c r="AF172" s="256"/>
      <c r="AG172" s="256"/>
      <c r="AH172" s="256"/>
      <c r="AI172" s="256"/>
      <c r="AJ172" s="256"/>
      <c r="AK172" s="256"/>
      <c r="AL172" s="256"/>
      <c r="AM172" s="256"/>
      <c r="AN172" s="288"/>
      <c r="AO172" s="970"/>
      <c r="AP172" s="970"/>
      <c r="AQ172" s="288"/>
      <c r="AR172" s="970"/>
      <c r="AS172" s="621"/>
      <c r="AT172" s="256"/>
      <c r="AU172" s="775"/>
      <c r="AV172" s="256"/>
      <c r="AW172" s="256"/>
      <c r="AX172" s="621"/>
      <c r="AY172" s="621"/>
      <c r="AZ172" s="621"/>
      <c r="BA172" s="621"/>
      <c r="BB172" s="621"/>
      <c r="BC172" s="621"/>
      <c r="BD172" s="621"/>
      <c r="BE172" s="621"/>
      <c r="BF172" s="621"/>
      <c r="BG172" s="621"/>
      <c r="BH172" s="621"/>
      <c r="BI172" s="621"/>
      <c r="BJ172" s="621"/>
      <c r="BK172" s="621"/>
      <c r="BL172" s="1482"/>
      <c r="BM172" s="621"/>
      <c r="BN172" s="621"/>
    </row>
    <row r="173" spans="1:66">
      <c r="A173" s="256" t="str">
        <f>$A$40</f>
        <v>1Q</v>
      </c>
      <c r="B173" s="302" t="str">
        <f>$B$40</f>
        <v>Apr</v>
      </c>
      <c r="C173" s="256"/>
      <c r="D173" s="288">
        <f>(R173/R166-1)*100</f>
        <v>7.3952970129413487</v>
      </c>
      <c r="E173" s="643" t="s">
        <v>1970</v>
      </c>
      <c r="F173" s="1664">
        <f>'qtrP&amp;L'!CV10</f>
        <v>8</v>
      </c>
      <c r="G173" s="643" t="s">
        <v>1970</v>
      </c>
      <c r="H173" s="288">
        <f>+D173-F173</f>
        <v>-0.60470298705865133</v>
      </c>
      <c r="I173" s="643" t="s">
        <v>1970</v>
      </c>
      <c r="J173" s="948">
        <f>Stores!AS275</f>
        <v>276</v>
      </c>
      <c r="K173" s="256"/>
      <c r="L173" s="811">
        <f>AVERAGE(J173,J169)</f>
        <v>276</v>
      </c>
      <c r="M173" s="256"/>
      <c r="N173" s="288">
        <f>(L173/L166-1)*100</f>
        <v>10.400000000000009</v>
      </c>
      <c r="O173" s="643" t="s">
        <v>1970</v>
      </c>
      <c r="P173" s="812">
        <f>H173/N173*100</f>
        <v>-5.8144517986408735</v>
      </c>
      <c r="Q173" s="587" t="s">
        <v>1970</v>
      </c>
      <c r="R173" s="296">
        <f>'qtrP&amp;L'!CT10-AQ173-AN173</f>
        <v>827.92147020160132</v>
      </c>
      <c r="S173" s="238"/>
      <c r="T173" s="813">
        <f>R173/L173</f>
        <v>2.9997154717449321</v>
      </c>
      <c r="U173" s="256"/>
      <c r="V173" s="814">
        <f>(T173/T166-1)*100</f>
        <v>-2.721651256393709</v>
      </c>
      <c r="W173" s="643" t="s">
        <v>1970</v>
      </c>
      <c r="X173" s="256"/>
      <c r="Y173" s="1017">
        <f>Stores!AZ275</f>
        <v>1.14415</v>
      </c>
      <c r="Z173" s="256"/>
      <c r="AA173" s="816">
        <f>AVERAGE(Y173,Y169)</f>
        <v>1.14445</v>
      </c>
      <c r="AB173" s="256"/>
      <c r="AC173" s="288">
        <f>(AA173/AA166-1)*100</f>
        <v>6.3244687028219504</v>
      </c>
      <c r="AD173" s="643" t="s">
        <v>1970</v>
      </c>
      <c r="AE173" s="812">
        <f>+H173/AC173*100</f>
        <v>-9.5613246815315183</v>
      </c>
      <c r="AF173" s="587" t="s">
        <v>1970</v>
      </c>
      <c r="AG173" s="296">
        <f>+R173</f>
        <v>827.92147020160132</v>
      </c>
      <c r="AH173" s="256" t="s">
        <v>505</v>
      </c>
      <c r="AI173" s="817">
        <f>AG173/AA173</f>
        <v>723.42301559841087</v>
      </c>
      <c r="AJ173" s="256"/>
      <c r="AK173" s="814">
        <f>(AI173/AI166-1)*100</f>
        <v>1.007132528554977</v>
      </c>
      <c r="AL173" s="643" t="s">
        <v>1970</v>
      </c>
      <c r="AM173" s="643"/>
      <c r="AN173" s="288">
        <f>AN166*(1+AO173/100)</f>
        <v>40.715529798398684</v>
      </c>
      <c r="AO173" s="1161">
        <v>3</v>
      </c>
      <c r="AP173" s="1666"/>
      <c r="AQ173" s="145">
        <f>'segSales&amp;comps'!AR201</f>
        <v>26.847000000000001</v>
      </c>
      <c r="AR173" s="1666">
        <f>(AQ173/AQ166-1)*100</f>
        <v>207.5257731958763</v>
      </c>
      <c r="AS173" s="256"/>
      <c r="AT173" s="315"/>
      <c r="AU173" s="977"/>
      <c r="AV173" s="296"/>
      <c r="AW173" s="296"/>
      <c r="AX173" s="621"/>
      <c r="AY173" s="1482">
        <f>'qtrP&amp;L'!CT10/'qtrP&amp;L'!CP10-1</f>
        <v>9.3160149907833611E-2</v>
      </c>
      <c r="AZ173" s="621"/>
      <c r="BA173" s="1815">
        <f>'segSales&amp;comps'!E201/'segSales&amp;comps'!$AW201</f>
        <v>0.45528116638599914</v>
      </c>
      <c r="BB173" s="1815">
        <f>'segSales&amp;comps'!Q201/'segSales&amp;comps'!$AW201</f>
        <v>0.24950417874579559</v>
      </c>
      <c r="BC173" s="1815">
        <f>'segSales&amp;comps'!W201/'segSales&amp;comps'!$AW201</f>
        <v>0.16139540181622453</v>
      </c>
      <c r="BD173" s="1815">
        <f>'segSales&amp;comps'!AG201/'segSales&amp;comps'!$AW201</f>
        <v>0.10383881789066025</v>
      </c>
      <c r="BE173" s="621"/>
      <c r="BF173" s="1815">
        <f>SeqQtrSales!F191/100</f>
        <v>0</v>
      </c>
      <c r="BG173" s="1815">
        <f>SeqQtrSales!F378/100</f>
        <v>-0.01</v>
      </c>
      <c r="BH173" s="1815">
        <f>SeqQtrSales!F552/100</f>
        <v>-0.18</v>
      </c>
      <c r="BI173" s="1815">
        <f>SeqQtrSales!F472/100</f>
        <v>-0.02</v>
      </c>
      <c r="BJ173" s="621"/>
      <c r="BK173" s="728">
        <f>SUMPRODUCT(BA166:BD166,BF173:BI173)</f>
        <v>-3.5683508917562903E-2</v>
      </c>
      <c r="BL173" s="1482">
        <v>-0.04</v>
      </c>
      <c r="BM173" s="621"/>
      <c r="BN173" s="1482">
        <f>AY173-BL173</f>
        <v>0.13316014990783362</v>
      </c>
    </row>
    <row r="174" spans="1:66">
      <c r="A174" s="256" t="str">
        <f>$A$41</f>
        <v>2Q</v>
      </c>
      <c r="B174" s="302" t="str">
        <f>$B$41</f>
        <v>Jul</v>
      </c>
      <c r="C174" s="256"/>
      <c r="D174" s="288">
        <f>(R174/R167-1)*100</f>
        <v>3.8215848505123384</v>
      </c>
      <c r="E174" s="256"/>
      <c r="F174" s="1664">
        <f>'qtrP&amp;L'!CV11</f>
        <v>5</v>
      </c>
      <c r="G174" s="256"/>
      <c r="H174" s="288">
        <f>+D174-F174</f>
        <v>-1.1784151494876616</v>
      </c>
      <c r="I174" s="256"/>
      <c r="J174" s="948">
        <f>Stores!AS276</f>
        <v>278</v>
      </c>
      <c r="K174" s="256"/>
      <c r="L174" s="811">
        <f>AVERAGE(J174,J173)</f>
        <v>277</v>
      </c>
      <c r="M174" s="256"/>
      <c r="N174" s="288">
        <f>(L174/L167-1)*100</f>
        <v>7.9922027290448394</v>
      </c>
      <c r="O174" s="643"/>
      <c r="P174" s="812">
        <f>H174/N174*100</f>
        <v>-14.744560285052927</v>
      </c>
      <c r="Q174" s="587"/>
      <c r="R174" s="315">
        <f>'qtrP&amp;L'!CT11-AQ174-AN174</f>
        <v>860.42082228771608</v>
      </c>
      <c r="S174" s="238"/>
      <c r="T174" s="818">
        <f>R174/L174</f>
        <v>3.1062123548292999</v>
      </c>
      <c r="U174" s="256"/>
      <c r="V174" s="814">
        <f>(T174/T167-1)*100</f>
        <v>-3.861962042756617</v>
      </c>
      <c r="W174" s="643"/>
      <c r="X174" s="256"/>
      <c r="Y174" s="1017">
        <f>Stores!AZ276</f>
        <v>1.1521999999999999</v>
      </c>
      <c r="Z174" s="238"/>
      <c r="AA174" s="816">
        <f>AVERAGE(Y174,Y173)</f>
        <v>1.1481749999999999</v>
      </c>
      <c r="AB174" s="256"/>
      <c r="AC174" s="288">
        <f>(AA174/AA167-1)*100</f>
        <v>5.1514527096641061</v>
      </c>
      <c r="AD174" s="643"/>
      <c r="AE174" s="812">
        <f>+H174/AC174*100</f>
        <v>-22.875394881854572</v>
      </c>
      <c r="AF174" s="587"/>
      <c r="AG174" s="315">
        <f>+R174</f>
        <v>860.42082228771608</v>
      </c>
      <c r="AH174" s="256"/>
      <c r="AI174" s="819">
        <f>AG174/AA174</f>
        <v>749.38125485027638</v>
      </c>
      <c r="AJ174" s="256"/>
      <c r="AK174" s="814">
        <f>(AI174/AI167-1)*100</f>
        <v>-1.2647165824933526</v>
      </c>
      <c r="AL174" s="643"/>
      <c r="AM174" s="643"/>
      <c r="AN174" s="288">
        <f>AN167*(1+AO174/100)</f>
        <v>39.402177712283915</v>
      </c>
      <c r="AO174" s="1813">
        <v>3</v>
      </c>
      <c r="AP174" s="1666"/>
      <c r="AQ174" s="145">
        <f>'segSales&amp;comps'!AR202</f>
        <v>26.061</v>
      </c>
      <c r="AR174" s="1666">
        <f>(AQ174/AQ167-1)*100</f>
        <v>33.202146690518774</v>
      </c>
      <c r="AS174" s="256"/>
      <c r="AT174" s="315"/>
      <c r="AU174" s="974"/>
      <c r="AV174" s="315"/>
      <c r="AW174" s="315"/>
      <c r="AX174" s="621"/>
      <c r="AY174" s="1482">
        <f>'qtrP&amp;L'!CT11/'qtrP&amp;L'!CP11-1</f>
        <v>4.4345110194468962E-2</v>
      </c>
      <c r="AZ174" s="621"/>
      <c r="BA174" s="1815">
        <f>'segSales&amp;comps'!E202/'segSales&amp;comps'!$AW202</f>
        <v>0.47938618660652954</v>
      </c>
      <c r="BB174" s="1815">
        <f>'segSales&amp;comps'!Q202/'segSales&amp;comps'!$AW202</f>
        <v>0.22500118805379507</v>
      </c>
      <c r="BC174" s="1815">
        <f>'segSales&amp;comps'!W202/'segSales&amp;comps'!$AW202</f>
        <v>0.14731327034488123</v>
      </c>
      <c r="BD174" s="1815">
        <f>'segSales&amp;comps'!AG202/'segSales&amp;comps'!$AW202</f>
        <v>0.12015220049163826</v>
      </c>
      <c r="BE174" s="621"/>
      <c r="BF174" s="1815">
        <f>SeqQtrSales!F192/100</f>
        <v>0</v>
      </c>
      <c r="BG174" s="1815">
        <f>SeqQtrSales!F379/100</f>
        <v>0</v>
      </c>
      <c r="BH174" s="1815">
        <f>SeqQtrSales!F553/100</f>
        <v>-0.21</v>
      </c>
      <c r="BI174" s="1815">
        <f>SeqQtrSales!F473/100</f>
        <v>0.01</v>
      </c>
      <c r="BJ174" s="621"/>
      <c r="BK174" s="728">
        <f>SUMPRODUCT(BA167:BD167,BF174:BI174)</f>
        <v>-3.6451861050860117E-2</v>
      </c>
      <c r="BL174" s="1482">
        <v>-0.04</v>
      </c>
      <c r="BM174" s="621"/>
      <c r="BN174" s="1482">
        <f>AY174-BL174</f>
        <v>8.434511019446897E-2</v>
      </c>
    </row>
    <row r="175" spans="1:66">
      <c r="A175" s="256" t="str">
        <f>$A$42</f>
        <v>3Q</v>
      </c>
      <c r="B175" s="302" t="str">
        <f>$B$42</f>
        <v>Oct</v>
      </c>
      <c r="C175" s="256"/>
      <c r="D175" s="288">
        <f>(R175/R168-1)*100</f>
        <v>6.6919169063309525</v>
      </c>
      <c r="E175" s="256"/>
      <c r="F175" s="1664">
        <f>'qtrP&amp;L'!CV12</f>
        <v>7</v>
      </c>
      <c r="G175" s="256"/>
      <c r="H175" s="288">
        <f>+D175-F175</f>
        <v>-0.30808309366904751</v>
      </c>
      <c r="I175" s="256"/>
      <c r="J175" s="948">
        <f>Stores!AS277</f>
        <v>284</v>
      </c>
      <c r="K175" s="238"/>
      <c r="L175" s="811">
        <f>AVERAGE(J175,J174)</f>
        <v>281</v>
      </c>
      <c r="M175" s="256"/>
      <c r="N175" s="288">
        <f>(L175/L168-1)*100</f>
        <v>5.0467289719626107</v>
      </c>
      <c r="O175" s="643"/>
      <c r="P175" s="812">
        <f>H175/N175*100</f>
        <v>-6.1046094486274303</v>
      </c>
      <c r="Q175" s="587"/>
      <c r="R175" s="315">
        <f>'qtrP&amp;L'!CT12-AQ175-AN175</f>
        <v>854.88083212398874</v>
      </c>
      <c r="S175" s="256"/>
      <c r="T175" s="818">
        <f>R175/L175</f>
        <v>3.0422805413665079</v>
      </c>
      <c r="U175" s="256"/>
      <c r="V175" s="814">
        <f>(T175/T168-1)*100</f>
        <v>1.566148656382671</v>
      </c>
      <c r="W175" s="643"/>
      <c r="X175" s="256"/>
      <c r="Y175" s="1017">
        <f>Stores!AZ277</f>
        <v>1.17075</v>
      </c>
      <c r="Z175" s="238"/>
      <c r="AA175" s="816">
        <f>AVERAGE(Y175,Y174)</f>
        <v>1.1614749999999998</v>
      </c>
      <c r="AB175" s="256"/>
      <c r="AC175" s="288">
        <f>(AA175/AA168-1)*100</f>
        <v>3.899750217233322</v>
      </c>
      <c r="AD175" s="643"/>
      <c r="AE175" s="812">
        <f>+H175/AC175*100</f>
        <v>-7.9000724791962975</v>
      </c>
      <c r="AF175" s="587"/>
      <c r="AG175" s="315">
        <f>+R175</f>
        <v>854.88083212398874</v>
      </c>
      <c r="AH175" s="256"/>
      <c r="AI175" s="819">
        <f>AG175/AA175</f>
        <v>736.03033394949432</v>
      </c>
      <c r="AJ175" s="256"/>
      <c r="AK175" s="814">
        <f>(AI175/AI168-1)*100</f>
        <v>2.6873661228826728</v>
      </c>
      <c r="AL175" s="643"/>
      <c r="AM175" s="643"/>
      <c r="AN175" s="288">
        <f>AN168*(1+AO175/100)</f>
        <v>33.067167876011183</v>
      </c>
      <c r="AO175" s="1665">
        <v>7</v>
      </c>
      <c r="AP175" s="1666"/>
      <c r="AQ175" s="145">
        <f>'segSales&amp;comps'!AR203</f>
        <v>23.53</v>
      </c>
      <c r="AR175" s="1666">
        <f>(AQ175/AQ168-1)*100</f>
        <v>14.356531881804035</v>
      </c>
      <c r="AS175" s="256"/>
      <c r="AT175" s="315"/>
      <c r="AU175" s="974"/>
      <c r="AV175" s="315"/>
      <c r="AW175" s="315"/>
      <c r="AX175" s="621"/>
      <c r="AY175" s="1482">
        <f>'qtrP&amp;L'!CT12/'qtrP&amp;L'!CP12-1</f>
        <v>6.8880234443987165E-2</v>
      </c>
      <c r="AZ175" s="621"/>
      <c r="BA175" s="1815">
        <f>'segSales&amp;comps'!E203/'segSales&amp;comps'!$AW203</f>
        <v>0.45722222587928613</v>
      </c>
      <c r="BB175" s="1815">
        <f>'segSales&amp;comps'!Q203/'segSales&amp;comps'!$AW203</f>
        <v>0.26156637900201651</v>
      </c>
      <c r="BC175" s="1815">
        <f>'segSales&amp;comps'!W203/'segSales&amp;comps'!$AW203</f>
        <v>0.14076039136435547</v>
      </c>
      <c r="BD175" s="1815">
        <f>'segSales&amp;comps'!AG203/'segSales&amp;comps'!$AW203</f>
        <v>0.11463578934433963</v>
      </c>
      <c r="BE175" s="621"/>
      <c r="BF175" s="1815">
        <f>SeqQtrSales!F193/100</f>
        <v>1.1511040348047752E-3</v>
      </c>
      <c r="BG175" s="1815">
        <f>SeqQtrSales!F380/100</f>
        <v>-0.02</v>
      </c>
      <c r="BH175" s="1815">
        <f>SeqQtrSales!F554/100</f>
        <v>-0.22</v>
      </c>
      <c r="BI175" s="1815">
        <f>SeqQtrSales!F474/100</f>
        <v>0.03</v>
      </c>
      <c r="BJ175" s="621"/>
      <c r="BK175" s="728">
        <f>SUMPRODUCT(BA168:BD168,BF175:BI175)</f>
        <v>-3.8279932958919724E-2</v>
      </c>
      <c r="BL175" s="1482">
        <v>-0.04</v>
      </c>
      <c r="BM175" s="621"/>
      <c r="BN175" s="1482">
        <f>AY175-BL175</f>
        <v>0.10888023444398717</v>
      </c>
    </row>
    <row r="176" spans="1:66">
      <c r="A176" s="256" t="str">
        <f>$A$43</f>
        <v>4Q</v>
      </c>
      <c r="B176" s="302" t="str">
        <f>$B$43</f>
        <v>Jan</v>
      </c>
      <c r="C176" s="256"/>
      <c r="D176" s="318">
        <f>(R176/R169-1)*100</f>
        <v>4.3228486660857657</v>
      </c>
      <c r="E176" s="256"/>
      <c r="F176" s="1667">
        <f>'qtrP&amp;L'!CV13</f>
        <v>6</v>
      </c>
      <c r="G176" s="256"/>
      <c r="H176" s="318">
        <f>+D176-F176</f>
        <v>-1.6771513339142343</v>
      </c>
      <c r="I176" s="256"/>
      <c r="J176" s="948">
        <f>Stores!AS278</f>
        <v>289</v>
      </c>
      <c r="K176" s="238"/>
      <c r="L176" s="820">
        <f>AVERAGE(J176,J175)</f>
        <v>286.5</v>
      </c>
      <c r="M176" s="256"/>
      <c r="N176" s="318">
        <f>(L176/L169-1)*100</f>
        <v>4.1818181818181754</v>
      </c>
      <c r="O176" s="643"/>
      <c r="P176" s="820">
        <f>H176/N176*100</f>
        <v>-40.105792767514359</v>
      </c>
      <c r="Q176" s="587"/>
      <c r="R176" s="316">
        <f>'qtrP&amp;L'!CT13-AQ176-AN176</f>
        <v>1182.2274439711746</v>
      </c>
      <c r="S176" s="256"/>
      <c r="T176" s="821">
        <f>R176/L176</f>
        <v>4.1264483210163165</v>
      </c>
      <c r="U176" s="256"/>
      <c r="V176" s="298">
        <f>(T176/T169-1)*100</f>
        <v>0.13536957477693345</v>
      </c>
      <c r="W176" s="643"/>
      <c r="X176" s="256"/>
      <c r="Y176" s="591">
        <f>Stores!AZ278</f>
        <v>1.1849000000000001</v>
      </c>
      <c r="Z176" s="238"/>
      <c r="AA176" s="822">
        <f>AVERAGE(Y176,Y175)</f>
        <v>1.1778249999999999</v>
      </c>
      <c r="AB176" s="256"/>
      <c r="AC176" s="318">
        <f>(AA176/AA169-1)*100</f>
        <v>3.1952837575100146</v>
      </c>
      <c r="AD176" s="643"/>
      <c r="AE176" s="820">
        <f>+H176/AC176*100</f>
        <v>-52.488337850194135</v>
      </c>
      <c r="AF176" s="587"/>
      <c r="AG176" s="316">
        <f>+R176</f>
        <v>1182.2274439711746</v>
      </c>
      <c r="AH176" s="256"/>
      <c r="AI176" s="823">
        <f>AG176/AA176</f>
        <v>1003.7377742628784</v>
      </c>
      <c r="AJ176" s="256"/>
      <c r="AK176" s="298">
        <f>(AI176/AI169-1)*100</f>
        <v>1.0926515898006972</v>
      </c>
      <c r="AL176" s="643"/>
      <c r="AM176" s="643"/>
      <c r="AN176" s="318">
        <f>AN169*(1+AO176/100)</f>
        <v>81.259556028825614</v>
      </c>
      <c r="AO176" s="1665">
        <v>3</v>
      </c>
      <c r="AP176" s="1666"/>
      <c r="AQ176" s="145">
        <f>'segSales&amp;comps'!AR204</f>
        <v>34.797000000000004</v>
      </c>
      <c r="AR176" s="1666">
        <f>(AQ176/AQ169-1)*100</f>
        <v>47.214113466175966</v>
      </c>
      <c r="AS176" s="256"/>
      <c r="AT176" s="315"/>
      <c r="AU176" s="974"/>
      <c r="AV176" s="315"/>
      <c r="AW176" s="315"/>
      <c r="AX176" s="621"/>
      <c r="AY176" s="1482">
        <f>'qtrP&amp;L'!CT13/'qtrP&amp;L'!CP13-1</f>
        <v>5.0587933505372051E-2</v>
      </c>
      <c r="AZ176" s="621"/>
      <c r="BA176" s="1815">
        <f>'segSales&amp;comps'!E204/'segSales&amp;comps'!$AW204</f>
        <v>0.50725650165911307</v>
      </c>
      <c r="BB176" s="1815">
        <f>'segSales&amp;comps'!Q204/'segSales&amp;comps'!$AW204</f>
        <v>0.21144218060147085</v>
      </c>
      <c r="BC176" s="1815">
        <f>'segSales&amp;comps'!W204/'segSales&amp;comps'!$AW204</f>
        <v>0.13044064318746901</v>
      </c>
      <c r="BD176" s="1815">
        <f>'segSales&amp;comps'!AG204/'segSales&amp;comps'!$AW204</f>
        <v>0.12405837243623122</v>
      </c>
      <c r="BE176" s="621"/>
      <c r="BF176" s="1815">
        <f>SeqQtrSales!F194/100</f>
        <v>-0.01</v>
      </c>
      <c r="BG176" s="1815">
        <f>SeqQtrSales!F381/100</f>
        <v>-0.03</v>
      </c>
      <c r="BH176" s="1815">
        <f>SeqQtrSales!F555/100</f>
        <v>-0.2</v>
      </c>
      <c r="BI176" s="1815">
        <f>SeqQtrSales!F475/100</f>
        <v>0.03</v>
      </c>
      <c r="BJ176" s="621"/>
      <c r="BK176" s="728">
        <f>SUMPRODUCT(BA169:BD169,BF176:BI176)</f>
        <v>-3.869467513750547E-2</v>
      </c>
      <c r="BL176" s="1482">
        <v>-0.04</v>
      </c>
      <c r="BM176" s="621"/>
      <c r="BN176" s="1482">
        <f>AY176-BL176</f>
        <v>9.0587933505372059E-2</v>
      </c>
    </row>
    <row r="177" spans="1:66">
      <c r="A177" s="256"/>
      <c r="B177" s="302" t="str">
        <f>$B$44</f>
        <v>Year</v>
      </c>
      <c r="C177" s="256"/>
      <c r="D177" s="288">
        <f>(R177/R170-1)*100</f>
        <v>5.4126131973407876</v>
      </c>
      <c r="E177" s="256"/>
      <c r="F177" s="824">
        <f>R173/R177*F173+R174/R177*F174+R175/R177*F175+R176/R177*F176</f>
        <v>6.4429807669858636</v>
      </c>
      <c r="G177" s="256"/>
      <c r="H177" s="288">
        <f>D177-F177</f>
        <v>-1.030367569645076</v>
      </c>
      <c r="I177" s="256"/>
      <c r="J177" s="948"/>
      <c r="K177" s="256"/>
      <c r="L177" s="811">
        <f>AVERAGE(L173:L176)</f>
        <v>280.125</v>
      </c>
      <c r="M177" s="256"/>
      <c r="N177" s="288">
        <f>(L177/L170-1)*100</f>
        <v>6.8160152526215434</v>
      </c>
      <c r="O177" s="643"/>
      <c r="P177" s="812">
        <f>H177/N177*100</f>
        <v>-15.116861266541049</v>
      </c>
      <c r="Q177" s="587"/>
      <c r="R177" s="296">
        <f>SUM(R173:R176)</f>
        <v>3725.4505685844806</v>
      </c>
      <c r="S177" s="256"/>
      <c r="T177" s="813">
        <f>SUM(T173:T176)</f>
        <v>13.274656688957055</v>
      </c>
      <c r="U177" s="256"/>
      <c r="V177" s="814">
        <f>(T177/T170-1)*100</f>
        <v>-1.1631063315020174</v>
      </c>
      <c r="W177" s="643"/>
      <c r="X177" s="256"/>
      <c r="Y177" s="1017"/>
      <c r="Z177" s="256"/>
      <c r="AA177" s="816">
        <f>AVERAGE(AA173:AA176)</f>
        <v>1.15798125</v>
      </c>
      <c r="AB177" s="256"/>
      <c r="AC177" s="288">
        <f>(AA177/AA170-1)*100</f>
        <v>4.6163169561070028</v>
      </c>
      <c r="AD177" s="643"/>
      <c r="AE177" s="812">
        <f>+H177/AC177*100</f>
        <v>-22.320121851295017</v>
      </c>
      <c r="AF177" s="587"/>
      <c r="AG177" s="296">
        <f>SUM(AG173:AG176)</f>
        <v>3725.4505685844806</v>
      </c>
      <c r="AH177" s="256"/>
      <c r="AI177" s="817">
        <f>AG177/AA177</f>
        <v>3217.1942063694732</v>
      </c>
      <c r="AJ177" s="256"/>
      <c r="AK177" s="814">
        <f>(AI177/AI170-1)*100</f>
        <v>0.76115874120084026</v>
      </c>
      <c r="AL177" s="643"/>
      <c r="AM177" s="643"/>
      <c r="AN177" s="288">
        <f>SUM(AN173:AN176)</f>
        <v>194.4444314155194</v>
      </c>
      <c r="AO177" s="1666">
        <f>100*(AN177/AN170-1)</f>
        <v>3.6589989371324183</v>
      </c>
      <c r="AP177" s="1666"/>
      <c r="AQ177" s="145">
        <f>'segSales&amp;comps'!AR205</f>
        <v>111.23500000000001</v>
      </c>
      <c r="AR177" s="1666">
        <f>(AQ177/AQ170-1)*100</f>
        <v>53.410658134274854</v>
      </c>
      <c r="AS177" s="256"/>
      <c r="AT177" s="315"/>
      <c r="AU177" s="975"/>
      <c r="AV177" s="976"/>
      <c r="AW177" s="976"/>
      <c r="AX177" s="621"/>
      <c r="AY177" s="1482">
        <f>'qtrP&amp;L'!CT14/'qtrP&amp;L'!CP14-1</f>
        <v>6.2431590546640603E-2</v>
      </c>
      <c r="AZ177" s="621"/>
      <c r="BA177" s="1815">
        <f>'segSales&amp;comps'!E205/'segSales&amp;comps'!$AW205</f>
        <v>0.47799599615988569</v>
      </c>
      <c r="BB177" s="1815">
        <f>'segSales&amp;comps'!Q205/'segSales&amp;comps'!$AW205</f>
        <v>0.23434520841550632</v>
      </c>
      <c r="BC177" s="1815">
        <f>'segSales&amp;comps'!W205/'segSales&amp;comps'!$AW205</f>
        <v>0.14352576076683216</v>
      </c>
      <c r="BD177" s="1815">
        <f>'segSales&amp;comps'!AG205/'segSales&amp;comps'!$AW205</f>
        <v>0.11653903496042053</v>
      </c>
      <c r="BE177" s="621"/>
      <c r="BF177" s="1815">
        <f>SeqQtrSales!F195/100</f>
        <v>-3.1203560012816288E-3</v>
      </c>
      <c r="BG177" s="1815">
        <f>SeqQtrSales!F382/100</f>
        <v>-0.01</v>
      </c>
      <c r="BH177" s="1815">
        <f>SeqQtrSales!F556/100</f>
        <v>-0.2</v>
      </c>
      <c r="BI177" s="1815">
        <f>SeqQtrSales!F476/100</f>
        <v>0.02</v>
      </c>
      <c r="BJ177" s="621"/>
      <c r="BK177" s="728">
        <f>SUMPRODUCT(BA170:BD170,BF177:BI177)</f>
        <v>-3.5063386275208122E-2</v>
      </c>
      <c r="BL177" s="1482">
        <v>-0.04</v>
      </c>
      <c r="BM177" s="621"/>
      <c r="BN177" s="1482">
        <f>AY177-BL177</f>
        <v>0.10243159054664061</v>
      </c>
    </row>
    <row r="178" spans="1:66">
      <c r="A178" s="256"/>
      <c r="B178" s="302"/>
      <c r="C178" s="256"/>
      <c r="D178" s="288"/>
      <c r="E178" s="256"/>
      <c r="F178" s="390"/>
      <c r="G178" s="256"/>
      <c r="H178" s="288"/>
      <c r="I178" s="256"/>
      <c r="J178" s="256"/>
      <c r="K178" s="256"/>
      <c r="L178" s="811"/>
      <c r="M178" s="256"/>
      <c r="N178" s="288"/>
      <c r="O178" s="643"/>
      <c r="P178" s="812"/>
      <c r="Q178" s="587"/>
      <c r="R178" s="141"/>
      <c r="S178" s="256"/>
      <c r="T178" s="813"/>
      <c r="U178" s="256"/>
      <c r="V178" s="814"/>
      <c r="W178" s="643"/>
      <c r="X178" s="256"/>
      <c r="Y178" s="256"/>
      <c r="Z178" s="256"/>
      <c r="AA178" s="816"/>
      <c r="AB178" s="256"/>
      <c r="AC178" s="288"/>
      <c r="AD178" s="643"/>
      <c r="AE178" s="812"/>
      <c r="AF178" s="587"/>
      <c r="AG178" s="296"/>
      <c r="AH178" s="256"/>
      <c r="AI178" s="817"/>
      <c r="AJ178" s="256"/>
      <c r="AK178" s="814"/>
      <c r="AL178" s="643"/>
      <c r="AM178" s="643"/>
      <c r="AN178" s="288"/>
      <c r="AO178" s="256"/>
      <c r="AP178" s="256"/>
      <c r="AQ178" s="288"/>
      <c r="AR178" s="966"/>
      <c r="AS178" s="256"/>
      <c r="AT178" s="256"/>
      <c r="AU178" s="256"/>
      <c r="AV178" s="256"/>
      <c r="AW178" s="256"/>
    </row>
    <row r="179" spans="1:66">
      <c r="A179" s="256"/>
      <c r="B179" s="876">
        <f>+B172+1</f>
        <v>2014</v>
      </c>
      <c r="C179" s="256"/>
      <c r="D179" s="256"/>
      <c r="E179" s="256"/>
      <c r="F179" s="256"/>
      <c r="G179" s="256"/>
      <c r="H179" s="256"/>
      <c r="I179" s="256"/>
      <c r="J179" s="256"/>
      <c r="K179" s="256"/>
      <c r="L179" s="256"/>
      <c r="M179" s="256"/>
      <c r="N179" s="256"/>
      <c r="O179" s="643"/>
      <c r="P179" s="256"/>
      <c r="Q179" s="256"/>
      <c r="R179" s="256"/>
      <c r="S179" s="256"/>
      <c r="T179" s="256"/>
      <c r="U179" s="256"/>
      <c r="V179" s="256"/>
      <c r="W179" s="256"/>
      <c r="X179" s="256"/>
      <c r="Y179" s="256"/>
      <c r="Z179" s="256"/>
      <c r="AA179" s="256"/>
      <c r="AB179" s="256"/>
      <c r="AC179" s="256"/>
      <c r="AD179" s="643"/>
      <c r="AE179" s="256"/>
      <c r="AF179" s="256"/>
      <c r="AG179" s="256"/>
      <c r="AH179" s="256"/>
      <c r="AI179" s="256"/>
      <c r="AJ179" s="256"/>
      <c r="AK179" s="256"/>
      <c r="AL179" s="256"/>
      <c r="AM179" s="256"/>
      <c r="AN179" s="288"/>
      <c r="AO179" s="970"/>
      <c r="AP179" s="970"/>
      <c r="AQ179" s="288"/>
      <c r="AR179" s="970"/>
      <c r="AS179" s="621"/>
      <c r="AT179" s="256"/>
      <c r="AU179" s="775"/>
      <c r="AV179" s="256"/>
      <c r="AW179" s="256"/>
      <c r="AX179" s="621"/>
      <c r="AY179" s="621"/>
      <c r="AZ179" s="621"/>
      <c r="BA179" s="621"/>
      <c r="BB179" s="621"/>
      <c r="BC179" s="621"/>
      <c r="BD179" s="621"/>
      <c r="BE179" s="621"/>
      <c r="BF179" s="621"/>
      <c r="BG179" s="621"/>
      <c r="BH179" s="621"/>
      <c r="BI179" s="621"/>
      <c r="BJ179" s="621"/>
      <c r="BK179" s="621"/>
      <c r="BL179" s="621"/>
      <c r="BM179" s="621"/>
      <c r="BN179" s="621"/>
    </row>
    <row r="180" spans="1:66">
      <c r="A180" s="256" t="str">
        <f>$A$40</f>
        <v>1Q</v>
      </c>
      <c r="B180" s="302" t="str">
        <f>$B$40</f>
        <v>Apr</v>
      </c>
      <c r="C180" s="256"/>
      <c r="D180" s="288">
        <f>(R180/R173-1)*100</f>
        <v>12.578273092099179</v>
      </c>
      <c r="E180" s="643" t="s">
        <v>1970</v>
      </c>
      <c r="F180" s="1664">
        <f>'qtrP&amp;L'!CZ10</f>
        <v>11</v>
      </c>
      <c r="G180" s="643" t="s">
        <v>1970</v>
      </c>
      <c r="H180" s="288">
        <f>+D180-F180</f>
        <v>1.5782730920991792</v>
      </c>
      <c r="I180" s="643" t="s">
        <v>1970</v>
      </c>
      <c r="J180" s="948">
        <f>Stores!AS282</f>
        <v>291</v>
      </c>
      <c r="K180" s="256"/>
      <c r="L180" s="811">
        <f>AVERAGE(J180,J176)</f>
        <v>290</v>
      </c>
      <c r="M180" s="256"/>
      <c r="N180" s="288">
        <f>(L180/L173-1)*100</f>
        <v>5.0724637681159424</v>
      </c>
      <c r="O180" s="643" t="s">
        <v>1970</v>
      </c>
      <c r="P180" s="812">
        <f>H180/N180*100</f>
        <v>31.114526672812389</v>
      </c>
      <c r="Q180" s="587" t="s">
        <v>1970</v>
      </c>
      <c r="R180" s="296">
        <f>'qtrP&amp;L'!CX10-AQ180-AN180</f>
        <v>932.05969371168135</v>
      </c>
      <c r="S180" s="238"/>
      <c r="T180" s="813">
        <f>R180/L180</f>
        <v>3.213998943833384</v>
      </c>
      <c r="U180" s="256"/>
      <c r="V180" s="814">
        <f>(T180/T173-1)*100</f>
        <v>7.1434599083426864</v>
      </c>
      <c r="W180" s="643" t="s">
        <v>1970</v>
      </c>
      <c r="X180" s="256"/>
      <c r="Y180" s="1017">
        <f>Stores!AZ282</f>
        <v>1.1947678571428573</v>
      </c>
      <c r="Z180" s="256"/>
      <c r="AA180" s="816">
        <f>AVERAGE(Y180,Y176)</f>
        <v>1.1898339285714288</v>
      </c>
      <c r="AB180" s="256"/>
      <c r="AC180" s="288">
        <f>(AA180/AA173-1)*100</f>
        <v>3.965566741354265</v>
      </c>
      <c r="AD180" s="643" t="s">
        <v>1970</v>
      </c>
      <c r="AE180" s="812">
        <f>+H180/AC180*100</f>
        <v>39.799433348086573</v>
      </c>
      <c r="AF180" s="587" t="s">
        <v>1970</v>
      </c>
      <c r="AG180" s="296">
        <f>+R180</f>
        <v>932.05969371168135</v>
      </c>
      <c r="AH180" s="256" t="s">
        <v>700</v>
      </c>
      <c r="AI180" s="817">
        <f>AG180/AA180</f>
        <v>783.35276153265909</v>
      </c>
      <c r="AJ180" s="256"/>
      <c r="AK180" s="814">
        <f>(AI180/AI173-1)*100</f>
        <v>8.2841912189750779</v>
      </c>
      <c r="AL180" s="643" t="s">
        <v>1970</v>
      </c>
      <c r="AM180" s="643"/>
      <c r="AN180" s="288">
        <f>AN173*(1+AO180/100)</f>
        <v>42.751306288318624</v>
      </c>
      <c r="AO180" s="1665">
        <v>5</v>
      </c>
      <c r="AP180" s="1666"/>
      <c r="AQ180" s="145">
        <f>'segSales&amp;comps'!AR208</f>
        <v>37.320999999999998</v>
      </c>
      <c r="AR180" s="1666">
        <f>(AQ180/AQ173-1)*100</f>
        <v>39.013670056244635</v>
      </c>
      <c r="AS180" s="256"/>
      <c r="AT180" s="315"/>
      <c r="AU180" s="977"/>
      <c r="AV180" s="296"/>
      <c r="AW180" s="296"/>
      <c r="AX180" s="621"/>
      <c r="AY180" s="1482">
        <f>'qtrP&amp;L'!CX10/'qtrP&amp;L'!CT10-1</f>
        <v>0.13026251725323945</v>
      </c>
      <c r="AZ180" s="621"/>
      <c r="BA180" s="1815">
        <f>'segSales&amp;comps'!E208/'segSales&amp;comps'!$AW208</f>
        <v>0.4334296317081171</v>
      </c>
      <c r="BB180" s="1815">
        <f>'segSales&amp;comps'!Q208/'segSales&amp;comps'!$AW208</f>
        <v>0.25781617417490998</v>
      </c>
      <c r="BC180" s="1815">
        <f>'segSales&amp;comps'!W208/'segSales&amp;comps'!$AW208</f>
        <v>0.17180960586168603</v>
      </c>
      <c r="BD180" s="1815">
        <f>'segSales&amp;comps'!AG208/'segSales&amp;comps'!$AW208</f>
        <v>0.10007093936364031</v>
      </c>
      <c r="BE180" s="621"/>
      <c r="BF180" s="1815">
        <f>SeqQtrSales!F198/100</f>
        <v>-0.01</v>
      </c>
      <c r="BG180" s="1815">
        <f>SeqQtrSales!F385/100</f>
        <v>-0.02</v>
      </c>
      <c r="BH180" s="1815">
        <f>SeqQtrSales!F559/100</f>
        <v>-0.09</v>
      </c>
      <c r="BI180" s="1815">
        <f>SeqQtrSales!F479/100</f>
        <v>7.0000000000000007E-2</v>
      </c>
      <c r="BJ180" s="621"/>
      <c r="BK180" s="728">
        <f>SUMPRODUCT(BA173:BD173,BF180:BI180)</f>
        <v>-1.6799764149889894E-2</v>
      </c>
      <c r="BL180" s="1251">
        <v>-0.02</v>
      </c>
      <c r="BM180" s="621"/>
      <c r="BN180" s="1482">
        <f>AY180-BL180</f>
        <v>0.15026251725323944</v>
      </c>
    </row>
    <row r="181" spans="1:66">
      <c r="A181" s="256" t="str">
        <f>$A$41</f>
        <v>2Q</v>
      </c>
      <c r="B181" s="302" t="str">
        <f>$B$41</f>
        <v>Jul</v>
      </c>
      <c r="C181" s="256"/>
      <c r="D181" s="288">
        <f>(R181/R174-1)*100</f>
        <v>6.7089137802249788</v>
      </c>
      <c r="E181" s="256"/>
      <c r="F181" s="1664">
        <f>'qtrP&amp;L'!CZ11</f>
        <v>3</v>
      </c>
      <c r="G181" s="256"/>
      <c r="H181" s="288">
        <f>+D181-F181</f>
        <v>3.7089137802249788</v>
      </c>
      <c r="I181" s="256"/>
      <c r="J181" s="948">
        <f>Stores!AS283</f>
        <v>292</v>
      </c>
      <c r="K181" s="256"/>
      <c r="L181" s="811">
        <f>AVERAGE(J181,J180)</f>
        <v>291.5</v>
      </c>
      <c r="M181" s="256"/>
      <c r="N181" s="288">
        <f>(L181/L174-1)*100</f>
        <v>5.2346570397111991</v>
      </c>
      <c r="O181" s="643"/>
      <c r="P181" s="812">
        <f>H181/N181*100</f>
        <v>70.853042560159835</v>
      </c>
      <c r="Q181" s="587"/>
      <c r="R181" s="315">
        <f>'qtrP&amp;L'!CX11-AQ181-AN181</f>
        <v>918.14571340210182</v>
      </c>
      <c r="S181" s="238"/>
      <c r="T181" s="818">
        <f>R181/L181</f>
        <v>3.1497280048099547</v>
      </c>
      <c r="U181" s="256"/>
      <c r="V181" s="814">
        <f>(T181/T174-1)*100</f>
        <v>1.4009232148278539</v>
      </c>
      <c r="W181" s="643"/>
      <c r="X181" s="256"/>
      <c r="Y181" s="1017">
        <f>Stores!AZ283</f>
        <v>1.2015785714285714</v>
      </c>
      <c r="Z181" s="238"/>
      <c r="AA181" s="816">
        <f>AVERAGE(Y181,Y180)</f>
        <v>1.1981732142857142</v>
      </c>
      <c r="AB181" s="256"/>
      <c r="AC181" s="288">
        <f>(AA181/AA174-1)*100</f>
        <v>4.3545813387083188</v>
      </c>
      <c r="AD181" s="643"/>
      <c r="AE181" s="812">
        <f>+H181/AC181*100</f>
        <v>85.172683473749018</v>
      </c>
      <c r="AF181" s="587"/>
      <c r="AG181" s="315">
        <f>+R181</f>
        <v>918.14571340210182</v>
      </c>
      <c r="AH181" s="256"/>
      <c r="AI181" s="819">
        <f>AG181/AA181</f>
        <v>766.28796442378359</v>
      </c>
      <c r="AJ181" s="256"/>
      <c r="AK181" s="814">
        <f>(AI181/AI174-1)*100</f>
        <v>2.256089202135847</v>
      </c>
      <c r="AL181" s="643"/>
      <c r="AM181" s="643"/>
      <c r="AN181" s="288">
        <f>AN174*(1+AO181/100)</f>
        <v>41.37228659789811</v>
      </c>
      <c r="AO181" s="1665">
        <v>5</v>
      </c>
      <c r="AP181" s="1666"/>
      <c r="AQ181" s="145">
        <f>'segSales&amp;comps'!AR209</f>
        <v>33.411999999999999</v>
      </c>
      <c r="AR181" s="1666">
        <f>(AQ181/AQ174-1)*100</f>
        <v>28.206899198035384</v>
      </c>
      <c r="AS181" s="256"/>
      <c r="AT181" s="315"/>
      <c r="AU181" s="974"/>
      <c r="AV181" s="315"/>
      <c r="AW181" s="315"/>
      <c r="AX181" s="621"/>
      <c r="AY181" s="1482">
        <f>'qtrP&amp;L'!CX11/'qtrP&amp;L'!CT11-1</f>
        <v>7.2412958858776966E-2</v>
      </c>
      <c r="AZ181" s="621"/>
      <c r="BA181" s="1815">
        <f>'segSales&amp;comps'!E209/'segSales&amp;comps'!$AW209</f>
        <v>0.48703836121378141</v>
      </c>
      <c r="BB181" s="1815">
        <f>'segSales&amp;comps'!Q209/'segSales&amp;comps'!$AW209</f>
        <v>0.23849113230539917</v>
      </c>
      <c r="BC181" s="1815">
        <f>'segSales&amp;comps'!W209/'segSales&amp;comps'!$AW209</f>
        <v>0.11993292578530207</v>
      </c>
      <c r="BD181" s="1815">
        <f>'segSales&amp;comps'!AG209/'segSales&amp;comps'!$AW209</f>
        <v>0.12088767586838951</v>
      </c>
      <c r="BE181" s="621"/>
      <c r="BF181" s="1815">
        <f>SeqQtrSales!F199/100</f>
        <v>-0.01</v>
      </c>
      <c r="BG181" s="1815">
        <f>SeqQtrSales!F386/100</f>
        <v>0.01</v>
      </c>
      <c r="BH181" s="1815">
        <f>SeqQtrSales!F560/100</f>
        <v>-0.03</v>
      </c>
      <c r="BI181" s="1815">
        <f>SeqQtrSales!F480/100</f>
        <v>7.0000000000000007E-2</v>
      </c>
      <c r="BJ181" s="621"/>
      <c r="BK181" s="728">
        <f>SUMPRODUCT(BA174:BD174,BF181:BI181)</f>
        <v>1.4474059385408983E-3</v>
      </c>
      <c r="BL181" s="1251">
        <v>0</v>
      </c>
      <c r="BM181" s="621"/>
      <c r="BN181" s="1482">
        <f>AY181-BL181</f>
        <v>7.2412958858776966E-2</v>
      </c>
    </row>
    <row r="182" spans="1:66">
      <c r="A182" s="256" t="str">
        <f>$A$42</f>
        <v>3Q</v>
      </c>
      <c r="B182" s="302" t="str">
        <f>$B$42</f>
        <v>Oct</v>
      </c>
      <c r="C182" s="256"/>
      <c r="D182" s="288">
        <f>(R182/R175-1)*100</f>
        <v>4.6658715586237909</v>
      </c>
      <c r="E182" s="256"/>
      <c r="F182" s="1664">
        <f>'qtrP&amp;L'!CZ12</f>
        <v>4</v>
      </c>
      <c r="G182" s="256"/>
      <c r="H182" s="288">
        <f>+D182-F182</f>
        <v>0.66587155862379088</v>
      </c>
      <c r="I182" s="256"/>
      <c r="J182" s="948">
        <f>Stores!AS284</f>
        <v>294</v>
      </c>
      <c r="K182" s="238"/>
      <c r="L182" s="811">
        <f>AVERAGE(J182,J181)</f>
        <v>293</v>
      </c>
      <c r="M182" s="256"/>
      <c r="N182" s="288">
        <f>(L182/L175-1)*100</f>
        <v>4.2704626334519658</v>
      </c>
      <c r="O182" s="643"/>
      <c r="P182" s="812">
        <f>H182/N182*100</f>
        <v>15.592492331107072</v>
      </c>
      <c r="Q182" s="587"/>
      <c r="R182" s="315">
        <f>'qtrP&amp;L'!CX12-AQ182-AN182</f>
        <v>894.76847373018825</v>
      </c>
      <c r="S182" s="256"/>
      <c r="T182" s="818">
        <f>R182/L182</f>
        <v>3.0538173164852842</v>
      </c>
      <c r="U182" s="256"/>
      <c r="V182" s="814">
        <f>(T182/T175-1)*100</f>
        <v>0.37921470298050153</v>
      </c>
      <c r="W182" s="643"/>
      <c r="X182" s="256"/>
      <c r="Y182" s="1017">
        <f>Stores!AZ284</f>
        <v>1.2054892857142858</v>
      </c>
      <c r="Z182" s="238"/>
      <c r="AA182" s="816">
        <f>AVERAGE(Y182,Y181)</f>
        <v>1.2035339285714286</v>
      </c>
      <c r="AB182" s="256"/>
      <c r="AC182" s="288">
        <f>(AA182/AA175-1)*100</f>
        <v>3.6211652055729848</v>
      </c>
      <c r="AD182" s="643"/>
      <c r="AE182" s="812">
        <f>+H182/AC182*100</f>
        <v>18.388323117625578</v>
      </c>
      <c r="AF182" s="587"/>
      <c r="AG182" s="315">
        <f>+R182</f>
        <v>894.76847373018825</v>
      </c>
      <c r="AH182" s="256"/>
      <c r="AI182" s="819">
        <f>AG182/AA182</f>
        <v>743.45097590415344</v>
      </c>
      <c r="AJ182" s="256"/>
      <c r="AK182" s="814">
        <f>(AI182/AI175-1)*100</f>
        <v>1.0081978435372951</v>
      </c>
      <c r="AL182" s="643"/>
      <c r="AM182" s="643"/>
      <c r="AN182" s="288">
        <f>AN175*(1+AO182/100)</f>
        <v>34.720526269811742</v>
      </c>
      <c r="AO182" s="1665">
        <v>5</v>
      </c>
      <c r="AP182" s="1666"/>
      <c r="AQ182" s="145">
        <f>'segSales&amp;comps'!AR210</f>
        <v>30.1</v>
      </c>
      <c r="AR182" s="1666">
        <f>(AQ182/AQ175-1)*100</f>
        <v>27.921801954951132</v>
      </c>
      <c r="AS182" s="256"/>
      <c r="AT182" s="315"/>
      <c r="AU182" s="974"/>
      <c r="AV182" s="315"/>
      <c r="AW182" s="315"/>
      <c r="AX182" s="621"/>
      <c r="AY182" s="1482">
        <f>'qtrP&amp;L'!CX12/'qtrP&amp;L'!CT12-1</f>
        <v>5.2783501082856787E-2</v>
      </c>
      <c r="AZ182" s="621"/>
      <c r="BA182" s="1815">
        <f>'segSales&amp;comps'!E210/'segSales&amp;comps'!$AW210</f>
        <v>0.4779074614422677</v>
      </c>
      <c r="BB182" s="1815">
        <f>'segSales&amp;comps'!Q210/'segSales&amp;comps'!$AW210</f>
        <v>0.25343893288870362</v>
      </c>
      <c r="BC182" s="1815">
        <f>'segSales&amp;comps'!W210/'segSales&amp;comps'!$AW210</f>
        <v>0.11807002917882452</v>
      </c>
      <c r="BD182" s="1815">
        <f>'segSales&amp;comps'!AG210/'segSales&amp;comps'!$AW210</f>
        <v>0.11921634014172573</v>
      </c>
      <c r="BE182" s="621"/>
      <c r="BF182" s="1815">
        <f>SeqQtrSales!F200/100</f>
        <v>-0.01</v>
      </c>
      <c r="BG182" s="1815">
        <f>SeqQtrSales!F387/100</f>
        <v>0</v>
      </c>
      <c r="BH182" s="1815">
        <f>SeqQtrSales!F561/100</f>
        <v>-7.0000000000000007E-2</v>
      </c>
      <c r="BI182" s="1815">
        <f>SeqQtrSales!F481/100</f>
        <v>-0.01</v>
      </c>
      <c r="BJ182" s="621"/>
      <c r="BK182" s="728">
        <f>SUMPRODUCT(BA175:BD175,BF182:BI182)</f>
        <v>-1.5571807547741142E-2</v>
      </c>
      <c r="BL182" s="1251">
        <v>-0.02</v>
      </c>
      <c r="BM182" s="621"/>
      <c r="BN182" s="1482">
        <f>AY182-BL182</f>
        <v>7.2783501082856791E-2</v>
      </c>
    </row>
    <row r="183" spans="1:66">
      <c r="A183" s="256" t="str">
        <f>$A$43</f>
        <v>4Q</v>
      </c>
      <c r="B183" s="302" t="str">
        <f>$B$43</f>
        <v>Jan</v>
      </c>
      <c r="C183" s="256"/>
      <c r="D183" s="318">
        <f>(R183/R176-1)*100</f>
        <v>-1.8006668606790122</v>
      </c>
      <c r="E183" s="256"/>
      <c r="F183" s="1667">
        <f>'qtrP&amp;L'!CZ13</f>
        <v>0</v>
      </c>
      <c r="G183" s="256"/>
      <c r="H183" s="318">
        <f>+D183-F183</f>
        <v>-1.8006668606790122</v>
      </c>
      <c r="I183" s="256"/>
      <c r="J183" s="948">
        <f>Stores!AS285</f>
        <v>295</v>
      </c>
      <c r="K183" s="238"/>
      <c r="L183" s="820">
        <f>AVERAGE(J183,J182)</f>
        <v>294.5</v>
      </c>
      <c r="M183" s="256"/>
      <c r="N183" s="318">
        <f>(L183/L176-1)*100</f>
        <v>2.7923211169284423</v>
      </c>
      <c r="O183" s="643"/>
      <c r="P183" s="820">
        <f>H183/N183*100</f>
        <v>-64.486381948067233</v>
      </c>
      <c r="Q183" s="587"/>
      <c r="R183" s="316">
        <f>'qtrP&amp;L'!CX13-AQ183-AN183</f>
        <v>1160.9394661697331</v>
      </c>
      <c r="S183" s="256"/>
      <c r="T183" s="821">
        <f>R183/L183</f>
        <v>3.9420694946340684</v>
      </c>
      <c r="U183" s="256"/>
      <c r="V183" s="298">
        <f>(T183/T176-1)*100</f>
        <v>-4.4682209018150676</v>
      </c>
      <c r="W183" s="643"/>
      <c r="X183" s="256"/>
      <c r="Y183" s="591">
        <f>Stores!AZ285</f>
        <v>1.2094</v>
      </c>
      <c r="Z183" s="238"/>
      <c r="AA183" s="822">
        <f>AVERAGE(Y183,Y182)</f>
        <v>1.2074446428571428</v>
      </c>
      <c r="AB183" s="256"/>
      <c r="AC183" s="318">
        <f>(AA183/AA176-1)*100</f>
        <v>2.5147745087040096</v>
      </c>
      <c r="AD183" s="643"/>
      <c r="AE183" s="820">
        <f>+H183/AC183*100</f>
        <v>-71.603511744159789</v>
      </c>
      <c r="AF183" s="587"/>
      <c r="AG183" s="316">
        <f>+R183</f>
        <v>1160.9394661697331</v>
      </c>
      <c r="AH183" s="256"/>
      <c r="AI183" s="823">
        <f>AG183/AA183</f>
        <v>961.48463040312492</v>
      </c>
      <c r="AJ183" s="256"/>
      <c r="AK183" s="298">
        <f>(AI183/AI176-1)*100</f>
        <v>-4.2095799264686651</v>
      </c>
      <c r="AL183" s="643"/>
      <c r="AM183" s="643"/>
      <c r="AN183" s="318">
        <f>AN176*(1+AO183/100)</f>
        <v>85.322533830266892</v>
      </c>
      <c r="AO183" s="1665">
        <v>5</v>
      </c>
      <c r="AP183" s="1666"/>
      <c r="AQ183" s="145">
        <f>'segSales&amp;comps'!AR211</f>
        <v>39</v>
      </c>
      <c r="AR183" s="1666">
        <f>(AQ183/AQ176-1)*100</f>
        <v>12.07862746788515</v>
      </c>
      <c r="AS183" s="256"/>
      <c r="AT183" s="315"/>
      <c r="AU183" s="974"/>
      <c r="AV183" s="315"/>
      <c r="AW183" s="315"/>
      <c r="AX183" s="621"/>
      <c r="AY183" s="1482">
        <f>'qtrP&amp;L'!CX13/'qtrP&amp;L'!CT13-1</f>
        <v>-1.0030162891940586E-2</v>
      </c>
      <c r="AZ183" s="621"/>
      <c r="BA183" s="1815">
        <f>'segSales&amp;comps'!E211/'segSales&amp;comps'!$AW211</f>
        <v>0.50777604976671853</v>
      </c>
      <c r="BB183" s="1815">
        <f>'segSales&amp;comps'!Q211/'segSales&amp;comps'!$AW211</f>
        <v>0.2208398133748056</v>
      </c>
      <c r="BC183" s="1815">
        <f>'segSales&amp;comps'!W211/'segSales&amp;comps'!$AW211</f>
        <v>0.11508553654743391</v>
      </c>
      <c r="BD183" s="1815">
        <f>'segSales&amp;comps'!AG211/'segSales&amp;comps'!$AW211</f>
        <v>0.12597200622083982</v>
      </c>
      <c r="BE183" s="621"/>
      <c r="BF183" s="1815">
        <f>SeqQtrSales!F201/100</f>
        <v>-0.01</v>
      </c>
      <c r="BG183" s="1815">
        <f>SeqQtrSales!F388/100</f>
        <v>-0.03</v>
      </c>
      <c r="BH183" s="1815">
        <f>SeqQtrSales!F562/100</f>
        <v>-0.13</v>
      </c>
      <c r="BI183" s="1815">
        <f>SeqQtrSales!F482/100</f>
        <v>-0.09</v>
      </c>
      <c r="BJ183" s="621"/>
      <c r="BK183" s="728">
        <f>SUMPRODUCT(BA176:BD176,BF183:BI183)</f>
        <v>-3.9538367568267035E-2</v>
      </c>
      <c r="BL183" s="2000">
        <v>-0.04</v>
      </c>
      <c r="BM183" s="621"/>
      <c r="BN183" s="1482">
        <f>AY183-BL183</f>
        <v>2.9969837108059415E-2</v>
      </c>
    </row>
    <row r="184" spans="1:66">
      <c r="A184" s="256"/>
      <c r="B184" s="302" t="str">
        <f>$B$44</f>
        <v>Year</v>
      </c>
      <c r="C184" s="256"/>
      <c r="D184" s="288">
        <f>(R184/R177-1)*100</f>
        <v>4.8440524201557977</v>
      </c>
      <c r="E184" s="256"/>
      <c r="F184" s="824">
        <f>R180/R184*F180+R181/R184*F181+R182/R184*F182+R183/R184*F183</f>
        <v>4.2464248928196602</v>
      </c>
      <c r="G184" s="256"/>
      <c r="H184" s="288">
        <f>D184-F184</f>
        <v>0.59762752733613755</v>
      </c>
      <c r="I184" s="256"/>
      <c r="J184" s="948"/>
      <c r="K184" s="256"/>
      <c r="L184" s="811">
        <f>AVERAGE(L180:L183)</f>
        <v>292.25</v>
      </c>
      <c r="M184" s="256"/>
      <c r="N184" s="288">
        <f>(L184/L177-1)*100</f>
        <v>4.3284248103525158</v>
      </c>
      <c r="O184" s="643"/>
      <c r="P184" s="812">
        <f>H184/N184*100</f>
        <v>13.807044214023566</v>
      </c>
      <c r="Q184" s="587"/>
      <c r="R184" s="296">
        <f>SUM(R180:R183)</f>
        <v>3905.9133470137049</v>
      </c>
      <c r="S184" s="256"/>
      <c r="T184" s="813">
        <f>SUM(T180:T183)</f>
        <v>13.359613759762691</v>
      </c>
      <c r="U184" s="256"/>
      <c r="V184" s="814">
        <f>(T184/T177-1)*100</f>
        <v>0.63999448570530859</v>
      </c>
      <c r="W184" s="643"/>
      <c r="X184" s="256"/>
      <c r="Y184" s="1017"/>
      <c r="Z184" s="256"/>
      <c r="AA184" s="816">
        <f>AVERAGE(AA180:AA183)</f>
        <v>1.1997464285714288</v>
      </c>
      <c r="AB184" s="256"/>
      <c r="AC184" s="288">
        <f>(AA184/AA177-1)*100</f>
        <v>3.6067232152013462</v>
      </c>
      <c r="AD184" s="643"/>
      <c r="AE184" s="812">
        <f>+H184/AC184*100</f>
        <v>16.569819519759708</v>
      </c>
      <c r="AF184" s="587"/>
      <c r="AG184" s="296">
        <f>SUM(AG180:AG183)</f>
        <v>3905.9133470137049</v>
      </c>
      <c r="AH184" s="256"/>
      <c r="AI184" s="817">
        <f>AG184/AA184</f>
        <v>3255.6157317880779</v>
      </c>
      <c r="AJ184" s="256"/>
      <c r="AK184" s="814">
        <f>(AI184/AI177-1)*100</f>
        <v>1.1942557071169979</v>
      </c>
      <c r="AL184" s="643"/>
      <c r="AM184" s="643"/>
      <c r="AN184" s="288">
        <f>SUM(AN180:AN183)</f>
        <v>204.16665298629536</v>
      </c>
      <c r="AO184" s="1666">
        <f>100*(AN184/AN177-1)</f>
        <v>5.0000000000000044</v>
      </c>
      <c r="AP184" s="1666"/>
      <c r="AQ184" s="145">
        <f>'segSales&amp;comps'!AR212</f>
        <v>139.833</v>
      </c>
      <c r="AR184" s="1666">
        <f>(AQ184/AQ177-1)*100</f>
        <v>25.709533869735225</v>
      </c>
      <c r="AS184" s="256"/>
      <c r="AT184" s="315"/>
      <c r="AU184" s="975"/>
      <c r="AV184" s="976"/>
      <c r="AW184" s="976"/>
      <c r="AX184" s="621"/>
      <c r="AY184" s="1482">
        <f>'qtrP&amp;L'!CX14/'qtrP&amp;L'!CT14-1</f>
        <v>5.4273367517296389E-2</v>
      </c>
      <c r="AZ184" s="621"/>
      <c r="BA184" s="1815">
        <f>'segSales&amp;comps'!E212/'segSales&amp;comps'!$AW212</f>
        <v>0.47848617462409382</v>
      </c>
      <c r="BB184" s="1815">
        <f>'segSales&amp;comps'!Q212/'segSales&amp;comps'!$AW212</f>
        <v>0.24112691152578117</v>
      </c>
      <c r="BC184" s="1815">
        <f>'segSales&amp;comps'!W212/'segSales&amp;comps'!$AW212</f>
        <v>0.13039827678606297</v>
      </c>
      <c r="BD184" s="1815">
        <f>'segSales&amp;comps'!AG212/'segSales&amp;comps'!$AW212</f>
        <v>0.11709187886498619</v>
      </c>
      <c r="BE184" s="621"/>
      <c r="BF184" s="1815">
        <f>SeqQtrSales!F202/100</f>
        <v>-0.01</v>
      </c>
      <c r="BG184" s="1815">
        <f>SeqQtrSales!F389/100</f>
        <v>-1.1242637687418755E-2</v>
      </c>
      <c r="BH184" s="1815">
        <f>SeqQtrSales!F563/100</f>
        <v>-8.3701547415651681E-2</v>
      </c>
      <c r="BI184" s="1815">
        <f>SeqQtrSales!F483/100</f>
        <v>-2.6485363486197853E-3</v>
      </c>
      <c r="BJ184" s="621"/>
      <c r="BK184" s="728">
        <f>SUMPRODUCT(BA177:BD177,BF184:BI184)</f>
        <v>-1.9736604373915258E-2</v>
      </c>
      <c r="BL184" s="2000">
        <v>-0.02</v>
      </c>
      <c r="BM184" s="621"/>
      <c r="BN184" s="1482">
        <f>AY184-BL184</f>
        <v>7.4273367517296393E-2</v>
      </c>
    </row>
    <row r="185" spans="1:66">
      <c r="A185" s="256"/>
      <c r="B185" s="302"/>
      <c r="C185" s="256"/>
      <c r="D185" s="288"/>
      <c r="E185" s="256"/>
      <c r="F185" s="390"/>
      <c r="G185" s="256"/>
      <c r="H185" s="288"/>
      <c r="I185" s="256"/>
      <c r="J185" s="256"/>
      <c r="K185" s="256"/>
      <c r="L185" s="811"/>
      <c r="M185" s="256"/>
      <c r="N185" s="288"/>
      <c r="O185" s="643"/>
      <c r="P185" s="812"/>
      <c r="Q185" s="587"/>
      <c r="R185" s="141"/>
      <c r="S185" s="256"/>
      <c r="T185" s="813"/>
      <c r="U185" s="256"/>
      <c r="V185" s="814"/>
      <c r="W185" s="643"/>
      <c r="X185" s="256"/>
      <c r="Y185" s="256"/>
      <c r="Z185" s="256"/>
      <c r="AA185" s="816"/>
      <c r="AB185" s="256"/>
      <c r="AC185" s="288"/>
      <c r="AD185" s="643"/>
      <c r="AE185" s="812"/>
      <c r="AF185" s="587"/>
      <c r="AG185" s="296"/>
      <c r="AH185" s="256"/>
      <c r="AI185" s="817"/>
      <c r="AJ185" s="256"/>
      <c r="AK185" s="814"/>
      <c r="AL185" s="643"/>
      <c r="AM185" s="643"/>
      <c r="AN185" s="288"/>
      <c r="AO185" s="256"/>
      <c r="AP185" s="256"/>
      <c r="AQ185" s="288"/>
      <c r="AR185" s="966"/>
      <c r="AS185" s="256"/>
      <c r="AT185" s="256"/>
      <c r="AU185" s="256"/>
      <c r="AV185" s="256"/>
      <c r="AW185" s="256"/>
    </row>
    <row r="186" spans="1:66">
      <c r="A186" s="256"/>
      <c r="B186" s="876">
        <f>+B179+1</f>
        <v>2015</v>
      </c>
      <c r="C186" s="256"/>
      <c r="D186" s="256"/>
      <c r="E186" s="256"/>
      <c r="F186" s="256"/>
      <c r="G186" s="256"/>
      <c r="H186" s="256"/>
      <c r="I186" s="256"/>
      <c r="J186" s="256"/>
      <c r="K186" s="256"/>
      <c r="L186" s="256"/>
      <c r="M186" s="256"/>
      <c r="N186" s="256"/>
      <c r="O186" s="643"/>
      <c r="P186" s="256"/>
      <c r="Q186" s="256"/>
      <c r="R186" s="256"/>
      <c r="S186" s="256"/>
      <c r="T186" s="256"/>
      <c r="U186" s="256"/>
      <c r="V186" s="256"/>
      <c r="W186" s="256"/>
      <c r="X186" s="256"/>
      <c r="Y186" s="256"/>
      <c r="Z186" s="256"/>
      <c r="AA186" s="256"/>
      <c r="AB186" s="256"/>
      <c r="AC186" s="256"/>
      <c r="AD186" s="643"/>
      <c r="AE186" s="256"/>
      <c r="AF186" s="256"/>
      <c r="AG186" s="256"/>
      <c r="AH186" s="256"/>
      <c r="AI186" s="256"/>
      <c r="AJ186" s="256"/>
      <c r="AK186" s="256"/>
      <c r="AL186" s="256"/>
      <c r="AM186" s="256"/>
      <c r="AN186" s="288"/>
      <c r="AO186" s="970"/>
      <c r="AP186" s="970"/>
      <c r="AQ186" s="288"/>
      <c r="AR186" s="970"/>
      <c r="AS186" s="621"/>
      <c r="AT186" s="256"/>
      <c r="AU186" s="775"/>
      <c r="AV186" s="256"/>
      <c r="AW186" s="256"/>
      <c r="AX186" s="621"/>
      <c r="AY186" s="621"/>
      <c r="AZ186" s="621"/>
      <c r="BA186" s="621"/>
      <c r="BB186" s="621"/>
      <c r="BC186" s="621"/>
      <c r="BD186" s="621"/>
      <c r="BE186" s="621"/>
      <c r="BF186" s="621"/>
      <c r="BG186" s="621"/>
      <c r="BH186" s="621"/>
      <c r="BI186" s="621"/>
      <c r="BJ186" s="621"/>
      <c r="BK186" s="621"/>
      <c r="BL186" s="621"/>
      <c r="BM186" s="621"/>
      <c r="BN186" s="621"/>
    </row>
    <row r="187" spans="1:66">
      <c r="A187" s="256" t="str">
        <f>$A$40</f>
        <v>1Q</v>
      </c>
      <c r="B187" s="302" t="str">
        <f>$B$40</f>
        <v>Apr</v>
      </c>
      <c r="C187" s="256"/>
      <c r="D187" s="288">
        <f>(R187/R180-1)*100</f>
        <v>-4.9083299731838341</v>
      </c>
      <c r="E187" s="643" t="s">
        <v>1970</v>
      </c>
      <c r="F187" s="1664">
        <f>'qtrP&amp;L'!DD10</f>
        <v>-1</v>
      </c>
      <c r="G187" s="643" t="s">
        <v>1970</v>
      </c>
      <c r="H187" s="288">
        <f>+D187-F187</f>
        <v>-3.9083299731838341</v>
      </c>
      <c r="I187" s="643" t="s">
        <v>1970</v>
      </c>
      <c r="J187" s="948">
        <f>Stores!AS289</f>
        <v>298</v>
      </c>
      <c r="K187" s="256"/>
      <c r="L187" s="811">
        <f>AVERAGE(J187,J183)</f>
        <v>296.5</v>
      </c>
      <c r="M187" s="256"/>
      <c r="N187" s="288">
        <f>(L187/L180-1)*100</f>
        <v>2.2413793103448265</v>
      </c>
      <c r="O187" s="643" t="s">
        <v>1970</v>
      </c>
      <c r="P187" s="812">
        <f>H187/N187*100</f>
        <v>-174.37164495743269</v>
      </c>
      <c r="Q187" s="587" t="s">
        <v>1970</v>
      </c>
      <c r="R187" s="296">
        <f>'qtrP&amp;L'!DB10-AN187-AQ187</f>
        <v>886.31112839726541</v>
      </c>
      <c r="S187" s="238"/>
      <c r="T187" s="813">
        <f>R187/L187</f>
        <v>2.9892449524359712</v>
      </c>
      <c r="U187" s="256"/>
      <c r="V187" s="814">
        <f>(T187/T180-1)*100</f>
        <v>-6.9929702941764376</v>
      </c>
      <c r="W187" s="643" t="s">
        <v>1970</v>
      </c>
      <c r="X187" s="256"/>
      <c r="Y187" s="1017">
        <f>Stores!AZ289</f>
        <v>1.2201</v>
      </c>
      <c r="Z187" s="256"/>
      <c r="AA187" s="816">
        <f>AVERAGE(Y187,Y183)</f>
        <v>1.21475</v>
      </c>
      <c r="AB187" s="256"/>
      <c r="AC187" s="288">
        <f>(AA187/AA180-1)*100</f>
        <v>2.0940797560283553</v>
      </c>
      <c r="AD187" s="643" t="s">
        <v>1970</v>
      </c>
      <c r="AE187" s="812">
        <f>+H187/AC187*100</f>
        <v>-186.63711169226895</v>
      </c>
      <c r="AF187" s="587" t="s">
        <v>1970</v>
      </c>
      <c r="AG187" s="296">
        <f>+R187</f>
        <v>886.31112839726541</v>
      </c>
      <c r="AH187" s="256" t="s">
        <v>700</v>
      </c>
      <c r="AI187" s="817">
        <f>AG187/AA187</f>
        <v>729.62430820931502</v>
      </c>
      <c r="AJ187" s="256"/>
      <c r="AK187" s="814">
        <f>(AI187/AI180-1)*100</f>
        <v>-6.8587813768885342</v>
      </c>
      <c r="AL187" s="643" t="s">
        <v>1970</v>
      </c>
      <c r="AM187" s="643"/>
      <c r="AN187" s="288">
        <f>AN180*(1+AO187/100)</f>
        <v>44.888871602734554</v>
      </c>
      <c r="AO187" s="1665">
        <v>5</v>
      </c>
      <c r="AP187" s="1666"/>
      <c r="AQ187" s="145">
        <f>'segSales&amp;comps'!AR215</f>
        <v>31.2</v>
      </c>
      <c r="AR187" s="1666">
        <f>(AQ187/AQ180-1)*100</f>
        <v>-16.400953886551804</v>
      </c>
      <c r="AS187" s="256"/>
      <c r="AT187" s="315"/>
      <c r="AU187" s="977"/>
      <c r="AV187" s="296"/>
      <c r="AW187" s="296"/>
      <c r="AX187" s="621"/>
      <c r="AY187" s="1482">
        <f>'qtrP&amp;L'!DB10/'qtrP&amp;L'!CX10-1</f>
        <v>-4.9135883461840946E-2</v>
      </c>
      <c r="AZ187" s="621"/>
      <c r="BA187" s="1815">
        <f>'segSales&amp;comps'!E215/'segSales&amp;comps'!$AW215</f>
        <v>0.46103491271820451</v>
      </c>
      <c r="BB187" s="1815">
        <f>'segSales&amp;comps'!Q215/'segSales&amp;comps'!$AW215</f>
        <v>0.26911886949293434</v>
      </c>
      <c r="BC187" s="1815">
        <f>'segSales&amp;comps'!W215/'segSales&amp;comps'!$AW215</f>
        <v>0.12655860349127185</v>
      </c>
      <c r="BD187" s="1815">
        <f>'segSales&amp;comps'!AG215/'segSales&amp;comps'!$AW215</f>
        <v>0.11086866167913552</v>
      </c>
      <c r="BE187" s="621"/>
      <c r="BF187" s="1815">
        <f>SeqQtrSales!F205/100</f>
        <v>-0.02</v>
      </c>
      <c r="BG187" s="1815">
        <f>SeqQtrSales!F392/100</f>
        <v>-0.05</v>
      </c>
      <c r="BH187" s="1815">
        <f>SeqQtrSales!F566/100</f>
        <v>-0.12</v>
      </c>
      <c r="BI187" s="1815">
        <f>SeqQtrSales!F486/100</f>
        <v>-0.19</v>
      </c>
      <c r="BJ187" s="621"/>
      <c r="BK187" s="728">
        <f>SUMPRODUCT(BA180:BD180,BF187:BI187)</f>
        <v>-6.1190032525401825E-2</v>
      </c>
      <c r="BL187" s="2036">
        <f>BK187</f>
        <v>-6.1190032525401825E-2</v>
      </c>
      <c r="BM187" s="621"/>
      <c r="BN187" s="1482">
        <f>AY187-BL187</f>
        <v>1.2054149063560879E-2</v>
      </c>
    </row>
    <row r="188" spans="1:66">
      <c r="A188" s="256" t="str">
        <f>$A$41</f>
        <v>2Q</v>
      </c>
      <c r="B188" s="302" t="str">
        <f>$B$41</f>
        <v>Jul</v>
      </c>
      <c r="C188" s="256"/>
      <c r="D188" s="288">
        <f>(R188/R181-1)*100</f>
        <v>1.0797181237575115</v>
      </c>
      <c r="E188" s="256"/>
      <c r="F188" s="1664">
        <f>'qtrP&amp;L'!DD11</f>
        <v>7</v>
      </c>
      <c r="G188" s="256"/>
      <c r="H188" s="288">
        <f>+D188-F188</f>
        <v>-5.9202818762424885</v>
      </c>
      <c r="I188" s="256"/>
      <c r="J188" s="948">
        <f>Stores!AS290</f>
        <v>304</v>
      </c>
      <c r="K188" s="256"/>
      <c r="L188" s="811">
        <f>AVERAGE(J188,J187)</f>
        <v>301</v>
      </c>
      <c r="M188" s="256"/>
      <c r="N188" s="288">
        <f>(L188/L181-1)*100</f>
        <v>3.2590051457975999</v>
      </c>
      <c r="O188" s="643"/>
      <c r="P188" s="812">
        <f>H188/N188*100</f>
        <v>-181.65917546575631</v>
      </c>
      <c r="Q188" s="587"/>
      <c r="R188" s="315">
        <f>'qtrP&amp;L'!DB11-AN188-AQ188</f>
        <v>928.059099072207</v>
      </c>
      <c r="S188" s="238"/>
      <c r="T188" s="818">
        <f>R188/L188</f>
        <v>3.0832528208378971</v>
      </c>
      <c r="U188" s="256"/>
      <c r="V188" s="814">
        <f>(T188/T181-1)*100</f>
        <v>-2.1105055379557647</v>
      </c>
      <c r="W188" s="643"/>
      <c r="X188" s="256"/>
      <c r="Y188" s="1017">
        <f>Stores!AZ290</f>
        <v>1.2390999999999999</v>
      </c>
      <c r="Z188" s="238"/>
      <c r="AA188" s="816">
        <f>AVERAGE(Y188,Y187)</f>
        <v>1.2296</v>
      </c>
      <c r="AB188" s="256"/>
      <c r="AC188" s="288">
        <f>(AA188/AA181-1)*100</f>
        <v>2.6228916937540481</v>
      </c>
      <c r="AD188" s="643"/>
      <c r="AE188" s="812">
        <f>+H188/AC188*100</f>
        <v>-225.71583456307368</v>
      </c>
      <c r="AF188" s="587"/>
      <c r="AG188" s="315">
        <f>+R188</f>
        <v>928.059099072207</v>
      </c>
      <c r="AH188" s="256"/>
      <c r="AI188" s="819">
        <f>AG188/AA188</f>
        <v>754.76504478871743</v>
      </c>
      <c r="AJ188" s="256"/>
      <c r="AK188" s="814">
        <f>(AI188/AI181-1)*100</f>
        <v>-1.5037323003932235</v>
      </c>
      <c r="AL188" s="643"/>
      <c r="AM188" s="643"/>
      <c r="AN188" s="288">
        <f>AN181*(1+AO188/100)</f>
        <v>43.440900927793017</v>
      </c>
      <c r="AO188" s="1665">
        <v>5</v>
      </c>
      <c r="AP188" s="1666"/>
      <c r="AQ188" s="145">
        <f>'segSales&amp;comps'!AR216</f>
        <v>19</v>
      </c>
      <c r="AR188" s="1666">
        <f>(AQ188/AQ181-1)*100</f>
        <v>-43.134203280258589</v>
      </c>
      <c r="AS188" s="256"/>
      <c r="AT188" s="315"/>
      <c r="AU188" s="974"/>
      <c r="AV188" s="315"/>
      <c r="AW188" s="315"/>
      <c r="AX188" s="621"/>
      <c r="AY188" s="1482">
        <f>'qtrP&amp;L'!DB11/'qtrP&amp;L'!CX11-1</f>
        <v>-2.4473024281670419E-3</v>
      </c>
      <c r="AZ188" s="621"/>
      <c r="BA188" s="1815">
        <f>'segSales&amp;comps'!E216/'segSales&amp;comps'!$AW216</f>
        <v>0.47915194346289752</v>
      </c>
      <c r="BB188" s="1815">
        <f>'segSales&amp;comps'!Q216/'segSales&amp;comps'!$AW216</f>
        <v>0.24765270065623424</v>
      </c>
      <c r="BC188" s="1815">
        <f>'segSales&amp;comps'!W216/'segSales&amp;comps'!$AW216</f>
        <v>0.12670368500757193</v>
      </c>
      <c r="BD188" s="1815">
        <f>'segSales&amp;comps'!AG216/'segSales&amp;comps'!$AW216</f>
        <v>0.12730943967693084</v>
      </c>
      <c r="BE188" s="621"/>
      <c r="BF188" s="1815">
        <f>SeqQtrSales!F206/100</f>
        <v>-0.02</v>
      </c>
      <c r="BG188" s="1815">
        <f>SeqQtrSales!F393/100</f>
        <v>-0.05</v>
      </c>
      <c r="BH188" s="1815">
        <f>SeqQtrSales!F567/100</f>
        <v>-0.22</v>
      </c>
      <c r="BI188" s="1815">
        <f>SeqQtrSales!F487/100</f>
        <v>-0.17</v>
      </c>
      <c r="BJ188" s="621"/>
      <c r="BK188" s="728">
        <f>SUMPRODUCT(BA181:BD181,BF188:BI188)</f>
        <v>-6.8601472409938261E-2</v>
      </c>
      <c r="BL188" s="2036">
        <f>BK188</f>
        <v>-6.8601472409938261E-2</v>
      </c>
      <c r="BM188" s="621"/>
      <c r="BN188" s="1482">
        <f>AY188-BL188</f>
        <v>6.6154169981771219E-2</v>
      </c>
    </row>
    <row r="189" spans="1:66">
      <c r="A189" s="256" t="str">
        <f>$A$42</f>
        <v>3Q</v>
      </c>
      <c r="B189" s="302" t="str">
        <f>$B$42</f>
        <v>Oct</v>
      </c>
      <c r="C189" s="256"/>
      <c r="D189" s="288">
        <f>(R189/R182-1)*100</f>
        <v>-2.1597795274264309</v>
      </c>
      <c r="E189" s="256"/>
      <c r="F189" s="1664">
        <f>'qtrP&amp;L'!DD12</f>
        <v>1</v>
      </c>
      <c r="G189" s="256"/>
      <c r="H189" s="288">
        <f>+D189-F189</f>
        <v>-3.1597795274264309</v>
      </c>
      <c r="I189" s="256"/>
      <c r="J189" s="948">
        <f>Stores!AS291</f>
        <v>305</v>
      </c>
      <c r="K189" s="238"/>
      <c r="L189" s="811">
        <f>AVERAGE(J189,J188)</f>
        <v>304.5</v>
      </c>
      <c r="M189" s="256"/>
      <c r="N189" s="288">
        <f>(L189/L182-1)*100</f>
        <v>3.924914675767921</v>
      </c>
      <c r="O189" s="643"/>
      <c r="P189" s="812">
        <f>H189/N189*100</f>
        <v>-80.505687090082048</v>
      </c>
      <c r="Q189" s="587"/>
      <c r="R189" s="315">
        <f>'qtrP&amp;L'!DB12-AN189-AQ189</f>
        <v>875.44344741669772</v>
      </c>
      <c r="S189" s="256"/>
      <c r="T189" s="818">
        <f>R189/L189</f>
        <v>2.8750195317461338</v>
      </c>
      <c r="U189" s="256"/>
      <c r="V189" s="814">
        <f>(T189/T182-1)*100</f>
        <v>-5.854894586324944</v>
      </c>
      <c r="W189" s="643"/>
      <c r="X189" s="256"/>
      <c r="Y189" s="1017">
        <f>Stores!AZ291</f>
        <v>1.2445999999999999</v>
      </c>
      <c r="Z189" s="238"/>
      <c r="AA189" s="816">
        <f>AVERAGE(Y189,Y188)</f>
        <v>1.2418499999999999</v>
      </c>
      <c r="AB189" s="256"/>
      <c r="AC189" s="288">
        <f>(AA189/AA182-1)*100</f>
        <v>3.1836303505005326</v>
      </c>
      <c r="AD189" s="643"/>
      <c r="AE189" s="812">
        <f>+H189/AC189*100</f>
        <v>-99.250829385065003</v>
      </c>
      <c r="AF189" s="587"/>
      <c r="AG189" s="315">
        <f>+R189</f>
        <v>875.44344741669772</v>
      </c>
      <c r="AH189" s="256"/>
      <c r="AI189" s="819">
        <f>AG189/AA189</f>
        <v>704.9510387057195</v>
      </c>
      <c r="AJ189" s="256"/>
      <c r="AK189" s="814">
        <f>(AI189/AI182-1)*100</f>
        <v>-5.1785441738928295</v>
      </c>
      <c r="AL189" s="643"/>
      <c r="AM189" s="643"/>
      <c r="AN189" s="288">
        <f>AN182*(1+AO189/100)</f>
        <v>36.456552583302333</v>
      </c>
      <c r="AO189" s="1665">
        <v>5</v>
      </c>
      <c r="AP189" s="1666"/>
      <c r="AQ189" s="145">
        <f>'segSales&amp;comps'!AR217</f>
        <v>26.3</v>
      </c>
      <c r="AR189" s="1666">
        <f>(AQ189/AQ182-1)*100</f>
        <v>-12.624584717607979</v>
      </c>
      <c r="AS189" s="256"/>
      <c r="AT189" s="315"/>
      <c r="AU189" s="974"/>
      <c r="AV189" s="315"/>
      <c r="AW189" s="315"/>
      <c r="AX189" s="621"/>
      <c r="AY189" s="1482">
        <f>'qtrP&amp;L'!DB12/'qtrP&amp;L'!CX12-1</f>
        <v>-2.2289751133037217E-2</v>
      </c>
      <c r="AZ189" s="621"/>
      <c r="BA189" s="1815">
        <f>'segSales&amp;comps'!E217/'segSales&amp;comps'!$AW217</f>
        <v>0.45310168407589002</v>
      </c>
      <c r="BB189" s="1815">
        <f>'segSales&amp;comps'!Q217/'segSales&amp;comps'!$AW217</f>
        <v>0.25410360264335963</v>
      </c>
      <c r="BC189" s="1815">
        <f>'segSales&amp;comps'!W217/'segSales&amp;comps'!$AW217</f>
        <v>0.1414410573438499</v>
      </c>
      <c r="BD189" s="1815">
        <f>'segSales&amp;comps'!AG217/'segSales&amp;comps'!$AW217</f>
        <v>0.12332125346408015</v>
      </c>
      <c r="BE189" s="621"/>
      <c r="BF189" s="1815">
        <f>SeqQtrSales!F207/100</f>
        <v>-0.02</v>
      </c>
      <c r="BG189" s="1815">
        <f>SeqQtrSales!F394/100</f>
        <v>-0.08</v>
      </c>
      <c r="BH189" s="1815">
        <f>SeqQtrSales!F568/100</f>
        <v>-0.17</v>
      </c>
      <c r="BI189" s="1815">
        <f>SeqQtrSales!F488/100</f>
        <v>-0.11</v>
      </c>
      <c r="BJ189" s="621"/>
      <c r="BK189" s="728">
        <f>SUMPRODUCT(BA182:BD182,BF189:BI189)</f>
        <v>-6.3018966235931645E-2</v>
      </c>
      <c r="BL189" s="2036">
        <f>BK189</f>
        <v>-6.3018966235931645E-2</v>
      </c>
      <c r="BM189" s="621"/>
      <c r="BN189" s="1482">
        <f>AY189-BL189</f>
        <v>4.0729215102894428E-2</v>
      </c>
    </row>
    <row r="190" spans="1:66">
      <c r="A190" s="256" t="str">
        <f>$A$43</f>
        <v>4Q</v>
      </c>
      <c r="B190" s="302" t="str">
        <f>$B$43</f>
        <v>Jan</v>
      </c>
      <c r="C190" s="256"/>
      <c r="D190" s="318">
        <f>(R190/R183-1)*100</f>
        <v>-5.8511342469584111</v>
      </c>
      <c r="E190" s="256"/>
      <c r="F190" s="2452">
        <f>'qtrP&amp;L'!DD13</f>
        <v>-5</v>
      </c>
      <c r="G190" s="256"/>
      <c r="H190" s="318">
        <f>+D190-F190</f>
        <v>-0.85113424695841111</v>
      </c>
      <c r="I190" s="256"/>
      <c r="J190" s="948">
        <f>Stores!AS292</f>
        <v>307</v>
      </c>
      <c r="K190" s="238"/>
      <c r="L190" s="820">
        <f>AVERAGE(J190,J189)</f>
        <v>306</v>
      </c>
      <c r="M190" s="256"/>
      <c r="N190" s="318">
        <f>(L190/L183-1)*100</f>
        <v>3.9049235993208864</v>
      </c>
      <c r="O190" s="643"/>
      <c r="P190" s="820">
        <f>H190/N190*100</f>
        <v>-21.796437889500162</v>
      </c>
      <c r="Q190" s="587"/>
      <c r="R190" s="316">
        <f>'qtrP&amp;L'!DB13-AN190-AQ190</f>
        <v>1093.0113394782197</v>
      </c>
      <c r="S190" s="256"/>
      <c r="T190" s="821">
        <f>R190/L190</f>
        <v>3.5719324819549665</v>
      </c>
      <c r="U190" s="256"/>
      <c r="V190" s="298">
        <f>(T190/T183-1)*100</f>
        <v>-9.3894086134942878</v>
      </c>
      <c r="W190" s="643"/>
      <c r="X190" s="256"/>
      <c r="Y190" s="591">
        <f>Stores!AZ292</f>
        <v>1.2504999999999999</v>
      </c>
      <c r="Z190" s="238"/>
      <c r="AA190" s="822">
        <f>AVERAGE(Y190,Y189)</f>
        <v>1.2475499999999999</v>
      </c>
      <c r="AB190" s="256"/>
      <c r="AC190" s="318">
        <f>(AA190/AA183-1)*100</f>
        <v>3.3215069013811549</v>
      </c>
      <c r="AD190" s="643"/>
      <c r="AE190" s="820">
        <f>+H190/AC190*100</f>
        <v>-25.624942901804324</v>
      </c>
      <c r="AF190" s="587"/>
      <c r="AG190" s="316">
        <f>+R190</f>
        <v>1093.0113394782197</v>
      </c>
      <c r="AH190" s="256"/>
      <c r="AI190" s="823">
        <f>AG190/AA190</f>
        <v>876.12627908959143</v>
      </c>
      <c r="AJ190" s="256"/>
      <c r="AK190" s="298">
        <f>(AI190/AI183-1)*100</f>
        <v>-8.8777655528143988</v>
      </c>
      <c r="AL190" s="643"/>
      <c r="AM190" s="643"/>
      <c r="AN190" s="318">
        <f>AN183*(1+AO190/100)</f>
        <v>89.588660521780241</v>
      </c>
      <c r="AO190" s="1665">
        <v>5</v>
      </c>
      <c r="AP190" s="1666"/>
      <c r="AQ190" s="145">
        <f>'segSales&amp;comps'!AR218</f>
        <v>31</v>
      </c>
      <c r="AR190" s="1666">
        <f>(AQ190/AQ183-1)*100</f>
        <v>-20.512820512820518</v>
      </c>
      <c r="AS190" s="256"/>
      <c r="AT190" s="315"/>
      <c r="AU190" s="974"/>
      <c r="AV190" s="315"/>
      <c r="AW190" s="315"/>
      <c r="AX190" s="621"/>
      <c r="AY190" s="1482">
        <f>'qtrP&amp;L'!DB13/'qtrP&amp;L'!CX13-1</f>
        <v>-5.5756725087958703E-2</v>
      </c>
      <c r="AZ190" s="621"/>
      <c r="BA190" s="1815">
        <f>'segSales&amp;comps'!E218/'segSales&amp;comps'!$AW218</f>
        <v>0.49748619467567795</v>
      </c>
      <c r="BB190" s="1815">
        <f>'segSales&amp;comps'!Q218/'segSales&amp;comps'!$AW218</f>
        <v>0.2146212808044177</v>
      </c>
      <c r="BC190" s="1815">
        <f>'segSales&amp;comps'!W218/'segSales&amp;comps'!$AW218</f>
        <v>0.13294321272562434</v>
      </c>
      <c r="BD190" s="1815">
        <f>'segSales&amp;comps'!AG218/'segSales&amp;comps'!$AW218</f>
        <v>0.12939915931756368</v>
      </c>
      <c r="BE190" s="621"/>
      <c r="BF190" s="1815">
        <f>SeqQtrSales!F208/100</f>
        <v>-0.02</v>
      </c>
      <c r="BG190" s="1815">
        <f>SeqQtrSales!F395/100</f>
        <v>-0.05</v>
      </c>
      <c r="BH190" s="1815">
        <f>SeqQtrSales!F569/100</f>
        <v>-0.03</v>
      </c>
      <c r="BI190" s="1815">
        <f>SeqQtrSales!F489/100</f>
        <v>-0.08</v>
      </c>
      <c r="BJ190" s="621"/>
      <c r="BK190" s="728">
        <f>SUMPRODUCT(BA183:BD183,BF190:BI190)</f>
        <v>-3.4727838258164855E-2</v>
      </c>
      <c r="BL190" s="2036">
        <f>BK190</f>
        <v>-3.4727838258164855E-2</v>
      </c>
      <c r="BM190" s="621"/>
      <c r="BN190" s="1482">
        <f>AY190-BL190</f>
        <v>-2.1028886829793848E-2</v>
      </c>
    </row>
    <row r="191" spans="1:66">
      <c r="A191" s="256"/>
      <c r="B191" s="302" t="str">
        <f>$B$44</f>
        <v>Year</v>
      </c>
      <c r="C191" s="256"/>
      <c r="D191" s="288">
        <f>(R191/R184-1)*100</f>
        <v>-3.1513329076648056</v>
      </c>
      <c r="E191" s="256"/>
      <c r="F191" s="2453">
        <f>'qtrP&amp;L'!DD14</f>
        <v>0</v>
      </c>
      <c r="G191" s="256"/>
      <c r="H191" s="288">
        <f>D191-F191</f>
        <v>-3.1513329076648056</v>
      </c>
      <c r="I191" s="256"/>
      <c r="J191" s="948"/>
      <c r="K191" s="256"/>
      <c r="L191" s="811">
        <f>AVERAGE(L187:L190)</f>
        <v>302</v>
      </c>
      <c r="M191" s="256"/>
      <c r="N191" s="288">
        <f>(L191/L184-1)*100</f>
        <v>3.3361847733105243</v>
      </c>
      <c r="O191" s="643"/>
      <c r="P191" s="812">
        <f>H191/N191*100</f>
        <v>-94.459183822055266</v>
      </c>
      <c r="Q191" s="587"/>
      <c r="R191" s="296">
        <f>SUM(R187:R190)</f>
        <v>3782.82501436439</v>
      </c>
      <c r="S191" s="256"/>
      <c r="T191" s="813">
        <f>SUM(T187:T190)</f>
        <v>12.519449786974969</v>
      </c>
      <c r="U191" s="256"/>
      <c r="V191" s="814">
        <f>(T191/T184-1)*100</f>
        <v>-6.2888343023671851</v>
      </c>
      <c r="W191" s="643"/>
      <c r="X191" s="256"/>
      <c r="Y191" s="1017"/>
      <c r="Z191" s="256"/>
      <c r="AA191" s="816">
        <f>AVERAGE(AA187:AA190)</f>
        <v>1.2334375</v>
      </c>
      <c r="AB191" s="256"/>
      <c r="AC191" s="288">
        <f>(AA191/AA184-1)*100</f>
        <v>2.808182681459459</v>
      </c>
      <c r="AD191" s="643"/>
      <c r="AE191" s="812">
        <f>+H191/AC191*100</f>
        <v>-112.21965467100614</v>
      </c>
      <c r="AF191" s="587"/>
      <c r="AG191" s="296">
        <f>SUM(AG187:AG190)</f>
        <v>3782.82501436439</v>
      </c>
      <c r="AH191" s="256"/>
      <c r="AI191" s="817">
        <f>AG191/AA191</f>
        <v>3066.8963886410052</v>
      </c>
      <c r="AJ191" s="256"/>
      <c r="AK191" s="814">
        <f>(AI191/AI184-1)*100</f>
        <v>-5.7967327441135863</v>
      </c>
      <c r="AL191" s="643"/>
      <c r="AM191" s="643"/>
      <c r="AN191" s="288">
        <f>SUM(AN187:AN190)</f>
        <v>214.37498563561016</v>
      </c>
      <c r="AO191" s="1666">
        <f>100*(AN191/AN184-1)</f>
        <v>5.0000000000000044</v>
      </c>
      <c r="AP191" s="1666"/>
      <c r="AQ191" s="145">
        <f>'segSales&amp;comps'!AR219</f>
        <v>107.5</v>
      </c>
      <c r="AR191" s="1666">
        <f>(AQ191/AQ184-1)*100</f>
        <v>-23.122581937024876</v>
      </c>
      <c r="AS191" s="256"/>
      <c r="AT191" s="315"/>
      <c r="AU191" s="975"/>
      <c r="AV191" s="976"/>
      <c r="AW191" s="976"/>
      <c r="AX191" s="621"/>
      <c r="AY191" s="1482">
        <f>'qtrP&amp;L'!DB14/'qtrP&amp;L'!CX14-1</f>
        <v>-3.4168464154442413E-2</v>
      </c>
      <c r="AZ191" s="621"/>
      <c r="BA191" s="1815">
        <f>'segSales&amp;comps'!E219/'segSales&amp;comps'!$AW219</f>
        <v>0.47436896988597604</v>
      </c>
      <c r="BB191" s="1815">
        <f>'segSales&amp;comps'!Q219/'segSales&amp;comps'!$AW219</f>
        <v>0.24439625767469061</v>
      </c>
      <c r="BC191" s="1815">
        <f>'segSales&amp;comps'!W219/'segSales&amp;comps'!$AW219</f>
        <v>0.13188285742130396</v>
      </c>
      <c r="BD191" s="1815">
        <f>'segSales&amp;comps'!AG219/'segSales&amp;comps'!$AW219</f>
        <v>0.12316051067147453</v>
      </c>
      <c r="BE191" s="621"/>
      <c r="BF191" s="1815">
        <f>SeqQtrSales!F209/100</f>
        <v>-0.02</v>
      </c>
      <c r="BG191" s="1815">
        <f>SeqQtrSales!F396/100</f>
        <v>-0.05</v>
      </c>
      <c r="BH191" s="1815">
        <f>SeqQtrSales!F570/100</f>
        <v>-0.12</v>
      </c>
      <c r="BI191" s="1815">
        <f>SeqQtrSales!F490/100</f>
        <v>-0.13</v>
      </c>
      <c r="BJ191" s="621"/>
      <c r="BK191" s="728">
        <f>SUMPRODUCT(BA184:BD184,BF191:BI191)</f>
        <v>-5.2495806535546696E-2</v>
      </c>
      <c r="BL191" s="2036">
        <f>BK191</f>
        <v>-5.2495806535546696E-2</v>
      </c>
      <c r="BM191" s="621"/>
      <c r="BN191" s="1482">
        <f>AY191-BL191</f>
        <v>1.8327342381104283E-2</v>
      </c>
    </row>
    <row r="192" spans="1:66">
      <c r="A192" s="256"/>
      <c r="B192" s="302"/>
      <c r="C192" s="256"/>
      <c r="D192" s="288"/>
      <c r="E192" s="256"/>
      <c r="F192" s="390"/>
      <c r="G192" s="256"/>
      <c r="H192" s="288"/>
      <c r="I192" s="256"/>
      <c r="J192" s="256"/>
      <c r="K192" s="256"/>
      <c r="L192" s="811"/>
      <c r="M192" s="256"/>
      <c r="N192" s="288"/>
      <c r="O192" s="643"/>
      <c r="P192" s="812"/>
      <c r="Q192" s="587"/>
      <c r="R192" s="141"/>
      <c r="S192" s="256"/>
      <c r="T192" s="813"/>
      <c r="U192" s="256"/>
      <c r="V192" s="814"/>
      <c r="W192" s="643"/>
      <c r="X192" s="256"/>
      <c r="Y192" s="256"/>
      <c r="Z192" s="256"/>
      <c r="AA192" s="816"/>
      <c r="AB192" s="256"/>
      <c r="AC192" s="288"/>
      <c r="AD192" s="643"/>
      <c r="AE192" s="812"/>
      <c r="AF192" s="587"/>
      <c r="AG192" s="296"/>
      <c r="AH192" s="256"/>
      <c r="AI192" s="817"/>
      <c r="AJ192" s="256"/>
      <c r="AK192" s="814"/>
      <c r="AL192" s="643"/>
      <c r="AM192" s="643"/>
      <c r="AN192" s="387"/>
      <c r="AO192" s="256"/>
      <c r="AP192" s="256"/>
      <c r="AQ192" s="288"/>
      <c r="AR192" s="966"/>
      <c r="AS192" s="256"/>
      <c r="AT192" s="256"/>
      <c r="AU192" s="256"/>
      <c r="AV192" s="256"/>
      <c r="AW192" s="256"/>
      <c r="BI192" s="1815"/>
    </row>
    <row r="193" spans="1:66">
      <c r="A193" s="256"/>
      <c r="B193" s="876">
        <f>+B186+1</f>
        <v>2016</v>
      </c>
      <c r="C193" s="256"/>
      <c r="D193" s="256"/>
      <c r="E193" s="256"/>
      <c r="F193" s="256"/>
      <c r="G193" s="256"/>
      <c r="H193" s="256"/>
      <c r="I193" s="256"/>
      <c r="J193" s="256"/>
      <c r="K193" s="256"/>
      <c r="L193" s="256"/>
      <c r="M193" s="256"/>
      <c r="N193" s="256"/>
      <c r="O193" s="643"/>
      <c r="P193" s="256"/>
      <c r="Q193" s="256"/>
      <c r="R193" s="256"/>
      <c r="S193" s="256"/>
      <c r="T193" s="256"/>
      <c r="U193" s="256"/>
      <c r="V193" s="256"/>
      <c r="W193" s="256"/>
      <c r="X193" s="256"/>
      <c r="Y193" s="256"/>
      <c r="Z193" s="256"/>
      <c r="AA193" s="256"/>
      <c r="AB193" s="256"/>
      <c r="AC193" s="256"/>
      <c r="AD193" s="643"/>
      <c r="AE193" s="256"/>
      <c r="AF193" s="256"/>
      <c r="AG193" s="256"/>
      <c r="AH193" s="256"/>
      <c r="AI193" s="256"/>
      <c r="AJ193" s="256"/>
      <c r="AK193" s="256"/>
      <c r="AL193" s="256"/>
      <c r="AM193" s="256"/>
      <c r="AN193" s="288"/>
      <c r="AO193" s="970"/>
      <c r="AP193" s="970"/>
      <c r="AQ193" s="288"/>
      <c r="AR193" s="970"/>
      <c r="AS193" s="621"/>
      <c r="AT193" s="256"/>
      <c r="AU193" s="775"/>
      <c r="AV193" s="256"/>
      <c r="AW193" s="256"/>
      <c r="AX193" s="621"/>
      <c r="AY193" s="621"/>
      <c r="AZ193" s="621"/>
      <c r="BA193" s="621"/>
      <c r="BB193" s="621"/>
      <c r="BC193" s="621"/>
      <c r="BD193" s="621"/>
      <c r="BE193" s="621"/>
      <c r="BF193" s="621"/>
      <c r="BG193" s="621"/>
      <c r="BH193" s="621"/>
      <c r="BI193" s="1815"/>
      <c r="BJ193" s="621"/>
      <c r="BK193" s="621"/>
      <c r="BL193" s="621"/>
      <c r="BM193" s="621"/>
      <c r="BN193" s="621"/>
    </row>
    <row r="194" spans="1:66">
      <c r="A194" s="256" t="str">
        <f>$A$40</f>
        <v>1Q</v>
      </c>
      <c r="B194" s="302" t="str">
        <f>$B$40</f>
        <v>Apr</v>
      </c>
      <c r="C194" s="256"/>
      <c r="D194" s="288">
        <f>(R194/R187-1)*100</f>
        <v>-7.1808241531646111</v>
      </c>
      <c r="E194" s="643" t="s">
        <v>1970</v>
      </c>
      <c r="F194" s="1664">
        <f>'qtrP&amp;L'!DH10</f>
        <v>-9</v>
      </c>
      <c r="G194" s="643" t="s">
        <v>1970</v>
      </c>
      <c r="H194" s="288">
        <f>+D194-F194</f>
        <v>1.8191758468353889</v>
      </c>
      <c r="I194" s="643" t="s">
        <v>1970</v>
      </c>
      <c r="J194" s="948">
        <f>Stores!AS296</f>
        <v>308</v>
      </c>
      <c r="K194" s="256"/>
      <c r="L194" s="811">
        <f>AVERAGE(J194,J190)</f>
        <v>307.5</v>
      </c>
      <c r="M194" s="256"/>
      <c r="N194" s="288">
        <f>(L194/L187-1)*100</f>
        <v>3.7099494097807773</v>
      </c>
      <c r="O194" s="643" t="s">
        <v>1970</v>
      </c>
      <c r="P194" s="812">
        <f>H194/N194*100</f>
        <v>49.035058053335689</v>
      </c>
      <c r="Q194" s="587" t="s">
        <v>1970</v>
      </c>
      <c r="R194" s="296">
        <f>'qtrP&amp;L'!DF10-AN194-AQ194</f>
        <v>822.66668481712873</v>
      </c>
      <c r="S194" s="238"/>
      <c r="T194" s="813">
        <f>R194/L194</f>
        <v>2.6753388124134267</v>
      </c>
      <c r="U194" s="256"/>
      <c r="V194" s="814">
        <f>(T194/T187-1)*100</f>
        <v>-10.50118491516524</v>
      </c>
      <c r="W194" s="643" t="s">
        <v>1970</v>
      </c>
      <c r="X194" s="256"/>
      <c r="Y194" s="1017">
        <f>Stores!AZ296</f>
        <v>1.2587892857142855</v>
      </c>
      <c r="Z194" s="256"/>
      <c r="AA194" s="816">
        <f>AVERAGE(Y194,Y190)</f>
        <v>1.2546446428571427</v>
      </c>
      <c r="AB194" s="256"/>
      <c r="AC194" s="288">
        <f>(AA194/AA187-1)*100</f>
        <v>3.2841854585011543</v>
      </c>
      <c r="AD194" s="643" t="s">
        <v>1970</v>
      </c>
      <c r="AE194" s="812">
        <f>+H194/AC194*100</f>
        <v>55.391995056991369</v>
      </c>
      <c r="AF194" s="587" t="s">
        <v>1970</v>
      </c>
      <c r="AG194" s="296">
        <f>+R194</f>
        <v>822.66668481712873</v>
      </c>
      <c r="AH194" s="256" t="s">
        <v>700</v>
      </c>
      <c r="AI194" s="817">
        <f>AG194/AA194</f>
        <v>655.69696527273959</v>
      </c>
      <c r="AJ194" s="256"/>
      <c r="AK194" s="814">
        <f>(AI194/AI187-1)*100</f>
        <v>-10.13224780270987</v>
      </c>
      <c r="AL194" s="643" t="s">
        <v>1970</v>
      </c>
      <c r="AM194" s="643"/>
      <c r="AN194" s="288">
        <f>AN187*(1+AO194/100)</f>
        <v>47.133315182871286</v>
      </c>
      <c r="AO194" s="1665">
        <v>5</v>
      </c>
      <c r="AP194" s="1666"/>
      <c r="AQ194" s="145">
        <f>'segSales&amp;comps'!AR222</f>
        <v>21.5</v>
      </c>
      <c r="AR194" s="1666">
        <f>(AQ194/AQ187-1)*100</f>
        <v>-31.089743589743591</v>
      </c>
      <c r="AS194" s="256"/>
      <c r="AT194" s="315"/>
      <c r="AU194" s="977"/>
      <c r="AV194" s="296"/>
      <c r="AW194" s="296"/>
      <c r="AX194" s="621"/>
      <c r="AY194" s="1482">
        <f>'qtrP&amp;L'!DF10/'qtrP&amp;L'!DB10-1</f>
        <v>-7.3877805486284309E-2</v>
      </c>
      <c r="AZ194" s="621"/>
      <c r="BA194" s="1815">
        <f>'segSales&amp;comps'!E222/'segSales&amp;comps'!$AW222</f>
        <v>0.45259732974307193</v>
      </c>
      <c r="BB194" s="1815">
        <f>'segSales&amp;comps'!Q222/'segSales&amp;comps'!$AW222</f>
        <v>0.26725008414675194</v>
      </c>
      <c r="BC194" s="1815">
        <f>'segSales&amp;comps'!W222/'segSales&amp;comps'!$AW222</f>
        <v>0.14708852238303602</v>
      </c>
      <c r="BD194" s="1815">
        <f>'segSales&amp;comps'!AG222/'segSales&amp;comps'!$AW222</f>
        <v>0.10894199483899922</v>
      </c>
      <c r="BE194" s="621"/>
      <c r="BF194" s="1815">
        <f>SeqQtrSales!F212/100</f>
        <v>-0.01</v>
      </c>
      <c r="BG194" s="1815">
        <f>SeqQtrSales!F493/100</f>
        <v>-0.02</v>
      </c>
      <c r="BH194" s="1815">
        <f>SeqQtrSales!F573/100</f>
        <v>7.0000000000000007E-2</v>
      </c>
      <c r="BI194" s="1815">
        <f>SeqQtrSales!F493/100</f>
        <v>-0.02</v>
      </c>
      <c r="BJ194" s="621"/>
      <c r="BK194" s="728">
        <f>SUMPRODUCT(BA194:BD194,BF194:BI194)</f>
        <v>-1.7536183103332202E-3</v>
      </c>
      <c r="BL194" s="2036">
        <f>BK194</f>
        <v>-1.7536183103332202E-3</v>
      </c>
      <c r="BM194" s="621"/>
      <c r="BN194" s="1482">
        <f>AY194-BL194</f>
        <v>-7.2124187175951093E-2</v>
      </c>
    </row>
    <row r="195" spans="1:66">
      <c r="A195" s="256" t="str">
        <f>$A$41</f>
        <v>2Q</v>
      </c>
      <c r="B195" s="302" t="str">
        <f>$B$41</f>
        <v>Jul</v>
      </c>
      <c r="C195" s="256"/>
      <c r="D195" s="288">
        <f>(R195/R188-1)*100</f>
        <v>-6.5267443751097716</v>
      </c>
      <c r="E195" s="256"/>
      <c r="F195" s="1664">
        <f>'qtrP&amp;L'!DH11</f>
        <v>-9</v>
      </c>
      <c r="G195" s="256"/>
      <c r="H195" s="288">
        <f>+D195-F195</f>
        <v>2.4732556248902284</v>
      </c>
      <c r="I195" s="256"/>
      <c r="J195" s="948">
        <f>Stores!AS297</f>
        <v>311</v>
      </c>
      <c r="K195" s="256"/>
      <c r="L195" s="811">
        <f>AVERAGE(J195,J194)</f>
        <v>309.5</v>
      </c>
      <c r="M195" s="256"/>
      <c r="N195" s="288">
        <f>(L195/L188-1)*100</f>
        <v>2.8239202657807327</v>
      </c>
      <c r="O195" s="643"/>
      <c r="P195" s="812">
        <f>H195/N195*100</f>
        <v>87.582346246112735</v>
      </c>
      <c r="Q195" s="587"/>
      <c r="R195" s="315">
        <f>'qtrP&amp;L'!DF11-AN195-AQ195</f>
        <v>867.48705402581732</v>
      </c>
      <c r="S195" s="238"/>
      <c r="T195" s="818">
        <f>R195/L195</f>
        <v>2.8028660873208961</v>
      </c>
      <c r="U195" s="256"/>
      <c r="V195" s="814">
        <f>(T195/T188-1)*100</f>
        <v>-9.0938612501067499</v>
      </c>
      <c r="W195" s="643"/>
      <c r="X195" s="256"/>
      <c r="Y195" s="1017">
        <f>Stores!AZ297</f>
        <v>1.2728785714285713</v>
      </c>
      <c r="Z195" s="238"/>
      <c r="AA195" s="816">
        <f>AVERAGE(Y195,Y194)</f>
        <v>1.2658339285714284</v>
      </c>
      <c r="AB195" s="256"/>
      <c r="AC195" s="288">
        <f>(AA195/AA188-1)*100</f>
        <v>2.9468061622827335</v>
      </c>
      <c r="AD195" s="643"/>
      <c r="AE195" s="812">
        <f>+H195/AC195*100</f>
        <v>83.930041159352314</v>
      </c>
      <c r="AF195" s="587"/>
      <c r="AG195" s="315">
        <f>+R195</f>
        <v>867.48705402581732</v>
      </c>
      <c r="AH195" s="256"/>
      <c r="AI195" s="819">
        <f>AG195/AA195</f>
        <v>685.30873951595686</v>
      </c>
      <c r="AJ195" s="256"/>
      <c r="AK195" s="814">
        <f>(AI195/AI188-1)*100</f>
        <v>-9.2023744014541045</v>
      </c>
      <c r="AL195" s="643"/>
      <c r="AM195" s="643"/>
      <c r="AN195" s="288">
        <f>AN188*(1+AO195/100)</f>
        <v>45.612945974182672</v>
      </c>
      <c r="AO195" s="1665">
        <v>5</v>
      </c>
      <c r="AP195" s="1666"/>
      <c r="AQ195" s="145">
        <f>'segSales&amp;comps'!AR223</f>
        <v>18.5</v>
      </c>
      <c r="AR195" s="1666">
        <f>(AQ195/AQ188-1)*100</f>
        <v>-2.6315789473684181</v>
      </c>
      <c r="AS195" s="256"/>
      <c r="AT195" s="315"/>
      <c r="AU195" s="974"/>
      <c r="AV195" s="315"/>
      <c r="AW195" s="315"/>
      <c r="AX195" s="621"/>
      <c r="AY195" s="1482">
        <f>'qtrP&amp;L'!DF11/'qtrP&amp;L'!DB11-1</f>
        <v>-5.9464916708732996E-2</v>
      </c>
      <c r="AZ195" s="621"/>
      <c r="BA195" s="1815">
        <f>'segSales&amp;comps'!E223/'segSales&amp;comps'!$AW223</f>
        <v>0.46597252039501935</v>
      </c>
      <c r="BB195" s="1815">
        <f>'segSales&amp;comps'!Q223/'segSales&amp;comps'!$AW223</f>
        <v>0.24720910261914986</v>
      </c>
      <c r="BC195" s="1815">
        <f>'segSales&amp;comps'!W223/'segSales&amp;comps'!$AW223</f>
        <v>0.14813224559896951</v>
      </c>
      <c r="BD195" s="1815">
        <f>'segSales&amp;comps'!AG223/'segSales&amp;comps'!$AW223</f>
        <v>0.11882782310004293</v>
      </c>
      <c r="BE195" s="621"/>
      <c r="BF195" s="1815">
        <f>SeqQtrSales!F213/100</f>
        <v>-0.01</v>
      </c>
      <c r="BG195" s="1815">
        <f>SeqQtrSales!F494/100</f>
        <v>-0.04</v>
      </c>
      <c r="BH195" s="1815">
        <f>SeqQtrSales!F574/100</f>
        <v>0.15</v>
      </c>
      <c r="BI195" s="1815">
        <f>SeqQtrSales!F494/100</f>
        <v>-0.04</v>
      </c>
      <c r="BJ195" s="621"/>
      <c r="BK195" s="728">
        <f>SUMPRODUCT(BA195:BD195,BF195:BI195)</f>
        <v>2.9186346071275199E-3</v>
      </c>
      <c r="BL195" s="2036">
        <f>BK195</f>
        <v>2.9186346071275199E-3</v>
      </c>
      <c r="BM195" s="621"/>
      <c r="BN195" s="1482">
        <f>AY195-BL195</f>
        <v>-6.2383551315860514E-2</v>
      </c>
    </row>
    <row r="196" spans="1:66">
      <c r="A196" s="256" t="str">
        <f>$A$42</f>
        <v>3Q</v>
      </c>
      <c r="B196" s="302" t="str">
        <f>$B$42</f>
        <v>Oct</v>
      </c>
      <c r="C196" s="256"/>
      <c r="D196" s="288">
        <f>(R196/R189-1)*100</f>
        <v>0.51141765742221956</v>
      </c>
      <c r="E196" s="256"/>
      <c r="F196" s="1664">
        <f>'qtrP&amp;L'!DH12</f>
        <v>-3</v>
      </c>
      <c r="G196" s="256"/>
      <c r="H196" s="288">
        <f>+D196-F196</f>
        <v>3.5114176574222196</v>
      </c>
      <c r="I196" s="256"/>
      <c r="J196" s="948">
        <f>Stores!AS298</f>
        <v>313</v>
      </c>
      <c r="K196" s="238"/>
      <c r="L196" s="811">
        <f>AVERAGE(J196,J195)</f>
        <v>312</v>
      </c>
      <c r="M196" s="256"/>
      <c r="N196" s="288">
        <f>(L196/L189-1)*100</f>
        <v>2.4630541871921263</v>
      </c>
      <c r="O196" s="643"/>
      <c r="P196" s="812">
        <f>H196/N196*100</f>
        <v>142.56355689134165</v>
      </c>
      <c r="Q196" s="587"/>
      <c r="R196" s="315">
        <f>'qtrP&amp;L'!DF12-AN196-AQ196</f>
        <v>879.92061978753247</v>
      </c>
      <c r="S196" s="256"/>
      <c r="T196" s="818">
        <f>R196/L196</f>
        <v>2.820258396754912</v>
      </c>
      <c r="U196" s="256"/>
      <c r="V196" s="814">
        <f>(T196/T189-1)*100</f>
        <v>-1.9047221901119737</v>
      </c>
      <c r="W196" s="643"/>
      <c r="X196" s="256"/>
      <c r="Y196" s="1017">
        <f>Stores!AZ298</f>
        <v>1.2820785714285712</v>
      </c>
      <c r="Z196" s="238"/>
      <c r="AA196" s="816">
        <f>AVERAGE(Y196,Y195)</f>
        <v>1.2774785714285712</v>
      </c>
      <c r="AB196" s="256"/>
      <c r="AC196" s="288">
        <f>(AA196/AA189-1)*100</f>
        <v>2.8689915391207688</v>
      </c>
      <c r="AD196" s="643"/>
      <c r="AE196" s="812">
        <f>+H196/AC196*100</f>
        <v>122.39205342858308</v>
      </c>
      <c r="AF196" s="587"/>
      <c r="AG196" s="315">
        <f>+R196</f>
        <v>879.92061978753247</v>
      </c>
      <c r="AH196" s="256"/>
      <c r="AI196" s="819">
        <f>AG196/AA196</f>
        <v>688.79481775067268</v>
      </c>
      <c r="AJ196" s="256"/>
      <c r="AK196" s="814">
        <f>(AI196/AI189-1)*100</f>
        <v>-2.2918217107260941</v>
      </c>
      <c r="AL196" s="643"/>
      <c r="AM196" s="643"/>
      <c r="AN196" s="288">
        <f>AN189*(1+AO196/100)</f>
        <v>38.279380212467451</v>
      </c>
      <c r="AO196" s="1665">
        <v>5</v>
      </c>
      <c r="AP196" s="1666"/>
      <c r="AQ196" s="145">
        <f>'segSales&amp;comps'!AR224</f>
        <v>31.1</v>
      </c>
      <c r="AR196" s="1666">
        <f>(AQ196/AQ189-1)*100</f>
        <v>18.250950570342205</v>
      </c>
      <c r="AS196" s="256"/>
      <c r="AT196" s="315"/>
      <c r="AU196" s="974"/>
      <c r="AV196" s="315"/>
      <c r="AW196" s="315"/>
      <c r="AX196" s="621"/>
      <c r="AY196" s="1482">
        <f>'qtrP&amp;L'!DF12/'qtrP&amp;L'!DB12-1</f>
        <v>1.1831166062673093E-2</v>
      </c>
      <c r="AZ196" s="621"/>
      <c r="BA196" s="1815">
        <f>'segSales&amp;comps'!E224/'segSales&amp;comps'!$AW224</f>
        <v>0.43937638259770356</v>
      </c>
      <c r="BB196" s="1815">
        <f>'segSales&amp;comps'!Q224/'segSales&amp;comps'!$AW224</f>
        <v>0.25987569788265036</v>
      </c>
      <c r="BC196" s="1815">
        <f>'segSales&amp;comps'!W224/'segSales&amp;comps'!$AW224</f>
        <v>0.1581165068998209</v>
      </c>
      <c r="BD196" s="1815">
        <f>'segSales&amp;comps'!AG224/'segSales&amp;comps'!$AW224</f>
        <v>0.10987043084377962</v>
      </c>
      <c r="BE196" s="621"/>
      <c r="BF196" s="1815">
        <f>SeqQtrSales!F214/100</f>
        <v>0</v>
      </c>
      <c r="BG196" s="1815">
        <f>SeqQtrSales!F495/100</f>
        <v>-0.08</v>
      </c>
      <c r="BH196" s="1815">
        <f>SeqQtrSales!F575/100</f>
        <v>0.17</v>
      </c>
      <c r="BI196" s="1815">
        <f>SeqQtrSales!F495/100</f>
        <v>-0.08</v>
      </c>
      <c r="BJ196" s="621"/>
      <c r="BK196" s="728">
        <f>SUMPRODUCT(BA196:BD196,BF196:BI196)</f>
        <v>-2.6998841251448438E-3</v>
      </c>
      <c r="BL196" s="2036">
        <f>BK196</f>
        <v>-2.6998841251448438E-3</v>
      </c>
      <c r="BM196" s="621"/>
      <c r="BN196" s="1482">
        <f>AY196-BL196</f>
        <v>1.4531050187817937E-2</v>
      </c>
    </row>
    <row r="197" spans="1:66">
      <c r="A197" s="256" t="str">
        <f>$A$43</f>
        <v>4Q</v>
      </c>
      <c r="B197" s="302" t="str">
        <f>$B$43</f>
        <v>Jan</v>
      </c>
      <c r="C197" s="256"/>
      <c r="D197" s="318">
        <f>(R197/R190-1)*100</f>
        <v>1.3559389951970591</v>
      </c>
      <c r="E197" s="256"/>
      <c r="F197" s="1745">
        <f>'qtrP&amp;L'!DH13</f>
        <v>0</v>
      </c>
      <c r="G197" s="256"/>
      <c r="H197" s="318">
        <f>+D197-F197</f>
        <v>1.3559389951970591</v>
      </c>
      <c r="I197" s="256"/>
      <c r="J197" s="948">
        <f>Stores!AS299</f>
        <v>313</v>
      </c>
      <c r="K197" s="238"/>
      <c r="L197" s="820">
        <f>AVERAGE(J197,J196)</f>
        <v>313</v>
      </c>
      <c r="M197" s="256"/>
      <c r="N197" s="318">
        <f>(L197/L190-1)*100</f>
        <v>2.2875816993463971</v>
      </c>
      <c r="O197" s="643"/>
      <c r="P197" s="820">
        <f>H197/N197*100</f>
        <v>59.273904647185937</v>
      </c>
      <c r="Q197" s="587"/>
      <c r="R197" s="316">
        <f>'qtrP&amp;L'!DF13-AN197-AQ197</f>
        <v>1107.8319064521306</v>
      </c>
      <c r="S197" s="256"/>
      <c r="T197" s="821">
        <f>R197/L197</f>
        <v>3.5393990621473823</v>
      </c>
      <c r="U197" s="256"/>
      <c r="V197" s="298">
        <f>(T197/T190-1)*100</f>
        <v>-0.91080724431213955</v>
      </c>
      <c r="W197" s="643"/>
      <c r="X197" s="256"/>
      <c r="Y197" s="1017">
        <f>Stores!AZ299</f>
        <v>1.2820785714285712</v>
      </c>
      <c r="Z197" s="238"/>
      <c r="AA197" s="822">
        <f>AVERAGE(Y197,Y196)</f>
        <v>1.2820785714285712</v>
      </c>
      <c r="AB197" s="256"/>
      <c r="AC197" s="318">
        <f>(AA197/AA190-1)*100</f>
        <v>2.7677104267220809</v>
      </c>
      <c r="AD197" s="643"/>
      <c r="AE197" s="820">
        <f>+H197/AC197*100</f>
        <v>48.991360588360259</v>
      </c>
      <c r="AF197" s="587"/>
      <c r="AG197" s="316">
        <f>+R197</f>
        <v>1107.8319064521306</v>
      </c>
      <c r="AH197" s="256"/>
      <c r="AI197" s="823">
        <f>AG197/AA197</f>
        <v>864.09049424928446</v>
      </c>
      <c r="AJ197" s="256"/>
      <c r="AK197" s="298">
        <f>(AI197/AI190-1)*100</f>
        <v>-1.3737500092810495</v>
      </c>
      <c r="AL197" s="643"/>
      <c r="AM197" s="643"/>
      <c r="AN197" s="318">
        <f>AN190*(1+AO197/100)</f>
        <v>94.068093547869253</v>
      </c>
      <c r="AO197" s="1665">
        <v>5</v>
      </c>
      <c r="AP197" s="1666"/>
      <c r="AQ197" s="145">
        <f>'segSales&amp;comps'!AR225</f>
        <v>27.7</v>
      </c>
      <c r="AR197" s="1666">
        <f>(AQ197/AQ190-1)*100</f>
        <v>-10.64516129032258</v>
      </c>
      <c r="AS197" s="256"/>
      <c r="AT197" s="315"/>
      <c r="AU197" s="974"/>
      <c r="AV197" s="315"/>
      <c r="AW197" s="315"/>
      <c r="AX197" s="621"/>
      <c r="AY197" s="1482">
        <f>'qtrP&amp;L'!DF13/'qtrP&amp;L'!DB13-1</f>
        <v>1.3183915622940079E-2</v>
      </c>
      <c r="AZ197" s="621"/>
      <c r="BA197" s="1815">
        <f>'segSales&amp;comps'!E225/'segSales&amp;comps'!$AW225</f>
        <v>0.47763500325309044</v>
      </c>
      <c r="BB197" s="1815">
        <f>'segSales&amp;comps'!Q225/'segSales&amp;comps'!$AW225</f>
        <v>0.23088809368900456</v>
      </c>
      <c r="BC197" s="1815">
        <f>'segSales&amp;comps'!W225/'segSales&amp;comps'!$AW225</f>
        <v>0.15061808718282368</v>
      </c>
      <c r="BD197" s="1815">
        <f>'segSales&amp;comps'!AG225/'segSales&amp;comps'!$AW225</f>
        <v>0.11833116460637606</v>
      </c>
      <c r="BE197" s="621"/>
      <c r="BF197" s="1815">
        <f>SeqQtrSales!F215/100</f>
        <v>0</v>
      </c>
      <c r="BG197" s="1815">
        <f>SeqQtrSales!F496/100</f>
        <v>-0.08</v>
      </c>
      <c r="BH197" s="1815">
        <f>SeqQtrSales!F576/100</f>
        <v>7.0000000000000007E-2</v>
      </c>
      <c r="BI197" s="1815">
        <f>SeqQtrSales!F496/100</f>
        <v>-0.08</v>
      </c>
      <c r="BJ197" s="621"/>
      <c r="BK197" s="728">
        <f>SUMPRODUCT(BA197:BD197,BF197:BI197)</f>
        <v>-1.7394274560832791E-2</v>
      </c>
      <c r="BL197" s="2036">
        <f>BK197</f>
        <v>-1.7394274560832791E-2</v>
      </c>
      <c r="BM197" s="621"/>
      <c r="BN197" s="1482">
        <f>AY197-BL197</f>
        <v>3.057819018377287E-2</v>
      </c>
    </row>
    <row r="198" spans="1:66">
      <c r="A198" s="256"/>
      <c r="B198" s="302" t="str">
        <f>$B$44</f>
        <v>Year</v>
      </c>
      <c r="C198" s="256"/>
      <c r="D198" s="288">
        <f>(R198/R191-1)*100</f>
        <v>-2.7735554482001268</v>
      </c>
      <c r="E198" s="256"/>
      <c r="F198" s="2452">
        <f>'qtrP&amp;L'!DH14</f>
        <v>-5</v>
      </c>
      <c r="G198" s="256"/>
      <c r="H198" s="288">
        <f>D198-F198</f>
        <v>2.2264445517998732</v>
      </c>
      <c r="I198" s="256"/>
      <c r="J198" s="948"/>
      <c r="K198" s="256"/>
      <c r="L198" s="811">
        <f>AVERAGE(L194:L197)</f>
        <v>310.5</v>
      </c>
      <c r="M198" s="256"/>
      <c r="N198" s="288">
        <f>(L198/L191-1)*100</f>
        <v>2.8145695364238499</v>
      </c>
      <c r="O198" s="643"/>
      <c r="P198" s="812">
        <f>H198/N198*100</f>
        <v>79.104265252183481</v>
      </c>
      <c r="Q198" s="587"/>
      <c r="R198" s="296">
        <f>'qtrP&amp;L'!DF14-AN198-AQ198</f>
        <v>3677.906265082609</v>
      </c>
      <c r="S198" s="256"/>
      <c r="T198" s="813">
        <f>SUM(T194:T197)</f>
        <v>11.837862358636617</v>
      </c>
      <c r="U198" s="256"/>
      <c r="V198" s="814">
        <f>(T198/T191-1)*100</f>
        <v>-5.4442283002521741</v>
      </c>
      <c r="W198" s="643"/>
      <c r="X198" s="256"/>
      <c r="Y198" s="1017"/>
      <c r="Z198" s="256"/>
      <c r="AA198" s="816">
        <f>AVERAGE(AA194:AA197)</f>
        <v>1.2700089285714284</v>
      </c>
      <c r="AB198" s="256"/>
      <c r="AC198" s="288">
        <f>(AA198/AA191-1)*100</f>
        <v>2.965000542907803</v>
      </c>
      <c r="AD198" s="643"/>
      <c r="AE198" s="812">
        <f>+H198/AC198*100</f>
        <v>75.0908648946276</v>
      </c>
      <c r="AF198" s="587"/>
      <c r="AG198" s="296">
        <f>SUM(AG194:AG197)</f>
        <v>3677.906265082609</v>
      </c>
      <c r="AH198" s="256"/>
      <c r="AI198" s="817">
        <f>AG198/AA198</f>
        <v>2895.9688253685804</v>
      </c>
      <c r="AJ198" s="256"/>
      <c r="AK198" s="814">
        <f>(AI198/AI191-1)*100</f>
        <v>-5.5733073965425266</v>
      </c>
      <c r="AL198" s="643"/>
      <c r="AM198" s="643"/>
      <c r="AN198" s="288">
        <f>SUM(AN194:AN197)</f>
        <v>225.09373491739069</v>
      </c>
      <c r="AO198" s="1666">
        <f>100*(AN198/AN191-1)</f>
        <v>5.0000000000000044</v>
      </c>
      <c r="AP198" s="1666"/>
      <c r="AQ198" s="145">
        <f>'segSales&amp;comps'!AR226</f>
        <v>98.8</v>
      </c>
      <c r="AR198" s="1666">
        <f>(AQ198/AQ191-1)*100</f>
        <v>-8.0930232558139572</v>
      </c>
      <c r="AS198" s="256"/>
      <c r="AT198" s="315"/>
      <c r="AU198" s="975"/>
      <c r="AV198" s="976"/>
      <c r="AW198" s="976"/>
      <c r="AX198" s="621"/>
      <c r="AY198" s="1482">
        <f>'qtrP&amp;L'!DF14/'qtrP&amp;L'!DB14-1</f>
        <v>-2.5068823543742735E-2</v>
      </c>
      <c r="AZ198" s="621"/>
      <c r="BA198" s="1815">
        <f>'segSales&amp;comps'!E226/'segSales&amp;comps'!$AW226</f>
        <v>0.46026787945424558</v>
      </c>
      <c r="BB198" s="1815">
        <f>'segSales&amp;comps'!Q226/'segSales&amp;comps'!$AW226</f>
        <v>0.24966265180668701</v>
      </c>
      <c r="BC198" s="1815">
        <f>'segSales&amp;comps'!W226/'segSales&amp;comps'!$AW226</f>
        <v>0.15103203558398723</v>
      </c>
      <c r="BD198" s="1815">
        <f>'segSales&amp;comps'!AG226/'segSales&amp;comps'!$AW226</f>
        <v>0.11434854315558</v>
      </c>
      <c r="BE198" s="621"/>
      <c r="BF198" s="1815">
        <f>SeqQtrSales!F216/100</f>
        <v>0</v>
      </c>
      <c r="BG198" s="1815">
        <f>SeqQtrSales!F497/100</f>
        <v>-7.0000000000000007E-2</v>
      </c>
      <c r="BH198" s="1815">
        <f>SeqQtrSales!F577/100</f>
        <v>0.12</v>
      </c>
      <c r="BI198" s="1815">
        <f>SeqQtrSales!F497/100</f>
        <v>-7.0000000000000007E-2</v>
      </c>
      <c r="BJ198" s="621"/>
      <c r="BK198" s="728">
        <f>SUMPRODUCT(BA198:BD198,BF198:BI198)</f>
        <v>-7.3569393772802277E-3</v>
      </c>
      <c r="BL198" s="2036">
        <f>BK198</f>
        <v>-7.3569393772802277E-3</v>
      </c>
      <c r="BM198" s="621"/>
      <c r="BN198" s="1482">
        <f>AY198-BL198</f>
        <v>-1.7711884166462508E-2</v>
      </c>
    </row>
    <row r="199" spans="1:66">
      <c r="A199" s="256"/>
      <c r="B199" s="302"/>
      <c r="C199" s="256"/>
      <c r="D199" s="288"/>
      <c r="E199" s="256"/>
      <c r="F199" s="390"/>
      <c r="G199" s="256"/>
      <c r="H199" s="288"/>
      <c r="I199" s="256"/>
      <c r="J199" s="256"/>
      <c r="K199" s="256"/>
      <c r="L199" s="811"/>
      <c r="M199" s="256"/>
      <c r="N199" s="288"/>
      <c r="O199" s="643"/>
      <c r="P199" s="812"/>
      <c r="Q199" s="587"/>
      <c r="R199" s="141"/>
      <c r="S199" s="256"/>
      <c r="T199" s="813"/>
      <c r="U199" s="256"/>
      <c r="V199" s="814"/>
      <c r="W199" s="643"/>
      <c r="X199" s="256"/>
      <c r="Y199" s="256"/>
      <c r="Z199" s="256"/>
      <c r="AA199" s="816"/>
      <c r="AB199" s="256"/>
      <c r="AC199" s="288"/>
      <c r="AD199" s="643"/>
      <c r="AE199" s="812"/>
      <c r="AF199" s="587"/>
      <c r="AG199" s="296"/>
      <c r="AH199" s="256"/>
      <c r="AI199" s="817"/>
      <c r="AJ199" s="256"/>
      <c r="AK199" s="814"/>
      <c r="AL199" s="643"/>
      <c r="AM199" s="643"/>
      <c r="AN199" s="387"/>
      <c r="AO199" s="256"/>
      <c r="AP199" s="256"/>
      <c r="AQ199" s="288"/>
      <c r="AR199" s="966"/>
      <c r="AS199" s="256"/>
      <c r="AT199" s="256"/>
      <c r="AU199" s="256"/>
      <c r="AV199" s="256"/>
      <c r="AW199" s="256"/>
      <c r="BI199" s="1815"/>
    </row>
    <row r="200" spans="1:66">
      <c r="A200" s="256"/>
      <c r="B200" s="876">
        <f>+B193+1</f>
        <v>2017</v>
      </c>
      <c r="C200" s="256"/>
      <c r="D200" s="256"/>
      <c r="E200" s="256"/>
      <c r="F200" s="256"/>
      <c r="G200" s="256"/>
      <c r="H200" s="256"/>
      <c r="I200" s="256"/>
      <c r="J200" s="256"/>
      <c r="K200" s="256"/>
      <c r="L200" s="256"/>
      <c r="M200" s="256"/>
      <c r="N200" s="256"/>
      <c r="O200" s="643"/>
      <c r="P200" s="256"/>
      <c r="Q200" s="256"/>
      <c r="R200" s="256"/>
      <c r="S200" s="256"/>
      <c r="T200" s="256"/>
      <c r="U200" s="256"/>
      <c r="V200" s="256"/>
      <c r="W200" s="256"/>
      <c r="X200" s="256"/>
      <c r="Y200" s="256"/>
      <c r="Z200" s="256"/>
      <c r="AA200" s="256"/>
      <c r="AB200" s="256"/>
      <c r="AC200" s="256"/>
      <c r="AD200" s="643"/>
      <c r="AE200" s="256"/>
      <c r="AF200" s="256"/>
      <c r="AG200" s="256"/>
      <c r="AH200" s="256"/>
      <c r="AI200" s="256"/>
      <c r="AJ200" s="256"/>
      <c r="AK200" s="256"/>
      <c r="AL200" s="256"/>
      <c r="AM200" s="256"/>
      <c r="AN200" s="288"/>
      <c r="AO200" s="970"/>
      <c r="AP200" s="970"/>
      <c r="AQ200" s="288"/>
      <c r="AR200" s="970"/>
      <c r="AS200" s="621"/>
      <c r="AT200" s="256"/>
      <c r="AU200" s="775"/>
      <c r="AV200" s="256"/>
      <c r="AW200" s="256"/>
      <c r="AX200" s="621"/>
      <c r="AY200" s="621"/>
      <c r="AZ200" s="621"/>
      <c r="BA200" s="621"/>
      <c r="BB200" s="621"/>
      <c r="BC200" s="621"/>
      <c r="BD200" s="621"/>
      <c r="BE200" s="621"/>
      <c r="BF200" s="621"/>
      <c r="BG200" s="621"/>
      <c r="BH200" s="621"/>
      <c r="BI200" s="1815"/>
      <c r="BJ200" s="621"/>
      <c r="BK200" s="621"/>
      <c r="BL200" s="621"/>
      <c r="BM200" s="621"/>
      <c r="BN200" s="621"/>
    </row>
    <row r="201" spans="1:66">
      <c r="A201" s="256" t="str">
        <f>$A$40</f>
        <v>1Q</v>
      </c>
      <c r="B201" s="302" t="str">
        <f>$B$40</f>
        <v>Apr</v>
      </c>
      <c r="C201" s="256"/>
      <c r="D201" s="288">
        <f>(R201/R194-1)*100</f>
        <v>-0.11628837982617934</v>
      </c>
      <c r="E201" s="643" t="s">
        <v>1970</v>
      </c>
      <c r="F201" s="1664">
        <f>'qtrP&amp;L'!DL10</f>
        <v>-2</v>
      </c>
      <c r="G201" s="643" t="s">
        <v>1970</v>
      </c>
      <c r="H201" s="288">
        <f>+D201-F201</f>
        <v>1.8837116201738207</v>
      </c>
      <c r="I201" s="643" t="s">
        <v>1970</v>
      </c>
      <c r="J201" s="948">
        <f>Stores!AS303</f>
        <v>310</v>
      </c>
      <c r="K201" s="256"/>
      <c r="L201" s="811">
        <f>AVERAGE(J201,J197)</f>
        <v>311.5</v>
      </c>
      <c r="M201" s="256"/>
      <c r="N201" s="288">
        <f>(L201/L194-1)*100</f>
        <v>1.3008130081300751</v>
      </c>
      <c r="O201" s="643" t="s">
        <v>1970</v>
      </c>
      <c r="P201" s="812">
        <f>H201/N201*100</f>
        <v>144.81033080086317</v>
      </c>
      <c r="Q201" s="587" t="s">
        <v>1970</v>
      </c>
      <c r="R201" s="296">
        <f>'qtrP&amp;L'!DJ10-AN201-AQ201</f>
        <v>821.71001905798516</v>
      </c>
      <c r="S201" s="238"/>
      <c r="T201" s="813">
        <f>R201/L201</f>
        <v>2.6379133838137565</v>
      </c>
      <c r="U201" s="256"/>
      <c r="V201" s="814">
        <f>(T201/T194-1)*100</f>
        <v>-1.3989042593789747</v>
      </c>
      <c r="W201" s="643" t="s">
        <v>1970</v>
      </c>
      <c r="X201" s="256"/>
      <c r="Y201" s="1017">
        <f>Stores!AZ303</f>
        <v>1.2680999999999998</v>
      </c>
      <c r="Z201" s="256"/>
      <c r="AA201" s="816">
        <f>AVERAGE(Y201,Y197)</f>
        <v>1.2750892857142855</v>
      </c>
      <c r="AB201" s="256"/>
      <c r="AC201" s="288">
        <f>(AA201/AA194-1)*100</f>
        <v>1.6295166104232539</v>
      </c>
      <c r="AD201" s="643" t="s">
        <v>1970</v>
      </c>
      <c r="AE201" s="812">
        <f>+H201/AC201*100</f>
        <v>115.59941200504495</v>
      </c>
      <c r="AF201" s="587" t="s">
        <v>1970</v>
      </c>
      <c r="AG201" s="296">
        <f>+R201</f>
        <v>821.71001905798516</v>
      </c>
      <c r="AH201" s="256" t="s">
        <v>700</v>
      </c>
      <c r="AI201" s="817">
        <f>AG201/AA201</f>
        <v>644.43331793637947</v>
      </c>
      <c r="AJ201" s="256"/>
      <c r="AK201" s="814">
        <f>(AI201/AI194-1)*100</f>
        <v>-1.7178129430071354</v>
      </c>
      <c r="AL201" s="643" t="s">
        <v>1970</v>
      </c>
      <c r="AM201" s="643"/>
      <c r="AN201" s="288">
        <f>AN194*(1+AO201/100)</f>
        <v>49.489980942014853</v>
      </c>
      <c r="AO201" s="1665">
        <v>5</v>
      </c>
      <c r="AP201" s="1666"/>
      <c r="AQ201" s="145">
        <f>'segSales&amp;comps'!AR229</f>
        <v>28.4</v>
      </c>
      <c r="AR201" s="1666">
        <f>(AQ201/AQ194-1)*100</f>
        <v>32.093023255813961</v>
      </c>
      <c r="AS201" s="256"/>
      <c r="AT201" s="315"/>
      <c r="AU201" s="977"/>
      <c r="AV201" s="296"/>
      <c r="AW201" s="296"/>
      <c r="AX201" s="621"/>
      <c r="AY201" s="1482">
        <f>'qtrP&amp;L'!DJ10/'qtrP&amp;L'!DF10-1</f>
        <v>9.312240547515005E-3</v>
      </c>
      <c r="AZ201" s="621"/>
      <c r="BA201" s="1815">
        <f>'segSales&amp;comps'!E229/'segSales&amp;comps'!$AW229</f>
        <v>0.43541574032903513</v>
      </c>
      <c r="BB201" s="1815">
        <f>'segSales&amp;comps'!Q229/'segSales&amp;comps'!$AW229</f>
        <v>0.286016007114273</v>
      </c>
      <c r="BC201" s="1815">
        <f>'segSales&amp;comps'!W229/'segSales&amp;comps'!$AW229</f>
        <v>0.14273010226767452</v>
      </c>
      <c r="BD201" s="1815">
        <f>'segSales&amp;comps'!AG229/'segSales&amp;comps'!$AW229</f>
        <v>0.10426856380613606</v>
      </c>
      <c r="BE201" s="621"/>
      <c r="BF201" s="1815">
        <f>SeqQtrSales!F219/100</f>
        <v>0</v>
      </c>
      <c r="BG201" s="1815">
        <f>SeqQtrSales!F500/100</f>
        <v>-7.0000000000000007E-2</v>
      </c>
      <c r="BH201" s="1815">
        <f>SeqQtrSales!F580/100</f>
        <v>0.01</v>
      </c>
      <c r="BI201" s="1815">
        <f>SeqQtrSales!F500/100</f>
        <v>-7.0000000000000007E-2</v>
      </c>
      <c r="BJ201" s="621"/>
      <c r="BK201" s="728">
        <f>SUMPRODUCT(BA201:BD201,BF201:BI201)</f>
        <v>-2.5892618941751891E-2</v>
      </c>
      <c r="BL201" s="2036">
        <f>BK201</f>
        <v>-2.5892618941751891E-2</v>
      </c>
      <c r="BM201" s="621"/>
      <c r="BN201" s="1482">
        <f>AY201-BL201</f>
        <v>3.5204859489266896E-2</v>
      </c>
    </row>
    <row r="202" spans="1:66">
      <c r="A202" s="256" t="str">
        <f>$A$41</f>
        <v>2Q</v>
      </c>
      <c r="B202" s="302" t="str">
        <f>$B$41</f>
        <v>Jul</v>
      </c>
      <c r="C202" s="256"/>
      <c r="D202" s="288">
        <f>(R202/R195-1)*100</f>
        <v>1.3970643878830957</v>
      </c>
      <c r="E202" s="256"/>
      <c r="F202" s="1664">
        <f>'qtrP&amp;L'!DL11</f>
        <v>-1</v>
      </c>
      <c r="G202" s="256"/>
      <c r="H202" s="288">
        <f>+D202-F202</f>
        <v>2.3970643878830957</v>
      </c>
      <c r="I202" s="256"/>
      <c r="J202" s="948">
        <f>Stores!AS304</f>
        <v>312</v>
      </c>
      <c r="K202" s="256"/>
      <c r="L202" s="811">
        <f>AVERAGE(J202,J201)</f>
        <v>311</v>
      </c>
      <c r="M202" s="256"/>
      <c r="N202" s="288">
        <f>(L202/L195-1)*100</f>
        <v>0.48465266558965769</v>
      </c>
      <c r="O202" s="643"/>
      <c r="P202" s="812">
        <f>H202/N202*100</f>
        <v>494.59428536654855</v>
      </c>
      <c r="Q202" s="587"/>
      <c r="R202" s="315">
        <f>'qtrP&amp;L'!DJ11-AN202-AQ202</f>
        <v>879.60640672710815</v>
      </c>
      <c r="S202" s="238"/>
      <c r="T202" s="818">
        <f>R202/L202</f>
        <v>2.8283164203443993</v>
      </c>
      <c r="U202" s="256"/>
      <c r="V202" s="814">
        <f>(T202/T195-1)*100</f>
        <v>0.90801102266822031</v>
      </c>
      <c r="W202" s="643"/>
      <c r="X202" s="256"/>
      <c r="Y202" s="1017">
        <f>Stores!AZ304</f>
        <v>1.2767999999999999</v>
      </c>
      <c r="Z202" s="238"/>
      <c r="AA202" s="816">
        <f>AVERAGE(Y202,Y201)</f>
        <v>1.2724499999999999</v>
      </c>
      <c r="AB202" s="256"/>
      <c r="AC202" s="288">
        <f>(AA202/AA195-1)*100</f>
        <v>0.52266504153812843</v>
      </c>
      <c r="AD202" s="643"/>
      <c r="AE202" s="812">
        <f>+H202/AC202*100</f>
        <v>458.62343898663636</v>
      </c>
      <c r="AF202" s="587"/>
      <c r="AG202" s="315">
        <f>+R202</f>
        <v>879.60640672710815</v>
      </c>
      <c r="AH202" s="256"/>
      <c r="AI202" s="819">
        <f>AG202/AA202</f>
        <v>691.26991766050389</v>
      </c>
      <c r="AJ202" s="256"/>
      <c r="AK202" s="814">
        <f>(AI202/AI195-1)*100</f>
        <v>0.86985292917138857</v>
      </c>
      <c r="AL202" s="643"/>
      <c r="AM202" s="643"/>
      <c r="AN202" s="288">
        <f>AN195*(1+AO202/100)</f>
        <v>47.893593272891806</v>
      </c>
      <c r="AO202" s="1665">
        <v>5</v>
      </c>
      <c r="AP202" s="1666"/>
      <c r="AQ202" s="145">
        <f>'segSales&amp;comps'!AR230</f>
        <v>32.200000000000003</v>
      </c>
      <c r="AR202" s="1666">
        <f>(AQ202/AQ195-1)*100</f>
        <v>74.054054054054077</v>
      </c>
      <c r="AS202" s="256"/>
      <c r="AT202" s="315"/>
      <c r="AU202" s="974"/>
      <c r="AV202" s="315"/>
      <c r="AW202" s="315"/>
      <c r="AX202" s="621"/>
      <c r="AY202" s="1482">
        <f>'qtrP&amp;L'!DJ11/'qtrP&amp;L'!DF11-1</f>
        <v>3.0163160154572877E-2</v>
      </c>
      <c r="AZ202" s="621"/>
      <c r="BA202" s="1815">
        <f>'segSales&amp;comps'!E230/'segSales&amp;comps'!$AW230</f>
        <v>0.45701781806814629</v>
      </c>
      <c r="BB202" s="1815">
        <f>'segSales&amp;comps'!Q230/'segSales&amp;comps'!$AW230</f>
        <v>0.24455559028863183</v>
      </c>
      <c r="BC202" s="1815">
        <f>'segSales&amp;comps'!W230/'segSales&amp;comps'!$AW230</f>
        <v>0.14567052203813693</v>
      </c>
      <c r="BD202" s="1815">
        <f>'segSales&amp;comps'!AG230/'segSales&amp;comps'!$AW230</f>
        <v>0.11920391789100761</v>
      </c>
      <c r="BE202" s="621"/>
      <c r="BF202" s="1815">
        <f>SeqQtrSales!F220/100</f>
        <v>0</v>
      </c>
      <c r="BG202" s="1815">
        <f>SeqQtrSales!F501/100</f>
        <v>-0.02</v>
      </c>
      <c r="BH202" s="1815">
        <f>SeqQtrSales!F581/100</f>
        <v>-0.06</v>
      </c>
      <c r="BI202" s="1815">
        <f>SeqQtrSales!F501/100</f>
        <v>-0.02</v>
      </c>
      <c r="BJ202" s="621"/>
      <c r="BK202" s="728">
        <f>SUMPRODUCT(BA202:BD202,BF202:BI202)</f>
        <v>-1.6015421485881007E-2</v>
      </c>
      <c r="BL202" s="2036">
        <f>BK202</f>
        <v>-1.6015421485881007E-2</v>
      </c>
      <c r="BM202" s="621"/>
      <c r="BN202" s="1482">
        <f>AY202-BL202</f>
        <v>4.6178581640453881E-2</v>
      </c>
    </row>
    <row r="203" spans="1:66">
      <c r="A203" s="256" t="str">
        <f>$A$42</f>
        <v>3Q</v>
      </c>
      <c r="B203" s="302" t="str">
        <f>$B$42</f>
        <v>Oct</v>
      </c>
      <c r="C203" s="256"/>
      <c r="D203" s="288">
        <f>(R203/R196-1)*100</f>
        <v>3.7373861061827718</v>
      </c>
      <c r="E203" s="256"/>
      <c r="F203" s="1664">
        <f>'qtrP&amp;L'!DL12</f>
        <v>0</v>
      </c>
      <c r="G203" s="256"/>
      <c r="H203" s="288">
        <f>+D203-F203</f>
        <v>3.7373861061827718</v>
      </c>
      <c r="I203" s="256"/>
      <c r="J203" s="948">
        <f>Stores!AS305</f>
        <v>315</v>
      </c>
      <c r="K203" s="238"/>
      <c r="L203" s="811">
        <f>AVERAGE(J203,J202)</f>
        <v>313.5</v>
      </c>
      <c r="M203" s="256"/>
      <c r="N203" s="288">
        <f>(L203/L196-1)*100</f>
        <v>0.48076923076922906</v>
      </c>
      <c r="O203" s="643"/>
      <c r="P203" s="812">
        <f>H203/N203*100</f>
        <v>777.37631008601932</v>
      </c>
      <c r="Q203" s="587"/>
      <c r="R203" s="315">
        <f>'qtrP&amp;L'!DJ12-AN203-AQ203</f>
        <v>912.80665077690912</v>
      </c>
      <c r="S203" s="256"/>
      <c r="T203" s="818">
        <f>R203/L203</f>
        <v>2.9116639578210819</v>
      </c>
      <c r="U203" s="256"/>
      <c r="V203" s="814">
        <f>(T203/T196-1)*100</f>
        <v>3.241034976488133</v>
      </c>
      <c r="W203" s="643"/>
      <c r="X203" s="256"/>
      <c r="Y203" s="1017">
        <f>Stores!AZ305</f>
        <v>1.2982999999999998</v>
      </c>
      <c r="Z203" s="238"/>
      <c r="AA203" s="816">
        <f>AVERAGE(Y203,Y202)</f>
        <v>1.28755</v>
      </c>
      <c r="AB203" s="256"/>
      <c r="AC203" s="288">
        <f>(AA203/AA196-1)*100</f>
        <v>0.78838336678839216</v>
      </c>
      <c r="AD203" s="643"/>
      <c r="AE203" s="812">
        <f>+H203/AC203*100</f>
        <v>474.05694534216536</v>
      </c>
      <c r="AF203" s="587"/>
      <c r="AG203" s="315">
        <f>+R203</f>
        <v>912.80665077690912</v>
      </c>
      <c r="AH203" s="256"/>
      <c r="AI203" s="819">
        <f>AG203/AA203</f>
        <v>708.94850745750387</v>
      </c>
      <c r="AJ203" s="256"/>
      <c r="AK203" s="814">
        <f>(AI203/AI196-1)*100</f>
        <v>2.9259351533225786</v>
      </c>
      <c r="AL203" s="643"/>
      <c r="AM203" s="643"/>
      <c r="AN203" s="288">
        <f>AN196*(1+AO203/100)</f>
        <v>40.193349223090827</v>
      </c>
      <c r="AO203" s="1665">
        <v>5</v>
      </c>
      <c r="AP203" s="1666"/>
      <c r="AQ203" s="145">
        <f>'segSales&amp;comps'!AR231</f>
        <v>23.2</v>
      </c>
      <c r="AR203" s="1666">
        <f>(AQ203/AQ196-1)*100</f>
        <v>-25.401929260450164</v>
      </c>
      <c r="AS203" s="256"/>
      <c r="AT203" s="315"/>
      <c r="AU203" s="974"/>
      <c r="AV203" s="315"/>
      <c r="AW203" s="315"/>
      <c r="AX203" s="621"/>
      <c r="AY203" s="1482">
        <f>'qtrP&amp;L'!DJ12/'qtrP&amp;L'!DF12-1</f>
        <v>2.8336669124618297E-2</v>
      </c>
      <c r="AZ203" s="621"/>
      <c r="BA203" s="1815">
        <f>'segSales&amp;comps'!E231/'segSales&amp;comps'!$AW231</f>
        <v>0.43167383732841624</v>
      </c>
      <c r="BB203" s="1815">
        <f>'segSales&amp;comps'!Q231/'segSales&amp;comps'!$AW231</f>
        <v>0.29010448678549478</v>
      </c>
      <c r="BC203" s="1815">
        <f>'segSales&amp;comps'!W231/'segSales&amp;comps'!$AW231</f>
        <v>0.14208154066789591</v>
      </c>
      <c r="BD203" s="1815">
        <f>'segSales&amp;comps'!AG231/'segSales&amp;comps'!$AW231</f>
        <v>0.11237451341938128</v>
      </c>
      <c r="BE203" s="621"/>
      <c r="BF203" s="1815">
        <f>SeqQtrSales!F221/100</f>
        <v>0</v>
      </c>
      <c r="BG203" s="1815">
        <f>SeqQtrSales!F502/100</f>
        <v>0.04</v>
      </c>
      <c r="BH203" s="1815">
        <f>SeqQtrSales!F582/100</f>
        <v>-0.08</v>
      </c>
      <c r="BI203" s="1815">
        <f>SeqQtrSales!F502/100</f>
        <v>0.04</v>
      </c>
      <c r="BJ203" s="621"/>
      <c r="BK203" s="728">
        <f>SUMPRODUCT(BA203:BD203,BF203:BI203)</f>
        <v>4.7326367547633691E-3</v>
      </c>
      <c r="BL203" s="2036">
        <f>BK203</f>
        <v>4.7326367547633691E-3</v>
      </c>
      <c r="BM203" s="621"/>
      <c r="BN203" s="1482">
        <f>AY203-BL203</f>
        <v>2.3604032369854928E-2</v>
      </c>
    </row>
    <row r="204" spans="1:66">
      <c r="A204" s="256" t="str">
        <f>$A$43</f>
        <v>4Q</v>
      </c>
      <c r="B204" s="302" t="str">
        <f>$B$43</f>
        <v>Jan</v>
      </c>
      <c r="C204" s="256"/>
      <c r="D204" s="318">
        <f>(R204/R197-1)*100</f>
        <v>7.8348163486801514</v>
      </c>
      <c r="E204" s="256"/>
      <c r="F204" s="2452">
        <f>'qtrP&amp;L'!DL13</f>
        <v>1</v>
      </c>
      <c r="G204" s="256"/>
      <c r="H204" s="318">
        <f>+D204-F204</f>
        <v>6.8348163486801514</v>
      </c>
      <c r="I204" s="256"/>
      <c r="J204" s="948">
        <f>Stores!AS306</f>
        <v>315</v>
      </c>
      <c r="K204" s="238"/>
      <c r="L204" s="820">
        <f>AVERAGE(J204,J203)</f>
        <v>315</v>
      </c>
      <c r="M204" s="256"/>
      <c r="N204" s="318">
        <f>(L204/L197-1)*100</f>
        <v>0.6389776357827559</v>
      </c>
      <c r="O204" s="643"/>
      <c r="P204" s="820">
        <f>H204/N204*100</f>
        <v>1069.6487585684299</v>
      </c>
      <c r="Q204" s="587"/>
      <c r="R204" s="316">
        <f>'qtrP&amp;L'!DJ13-AN204-AQ204</f>
        <v>1194.6285017747371</v>
      </c>
      <c r="S204" s="256"/>
      <c r="T204" s="821">
        <f>R204/L204</f>
        <v>3.7924714342055146</v>
      </c>
      <c r="U204" s="256"/>
      <c r="V204" s="298">
        <f>(T204/T197-1)*100</f>
        <v>7.1501508480535936</v>
      </c>
      <c r="W204" s="643"/>
      <c r="X204" s="256"/>
      <c r="Y204" s="1017">
        <f>Stores!AZ306</f>
        <v>1.2968</v>
      </c>
      <c r="Z204" s="238"/>
      <c r="AA204" s="822">
        <f>AVERAGE(Y204,Y203)</f>
        <v>1.2975499999999998</v>
      </c>
      <c r="AB204" s="256"/>
      <c r="AC204" s="318">
        <f>(AA204/AA197-1)*100</f>
        <v>1.2067457421263361</v>
      </c>
      <c r="AD204" s="643"/>
      <c r="AE204" s="820">
        <f>+H204/AC204*100</f>
        <v>566.38412799674938</v>
      </c>
      <c r="AF204" s="587"/>
      <c r="AG204" s="316">
        <f>+R204</f>
        <v>1194.6285017747371</v>
      </c>
      <c r="AH204" s="256"/>
      <c r="AI204" s="823">
        <f>AG204/AA204</f>
        <v>920.68012930117322</v>
      </c>
      <c r="AJ204" s="256"/>
      <c r="AK204" s="298">
        <f>(AI204/AI197-1)*100</f>
        <v>6.5490403410875864</v>
      </c>
      <c r="AL204" s="643"/>
      <c r="AM204" s="643"/>
      <c r="AN204" s="318">
        <f>AN197*(1+AO204/100)</f>
        <v>98.771498225262718</v>
      </c>
      <c r="AO204" s="1665">
        <v>5</v>
      </c>
      <c r="AP204" s="1666"/>
      <c r="AQ204" s="145">
        <f>'segSales&amp;comps'!AR232</f>
        <v>40.9</v>
      </c>
      <c r="AR204" s="1666">
        <f>(AQ204/AQ197-1)*100</f>
        <v>47.653429602888075</v>
      </c>
      <c r="AS204" s="256"/>
      <c r="AT204" s="315"/>
      <c r="AU204" s="974"/>
      <c r="AV204" s="315"/>
      <c r="AW204" s="315"/>
      <c r="AX204" s="621"/>
      <c r="AY204" s="1482">
        <f>'qtrP&amp;L'!DJ13/'qtrP&amp;L'!DF13-1</f>
        <v>8.5149642160052164E-2</v>
      </c>
      <c r="AZ204" s="621"/>
      <c r="BA204" s="1815">
        <f>'segSales&amp;comps'!E232/'segSales&amp;comps'!$AW232</f>
        <v>0.46406355392340548</v>
      </c>
      <c r="BB204" s="1815">
        <f>'segSales&amp;comps'!Q232/'segSales&amp;comps'!$AW232</f>
        <v>0.23967623472982086</v>
      </c>
      <c r="BC204" s="1815">
        <f>'segSales&amp;comps'!W232/'segSales&amp;comps'!$AW232</f>
        <v>0.14194708836093831</v>
      </c>
      <c r="BD204" s="1815">
        <f>'segSales&amp;comps'!AG232/'segSales&amp;comps'!$AW232</f>
        <v>0.12366034624896947</v>
      </c>
      <c r="BE204" s="621"/>
      <c r="BF204" s="1815">
        <f>SeqQtrSales!F222/100</f>
        <v>0</v>
      </c>
      <c r="BG204" s="1815">
        <f>SeqQtrSales!F503/100</f>
        <v>0.09</v>
      </c>
      <c r="BH204" s="1815">
        <f>SeqQtrSales!F583/100</f>
        <v>0.01</v>
      </c>
      <c r="BI204" s="1815">
        <f>SeqQtrSales!F503/100</f>
        <v>0.09</v>
      </c>
      <c r="BJ204" s="621"/>
      <c r="BK204" s="728">
        <f>SUMPRODUCT(BA204:BD204,BF204:BI204)</f>
        <v>3.4119763171700512E-2</v>
      </c>
      <c r="BL204" s="2036">
        <f>BK204</f>
        <v>3.4119763171700512E-2</v>
      </c>
      <c r="BM204" s="621"/>
      <c r="BN204" s="1482">
        <f>AY204-BL204</f>
        <v>5.1029878988351651E-2</v>
      </c>
    </row>
    <row r="205" spans="1:66">
      <c r="A205" s="256"/>
      <c r="B205" s="302" t="str">
        <f>$B$44</f>
        <v>Year</v>
      </c>
      <c r="C205" s="256"/>
      <c r="D205" s="288">
        <f>(R205/R198-1)*100</f>
        <v>3.557603261843667</v>
      </c>
      <c r="E205" s="256"/>
      <c r="F205" s="2453">
        <f>'qtrP&amp;L'!DL14</f>
        <v>0</v>
      </c>
      <c r="G205" s="256"/>
      <c r="H205" s="288">
        <f>D205-F205</f>
        <v>3.557603261843667</v>
      </c>
      <c r="I205" s="256"/>
      <c r="J205" s="948"/>
      <c r="K205" s="256"/>
      <c r="L205" s="811">
        <f>AVERAGE(L201:L204)</f>
        <v>312.75</v>
      </c>
      <c r="M205" s="256"/>
      <c r="N205" s="288">
        <f>(L205/L198-1)*100</f>
        <v>0.72463768115942351</v>
      </c>
      <c r="O205" s="643"/>
      <c r="P205" s="812">
        <f>H205/N205*100</f>
        <v>490.94925013442383</v>
      </c>
      <c r="Q205" s="587"/>
      <c r="R205" s="296">
        <f>'qtrP&amp;L'!DJ14-AN205-AQ205</f>
        <v>3808.7515783367403</v>
      </c>
      <c r="S205" s="256"/>
      <c r="T205" s="813">
        <f>SUM(T201:T204)</f>
        <v>12.170365196184752</v>
      </c>
      <c r="U205" s="256"/>
      <c r="V205" s="814">
        <f>(T205/T198-1)*100</f>
        <v>2.8088081063516457</v>
      </c>
      <c r="W205" s="643"/>
      <c r="X205" s="256"/>
      <c r="Y205" s="1017"/>
      <c r="Z205" s="256"/>
      <c r="AA205" s="816">
        <f>AVERAGE(AA201:AA204)</f>
        <v>1.2831598214285713</v>
      </c>
      <c r="AB205" s="256"/>
      <c r="AC205" s="288">
        <f>(AA205/AA198-1)*100</f>
        <v>1.0354960946562519</v>
      </c>
      <c r="AD205" s="643"/>
      <c r="AE205" s="812">
        <f>+H205/AC205*100</f>
        <v>343.56510663853982</v>
      </c>
      <c r="AF205" s="587"/>
      <c r="AG205" s="296">
        <f>SUM(AG201:AG204)</f>
        <v>3808.7515783367398</v>
      </c>
      <c r="AH205" s="256"/>
      <c r="AI205" s="817">
        <f>AG205/AA205</f>
        <v>2968.2596935558417</v>
      </c>
      <c r="AJ205" s="256"/>
      <c r="AK205" s="814">
        <f>(AI205/AI198-1)*100</f>
        <v>2.4962585078263322</v>
      </c>
      <c r="AL205" s="643"/>
      <c r="AM205" s="643"/>
      <c r="AN205" s="288">
        <f>SUM(AN201:AN204)</f>
        <v>236.34842166326021</v>
      </c>
      <c r="AO205" s="1666">
        <f>100*(AN205/AN198-1)</f>
        <v>5.0000000000000044</v>
      </c>
      <c r="AP205" s="1666"/>
      <c r="AQ205" s="145">
        <f>'segSales&amp;comps'!AR233</f>
        <v>124.69999999999999</v>
      </c>
      <c r="AR205" s="1666">
        <f>(AQ205/AQ198-1)*100</f>
        <v>26.214574898785425</v>
      </c>
      <c r="AS205" s="256"/>
      <c r="AT205" s="315"/>
      <c r="AU205" s="975"/>
      <c r="AV205" s="976"/>
      <c r="AW205" s="976"/>
      <c r="AX205" s="621"/>
      <c r="AY205" s="1482">
        <f>'qtrP&amp;L'!DJ14/'qtrP&amp;L'!DF14-1</f>
        <v>4.1981108501174536E-2</v>
      </c>
      <c r="AZ205" s="621"/>
      <c r="BA205" s="1815">
        <f>'segSales&amp;comps'!E233/'segSales&amp;comps'!$AW233</f>
        <v>0.44867859369753937</v>
      </c>
      <c r="BB205" s="1815">
        <f>'segSales&amp;comps'!Q233/'segSales&amp;comps'!$AW233</f>
        <v>0.26260252290277708</v>
      </c>
      <c r="BC205" s="1815">
        <f>'segSales&amp;comps'!W233/'segSales&amp;comps'!$AW233</f>
        <v>0.14300446064559452</v>
      </c>
      <c r="BD205" s="1815">
        <f>'segSales&amp;comps'!AG233/'segSales&amp;comps'!$AW233</f>
        <v>0.11580891169840279</v>
      </c>
      <c r="BE205" s="621"/>
      <c r="BF205" s="1815">
        <f>SeqQtrSales!F223/100</f>
        <v>0.01</v>
      </c>
      <c r="BG205" s="1815">
        <f>SeqQtrSales!F504/100</f>
        <v>0.03</v>
      </c>
      <c r="BH205" s="1815">
        <f>SeqQtrSales!F584/100</f>
        <v>-0.02</v>
      </c>
      <c r="BI205" s="1815">
        <f>SeqQtrSales!F504/100</f>
        <v>0.03</v>
      </c>
      <c r="BJ205" s="621"/>
      <c r="BK205" s="728">
        <f>SUMPRODUCT(BA205:BD205,BF205:BI205)</f>
        <v>1.2979039762098899E-2</v>
      </c>
      <c r="BL205" s="2036">
        <f>BK205</f>
        <v>1.2979039762098899E-2</v>
      </c>
      <c r="BM205" s="621"/>
      <c r="BN205" s="1482">
        <f>AY205-BL205</f>
        <v>2.9002068739075636E-2</v>
      </c>
    </row>
    <row r="206" spans="1:66">
      <c r="A206" s="256"/>
      <c r="B206" s="302"/>
      <c r="C206" s="256"/>
      <c r="D206" s="288"/>
      <c r="E206" s="256"/>
      <c r="F206" s="824"/>
      <c r="G206" s="256"/>
      <c r="H206" s="288"/>
      <c r="I206" s="256"/>
      <c r="J206" s="948"/>
      <c r="K206" s="256"/>
      <c r="L206" s="811"/>
      <c r="M206" s="256"/>
      <c r="N206" s="288"/>
      <c r="O206" s="643"/>
      <c r="P206" s="812"/>
      <c r="Q206" s="587"/>
      <c r="R206" s="296"/>
      <c r="S206" s="256"/>
      <c r="T206" s="813"/>
      <c r="U206" s="256"/>
      <c r="V206" s="814"/>
      <c r="W206" s="643"/>
      <c r="X206" s="256"/>
      <c r="Y206" s="1017"/>
      <c r="Z206" s="256"/>
      <c r="AA206" s="816"/>
      <c r="AB206" s="256"/>
      <c r="AC206" s="288"/>
      <c r="AD206" s="643"/>
      <c r="AE206" s="812"/>
      <c r="AF206" s="587"/>
      <c r="AG206" s="296"/>
      <c r="AH206" s="256"/>
      <c r="AI206" s="817"/>
      <c r="AJ206" s="256"/>
      <c r="AK206" s="814"/>
      <c r="AL206" s="643"/>
      <c r="AM206" s="643"/>
      <c r="AN206" s="288"/>
      <c r="AO206" s="1666"/>
      <c r="AP206" s="1666"/>
      <c r="AQ206" s="145"/>
      <c r="AR206" s="1666"/>
      <c r="AS206" s="256"/>
      <c r="AT206" s="315"/>
      <c r="AU206" s="1044"/>
      <c r="AV206" s="976"/>
      <c r="AW206" s="976"/>
      <c r="AX206" s="621"/>
      <c r="AY206" s="1482"/>
      <c r="AZ206" s="621"/>
      <c r="BA206" s="1815"/>
      <c r="BB206" s="1815"/>
      <c r="BC206" s="1815"/>
      <c r="BD206" s="1815"/>
      <c r="BE206" s="621"/>
      <c r="BF206" s="1815"/>
      <c r="BG206" s="1815"/>
      <c r="BH206" s="1815"/>
      <c r="BI206" s="1815"/>
      <c r="BJ206" s="621"/>
      <c r="BK206" s="728"/>
      <c r="BL206" s="2036"/>
      <c r="BM206" s="621"/>
      <c r="BN206" s="1482"/>
    </row>
    <row r="207" spans="1:66">
      <c r="A207" s="256"/>
      <c r="B207" s="1160">
        <f>+B200+1</f>
        <v>2018</v>
      </c>
      <c r="C207" s="256"/>
      <c r="D207" s="256"/>
      <c r="E207" s="256"/>
      <c r="F207" s="256"/>
      <c r="G207" s="256"/>
      <c r="H207" s="256"/>
      <c r="I207" s="256"/>
      <c r="J207" s="256"/>
      <c r="K207" s="256"/>
      <c r="L207" s="256"/>
      <c r="M207" s="256"/>
      <c r="N207" s="256"/>
      <c r="O207" s="643"/>
      <c r="P207" s="256"/>
      <c r="Q207" s="256"/>
      <c r="R207" s="256"/>
      <c r="S207" s="256"/>
      <c r="T207" s="256"/>
      <c r="U207" s="256"/>
      <c r="V207" s="256"/>
      <c r="W207" s="256"/>
      <c r="X207" s="256"/>
      <c r="Y207" s="256"/>
      <c r="Z207" s="256"/>
      <c r="AA207" s="256"/>
      <c r="AB207" s="256"/>
      <c r="AC207" s="256"/>
      <c r="AD207" s="643"/>
      <c r="AE207" s="256"/>
      <c r="AF207" s="256"/>
      <c r="AG207" s="256"/>
      <c r="AH207" s="256"/>
      <c r="AI207" s="256"/>
      <c r="AJ207" s="256"/>
      <c r="AK207" s="256"/>
      <c r="AL207" s="256"/>
      <c r="AM207" s="256"/>
      <c r="AN207" s="288"/>
      <c r="AO207" s="970"/>
      <c r="AP207" s="970"/>
      <c r="AQ207" s="288"/>
      <c r="AR207" s="970"/>
      <c r="AS207" s="621"/>
      <c r="AT207" s="256"/>
      <c r="AU207" s="775"/>
      <c r="AV207" s="256"/>
      <c r="AW207" s="256"/>
      <c r="AX207" s="621"/>
      <c r="AY207" s="621"/>
      <c r="AZ207" s="621"/>
      <c r="BA207" s="621"/>
      <c r="BB207" s="621"/>
      <c r="BC207" s="621"/>
      <c r="BD207" s="621"/>
      <c r="BE207" s="621"/>
      <c r="BF207" s="621"/>
      <c r="BG207" s="621"/>
      <c r="BH207" s="621"/>
      <c r="BI207" s="1482"/>
      <c r="BJ207" s="621"/>
      <c r="BK207" s="621"/>
      <c r="BL207" s="621"/>
      <c r="BM207" s="621"/>
      <c r="BN207" s="621"/>
    </row>
    <row r="208" spans="1:66">
      <c r="A208" s="256" t="str">
        <f>$A$40</f>
        <v>1Q</v>
      </c>
      <c r="B208" s="302" t="str">
        <f>$B$40</f>
        <v>Apr</v>
      </c>
      <c r="C208" s="256"/>
      <c r="D208" s="288">
        <f>(R208/R201-1)*100</f>
        <v>7.142703550897167</v>
      </c>
      <c r="E208" s="643" t="s">
        <v>1970</v>
      </c>
      <c r="F208" s="1664">
        <f>'segSales&amp;comps'!G236*('segSales&amp;comps'!E236/SUM('segSales&amp;comps'!$E236,'segSales&amp;comps'!$Q236,'segSales&amp;comps'!$W236,'segSales&amp;comps'!$AG236))+'segSales&amp;comps'!S236*('segSales&amp;comps'!Q236/SUM('segSales&amp;comps'!$E236,'segSales&amp;comps'!$Q236,'segSales&amp;comps'!$W236,'segSales&amp;comps'!$AG236))+'segSales&amp;comps'!Y236*('segSales&amp;comps'!W236/SUM('segSales&amp;comps'!$E236,'segSales&amp;comps'!$Q236,'segSales&amp;comps'!$W236,'segSales&amp;comps'!$AG236))+'segSales&amp;comps'!AI236*('segSales&amp;comps'!AG236/SUM('segSales&amp;comps'!$E236,'segSales&amp;comps'!$Q236,'segSales&amp;comps'!$W236,'segSales&amp;comps'!$AG236))</f>
        <v>3.3298297183958097</v>
      </c>
      <c r="G208" s="643" t="s">
        <v>1970</v>
      </c>
      <c r="H208" s="288">
        <f>+D208-F208</f>
        <v>3.8128738325013574</v>
      </c>
      <c r="I208" s="643" t="s">
        <v>1970</v>
      </c>
      <c r="J208" s="948">
        <f>Stores!AS310</f>
        <v>316</v>
      </c>
      <c r="K208" s="256"/>
      <c r="L208" s="811">
        <f>AVERAGE(J208,J204)</f>
        <v>315.5</v>
      </c>
      <c r="M208" s="256"/>
      <c r="N208" s="288">
        <f>(L208/L201-1)*100</f>
        <v>1.2841091492776791</v>
      </c>
      <c r="O208" s="643" t="s">
        <v>1970</v>
      </c>
      <c r="P208" s="812">
        <f>H208/N208*100</f>
        <v>296.9275497060454</v>
      </c>
      <c r="Q208" s="587" t="s">
        <v>1970</v>
      </c>
      <c r="R208" s="296">
        <f>'qtrP&amp;L'!DN10-AN208-AQ208</f>
        <v>880.40232976731761</v>
      </c>
      <c r="S208" s="238"/>
      <c r="T208" s="813">
        <f>R208/L208</f>
        <v>2.7904986680422112</v>
      </c>
      <c r="U208" s="256"/>
      <c r="V208" s="814">
        <f>(T208/T201-1)*100</f>
        <v>5.7843174519951468</v>
      </c>
      <c r="W208" s="643" t="s">
        <v>1970</v>
      </c>
      <c r="X208" s="256"/>
      <c r="Y208" s="1017">
        <f>Stores!AZ310</f>
        <v>1.3010999999999999</v>
      </c>
      <c r="Z208" s="256"/>
      <c r="AA208" s="816">
        <f>AVERAGE(Y208,Y204)</f>
        <v>1.29895</v>
      </c>
      <c r="AB208" s="256"/>
      <c r="AC208" s="288">
        <f>(AA208/AA201-1)*100</f>
        <v>1.8712975281843125</v>
      </c>
      <c r="AD208" s="643" t="s">
        <v>1970</v>
      </c>
      <c r="AE208" s="812">
        <f>+H208/AC208*100</f>
        <v>203.75561742984414</v>
      </c>
      <c r="AF208" s="587" t="s">
        <v>1970</v>
      </c>
      <c r="AG208" s="296">
        <f>+R208</f>
        <v>880.40232976731761</v>
      </c>
      <c r="AH208" s="256" t="s">
        <v>700</v>
      </c>
      <c r="AI208" s="817">
        <f>AG208/AA208</f>
        <v>677.77999905101626</v>
      </c>
      <c r="AJ208" s="256"/>
      <c r="AK208" s="814">
        <f>(AI208/AI201-1)*100</f>
        <v>5.1745743409761014</v>
      </c>
      <c r="AL208" s="643" t="s">
        <v>1970</v>
      </c>
      <c r="AM208" s="643"/>
      <c r="AN208" s="288">
        <f>AN201*(1+AO208/100)</f>
        <v>51.964479989115596</v>
      </c>
      <c r="AO208" s="1665">
        <v>5</v>
      </c>
      <c r="AP208" s="1666"/>
      <c r="AQ208" s="288">
        <f>'segSales&amp;comps'!AR236</f>
        <v>29.82</v>
      </c>
      <c r="AR208" s="1666">
        <f>(AQ208/AQ201-1)*100</f>
        <v>5.0000000000000044</v>
      </c>
      <c r="AS208" s="256"/>
      <c r="AT208" s="315"/>
      <c r="AU208" s="977"/>
      <c r="AV208" s="296"/>
      <c r="AW208" s="296"/>
      <c r="AX208" s="621"/>
      <c r="AY208" s="1482">
        <f>'qtrP&amp;L'!DN10/'qtrP&amp;L'!DJ10-1</f>
        <v>6.957182053849853E-2</v>
      </c>
      <c r="AZ208" s="621"/>
      <c r="BA208" s="1482">
        <f>'segSales&amp;comps'!E236/'segSales&amp;comps'!$AW236</f>
        <v>0.42541271180345569</v>
      </c>
      <c r="BB208" s="1482">
        <f>'segSales&amp;comps'!Q236/'segSales&amp;comps'!$AW236</f>
        <v>0.29939032952283412</v>
      </c>
      <c r="BC208" s="1482">
        <f>'segSales&amp;comps'!W236/'segSales&amp;comps'!$AW236</f>
        <v>0.13878386052060218</v>
      </c>
      <c r="BD208" s="1482">
        <f>'segSales&amp;comps'!AG236/'segSales&amp;comps'!$AW236</f>
        <v>0.10542119543979959</v>
      </c>
      <c r="BE208" s="621"/>
      <c r="BF208" s="1482">
        <f>SeqQtrSales!F226/100</f>
        <v>0</v>
      </c>
      <c r="BG208" s="1482">
        <f>SeqQtrSales!F413/100</f>
        <v>0.04</v>
      </c>
      <c r="BH208" s="1482">
        <f>SeqQtrSales!F587/100</f>
        <v>0.01</v>
      </c>
      <c r="BI208" s="1482">
        <f>SeqQtrSales!F507/100</f>
        <v>0.05</v>
      </c>
      <c r="BJ208" s="621"/>
      <c r="BK208" s="633">
        <f>SUMPRODUCT(BA208:BD208,BF208:BI208)</f>
        <v>1.8634511558109367E-2</v>
      </c>
      <c r="BL208" s="2036">
        <f>BK208</f>
        <v>1.8634511558109367E-2</v>
      </c>
      <c r="BM208" s="621"/>
      <c r="BN208" s="1482">
        <f>AY208-BL208</f>
        <v>5.0937308980389159E-2</v>
      </c>
    </row>
    <row r="209" spans="1:66">
      <c r="A209" s="256" t="str">
        <f>$A$41</f>
        <v>2Q</v>
      </c>
      <c r="B209" s="302" t="str">
        <f>$B$41</f>
        <v>Jul</v>
      </c>
      <c r="C209" s="256"/>
      <c r="D209" s="288">
        <f>(R209/R202-1)*100</f>
        <v>5.7054322353570441</v>
      </c>
      <c r="E209" s="256"/>
      <c r="F209" s="1664">
        <f>'segSales&amp;comps'!G237*('segSales&amp;comps'!E237/SUM('segSales&amp;comps'!$E237,'segSales&amp;comps'!$Q237,'segSales&amp;comps'!$W237,'segSales&amp;comps'!$AG237))+'segSales&amp;comps'!S237*('segSales&amp;comps'!Q237/SUM('segSales&amp;comps'!$E237,'segSales&amp;comps'!$Q237,'segSales&amp;comps'!$W237,'segSales&amp;comps'!$AG237))+'segSales&amp;comps'!Y237*('segSales&amp;comps'!W237/SUM('segSales&amp;comps'!$E237,'segSales&amp;comps'!$Q237,'segSales&amp;comps'!$W237,'segSales&amp;comps'!$AG237))+'segSales&amp;comps'!AI237*('segSales&amp;comps'!AG237/SUM('segSales&amp;comps'!$E237,'segSales&amp;comps'!$Q237,'segSales&amp;comps'!$W237,'segSales&amp;comps'!$AG237))</f>
        <v>2.6718397590064087</v>
      </c>
      <c r="G209" s="256"/>
      <c r="H209" s="288">
        <f>+D209-F209</f>
        <v>3.0335924763506354</v>
      </c>
      <c r="I209" s="256"/>
      <c r="J209" s="948">
        <f>Stores!AS311</f>
        <v>321</v>
      </c>
      <c r="K209" s="256"/>
      <c r="L209" s="811">
        <f>AVERAGE(J209,J208)</f>
        <v>318.5</v>
      </c>
      <c r="M209" s="256"/>
      <c r="N209" s="288">
        <f>(L209/L202-1)*100</f>
        <v>2.4115755627009738</v>
      </c>
      <c r="O209" s="643"/>
      <c r="P209" s="812">
        <f>H209/N209*100</f>
        <v>125.79296801933921</v>
      </c>
      <c r="Q209" s="587"/>
      <c r="R209" s="315">
        <f>'qtrP&amp;L'!DN11-AN209-AQ209</f>
        <v>929.79175420078241</v>
      </c>
      <c r="S209" s="238"/>
      <c r="T209" s="818">
        <f>R209/L209</f>
        <v>2.9192833726869147</v>
      </c>
      <c r="U209" s="256"/>
      <c r="V209" s="814">
        <f>(T209/T202-1)*100</f>
        <v>3.2162933287159801</v>
      </c>
      <c r="W209" s="643"/>
      <c r="X209" s="256"/>
      <c r="Y209" s="1017">
        <f>Stores!AZ311</f>
        <v>1.3211888888888887</v>
      </c>
      <c r="Z209" s="238"/>
      <c r="AA209" s="816">
        <f>AVERAGE(Y209,Y208)</f>
        <v>1.3111444444444444</v>
      </c>
      <c r="AB209" s="256"/>
      <c r="AC209" s="288">
        <f>(AA209/AA202-1)*100</f>
        <v>3.0409402683362563</v>
      </c>
      <c r="AD209" s="643"/>
      <c r="AE209" s="812">
        <f>+H209/AC209*100</f>
        <v>99.758371051804943</v>
      </c>
      <c r="AF209" s="587"/>
      <c r="AG209" s="315">
        <f>+R209</f>
        <v>929.79175420078241</v>
      </c>
      <c r="AH209" s="256"/>
      <c r="AI209" s="819">
        <f>AG209/AA209</f>
        <v>709.14517324195504</v>
      </c>
      <c r="AJ209" s="256"/>
      <c r="AK209" s="814">
        <f>(AI209/AI202-1)*100</f>
        <v>2.5858575825123742</v>
      </c>
      <c r="AL209" s="643"/>
      <c r="AM209" s="643"/>
      <c r="AN209" s="288">
        <f>AN202*(1+AO209/100)</f>
        <v>50.288272936536401</v>
      </c>
      <c r="AO209" s="1665">
        <v>5</v>
      </c>
      <c r="AP209" s="1666"/>
      <c r="AQ209" s="288">
        <f>'segSales&amp;comps'!AR237</f>
        <v>33.81</v>
      </c>
      <c r="AR209" s="1666">
        <f>(AQ209/AQ202-1)*100</f>
        <v>5.0000000000000044</v>
      </c>
      <c r="AS209" s="256"/>
      <c r="AT209" s="315"/>
      <c r="AU209" s="974"/>
      <c r="AV209" s="315"/>
      <c r="AW209" s="315"/>
      <c r="AX209" s="621"/>
      <c r="AY209" s="1482">
        <f>'qtrP&amp;L'!DN11/'qtrP&amp;L'!DJ11-1</f>
        <v>5.6465590431717061E-2</v>
      </c>
      <c r="AZ209" s="621"/>
      <c r="BA209" s="1482">
        <f>'segSales&amp;comps'!E237/'segSales&amp;comps'!$AW237</f>
        <v>0.45205790345339286</v>
      </c>
      <c r="BB209" s="1482">
        <f>'segSales&amp;comps'!Q237/'segSales&amp;comps'!$AW237</f>
        <v>0.25822183606826177</v>
      </c>
      <c r="BC209" s="1482">
        <f>'segSales&amp;comps'!W237/'segSales&amp;comps'!$AW237</f>
        <v>0.12961169010709864</v>
      </c>
      <c r="BD209" s="1482">
        <f>'segSales&amp;comps'!AG237/'segSales&amp;comps'!$AW237</f>
        <v>0.1267617584931762</v>
      </c>
      <c r="BE209" s="621"/>
      <c r="BF209" s="1482">
        <f>SeqQtrSales!F227/100</f>
        <v>0</v>
      </c>
      <c r="BG209" s="1482">
        <f>SeqQtrSales!F414/100</f>
        <v>0.02</v>
      </c>
      <c r="BH209" s="1482">
        <f>SeqQtrSales!F588/100</f>
        <v>0</v>
      </c>
      <c r="BI209" s="1482">
        <f>SeqQtrSales!F508/100</f>
        <v>0.03</v>
      </c>
      <c r="BJ209" s="621"/>
      <c r="BK209" s="633">
        <f>SUMPRODUCT(BA209:BD209,BF209:BI209)</f>
        <v>8.9672894761605206E-3</v>
      </c>
      <c r="BL209" s="2036">
        <f>BK209</f>
        <v>8.9672894761605206E-3</v>
      </c>
      <c r="BM209" s="621"/>
      <c r="BN209" s="1482">
        <f>AY209-BL209</f>
        <v>4.7498300955556544E-2</v>
      </c>
    </row>
    <row r="210" spans="1:66">
      <c r="A210" s="256" t="str">
        <f>$A$42</f>
        <v>3Q</v>
      </c>
      <c r="B210" s="302" t="str">
        <f>$B$42</f>
        <v>Oct</v>
      </c>
      <c r="C210" s="256"/>
      <c r="D210" s="288">
        <f>(R210/R203-1)*100</f>
        <v>4.8808020534579111</v>
      </c>
      <c r="E210" s="256"/>
      <c r="F210" s="1664">
        <f>'segSales&amp;comps'!G238*('segSales&amp;comps'!E238/SUM('segSales&amp;comps'!$E238,'segSales&amp;comps'!$Q238,'segSales&amp;comps'!$W238,'segSales&amp;comps'!$AG238))+'segSales&amp;comps'!S238*('segSales&amp;comps'!Q238/SUM('segSales&amp;comps'!$E238,'segSales&amp;comps'!$Q238,'segSales&amp;comps'!$W238,'segSales&amp;comps'!$AG238))+'segSales&amp;comps'!Y238*('segSales&amp;comps'!W238/SUM('segSales&amp;comps'!$E238,'segSales&amp;comps'!$Q238,'segSales&amp;comps'!$W238,'segSales&amp;comps'!$AG238))+'segSales&amp;comps'!AI238*('segSales&amp;comps'!AG238/SUM('segSales&amp;comps'!$E238,'segSales&amp;comps'!$Q238,'segSales&amp;comps'!$W238,'segSales&amp;comps'!$AG238))</f>
        <v>2.3834959540814991</v>
      </c>
      <c r="G210" s="256"/>
      <c r="H210" s="288">
        <f>+D210-F210</f>
        <v>2.497306099376412</v>
      </c>
      <c r="I210" s="256"/>
      <c r="J210" s="948">
        <f>Stores!AS312</f>
        <v>322</v>
      </c>
      <c r="K210" s="238"/>
      <c r="L210" s="811">
        <f>AVERAGE(J210,J209)</f>
        <v>321.5</v>
      </c>
      <c r="M210" s="256"/>
      <c r="N210" s="288">
        <f>(L210/L203-1)*100</f>
        <v>2.5518341307815051</v>
      </c>
      <c r="O210" s="643"/>
      <c r="P210" s="812">
        <f>H210/N210*100</f>
        <v>97.863182769312914</v>
      </c>
      <c r="Q210" s="587"/>
      <c r="R210" s="315">
        <f>'qtrP&amp;L'!DN12-AN210-AQ210</f>
        <v>957.35893653212895</v>
      </c>
      <c r="S210" s="256"/>
      <c r="T210" s="818">
        <f>R210/L210</f>
        <v>2.9777882940346156</v>
      </c>
      <c r="U210" s="256"/>
      <c r="V210" s="814">
        <f>(T210/T203-1)*100</f>
        <v>2.2710153771665853</v>
      </c>
      <c r="W210" s="643"/>
      <c r="X210" s="256"/>
      <c r="Y210" s="1017">
        <f>Stores!AZ312</f>
        <v>1.3279777777777777</v>
      </c>
      <c r="Z210" s="238"/>
      <c r="AA210" s="816">
        <f>AVERAGE(Y210,Y209)</f>
        <v>1.3245833333333332</v>
      </c>
      <c r="AB210" s="256"/>
      <c r="AC210" s="288">
        <f>(AA210/AA203-1)*100</f>
        <v>2.876263704969384</v>
      </c>
      <c r="AD210" s="643"/>
      <c r="AE210" s="812">
        <f>+H210/AC210*100</f>
        <v>86.824657108517599</v>
      </c>
      <c r="AF210" s="587"/>
      <c r="AG210" s="315">
        <f>+R210</f>
        <v>957.35893653212895</v>
      </c>
      <c r="AH210" s="256"/>
      <c r="AI210" s="819">
        <f>AG210/AA210</f>
        <v>722.76233019097504</v>
      </c>
      <c r="AJ210" s="256"/>
      <c r="AK210" s="814">
        <f>(AI210/AI203-1)*100</f>
        <v>1.9484945081571059</v>
      </c>
      <c r="AL210" s="643"/>
      <c r="AM210" s="643"/>
      <c r="AN210" s="288">
        <f>AN203*(1+AO210/100)</f>
        <v>42.20301668424537</v>
      </c>
      <c r="AO210" s="1665">
        <v>5</v>
      </c>
      <c r="AP210" s="1666"/>
      <c r="AQ210" s="288">
        <f>'segSales&amp;comps'!AR238</f>
        <v>24.36</v>
      </c>
      <c r="AR210" s="1666">
        <f>(AQ210/AQ203-1)*100</f>
        <v>5.0000000000000044</v>
      </c>
      <c r="AS210" s="256"/>
      <c r="AT210" s="315"/>
      <c r="AU210" s="974"/>
      <c r="AV210" s="315"/>
      <c r="AW210" s="315"/>
      <c r="AX210" s="621"/>
      <c r="AY210" s="1482">
        <f>'qtrP&amp;L'!DN12/'qtrP&amp;L'!DJ12-1</f>
        <v>4.8885426363833417E-2</v>
      </c>
      <c r="AZ210" s="621"/>
      <c r="BA210" s="1482">
        <f>'segSales&amp;comps'!E238/'segSales&amp;comps'!$AW238</f>
        <v>0.43007477143811457</v>
      </c>
      <c r="BB210" s="1482">
        <f>'segSales&amp;comps'!Q238/'segSales&amp;comps'!$AW238</f>
        <v>0.28352243175698005</v>
      </c>
      <c r="BC210" s="1482">
        <f>'segSales&amp;comps'!W238/'segSales&amp;comps'!$AW238</f>
        <v>0.13952332944053086</v>
      </c>
      <c r="BD210" s="1482">
        <f>'segSales&amp;comps'!AG238/'segSales&amp;comps'!$AW238</f>
        <v>0.12308859158182139</v>
      </c>
      <c r="BE210" s="621"/>
      <c r="BF210" s="1482">
        <f>SeqQtrSales!F228/100</f>
        <v>0</v>
      </c>
      <c r="BG210" s="1482">
        <f>SeqQtrSales!F415/100</f>
        <v>0.01</v>
      </c>
      <c r="BH210" s="1482">
        <f>SeqQtrSales!F589/100</f>
        <v>0</v>
      </c>
      <c r="BI210" s="1482">
        <f>SeqQtrSales!F509/100</f>
        <v>0.01</v>
      </c>
      <c r="BJ210" s="621"/>
      <c r="BK210" s="633">
        <f>SUMPRODUCT(BA210:BD210,BF210:BI210)</f>
        <v>4.066110233388015E-3</v>
      </c>
      <c r="BL210" s="2036">
        <f>BK210</f>
        <v>4.066110233388015E-3</v>
      </c>
      <c r="BM210" s="621"/>
      <c r="BN210" s="1482">
        <f>AY210-BL210</f>
        <v>4.4819316130445402E-2</v>
      </c>
    </row>
    <row r="211" spans="1:66">
      <c r="A211" s="256" t="str">
        <f>$A$43</f>
        <v>4Q</v>
      </c>
      <c r="B211" s="302" t="str">
        <f>$B$43</f>
        <v>Jan</v>
      </c>
      <c r="C211" s="256"/>
      <c r="D211" s="318">
        <f>(R211/R204-1)*100</f>
        <v>3.6276607460852484</v>
      </c>
      <c r="E211" s="256"/>
      <c r="F211" s="1745">
        <f>'segSales&amp;comps'!G239*('segSales&amp;comps'!E239/SUM('segSales&amp;comps'!$E239,'segSales&amp;comps'!$Q239,'segSales&amp;comps'!$W239,'segSales&amp;comps'!$AG239))+'segSales&amp;comps'!S239*('segSales&amp;comps'!Q239/SUM('segSales&amp;comps'!$E239,'segSales&amp;comps'!$Q239,'segSales&amp;comps'!$W239,'segSales&amp;comps'!$AG239))+'segSales&amp;comps'!Y239*('segSales&amp;comps'!W239/SUM('segSales&amp;comps'!$E239,'segSales&amp;comps'!$Q239,'segSales&amp;comps'!$W239,'segSales&amp;comps'!$AG239))+'segSales&amp;comps'!AI239*('segSales&amp;comps'!AG239/SUM('segSales&amp;comps'!$E239,'segSales&amp;comps'!$Q239,'segSales&amp;comps'!$W239,'segSales&amp;comps'!$AG239))</f>
        <v>1.7783030551345747</v>
      </c>
      <c r="G211" s="256"/>
      <c r="H211" s="318">
        <f>+D211-F211</f>
        <v>1.8493576909506737</v>
      </c>
      <c r="I211" s="256"/>
      <c r="J211" s="948">
        <f>Stores!AS313</f>
        <v>322</v>
      </c>
      <c r="K211" s="238"/>
      <c r="L211" s="820">
        <f>AVERAGE(J211,J210)</f>
        <v>322</v>
      </c>
      <c r="M211" s="256"/>
      <c r="N211" s="318">
        <f>(L211/L204-1)*100</f>
        <v>2.2222222222222143</v>
      </c>
      <c r="O211" s="643"/>
      <c r="P211" s="820">
        <f>H211/N211*100</f>
        <v>83.221096092780613</v>
      </c>
      <c r="Q211" s="587"/>
      <c r="R211" s="316">
        <f>'qtrP&amp;L'!DN13-AN211-AQ211</f>
        <v>1237.9655709951655</v>
      </c>
      <c r="S211" s="256"/>
      <c r="T211" s="821">
        <f>R211/L211</f>
        <v>3.8446135745191476</v>
      </c>
      <c r="U211" s="256"/>
      <c r="V211" s="298">
        <f>(T211/T204-1)*100</f>
        <v>1.3748855124746884</v>
      </c>
      <c r="W211" s="643"/>
      <c r="X211" s="256"/>
      <c r="Y211" s="1017">
        <f>Stores!AZ313</f>
        <v>1.3279777777777777</v>
      </c>
      <c r="Z211" s="238"/>
      <c r="AA211" s="822">
        <f>AVERAGE(Y211,Y210)</f>
        <v>1.3279777777777777</v>
      </c>
      <c r="AB211" s="256"/>
      <c r="AC211" s="318">
        <f>(AA211/AA204-1)*100</f>
        <v>2.3450177471217248</v>
      </c>
      <c r="AD211" s="643"/>
      <c r="AE211" s="820">
        <f>+H211/AC211*100</f>
        <v>78.863270575268601</v>
      </c>
      <c r="AF211" s="587"/>
      <c r="AG211" s="316">
        <f>+R211</f>
        <v>1237.9655709951655</v>
      </c>
      <c r="AH211" s="256"/>
      <c r="AI211" s="823">
        <f>AG211/AA211</f>
        <v>932.21858958119196</v>
      </c>
      <c r="AJ211" s="256"/>
      <c r="AK211" s="298">
        <f>(AI211/AI204-1)*100</f>
        <v>1.2532539709287249</v>
      </c>
      <c r="AL211" s="643"/>
      <c r="AM211" s="643"/>
      <c r="AN211" s="318">
        <f>AN204*(1+AO211/100)</f>
        <v>103.71007313652586</v>
      </c>
      <c r="AO211" s="1665">
        <v>5</v>
      </c>
      <c r="AP211" s="1666"/>
      <c r="AQ211" s="288">
        <f>'segSales&amp;comps'!AR239</f>
        <v>42.945</v>
      </c>
      <c r="AR211" s="1666">
        <f>(AQ211/AQ204-1)*100</f>
        <v>5.0000000000000044</v>
      </c>
      <c r="AS211" s="256"/>
      <c r="AT211" s="315"/>
      <c r="AU211" s="974"/>
      <c r="AV211" s="315"/>
      <c r="AW211" s="315"/>
      <c r="AX211" s="621"/>
      <c r="AY211" s="1482">
        <f>'qtrP&amp;L'!DN13/'qtrP&amp;L'!DJ13-1</f>
        <v>3.7713141071491707E-2</v>
      </c>
      <c r="AZ211" s="621"/>
      <c r="BA211" s="1482">
        <f>'segSales&amp;comps'!E239/'segSales&amp;comps'!$AW239</f>
        <v>0.44943429280606134</v>
      </c>
      <c r="BB211" s="1482">
        <f>'segSales&amp;comps'!Q239/'segSales&amp;comps'!$AW239</f>
        <v>0.2445700748444613</v>
      </c>
      <c r="BC211" s="1482">
        <f>'segSales&amp;comps'!W239/'segSales&amp;comps'!$AW239</f>
        <v>0.14089202037164322</v>
      </c>
      <c r="BD211" s="1482">
        <f>'segSales&amp;comps'!AG239/'segSales&amp;comps'!$AW239</f>
        <v>0.13408789645892291</v>
      </c>
      <c r="BE211" s="621"/>
      <c r="BF211" s="1482">
        <f>SeqQtrSales!F229/100</f>
        <v>0</v>
      </c>
      <c r="BG211" s="1482">
        <f>SeqQtrSales!F416/100</f>
        <v>0.01</v>
      </c>
      <c r="BH211" s="1482">
        <f>SeqQtrSales!F590/100</f>
        <v>0</v>
      </c>
      <c r="BI211" s="1482">
        <f>SeqQtrSales!F510/100</f>
        <v>0.01</v>
      </c>
      <c r="BJ211" s="621"/>
      <c r="BK211" s="633">
        <f>SUMPRODUCT(BA211:BD211,BF211:BI211)</f>
        <v>3.786579713033842E-3</v>
      </c>
      <c r="BL211" s="2036">
        <f>BK211</f>
        <v>3.786579713033842E-3</v>
      </c>
      <c r="BM211" s="621"/>
      <c r="BN211" s="1482">
        <f>AY211-BL211</f>
        <v>3.3926561358457868E-2</v>
      </c>
    </row>
    <row r="212" spans="1:66">
      <c r="A212" s="256"/>
      <c r="B212" s="302" t="str">
        <f>$B$44</f>
        <v>Year</v>
      </c>
      <c r="C212" s="256"/>
      <c r="D212" s="288">
        <f>(R212/R205-1)*100</f>
        <v>5.1661813355803332</v>
      </c>
      <c r="E212" s="256"/>
      <c r="F212" s="824">
        <f>R208/R212*F208+R209/R212*F209+R210/R212*F210+R211/R212*F211</f>
        <v>2.4713862390184556</v>
      </c>
      <c r="G212" s="256"/>
      <c r="H212" s="288">
        <f>D212-F212</f>
        <v>2.6947950965618777</v>
      </c>
      <c r="I212" s="256"/>
      <c r="J212" s="948"/>
      <c r="K212" s="256"/>
      <c r="L212" s="811">
        <f>AVERAGE(L208:L211)</f>
        <v>319.375</v>
      </c>
      <c r="M212" s="256"/>
      <c r="N212" s="288">
        <f>(L212/L205-1)*100</f>
        <v>2.1183053557154219</v>
      </c>
      <c r="O212" s="643"/>
      <c r="P212" s="812">
        <f>H212/N212*100</f>
        <v>127.21466663392145</v>
      </c>
      <c r="Q212" s="587"/>
      <c r="R212" s="296">
        <f>'qtrP&amp;L'!DN14-AN212-AQ212</f>
        <v>4005.518591495394</v>
      </c>
      <c r="S212" s="256"/>
      <c r="T212" s="813">
        <f>SUM(T208:T211)</f>
        <v>12.532183909282889</v>
      </c>
      <c r="U212" s="256"/>
      <c r="V212" s="814">
        <f>(T212/T205-1)*100</f>
        <v>2.9729486935327287</v>
      </c>
      <c r="W212" s="643"/>
      <c r="X212" s="256"/>
      <c r="Y212" s="1017"/>
      <c r="Z212" s="256"/>
      <c r="AA212" s="816">
        <f>AVERAGE(AA208:AA211)</f>
        <v>1.315663888888889</v>
      </c>
      <c r="AB212" s="256"/>
      <c r="AC212" s="288">
        <f>(AA212/AA205-1)*100</f>
        <v>2.5331269665325173</v>
      </c>
      <c r="AD212" s="643"/>
      <c r="AE212" s="812">
        <f>+H212/AC212*100</f>
        <v>106.38215660585936</v>
      </c>
      <c r="AF212" s="587"/>
      <c r="AG212" s="296">
        <f>SUM(AG208:AG211)</f>
        <v>4005.5185914953945</v>
      </c>
      <c r="AH212" s="256"/>
      <c r="AI212" s="817">
        <f>AG212/AA212</f>
        <v>3044.48470868814</v>
      </c>
      <c r="AJ212" s="256"/>
      <c r="AK212" s="814">
        <f>(AI212/AI205-1)*100</f>
        <v>2.5680035779141797</v>
      </c>
      <c r="AL212" s="643"/>
      <c r="AM212" s="643"/>
      <c r="AN212" s="288">
        <f>SUM(AN208:AN211)</f>
        <v>248.16584274642324</v>
      </c>
      <c r="AO212" s="1666">
        <f>100*(AN212/AN205-1)</f>
        <v>5.0000000000000044</v>
      </c>
      <c r="AP212" s="1666"/>
      <c r="AQ212" s="288">
        <f>'segSales&amp;comps'!AR240</f>
        <v>130.935</v>
      </c>
      <c r="AR212" s="1666">
        <f>(AQ212/AQ205-1)*100</f>
        <v>5.0000000000000044</v>
      </c>
      <c r="AS212" s="256"/>
      <c r="AT212" s="315"/>
      <c r="AU212" s="975"/>
      <c r="AV212" s="976"/>
      <c r="AW212" s="976"/>
      <c r="AX212" s="621"/>
      <c r="AY212" s="1482">
        <f>'qtrP&amp;L'!DN14/'qtrP&amp;L'!DJ14-1</f>
        <v>5.1517922740135669E-2</v>
      </c>
      <c r="AZ212" s="621"/>
      <c r="BA212" s="1482">
        <f>'segSales&amp;comps'!E240/'segSales&amp;comps'!$AW240</f>
        <v>0.44024858461491279</v>
      </c>
      <c r="BB212" s="1482">
        <f>'segSales&amp;comps'!Q240/'segSales&amp;comps'!$AW240</f>
        <v>0.26885334172446329</v>
      </c>
      <c r="BC212" s="1482">
        <f>'segSales&amp;comps'!W240/'segSales&amp;comps'!$AW240</f>
        <v>0.13750132914425925</v>
      </c>
      <c r="BD212" s="1482">
        <f>'segSales&amp;comps'!AG240/'segSales&amp;comps'!$AW240</f>
        <v>0.12353440367614049</v>
      </c>
      <c r="BE212" s="621"/>
      <c r="BF212" s="1482">
        <f>SeqQtrSales!F230/100</f>
        <v>0</v>
      </c>
      <c r="BG212" s="1482">
        <f>SeqQtrSales!F417/100</f>
        <v>1.919269406392694E-2</v>
      </c>
      <c r="BH212" s="1482">
        <f>SeqQtrSales!F591/100</f>
        <v>2.2149277398402032E-3</v>
      </c>
      <c r="BI212" s="1482">
        <f>SeqQtrSales!F511/100</f>
        <v>2.2507765582936431E-2</v>
      </c>
      <c r="BJ212" s="621"/>
      <c r="BK212" s="633">
        <f>SUMPRODUCT(BA212:BD212,BF212:BI212)</f>
        <v>8.2450588433389555E-3</v>
      </c>
      <c r="BL212" s="2036">
        <f>BK212</f>
        <v>8.2450588433389555E-3</v>
      </c>
      <c r="BM212" s="621"/>
      <c r="BN212" s="1482">
        <f>AY212-BL212</f>
        <v>4.3272863896796715E-2</v>
      </c>
    </row>
    <row r="213" spans="1:66">
      <c r="A213" s="256"/>
      <c r="B213" s="302"/>
      <c r="C213" s="256"/>
      <c r="D213" s="288"/>
      <c r="E213" s="256"/>
      <c r="F213" s="390"/>
      <c r="G213" s="256"/>
      <c r="H213" s="288"/>
      <c r="I213" s="256"/>
      <c r="J213" s="256"/>
      <c r="K213" s="256"/>
      <c r="L213" s="811"/>
      <c r="M213" s="256"/>
      <c r="N213" s="288"/>
      <c r="O213" s="643"/>
      <c r="P213" s="812"/>
      <c r="Q213" s="587"/>
      <c r="R213" s="141"/>
      <c r="S213" s="256"/>
      <c r="T213" s="813"/>
      <c r="U213" s="256"/>
      <c r="V213" s="814"/>
      <c r="W213" s="643"/>
      <c r="X213" s="256"/>
      <c r="Y213" s="256"/>
      <c r="Z213" s="256"/>
      <c r="AA213" s="816"/>
      <c r="AB213" s="256"/>
      <c r="AC213" s="288"/>
      <c r="AD213" s="643"/>
      <c r="AE213" s="812"/>
      <c r="AF213" s="587"/>
      <c r="AG213" s="296"/>
      <c r="AH213" s="256"/>
      <c r="AI213" s="817"/>
      <c r="AJ213" s="256"/>
      <c r="AK213" s="814"/>
      <c r="AL213" s="643"/>
      <c r="AM213" s="643"/>
      <c r="AN213" s="288"/>
      <c r="AO213" s="256"/>
      <c r="AP213" s="256"/>
      <c r="AQ213" s="288"/>
      <c r="AR213" s="966"/>
      <c r="AS213" s="256"/>
      <c r="AT213" s="256"/>
      <c r="AU213" s="256"/>
      <c r="AV213" s="256"/>
      <c r="AW213" s="256"/>
      <c r="BA213" s="980"/>
      <c r="BB213" s="1815"/>
      <c r="BC213" s="1815"/>
      <c r="BD213" s="1815"/>
      <c r="BF213" s="1815"/>
      <c r="BG213" s="1815"/>
      <c r="BH213" s="1815"/>
      <c r="BI213" s="1815"/>
      <c r="BK213" s="728"/>
      <c r="BL213" s="875"/>
      <c r="BN213" s="1482">
        <f>AY214-BL213</f>
        <v>0</v>
      </c>
    </row>
    <row r="214" spans="1:66">
      <c r="A214" s="256"/>
      <c r="B214" s="302"/>
      <c r="C214" s="256"/>
      <c r="D214" s="288"/>
      <c r="E214" s="256"/>
      <c r="F214" s="390"/>
      <c r="G214" s="256"/>
      <c r="H214" s="288"/>
      <c r="I214" s="256"/>
      <c r="J214" s="256"/>
      <c r="K214" s="256"/>
      <c r="L214" s="811"/>
      <c r="M214" s="256"/>
      <c r="N214" s="288"/>
      <c r="O214" s="643"/>
      <c r="P214" s="812"/>
      <c r="Q214" s="587"/>
      <c r="R214" s="141"/>
      <c r="S214" s="256"/>
      <c r="T214" s="813"/>
      <c r="U214" s="256"/>
      <c r="V214" s="814"/>
      <c r="W214" s="643"/>
      <c r="X214" s="256"/>
      <c r="Y214" s="256"/>
      <c r="Z214" s="256"/>
      <c r="AA214" s="816"/>
      <c r="AB214" s="256"/>
      <c r="AC214" s="288"/>
      <c r="AD214" s="643"/>
      <c r="AE214" s="812"/>
      <c r="AF214" s="587"/>
      <c r="AG214" s="296"/>
      <c r="AH214" s="256"/>
      <c r="AI214" s="817"/>
      <c r="AJ214" s="256"/>
      <c r="AK214" s="814"/>
      <c r="AL214" s="643"/>
      <c r="AM214" s="643"/>
      <c r="AN214" s="288"/>
      <c r="AO214" s="256"/>
      <c r="AP214" s="256"/>
      <c r="AQ214" s="288"/>
      <c r="AR214" s="966"/>
      <c r="AS214" s="256"/>
      <c r="AT214" s="256"/>
      <c r="AU214" s="256"/>
      <c r="AV214" s="256"/>
      <c r="AW214" s="256"/>
      <c r="AY214" s="1815"/>
    </row>
    <row r="215" spans="1:66" ht="6.75" customHeight="1">
      <c r="A215" s="256"/>
      <c r="B215" s="302"/>
      <c r="C215" s="256"/>
      <c r="D215" s="288"/>
      <c r="E215" s="256"/>
      <c r="F215" s="390"/>
      <c r="G215" s="256"/>
      <c r="H215" s="288"/>
      <c r="I215" s="256"/>
      <c r="J215" s="256"/>
      <c r="K215" s="256"/>
      <c r="L215" s="811"/>
      <c r="M215" s="256"/>
      <c r="N215" s="288"/>
      <c r="O215" s="643"/>
      <c r="P215" s="812"/>
      <c r="Q215" s="587"/>
      <c r="R215" s="141"/>
      <c r="S215" s="256"/>
      <c r="T215" s="813"/>
      <c r="U215" s="256"/>
      <c r="V215" s="814"/>
      <c r="W215" s="643"/>
      <c r="X215" s="256"/>
      <c r="Y215" s="256"/>
      <c r="Z215" s="256"/>
      <c r="AA215" s="816"/>
      <c r="AB215" s="256"/>
      <c r="AC215" s="288"/>
      <c r="AD215" s="643"/>
      <c r="AE215" s="812"/>
      <c r="AF215" s="587"/>
      <c r="AG215" s="296"/>
      <c r="AH215" s="256"/>
      <c r="AI215" s="817"/>
      <c r="AJ215" s="256"/>
      <c r="AK215" s="814"/>
      <c r="AL215" s="643"/>
      <c r="AM215" s="643"/>
      <c r="AN215" s="288"/>
      <c r="AO215" s="256"/>
      <c r="AP215" s="256"/>
      <c r="AQ215" s="288"/>
      <c r="AR215" s="966"/>
      <c r="AS215" s="256"/>
      <c r="AT215" s="256"/>
      <c r="AU215" s="256"/>
      <c r="AV215" s="256"/>
      <c r="AW215" s="256"/>
    </row>
    <row r="216" spans="1:66">
      <c r="A216" s="132" t="s">
        <v>544</v>
      </c>
      <c r="B216" s="174"/>
      <c r="C216" s="132"/>
      <c r="D216" s="132"/>
      <c r="E216" s="132"/>
      <c r="F216" s="132"/>
      <c r="G216" s="132"/>
      <c r="H216" s="132"/>
      <c r="I216" s="132"/>
      <c r="J216" s="725"/>
      <c r="K216" s="132"/>
      <c r="L216" s="132"/>
      <c r="M216" s="132"/>
      <c r="N216" s="132"/>
      <c r="O216" s="132"/>
      <c r="P216" s="132"/>
      <c r="Q216" s="132"/>
      <c r="R216" s="132"/>
      <c r="S216" s="132"/>
      <c r="T216" s="132"/>
      <c r="U216" s="132"/>
      <c r="V216" s="132"/>
      <c r="W216" s="132"/>
      <c r="X216" s="132"/>
      <c r="Y216" s="132"/>
      <c r="Z216" s="132"/>
      <c r="AA216" s="132"/>
      <c r="AB216" s="132"/>
      <c r="AC216" s="132"/>
      <c r="AD216" s="132"/>
      <c r="AE216" s="132"/>
      <c r="AF216" s="132"/>
      <c r="AG216" s="132"/>
      <c r="AH216" s="132"/>
      <c r="AI216" s="132"/>
      <c r="AJ216" s="132"/>
      <c r="AK216" s="132"/>
      <c r="AL216" s="132"/>
      <c r="AM216" s="132"/>
      <c r="AN216" s="145"/>
      <c r="AO216" s="132"/>
      <c r="AP216" s="132"/>
      <c r="AQ216" s="145"/>
      <c r="AR216" s="967"/>
      <c r="AT216" s="132"/>
      <c r="AU216" s="132"/>
      <c r="AV216" s="132"/>
      <c r="AW216" s="132"/>
    </row>
  </sheetData>
  <phoneticPr fontId="0" type="noConversion"/>
  <dataValidations count="1">
    <dataValidation type="custom" allowBlank="1" showInputMessage="1" showErrorMessage="1" sqref="R131:R134 R152:R155 R138:R141 F145:F150 R145:R148 F138:F143 R103:R106 R110:R113 R124:R127 F110:F113 F103:F106 F117:F118 F96:F98 F124:F128 F131:F136 R117:R120 F152:F157 R159:R162 F159:F164 R166:R169 R173:R176 F166:F171 F173:F178 R180:R183 F180:F185 R187:R190 F187:F192 F194:F199 R208:R212 R194:R198 F208:F215 R201:R206 F201:F206">
      <formula1>-1</formula1>
    </dataValidation>
  </dataValidations>
  <printOptions horizontalCentered="1"/>
  <pageMargins left="0" right="0" top="0" bottom="0" header="0.5" footer="0.5"/>
  <pageSetup scale="79" orientation="landscape" r:id="rId1"/>
  <headerFooter alignWithMargins="0"/>
  <rowBreaks count="2" manualBreakCount="2">
    <brk id="108" max="37" man="1"/>
    <brk id="161" max="37"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Y300"/>
  <sheetViews>
    <sheetView showGridLines="0" zoomScale="85" zoomScaleNormal="85" workbookViewId="0">
      <pane xSplit="4" ySplit="8" topLeftCell="E206" activePane="bottomRight" state="frozen"/>
      <selection activeCell="C39" sqref="C39"/>
      <selection pane="topRight" activeCell="C39" sqref="C39"/>
      <selection pane="bottomLeft" activeCell="C39" sqref="C39"/>
      <selection pane="bottomRight" activeCell="G239" sqref="G239"/>
    </sheetView>
  </sheetViews>
  <sheetFormatPr defaultRowHeight="12.75" outlineLevelRow="3" outlineLevelCol="2"/>
  <cols>
    <col min="1" max="1" width="2.7109375" customWidth="1"/>
    <col min="2" max="2" width="4.7109375" customWidth="1"/>
    <col min="3" max="3" width="5.140625" customWidth="1"/>
    <col min="4" max="4" width="1.7109375" customWidth="1"/>
    <col min="5" max="5" width="9.28515625" customWidth="1"/>
    <col min="6" max="6" width="7.5703125" customWidth="1"/>
    <col min="7" max="7" width="5.5703125" customWidth="1"/>
    <col min="8" max="8" width="8.28515625" customWidth="1"/>
    <col min="9" max="9" width="7.42578125" customWidth="1"/>
    <col min="10" max="10" width="1.85546875" hidden="1" customWidth="1" outlineLevel="1"/>
    <col min="11" max="13" width="8.140625" hidden="1" customWidth="1" outlineLevel="1"/>
    <col min="14" max="14" width="7.140625" hidden="1" customWidth="1" outlineLevel="1"/>
    <col min="15" max="15" width="6.140625" hidden="1" customWidth="1" outlineLevel="1"/>
    <col min="16" max="16" width="3.140625" customWidth="1" collapsed="1"/>
    <col min="17" max="17" width="8.7109375" customWidth="1"/>
    <col min="18" max="18" width="7.85546875" bestFit="1" customWidth="1"/>
    <col min="19" max="19" width="5.5703125" customWidth="1"/>
    <col min="20" max="20" width="7.7109375" customWidth="1"/>
    <col min="21" max="21" width="12.28515625" bestFit="1" customWidth="1"/>
    <col min="22" max="22" width="2.7109375" customWidth="1"/>
    <col min="23" max="23" width="8.7109375" customWidth="1"/>
    <col min="24" max="24" width="6.140625" customWidth="1"/>
    <col min="25" max="25" width="5.5703125" customWidth="1"/>
    <col min="26" max="26" width="8" bestFit="1" customWidth="1"/>
    <col min="27" max="27" width="6.140625" customWidth="1"/>
    <col min="28" max="28" width="1.85546875" customWidth="1"/>
    <col min="29" max="29" width="7.5703125" hidden="1" customWidth="1" outlineLevel="1"/>
    <col min="30" max="30" width="7" hidden="1" customWidth="1" outlineLevel="1"/>
    <col min="31" max="31" width="6.42578125" hidden="1" customWidth="1" outlineLevel="1"/>
    <col min="32" max="32" width="3" hidden="1" customWidth="1" outlineLevel="1"/>
    <col min="33" max="33" width="8.7109375" customWidth="1" collapsed="1"/>
    <col min="34" max="34" width="7.42578125" customWidth="1"/>
    <col min="35" max="35" width="5.5703125" customWidth="1"/>
    <col min="36" max="36" width="7.7109375" customWidth="1"/>
    <col min="37" max="37" width="5.85546875" customWidth="1"/>
    <col min="38" max="38" width="3" customWidth="1" collapsed="1"/>
    <col min="39" max="39" width="9.42578125" customWidth="1"/>
    <col min="40" max="40" width="6.42578125" customWidth="1"/>
    <col min="41" max="41" width="7.7109375" hidden="1" customWidth="1" outlineLevel="1"/>
    <col min="42" max="42" width="5.7109375" hidden="1" customWidth="1" outlineLevel="1"/>
    <col min="43" max="43" width="3" customWidth="1" collapsed="1"/>
    <col min="44" max="44" width="8" customWidth="1"/>
    <col min="45" max="45" width="6.5703125" bestFit="1" customWidth="1"/>
    <col min="46" max="46" width="7.7109375" customWidth="1"/>
    <col min="47" max="47" width="6.5703125" bestFit="1" customWidth="1"/>
    <col min="48" max="48" width="7.7109375" bestFit="1" customWidth="1"/>
    <col min="49" max="49" width="10.28515625" customWidth="1"/>
    <col min="50" max="50" width="5" hidden="1" customWidth="1" outlineLevel="1"/>
    <col min="51" max="51" width="8.85546875" hidden="1" customWidth="1" outlineLevel="2"/>
    <col min="52" max="52" width="6.140625" hidden="1" customWidth="1" outlineLevel="1"/>
    <col min="53" max="53" width="4.7109375" hidden="1" customWidth="1" outlineLevel="1"/>
    <col min="54" max="54" width="5.28515625" hidden="1" customWidth="1" outlineLevel="1"/>
    <col min="55" max="55" width="10.28515625" customWidth="1" collapsed="1"/>
    <col min="56" max="56" width="7.140625" bestFit="1" customWidth="1"/>
    <col min="57" max="57" width="8.85546875" customWidth="1" outlineLevel="1"/>
    <col min="58" max="58" width="8.7109375" customWidth="1" outlineLevel="1"/>
    <col min="59" max="59" width="2.5703125" customWidth="1"/>
    <col min="60" max="60" width="7.140625" customWidth="1"/>
    <col min="61" max="61" width="1.7109375" customWidth="1"/>
    <col min="62" max="65" width="8.7109375" customWidth="1"/>
    <col min="66" max="66" width="2" customWidth="1"/>
    <col min="67" max="67" width="8.28515625" customWidth="1"/>
    <col min="68" max="68" width="8.28515625" customWidth="1" outlineLevel="1"/>
    <col min="69" max="70" width="8.28515625" customWidth="1"/>
    <col min="73" max="73" width="9.140625" outlineLevel="1"/>
    <col min="75" max="75" width="10.85546875" bestFit="1" customWidth="1"/>
    <col min="76" max="76" width="18.7109375" bestFit="1" customWidth="1"/>
    <col min="77" max="77" width="18.28515625" bestFit="1" customWidth="1"/>
  </cols>
  <sheetData>
    <row r="1" spans="1:77">
      <c r="A1" s="133"/>
      <c r="B1" s="133" t="s">
        <v>1919</v>
      </c>
      <c r="C1" s="133"/>
      <c r="D1" s="133"/>
      <c r="E1" s="154"/>
      <c r="F1" s="166"/>
      <c r="G1" s="2054"/>
      <c r="H1" s="133"/>
      <c r="I1" s="133"/>
      <c r="J1" s="282"/>
      <c r="K1" s="282"/>
      <c r="L1" s="282"/>
      <c r="M1" s="282"/>
      <c r="N1" s="166"/>
      <c r="O1" s="154"/>
      <c r="P1" s="274"/>
      <c r="Q1" s="154"/>
      <c r="R1" s="166"/>
      <c r="S1" s="2054"/>
      <c r="T1" s="133"/>
      <c r="U1" s="133"/>
      <c r="V1" s="274"/>
      <c r="W1" s="274"/>
      <c r="X1" s="274"/>
      <c r="Y1" s="2054"/>
      <c r="Z1" s="274"/>
      <c r="AA1" s="274"/>
      <c r="AB1" s="274"/>
      <c r="AC1" s="274"/>
      <c r="AD1" s="274"/>
      <c r="AE1" s="274"/>
      <c r="AF1" s="274"/>
      <c r="AG1" s="154"/>
      <c r="AH1" s="166"/>
      <c r="AI1" s="2054" t="s">
        <v>2455</v>
      </c>
      <c r="AJ1" s="133"/>
      <c r="AK1" s="133"/>
      <c r="AL1" s="274"/>
      <c r="AM1" s="154"/>
      <c r="AN1" s="166"/>
      <c r="AO1" s="133"/>
      <c r="AP1" s="133"/>
      <c r="AQ1" s="274"/>
      <c r="AR1" s="154"/>
      <c r="AS1" s="166"/>
      <c r="AT1" s="133"/>
      <c r="AU1" s="133"/>
      <c r="AV1" s="274"/>
      <c r="AW1" s="133"/>
      <c r="AX1" s="133"/>
      <c r="AY1" s="133"/>
      <c r="AZ1" s="642"/>
      <c r="BA1" s="228"/>
      <c r="BB1" s="228"/>
      <c r="BC1" s="133"/>
      <c r="BD1" s="133"/>
      <c r="BE1" s="133"/>
      <c r="BF1" s="133"/>
      <c r="BG1" s="957"/>
      <c r="BH1" s="133"/>
      <c r="BI1" s="133"/>
      <c r="BJ1" s="133"/>
      <c r="BK1" s="133"/>
      <c r="BL1" s="133"/>
      <c r="BM1" s="133"/>
      <c r="BN1" s="133"/>
      <c r="BO1" s="133"/>
      <c r="BP1" s="133"/>
      <c r="BQ1" s="133"/>
      <c r="BR1" s="133"/>
      <c r="BS1" s="133"/>
      <c r="BT1" s="133"/>
      <c r="BU1" s="133"/>
      <c r="BV1" s="133"/>
      <c r="BW1" s="133"/>
      <c r="BX1" s="133"/>
      <c r="BY1" s="133"/>
    </row>
    <row r="2" spans="1:77">
      <c r="A2" s="135"/>
      <c r="B2" s="135" t="s">
        <v>1996</v>
      </c>
      <c r="C2" s="135"/>
      <c r="D2" s="135"/>
      <c r="E2" s="187"/>
      <c r="F2" s="165"/>
      <c r="G2" s="2055"/>
      <c r="H2" s="135"/>
      <c r="I2" s="135"/>
      <c r="J2" s="285"/>
      <c r="K2" s="285"/>
      <c r="L2" s="285"/>
      <c r="M2" s="285"/>
      <c r="N2" s="165"/>
      <c r="O2" s="187"/>
      <c r="P2" s="291"/>
      <c r="Q2" s="187"/>
      <c r="R2" s="165"/>
      <c r="S2" s="2055"/>
      <c r="T2" s="135"/>
      <c r="U2" s="135"/>
      <c r="V2" s="291"/>
      <c r="W2" s="291"/>
      <c r="X2" s="291"/>
      <c r="Y2" s="2055"/>
      <c r="Z2" s="291"/>
      <c r="AA2" s="291"/>
      <c r="AB2" s="291"/>
      <c r="AC2" s="291"/>
      <c r="AD2" s="291"/>
      <c r="AE2" s="291"/>
      <c r="AF2" s="291"/>
      <c r="AG2" s="187"/>
      <c r="AH2" s="165"/>
      <c r="AI2" s="2055"/>
      <c r="AJ2" s="135"/>
      <c r="AK2" s="135"/>
      <c r="AL2" s="291"/>
      <c r="AM2" s="187"/>
      <c r="AN2" s="165"/>
      <c r="AO2" s="135"/>
      <c r="AP2" s="135"/>
      <c r="AQ2" s="291"/>
      <c r="AR2" s="187"/>
      <c r="AS2" s="165"/>
      <c r="AT2" s="135"/>
      <c r="AU2" s="135"/>
      <c r="AV2" s="291"/>
      <c r="AW2" s="135"/>
      <c r="AX2" s="135"/>
      <c r="AY2" s="135"/>
      <c r="AZ2" s="1238"/>
      <c r="BA2" s="163"/>
      <c r="BB2" s="163"/>
      <c r="BC2" s="135"/>
      <c r="BD2" s="135"/>
      <c r="BE2" s="135"/>
      <c r="BF2" s="135"/>
      <c r="BG2" s="1239"/>
      <c r="BH2" s="135"/>
      <c r="BI2" s="135"/>
      <c r="BJ2" s="135"/>
      <c r="BK2" s="135"/>
      <c r="BL2" s="135"/>
      <c r="BM2" s="135"/>
      <c r="BN2" s="135"/>
      <c r="BO2" s="135"/>
      <c r="BP2" s="135"/>
      <c r="BQ2" s="135"/>
      <c r="BR2" s="135"/>
      <c r="BS2" s="135"/>
      <c r="BT2" s="135"/>
      <c r="BU2" s="135"/>
      <c r="BV2" s="135"/>
      <c r="BW2" s="135"/>
      <c r="BX2" s="135"/>
      <c r="BY2" s="135"/>
    </row>
    <row r="3" spans="1:77">
      <c r="A3" s="132"/>
      <c r="B3" s="134" t="s">
        <v>815</v>
      </c>
      <c r="C3" s="132"/>
      <c r="D3" s="132"/>
      <c r="E3" s="230"/>
      <c r="F3" s="230"/>
      <c r="G3" s="2056"/>
      <c r="H3" s="132"/>
      <c r="I3" s="132"/>
      <c r="J3" s="302"/>
      <c r="K3" s="302"/>
      <c r="L3" s="302"/>
      <c r="M3" s="302"/>
      <c r="N3" s="230"/>
      <c r="O3" s="230"/>
      <c r="P3" s="643"/>
      <c r="Q3" s="230"/>
      <c r="R3" s="230"/>
      <c r="S3" s="2056"/>
      <c r="T3" s="132"/>
      <c r="U3" s="132"/>
      <c r="V3" s="643"/>
      <c r="W3" s="643"/>
      <c r="X3" s="643"/>
      <c r="Y3" s="2056"/>
      <c r="Z3" s="643"/>
      <c r="AA3" s="643"/>
      <c r="AB3" s="643"/>
      <c r="AC3" s="643"/>
      <c r="AD3" s="643"/>
      <c r="AE3" s="643"/>
      <c r="AF3" s="643"/>
      <c r="AG3" s="230"/>
      <c r="AH3" s="230"/>
      <c r="AI3" s="2056"/>
      <c r="AJ3" s="132"/>
      <c r="AK3" s="132"/>
      <c r="AL3" s="643"/>
      <c r="AM3" s="230"/>
      <c r="AN3" s="230"/>
      <c r="AO3" s="132"/>
      <c r="AP3" s="132"/>
      <c r="AQ3" s="643"/>
      <c r="AR3" s="230"/>
      <c r="AS3" s="230"/>
      <c r="AT3" s="132"/>
      <c r="AU3" s="132"/>
      <c r="AV3" s="643"/>
      <c r="AW3" s="228"/>
      <c r="AX3" s="228"/>
      <c r="AY3" s="228"/>
      <c r="AZ3" s="642"/>
      <c r="BA3" s="132"/>
      <c r="BB3" s="132"/>
      <c r="BC3" s="228"/>
      <c r="BD3" s="228"/>
      <c r="BE3" s="228"/>
      <c r="BF3" s="228"/>
      <c r="BG3" s="957"/>
      <c r="BH3" s="132"/>
      <c r="BI3" s="132"/>
      <c r="BJ3" s="132"/>
      <c r="BK3" s="132"/>
      <c r="BL3" s="132"/>
      <c r="BM3" s="132"/>
      <c r="BN3" s="132"/>
      <c r="BO3" s="132"/>
      <c r="BP3" s="132"/>
      <c r="BQ3" s="132"/>
      <c r="BR3" s="132"/>
      <c r="BS3" s="132"/>
      <c r="BT3" s="132"/>
      <c r="BU3" s="132"/>
      <c r="BV3" s="132"/>
      <c r="BW3" s="132"/>
      <c r="BX3" s="132"/>
      <c r="BY3" s="132"/>
    </row>
    <row r="4" spans="1:77">
      <c r="A4" s="132"/>
      <c r="B4" s="134" t="s">
        <v>1997</v>
      </c>
      <c r="C4" s="132"/>
      <c r="D4" s="132"/>
      <c r="E4" s="230"/>
      <c r="F4" s="230"/>
      <c r="G4" s="2056"/>
      <c r="H4" s="132"/>
      <c r="I4" s="132"/>
      <c r="J4" s="302"/>
      <c r="K4" s="1486"/>
      <c r="L4" s="302"/>
      <c r="M4" s="302"/>
      <c r="N4" s="230"/>
      <c r="O4" s="230"/>
      <c r="P4" s="643"/>
      <c r="Q4" s="230"/>
      <c r="R4" s="230"/>
      <c r="S4" s="2056"/>
      <c r="T4" s="132"/>
      <c r="U4" s="132"/>
      <c r="V4" s="643"/>
      <c r="W4" s="643"/>
      <c r="X4" s="643"/>
      <c r="Y4" s="2056"/>
      <c r="Z4" s="643"/>
      <c r="AA4" s="643"/>
      <c r="AB4" s="643"/>
      <c r="AC4" s="643"/>
      <c r="AD4" s="643"/>
      <c r="AE4" s="643"/>
      <c r="AF4" s="643"/>
      <c r="AG4" s="230"/>
      <c r="AH4" s="230"/>
      <c r="AI4" s="2056"/>
      <c r="AJ4" s="132"/>
      <c r="AK4" s="132"/>
      <c r="AL4" s="643"/>
      <c r="AM4" s="230"/>
      <c r="AN4" s="230"/>
      <c r="AO4" s="132"/>
      <c r="AP4" s="132"/>
      <c r="AQ4" s="643"/>
      <c r="AR4" s="230"/>
      <c r="AS4" s="230"/>
      <c r="AT4" s="132"/>
      <c r="AU4" s="132"/>
      <c r="AV4" s="643"/>
      <c r="AW4" s="228"/>
      <c r="AX4" s="228"/>
      <c r="AY4" s="228"/>
      <c r="AZ4" s="642"/>
      <c r="BA4" s="132"/>
      <c r="BB4" s="132"/>
      <c r="BC4" s="228"/>
      <c r="BD4" s="228"/>
      <c r="BE4" s="228"/>
      <c r="BF4" s="228"/>
      <c r="BG4" s="957"/>
      <c r="BH4" s="132"/>
      <c r="BI4" s="132"/>
      <c r="BJ4" s="132"/>
      <c r="BK4" s="132"/>
      <c r="BL4" s="132"/>
      <c r="BM4" s="132"/>
      <c r="BN4" s="132"/>
      <c r="BO4" s="132"/>
      <c r="BP4" s="132"/>
      <c r="BQ4" s="132"/>
      <c r="BR4" s="132"/>
      <c r="BS4" s="132"/>
      <c r="BT4" s="132"/>
      <c r="BU4" s="132"/>
      <c r="BV4" s="132"/>
      <c r="BW4" s="132"/>
      <c r="BX4" s="132"/>
      <c r="BY4" s="132"/>
    </row>
    <row r="5" spans="1:77">
      <c r="A5" s="132"/>
      <c r="B5" s="134"/>
      <c r="C5" s="132"/>
      <c r="D5" s="132"/>
      <c r="E5" s="230"/>
      <c r="F5" s="230"/>
      <c r="G5" s="2056"/>
      <c r="H5" s="132"/>
      <c r="I5" s="132"/>
      <c r="J5" s="302"/>
      <c r="K5" s="1639"/>
      <c r="L5" s="1639"/>
      <c r="M5" s="1639"/>
      <c r="N5" s="1640"/>
      <c r="O5" s="1640"/>
      <c r="P5" s="1641"/>
      <c r="Q5" s="1640"/>
      <c r="R5" s="230"/>
      <c r="S5" s="2056"/>
      <c r="T5" s="132"/>
      <c r="U5" s="132"/>
      <c r="V5" s="643"/>
      <c r="W5" s="643"/>
      <c r="X5" s="643"/>
      <c r="Y5" s="2056"/>
      <c r="Z5" s="643"/>
      <c r="AA5" s="643"/>
      <c r="AB5" s="643"/>
      <c r="AC5" s="643"/>
      <c r="AD5" s="643"/>
      <c r="AE5" s="643"/>
      <c r="AF5" s="643"/>
      <c r="AG5" s="230"/>
      <c r="AH5" s="230"/>
      <c r="AI5" s="2056"/>
      <c r="AJ5" s="132"/>
      <c r="AK5" s="132"/>
      <c r="AL5" s="643"/>
      <c r="AM5" s="230"/>
      <c r="AN5" s="230"/>
      <c r="AO5" s="132"/>
      <c r="AP5" s="132"/>
      <c r="AQ5" s="643"/>
      <c r="AR5" s="230"/>
      <c r="AS5" s="230"/>
      <c r="AT5" s="132"/>
      <c r="AU5" s="132"/>
      <c r="AV5" s="643"/>
      <c r="AW5" s="228"/>
      <c r="AX5" s="228"/>
      <c r="AY5" s="228"/>
      <c r="AZ5" s="642"/>
      <c r="BA5" s="132"/>
      <c r="BB5" s="132"/>
      <c r="BC5" s="228"/>
      <c r="BD5" s="228"/>
      <c r="BE5" s="228"/>
      <c r="BF5" s="228"/>
      <c r="BG5" s="957"/>
      <c r="BH5" s="132"/>
      <c r="BI5" s="132"/>
      <c r="BJ5" s="132"/>
      <c r="BK5" s="132"/>
      <c r="BL5" s="132"/>
      <c r="BM5" s="132"/>
      <c r="BN5" s="132"/>
      <c r="BO5" s="132"/>
      <c r="BP5" s="132"/>
      <c r="BQ5" s="132"/>
      <c r="BR5" s="132"/>
      <c r="BS5" s="132"/>
      <c r="BT5" s="132"/>
      <c r="BU5" s="132"/>
      <c r="BV5" s="132"/>
      <c r="BW5" s="132"/>
      <c r="BX5" s="132"/>
      <c r="BY5" s="132"/>
    </row>
    <row r="6" spans="1:77">
      <c r="A6" s="132"/>
      <c r="B6" s="134"/>
      <c r="C6" s="132"/>
      <c r="D6" s="132"/>
      <c r="E6" s="230"/>
      <c r="F6" s="230"/>
      <c r="G6" s="2056"/>
      <c r="H6" s="132"/>
      <c r="I6" s="132"/>
      <c r="J6" s="302"/>
      <c r="K6" s="302"/>
      <c r="L6" s="302"/>
      <c r="M6" s="667"/>
      <c r="N6" s="230"/>
      <c r="O6" s="230"/>
      <c r="P6" s="643"/>
      <c r="Q6" s="230"/>
      <c r="R6" s="230"/>
      <c r="S6" s="2056"/>
      <c r="T6" s="132"/>
      <c r="U6" s="132"/>
      <c r="V6" s="643"/>
      <c r="W6" s="643"/>
      <c r="X6" s="643"/>
      <c r="Y6" s="2056"/>
      <c r="Z6" s="643"/>
      <c r="AA6" s="643"/>
      <c r="AB6" s="643"/>
      <c r="AC6" s="643"/>
      <c r="AD6" s="643"/>
      <c r="AE6" s="643"/>
      <c r="AF6" s="643"/>
      <c r="AG6" s="230"/>
      <c r="AH6" s="230"/>
      <c r="AI6" s="2056"/>
      <c r="AJ6" s="132"/>
      <c r="AK6" s="132"/>
      <c r="AL6" s="643"/>
      <c r="AM6" s="230"/>
      <c r="AN6" s="230"/>
      <c r="AO6" s="132"/>
      <c r="AP6" s="132"/>
      <c r="AQ6" s="643"/>
      <c r="AR6" s="230"/>
      <c r="AS6" s="230"/>
      <c r="AT6" s="132"/>
      <c r="AU6" s="132"/>
      <c r="AV6" s="643"/>
      <c r="AW6" s="228"/>
      <c r="AX6" s="228"/>
      <c r="AY6" s="228"/>
      <c r="AZ6" s="642"/>
      <c r="BA6" s="132"/>
      <c r="BB6" s="132"/>
      <c r="BC6" s="228"/>
      <c r="BD6" s="228"/>
      <c r="BE6" s="228"/>
      <c r="BF6" s="228"/>
      <c r="BG6" s="957"/>
      <c r="BH6" s="132"/>
      <c r="BI6" s="132"/>
      <c r="BJ6" s="132"/>
      <c r="BK6" s="132"/>
      <c r="BL6" s="132"/>
      <c r="BM6" s="132"/>
      <c r="BN6" s="132"/>
      <c r="BO6" s="132"/>
      <c r="BP6" s="132"/>
      <c r="BQ6" s="132"/>
      <c r="BR6" s="132"/>
      <c r="BS6" s="132"/>
      <c r="BT6" s="132"/>
      <c r="BU6" s="132"/>
      <c r="BV6" s="132"/>
      <c r="BW6" s="132"/>
      <c r="BX6" s="132"/>
      <c r="BY6" s="132"/>
    </row>
    <row r="7" spans="1:77">
      <c r="A7" s="131"/>
      <c r="B7" s="131"/>
      <c r="C7" s="131"/>
      <c r="D7" s="131"/>
      <c r="E7" s="833" t="s">
        <v>1829</v>
      </c>
      <c r="F7" s="833"/>
      <c r="G7" s="833"/>
      <c r="H7" s="833"/>
      <c r="I7" s="836"/>
      <c r="J7" s="706"/>
      <c r="K7" s="1113" t="s">
        <v>1934</v>
      </c>
      <c r="L7" s="1114"/>
      <c r="M7" s="1114"/>
      <c r="N7" s="1115"/>
      <c r="O7" s="1116"/>
      <c r="P7" s="643"/>
      <c r="Q7" s="833" t="s">
        <v>542</v>
      </c>
      <c r="R7" s="834"/>
      <c r="S7" s="834"/>
      <c r="T7" s="835"/>
      <c r="U7" s="836"/>
      <c r="V7" s="643"/>
      <c r="W7" s="1117" t="s">
        <v>1362</v>
      </c>
      <c r="X7" s="1117"/>
      <c r="Y7" s="2074"/>
      <c r="Z7" s="1476"/>
      <c r="AA7" s="1118"/>
      <c r="AB7" s="643"/>
      <c r="AC7" s="1117" t="s">
        <v>1085</v>
      </c>
      <c r="AD7" s="1118"/>
      <c r="AE7" s="643"/>
      <c r="AF7" s="643"/>
      <c r="AG7" s="833" t="s">
        <v>1831</v>
      </c>
      <c r="AH7" s="834"/>
      <c r="AI7" s="834"/>
      <c r="AJ7" s="835"/>
      <c r="AK7" s="836"/>
      <c r="AL7" s="1120"/>
      <c r="AM7" s="1292" t="s">
        <v>141</v>
      </c>
      <c r="AN7" s="1293"/>
      <c r="AO7" s="1121"/>
      <c r="AP7" s="1120"/>
      <c r="AQ7" s="1120"/>
      <c r="AR7" s="833" t="s">
        <v>585</v>
      </c>
      <c r="AS7" s="837"/>
      <c r="AT7" s="838"/>
      <c r="AU7" s="839"/>
      <c r="AV7" s="893"/>
      <c r="AW7" s="283"/>
      <c r="AX7" s="283"/>
      <c r="AY7" s="283"/>
      <c r="AZ7" s="659"/>
      <c r="BA7" s="587"/>
      <c r="BB7" s="587"/>
      <c r="BC7" s="283"/>
      <c r="BD7" s="283"/>
      <c r="BE7" s="283"/>
      <c r="BF7" s="283"/>
      <c r="BG7" s="1092" t="str">
        <f>IF(BC7=BF7,"","n")</f>
        <v/>
      </c>
      <c r="BH7" s="131"/>
      <c r="BI7" s="131"/>
      <c r="BJ7" s="131"/>
      <c r="BK7" s="131"/>
      <c r="BL7" s="131"/>
      <c r="BM7" s="131"/>
      <c r="BN7" s="131"/>
      <c r="BO7" s="131"/>
      <c r="BP7" s="131"/>
      <c r="BQ7" s="131"/>
      <c r="BR7" s="131"/>
      <c r="BS7" s="131"/>
      <c r="BT7" s="131"/>
      <c r="BU7" s="131"/>
      <c r="BV7" s="131"/>
      <c r="BW7" s="131"/>
      <c r="BX7" s="131"/>
      <c r="BY7" s="131"/>
    </row>
    <row r="8" spans="1:77" ht="38.25" customHeight="1">
      <c r="A8" s="645"/>
      <c r="B8" s="645"/>
      <c r="C8" s="645"/>
      <c r="D8" s="646"/>
      <c r="E8" s="647" t="s">
        <v>1930</v>
      </c>
      <c r="F8" s="648" t="s">
        <v>1923</v>
      </c>
      <c r="G8" s="2057" t="s">
        <v>46</v>
      </c>
      <c r="H8" s="649" t="s">
        <v>1931</v>
      </c>
      <c r="I8" s="650" t="s">
        <v>330</v>
      </c>
      <c r="J8" s="708"/>
      <c r="K8" s="1150" t="s">
        <v>69</v>
      </c>
      <c r="L8" s="1111" t="s">
        <v>1923</v>
      </c>
      <c r="M8" s="1110" t="s">
        <v>1083</v>
      </c>
      <c r="N8" s="1111" t="s">
        <v>1081</v>
      </c>
      <c r="O8" s="1101" t="s">
        <v>1082</v>
      </c>
      <c r="P8" s="651"/>
      <c r="Q8" s="647" t="s">
        <v>1930</v>
      </c>
      <c r="R8" s="648" t="s">
        <v>1923</v>
      </c>
      <c r="S8" s="2057" t="s">
        <v>46</v>
      </c>
      <c r="T8" s="649" t="s">
        <v>1931</v>
      </c>
      <c r="U8" s="650" t="s">
        <v>330</v>
      </c>
      <c r="V8" s="651"/>
      <c r="W8" s="647" t="s">
        <v>1930</v>
      </c>
      <c r="X8" s="1299" t="s">
        <v>1084</v>
      </c>
      <c r="Y8" s="2057" t="s">
        <v>46</v>
      </c>
      <c r="Z8" s="649" t="s">
        <v>1931</v>
      </c>
      <c r="AA8" s="650" t="s">
        <v>330</v>
      </c>
      <c r="AB8" s="651"/>
      <c r="AC8" s="1112" t="s">
        <v>1084</v>
      </c>
      <c r="AD8" s="1107" t="s">
        <v>46</v>
      </c>
      <c r="AE8" s="651"/>
      <c r="AF8" s="651"/>
      <c r="AG8" s="647" t="s">
        <v>1930</v>
      </c>
      <c r="AH8" s="648" t="s">
        <v>1923</v>
      </c>
      <c r="AI8" s="2057" t="s">
        <v>46</v>
      </c>
      <c r="AJ8" s="649" t="s">
        <v>1931</v>
      </c>
      <c r="AK8" s="650" t="s">
        <v>330</v>
      </c>
      <c r="AL8" s="651"/>
      <c r="AM8" s="647"/>
      <c r="AN8" s="650"/>
      <c r="AO8" s="1095"/>
      <c r="AP8" s="1096"/>
      <c r="AQ8" s="651"/>
      <c r="AR8" s="647" t="s">
        <v>1930</v>
      </c>
      <c r="AS8" s="648" t="s">
        <v>1923</v>
      </c>
      <c r="AT8" s="649" t="s">
        <v>1931</v>
      </c>
      <c r="AU8" s="650" t="s">
        <v>330</v>
      </c>
      <c r="AV8" s="651"/>
      <c r="AW8" s="652" t="s">
        <v>1930</v>
      </c>
      <c r="AX8" s="653" t="s">
        <v>1923</v>
      </c>
      <c r="AY8" s="652" t="s">
        <v>1317</v>
      </c>
      <c r="AZ8" s="654"/>
      <c r="BA8" s="653" t="s">
        <v>1923</v>
      </c>
      <c r="BB8" s="653" t="s">
        <v>46</v>
      </c>
      <c r="BC8" s="652" t="s">
        <v>1931</v>
      </c>
      <c r="BD8" s="652"/>
      <c r="BE8" s="652" t="s">
        <v>1932</v>
      </c>
      <c r="BF8" s="652" t="s">
        <v>1933</v>
      </c>
      <c r="BG8" s="959"/>
      <c r="BH8" s="653" t="s">
        <v>330</v>
      </c>
      <c r="BI8" s="645"/>
      <c r="BJ8" s="652" t="s">
        <v>146</v>
      </c>
      <c r="BK8" s="652" t="s">
        <v>2007</v>
      </c>
      <c r="BL8" s="652" t="s">
        <v>1375</v>
      </c>
      <c r="BM8" s="655"/>
      <c r="BN8" s="645"/>
      <c r="BO8" s="655" t="str">
        <f>E7</f>
        <v>Americas Retail</v>
      </c>
      <c r="BP8" s="655" t="str">
        <f>K7</f>
        <v>U.S. Retail</v>
      </c>
      <c r="BQ8" s="655" t="str">
        <f>Q7</f>
        <v>Asia-Pacific Retail (ex Japan)*</v>
      </c>
      <c r="BR8" s="655" t="str">
        <f>W7</f>
        <v>Japan Retail</v>
      </c>
      <c r="BS8" s="645" t="str">
        <f>AC7</f>
        <v>Other Asia-Pac</v>
      </c>
      <c r="BT8" s="645" t="str">
        <f>AG7</f>
        <v>Europe Retail</v>
      </c>
      <c r="BU8" s="645" t="s">
        <v>682</v>
      </c>
      <c r="BV8" s="645"/>
      <c r="BW8" s="645" t="str">
        <f>AR7</f>
        <v>Other Sales</v>
      </c>
      <c r="BX8" s="645"/>
      <c r="BY8" s="645"/>
    </row>
    <row r="9" spans="1:77" hidden="1" outlineLevel="2">
      <c r="A9" s="131"/>
      <c r="B9" s="1100" t="s">
        <v>1078</v>
      </c>
      <c r="C9" s="1100"/>
      <c r="D9" s="1100"/>
      <c r="E9" s="1165"/>
      <c r="F9" s="1166"/>
      <c r="G9" s="2058"/>
      <c r="H9" s="227"/>
      <c r="I9" s="657"/>
      <c r="J9" s="709"/>
      <c r="K9" s="709"/>
      <c r="L9" s="709"/>
      <c r="M9" s="709"/>
      <c r="N9" s="233"/>
      <c r="O9" s="688"/>
      <c r="P9" s="643"/>
      <c r="Q9" s="656"/>
      <c r="R9" s="233"/>
      <c r="S9" s="2058"/>
      <c r="T9" s="227"/>
      <c r="U9" s="657"/>
      <c r="V9" s="643"/>
      <c r="W9" s="1105"/>
      <c r="X9" s="893"/>
      <c r="Y9" s="2058"/>
      <c r="Z9" s="227"/>
      <c r="AA9" s="657"/>
      <c r="AB9" s="643"/>
      <c r="AC9" s="1105"/>
      <c r="AD9" s="1108"/>
      <c r="AE9" s="643"/>
      <c r="AF9" s="643"/>
      <c r="AG9" s="656"/>
      <c r="AH9" s="233"/>
      <c r="AI9" s="2058"/>
      <c r="AJ9" s="227"/>
      <c r="AK9" s="657"/>
      <c r="AL9" s="643"/>
      <c r="AM9" s="656"/>
      <c r="AN9" s="234"/>
      <c r="AO9" s="227"/>
      <c r="AP9" s="657"/>
      <c r="AQ9" s="643"/>
      <c r="AR9" s="656"/>
      <c r="AS9" s="233"/>
      <c r="AT9" s="227"/>
      <c r="AU9" s="657"/>
      <c r="AV9" s="643"/>
      <c r="AW9" s="658"/>
      <c r="AX9" s="658"/>
      <c r="AY9" s="658"/>
      <c r="AZ9" s="659"/>
      <c r="BA9" s="132"/>
      <c r="BB9" s="132"/>
      <c r="BC9" s="658"/>
      <c r="BD9" s="658"/>
      <c r="BE9" s="658"/>
      <c r="BF9" s="658"/>
      <c r="BG9" s="960"/>
      <c r="BH9" s="131"/>
      <c r="BI9" s="131"/>
      <c r="BJ9" s="131"/>
      <c r="BK9" s="131"/>
      <c r="BL9" s="131"/>
      <c r="BM9" s="131"/>
      <c r="BN9" s="131"/>
      <c r="BO9" s="131"/>
      <c r="BP9" s="131"/>
      <c r="BQ9" s="131"/>
      <c r="BR9" s="131"/>
      <c r="BS9" s="131"/>
      <c r="BT9" s="131"/>
      <c r="BU9" s="131"/>
      <c r="BV9" s="131"/>
      <c r="BW9" s="131"/>
      <c r="BX9" s="131"/>
      <c r="BY9" s="131"/>
    </row>
    <row r="10" spans="1:77" hidden="1" outlineLevel="2">
      <c r="A10" s="388"/>
      <c r="B10" s="388"/>
      <c r="C10" s="388"/>
      <c r="D10" s="388"/>
      <c r="E10" s="833" t="s">
        <v>1934</v>
      </c>
      <c r="F10" s="834"/>
      <c r="G10" s="2059"/>
      <c r="H10" s="835"/>
      <c r="I10" s="836"/>
      <c r="J10" s="707"/>
      <c r="K10" s="707"/>
      <c r="L10" s="707"/>
      <c r="M10" s="707"/>
      <c r="N10" s="714"/>
      <c r="O10" s="714"/>
      <c r="P10" s="291"/>
      <c r="Q10" s="833" t="s">
        <v>140</v>
      </c>
      <c r="R10" s="837"/>
      <c r="S10" s="2059"/>
      <c r="T10" s="838"/>
      <c r="U10" s="839"/>
      <c r="V10" s="291"/>
      <c r="W10" s="1792"/>
      <c r="X10" s="291"/>
      <c r="Y10" s="2059"/>
      <c r="Z10" s="838"/>
      <c r="AA10" s="839"/>
      <c r="AB10" s="291"/>
      <c r="AC10" s="1792"/>
      <c r="AD10" s="1793"/>
      <c r="AE10" s="291"/>
      <c r="AF10" s="319"/>
      <c r="AG10" s="1785"/>
      <c r="AH10" s="1093"/>
      <c r="AI10" s="2059"/>
      <c r="AJ10" s="1094"/>
      <c r="AK10" s="1786"/>
      <c r="AL10" s="291"/>
      <c r="AM10" s="833" t="s">
        <v>141</v>
      </c>
      <c r="AN10" s="1290"/>
      <c r="AO10" s="838"/>
      <c r="AP10" s="839"/>
      <c r="AQ10" s="291"/>
      <c r="AR10" s="833" t="s">
        <v>585</v>
      </c>
      <c r="AS10" s="837"/>
      <c r="AT10" s="838"/>
      <c r="AU10" s="839"/>
      <c r="AV10" s="291"/>
      <c r="AW10" s="833" t="s">
        <v>144</v>
      </c>
      <c r="AX10" s="838"/>
      <c r="AY10" s="838"/>
      <c r="AZ10" s="840"/>
      <c r="BA10" s="841"/>
      <c r="BB10" s="837"/>
      <c r="BC10" s="838"/>
      <c r="BD10" s="838"/>
      <c r="BE10" s="838"/>
      <c r="BF10" s="838"/>
      <c r="BG10" s="958"/>
      <c r="BH10" s="839"/>
      <c r="BI10" s="388"/>
      <c r="BJ10" s="842" t="s">
        <v>1928</v>
      </c>
      <c r="BK10" s="838"/>
      <c r="BL10" s="838"/>
      <c r="BM10" s="839"/>
      <c r="BN10" s="388"/>
      <c r="BO10" s="842" t="s">
        <v>1929</v>
      </c>
      <c r="BP10" s="838"/>
      <c r="BQ10" s="838"/>
      <c r="BR10" s="839"/>
      <c r="BS10" s="388"/>
      <c r="BT10" s="388"/>
      <c r="BU10" s="388"/>
      <c r="BV10" s="388"/>
      <c r="BW10" s="388"/>
      <c r="BX10" s="388"/>
      <c r="BY10" s="388"/>
    </row>
    <row r="11" spans="1:77" ht="34.5" hidden="1" customHeight="1" outlineLevel="2">
      <c r="A11" s="645"/>
      <c r="B11" s="645"/>
      <c r="C11" s="645"/>
      <c r="D11" s="646"/>
      <c r="E11" s="647" t="s">
        <v>1930</v>
      </c>
      <c r="F11" s="648" t="s">
        <v>1923</v>
      </c>
      <c r="G11" s="2057" t="s">
        <v>46</v>
      </c>
      <c r="H11" s="649" t="s">
        <v>1931</v>
      </c>
      <c r="I11" s="650" t="s">
        <v>330</v>
      </c>
      <c r="J11" s="708"/>
      <c r="K11" s="708"/>
      <c r="L11" s="708"/>
      <c r="M11" s="708"/>
      <c r="N11" s="648" t="s">
        <v>2006</v>
      </c>
      <c r="O11" s="648" t="s">
        <v>534</v>
      </c>
      <c r="P11" s="651"/>
      <c r="Q11" s="647" t="s">
        <v>1930</v>
      </c>
      <c r="R11" s="648" t="s">
        <v>1923</v>
      </c>
      <c r="S11" s="2057" t="s">
        <v>46</v>
      </c>
      <c r="T11" s="649" t="s">
        <v>1931</v>
      </c>
      <c r="U11" s="650" t="s">
        <v>330</v>
      </c>
      <c r="V11" s="651"/>
      <c r="W11" s="1794"/>
      <c r="X11" s="1301" t="s">
        <v>2007</v>
      </c>
      <c r="Y11" s="2057"/>
      <c r="Z11" s="649"/>
      <c r="AA11" s="650"/>
      <c r="AB11" s="651"/>
      <c r="AC11" s="1794"/>
      <c r="AD11" s="1795" t="s">
        <v>2009</v>
      </c>
      <c r="AE11" s="651" t="s">
        <v>2008</v>
      </c>
      <c r="AF11" s="651"/>
      <c r="AG11" s="1787"/>
      <c r="AH11" s="1096"/>
      <c r="AI11" s="2057"/>
      <c r="AJ11" s="1095"/>
      <c r="AK11" s="1788"/>
      <c r="AL11" s="651"/>
      <c r="AM11" s="647" t="s">
        <v>1930</v>
      </c>
      <c r="AN11" s="650" t="s">
        <v>1923</v>
      </c>
      <c r="AO11" s="649" t="s">
        <v>1931</v>
      </c>
      <c r="AP11" s="650" t="s">
        <v>330</v>
      </c>
      <c r="AQ11" s="651"/>
      <c r="AR11" s="647" t="s">
        <v>1930</v>
      </c>
      <c r="AS11" s="648" t="s">
        <v>1923</v>
      </c>
      <c r="AT11" s="649" t="s">
        <v>1931</v>
      </c>
      <c r="AU11" s="650" t="s">
        <v>330</v>
      </c>
      <c r="AV11" s="651"/>
      <c r="AW11" s="652" t="s">
        <v>1930</v>
      </c>
      <c r="AX11" s="653" t="s">
        <v>1923</v>
      </c>
      <c r="AY11" s="652"/>
      <c r="AZ11" s="654"/>
      <c r="BA11" s="653" t="s">
        <v>1923</v>
      </c>
      <c r="BB11" s="653" t="s">
        <v>46</v>
      </c>
      <c r="BC11" s="652" t="s">
        <v>1931</v>
      </c>
      <c r="BD11" s="652"/>
      <c r="BE11" s="652" t="s">
        <v>1932</v>
      </c>
      <c r="BF11" s="652" t="s">
        <v>1933</v>
      </c>
      <c r="BG11" s="959"/>
      <c r="BH11" s="653" t="s">
        <v>330</v>
      </c>
      <c r="BI11" s="645"/>
      <c r="BJ11" s="655" t="s">
        <v>1934</v>
      </c>
      <c r="BK11" s="655" t="s">
        <v>553</v>
      </c>
      <c r="BL11" s="655" t="s">
        <v>554</v>
      </c>
      <c r="BM11" s="655" t="s">
        <v>2004</v>
      </c>
      <c r="BN11" s="645"/>
      <c r="BO11" s="655" t="s">
        <v>1934</v>
      </c>
      <c r="BP11" s="655" t="s">
        <v>553</v>
      </c>
      <c r="BQ11" s="655" t="s">
        <v>554</v>
      </c>
      <c r="BR11" s="655" t="s">
        <v>2004</v>
      </c>
      <c r="BS11" s="645"/>
      <c r="BT11" s="645"/>
      <c r="BU11" s="645"/>
      <c r="BV11" s="645"/>
      <c r="BW11" s="645"/>
      <c r="BX11" s="645"/>
      <c r="BY11" s="645"/>
    </row>
    <row r="12" spans="1:77" hidden="1" outlineLevel="2">
      <c r="A12" s="131"/>
      <c r="B12" s="131"/>
      <c r="C12" s="131"/>
      <c r="D12" s="131"/>
      <c r="E12" s="656"/>
      <c r="F12" s="233"/>
      <c r="G12" s="2058"/>
      <c r="H12" s="227"/>
      <c r="I12" s="657"/>
      <c r="J12" s="709"/>
      <c r="K12" s="709"/>
      <c r="L12" s="709"/>
      <c r="M12" s="709"/>
      <c r="N12" s="233"/>
      <c r="O12" s="688"/>
      <c r="P12" s="643"/>
      <c r="Q12" s="656"/>
      <c r="R12" s="233"/>
      <c r="S12" s="2058"/>
      <c r="T12" s="227"/>
      <c r="U12" s="657"/>
      <c r="V12" s="643"/>
      <c r="W12" s="1105"/>
      <c r="X12" s="893"/>
      <c r="Y12" s="2058"/>
      <c r="Z12" s="227"/>
      <c r="AA12" s="657"/>
      <c r="AB12" s="643"/>
      <c r="AC12" s="1105"/>
      <c r="AD12" s="1108"/>
      <c r="AE12" s="643"/>
      <c r="AF12" s="643"/>
      <c r="AG12" s="656"/>
      <c r="AH12" s="233"/>
      <c r="AI12" s="2058"/>
      <c r="AJ12" s="227"/>
      <c r="AK12" s="657"/>
      <c r="AL12" s="643"/>
      <c r="AM12" s="656"/>
      <c r="AN12" s="234"/>
      <c r="AO12" s="227"/>
      <c r="AP12" s="657"/>
      <c r="AQ12" s="643"/>
      <c r="AR12" s="656"/>
      <c r="AS12" s="233"/>
      <c r="AT12" s="227"/>
      <c r="AU12" s="657"/>
      <c r="AV12" s="643"/>
      <c r="AW12" s="658"/>
      <c r="AX12" s="658"/>
      <c r="AY12" s="658"/>
      <c r="AZ12" s="659"/>
      <c r="BA12" s="132"/>
      <c r="BB12" s="132"/>
      <c r="BC12" s="658"/>
      <c r="BD12" s="658"/>
      <c r="BE12" s="658"/>
      <c r="BF12" s="658"/>
      <c r="BG12" s="960"/>
      <c r="BH12" s="131"/>
      <c r="BI12" s="131"/>
      <c r="BJ12" s="131"/>
      <c r="BK12" s="131"/>
      <c r="BL12" s="131"/>
      <c r="BM12" s="131"/>
      <c r="BN12" s="131"/>
      <c r="BO12" s="131"/>
      <c r="BP12" s="131"/>
      <c r="BQ12" s="131"/>
      <c r="BR12" s="131"/>
      <c r="BS12" s="131"/>
      <c r="BT12" s="131"/>
      <c r="BU12" s="131"/>
      <c r="BV12" s="131"/>
      <c r="BW12" s="131"/>
      <c r="BX12" s="131"/>
      <c r="BY12" s="131"/>
    </row>
    <row r="13" spans="1:77" hidden="1" outlineLevel="3">
      <c r="A13" s="131"/>
      <c r="B13" s="2506">
        <v>1990</v>
      </c>
      <c r="C13" s="2506"/>
      <c r="D13" s="131"/>
      <c r="E13" s="656"/>
      <c r="F13" s="233"/>
      <c r="G13" s="2058"/>
      <c r="H13" s="227"/>
      <c r="I13" s="657"/>
      <c r="J13" s="709"/>
      <c r="K13" s="709"/>
      <c r="L13" s="709"/>
      <c r="M13" s="709"/>
      <c r="N13" s="233"/>
      <c r="O13" s="953"/>
      <c r="P13" s="643"/>
      <c r="Q13" s="656"/>
      <c r="R13" s="233"/>
      <c r="S13" s="2058"/>
      <c r="T13" s="227"/>
      <c r="U13" s="657"/>
      <c r="V13" s="643"/>
      <c r="W13" s="1105"/>
      <c r="X13" s="893"/>
      <c r="Y13" s="2058"/>
      <c r="Z13" s="227"/>
      <c r="AA13" s="657"/>
      <c r="AB13" s="643"/>
      <c r="AC13" s="1105"/>
      <c r="AD13" s="1108"/>
      <c r="AE13" s="643"/>
      <c r="AF13" s="643"/>
      <c r="AG13" s="656"/>
      <c r="AH13" s="233"/>
      <c r="AI13" s="2058"/>
      <c r="AJ13" s="227"/>
      <c r="AK13" s="657"/>
      <c r="AL13" s="643"/>
      <c r="AM13" s="656"/>
      <c r="AN13" s="234"/>
      <c r="AO13" s="227"/>
      <c r="AP13" s="657"/>
      <c r="AQ13" s="643"/>
      <c r="AR13" s="656"/>
      <c r="AS13" s="233"/>
      <c r="AT13" s="227"/>
      <c r="AU13" s="657"/>
      <c r="AV13" s="643"/>
      <c r="AW13" s="658"/>
      <c r="AX13" s="658"/>
      <c r="AY13" s="658"/>
      <c r="AZ13" s="659"/>
      <c r="BA13" s="132"/>
      <c r="BB13" s="132"/>
      <c r="BC13" s="658"/>
      <c r="BD13" s="658"/>
      <c r="BE13" s="658"/>
      <c r="BF13" s="658"/>
      <c r="BG13" s="960"/>
      <c r="BH13" s="131"/>
      <c r="BI13" s="131"/>
      <c r="BJ13" s="131"/>
      <c r="BK13" s="131"/>
      <c r="BL13" s="131"/>
      <c r="BM13" s="131"/>
      <c r="BN13" s="131"/>
      <c r="BO13" s="131"/>
      <c r="BP13" s="131"/>
      <c r="BQ13" s="131"/>
      <c r="BR13" s="131"/>
      <c r="BS13" s="131"/>
      <c r="BT13" s="131"/>
      <c r="BU13" s="131"/>
      <c r="BV13" s="131"/>
      <c r="BW13" s="131"/>
      <c r="BX13" s="131"/>
      <c r="BY13" s="131"/>
    </row>
    <row r="14" spans="1:77" hidden="1" outlineLevel="3">
      <c r="A14" s="131"/>
      <c r="B14" s="131" t="s">
        <v>1998</v>
      </c>
      <c r="C14" s="131" t="s">
        <v>1985</v>
      </c>
      <c r="D14" s="131"/>
      <c r="E14" s="660"/>
      <c r="F14" s="661"/>
      <c r="G14" s="2060"/>
      <c r="H14" s="663"/>
      <c r="I14" s="657"/>
      <c r="J14" s="709"/>
      <c r="K14" s="709"/>
      <c r="L14" s="709"/>
      <c r="M14" s="709"/>
      <c r="N14" s="954"/>
      <c r="O14" s="953"/>
      <c r="P14" s="664"/>
      <c r="Q14" s="660"/>
      <c r="R14" s="661"/>
      <c r="S14" s="2060"/>
      <c r="T14" s="663"/>
      <c r="U14" s="657"/>
      <c r="V14" s="664"/>
      <c r="W14" s="1106"/>
      <c r="X14" s="713"/>
      <c r="Y14" s="2060"/>
      <c r="Z14" s="663"/>
      <c r="AA14" s="657"/>
      <c r="AB14" s="712"/>
      <c r="AC14" s="1106"/>
      <c r="AD14" s="1109"/>
      <c r="AE14" s="712"/>
      <c r="AF14" s="712"/>
      <c r="AG14" s="660"/>
      <c r="AH14" s="661"/>
      <c r="AI14" s="2060"/>
      <c r="AJ14" s="663"/>
      <c r="AK14" s="657"/>
      <c r="AL14" s="664"/>
      <c r="AM14" s="660"/>
      <c r="AN14" s="1780"/>
      <c r="AO14" s="663"/>
      <c r="AP14" s="657"/>
      <c r="AQ14" s="664"/>
      <c r="AR14" s="660"/>
      <c r="AS14" s="661"/>
      <c r="AT14" s="663"/>
      <c r="AU14" s="657"/>
      <c r="AV14" s="664"/>
      <c r="AW14" s="667"/>
      <c r="AX14" s="667"/>
      <c r="AY14" s="667"/>
      <c r="AZ14" s="668"/>
      <c r="BA14" s="665"/>
      <c r="BB14" s="666"/>
      <c r="BC14" s="667"/>
      <c r="BD14" s="667"/>
      <c r="BE14" s="695"/>
      <c r="BF14" s="667"/>
      <c r="BG14" s="961"/>
      <c r="BH14" s="131"/>
      <c r="BI14" s="131"/>
      <c r="BJ14" s="131"/>
      <c r="BK14" s="131"/>
      <c r="BL14" s="131"/>
      <c r="BM14" s="131"/>
      <c r="BN14" s="131"/>
      <c r="BO14" s="131"/>
      <c r="BP14" s="131"/>
      <c r="BQ14" s="131"/>
      <c r="BR14" s="131"/>
      <c r="BS14" s="131"/>
      <c r="BT14" s="131"/>
      <c r="BU14" s="131"/>
      <c r="BV14" s="131"/>
      <c r="BW14" s="131"/>
      <c r="BX14" s="131"/>
      <c r="BY14" s="131"/>
    </row>
    <row r="15" spans="1:77" hidden="1" outlineLevel="3">
      <c r="A15" s="131"/>
      <c r="B15" s="131" t="s">
        <v>1999</v>
      </c>
      <c r="C15" s="131" t="s">
        <v>1986</v>
      </c>
      <c r="D15" s="131"/>
      <c r="E15" s="669"/>
      <c r="F15" s="661"/>
      <c r="G15" s="2060"/>
      <c r="H15" s="670"/>
      <c r="I15" s="671"/>
      <c r="J15" s="701"/>
      <c r="K15" s="701"/>
      <c r="L15" s="701"/>
      <c r="M15" s="701"/>
      <c r="N15" s="954"/>
      <c r="O15" s="953"/>
      <c r="P15" s="664"/>
      <c r="Q15" s="669"/>
      <c r="R15" s="661"/>
      <c r="S15" s="2060"/>
      <c r="T15" s="670"/>
      <c r="U15" s="671"/>
      <c r="V15" s="664"/>
      <c r="W15" s="1106"/>
      <c r="X15" s="713"/>
      <c r="Y15" s="2060"/>
      <c r="Z15" s="670"/>
      <c r="AA15" s="671"/>
      <c r="AB15" s="712"/>
      <c r="AC15" s="1106"/>
      <c r="AD15" s="1109"/>
      <c r="AE15" s="712"/>
      <c r="AF15" s="712"/>
      <c r="AG15" s="669"/>
      <c r="AH15" s="661"/>
      <c r="AI15" s="2060"/>
      <c r="AJ15" s="670"/>
      <c r="AK15" s="671"/>
      <c r="AL15" s="664"/>
      <c r="AM15" s="669"/>
      <c r="AN15" s="1780"/>
      <c r="AO15" s="670"/>
      <c r="AP15" s="671"/>
      <c r="AQ15" s="664"/>
      <c r="AR15" s="669"/>
      <c r="AS15" s="661"/>
      <c r="AT15" s="670"/>
      <c r="AU15" s="671"/>
      <c r="AV15" s="664"/>
      <c r="AW15" s="673"/>
      <c r="AX15" s="673"/>
      <c r="AY15" s="673"/>
      <c r="AZ15" s="674"/>
      <c r="BA15" s="665"/>
      <c r="BB15" s="666"/>
      <c r="BC15" s="673"/>
      <c r="BD15" s="673"/>
      <c r="BE15" s="691"/>
      <c r="BF15" s="673"/>
      <c r="BG15" s="962"/>
      <c r="BH15" s="672"/>
      <c r="BI15" s="131"/>
      <c r="BJ15" s="131"/>
      <c r="BK15" s="131"/>
      <c r="BL15" s="131"/>
      <c r="BM15" s="131"/>
      <c r="BN15" s="131"/>
      <c r="BO15" s="131"/>
      <c r="BP15" s="131"/>
      <c r="BQ15" s="131"/>
      <c r="BR15" s="131"/>
      <c r="BS15" s="131"/>
      <c r="BT15" s="131"/>
      <c r="BU15" s="131"/>
      <c r="BV15" s="131"/>
      <c r="BW15" s="131"/>
      <c r="BX15" s="131"/>
      <c r="BY15" s="131"/>
    </row>
    <row r="16" spans="1:77" hidden="1" outlineLevel="3">
      <c r="A16" s="131"/>
      <c r="B16" s="131" t="s">
        <v>2000</v>
      </c>
      <c r="C16" s="131" t="s">
        <v>1987</v>
      </c>
      <c r="D16" s="131"/>
      <c r="E16" s="669"/>
      <c r="F16" s="661"/>
      <c r="G16" s="2060"/>
      <c r="H16" s="670"/>
      <c r="I16" s="657"/>
      <c r="J16" s="709"/>
      <c r="K16" s="709"/>
      <c r="L16" s="709"/>
      <c r="M16" s="709"/>
      <c r="N16" s="954"/>
      <c r="O16" s="953"/>
      <c r="P16" s="664"/>
      <c r="Q16" s="669"/>
      <c r="R16" s="661"/>
      <c r="S16" s="2060"/>
      <c r="T16" s="670"/>
      <c r="U16" s="657"/>
      <c r="V16" s="664"/>
      <c r="W16" s="1106"/>
      <c r="X16" s="713"/>
      <c r="Y16" s="2060"/>
      <c r="Z16" s="670"/>
      <c r="AA16" s="657"/>
      <c r="AB16" s="712"/>
      <c r="AC16" s="1106"/>
      <c r="AD16" s="1109"/>
      <c r="AE16" s="712"/>
      <c r="AF16" s="712"/>
      <c r="AG16" s="669"/>
      <c r="AH16" s="661"/>
      <c r="AI16" s="2060"/>
      <c r="AJ16" s="670"/>
      <c r="AK16" s="657"/>
      <c r="AL16" s="664"/>
      <c r="AM16" s="669"/>
      <c r="AN16" s="1780"/>
      <c r="AO16" s="670"/>
      <c r="AP16" s="657"/>
      <c r="AQ16" s="664"/>
      <c r="AR16" s="669"/>
      <c r="AS16" s="661"/>
      <c r="AT16" s="670"/>
      <c r="AU16" s="657"/>
      <c r="AV16" s="664"/>
      <c r="AW16" s="673"/>
      <c r="AX16" s="673"/>
      <c r="AY16" s="673"/>
      <c r="AZ16" s="674"/>
      <c r="BA16" s="665"/>
      <c r="BB16" s="666"/>
      <c r="BC16" s="673"/>
      <c r="BD16" s="673"/>
      <c r="BE16" s="691"/>
      <c r="BF16" s="673"/>
      <c r="BG16" s="962"/>
      <c r="BH16" s="131"/>
      <c r="BI16" s="131"/>
      <c r="BJ16" s="131"/>
      <c r="BK16" s="131"/>
      <c r="BL16" s="131"/>
      <c r="BM16" s="131"/>
      <c r="BN16" s="131"/>
      <c r="BO16" s="131"/>
      <c r="BP16" s="131"/>
      <c r="BQ16" s="131"/>
      <c r="BR16" s="131"/>
      <c r="BS16" s="131"/>
      <c r="BT16" s="131"/>
      <c r="BU16" s="131"/>
      <c r="BV16" s="131"/>
      <c r="BW16" s="131"/>
      <c r="BX16" s="131"/>
      <c r="BY16" s="131"/>
    </row>
    <row r="17" spans="1:77" hidden="1" outlineLevel="3">
      <c r="A17" s="131"/>
      <c r="B17" s="131" t="s">
        <v>2001</v>
      </c>
      <c r="C17" s="131" t="s">
        <v>1988</v>
      </c>
      <c r="D17" s="131"/>
      <c r="E17" s="675"/>
      <c r="F17" s="661"/>
      <c r="G17" s="2060"/>
      <c r="H17" s="676"/>
      <c r="I17" s="657"/>
      <c r="J17" s="709"/>
      <c r="K17" s="709"/>
      <c r="L17" s="709"/>
      <c r="M17" s="709"/>
      <c r="N17" s="954"/>
      <c r="O17" s="953"/>
      <c r="P17" s="664"/>
      <c r="Q17" s="675"/>
      <c r="R17" s="661"/>
      <c r="S17" s="2060"/>
      <c r="T17" s="676"/>
      <c r="U17" s="657"/>
      <c r="V17" s="664"/>
      <c r="W17" s="1106"/>
      <c r="X17" s="713"/>
      <c r="Y17" s="2060"/>
      <c r="Z17" s="676"/>
      <c r="AA17" s="657"/>
      <c r="AB17" s="712"/>
      <c r="AC17" s="1106"/>
      <c r="AD17" s="1109"/>
      <c r="AE17" s="712"/>
      <c r="AF17" s="712"/>
      <c r="AG17" s="669"/>
      <c r="AH17" s="661"/>
      <c r="AI17" s="2060"/>
      <c r="AJ17" s="670"/>
      <c r="AK17" s="657"/>
      <c r="AL17" s="664"/>
      <c r="AM17" s="675"/>
      <c r="AN17" s="1780"/>
      <c r="AO17" s="676"/>
      <c r="AP17" s="657"/>
      <c r="AQ17" s="664"/>
      <c r="AR17" s="675"/>
      <c r="AS17" s="661"/>
      <c r="AT17" s="676"/>
      <c r="AU17" s="657"/>
      <c r="AV17" s="664"/>
      <c r="AW17" s="677"/>
      <c r="AX17" s="673"/>
      <c r="AY17" s="673"/>
      <c r="AZ17" s="674"/>
      <c r="BA17" s="665"/>
      <c r="BB17" s="666"/>
      <c r="BC17" s="677"/>
      <c r="BD17" s="677"/>
      <c r="BE17" s="692"/>
      <c r="BF17" s="677"/>
      <c r="BG17" s="962"/>
      <c r="BH17" s="131"/>
      <c r="BI17" s="131"/>
      <c r="BJ17" s="131"/>
      <c r="BK17" s="131"/>
      <c r="BL17" s="131"/>
      <c r="BM17" s="131"/>
      <c r="BN17" s="131"/>
      <c r="BO17" s="131"/>
      <c r="BP17" s="131"/>
      <c r="BQ17" s="131"/>
      <c r="BR17" s="131"/>
      <c r="BS17" s="131"/>
      <c r="BT17" s="131"/>
      <c r="BU17" s="131"/>
      <c r="BV17" s="131"/>
      <c r="BW17" s="131"/>
      <c r="BX17" s="131"/>
      <c r="BY17" s="131"/>
    </row>
    <row r="18" spans="1:77" hidden="1" outlineLevel="3">
      <c r="A18" s="131"/>
      <c r="B18" s="131"/>
      <c r="C18" s="131" t="s">
        <v>999</v>
      </c>
      <c r="D18" s="131"/>
      <c r="E18" s="660"/>
      <c r="F18" s="661"/>
      <c r="G18" s="2060"/>
      <c r="H18" s="663"/>
      <c r="I18" s="657"/>
      <c r="J18" s="709"/>
      <c r="K18" s="709"/>
      <c r="L18" s="709"/>
      <c r="M18" s="709"/>
      <c r="N18" s="954"/>
      <c r="O18" s="953"/>
      <c r="P18" s="664"/>
      <c r="Q18" s="660"/>
      <c r="R18" s="661"/>
      <c r="S18" s="2060"/>
      <c r="T18" s="663"/>
      <c r="U18" s="657"/>
      <c r="V18" s="664"/>
      <c r="W18" s="1106"/>
      <c r="X18" s="713"/>
      <c r="Y18" s="2060"/>
      <c r="Z18" s="663"/>
      <c r="AA18" s="657"/>
      <c r="AB18" s="712"/>
      <c r="AC18" s="1106"/>
      <c r="AD18" s="1109"/>
      <c r="AE18" s="712"/>
      <c r="AF18" s="712"/>
      <c r="AG18" s="660"/>
      <c r="AH18" s="661"/>
      <c r="AI18" s="2060"/>
      <c r="AJ18" s="663"/>
      <c r="AK18" s="657"/>
      <c r="AL18" s="664"/>
      <c r="AM18" s="660"/>
      <c r="AN18" s="1780"/>
      <c r="AO18" s="663"/>
      <c r="AP18" s="657"/>
      <c r="AQ18" s="664"/>
      <c r="AR18" s="660"/>
      <c r="AS18" s="661"/>
      <c r="AT18" s="663"/>
      <c r="AU18" s="657"/>
      <c r="AV18" s="664"/>
      <c r="AW18" s="673">
        <f>'qtrP&amp;L'!$F$14</f>
        <v>0</v>
      </c>
      <c r="AX18" s="667"/>
      <c r="AY18" s="679">
        <f>+E18+Q18+AM18+AR18</f>
        <v>0</v>
      </c>
      <c r="AZ18" s="668"/>
      <c r="BA18" s="665"/>
      <c r="BB18" s="666"/>
      <c r="BC18" s="667"/>
      <c r="BD18" s="667"/>
      <c r="BE18" s="667"/>
      <c r="BF18" s="667"/>
      <c r="BG18" s="961"/>
      <c r="BH18" s="131"/>
      <c r="BI18" s="131"/>
      <c r="BJ18" s="118" t="e">
        <f>+E18/$AY18</f>
        <v>#DIV/0!</v>
      </c>
      <c r="BK18" s="118" t="e">
        <f>+Q18/$AY18</f>
        <v>#DIV/0!</v>
      </c>
      <c r="BL18" s="118" t="e">
        <f>+AM18/AY18</f>
        <v>#DIV/0!</v>
      </c>
      <c r="BM18" s="118" t="e">
        <f>+AR18/AY18</f>
        <v>#DIV/0!</v>
      </c>
      <c r="BN18" s="131"/>
      <c r="BO18" s="131"/>
      <c r="BP18" s="131"/>
      <c r="BQ18" s="131"/>
      <c r="BR18" s="131"/>
      <c r="BS18" s="131"/>
      <c r="BT18" s="131"/>
      <c r="BU18" s="131"/>
      <c r="BV18" s="131"/>
      <c r="BW18" s="131"/>
      <c r="BX18" s="131"/>
      <c r="BY18" s="131"/>
    </row>
    <row r="19" spans="1:77" hidden="1" outlineLevel="3">
      <c r="A19" s="131"/>
      <c r="B19" s="678"/>
      <c r="C19" s="678"/>
      <c r="D19" s="131"/>
      <c r="E19" s="656"/>
      <c r="F19" s="233"/>
      <c r="G19" s="2061"/>
      <c r="H19" s="227"/>
      <c r="I19" s="657"/>
      <c r="J19" s="709"/>
      <c r="K19" s="709"/>
      <c r="L19" s="709"/>
      <c r="M19" s="709"/>
      <c r="N19" s="233"/>
      <c r="O19" s="953"/>
      <c r="P19" s="643"/>
      <c r="Q19" s="656"/>
      <c r="R19" s="233"/>
      <c r="S19" s="2061"/>
      <c r="T19" s="227"/>
      <c r="U19" s="657"/>
      <c r="V19" s="643"/>
      <c r="W19" s="1105"/>
      <c r="X19" s="893"/>
      <c r="Y19" s="2061"/>
      <c r="Z19" s="227"/>
      <c r="AA19" s="657"/>
      <c r="AB19" s="643"/>
      <c r="AC19" s="1105"/>
      <c r="AD19" s="1108"/>
      <c r="AE19" s="643"/>
      <c r="AF19" s="643"/>
      <c r="AG19" s="656"/>
      <c r="AH19" s="233"/>
      <c r="AI19" s="2061"/>
      <c r="AJ19" s="227"/>
      <c r="AK19" s="657"/>
      <c r="AL19" s="643"/>
      <c r="AM19" s="656"/>
      <c r="AN19" s="234"/>
      <c r="AO19" s="227"/>
      <c r="AP19" s="657"/>
      <c r="AQ19" s="643"/>
      <c r="AR19" s="656"/>
      <c r="AS19" s="233"/>
      <c r="AT19" s="227"/>
      <c r="AU19" s="657"/>
      <c r="AV19" s="643"/>
      <c r="AW19" s="658"/>
      <c r="AX19" s="658"/>
      <c r="AY19" s="658"/>
      <c r="AZ19" s="659"/>
      <c r="BA19" s="132"/>
      <c r="BB19" s="132"/>
      <c r="BC19" s="658"/>
      <c r="BD19" s="658"/>
      <c r="BE19" s="658"/>
      <c r="BF19" s="658"/>
      <c r="BG19" s="960"/>
      <c r="BH19" s="131"/>
      <c r="BI19" s="131"/>
      <c r="BJ19" s="131"/>
      <c r="BK19" s="131"/>
      <c r="BL19" s="131"/>
      <c r="BM19" s="131"/>
      <c r="BN19" s="131"/>
      <c r="BO19" s="131"/>
      <c r="BP19" s="131"/>
      <c r="BQ19" s="131"/>
      <c r="BR19" s="131"/>
      <c r="BS19" s="131"/>
      <c r="BT19" s="131"/>
      <c r="BU19" s="131"/>
      <c r="BV19" s="131"/>
      <c r="BW19" s="131"/>
      <c r="BX19" s="131"/>
      <c r="BY19" s="131"/>
    </row>
    <row r="20" spans="1:77" hidden="1" outlineLevel="3">
      <c r="A20" s="131"/>
      <c r="B20" s="2506">
        <f>+B13+1</f>
        <v>1991</v>
      </c>
      <c r="C20" s="2506"/>
      <c r="D20" s="131"/>
      <c r="E20" s="656"/>
      <c r="F20" s="233"/>
      <c r="G20" s="2061"/>
      <c r="H20" s="227"/>
      <c r="I20" s="657"/>
      <c r="J20" s="709"/>
      <c r="K20" s="709"/>
      <c r="L20" s="709"/>
      <c r="M20" s="709"/>
      <c r="N20" s="233"/>
      <c r="O20" s="953"/>
      <c r="P20" s="643"/>
      <c r="Q20" s="656"/>
      <c r="R20" s="233"/>
      <c r="S20" s="2061"/>
      <c r="T20" s="227"/>
      <c r="U20" s="657"/>
      <c r="V20" s="643"/>
      <c r="W20" s="1105"/>
      <c r="X20" s="893"/>
      <c r="Y20" s="2061"/>
      <c r="Z20" s="227"/>
      <c r="AA20" s="657"/>
      <c r="AB20" s="643"/>
      <c r="AC20" s="1105"/>
      <c r="AD20" s="1108"/>
      <c r="AE20" s="643"/>
      <c r="AF20" s="643"/>
      <c r="AG20" s="656"/>
      <c r="AH20" s="233"/>
      <c r="AI20" s="2061"/>
      <c r="AJ20" s="227"/>
      <c r="AK20" s="657"/>
      <c r="AL20" s="643"/>
      <c r="AM20" s="656"/>
      <c r="AN20" s="234"/>
      <c r="AO20" s="227"/>
      <c r="AP20" s="657"/>
      <c r="AQ20" s="643"/>
      <c r="AR20" s="656"/>
      <c r="AS20" s="233"/>
      <c r="AT20" s="227"/>
      <c r="AU20" s="657"/>
      <c r="AV20" s="643"/>
      <c r="AW20" s="658"/>
      <c r="AX20" s="658"/>
      <c r="AY20" s="658"/>
      <c r="AZ20" s="659"/>
      <c r="BA20" s="132"/>
      <c r="BB20" s="132"/>
      <c r="BC20" s="658"/>
      <c r="BD20" s="658"/>
      <c r="BE20" s="658"/>
      <c r="BF20" s="658"/>
      <c r="BG20" s="960"/>
      <c r="BH20" s="131"/>
      <c r="BI20" s="131"/>
      <c r="BJ20" s="131"/>
      <c r="BK20" s="131"/>
      <c r="BL20" s="131"/>
      <c r="BM20" s="131"/>
      <c r="BN20" s="131"/>
      <c r="BO20" s="131"/>
      <c r="BP20" s="131"/>
      <c r="BQ20" s="131"/>
      <c r="BR20" s="131"/>
      <c r="BS20" s="131"/>
      <c r="BT20" s="131"/>
      <c r="BU20" s="131"/>
      <c r="BV20" s="131"/>
      <c r="BW20" s="131"/>
      <c r="BX20" s="131"/>
      <c r="BY20" s="131"/>
    </row>
    <row r="21" spans="1:77" hidden="1" outlineLevel="3">
      <c r="A21" s="131"/>
      <c r="B21" s="131" t="str">
        <f>$B$14</f>
        <v>1Q</v>
      </c>
      <c r="C21" s="131" t="str">
        <f>$C$14</f>
        <v>Apr</v>
      </c>
      <c r="D21" s="131"/>
      <c r="E21" s="686"/>
      <c r="F21" s="661"/>
      <c r="G21" s="2060"/>
      <c r="H21" s="663"/>
      <c r="I21" s="657"/>
      <c r="J21" s="709"/>
      <c r="K21" s="709"/>
      <c r="L21" s="709"/>
      <c r="M21" s="709"/>
      <c r="N21" s="954"/>
      <c r="O21" s="953"/>
      <c r="P21" s="664"/>
      <c r="Q21" s="660"/>
      <c r="R21" s="661"/>
      <c r="S21" s="2060"/>
      <c r="T21" s="663"/>
      <c r="U21" s="657"/>
      <c r="V21" s="664"/>
      <c r="W21" s="1106"/>
      <c r="X21" s="713"/>
      <c r="Y21" s="2060"/>
      <c r="Z21" s="663"/>
      <c r="AA21" s="657"/>
      <c r="AB21" s="712"/>
      <c r="AC21" s="1106"/>
      <c r="AD21" s="1109"/>
      <c r="AE21" s="712"/>
      <c r="AF21" s="712"/>
      <c r="AG21" s="660"/>
      <c r="AH21" s="661"/>
      <c r="AI21" s="2060"/>
      <c r="AJ21" s="663"/>
      <c r="AK21" s="657"/>
      <c r="AL21" s="664"/>
      <c r="AM21" s="660"/>
      <c r="AN21" s="1780"/>
      <c r="AO21" s="663"/>
      <c r="AP21" s="657"/>
      <c r="AQ21" s="664"/>
      <c r="AR21" s="660"/>
      <c r="AS21" s="661"/>
      <c r="AT21" s="663"/>
      <c r="AU21" s="657"/>
      <c r="AV21" s="664"/>
      <c r="AW21" s="667"/>
      <c r="AX21" s="667"/>
      <c r="AY21" s="667"/>
      <c r="AZ21" s="668"/>
      <c r="BA21" s="665"/>
      <c r="BB21" s="666"/>
      <c r="BC21" s="667"/>
      <c r="BD21" s="667"/>
      <c r="BE21" s="695"/>
      <c r="BF21" s="667">
        <f>+H21+T21+AO21+AT21-BE21</f>
        <v>0</v>
      </c>
      <c r="BG21" s="961"/>
      <c r="BH21" s="131"/>
      <c r="BI21" s="131"/>
      <c r="BJ21" s="131"/>
      <c r="BK21" s="131"/>
      <c r="BL21" s="131"/>
      <c r="BM21" s="131"/>
      <c r="BN21" s="131"/>
      <c r="BO21" s="131"/>
      <c r="BP21" s="131"/>
      <c r="BQ21" s="131"/>
      <c r="BR21" s="131"/>
      <c r="BS21" s="131"/>
      <c r="BT21" s="131"/>
      <c r="BU21" s="131"/>
      <c r="BV21" s="131"/>
      <c r="BW21" s="131"/>
      <c r="BX21" s="131"/>
      <c r="BY21" s="131"/>
    </row>
    <row r="22" spans="1:77" hidden="1" outlineLevel="3">
      <c r="A22" s="131"/>
      <c r="B22" s="131" t="str">
        <f>$B$15</f>
        <v>2Q</v>
      </c>
      <c r="C22" s="131" t="str">
        <f>$C$15</f>
        <v>Jul</v>
      </c>
      <c r="D22" s="131"/>
      <c r="E22" s="669">
        <v>53.6</v>
      </c>
      <c r="F22" s="661"/>
      <c r="G22" s="2060"/>
      <c r="H22" s="670"/>
      <c r="I22" s="671"/>
      <c r="J22" s="701"/>
      <c r="K22" s="701"/>
      <c r="L22" s="701"/>
      <c r="M22" s="701"/>
      <c r="N22" s="954"/>
      <c r="O22" s="953"/>
      <c r="P22" s="664"/>
      <c r="Q22" s="669">
        <v>47.8</v>
      </c>
      <c r="R22" s="661"/>
      <c r="S22" s="2060"/>
      <c r="T22" s="670"/>
      <c r="U22" s="671"/>
      <c r="V22" s="664"/>
      <c r="W22" s="1106"/>
      <c r="X22" s="713"/>
      <c r="Y22" s="2060"/>
      <c r="Z22" s="670"/>
      <c r="AA22" s="671"/>
      <c r="AB22" s="712"/>
      <c r="AC22" s="1106"/>
      <c r="AD22" s="1109"/>
      <c r="AE22" s="712"/>
      <c r="AF22" s="712"/>
      <c r="AG22" s="669"/>
      <c r="AH22" s="661"/>
      <c r="AI22" s="2060"/>
      <c r="AJ22" s="670"/>
      <c r="AK22" s="671"/>
      <c r="AL22" s="664"/>
      <c r="AM22" s="669">
        <f>+AM29/1.08</f>
        <v>17.92685185185185</v>
      </c>
      <c r="AN22" s="1780"/>
      <c r="AO22" s="670"/>
      <c r="AP22" s="671"/>
      <c r="AQ22" s="664"/>
      <c r="AR22" s="669"/>
      <c r="AS22" s="661"/>
      <c r="AT22" s="670"/>
      <c r="AU22" s="671"/>
      <c r="AV22" s="664"/>
      <c r="AW22" s="673"/>
      <c r="AX22" s="673"/>
      <c r="AY22" s="673"/>
      <c r="AZ22" s="674"/>
      <c r="BA22" s="665"/>
      <c r="BB22" s="666"/>
      <c r="BC22" s="673"/>
      <c r="BD22" s="673"/>
      <c r="BE22" s="691"/>
      <c r="BF22" s="673">
        <f>+H22+T22+AO22+AT22-BE22</f>
        <v>0</v>
      </c>
      <c r="BG22" s="962"/>
      <c r="BH22" s="672"/>
      <c r="BI22" s="131"/>
      <c r="BJ22" s="131"/>
      <c r="BK22" s="131"/>
      <c r="BL22" s="131"/>
      <c r="BM22" s="131"/>
      <c r="BN22" s="131"/>
      <c r="BO22" s="131"/>
      <c r="BP22" s="131"/>
      <c r="BQ22" s="131"/>
      <c r="BR22" s="131"/>
      <c r="BS22" s="131"/>
      <c r="BT22" s="131"/>
      <c r="BU22" s="131"/>
      <c r="BV22" s="131"/>
      <c r="BW22" s="131"/>
      <c r="BX22" s="131"/>
      <c r="BY22" s="131"/>
    </row>
    <row r="23" spans="1:77" hidden="1" outlineLevel="3">
      <c r="A23" s="131"/>
      <c r="B23" s="131" t="str">
        <f>$B$16</f>
        <v>3Q</v>
      </c>
      <c r="C23" s="131" t="str">
        <f>$C$16</f>
        <v>Oct</v>
      </c>
      <c r="D23" s="131"/>
      <c r="E23" s="669"/>
      <c r="F23" s="661"/>
      <c r="G23" s="2060"/>
      <c r="H23" s="670"/>
      <c r="I23" s="657"/>
      <c r="J23" s="709"/>
      <c r="K23" s="709"/>
      <c r="L23" s="709"/>
      <c r="M23" s="709"/>
      <c r="N23" s="954"/>
      <c r="O23" s="953"/>
      <c r="P23" s="664"/>
      <c r="Q23" s="669"/>
      <c r="R23" s="661"/>
      <c r="S23" s="2060"/>
      <c r="T23" s="670"/>
      <c r="U23" s="657"/>
      <c r="V23" s="664"/>
      <c r="W23" s="1106"/>
      <c r="X23" s="713"/>
      <c r="Y23" s="2060"/>
      <c r="Z23" s="670"/>
      <c r="AA23" s="657"/>
      <c r="AB23" s="712"/>
      <c r="AC23" s="1106"/>
      <c r="AD23" s="1109"/>
      <c r="AE23" s="712"/>
      <c r="AF23" s="712"/>
      <c r="AG23" s="669"/>
      <c r="AH23" s="661"/>
      <c r="AI23" s="2060"/>
      <c r="AJ23" s="670"/>
      <c r="AK23" s="657"/>
      <c r="AL23" s="664"/>
      <c r="AM23" s="669"/>
      <c r="AN23" s="1780"/>
      <c r="AO23" s="670"/>
      <c r="AP23" s="657"/>
      <c r="AQ23" s="664"/>
      <c r="AR23" s="669"/>
      <c r="AS23" s="661"/>
      <c r="AT23" s="670"/>
      <c r="AU23" s="657"/>
      <c r="AV23" s="664"/>
      <c r="AW23" s="673"/>
      <c r="AX23" s="673"/>
      <c r="AY23" s="673"/>
      <c r="AZ23" s="674"/>
      <c r="BA23" s="665"/>
      <c r="BB23" s="666"/>
      <c r="BC23" s="673"/>
      <c r="BD23" s="673"/>
      <c r="BE23" s="691"/>
      <c r="BF23" s="673">
        <f>+H23+T23+AO23+AT23-BE23</f>
        <v>0</v>
      </c>
      <c r="BG23" s="962"/>
      <c r="BH23" s="131"/>
      <c r="BI23" s="131"/>
      <c r="BJ23" s="131"/>
      <c r="BK23" s="131"/>
      <c r="BL23" s="131"/>
      <c r="BM23" s="131"/>
      <c r="BN23" s="131"/>
      <c r="BO23" s="131"/>
      <c r="BP23" s="131"/>
      <c r="BQ23" s="131"/>
      <c r="BR23" s="131"/>
      <c r="BS23" s="131"/>
      <c r="BT23" s="131"/>
      <c r="BU23" s="131"/>
      <c r="BV23" s="131"/>
      <c r="BW23" s="131"/>
      <c r="BX23" s="131"/>
      <c r="BY23" s="131"/>
    </row>
    <row r="24" spans="1:77" hidden="1" outlineLevel="3">
      <c r="A24" s="131"/>
      <c r="B24" s="131" t="str">
        <f>$B$17</f>
        <v>4Q</v>
      </c>
      <c r="C24" s="131" t="str">
        <f>$C$17</f>
        <v>Jan</v>
      </c>
      <c r="D24" s="131"/>
      <c r="E24" s="719">
        <f>+E31/1.13</f>
        <v>74.541592920353992</v>
      </c>
      <c r="F24" s="661"/>
      <c r="G24" s="2060"/>
      <c r="H24" s="676"/>
      <c r="I24" s="657"/>
      <c r="J24" s="709"/>
      <c r="K24" s="709"/>
      <c r="L24" s="709"/>
      <c r="M24" s="709"/>
      <c r="N24" s="954"/>
      <c r="O24" s="953"/>
      <c r="P24" s="664"/>
      <c r="Q24" s="675"/>
      <c r="R24" s="661"/>
      <c r="S24" s="2060"/>
      <c r="T24" s="676"/>
      <c r="U24" s="657"/>
      <c r="V24" s="664"/>
      <c r="W24" s="1106"/>
      <c r="X24" s="713"/>
      <c r="Y24" s="2060"/>
      <c r="Z24" s="676"/>
      <c r="AA24" s="657"/>
      <c r="AB24" s="712"/>
      <c r="AC24" s="1106"/>
      <c r="AD24" s="1109"/>
      <c r="AE24" s="712"/>
      <c r="AF24" s="712"/>
      <c r="AG24" s="669"/>
      <c r="AH24" s="661"/>
      <c r="AI24" s="2060"/>
      <c r="AJ24" s="670"/>
      <c r="AK24" s="657"/>
      <c r="AL24" s="664"/>
      <c r="AM24" s="675">
        <f>+AM31/1.12</f>
        <v>29.031249999999996</v>
      </c>
      <c r="AN24" s="1780"/>
      <c r="AO24" s="676"/>
      <c r="AP24" s="657"/>
      <c r="AQ24" s="664"/>
      <c r="AR24" s="675"/>
      <c r="AS24" s="661"/>
      <c r="AT24" s="676"/>
      <c r="AU24" s="657"/>
      <c r="AV24" s="664"/>
      <c r="AW24" s="677"/>
      <c r="AX24" s="673"/>
      <c r="AY24" s="673"/>
      <c r="AZ24" s="674"/>
      <c r="BA24" s="665"/>
      <c r="BB24" s="666"/>
      <c r="BC24" s="677"/>
      <c r="BD24" s="677"/>
      <c r="BE24" s="692"/>
      <c r="BF24" s="677">
        <f>+H24+T24+AO24+AT24-BE24</f>
        <v>0</v>
      </c>
      <c r="BG24" s="962"/>
      <c r="BH24" s="131"/>
      <c r="BI24" s="131"/>
      <c r="BJ24" s="131"/>
      <c r="BK24" s="131"/>
      <c r="BL24" s="131"/>
      <c r="BM24" s="131"/>
      <c r="BN24" s="131"/>
      <c r="BO24" s="131"/>
      <c r="BP24" s="131"/>
      <c r="BQ24" s="131"/>
      <c r="BR24" s="131"/>
      <c r="BS24" s="131"/>
      <c r="BT24" s="131"/>
      <c r="BU24" s="131"/>
      <c r="BV24" s="131"/>
      <c r="BW24" s="131"/>
      <c r="BX24" s="131"/>
      <c r="BY24" s="131"/>
    </row>
    <row r="25" spans="1:77" hidden="1" outlineLevel="3">
      <c r="A25" s="131"/>
      <c r="B25" s="131"/>
      <c r="C25" s="131" t="str">
        <f>$C$18</f>
        <v>Year</v>
      </c>
      <c r="D25" s="131"/>
      <c r="E25" s="720">
        <f>+E32/1.07</f>
        <v>225.35233644859812</v>
      </c>
      <c r="F25" s="661"/>
      <c r="G25" s="2060"/>
      <c r="H25" s="663"/>
      <c r="I25" s="671">
        <f>+H25/E25*100</f>
        <v>0</v>
      </c>
      <c r="J25" s="701"/>
      <c r="K25" s="701"/>
      <c r="L25" s="701"/>
      <c r="M25" s="701"/>
      <c r="N25" s="954"/>
      <c r="O25" s="953"/>
      <c r="P25" s="664"/>
      <c r="Q25" s="660"/>
      <c r="R25" s="661" t="e">
        <f>+(Q25/Q18-1)*100</f>
        <v>#DIV/0!</v>
      </c>
      <c r="S25" s="2060"/>
      <c r="T25" s="663"/>
      <c r="U25" s="657" t="e">
        <f>+T25/Q25*100</f>
        <v>#DIV/0!</v>
      </c>
      <c r="V25" s="664"/>
      <c r="W25" s="1106"/>
      <c r="X25" s="713"/>
      <c r="Y25" s="2060"/>
      <c r="Z25" s="663"/>
      <c r="AA25" s="657"/>
      <c r="AB25" s="712"/>
      <c r="AC25" s="1106"/>
      <c r="AD25" s="1109"/>
      <c r="AE25" s="712"/>
      <c r="AF25" s="712"/>
      <c r="AG25" s="660"/>
      <c r="AH25" s="661"/>
      <c r="AI25" s="2060"/>
      <c r="AJ25" s="663"/>
      <c r="AK25" s="657"/>
      <c r="AL25" s="664"/>
      <c r="AM25" s="660">
        <f>+AM32/1.09</f>
        <v>82.147706422018345</v>
      </c>
      <c r="AN25" s="1780"/>
      <c r="AO25" s="663"/>
      <c r="AP25" s="657"/>
      <c r="AQ25" s="664"/>
      <c r="AR25" s="660"/>
      <c r="AS25" s="661"/>
      <c r="AT25" s="663"/>
      <c r="AU25" s="657"/>
      <c r="AV25" s="664"/>
      <c r="AW25" s="673">
        <f>'qtrP&amp;L'!$J$14</f>
        <v>491.90599999999995</v>
      </c>
      <c r="AX25" s="667"/>
      <c r="AY25" s="679">
        <f>+E25+Q25+AM25+AR25</f>
        <v>307.50004287061648</v>
      </c>
      <c r="AZ25" s="668"/>
      <c r="BA25" s="665"/>
      <c r="BB25" s="666"/>
      <c r="BC25" s="667"/>
      <c r="BD25" s="667"/>
      <c r="BE25" s="667"/>
      <c r="BF25" s="667">
        <f>+H25+T25+AO25+AT25-BE25</f>
        <v>0</v>
      </c>
      <c r="BG25" s="961"/>
      <c r="BH25" s="131"/>
      <c r="BI25" s="131"/>
      <c r="BJ25" s="118">
        <f>+E25/$AY25</f>
        <v>0.73285302449020218</v>
      </c>
      <c r="BK25" s="118">
        <f>+Q25/$AY25</f>
        <v>0</v>
      </c>
      <c r="BL25" s="118">
        <f>+AM25/AY25</f>
        <v>0.26714697550979777</v>
      </c>
      <c r="BM25" s="118">
        <f>+AR25/AY25</f>
        <v>0</v>
      </c>
      <c r="BN25" s="131"/>
      <c r="BO25" s="131"/>
      <c r="BP25" s="131"/>
      <c r="BQ25" s="131"/>
      <c r="BR25" s="131"/>
      <c r="BS25" s="131"/>
      <c r="BT25" s="131"/>
      <c r="BU25" s="131"/>
      <c r="BV25" s="131"/>
      <c r="BW25" s="131"/>
      <c r="BX25" s="131"/>
      <c r="BY25" s="131"/>
    </row>
    <row r="26" spans="1:77" hidden="1" outlineLevel="3">
      <c r="A26" s="131"/>
      <c r="B26" s="131"/>
      <c r="C26" s="131"/>
      <c r="D26" s="131"/>
      <c r="E26" s="656"/>
      <c r="F26" s="233"/>
      <c r="G26" s="2061"/>
      <c r="H26" s="227"/>
      <c r="I26" s="657"/>
      <c r="J26" s="709"/>
      <c r="K26" s="709"/>
      <c r="L26" s="709"/>
      <c r="M26" s="709"/>
      <c r="N26" s="233"/>
      <c r="O26" s="953"/>
      <c r="P26" s="643"/>
      <c r="Q26" s="656"/>
      <c r="R26" s="233"/>
      <c r="S26" s="2061"/>
      <c r="T26" s="227"/>
      <c r="U26" s="657"/>
      <c r="V26" s="643"/>
      <c r="W26" s="1105"/>
      <c r="X26" s="893"/>
      <c r="Y26" s="2061"/>
      <c r="Z26" s="227"/>
      <c r="AA26" s="657"/>
      <c r="AB26" s="643"/>
      <c r="AC26" s="1105"/>
      <c r="AD26" s="1108"/>
      <c r="AE26" s="643"/>
      <c r="AF26" s="643"/>
      <c r="AG26" s="656"/>
      <c r="AH26" s="233"/>
      <c r="AI26" s="2061"/>
      <c r="AJ26" s="227"/>
      <c r="AK26" s="657"/>
      <c r="AL26" s="643"/>
      <c r="AM26" s="656"/>
      <c r="AN26" s="234"/>
      <c r="AO26" s="227"/>
      <c r="AP26" s="657"/>
      <c r="AQ26" s="643"/>
      <c r="AR26" s="656"/>
      <c r="AS26" s="233"/>
      <c r="AT26" s="227"/>
      <c r="AU26" s="657"/>
      <c r="AV26" s="643"/>
      <c r="AW26" s="658"/>
      <c r="AX26" s="658"/>
      <c r="AY26" s="658"/>
      <c r="AZ26" s="659"/>
      <c r="BA26" s="132"/>
      <c r="BB26" s="132"/>
      <c r="BC26" s="658"/>
      <c r="BD26" s="658"/>
      <c r="BE26" s="658"/>
      <c r="BF26" s="658"/>
      <c r="BG26" s="960"/>
      <c r="BH26" s="131"/>
      <c r="BI26" s="131"/>
      <c r="BJ26" s="131"/>
      <c r="BK26" s="131"/>
      <c r="BL26" s="131"/>
      <c r="BM26" s="131"/>
      <c r="BN26" s="131"/>
      <c r="BO26" s="131"/>
      <c r="BP26" s="131"/>
      <c r="BQ26" s="131"/>
      <c r="BR26" s="131"/>
      <c r="BS26" s="131"/>
      <c r="BT26" s="131"/>
      <c r="BU26" s="131"/>
      <c r="BV26" s="131"/>
      <c r="BW26" s="131"/>
      <c r="BX26" s="131"/>
      <c r="BY26" s="131"/>
    </row>
    <row r="27" spans="1:77" hidden="1" outlineLevel="3">
      <c r="A27" s="330"/>
      <c r="B27" s="2506">
        <f>+B20+1</f>
        <v>1992</v>
      </c>
      <c r="C27" s="2506"/>
      <c r="D27" s="330"/>
      <c r="E27" s="680"/>
      <c r="F27" s="233"/>
      <c r="G27" s="2061"/>
      <c r="H27" s="426"/>
      <c r="I27" s="550"/>
      <c r="J27" s="710"/>
      <c r="K27" s="710"/>
      <c r="L27" s="710"/>
      <c r="M27" s="710"/>
      <c r="N27" s="233"/>
      <c r="O27" s="953"/>
      <c r="P27" s="643"/>
      <c r="Q27" s="680"/>
      <c r="R27" s="233"/>
      <c r="S27" s="2061"/>
      <c r="T27" s="426"/>
      <c r="U27" s="550"/>
      <c r="V27" s="643"/>
      <c r="W27" s="1105"/>
      <c r="X27" s="893"/>
      <c r="Y27" s="2061"/>
      <c r="Z27" s="426"/>
      <c r="AA27" s="550"/>
      <c r="AB27" s="643"/>
      <c r="AC27" s="1105"/>
      <c r="AD27" s="1108"/>
      <c r="AE27" s="643"/>
      <c r="AF27" s="643"/>
      <c r="AG27" s="680"/>
      <c r="AH27" s="233"/>
      <c r="AI27" s="2061"/>
      <c r="AJ27" s="426"/>
      <c r="AK27" s="550"/>
      <c r="AL27" s="643"/>
      <c r="AM27" s="680"/>
      <c r="AN27" s="234"/>
      <c r="AO27" s="426"/>
      <c r="AP27" s="550"/>
      <c r="AQ27" s="643"/>
      <c r="AR27" s="680"/>
      <c r="AS27" s="233"/>
      <c r="AT27" s="426"/>
      <c r="AU27" s="550"/>
      <c r="AV27" s="643"/>
      <c r="AW27" s="681"/>
      <c r="AX27" s="681"/>
      <c r="AY27" s="681"/>
      <c r="AZ27" s="659"/>
      <c r="BA27" s="132"/>
      <c r="BB27" s="132"/>
      <c r="BC27" s="681"/>
      <c r="BD27" s="681"/>
      <c r="BE27" s="681"/>
      <c r="BF27" s="681"/>
      <c r="BG27" s="960"/>
      <c r="BH27" s="330"/>
      <c r="BI27" s="330"/>
      <c r="BJ27" s="330"/>
      <c r="BK27" s="330"/>
      <c r="BL27" s="330"/>
      <c r="BM27" s="330"/>
      <c r="BN27" s="330"/>
      <c r="BO27" s="330"/>
      <c r="BP27" s="330"/>
      <c r="BQ27" s="330"/>
      <c r="BR27" s="330"/>
      <c r="BS27" s="330"/>
      <c r="BT27" s="330"/>
      <c r="BU27" s="330"/>
      <c r="BV27" s="330"/>
      <c r="BW27" s="330"/>
      <c r="BX27" s="330"/>
      <c r="BY27" s="330"/>
    </row>
    <row r="28" spans="1:77" hidden="1" outlineLevel="3">
      <c r="A28" s="131"/>
      <c r="B28" s="131" t="str">
        <f>$B$14</f>
        <v>1Q</v>
      </c>
      <c r="C28" s="131" t="str">
        <f>$C$14</f>
        <v>Apr</v>
      </c>
      <c r="D28" s="131"/>
      <c r="E28" s="686">
        <f>100.125-E29</f>
        <v>46.478999999999999</v>
      </c>
      <c r="F28" s="661"/>
      <c r="G28" s="2060"/>
      <c r="H28" s="663"/>
      <c r="I28" s="657"/>
      <c r="J28" s="709"/>
      <c r="K28" s="709"/>
      <c r="L28" s="709"/>
      <c r="M28" s="709"/>
      <c r="N28" s="954"/>
      <c r="O28" s="953"/>
      <c r="P28" s="664"/>
      <c r="Q28" s="686">
        <f>91.12-Q29</f>
        <v>43.297000000000004</v>
      </c>
      <c r="R28" s="661"/>
      <c r="S28" s="2060"/>
      <c r="T28" s="663"/>
      <c r="U28" s="657"/>
      <c r="V28" s="664"/>
      <c r="W28" s="1106"/>
      <c r="X28" s="713"/>
      <c r="Y28" s="2060"/>
      <c r="Z28" s="663"/>
      <c r="AA28" s="657"/>
      <c r="AB28" s="712"/>
      <c r="AC28" s="1106"/>
      <c r="AD28" s="1109"/>
      <c r="AE28" s="712"/>
      <c r="AF28" s="712"/>
      <c r="AG28" s="686"/>
      <c r="AH28" s="661"/>
      <c r="AI28" s="2060"/>
      <c r="AJ28" s="663"/>
      <c r="AK28" s="657"/>
      <c r="AL28" s="664"/>
      <c r="AM28" s="660">
        <f>36.823-AM29</f>
        <v>17.462</v>
      </c>
      <c r="AN28" s="1780"/>
      <c r="AO28" s="663"/>
      <c r="AP28" s="657"/>
      <c r="AQ28" s="664"/>
      <c r="AR28" s="660"/>
      <c r="AS28" s="661"/>
      <c r="AT28" s="663"/>
      <c r="AU28" s="657"/>
      <c r="AV28" s="664"/>
      <c r="AW28" s="667"/>
      <c r="AX28" s="667"/>
      <c r="AY28" s="667"/>
      <c r="AZ28" s="668"/>
      <c r="BA28" s="665"/>
      <c r="BB28" s="666"/>
      <c r="BC28" s="667"/>
      <c r="BD28" s="667"/>
      <c r="BE28" s="695"/>
      <c r="BF28" s="667">
        <f>+H28+T28+AO28+AT28-BE28</f>
        <v>0</v>
      </c>
      <c r="BG28" s="961"/>
      <c r="BH28" s="131"/>
      <c r="BI28" s="131"/>
      <c r="BJ28" s="131"/>
      <c r="BK28" s="131"/>
      <c r="BL28" s="131"/>
      <c r="BM28" s="131"/>
      <c r="BN28" s="131"/>
      <c r="BO28" s="131"/>
      <c r="BP28" s="131"/>
      <c r="BQ28" s="131"/>
      <c r="BR28" s="131"/>
      <c r="BS28" s="131"/>
      <c r="BT28" s="131"/>
      <c r="BU28" s="131"/>
      <c r="BV28" s="131"/>
      <c r="BW28" s="131"/>
      <c r="BX28" s="131"/>
      <c r="BY28" s="131"/>
    </row>
    <row r="29" spans="1:77" hidden="1" outlineLevel="3">
      <c r="A29" s="131"/>
      <c r="B29" s="131" t="str">
        <f>$B$15</f>
        <v>2Q</v>
      </c>
      <c r="C29" s="131" t="str">
        <f>$C$15</f>
        <v>Jul</v>
      </c>
      <c r="D29" s="131"/>
      <c r="E29" s="669">
        <v>53.646000000000001</v>
      </c>
      <c r="F29" s="661"/>
      <c r="G29" s="2060"/>
      <c r="H29" s="670"/>
      <c r="I29" s="671"/>
      <c r="J29" s="701"/>
      <c r="K29" s="701"/>
      <c r="L29" s="701"/>
      <c r="M29" s="701"/>
      <c r="N29" s="954"/>
      <c r="O29" s="953"/>
      <c r="P29" s="664"/>
      <c r="Q29" s="669">
        <v>47.823</v>
      </c>
      <c r="R29" s="661"/>
      <c r="S29" s="2060"/>
      <c r="T29" s="670"/>
      <c r="U29" s="671"/>
      <c r="V29" s="664"/>
      <c r="W29" s="1106"/>
      <c r="X29" s="713"/>
      <c r="Y29" s="2060"/>
      <c r="Z29" s="670"/>
      <c r="AA29" s="671"/>
      <c r="AB29" s="712"/>
      <c r="AC29" s="1106"/>
      <c r="AD29" s="1109"/>
      <c r="AE29" s="712"/>
      <c r="AF29" s="712"/>
      <c r="AG29" s="669"/>
      <c r="AH29" s="661"/>
      <c r="AI29" s="2060"/>
      <c r="AJ29" s="670"/>
      <c r="AK29" s="671"/>
      <c r="AL29" s="664"/>
      <c r="AM29" s="669">
        <v>19.361000000000001</v>
      </c>
      <c r="AN29" s="1780"/>
      <c r="AO29" s="670"/>
      <c r="AP29" s="671"/>
      <c r="AQ29" s="664"/>
      <c r="AR29" s="669"/>
      <c r="AS29" s="661"/>
      <c r="AT29" s="670"/>
      <c r="AU29" s="671"/>
      <c r="AV29" s="664"/>
      <c r="AW29" s="673"/>
      <c r="AX29" s="673"/>
      <c r="AY29" s="673"/>
      <c r="AZ29" s="674"/>
      <c r="BA29" s="665"/>
      <c r="BB29" s="666"/>
      <c r="BC29" s="673"/>
      <c r="BD29" s="673"/>
      <c r="BE29" s="691"/>
      <c r="BF29" s="673">
        <f>+H29+T29+AO29+AT29-BE29</f>
        <v>0</v>
      </c>
      <c r="BG29" s="962"/>
      <c r="BH29" s="672"/>
      <c r="BI29" s="131"/>
      <c r="BJ29" s="131"/>
      <c r="BK29" s="131"/>
      <c r="BL29" s="131"/>
      <c r="BM29" s="131"/>
      <c r="BN29" s="131"/>
      <c r="BO29" s="131"/>
      <c r="BP29" s="131"/>
      <c r="BQ29" s="131"/>
      <c r="BR29" s="131"/>
      <c r="BS29" s="131"/>
      <c r="BT29" s="131"/>
      <c r="BU29" s="131"/>
      <c r="BV29" s="131"/>
      <c r="BW29" s="131"/>
      <c r="BX29" s="131"/>
      <c r="BY29" s="131"/>
    </row>
    <row r="30" spans="1:77" hidden="1" outlineLevel="3">
      <c r="A30" s="131"/>
      <c r="B30" s="131" t="str">
        <f>$B$16</f>
        <v>3Q</v>
      </c>
      <c r="C30" s="131" t="str">
        <f>$C$16</f>
        <v>Oct</v>
      </c>
      <c r="D30" s="131"/>
      <c r="E30" s="669"/>
      <c r="F30" s="661"/>
      <c r="G30" s="2060"/>
      <c r="H30" s="670"/>
      <c r="I30" s="657"/>
      <c r="J30" s="709"/>
      <c r="K30" s="709"/>
      <c r="L30" s="709"/>
      <c r="M30" s="709"/>
      <c r="N30" s="954"/>
      <c r="O30" s="953"/>
      <c r="P30" s="664"/>
      <c r="Q30" s="669"/>
      <c r="R30" s="661"/>
      <c r="S30" s="2060"/>
      <c r="T30" s="670"/>
      <c r="U30" s="657"/>
      <c r="V30" s="664"/>
      <c r="W30" s="1106"/>
      <c r="X30" s="713"/>
      <c r="Y30" s="2060"/>
      <c r="Z30" s="670"/>
      <c r="AA30" s="657"/>
      <c r="AB30" s="712"/>
      <c r="AC30" s="1106"/>
      <c r="AD30" s="1109"/>
      <c r="AE30" s="712"/>
      <c r="AF30" s="712"/>
      <c r="AG30" s="669"/>
      <c r="AH30" s="661"/>
      <c r="AI30" s="2060"/>
      <c r="AJ30" s="670"/>
      <c r="AK30" s="657"/>
      <c r="AL30" s="664"/>
      <c r="AM30" s="669"/>
      <c r="AN30" s="1780"/>
      <c r="AO30" s="670"/>
      <c r="AP30" s="657"/>
      <c r="AQ30" s="664"/>
      <c r="AR30" s="669"/>
      <c r="AS30" s="661"/>
      <c r="AT30" s="670"/>
      <c r="AU30" s="657"/>
      <c r="AV30" s="664"/>
      <c r="AW30" s="673"/>
      <c r="AX30" s="673"/>
      <c r="AY30" s="673"/>
      <c r="AZ30" s="674"/>
      <c r="BA30" s="665"/>
      <c r="BB30" s="666"/>
      <c r="BC30" s="673"/>
      <c r="BD30" s="673"/>
      <c r="BE30" s="691"/>
      <c r="BF30" s="673">
        <f>+H30+T30+AO30+AT30-BE30</f>
        <v>0</v>
      </c>
      <c r="BG30" s="962"/>
      <c r="BH30" s="131"/>
      <c r="BI30" s="131"/>
      <c r="BJ30" s="131"/>
      <c r="BK30" s="131"/>
      <c r="BL30" s="131"/>
      <c r="BM30" s="131"/>
      <c r="BN30" s="131"/>
      <c r="BO30" s="131"/>
      <c r="BP30" s="131"/>
      <c r="BQ30" s="131"/>
      <c r="BR30" s="131"/>
      <c r="BS30" s="131"/>
      <c r="BT30" s="131"/>
      <c r="BU30" s="131"/>
      <c r="BV30" s="131"/>
      <c r="BW30" s="131"/>
      <c r="BX30" s="131"/>
      <c r="BY30" s="131"/>
    </row>
    <row r="31" spans="1:77" hidden="1" outlineLevel="3">
      <c r="A31" s="131"/>
      <c r="B31" s="131" t="str">
        <f>$B$17</f>
        <v>4Q</v>
      </c>
      <c r="C31" s="131" t="str">
        <f>$C$17</f>
        <v>Jan</v>
      </c>
      <c r="D31" s="131"/>
      <c r="E31" s="675">
        <v>84.231999999999999</v>
      </c>
      <c r="F31" s="661">
        <f>+(E31/E24-1)*100</f>
        <v>12.999999999999989</v>
      </c>
      <c r="G31" s="2060"/>
      <c r="H31" s="670"/>
      <c r="I31" s="657"/>
      <c r="J31" s="709"/>
      <c r="K31" s="709"/>
      <c r="L31" s="709"/>
      <c r="M31" s="709"/>
      <c r="N31" s="954"/>
      <c r="O31" s="953"/>
      <c r="P31" s="664"/>
      <c r="Q31" s="669"/>
      <c r="R31" s="661"/>
      <c r="S31" s="2060"/>
      <c r="T31" s="670"/>
      <c r="U31" s="657"/>
      <c r="V31" s="664"/>
      <c r="W31" s="1106"/>
      <c r="X31" s="713"/>
      <c r="Y31" s="2060"/>
      <c r="Z31" s="670"/>
      <c r="AA31" s="657"/>
      <c r="AB31" s="712"/>
      <c r="AC31" s="1106"/>
      <c r="AD31" s="1109"/>
      <c r="AE31" s="712"/>
      <c r="AF31" s="712"/>
      <c r="AG31" s="669"/>
      <c r="AH31" s="661"/>
      <c r="AI31" s="2060"/>
      <c r="AJ31" s="670"/>
      <c r="AK31" s="657"/>
      <c r="AL31" s="664"/>
      <c r="AM31" s="669">
        <v>32.515000000000001</v>
      </c>
      <c r="AN31" s="1780">
        <f>+(AM31/AM24-1)*100</f>
        <v>12.000000000000011</v>
      </c>
      <c r="AO31" s="670"/>
      <c r="AP31" s="657"/>
      <c r="AQ31" s="664"/>
      <c r="AR31" s="669"/>
      <c r="AS31" s="661"/>
      <c r="AT31" s="670"/>
      <c r="AU31" s="657"/>
      <c r="AV31" s="664"/>
      <c r="AW31" s="677"/>
      <c r="AX31" s="673"/>
      <c r="AY31" s="673"/>
      <c r="AZ31" s="674"/>
      <c r="BA31" s="665"/>
      <c r="BB31" s="666"/>
      <c r="BC31" s="677"/>
      <c r="BD31" s="677"/>
      <c r="BE31" s="692"/>
      <c r="BF31" s="677">
        <f>+H31+T31+AO31+AT31-BE31</f>
        <v>0</v>
      </c>
      <c r="BG31" s="962"/>
      <c r="BH31" s="131"/>
      <c r="BI31" s="131"/>
      <c r="BJ31" s="131"/>
      <c r="BK31" s="131"/>
      <c r="BL31" s="131"/>
      <c r="BM31" s="131"/>
      <c r="BN31" s="131"/>
      <c r="BO31" s="131"/>
      <c r="BP31" s="131"/>
      <c r="BQ31" s="131"/>
      <c r="BR31" s="131"/>
      <c r="BS31" s="131"/>
      <c r="BT31" s="131"/>
      <c r="BU31" s="131"/>
      <c r="BV31" s="131"/>
      <c r="BW31" s="131"/>
      <c r="BX31" s="131"/>
      <c r="BY31" s="131"/>
    </row>
    <row r="32" spans="1:77" hidden="1" outlineLevel="3">
      <c r="A32" s="131"/>
      <c r="B32" s="131"/>
      <c r="C32" s="131" t="str">
        <f>$C$18</f>
        <v>Year</v>
      </c>
      <c r="D32" s="131"/>
      <c r="E32" s="660">
        <v>241.12700000000001</v>
      </c>
      <c r="F32" s="661">
        <f>+(E32/E25-1)*100</f>
        <v>7.0000000000000062</v>
      </c>
      <c r="G32" s="2060">
        <v>3.2</v>
      </c>
      <c r="H32" s="663"/>
      <c r="I32" s="671">
        <f>+H32/E32*100</f>
        <v>0</v>
      </c>
      <c r="J32" s="701"/>
      <c r="K32" s="701"/>
      <c r="L32" s="701"/>
      <c r="M32" s="701"/>
      <c r="N32" s="954"/>
      <c r="O32" s="953"/>
      <c r="P32" s="664"/>
      <c r="Q32" s="660"/>
      <c r="R32" s="661" t="e">
        <f>+(Q32/Q25-1)*100</f>
        <v>#DIV/0!</v>
      </c>
      <c r="S32" s="2060"/>
      <c r="T32" s="663"/>
      <c r="U32" s="657" t="e">
        <f>+T32/Q32*100</f>
        <v>#DIV/0!</v>
      </c>
      <c r="V32" s="664"/>
      <c r="W32" s="1106"/>
      <c r="X32" s="713"/>
      <c r="Y32" s="2060"/>
      <c r="Z32" s="663"/>
      <c r="AA32" s="657"/>
      <c r="AB32" s="712"/>
      <c r="AC32" s="1106"/>
      <c r="AD32" s="1109"/>
      <c r="AE32" s="712"/>
      <c r="AF32" s="712"/>
      <c r="AG32" s="660"/>
      <c r="AH32" s="661"/>
      <c r="AI32" s="2060"/>
      <c r="AJ32" s="663"/>
      <c r="AK32" s="657"/>
      <c r="AL32" s="664"/>
      <c r="AM32" s="660">
        <v>89.540999999999997</v>
      </c>
      <c r="AN32" s="1780">
        <f>+(AM32/AM25-1)*100</f>
        <v>9.0000000000000071</v>
      </c>
      <c r="AO32" s="663"/>
      <c r="AP32" s="657"/>
      <c r="AQ32" s="664"/>
      <c r="AR32" s="660"/>
      <c r="AS32" s="661"/>
      <c r="AT32" s="663"/>
      <c r="AU32" s="657"/>
      <c r="AV32" s="664"/>
      <c r="AW32" s="673">
        <f>'qtrP&amp;L'!$N$14</f>
        <v>486.39600000000007</v>
      </c>
      <c r="AX32" s="667"/>
      <c r="AY32" s="679">
        <f>+E32+Q32+AM32+AR32</f>
        <v>330.66800000000001</v>
      </c>
      <c r="AZ32" s="668"/>
      <c r="BA32" s="665"/>
      <c r="BB32" s="666"/>
      <c r="BC32" s="667"/>
      <c r="BD32" s="667"/>
      <c r="BE32" s="667"/>
      <c r="BF32" s="667">
        <f>+H32+T32+AO32+AT32-BE32</f>
        <v>0</v>
      </c>
      <c r="BG32" s="961"/>
      <c r="BH32" s="131"/>
      <c r="BI32" s="131"/>
      <c r="BJ32" s="118">
        <f>+E32/$AY32</f>
        <v>0.72921177737186549</v>
      </c>
      <c r="BK32" s="118">
        <f>+Q32/$AY32</f>
        <v>0</v>
      </c>
      <c r="BL32" s="118">
        <f>+AM32/AY32</f>
        <v>0.27078822262813457</v>
      </c>
      <c r="BM32" s="118">
        <f>+AR32/AY32</f>
        <v>0</v>
      </c>
      <c r="BN32" s="131"/>
      <c r="BO32" s="131"/>
      <c r="BP32" s="131"/>
      <c r="BQ32" s="131"/>
      <c r="BR32" s="131"/>
      <c r="BS32" s="131"/>
      <c r="BT32" s="131"/>
      <c r="BU32" s="131"/>
      <c r="BV32" s="131"/>
      <c r="BW32" s="131"/>
      <c r="BX32" s="131"/>
      <c r="BY32" s="131"/>
    </row>
    <row r="33" spans="1:77" hidden="1" outlineLevel="3">
      <c r="A33" s="131"/>
      <c r="B33" s="131"/>
      <c r="C33" s="131"/>
      <c r="D33" s="131"/>
      <c r="E33" s="656"/>
      <c r="F33" s="233"/>
      <c r="G33" s="2061"/>
      <c r="H33" s="227"/>
      <c r="I33" s="657"/>
      <c r="J33" s="709"/>
      <c r="K33" s="709"/>
      <c r="L33" s="709"/>
      <c r="M33" s="709"/>
      <c r="N33" s="233"/>
      <c r="O33" s="953"/>
      <c r="P33" s="643"/>
      <c r="Q33" s="656"/>
      <c r="R33" s="233"/>
      <c r="S33" s="2061"/>
      <c r="T33" s="227"/>
      <c r="U33" s="657"/>
      <c r="V33" s="643"/>
      <c r="W33" s="1105"/>
      <c r="X33" s="893"/>
      <c r="Y33" s="2061"/>
      <c r="Z33" s="227"/>
      <c r="AA33" s="657"/>
      <c r="AB33" s="643"/>
      <c r="AC33" s="1105"/>
      <c r="AD33" s="1108"/>
      <c r="AE33" s="643"/>
      <c r="AF33" s="643"/>
      <c r="AG33" s="656"/>
      <c r="AH33" s="233"/>
      <c r="AI33" s="2061"/>
      <c r="AJ33" s="227"/>
      <c r="AK33" s="657"/>
      <c r="AL33" s="643"/>
      <c r="AM33" s="656"/>
      <c r="AN33" s="234"/>
      <c r="AO33" s="227"/>
      <c r="AP33" s="657"/>
      <c r="AQ33" s="643"/>
      <c r="AR33" s="656"/>
      <c r="AS33" s="233"/>
      <c r="AT33" s="227"/>
      <c r="AU33" s="657"/>
      <c r="AV33" s="643"/>
      <c r="AW33" s="658"/>
      <c r="AX33" s="658"/>
      <c r="AY33" s="658"/>
      <c r="AZ33" s="659"/>
      <c r="BA33" s="132"/>
      <c r="BB33" s="132"/>
      <c r="BC33" s="658"/>
      <c r="BD33" s="658"/>
      <c r="BE33" s="658"/>
      <c r="BF33" s="658"/>
      <c r="BG33" s="960"/>
      <c r="BH33" s="131"/>
      <c r="BI33" s="131"/>
      <c r="BJ33" s="131"/>
      <c r="BK33" s="131"/>
      <c r="BL33" s="131"/>
      <c r="BM33" s="131"/>
      <c r="BN33" s="131"/>
      <c r="BO33" s="131"/>
      <c r="BP33" s="131"/>
      <c r="BQ33" s="131"/>
      <c r="BR33" s="131"/>
      <c r="BS33" s="131"/>
      <c r="BT33" s="131"/>
      <c r="BU33" s="131"/>
      <c r="BV33" s="131"/>
      <c r="BW33" s="131"/>
      <c r="BX33" s="131"/>
      <c r="BY33" s="131"/>
    </row>
    <row r="34" spans="1:77" hidden="1" outlineLevel="3">
      <c r="A34" s="132"/>
      <c r="B34" s="2506">
        <f>+B27+1</f>
        <v>1993</v>
      </c>
      <c r="C34" s="2506"/>
      <c r="D34" s="132"/>
      <c r="E34" s="232"/>
      <c r="F34" s="233"/>
      <c r="G34" s="2061"/>
      <c r="H34" s="138"/>
      <c r="I34" s="235"/>
      <c r="J34" s="711"/>
      <c r="K34" s="711"/>
      <c r="L34" s="711"/>
      <c r="M34" s="711"/>
      <c r="N34" s="233"/>
      <c r="O34" s="953"/>
      <c r="P34" s="643"/>
      <c r="Q34" s="232"/>
      <c r="R34" s="233"/>
      <c r="S34" s="2061"/>
      <c r="T34" s="138"/>
      <c r="U34" s="235"/>
      <c r="V34" s="643"/>
      <c r="W34" s="1105"/>
      <c r="X34" s="893"/>
      <c r="Y34" s="2061"/>
      <c r="Z34" s="138"/>
      <c r="AA34" s="235"/>
      <c r="AB34" s="643"/>
      <c r="AC34" s="1105"/>
      <c r="AD34" s="1108"/>
      <c r="AE34" s="643"/>
      <c r="AF34" s="643"/>
      <c r="AG34" s="232"/>
      <c r="AH34" s="233"/>
      <c r="AI34" s="2061"/>
      <c r="AJ34" s="138"/>
      <c r="AK34" s="235"/>
      <c r="AL34" s="643"/>
      <c r="AM34" s="232"/>
      <c r="AN34" s="234"/>
      <c r="AO34" s="138"/>
      <c r="AP34" s="235"/>
      <c r="AQ34" s="643"/>
      <c r="AR34" s="232"/>
      <c r="AS34" s="233"/>
      <c r="AT34" s="138"/>
      <c r="AU34" s="235"/>
      <c r="AV34" s="643"/>
      <c r="AW34" s="587"/>
      <c r="AX34" s="587"/>
      <c r="AY34" s="587"/>
      <c r="AZ34" s="659"/>
      <c r="BA34" s="132"/>
      <c r="BB34" s="132"/>
      <c r="BC34" s="587"/>
      <c r="BD34" s="587"/>
      <c r="BE34" s="587"/>
      <c r="BF34" s="587"/>
      <c r="BG34" s="960"/>
      <c r="BH34" s="132"/>
      <c r="BI34" s="132"/>
      <c r="BJ34" s="132"/>
      <c r="BK34" s="132"/>
      <c r="BL34" s="132"/>
      <c r="BM34" s="132"/>
      <c r="BN34" s="132"/>
      <c r="BO34" s="1145"/>
      <c r="BP34" s="1145"/>
      <c r="BQ34" s="1145"/>
      <c r="BR34" s="1145"/>
      <c r="BS34" s="1145"/>
      <c r="BT34" s="1145"/>
      <c r="BU34" s="132"/>
      <c r="BV34" s="132"/>
      <c r="BW34" s="132"/>
      <c r="BX34" s="132"/>
      <c r="BY34" s="132"/>
    </row>
    <row r="35" spans="1:77" hidden="1" outlineLevel="3">
      <c r="A35" s="131"/>
      <c r="B35" s="131" t="str">
        <f>$B$14</f>
        <v>1Q</v>
      </c>
      <c r="C35" s="131" t="str">
        <f>$C$14</f>
        <v>Apr</v>
      </c>
      <c r="D35" s="131"/>
      <c r="E35" s="660"/>
      <c r="F35" s="661"/>
      <c r="G35" s="2060"/>
      <c r="H35" s="663"/>
      <c r="I35" s="657"/>
      <c r="J35" s="709"/>
      <c r="K35" s="709"/>
      <c r="L35" s="709"/>
      <c r="M35" s="709"/>
      <c r="N35" s="954"/>
      <c r="O35" s="953"/>
      <c r="P35" s="664"/>
      <c r="Q35" s="660">
        <v>42.87</v>
      </c>
      <c r="R35" s="661"/>
      <c r="S35" s="2060"/>
      <c r="T35" s="663"/>
      <c r="U35" s="657"/>
      <c r="V35" s="664"/>
      <c r="W35" s="1106"/>
      <c r="X35" s="713"/>
      <c r="Y35" s="2060"/>
      <c r="Z35" s="663"/>
      <c r="AA35" s="657"/>
      <c r="AB35" s="712"/>
      <c r="AC35" s="1106"/>
      <c r="AD35" s="1109"/>
      <c r="AE35" s="712"/>
      <c r="AF35" s="712"/>
      <c r="AG35" s="660"/>
      <c r="AH35" s="661"/>
      <c r="AI35" s="2060"/>
      <c r="AJ35" s="663"/>
      <c r="AK35" s="657"/>
      <c r="AL35" s="664"/>
      <c r="AM35" s="660"/>
      <c r="AN35" s="1780"/>
      <c r="AO35" s="663"/>
      <c r="AP35" s="657"/>
      <c r="AQ35" s="664"/>
      <c r="AR35" s="660"/>
      <c r="AS35" s="661"/>
      <c r="AT35" s="663"/>
      <c r="AU35" s="657"/>
      <c r="AV35" s="664"/>
      <c r="AW35" s="667"/>
      <c r="AX35" s="667"/>
      <c r="AY35" s="667"/>
      <c r="AZ35" s="668"/>
      <c r="BA35" s="665"/>
      <c r="BB35" s="666"/>
      <c r="BC35" s="667"/>
      <c r="BD35" s="667"/>
      <c r="BE35" s="695"/>
      <c r="BF35" s="667">
        <f>+H35+T35+AO35+AT35-BE35</f>
        <v>0</v>
      </c>
      <c r="BG35" s="961"/>
      <c r="BH35" s="131"/>
      <c r="BI35" s="131"/>
      <c r="BJ35" s="131"/>
      <c r="BK35" s="131"/>
      <c r="BL35" s="131"/>
      <c r="BM35" s="131"/>
      <c r="BN35" s="131"/>
      <c r="BO35" s="131"/>
      <c r="BP35" s="131"/>
      <c r="BQ35" s="131"/>
      <c r="BR35" s="131"/>
      <c r="BS35" s="131"/>
      <c r="BT35" s="131"/>
      <c r="BU35" s="131"/>
      <c r="BV35" s="131"/>
      <c r="BW35" s="131"/>
      <c r="BX35" s="131"/>
      <c r="BY35" s="131"/>
    </row>
    <row r="36" spans="1:77" hidden="1" outlineLevel="3">
      <c r="A36" s="131"/>
      <c r="B36" s="131" t="str">
        <f>$B$15</f>
        <v>2Q</v>
      </c>
      <c r="C36" s="131" t="str">
        <f>$C$15</f>
        <v>Jul</v>
      </c>
      <c r="D36" s="131"/>
      <c r="E36" s="669"/>
      <c r="F36" s="661"/>
      <c r="G36" s="2060"/>
      <c r="H36" s="670"/>
      <c r="I36" s="671"/>
      <c r="J36" s="701"/>
      <c r="K36" s="701"/>
      <c r="L36" s="701"/>
      <c r="M36" s="701"/>
      <c r="N36" s="954"/>
      <c r="O36" s="953"/>
      <c r="P36" s="664"/>
      <c r="Q36" s="669">
        <f>129.244-Q35-Q37</f>
        <v>33.467999999999996</v>
      </c>
      <c r="R36" s="661"/>
      <c r="S36" s="2060"/>
      <c r="T36" s="670"/>
      <c r="U36" s="671"/>
      <c r="V36" s="664"/>
      <c r="W36" s="1106"/>
      <c r="X36" s="713"/>
      <c r="Y36" s="2060"/>
      <c r="Z36" s="670"/>
      <c r="AA36" s="671"/>
      <c r="AB36" s="712"/>
      <c r="AC36" s="1106"/>
      <c r="AD36" s="1109"/>
      <c r="AE36" s="712"/>
      <c r="AF36" s="712"/>
      <c r="AG36" s="669"/>
      <c r="AH36" s="661"/>
      <c r="AI36" s="2060"/>
      <c r="AJ36" s="670"/>
      <c r="AK36" s="671"/>
      <c r="AL36" s="664"/>
      <c r="AM36" s="669"/>
      <c r="AN36" s="1780"/>
      <c r="AO36" s="670"/>
      <c r="AP36" s="671"/>
      <c r="AQ36" s="664"/>
      <c r="AR36" s="669"/>
      <c r="AS36" s="661"/>
      <c r="AT36" s="670"/>
      <c r="AU36" s="671"/>
      <c r="AV36" s="664"/>
      <c r="AW36" s="673"/>
      <c r="AX36" s="673"/>
      <c r="AY36" s="673"/>
      <c r="AZ36" s="674"/>
      <c r="BA36" s="665"/>
      <c r="BB36" s="666"/>
      <c r="BC36" s="673"/>
      <c r="BD36" s="673"/>
      <c r="BE36" s="691"/>
      <c r="BF36" s="673">
        <f>+H36+T36+AO36+AT36-BE36</f>
        <v>0</v>
      </c>
      <c r="BG36" s="962"/>
      <c r="BH36" s="672"/>
      <c r="BI36" s="131"/>
      <c r="BJ36" s="131"/>
      <c r="BK36" s="131"/>
      <c r="BL36" s="131"/>
      <c r="BM36" s="131"/>
      <c r="BN36" s="131"/>
      <c r="BO36" s="131"/>
      <c r="BP36" s="131"/>
      <c r="BQ36" s="131"/>
      <c r="BR36" s="131"/>
      <c r="BS36" s="131"/>
      <c r="BT36" s="131"/>
      <c r="BU36" s="131"/>
      <c r="BV36" s="131"/>
      <c r="BW36" s="131"/>
      <c r="BX36" s="131"/>
      <c r="BY36" s="131"/>
    </row>
    <row r="37" spans="1:77" hidden="1" outlineLevel="3">
      <c r="A37" s="131"/>
      <c r="B37" s="131" t="str">
        <f>$B$16</f>
        <v>3Q</v>
      </c>
      <c r="C37" s="131" t="str">
        <f>$C$16</f>
        <v>Oct</v>
      </c>
      <c r="D37" s="131"/>
      <c r="E37" s="669">
        <v>62.584000000000003</v>
      </c>
      <c r="F37" s="661"/>
      <c r="G37" s="2060"/>
      <c r="H37" s="670"/>
      <c r="I37" s="657"/>
      <c r="J37" s="709"/>
      <c r="K37" s="709"/>
      <c r="L37" s="709"/>
      <c r="M37" s="709"/>
      <c r="N37" s="954"/>
      <c r="O37" s="953"/>
      <c r="P37" s="664"/>
      <c r="Q37" s="669">
        <v>52.905999999999999</v>
      </c>
      <c r="R37" s="661"/>
      <c r="S37" s="2060"/>
      <c r="T37" s="670"/>
      <c r="U37" s="657"/>
      <c r="V37" s="664"/>
      <c r="W37" s="1106"/>
      <c r="X37" s="713"/>
      <c r="Y37" s="2060"/>
      <c r="Z37" s="670"/>
      <c r="AA37" s="657"/>
      <c r="AB37" s="712"/>
      <c r="AC37" s="1106"/>
      <c r="AD37" s="1109"/>
      <c r="AE37" s="712"/>
      <c r="AF37" s="712"/>
      <c r="AG37" s="669"/>
      <c r="AH37" s="661"/>
      <c r="AI37" s="2060"/>
      <c r="AJ37" s="670"/>
      <c r="AK37" s="657"/>
      <c r="AL37" s="664"/>
      <c r="AM37" s="669">
        <v>20.260000000000002</v>
      </c>
      <c r="AN37" s="1780"/>
      <c r="AO37" s="670"/>
      <c r="AP37" s="657"/>
      <c r="AQ37" s="664"/>
      <c r="AR37" s="669"/>
      <c r="AS37" s="661"/>
      <c r="AT37" s="670"/>
      <c r="AU37" s="657"/>
      <c r="AV37" s="664"/>
      <c r="AW37" s="673"/>
      <c r="AX37" s="673"/>
      <c r="AY37" s="673"/>
      <c r="AZ37" s="674"/>
      <c r="BA37" s="665"/>
      <c r="BB37" s="666"/>
      <c r="BC37" s="673"/>
      <c r="BD37" s="673"/>
      <c r="BE37" s="691"/>
      <c r="BF37" s="673">
        <f>+H37+T37+AO37+AT37-BE37</f>
        <v>0</v>
      </c>
      <c r="BG37" s="962"/>
      <c r="BH37" s="131"/>
      <c r="BI37" s="131"/>
      <c r="BJ37" s="131"/>
      <c r="BK37" s="131"/>
      <c r="BL37" s="131"/>
      <c r="BM37" s="131"/>
      <c r="BN37" s="131"/>
      <c r="BO37" s="131"/>
      <c r="BP37" s="131"/>
      <c r="BQ37" s="131"/>
      <c r="BR37" s="131"/>
      <c r="BS37" s="131"/>
      <c r="BT37" s="131"/>
      <c r="BU37" s="131"/>
      <c r="BV37" s="131"/>
      <c r="BW37" s="131"/>
      <c r="BX37" s="131"/>
      <c r="BY37" s="131"/>
    </row>
    <row r="38" spans="1:77" hidden="1" outlineLevel="3">
      <c r="A38" s="131"/>
      <c r="B38" s="131" t="str">
        <f>$B$17</f>
        <v>4Q</v>
      </c>
      <c r="C38" s="131" t="str">
        <f>$C$17</f>
        <v>Jan</v>
      </c>
      <c r="D38" s="131"/>
      <c r="E38" s="675">
        <v>96.94</v>
      </c>
      <c r="F38" s="661">
        <f>+(E38/E31-1)*100</f>
        <v>15.086902839775851</v>
      </c>
      <c r="G38" s="2060"/>
      <c r="H38" s="670"/>
      <c r="I38" s="657"/>
      <c r="J38" s="709"/>
      <c r="K38" s="709"/>
      <c r="L38" s="709"/>
      <c r="M38" s="709"/>
      <c r="N38" s="954"/>
      <c r="O38" s="953"/>
      <c r="P38" s="664"/>
      <c r="Q38" s="699">
        <f>Q39-SUM(Q35:Q37)</f>
        <v>81.122000000000014</v>
      </c>
      <c r="R38" s="661"/>
      <c r="S38" s="2060"/>
      <c r="T38" s="670"/>
      <c r="U38" s="657"/>
      <c r="V38" s="664"/>
      <c r="W38" s="1106"/>
      <c r="X38" s="713"/>
      <c r="Y38" s="2060"/>
      <c r="Z38" s="670"/>
      <c r="AA38" s="657"/>
      <c r="AB38" s="712"/>
      <c r="AC38" s="1106"/>
      <c r="AD38" s="1109"/>
      <c r="AE38" s="712"/>
      <c r="AF38" s="712"/>
      <c r="AG38" s="1789"/>
      <c r="AH38" s="661"/>
      <c r="AI38" s="2060"/>
      <c r="AJ38" s="670"/>
      <c r="AK38" s="657"/>
      <c r="AL38" s="664"/>
      <c r="AM38" s="669">
        <v>29.975000000000001</v>
      </c>
      <c r="AN38" s="1780">
        <f>+(AM38/AM31-1)*100</f>
        <v>-7.8117791788405277</v>
      </c>
      <c r="AO38" s="670"/>
      <c r="AP38" s="657"/>
      <c r="AQ38" s="664"/>
      <c r="AR38" s="669"/>
      <c r="AS38" s="661"/>
      <c r="AT38" s="670"/>
      <c r="AU38" s="657"/>
      <c r="AV38" s="664"/>
      <c r="AW38" s="677"/>
      <c r="AX38" s="673"/>
      <c r="AY38" s="673"/>
      <c r="AZ38" s="674"/>
      <c r="BA38" s="665"/>
      <c r="BB38" s="666"/>
      <c r="BC38" s="677"/>
      <c r="BD38" s="677"/>
      <c r="BE38" s="692"/>
      <c r="BF38" s="677">
        <f>+H38+T38+AO38+AT38-BE38</f>
        <v>0</v>
      </c>
      <c r="BG38" s="962"/>
      <c r="BH38" s="131"/>
      <c r="BI38" s="131"/>
      <c r="BJ38" s="131"/>
      <c r="BK38" s="131"/>
      <c r="BL38" s="131"/>
      <c r="BM38" s="131"/>
      <c r="BN38" s="131"/>
      <c r="BO38" s="131"/>
      <c r="BP38" s="131"/>
      <c r="BQ38" s="131"/>
      <c r="BR38" s="131"/>
      <c r="BS38" s="131"/>
      <c r="BT38" s="131"/>
      <c r="BU38" s="131"/>
      <c r="BV38" s="131"/>
      <c r="BW38" s="131"/>
      <c r="BX38" s="131"/>
      <c r="BY38" s="131"/>
    </row>
    <row r="39" spans="1:77" hidden="1" outlineLevel="3">
      <c r="A39" s="131"/>
      <c r="B39" s="131"/>
      <c r="C39" s="131" t="str">
        <f>$C$18</f>
        <v>Year</v>
      </c>
      <c r="D39" s="131"/>
      <c r="E39" s="660">
        <v>268.70600000000002</v>
      </c>
      <c r="F39" s="661">
        <f>+(E39/E32-1)*100</f>
        <v>11.437541212721936</v>
      </c>
      <c r="G39" s="2060">
        <v>8</v>
      </c>
      <c r="H39" s="663"/>
      <c r="I39" s="671">
        <f>+H39/E39*100</f>
        <v>0</v>
      </c>
      <c r="J39" s="701"/>
      <c r="K39" s="701"/>
      <c r="L39" s="701"/>
      <c r="M39" s="701"/>
      <c r="N39" s="954"/>
      <c r="O39" s="953"/>
      <c r="P39" s="664"/>
      <c r="Q39" s="660">
        <v>210.36600000000001</v>
      </c>
      <c r="R39" s="661" t="e">
        <f>+(Q39/Q32-1)*100</f>
        <v>#DIV/0!</v>
      </c>
      <c r="S39" s="2060"/>
      <c r="T39" s="663"/>
      <c r="U39" s="657">
        <f>+T39/Q39*100</f>
        <v>0</v>
      </c>
      <c r="V39" s="664"/>
      <c r="W39" s="1104"/>
      <c r="X39" s="798">
        <v>-14</v>
      </c>
      <c r="Y39" s="2060"/>
      <c r="Z39" s="663"/>
      <c r="AA39" s="657"/>
      <c r="AB39" s="723"/>
      <c r="AC39" s="1104"/>
      <c r="AD39" s="1109"/>
      <c r="AE39" s="723">
        <v>2</v>
      </c>
      <c r="AF39" s="723"/>
      <c r="AG39" s="660"/>
      <c r="AH39" s="661"/>
      <c r="AI39" s="2060"/>
      <c r="AJ39" s="663"/>
      <c r="AK39" s="657"/>
      <c r="AL39" s="664"/>
      <c r="AM39" s="660">
        <v>87.429000000000002</v>
      </c>
      <c r="AN39" s="1780">
        <f>+(AM39/AM32-1)*100</f>
        <v>-2.3586960163500481</v>
      </c>
      <c r="AO39" s="663"/>
      <c r="AP39" s="657"/>
      <c r="AQ39" s="664"/>
      <c r="AR39" s="660"/>
      <c r="AS39" s="661"/>
      <c r="AT39" s="663"/>
      <c r="AU39" s="657"/>
      <c r="AV39" s="664"/>
      <c r="AW39" s="673">
        <f>'qtrP&amp;L'!$R$14</f>
        <v>566.50099999999998</v>
      </c>
      <c r="AX39" s="667"/>
      <c r="AY39" s="679">
        <f>+E39+Q39+AM39+AR39</f>
        <v>566.50099999999998</v>
      </c>
      <c r="AZ39" s="668"/>
      <c r="BA39" s="665"/>
      <c r="BB39" s="666"/>
      <c r="BC39" s="667"/>
      <c r="BD39" s="667"/>
      <c r="BE39" s="667">
        <f>SUM(BE35:BE38)</f>
        <v>0</v>
      </c>
      <c r="BF39" s="667">
        <f>+H39+T39+AO39+AT39-BE39</f>
        <v>0</v>
      </c>
      <c r="BG39" s="961"/>
      <c r="BH39" s="131"/>
      <c r="BI39" s="131"/>
      <c r="BJ39" s="118">
        <f>+E39/$AY39</f>
        <v>0.47432572934557932</v>
      </c>
      <c r="BK39" s="118">
        <f>+Q39/$AY39</f>
        <v>0.37134268077196692</v>
      </c>
      <c r="BL39" s="118">
        <f>+AM39/AY39</f>
        <v>0.15433158988245388</v>
      </c>
      <c r="BM39" s="118">
        <f>+AR39/AY39</f>
        <v>0</v>
      </c>
      <c r="BN39" s="131"/>
      <c r="BO39" s="131"/>
      <c r="BP39" s="131"/>
      <c r="BQ39" s="131"/>
      <c r="BR39" s="131"/>
      <c r="BS39" s="131"/>
      <c r="BT39" s="131"/>
      <c r="BU39" s="131"/>
      <c r="BV39" s="131"/>
      <c r="BW39" s="131"/>
      <c r="BX39" s="131"/>
      <c r="BY39" s="131"/>
    </row>
    <row r="40" spans="1:77" hidden="1" outlineLevel="3">
      <c r="A40" s="131"/>
      <c r="B40" s="131"/>
      <c r="C40" s="131"/>
      <c r="D40" s="131"/>
      <c r="E40" s="656"/>
      <c r="F40" s="233"/>
      <c r="G40" s="2061"/>
      <c r="H40" s="227"/>
      <c r="I40" s="657"/>
      <c r="J40" s="709"/>
      <c r="K40" s="709"/>
      <c r="L40" s="709"/>
      <c r="M40" s="709"/>
      <c r="N40" s="233"/>
      <c r="O40" s="953"/>
      <c r="P40" s="643"/>
      <c r="Q40" s="656"/>
      <c r="R40" s="233"/>
      <c r="S40" s="2061"/>
      <c r="T40" s="227"/>
      <c r="U40" s="657"/>
      <c r="V40" s="643"/>
      <c r="W40" s="1105"/>
      <c r="X40" s="893"/>
      <c r="Y40" s="2061"/>
      <c r="Z40" s="227"/>
      <c r="AA40" s="657"/>
      <c r="AB40" s="643"/>
      <c r="AC40" s="1105"/>
      <c r="AD40" s="1108"/>
      <c r="AE40" s="643"/>
      <c r="AF40" s="643"/>
      <c r="AG40" s="656"/>
      <c r="AH40" s="233"/>
      <c r="AI40" s="2061"/>
      <c r="AJ40" s="227"/>
      <c r="AK40" s="657"/>
      <c r="AL40" s="643"/>
      <c r="AM40" s="656"/>
      <c r="AN40" s="234"/>
      <c r="AO40" s="227"/>
      <c r="AP40" s="657"/>
      <c r="AQ40" s="643"/>
      <c r="AR40" s="656"/>
      <c r="AS40" s="233"/>
      <c r="AT40" s="227"/>
      <c r="AU40" s="657"/>
      <c r="AV40" s="643"/>
      <c r="AW40" s="658"/>
      <c r="AX40" s="658"/>
      <c r="AY40" s="658"/>
      <c r="AZ40" s="659"/>
      <c r="BA40" s="132"/>
      <c r="BB40" s="132"/>
      <c r="BC40" s="658"/>
      <c r="BD40" s="658"/>
      <c r="BE40" s="658"/>
      <c r="BF40" s="658"/>
      <c r="BG40" s="960"/>
      <c r="BH40" s="131"/>
      <c r="BI40" s="131"/>
      <c r="BJ40" s="131"/>
      <c r="BK40" s="131"/>
      <c r="BL40" s="131"/>
      <c r="BM40" s="131"/>
      <c r="BN40" s="131"/>
      <c r="BO40" s="131"/>
      <c r="BP40" s="131"/>
      <c r="BQ40" s="131"/>
      <c r="BR40" s="131"/>
      <c r="BS40" s="131"/>
      <c r="BT40" s="131"/>
      <c r="BU40" s="131"/>
      <c r="BV40" s="131"/>
      <c r="BW40" s="131"/>
      <c r="BX40" s="131"/>
      <c r="BY40" s="131"/>
    </row>
    <row r="41" spans="1:77" hidden="1" outlineLevel="3">
      <c r="A41" s="132"/>
      <c r="B41" s="2506">
        <f>+B34+1</f>
        <v>1994</v>
      </c>
      <c r="C41" s="2506"/>
      <c r="D41" s="132"/>
      <c r="E41" s="232"/>
      <c r="F41" s="233"/>
      <c r="G41" s="2061"/>
      <c r="H41" s="138"/>
      <c r="I41" s="235"/>
      <c r="J41" s="711"/>
      <c r="K41" s="711"/>
      <c r="L41" s="711"/>
      <c r="M41" s="711"/>
      <c r="N41" s="233"/>
      <c r="O41" s="953"/>
      <c r="P41" s="643"/>
      <c r="Q41" s="232"/>
      <c r="R41" s="233"/>
      <c r="S41" s="2061"/>
      <c r="T41" s="138"/>
      <c r="U41" s="235"/>
      <c r="V41" s="643"/>
      <c r="W41" s="1105"/>
      <c r="X41" s="893"/>
      <c r="Y41" s="2061"/>
      <c r="Z41" s="138"/>
      <c r="AA41" s="235"/>
      <c r="AB41" s="643"/>
      <c r="AC41" s="1105"/>
      <c r="AD41" s="1108"/>
      <c r="AE41" s="643"/>
      <c r="AF41" s="643"/>
      <c r="AG41" s="232"/>
      <c r="AH41" s="233"/>
      <c r="AI41" s="2061"/>
      <c r="AJ41" s="138"/>
      <c r="AK41" s="235"/>
      <c r="AL41" s="643"/>
      <c r="AM41" s="232"/>
      <c r="AN41" s="234"/>
      <c r="AO41" s="138"/>
      <c r="AP41" s="235"/>
      <c r="AQ41" s="643"/>
      <c r="AR41" s="232"/>
      <c r="AS41" s="233"/>
      <c r="AT41" s="138"/>
      <c r="AU41" s="235"/>
      <c r="AV41" s="643"/>
      <c r="AW41" s="587"/>
      <c r="AX41" s="587"/>
      <c r="AY41" s="587"/>
      <c r="AZ41" s="659"/>
      <c r="BA41" s="132"/>
      <c r="BB41" s="132"/>
      <c r="BC41" s="587"/>
      <c r="BD41" s="587"/>
      <c r="BE41" s="587"/>
      <c r="BF41" s="587"/>
      <c r="BG41" s="960"/>
      <c r="BH41" s="132"/>
      <c r="BI41" s="132"/>
      <c r="BJ41" s="132"/>
      <c r="BK41" s="132"/>
      <c r="BL41" s="132"/>
      <c r="BM41" s="132"/>
      <c r="BN41" s="132"/>
      <c r="BO41" s="1145"/>
      <c r="BP41" s="1145"/>
      <c r="BQ41" s="1145"/>
      <c r="BR41" s="1145"/>
      <c r="BS41" s="1145"/>
      <c r="BT41" s="1145"/>
      <c r="BU41" s="132"/>
      <c r="BV41" s="132"/>
      <c r="BW41" s="132"/>
      <c r="BX41" s="132"/>
      <c r="BY41" s="132"/>
    </row>
    <row r="42" spans="1:77" hidden="1" outlineLevel="3">
      <c r="A42" s="131"/>
      <c r="B42" s="131" t="str">
        <f>$B$14</f>
        <v>1Q</v>
      </c>
      <c r="C42" s="131" t="str">
        <f>$C$14</f>
        <v>Apr</v>
      </c>
      <c r="D42" s="131"/>
      <c r="E42" s="660">
        <v>57.222999999999999</v>
      </c>
      <c r="F42" s="661"/>
      <c r="G42" s="2060">
        <v>16</v>
      </c>
      <c r="H42" s="663"/>
      <c r="I42" s="657"/>
      <c r="J42" s="709"/>
      <c r="K42" s="709"/>
      <c r="L42" s="709"/>
      <c r="M42" s="709"/>
      <c r="N42" s="954"/>
      <c r="O42" s="953"/>
      <c r="P42" s="664"/>
      <c r="Q42" s="660">
        <v>55.177</v>
      </c>
      <c r="R42" s="661"/>
      <c r="S42" s="2060"/>
      <c r="T42" s="663"/>
      <c r="U42" s="657"/>
      <c r="V42" s="664"/>
      <c r="W42" s="1106"/>
      <c r="X42" s="713"/>
      <c r="Y42" s="2060"/>
      <c r="Z42" s="663"/>
      <c r="AA42" s="657"/>
      <c r="AB42" s="712"/>
      <c r="AC42" s="1106"/>
      <c r="AD42" s="1109"/>
      <c r="AE42" s="712"/>
      <c r="AF42" s="712"/>
      <c r="AG42" s="660"/>
      <c r="AH42" s="661"/>
      <c r="AI42" s="2060"/>
      <c r="AJ42" s="663"/>
      <c r="AK42" s="657"/>
      <c r="AL42" s="664"/>
      <c r="AM42" s="660">
        <v>18.806999999999999</v>
      </c>
      <c r="AN42" s="1780"/>
      <c r="AO42" s="663"/>
      <c r="AP42" s="657"/>
      <c r="AQ42" s="664"/>
      <c r="AR42" s="660"/>
      <c r="AS42" s="661"/>
      <c r="AT42" s="663"/>
      <c r="AU42" s="657"/>
      <c r="AV42" s="664"/>
      <c r="AW42" s="673">
        <f>+'qtrP&amp;L'!V10</f>
        <v>131.20699999999999</v>
      </c>
      <c r="AX42" s="667"/>
      <c r="AY42" s="679">
        <f>+E42+Q42+AM42+AR42</f>
        <v>131.20699999999999</v>
      </c>
      <c r="AZ42" s="668"/>
      <c r="BA42" s="665"/>
      <c r="BB42" s="666"/>
      <c r="BC42" s="673">
        <f>'qtrP&amp;L'!$V$48</f>
        <v>6.1139999999999901</v>
      </c>
      <c r="BD42" s="673"/>
      <c r="BE42" s="695"/>
      <c r="BF42" s="667">
        <f>+H42+T42+AO42+AT42-BE42</f>
        <v>0</v>
      </c>
      <c r="BG42" s="961"/>
      <c r="BH42" s="672">
        <f>+BF42/AY42*100</f>
        <v>0</v>
      </c>
      <c r="BI42" s="131"/>
      <c r="BJ42" s="131"/>
      <c r="BK42" s="131"/>
      <c r="BL42" s="131"/>
      <c r="BM42" s="131"/>
      <c r="BN42" s="131"/>
      <c r="BO42" s="131"/>
      <c r="BP42" s="131"/>
      <c r="BQ42" s="131"/>
      <c r="BR42" s="131"/>
      <c r="BS42" s="131"/>
      <c r="BT42" s="131"/>
      <c r="BU42" s="131"/>
      <c r="BV42" s="131"/>
      <c r="BW42" s="131"/>
      <c r="BX42" s="131"/>
      <c r="BY42" s="131"/>
    </row>
    <row r="43" spans="1:77" hidden="1" outlineLevel="3">
      <c r="A43" s="131"/>
      <c r="B43" s="131" t="str">
        <f>$B$15</f>
        <v>2Q</v>
      </c>
      <c r="C43" s="131" t="str">
        <f>$C$15</f>
        <v>Jul</v>
      </c>
      <c r="D43" s="131"/>
      <c r="E43" s="669">
        <v>67.793999999999997</v>
      </c>
      <c r="F43" s="661">
        <v>12</v>
      </c>
      <c r="G43" s="2060">
        <v>10</v>
      </c>
      <c r="H43" s="670"/>
      <c r="I43" s="671"/>
      <c r="J43" s="701"/>
      <c r="K43" s="701"/>
      <c r="L43" s="701"/>
      <c r="M43" s="701"/>
      <c r="N43" s="954"/>
      <c r="O43" s="953"/>
      <c r="P43" s="664"/>
      <c r="Q43" s="669">
        <v>63.781999999999996</v>
      </c>
      <c r="R43" s="661"/>
      <c r="S43" s="2060"/>
      <c r="T43" s="670"/>
      <c r="U43" s="671"/>
      <c r="V43" s="664"/>
      <c r="W43" s="1106"/>
      <c r="X43" s="713">
        <v>1</v>
      </c>
      <c r="Y43" s="2060"/>
      <c r="Z43" s="670"/>
      <c r="AA43" s="671"/>
      <c r="AB43" s="712"/>
      <c r="AC43" s="1106"/>
      <c r="AD43" s="1109">
        <v>11</v>
      </c>
      <c r="AE43" s="712"/>
      <c r="AF43" s="712"/>
      <c r="AG43" s="669"/>
      <c r="AH43" s="661"/>
      <c r="AI43" s="2060"/>
      <c r="AJ43" s="670"/>
      <c r="AK43" s="671"/>
      <c r="AL43" s="664"/>
      <c r="AM43" s="669">
        <v>20.681000000000001</v>
      </c>
      <c r="AN43" s="1780"/>
      <c r="AO43" s="670"/>
      <c r="AP43" s="671"/>
      <c r="AQ43" s="664"/>
      <c r="AR43" s="669"/>
      <c r="AS43" s="661"/>
      <c r="AT43" s="670"/>
      <c r="AU43" s="671"/>
      <c r="AV43" s="664"/>
      <c r="AW43" s="673">
        <f>'qtrP&amp;L'!$V$11</f>
        <v>152.25700000000001</v>
      </c>
      <c r="AX43" s="673"/>
      <c r="AY43" s="673">
        <f>+E43+Q43+AM43+AR43</f>
        <v>152.25700000000001</v>
      </c>
      <c r="AZ43" s="674"/>
      <c r="BA43" s="665"/>
      <c r="BB43" s="666"/>
      <c r="BC43" s="673">
        <f>'qtrP&amp;L'!$V$49</f>
        <v>9.0180000000000149</v>
      </c>
      <c r="BD43" s="673"/>
      <c r="BE43" s="691"/>
      <c r="BF43" s="673">
        <f>+H43+T43+AO43+AT43-BE43</f>
        <v>0</v>
      </c>
      <c r="BG43" s="962"/>
      <c r="BH43" s="672">
        <f>+BF43/AY43*100</f>
        <v>0</v>
      </c>
      <c r="BI43" s="131"/>
      <c r="BJ43" s="131"/>
      <c r="BK43" s="131"/>
      <c r="BL43" s="131"/>
      <c r="BM43" s="131"/>
      <c r="BN43" s="131"/>
      <c r="BO43" s="131"/>
      <c r="BP43" s="131"/>
      <c r="BQ43" s="131"/>
      <c r="BR43" s="131"/>
      <c r="BS43" s="131"/>
      <c r="BT43" s="131"/>
      <c r="BU43" s="131"/>
      <c r="BV43" s="131"/>
      <c r="BW43" s="131"/>
      <c r="BX43" s="131"/>
      <c r="BY43" s="131"/>
    </row>
    <row r="44" spans="1:77" hidden="1" outlineLevel="3">
      <c r="A44" s="131"/>
      <c r="B44" s="131" t="str">
        <f>$B$16</f>
        <v>3Q</v>
      </c>
      <c r="C44" s="131" t="str">
        <f>$C$16</f>
        <v>Oct</v>
      </c>
      <c r="D44" s="131"/>
      <c r="E44" s="669">
        <v>72.256</v>
      </c>
      <c r="F44" s="661">
        <v>12</v>
      </c>
      <c r="G44" s="2060"/>
      <c r="H44" s="670"/>
      <c r="I44" s="657"/>
      <c r="J44" s="709"/>
      <c r="K44" s="709"/>
      <c r="L44" s="709"/>
      <c r="M44" s="709"/>
      <c r="N44" s="954"/>
      <c r="O44" s="953"/>
      <c r="P44" s="664"/>
      <c r="Q44" s="669">
        <v>67.039000000000001</v>
      </c>
      <c r="R44" s="661"/>
      <c r="S44" s="2060"/>
      <c r="T44" s="670"/>
      <c r="U44" s="657"/>
      <c r="V44" s="664"/>
      <c r="W44" s="1106"/>
      <c r="X44" s="713">
        <v>22</v>
      </c>
      <c r="Y44" s="2060"/>
      <c r="Z44" s="670"/>
      <c r="AA44" s="657"/>
      <c r="AB44" s="712"/>
      <c r="AC44" s="1106"/>
      <c r="AD44" s="1109"/>
      <c r="AE44" s="712">
        <v>26</v>
      </c>
      <c r="AF44" s="712"/>
      <c r="AG44" s="669"/>
      <c r="AH44" s="661"/>
      <c r="AI44" s="2060"/>
      <c r="AJ44" s="670"/>
      <c r="AK44" s="657"/>
      <c r="AL44" s="664"/>
      <c r="AM44" s="669">
        <v>20.795999999999999</v>
      </c>
      <c r="AN44" s="1780">
        <f>(AM44/AM37-1)*100</f>
        <v>2.6456071076011778</v>
      </c>
      <c r="AO44" s="670"/>
      <c r="AP44" s="657"/>
      <c r="AQ44" s="664"/>
      <c r="AR44" s="669"/>
      <c r="AS44" s="661"/>
      <c r="AT44" s="670"/>
      <c r="AU44" s="657"/>
      <c r="AV44" s="664"/>
      <c r="AW44" s="673">
        <f>'qtrP&amp;L'!$V$12</f>
        <v>160.09100000000001</v>
      </c>
      <c r="AX44" s="673"/>
      <c r="AY44" s="673">
        <f>+E44+Q44+AM44+AR44</f>
        <v>160.09100000000001</v>
      </c>
      <c r="AZ44" s="674"/>
      <c r="BA44" s="665"/>
      <c r="BB44" s="666"/>
      <c r="BC44" s="673">
        <f>'qtrP&amp;L'!$V$50</f>
        <v>11.826999999999998</v>
      </c>
      <c r="BD44" s="673"/>
      <c r="BE44" s="691"/>
      <c r="BF44" s="673">
        <f>+H44+T44+AO44+AT44-BE44</f>
        <v>0</v>
      </c>
      <c r="BG44" s="962"/>
      <c r="BH44" s="672">
        <f>+BF44/AY44*100</f>
        <v>0</v>
      </c>
      <c r="BI44" s="131"/>
      <c r="BJ44" s="131"/>
      <c r="BK44" s="131"/>
      <c r="BL44" s="131"/>
      <c r="BM44" s="131"/>
      <c r="BN44" s="131"/>
      <c r="BO44" s="131"/>
      <c r="BP44" s="131"/>
      <c r="BQ44" s="131"/>
      <c r="BR44" s="131"/>
      <c r="BS44" s="131"/>
      <c r="BT44" s="131"/>
      <c r="BU44" s="131"/>
      <c r="BV44" s="131"/>
      <c r="BW44" s="131"/>
      <c r="BX44" s="131"/>
      <c r="BY44" s="131"/>
    </row>
    <row r="45" spans="1:77" hidden="1" outlineLevel="3">
      <c r="A45" s="131"/>
      <c r="B45" s="131" t="str">
        <f>$B$17</f>
        <v>4Q</v>
      </c>
      <c r="C45" s="131" t="str">
        <f>$C$17</f>
        <v>Jan</v>
      </c>
      <c r="D45" s="131"/>
      <c r="E45" s="699">
        <f>E46-SUM(E42:E44)</f>
        <v>111.01700000000002</v>
      </c>
      <c r="F45" s="661"/>
      <c r="G45" s="2060"/>
      <c r="H45" s="670"/>
      <c r="I45" s="657"/>
      <c r="J45" s="709"/>
      <c r="K45" s="709"/>
      <c r="L45" s="709"/>
      <c r="M45" s="709"/>
      <c r="N45" s="954"/>
      <c r="O45" s="953"/>
      <c r="P45" s="664"/>
      <c r="Q45" s="699">
        <f>Q46-SUM(Q42:Q44)</f>
        <v>95.859000000000037</v>
      </c>
      <c r="R45" s="661"/>
      <c r="S45" s="2060"/>
      <c r="T45" s="670"/>
      <c r="U45" s="657"/>
      <c r="V45" s="664"/>
      <c r="W45" s="1106"/>
      <c r="X45" s="713"/>
      <c r="Y45" s="2060"/>
      <c r="Z45" s="670"/>
      <c r="AA45" s="657"/>
      <c r="AB45" s="712"/>
      <c r="AC45" s="1106"/>
      <c r="AD45" s="1109"/>
      <c r="AE45" s="712"/>
      <c r="AF45" s="712"/>
      <c r="AG45" s="1789"/>
      <c r="AH45" s="661"/>
      <c r="AI45" s="2060"/>
      <c r="AJ45" s="670"/>
      <c r="AK45" s="657"/>
      <c r="AL45" s="664"/>
      <c r="AM45" s="669"/>
      <c r="AN45" s="1780"/>
      <c r="AO45" s="670"/>
      <c r="AP45" s="657"/>
      <c r="AQ45" s="664"/>
      <c r="AR45" s="669"/>
      <c r="AS45" s="661"/>
      <c r="AT45" s="670"/>
      <c r="AU45" s="657"/>
      <c r="AV45" s="664"/>
      <c r="AW45" s="677">
        <f>'qtrP&amp;L'!$V$13</f>
        <v>239.27600000000001</v>
      </c>
      <c r="AX45" s="673"/>
      <c r="AY45" s="677">
        <f>+E45+Q45+AM45+AR45</f>
        <v>206.87600000000006</v>
      </c>
      <c r="AZ45" s="674"/>
      <c r="BA45" s="665"/>
      <c r="BB45" s="666"/>
      <c r="BC45" s="677">
        <f>'qtrP&amp;L'!$V$51</f>
        <v>37.696000000000012</v>
      </c>
      <c r="BD45" s="677"/>
      <c r="BE45" s="692"/>
      <c r="BF45" s="677">
        <f>+H45+T45+AO45+AT45-BE45</f>
        <v>0</v>
      </c>
      <c r="BG45" s="962"/>
      <c r="BH45" s="672">
        <f>+BF45/AY45*100</f>
        <v>0</v>
      </c>
      <c r="BI45" s="131"/>
      <c r="BJ45" s="131"/>
      <c r="BK45" s="131"/>
      <c r="BL45" s="131"/>
      <c r="BM45" s="131"/>
      <c r="BN45" s="131"/>
      <c r="BO45" s="131"/>
      <c r="BP45" s="131"/>
      <c r="BQ45" s="131"/>
      <c r="BR45" s="131"/>
      <c r="BS45" s="131"/>
      <c r="BT45" s="131"/>
      <c r="BU45" s="131"/>
      <c r="BV45" s="131"/>
      <c r="BW45" s="131"/>
      <c r="BX45" s="131"/>
      <c r="BY45" s="131"/>
    </row>
    <row r="46" spans="1:77" hidden="1" outlineLevel="3">
      <c r="A46" s="131"/>
      <c r="B46" s="131"/>
      <c r="C46" s="131" t="str">
        <f>$C$18</f>
        <v>Year</v>
      </c>
      <c r="D46" s="131"/>
      <c r="E46" s="660">
        <v>308.29000000000002</v>
      </c>
      <c r="F46" s="661">
        <v>12</v>
      </c>
      <c r="G46" s="2060">
        <v>12</v>
      </c>
      <c r="H46" s="663">
        <v>59.563000000000002</v>
      </c>
      <c r="I46" s="671">
        <f>+H46/E46*100</f>
        <v>19.320445035518503</v>
      </c>
      <c r="J46" s="701"/>
      <c r="K46" s="701"/>
      <c r="L46" s="701"/>
      <c r="M46" s="701"/>
      <c r="N46" s="954">
        <v>11</v>
      </c>
      <c r="O46" s="953">
        <v>14</v>
      </c>
      <c r="P46" s="664"/>
      <c r="Q46" s="660">
        <v>281.85700000000003</v>
      </c>
      <c r="R46" s="661">
        <f>+(Q46/Q39-1)*100</f>
        <v>33.984103895116121</v>
      </c>
      <c r="S46" s="2060"/>
      <c r="T46" s="663"/>
      <c r="U46" s="657">
        <f>+T46/Q46*100</f>
        <v>0</v>
      </c>
      <c r="V46" s="664"/>
      <c r="W46" s="1104"/>
      <c r="X46" s="798">
        <v>3</v>
      </c>
      <c r="Y46" s="2060"/>
      <c r="Z46" s="663"/>
      <c r="AA46" s="657"/>
      <c r="AB46" s="723"/>
      <c r="AC46" s="1104"/>
      <c r="AD46" s="1109"/>
      <c r="AE46" s="723">
        <v>0</v>
      </c>
      <c r="AF46" s="723"/>
      <c r="AG46" s="660"/>
      <c r="AH46" s="661"/>
      <c r="AI46" s="2060"/>
      <c r="AJ46" s="663"/>
      <c r="AK46" s="657"/>
      <c r="AL46" s="664"/>
      <c r="AM46" s="660">
        <v>92.683999999999997</v>
      </c>
      <c r="AN46" s="1780">
        <f>(AM46/AM39-1)*100</f>
        <v>6.0105914513490788</v>
      </c>
      <c r="AO46" s="663"/>
      <c r="AP46" s="657"/>
      <c r="AQ46" s="664"/>
      <c r="AR46" s="660"/>
      <c r="AS46" s="661"/>
      <c r="AT46" s="663"/>
      <c r="AU46" s="657"/>
      <c r="AV46" s="664"/>
      <c r="AW46" s="673">
        <f>'qtrP&amp;L'!$V$14</f>
        <v>682.83100000000002</v>
      </c>
      <c r="AX46" s="667"/>
      <c r="AY46" s="679">
        <f>+E46+Q46+AM46+AR46</f>
        <v>682.83100000000002</v>
      </c>
      <c r="AZ46" s="668"/>
      <c r="BA46" s="665">
        <f>+(AY46/AY39-1)*100</f>
        <v>20.534826946466112</v>
      </c>
      <c r="BB46" s="666"/>
      <c r="BC46" s="673">
        <f>'qtrP&amp;L'!$V$52</f>
        <v>64.655000000000015</v>
      </c>
      <c r="BD46" s="673"/>
      <c r="BE46" s="667">
        <f>SUM(BE42:BE45)</f>
        <v>0</v>
      </c>
      <c r="BF46" s="667">
        <f>+H46+T46+AO46+AT46-BE46</f>
        <v>59.563000000000002</v>
      </c>
      <c r="BG46" s="961"/>
      <c r="BH46" s="672">
        <f>+BF46/AY46*100</f>
        <v>8.7229490166673749</v>
      </c>
      <c r="BI46" s="131"/>
      <c r="BJ46" s="118">
        <f>+E46/$AY46</f>
        <v>0.4514879962977662</v>
      </c>
      <c r="BK46" s="118">
        <f>+Q46/$AY46</f>
        <v>0.41277710004378831</v>
      </c>
      <c r="BL46" s="118">
        <f>+AM46/AY46</f>
        <v>0.13573490365844548</v>
      </c>
      <c r="BM46" s="118">
        <f>+AR46/AY46</f>
        <v>0</v>
      </c>
      <c r="BN46" s="131"/>
      <c r="BO46" s="131"/>
      <c r="BP46" s="131"/>
      <c r="BQ46" s="131"/>
      <c r="BR46" s="131"/>
      <c r="BS46" s="131"/>
      <c r="BT46" s="131"/>
      <c r="BU46" s="131"/>
      <c r="BV46" s="131"/>
      <c r="BW46" s="131"/>
      <c r="BX46" s="131"/>
      <c r="BY46" s="131"/>
    </row>
    <row r="47" spans="1:77" hidden="1" outlineLevel="3">
      <c r="A47" s="131"/>
      <c r="B47" s="131"/>
      <c r="C47" s="131"/>
      <c r="D47" s="131"/>
      <c r="E47" s="656"/>
      <c r="F47" s="233"/>
      <c r="G47" s="2061"/>
      <c r="H47" s="227"/>
      <c r="I47" s="657"/>
      <c r="J47" s="709"/>
      <c r="K47" s="709"/>
      <c r="L47" s="709"/>
      <c r="M47" s="709"/>
      <c r="N47" s="233"/>
      <c r="O47" s="953"/>
      <c r="P47" s="643"/>
      <c r="Q47" s="656"/>
      <c r="R47" s="233"/>
      <c r="S47" s="2061"/>
      <c r="T47" s="227"/>
      <c r="U47" s="657"/>
      <c r="V47" s="643"/>
      <c r="W47" s="1105"/>
      <c r="X47" s="893"/>
      <c r="Y47" s="2061"/>
      <c r="Z47" s="227"/>
      <c r="AA47" s="657"/>
      <c r="AB47" s="643"/>
      <c r="AC47" s="1105"/>
      <c r="AD47" s="1108"/>
      <c r="AE47" s="643"/>
      <c r="AF47" s="643"/>
      <c r="AG47" s="656"/>
      <c r="AH47" s="233"/>
      <c r="AI47" s="2061"/>
      <c r="AJ47" s="227"/>
      <c r="AK47" s="657"/>
      <c r="AL47" s="643"/>
      <c r="AM47" s="656"/>
      <c r="AN47" s="234"/>
      <c r="AO47" s="227"/>
      <c r="AP47" s="657"/>
      <c r="AQ47" s="643"/>
      <c r="AR47" s="656"/>
      <c r="AS47" s="233"/>
      <c r="AT47" s="227"/>
      <c r="AU47" s="657"/>
      <c r="AV47" s="643"/>
      <c r="AW47" s="658"/>
      <c r="AX47" s="658"/>
      <c r="AY47" s="658"/>
      <c r="AZ47" s="659"/>
      <c r="BA47" s="132"/>
      <c r="BB47" s="132"/>
      <c r="BC47" s="658"/>
      <c r="BD47" s="658"/>
      <c r="BE47" s="658"/>
      <c r="BF47" s="658"/>
      <c r="BG47" s="960"/>
      <c r="BH47" s="131"/>
      <c r="BI47" s="131"/>
      <c r="BJ47" s="131"/>
      <c r="BK47" s="131"/>
      <c r="BL47" s="131"/>
      <c r="BM47" s="131"/>
      <c r="BN47" s="131"/>
      <c r="BO47" s="131"/>
      <c r="BP47" s="131"/>
      <c r="BQ47" s="131"/>
      <c r="BR47" s="131"/>
      <c r="BS47" s="131"/>
      <c r="BT47" s="131"/>
      <c r="BU47" s="131"/>
      <c r="BV47" s="131"/>
      <c r="BW47" s="131"/>
      <c r="BX47" s="131"/>
      <c r="BY47" s="131"/>
    </row>
    <row r="48" spans="1:77" hidden="1" outlineLevel="3">
      <c r="A48" s="132"/>
      <c r="B48" s="2506">
        <f>+B41+1</f>
        <v>1995</v>
      </c>
      <c r="C48" s="2506"/>
      <c r="D48" s="132"/>
      <c r="E48" s="232"/>
      <c r="F48" s="233"/>
      <c r="G48" s="2061"/>
      <c r="H48" s="138"/>
      <c r="I48" s="235"/>
      <c r="J48" s="711"/>
      <c r="K48" s="711"/>
      <c r="L48" s="711"/>
      <c r="M48" s="711"/>
      <c r="N48" s="233"/>
      <c r="O48" s="953"/>
      <c r="P48" s="643"/>
      <c r="Q48" s="232"/>
      <c r="R48" s="233"/>
      <c r="S48" s="2061"/>
      <c r="T48" s="138"/>
      <c r="U48" s="235"/>
      <c r="V48" s="643"/>
      <c r="W48" s="1105"/>
      <c r="X48" s="893"/>
      <c r="Y48" s="2061"/>
      <c r="Z48" s="138"/>
      <c r="AA48" s="235"/>
      <c r="AB48" s="643"/>
      <c r="AC48" s="1105"/>
      <c r="AD48" s="1108"/>
      <c r="AE48" s="643"/>
      <c r="AF48" s="643"/>
      <c r="AG48" s="232"/>
      <c r="AH48" s="233"/>
      <c r="AI48" s="2061"/>
      <c r="AJ48" s="138"/>
      <c r="AK48" s="235"/>
      <c r="AL48" s="643"/>
      <c r="AM48" s="232"/>
      <c r="AN48" s="234"/>
      <c r="AO48" s="138"/>
      <c r="AP48" s="235"/>
      <c r="AQ48" s="643"/>
      <c r="AR48" s="232"/>
      <c r="AS48" s="233"/>
      <c r="AT48" s="138"/>
      <c r="AU48" s="235"/>
      <c r="AV48" s="643"/>
      <c r="AW48" s="587"/>
      <c r="AX48" s="587"/>
      <c r="AY48" s="587"/>
      <c r="AZ48" s="659"/>
      <c r="BA48" s="132"/>
      <c r="BB48" s="132"/>
      <c r="BC48" s="587"/>
      <c r="BD48" s="587"/>
      <c r="BE48" s="587"/>
      <c r="BF48" s="587"/>
      <c r="BG48" s="960"/>
      <c r="BH48" s="132"/>
      <c r="BI48" s="132"/>
      <c r="BJ48" s="132"/>
      <c r="BK48" s="132"/>
      <c r="BL48" s="132"/>
      <c r="BM48" s="132"/>
      <c r="BN48" s="132"/>
      <c r="BO48" s="1145"/>
      <c r="BP48" s="1145"/>
      <c r="BQ48" s="1145"/>
      <c r="BR48" s="1145"/>
      <c r="BS48" s="1145"/>
      <c r="BT48" s="1145"/>
      <c r="BU48" s="132"/>
      <c r="BV48" s="132"/>
      <c r="BW48" s="132"/>
      <c r="BX48" s="132"/>
      <c r="BY48" s="132"/>
    </row>
    <row r="49" spans="1:77" hidden="1" outlineLevel="3">
      <c r="A49" s="131"/>
      <c r="B49" s="131" t="str">
        <f>$B$14</f>
        <v>1Q</v>
      </c>
      <c r="C49" s="131" t="str">
        <f>$C$14</f>
        <v>Apr</v>
      </c>
      <c r="D49" s="131"/>
      <c r="E49" s="660">
        <v>61.768999999999998</v>
      </c>
      <c r="F49" s="661">
        <f>+(E49/E42-1)*100</f>
        <v>7.9443580378519174</v>
      </c>
      <c r="G49" s="2060">
        <v>7</v>
      </c>
      <c r="H49" s="663"/>
      <c r="I49" s="671">
        <f>+H49/E49*100</f>
        <v>0</v>
      </c>
      <c r="J49" s="701"/>
      <c r="K49" s="701"/>
      <c r="L49" s="701"/>
      <c r="M49" s="701"/>
      <c r="N49" s="954">
        <v>5</v>
      </c>
      <c r="O49" s="953">
        <v>9</v>
      </c>
      <c r="P49" s="664"/>
      <c r="Q49" s="660">
        <v>69.611999999999995</v>
      </c>
      <c r="R49" s="661">
        <f>+(Q49/Q42-1)*100</f>
        <v>26.161262845026002</v>
      </c>
      <c r="S49" s="2060"/>
      <c r="T49" s="663"/>
      <c r="U49" s="657">
        <f>+T49/Q49*100</f>
        <v>0</v>
      </c>
      <c r="V49" s="664"/>
      <c r="W49" s="1106"/>
      <c r="X49" s="713">
        <v>11</v>
      </c>
      <c r="Y49" s="2060"/>
      <c r="Z49" s="663"/>
      <c r="AA49" s="657"/>
      <c r="AB49" s="712"/>
      <c r="AC49" s="1106"/>
      <c r="AD49" s="1109" t="s">
        <v>1376</v>
      </c>
      <c r="AE49" s="712" t="s">
        <v>1376</v>
      </c>
      <c r="AF49" s="712"/>
      <c r="AG49" s="660"/>
      <c r="AH49" s="661"/>
      <c r="AI49" s="2060"/>
      <c r="AJ49" s="663"/>
      <c r="AK49" s="657"/>
      <c r="AL49" s="664"/>
      <c r="AM49" s="660">
        <v>18.763000000000002</v>
      </c>
      <c r="AN49" s="1780">
        <f>+(AM49/AM42-1)*100</f>
        <v>-0.233955442122602</v>
      </c>
      <c r="AO49" s="663"/>
      <c r="AP49" s="657"/>
      <c r="AQ49" s="664"/>
      <c r="AR49" s="660"/>
      <c r="AS49" s="661"/>
      <c r="AT49" s="663"/>
      <c r="AU49" s="657"/>
      <c r="AV49" s="664"/>
      <c r="AW49" s="673">
        <f>'qtrP&amp;L'!$Z$10</f>
        <v>150.14400000000001</v>
      </c>
      <c r="AX49" s="673"/>
      <c r="AY49" s="679">
        <f>+E49+Q49+AM49+AR49</f>
        <v>150.14400000000001</v>
      </c>
      <c r="AZ49" s="682" t="str">
        <f>IF(AW49=AY49,"","n")</f>
        <v/>
      </c>
      <c r="BA49" s="665">
        <f>+(AY49/AY42-1)*100</f>
        <v>14.432918975359566</v>
      </c>
      <c r="BB49" s="666"/>
      <c r="BC49" s="673">
        <f>'qtrP&amp;L'!$Z$48</f>
        <v>6.7569999999999908</v>
      </c>
      <c r="BD49" s="673"/>
      <c r="BE49" s="695"/>
      <c r="BF49" s="667">
        <f>+H49+T49+AO49+AT49-BE49</f>
        <v>0</v>
      </c>
      <c r="BG49" s="961"/>
      <c r="BH49" s="672">
        <f>+BF49/AY49*100</f>
        <v>0</v>
      </c>
      <c r="BI49" s="131"/>
      <c r="BJ49" s="131"/>
      <c r="BK49" s="131"/>
      <c r="BL49" s="131"/>
      <c r="BM49" s="131"/>
      <c r="BN49" s="131"/>
      <c r="BO49" s="131"/>
      <c r="BP49" s="131"/>
      <c r="BQ49" s="131"/>
      <c r="BR49" s="131"/>
      <c r="BS49" s="131"/>
      <c r="BT49" s="131"/>
      <c r="BU49" s="131"/>
      <c r="BV49" s="131"/>
      <c r="BW49" s="131"/>
      <c r="BX49" s="131"/>
      <c r="BY49" s="131"/>
    </row>
    <row r="50" spans="1:77" hidden="1" outlineLevel="3">
      <c r="A50" s="131"/>
      <c r="B50" s="131" t="str">
        <f>$B$15</f>
        <v>2Q</v>
      </c>
      <c r="C50" s="131" t="str">
        <f>$C$15</f>
        <v>Jul</v>
      </c>
      <c r="D50" s="131"/>
      <c r="E50" s="669">
        <v>82.14</v>
      </c>
      <c r="F50" s="661">
        <f>+(E50/E43-1)*100</f>
        <v>21.161164704841152</v>
      </c>
      <c r="G50" s="2060">
        <v>15</v>
      </c>
      <c r="H50" s="670"/>
      <c r="I50" s="671">
        <f>+H50/E50*100</f>
        <v>0</v>
      </c>
      <c r="J50" s="701"/>
      <c r="K50" s="701"/>
      <c r="L50" s="701"/>
      <c r="M50" s="701"/>
      <c r="N50" s="954">
        <v>13</v>
      </c>
      <c r="O50" s="953">
        <v>17</v>
      </c>
      <c r="P50" s="664"/>
      <c r="Q50" s="669">
        <v>82.185000000000002</v>
      </c>
      <c r="R50" s="661">
        <f>+(Q50/Q43-1)*100</f>
        <v>28.852967921984263</v>
      </c>
      <c r="S50" s="2060"/>
      <c r="T50" s="670"/>
      <c r="U50" s="671">
        <f>+T50/Q50*100</f>
        <v>0</v>
      </c>
      <c r="V50" s="664"/>
      <c r="W50" s="1106"/>
      <c r="X50" s="713">
        <v>11</v>
      </c>
      <c r="Y50" s="2060"/>
      <c r="Z50" s="670"/>
      <c r="AA50" s="671"/>
      <c r="AB50" s="712"/>
      <c r="AC50" s="1106"/>
      <c r="AD50" s="1109"/>
      <c r="AE50" s="712"/>
      <c r="AF50" s="712"/>
      <c r="AG50" s="669"/>
      <c r="AH50" s="661"/>
      <c r="AI50" s="2060"/>
      <c r="AJ50" s="670"/>
      <c r="AK50" s="671"/>
      <c r="AL50" s="664"/>
      <c r="AM50" s="669">
        <v>20.356999999999999</v>
      </c>
      <c r="AN50" s="1780">
        <f>+(AM50/AM43-1)*100</f>
        <v>-1.5666553841690467</v>
      </c>
      <c r="AO50" s="670"/>
      <c r="AP50" s="671"/>
      <c r="AQ50" s="664"/>
      <c r="AR50" s="669"/>
      <c r="AS50" s="661"/>
      <c r="AT50" s="670"/>
      <c r="AU50" s="671"/>
      <c r="AV50" s="664"/>
      <c r="AW50" s="673">
        <f>'qtrP&amp;L'!$Z$11</f>
        <v>184.68199999999999</v>
      </c>
      <c r="AX50" s="673"/>
      <c r="AY50" s="673">
        <f>+E50+Q50+AM50+AR50</f>
        <v>184.68199999999999</v>
      </c>
      <c r="AZ50" s="682" t="str">
        <f>IF(AW50=AY50,"","n")</f>
        <v/>
      </c>
      <c r="BA50" s="665">
        <f>+(AY50/AY43-1)*100</f>
        <v>21.296229401603849</v>
      </c>
      <c r="BB50" s="666"/>
      <c r="BC50" s="673">
        <f>'qtrP&amp;L'!$Z$49</f>
        <v>12.566999999999993</v>
      </c>
      <c r="BD50" s="673"/>
      <c r="BE50" s="691"/>
      <c r="BF50" s="673">
        <f>+H50+T50+AO50+AT50-BE50</f>
        <v>0</v>
      </c>
      <c r="BG50" s="962"/>
      <c r="BH50" s="672">
        <f>+BF50/AY50*100</f>
        <v>0</v>
      </c>
      <c r="BI50" s="131"/>
      <c r="BJ50" s="131"/>
      <c r="BK50" s="131"/>
      <c r="BL50" s="131"/>
      <c r="BM50" s="131"/>
      <c r="BN50" s="131"/>
      <c r="BO50" s="131"/>
      <c r="BP50" s="131"/>
      <c r="BQ50" s="131"/>
      <c r="BR50" s="131"/>
      <c r="BS50" s="131"/>
      <c r="BT50" s="131"/>
      <c r="BU50" s="131"/>
      <c r="BV50" s="131"/>
      <c r="BW50" s="131"/>
      <c r="BX50" s="131"/>
      <c r="BY50" s="131"/>
    </row>
    <row r="51" spans="1:77" hidden="1" outlineLevel="3">
      <c r="A51" s="131"/>
      <c r="B51" s="131" t="str">
        <f>$B$16</f>
        <v>3Q</v>
      </c>
      <c r="C51" s="131" t="str">
        <f>$C$16</f>
        <v>Oct</v>
      </c>
      <c r="D51" s="131"/>
      <c r="E51" s="669">
        <v>87.372</v>
      </c>
      <c r="F51" s="661">
        <f>+(E51/E44-1)*100</f>
        <v>20.920062001771477</v>
      </c>
      <c r="G51" s="2060">
        <v>14</v>
      </c>
      <c r="H51" s="670"/>
      <c r="I51" s="671">
        <f>+H51/E51*100</f>
        <v>0</v>
      </c>
      <c r="J51" s="701"/>
      <c r="K51" s="701"/>
      <c r="L51" s="701"/>
      <c r="M51" s="701"/>
      <c r="N51" s="954">
        <v>9</v>
      </c>
      <c r="O51" s="953">
        <v>18</v>
      </c>
      <c r="P51" s="664"/>
      <c r="Q51" s="669">
        <v>79.573999999999998</v>
      </c>
      <c r="R51" s="661">
        <f>+(Q51/Q44-1)*100</f>
        <v>18.698071271946183</v>
      </c>
      <c r="S51" s="2060"/>
      <c r="T51" s="670"/>
      <c r="U51" s="657">
        <f>+T51/Q51*100</f>
        <v>0</v>
      </c>
      <c r="V51" s="664"/>
      <c r="W51" s="1106"/>
      <c r="X51" s="713">
        <v>11</v>
      </c>
      <c r="Y51" s="2060"/>
      <c r="Z51" s="670"/>
      <c r="AA51" s="657"/>
      <c r="AB51" s="712"/>
      <c r="AC51" s="1106"/>
      <c r="AD51" s="1109"/>
      <c r="AE51" s="712"/>
      <c r="AF51" s="712"/>
      <c r="AG51" s="669"/>
      <c r="AH51" s="661"/>
      <c r="AI51" s="2060"/>
      <c r="AJ51" s="670"/>
      <c r="AK51" s="657"/>
      <c r="AL51" s="664"/>
      <c r="AM51" s="669">
        <v>20.82</v>
      </c>
      <c r="AN51" s="1780">
        <f>+(AM51/AM44-1)*100</f>
        <v>0.11540680900172795</v>
      </c>
      <c r="AO51" s="670"/>
      <c r="AP51" s="657"/>
      <c r="AQ51" s="664"/>
      <c r="AR51" s="669"/>
      <c r="AS51" s="661"/>
      <c r="AT51" s="670"/>
      <c r="AU51" s="657"/>
      <c r="AV51" s="664"/>
      <c r="AW51" s="673">
        <f>'qtrP&amp;L'!$Z$12</f>
        <v>187.76599999999999</v>
      </c>
      <c r="AX51" s="673"/>
      <c r="AY51" s="673">
        <f>+E51+Q51+AM51+AR51</f>
        <v>187.76599999999999</v>
      </c>
      <c r="AZ51" s="682" t="str">
        <f>IF(AW51=AY51,"","n")</f>
        <v/>
      </c>
      <c r="BA51" s="665">
        <f>+(AY51/AY44-1)*100</f>
        <v>17.287042994296975</v>
      </c>
      <c r="BB51" s="666"/>
      <c r="BC51" s="673">
        <f>'qtrP&amp;L'!$Z$50</f>
        <v>11.817999999999998</v>
      </c>
      <c r="BD51" s="673"/>
      <c r="BE51" s="691"/>
      <c r="BF51" s="673">
        <f>+H51+T51+AO51+AT51-BE51</f>
        <v>0</v>
      </c>
      <c r="BG51" s="962"/>
      <c r="BH51" s="672">
        <f>+BF51/AY51*100</f>
        <v>0</v>
      </c>
      <c r="BI51" s="131"/>
      <c r="BJ51" s="131"/>
      <c r="BK51" s="131"/>
      <c r="BL51" s="131"/>
      <c r="BM51" s="131"/>
      <c r="BN51" s="131"/>
      <c r="BO51" s="131"/>
      <c r="BP51" s="131"/>
      <c r="BQ51" s="131"/>
      <c r="BR51" s="131"/>
      <c r="BS51" s="131"/>
      <c r="BT51" s="131"/>
      <c r="BU51" s="131"/>
      <c r="BV51" s="131"/>
      <c r="BW51" s="131"/>
      <c r="BX51" s="131"/>
      <c r="BY51" s="131"/>
    </row>
    <row r="52" spans="1:77" hidden="1" outlineLevel="3">
      <c r="A52" s="131"/>
      <c r="B52" s="131" t="str">
        <f>$B$17</f>
        <v>4Q</v>
      </c>
      <c r="C52" s="131" t="str">
        <f>$C$17</f>
        <v>Jan</v>
      </c>
      <c r="D52" s="131"/>
      <c r="E52" s="675">
        <v>132.87700000000001</v>
      </c>
      <c r="F52" s="661">
        <f>+(E52/E45-1)*100</f>
        <v>19.6906780042696</v>
      </c>
      <c r="G52" s="2060">
        <v>11</v>
      </c>
      <c r="H52" s="670"/>
      <c r="I52" s="671">
        <f>+H52/E52*100</f>
        <v>0</v>
      </c>
      <c r="J52" s="701"/>
      <c r="K52" s="701"/>
      <c r="L52" s="701"/>
      <c r="M52" s="701"/>
      <c r="N52" s="954"/>
      <c r="O52" s="953"/>
      <c r="P52" s="664"/>
      <c r="Q52" s="675">
        <v>114.482</v>
      </c>
      <c r="R52" s="661"/>
      <c r="S52" s="2060"/>
      <c r="T52" s="676"/>
      <c r="U52" s="657">
        <f>+T52/Q52*100</f>
        <v>0</v>
      </c>
      <c r="V52" s="664"/>
      <c r="W52" s="1106"/>
      <c r="X52" s="713">
        <v>18</v>
      </c>
      <c r="Y52" s="2060"/>
      <c r="Z52" s="676"/>
      <c r="AA52" s="657"/>
      <c r="AB52" s="712"/>
      <c r="AC52" s="1106"/>
      <c r="AD52" s="1109"/>
      <c r="AE52" s="712"/>
      <c r="AF52" s="712"/>
      <c r="AG52" s="669"/>
      <c r="AH52" s="661"/>
      <c r="AI52" s="2060"/>
      <c r="AJ52" s="670"/>
      <c r="AK52" s="657"/>
      <c r="AL52" s="664"/>
      <c r="AM52" s="669">
        <v>33.341000000000001</v>
      </c>
      <c r="AN52" s="1780"/>
      <c r="AO52" s="670"/>
      <c r="AP52" s="657"/>
      <c r="AQ52" s="664"/>
      <c r="AR52" s="669"/>
      <c r="AS52" s="661"/>
      <c r="AT52" s="670"/>
      <c r="AU52" s="657"/>
      <c r="AV52" s="664"/>
      <c r="AW52" s="677">
        <f>'qtrP&amp;L'!$Z$13</f>
        <v>280.7</v>
      </c>
      <c r="AX52" s="677"/>
      <c r="AY52" s="677">
        <f>+E52+Q52+AM52+AR52</f>
        <v>280.7</v>
      </c>
      <c r="AZ52" s="682" t="str">
        <f>IF(AW52=AY52,"","n")</f>
        <v/>
      </c>
      <c r="BA52" s="665">
        <f>+(AY52/AY45-1)*100</f>
        <v>35.685144724375917</v>
      </c>
      <c r="BB52" s="666"/>
      <c r="BC52" s="677">
        <f>'qtrP&amp;L'!$Z$51</f>
        <v>48.870999999999995</v>
      </c>
      <c r="BD52" s="677"/>
      <c r="BE52" s="692"/>
      <c r="BF52" s="677">
        <f>+H52+T52+AO52+AT52-BE52</f>
        <v>0</v>
      </c>
      <c r="BG52" s="962"/>
      <c r="BH52" s="672">
        <f>+BF52/AY52*100</f>
        <v>0</v>
      </c>
      <c r="BI52" s="131"/>
      <c r="BJ52" s="131"/>
      <c r="BK52" s="131"/>
      <c r="BL52" s="131"/>
      <c r="BM52" s="131"/>
      <c r="BN52" s="131"/>
      <c r="BO52" s="131"/>
      <c r="BP52" s="131"/>
      <c r="BQ52" s="131"/>
      <c r="BR52" s="131"/>
      <c r="BS52" s="131"/>
      <c r="BT52" s="131"/>
      <c r="BU52" s="131"/>
      <c r="BV52" s="131"/>
      <c r="BW52" s="131"/>
      <c r="BX52" s="131"/>
      <c r="BY52" s="131"/>
    </row>
    <row r="53" spans="1:77" hidden="1" outlineLevel="3">
      <c r="A53" s="131"/>
      <c r="B53" s="131"/>
      <c r="C53" s="131" t="str">
        <f>$C$18</f>
        <v>Year</v>
      </c>
      <c r="D53" s="131"/>
      <c r="E53" s="686">
        <f>+SUM(E49:E52)</f>
        <v>364.15800000000002</v>
      </c>
      <c r="F53" s="661">
        <v>12</v>
      </c>
      <c r="G53" s="2060">
        <v>12</v>
      </c>
      <c r="H53" s="663">
        <v>68.316000000000003</v>
      </c>
      <c r="I53" s="671">
        <f>+H53/E53*100</f>
        <v>18.759988796072037</v>
      </c>
      <c r="J53" s="701"/>
      <c r="K53" s="701"/>
      <c r="L53" s="701"/>
      <c r="M53" s="701"/>
      <c r="N53" s="954">
        <v>7</v>
      </c>
      <c r="O53" s="953">
        <v>16</v>
      </c>
      <c r="P53" s="664"/>
      <c r="Q53" s="686">
        <f>+SUM(Q49:Q52)</f>
        <v>345.85299999999995</v>
      </c>
      <c r="R53" s="661">
        <f>+(Q53/Q46-1)*100</f>
        <v>22.705130615879664</v>
      </c>
      <c r="S53" s="2060"/>
      <c r="T53" s="663">
        <f>+SUM(T49:T52)</f>
        <v>0</v>
      </c>
      <c r="U53" s="657">
        <f>+T53/Q53*100</f>
        <v>0</v>
      </c>
      <c r="V53" s="664"/>
      <c r="W53" s="1104"/>
      <c r="X53" s="798">
        <v>13</v>
      </c>
      <c r="Y53" s="2060"/>
      <c r="Z53" s="663"/>
      <c r="AA53" s="657"/>
      <c r="AB53" s="723"/>
      <c r="AC53" s="1104"/>
      <c r="AD53" s="1103">
        <v>24</v>
      </c>
      <c r="AE53" s="723">
        <v>18</v>
      </c>
      <c r="AF53" s="723"/>
      <c r="AG53" s="686"/>
      <c r="AH53" s="661"/>
      <c r="AI53" s="2060"/>
      <c r="AJ53" s="663"/>
      <c r="AK53" s="657"/>
      <c r="AL53" s="664"/>
      <c r="AM53" s="660">
        <f>+SUM(AM49:AM52)</f>
        <v>93.281000000000006</v>
      </c>
      <c r="AN53" s="1780">
        <f>+(AM53/AM46-1)*100</f>
        <v>0.644124120668077</v>
      </c>
      <c r="AO53" s="663"/>
      <c r="AP53" s="657"/>
      <c r="AQ53" s="664"/>
      <c r="AR53" s="660"/>
      <c r="AS53" s="661"/>
      <c r="AT53" s="663"/>
      <c r="AU53" s="657"/>
      <c r="AV53" s="664"/>
      <c r="AW53" s="673">
        <f>'qtrP&amp;L'!$Z$14</f>
        <v>803.29199999999992</v>
      </c>
      <c r="AX53" s="673"/>
      <c r="AY53" s="679">
        <f>+E53+Q53+AM53+AR53</f>
        <v>803.29199999999992</v>
      </c>
      <c r="AZ53" s="682" t="str">
        <f>IF(AW53=AY53,"","n")</f>
        <v/>
      </c>
      <c r="BA53" s="665">
        <f>+(AY53/AY46-1)*100</f>
        <v>17.641407610375026</v>
      </c>
      <c r="BB53" s="666"/>
      <c r="BC53" s="673">
        <f>'qtrP&amp;L'!$Z$52</f>
        <v>80.012999999999977</v>
      </c>
      <c r="BD53" s="673"/>
      <c r="BE53" s="673">
        <f>SUM(BE49:BE52)</f>
        <v>0</v>
      </c>
      <c r="BF53" s="667">
        <f>+H53+T53+AO53+AT53-BE53</f>
        <v>68.316000000000003</v>
      </c>
      <c r="BG53" s="961"/>
      <c r="BH53" s="672">
        <f>+BF53/AY53*100</f>
        <v>8.5045039661791737</v>
      </c>
      <c r="BI53" s="131"/>
      <c r="BJ53" s="118">
        <f>+E53/$AY53</f>
        <v>0.45333203866091043</v>
      </c>
      <c r="BK53" s="118">
        <f>+Q53/$AY53</f>
        <v>0.43054455913914241</v>
      </c>
      <c r="BL53" s="118">
        <f>+AM53/AY53</f>
        <v>0.11612340219994724</v>
      </c>
      <c r="BM53" s="118">
        <f>+AR53/AY53</f>
        <v>0</v>
      </c>
      <c r="BN53" s="131"/>
      <c r="BO53" s="131"/>
      <c r="BP53" s="131"/>
      <c r="BQ53" s="131"/>
      <c r="BR53" s="131"/>
      <c r="BS53" s="131"/>
      <c r="BT53" s="131"/>
      <c r="BU53" s="131"/>
      <c r="BV53" s="131"/>
      <c r="BW53" s="131"/>
      <c r="BX53" s="131"/>
      <c r="BY53" s="131"/>
    </row>
    <row r="54" spans="1:77" hidden="1" outlineLevel="3">
      <c r="A54" s="131"/>
      <c r="B54" s="131"/>
      <c r="C54" s="131"/>
      <c r="D54" s="131"/>
      <c r="E54" s="656"/>
      <c r="F54" s="233"/>
      <c r="G54" s="2061"/>
      <c r="H54" s="227"/>
      <c r="I54" s="657"/>
      <c r="J54" s="709"/>
      <c r="K54" s="709"/>
      <c r="L54" s="709"/>
      <c r="M54" s="709"/>
      <c r="N54" s="233"/>
      <c r="O54" s="953"/>
      <c r="P54" s="643"/>
      <c r="Q54" s="656"/>
      <c r="R54" s="233"/>
      <c r="S54" s="2061"/>
      <c r="T54" s="227"/>
      <c r="U54" s="657"/>
      <c r="V54" s="643"/>
      <c r="W54" s="1105"/>
      <c r="X54" s="893"/>
      <c r="Y54" s="2061"/>
      <c r="Z54" s="227"/>
      <c r="AA54" s="657"/>
      <c r="AB54" s="643"/>
      <c r="AC54" s="1105"/>
      <c r="AD54" s="1108"/>
      <c r="AE54" s="643"/>
      <c r="AF54" s="643"/>
      <c r="AG54" s="656"/>
      <c r="AH54" s="233"/>
      <c r="AI54" s="2061"/>
      <c r="AJ54" s="227"/>
      <c r="AK54" s="657"/>
      <c r="AL54" s="643"/>
      <c r="AM54" s="656"/>
      <c r="AN54" s="234"/>
      <c r="AO54" s="227"/>
      <c r="AP54" s="657"/>
      <c r="AQ54" s="643"/>
      <c r="AR54" s="656"/>
      <c r="AS54" s="233"/>
      <c r="AT54" s="227"/>
      <c r="AU54" s="657"/>
      <c r="AV54" s="643"/>
      <c r="AW54" s="658"/>
      <c r="AX54" s="658"/>
      <c r="AY54" s="658"/>
      <c r="AZ54" s="659"/>
      <c r="BA54" s="132"/>
      <c r="BB54" s="132"/>
      <c r="BC54" s="658"/>
      <c r="BD54" s="658"/>
      <c r="BE54" s="658"/>
      <c r="BF54" s="658"/>
      <c r="BG54" s="960"/>
      <c r="BH54" s="131"/>
      <c r="BI54" s="131"/>
      <c r="BJ54" s="131"/>
      <c r="BK54" s="131"/>
      <c r="BL54" s="131"/>
      <c r="BM54" s="131"/>
      <c r="BN54" s="131"/>
      <c r="BO54" s="131"/>
      <c r="BP54" s="131"/>
      <c r="BQ54" s="131"/>
      <c r="BR54" s="131"/>
      <c r="BS54" s="131"/>
      <c r="BT54" s="131"/>
      <c r="BU54" s="131"/>
      <c r="BV54" s="131"/>
      <c r="BW54" s="131"/>
      <c r="BX54" s="131"/>
      <c r="BY54" s="131"/>
    </row>
    <row r="55" spans="1:77" hidden="1" outlineLevel="3">
      <c r="A55" s="131"/>
      <c r="B55" s="2506">
        <f>+B48+1</f>
        <v>1996</v>
      </c>
      <c r="C55" s="2506"/>
      <c r="D55" s="131"/>
      <c r="E55" s="656"/>
      <c r="F55" s="233"/>
      <c r="G55" s="2062"/>
      <c r="H55" s="227"/>
      <c r="I55" s="657"/>
      <c r="J55" s="709"/>
      <c r="K55" s="709"/>
      <c r="L55" s="709"/>
      <c r="M55" s="709"/>
      <c r="N55" s="954"/>
      <c r="O55" s="953"/>
      <c r="P55" s="643"/>
      <c r="Q55" s="656"/>
      <c r="R55" s="233"/>
      <c r="S55" s="2062"/>
      <c r="T55" s="227"/>
      <c r="U55" s="657"/>
      <c r="V55" s="643"/>
      <c r="W55" s="1105"/>
      <c r="X55" s="893"/>
      <c r="Y55" s="2062"/>
      <c r="Z55" s="227"/>
      <c r="AA55" s="657"/>
      <c r="AB55" s="643"/>
      <c r="AC55" s="1105"/>
      <c r="AD55" s="1108"/>
      <c r="AE55" s="643"/>
      <c r="AF55" s="643"/>
      <c r="AG55" s="656"/>
      <c r="AH55" s="233"/>
      <c r="AI55" s="2062"/>
      <c r="AJ55" s="227"/>
      <c r="AK55" s="657"/>
      <c r="AL55" s="643"/>
      <c r="AM55" s="656"/>
      <c r="AN55" s="234"/>
      <c r="AO55" s="227"/>
      <c r="AP55" s="657"/>
      <c r="AQ55" s="643"/>
      <c r="AR55" s="656"/>
      <c r="AS55" s="233"/>
      <c r="AT55" s="227"/>
      <c r="AU55" s="657"/>
      <c r="AV55" s="643"/>
      <c r="AW55" s="658"/>
      <c r="AX55" s="658"/>
      <c r="AY55" s="658"/>
      <c r="AZ55" s="659"/>
      <c r="BA55" s="132"/>
      <c r="BB55" s="132"/>
      <c r="BC55" s="658"/>
      <c r="BD55" s="658"/>
      <c r="BE55" s="658"/>
      <c r="BF55" s="658"/>
      <c r="BG55" s="960"/>
      <c r="BH55" s="131"/>
      <c r="BI55" s="131"/>
      <c r="BJ55" s="131"/>
      <c r="BK55" s="131"/>
      <c r="BL55" s="131"/>
      <c r="BM55" s="131"/>
      <c r="BN55" s="131"/>
      <c r="BO55" s="131"/>
      <c r="BP55" s="131"/>
      <c r="BQ55" s="131"/>
      <c r="BR55" s="131"/>
      <c r="BS55" s="131"/>
      <c r="BT55" s="131"/>
      <c r="BU55" s="131"/>
      <c r="BV55" s="131"/>
      <c r="BW55" s="131"/>
      <c r="BX55" s="131"/>
      <c r="BY55" s="131"/>
    </row>
    <row r="56" spans="1:77" hidden="1" outlineLevel="3">
      <c r="A56" s="131"/>
      <c r="B56" s="131" t="str">
        <f>$B$14</f>
        <v>1Q</v>
      </c>
      <c r="C56" s="131" t="str">
        <f>$C$14</f>
        <v>Apr</v>
      </c>
      <c r="D56" s="131"/>
      <c r="E56" s="660">
        <v>80.396000000000001</v>
      </c>
      <c r="F56" s="661">
        <f>+(E56/E49-1)*100</f>
        <v>30.155903446712749</v>
      </c>
      <c r="G56" s="2060"/>
      <c r="H56" s="663"/>
      <c r="I56" s="671">
        <f>+H56/E56*100</f>
        <v>0</v>
      </c>
      <c r="J56" s="701"/>
      <c r="K56" s="701"/>
      <c r="L56" s="701"/>
      <c r="M56" s="701"/>
      <c r="N56" s="953"/>
      <c r="O56" s="953"/>
      <c r="P56" s="664"/>
      <c r="Q56" s="660">
        <v>81.427000000000007</v>
      </c>
      <c r="R56" s="661">
        <f>+(Q56/Q49-1)*100</f>
        <v>16.97264839395509</v>
      </c>
      <c r="S56" s="2060"/>
      <c r="T56" s="663"/>
      <c r="U56" s="657">
        <f>+T56/Q56*100</f>
        <v>0</v>
      </c>
      <c r="V56" s="664"/>
      <c r="W56" s="1106"/>
      <c r="X56" s="713"/>
      <c r="Y56" s="2060"/>
      <c r="Z56" s="663"/>
      <c r="AA56" s="657"/>
      <c r="AB56" s="712"/>
      <c r="AC56" s="1106"/>
      <c r="AD56" s="1109"/>
      <c r="AE56" s="712"/>
      <c r="AF56" s="712"/>
      <c r="AG56" s="660"/>
      <c r="AH56" s="661"/>
      <c r="AI56" s="2060"/>
      <c r="AJ56" s="663"/>
      <c r="AK56" s="657"/>
      <c r="AL56" s="664"/>
      <c r="AM56" s="660">
        <v>18.917999999999999</v>
      </c>
      <c r="AN56" s="1780">
        <f>+(AM56/AM49-1)*100</f>
        <v>0.82609390822361295</v>
      </c>
      <c r="AO56" s="663"/>
      <c r="AP56" s="657"/>
      <c r="AQ56" s="664"/>
      <c r="AR56" s="660"/>
      <c r="AS56" s="661"/>
      <c r="AT56" s="663"/>
      <c r="AU56" s="657"/>
      <c r="AV56" s="664"/>
      <c r="AW56" s="673">
        <f>'qtrP&amp;L'!$AD$10</f>
        <v>180.74100000000001</v>
      </c>
      <c r="AX56" s="673"/>
      <c r="AY56" s="679">
        <f>+E56+Q56+AM56+AR56</f>
        <v>180.74100000000001</v>
      </c>
      <c r="AZ56" s="682" t="str">
        <f>IF(AW56=AY56,"","n")</f>
        <v/>
      </c>
      <c r="BA56" s="683">
        <f>+(AY56/AY49-1)*100</f>
        <v>20.378436700767267</v>
      </c>
      <c r="BB56" s="666"/>
      <c r="BC56" s="673">
        <f>'qtrP&amp;L'!$AD$48</f>
        <v>12.27800000000002</v>
      </c>
      <c r="BD56" s="673"/>
      <c r="BE56" s="695"/>
      <c r="BF56" s="667">
        <f>+H56+T56+AO56+AT56-BE56</f>
        <v>0</v>
      </c>
      <c r="BG56" s="961"/>
      <c r="BH56" s="672">
        <f>+BF56/AY56*100</f>
        <v>0</v>
      </c>
      <c r="BI56" s="131"/>
      <c r="BJ56" s="131"/>
      <c r="BK56" s="131"/>
      <c r="BL56" s="131"/>
      <c r="BM56" s="131"/>
      <c r="BN56" s="131"/>
      <c r="BO56" s="131"/>
      <c r="BP56" s="131"/>
      <c r="BQ56" s="131"/>
      <c r="BR56" s="131"/>
      <c r="BS56" s="131"/>
      <c r="BT56" s="131"/>
      <c r="BU56" s="131"/>
      <c r="BV56" s="131"/>
      <c r="BW56" s="131"/>
      <c r="BX56" s="131"/>
      <c r="BY56" s="131"/>
    </row>
    <row r="57" spans="1:77" hidden="1" outlineLevel="3">
      <c r="A57" s="131"/>
      <c r="B57" s="131" t="str">
        <f>$B$15</f>
        <v>2Q</v>
      </c>
      <c r="C57" s="131" t="str">
        <f>$C$15</f>
        <v>Jul</v>
      </c>
      <c r="D57" s="131"/>
      <c r="E57" s="669">
        <v>92.498999999999995</v>
      </c>
      <c r="F57" s="661">
        <f>+(E57/E50-1)*100</f>
        <v>12.611395178962749</v>
      </c>
      <c r="G57" s="2060"/>
      <c r="H57" s="670"/>
      <c r="I57" s="671">
        <f>+H57/E57*100</f>
        <v>0</v>
      </c>
      <c r="J57" s="701"/>
      <c r="K57" s="701"/>
      <c r="L57" s="701"/>
      <c r="M57" s="701"/>
      <c r="N57" s="953"/>
      <c r="O57" s="953"/>
      <c r="P57" s="664"/>
      <c r="Q57" s="669">
        <v>88.156000000000006</v>
      </c>
      <c r="R57" s="661">
        <f>+(Q57/Q50-1)*100</f>
        <v>7.2653160552412333</v>
      </c>
      <c r="S57" s="2060"/>
      <c r="T57" s="670"/>
      <c r="U57" s="671">
        <f>+T57/Q57*100</f>
        <v>0</v>
      </c>
      <c r="V57" s="664"/>
      <c r="W57" s="1106"/>
      <c r="X57" s="713"/>
      <c r="Y57" s="2060"/>
      <c r="Z57" s="670"/>
      <c r="AA57" s="671"/>
      <c r="AB57" s="712"/>
      <c r="AC57" s="1106"/>
      <c r="AD57" s="1109"/>
      <c r="AE57" s="712"/>
      <c r="AF57" s="712"/>
      <c r="AG57" s="669"/>
      <c r="AH57" s="661"/>
      <c r="AI57" s="2060"/>
      <c r="AJ57" s="670"/>
      <c r="AK57" s="671"/>
      <c r="AL57" s="664"/>
      <c r="AM57" s="669">
        <v>22.108000000000001</v>
      </c>
      <c r="AN57" s="1780">
        <f>+(AM57/AM50-1)*100</f>
        <v>8.6014638699219113</v>
      </c>
      <c r="AO57" s="670"/>
      <c r="AP57" s="671"/>
      <c r="AQ57" s="664"/>
      <c r="AR57" s="669"/>
      <c r="AS57" s="661"/>
      <c r="AT57" s="670"/>
      <c r="AU57" s="671"/>
      <c r="AV57" s="664"/>
      <c r="AW57" s="673">
        <f>'qtrP&amp;L'!$AD$11</f>
        <v>202.76300000000001</v>
      </c>
      <c r="AX57" s="673"/>
      <c r="AY57" s="673">
        <f>+E57+Q57+AM57+AR57</f>
        <v>202.76300000000001</v>
      </c>
      <c r="AZ57" s="682" t="str">
        <f>IF(AW57=AY57,"","n")</f>
        <v/>
      </c>
      <c r="BA57" s="683">
        <f>+(AY57/AY50-1)*100</f>
        <v>9.7903423181468838</v>
      </c>
      <c r="BB57" s="666"/>
      <c r="BC57" s="673">
        <f>'qtrP&amp;L'!$AD$49</f>
        <v>16.878</v>
      </c>
      <c r="BD57" s="673"/>
      <c r="BE57" s="691"/>
      <c r="BF57" s="673">
        <f>+H57+T57+AO57+AT57-BE57</f>
        <v>0</v>
      </c>
      <c r="BG57" s="962"/>
      <c r="BH57" s="672">
        <f>+BF57/AY57*100</f>
        <v>0</v>
      </c>
      <c r="BI57" s="131"/>
      <c r="BJ57" s="131"/>
      <c r="BK57" s="131"/>
      <c r="BL57" s="131"/>
      <c r="BM57" s="131"/>
      <c r="BN57" s="131"/>
      <c r="BO57" s="131"/>
      <c r="BP57" s="131"/>
      <c r="BQ57" s="131"/>
      <c r="BR57" s="131"/>
      <c r="BS57" s="131"/>
      <c r="BT57" s="131"/>
      <c r="BU57" s="131"/>
      <c r="BV57" s="131"/>
      <c r="BW57" s="131"/>
      <c r="BX57" s="131"/>
      <c r="BY57" s="131"/>
    </row>
    <row r="58" spans="1:77" hidden="1" outlineLevel="3">
      <c r="A58" s="131"/>
      <c r="B58" s="131" t="str">
        <f>$B$16</f>
        <v>3Q</v>
      </c>
      <c r="C58" s="131" t="str">
        <f>$C$16</f>
        <v>Oct</v>
      </c>
      <c r="D58" s="131"/>
      <c r="E58" s="669">
        <v>99.715000000000003</v>
      </c>
      <c r="F58" s="661">
        <f>+(E58/E51-1)*100</f>
        <v>14.126951426086155</v>
      </c>
      <c r="G58" s="2060"/>
      <c r="H58" s="670"/>
      <c r="I58" s="671">
        <f>+H58/E58*100</f>
        <v>0</v>
      </c>
      <c r="J58" s="701"/>
      <c r="K58" s="701"/>
      <c r="L58" s="701"/>
      <c r="M58" s="701"/>
      <c r="N58" s="953"/>
      <c r="O58" s="953"/>
      <c r="P58" s="664"/>
      <c r="Q58" s="669">
        <v>88.724000000000004</v>
      </c>
      <c r="R58" s="661">
        <f>+(Q58/Q51-1)*100</f>
        <v>11.498730741196873</v>
      </c>
      <c r="S58" s="2060"/>
      <c r="T58" s="670"/>
      <c r="U58" s="657">
        <f>+T58/Q58*100</f>
        <v>0</v>
      </c>
      <c r="V58" s="664"/>
      <c r="W58" s="1106"/>
      <c r="X58" s="713"/>
      <c r="Y58" s="2060"/>
      <c r="Z58" s="670"/>
      <c r="AA58" s="657"/>
      <c r="AB58" s="712"/>
      <c r="AC58" s="1106"/>
      <c r="AD58" s="1109"/>
      <c r="AE58" s="712"/>
      <c r="AF58" s="712"/>
      <c r="AG58" s="669"/>
      <c r="AH58" s="661"/>
      <c r="AI58" s="2060"/>
      <c r="AJ58" s="670"/>
      <c r="AK58" s="657"/>
      <c r="AL58" s="664"/>
      <c r="AM58" s="669">
        <v>22.545999999999999</v>
      </c>
      <c r="AN58" s="1780">
        <f>+(AM58/AM51-1)*100</f>
        <v>8.2901056676272677</v>
      </c>
      <c r="AO58" s="670"/>
      <c r="AP58" s="657"/>
      <c r="AQ58" s="664"/>
      <c r="AR58" s="669"/>
      <c r="AS58" s="661"/>
      <c r="AT58" s="670"/>
      <c r="AU58" s="657"/>
      <c r="AV58" s="664"/>
      <c r="AW58" s="673">
        <f>'qtrP&amp;L'!$AD$12</f>
        <v>210.98500000000001</v>
      </c>
      <c r="AX58" s="673"/>
      <c r="AY58" s="673">
        <f>+E58+Q58+AM58+AR58</f>
        <v>210.98500000000001</v>
      </c>
      <c r="AZ58" s="682" t="str">
        <f>IF(AW58=AY58,"","n")</f>
        <v/>
      </c>
      <c r="BA58" s="683">
        <f>+(AY58/AY51-1)*100</f>
        <v>12.365923543133484</v>
      </c>
      <c r="BB58" s="666"/>
      <c r="BC58" s="673">
        <f>'qtrP&amp;L'!$AD$50</f>
        <v>18.643000000000015</v>
      </c>
      <c r="BD58" s="673"/>
      <c r="BE58" s="691"/>
      <c r="BF58" s="673">
        <f>+H58+T58+AO58+AT58-BE58</f>
        <v>0</v>
      </c>
      <c r="BG58" s="962"/>
      <c r="BH58" s="672">
        <f>+BF58/AY58*100</f>
        <v>0</v>
      </c>
      <c r="BI58" s="131"/>
      <c r="BJ58" s="131"/>
      <c r="BK58" s="131"/>
      <c r="BL58" s="131"/>
      <c r="BM58" s="131"/>
      <c r="BN58" s="131"/>
      <c r="BO58" s="131"/>
      <c r="BP58" s="131"/>
      <c r="BQ58" s="131"/>
      <c r="BR58" s="131"/>
      <c r="BS58" s="131"/>
      <c r="BT58" s="131"/>
      <c r="BU58" s="131"/>
      <c r="BV58" s="131"/>
      <c r="BW58" s="131"/>
      <c r="BX58" s="131"/>
      <c r="BY58" s="131"/>
    </row>
    <row r="59" spans="1:77" hidden="1" outlineLevel="3">
      <c r="A59" s="131"/>
      <c r="B59" s="131" t="str">
        <f>$B$17</f>
        <v>4Q</v>
      </c>
      <c r="C59" s="131" t="str">
        <f>$C$17</f>
        <v>Jan</v>
      </c>
      <c r="D59" s="131"/>
      <c r="E59" s="675">
        <v>151.57499999999999</v>
      </c>
      <c r="F59" s="661">
        <f>+(E59/E52-1)*100</f>
        <v>14.071660257230345</v>
      </c>
      <c r="G59" s="2060">
        <v>11</v>
      </c>
      <c r="H59" s="676"/>
      <c r="I59" s="671">
        <f>+H59/E59*100</f>
        <v>0</v>
      </c>
      <c r="J59" s="701"/>
      <c r="K59" s="701"/>
      <c r="L59" s="701"/>
      <c r="M59" s="701"/>
      <c r="N59" s="953"/>
      <c r="O59" s="953"/>
      <c r="P59" s="664"/>
      <c r="Q59" s="675">
        <v>139.03399999999999</v>
      </c>
      <c r="R59" s="661">
        <f>+(Q59/Q52-1)*100</f>
        <v>21.446166209535122</v>
      </c>
      <c r="S59" s="2060"/>
      <c r="T59" s="676"/>
      <c r="U59" s="657">
        <f>+T59/Q59*100</f>
        <v>0</v>
      </c>
      <c r="V59" s="664"/>
      <c r="W59" s="1106"/>
      <c r="X59" s="713">
        <v>20</v>
      </c>
      <c r="Y59" s="2060"/>
      <c r="Z59" s="676"/>
      <c r="AA59" s="657"/>
      <c r="AB59" s="712"/>
      <c r="AC59" s="1106"/>
      <c r="AD59" s="1109" t="s">
        <v>1376</v>
      </c>
      <c r="AE59" s="712" t="s">
        <v>1376</v>
      </c>
      <c r="AF59" s="712"/>
      <c r="AG59" s="669"/>
      <c r="AH59" s="661"/>
      <c r="AI59" s="2060"/>
      <c r="AJ59" s="670"/>
      <c r="AK59" s="657"/>
      <c r="AL59" s="664"/>
      <c r="AM59" s="669">
        <v>37.01</v>
      </c>
      <c r="AN59" s="1780">
        <f>+(AM59/AM52-1)*100</f>
        <v>11.004468972136404</v>
      </c>
      <c r="AO59" s="676"/>
      <c r="AP59" s="657"/>
      <c r="AQ59" s="664"/>
      <c r="AR59" s="669"/>
      <c r="AS59" s="661"/>
      <c r="AT59" s="670"/>
      <c r="AU59" s="657"/>
      <c r="AV59" s="664"/>
      <c r="AW59" s="677">
        <f>'qtrP&amp;L'!$AD$13</f>
        <v>327.61900000000003</v>
      </c>
      <c r="AX59" s="677"/>
      <c r="AY59" s="677">
        <f>+E59+Q59+AM59+AR59</f>
        <v>327.61899999999997</v>
      </c>
      <c r="AZ59" s="682" t="str">
        <f>IF(AW59=AY59,"","n")</f>
        <v/>
      </c>
      <c r="BA59" s="665">
        <f>+(AY59/AY52-1)*100</f>
        <v>16.714998218738852</v>
      </c>
      <c r="BB59" s="666"/>
      <c r="BC59" s="677">
        <f>'qtrP&amp;L'!$AD$51</f>
        <v>61.614000000000033</v>
      </c>
      <c r="BD59" s="677"/>
      <c r="BE59" s="677"/>
      <c r="BF59" s="677">
        <f>+H59+T59+AO59+AT59-BE59</f>
        <v>0</v>
      </c>
      <c r="BG59" s="962"/>
      <c r="BH59" s="672">
        <f>+BF59/AY59*100</f>
        <v>0</v>
      </c>
      <c r="BI59" s="131"/>
      <c r="BJ59" s="131"/>
      <c r="BK59" s="131"/>
      <c r="BL59" s="131"/>
      <c r="BM59" s="131"/>
      <c r="BN59" s="131"/>
      <c r="BO59" s="131"/>
      <c r="BP59" s="131"/>
      <c r="BQ59" s="131"/>
      <c r="BR59" s="131"/>
      <c r="BS59" s="131"/>
      <c r="BT59" s="131"/>
      <c r="BU59" s="131"/>
      <c r="BV59" s="131"/>
      <c r="BW59" s="131"/>
      <c r="BX59" s="131"/>
      <c r="BY59" s="131"/>
    </row>
    <row r="60" spans="1:77" hidden="1" outlineLevel="3">
      <c r="A60" s="131"/>
      <c r="B60" s="131"/>
      <c r="C60" s="131" t="str">
        <f>$C$18</f>
        <v>Year</v>
      </c>
      <c r="D60" s="131"/>
      <c r="E60" s="686">
        <f>+SUM(E56:E59)</f>
        <v>424.185</v>
      </c>
      <c r="F60" s="661">
        <f>+(E60/E53-1)*100</f>
        <v>16.483779018997247</v>
      </c>
      <c r="G60" s="2060">
        <v>11</v>
      </c>
      <c r="H60" s="663">
        <v>86.96</v>
      </c>
      <c r="I60" s="671">
        <f>+H60/E60*100</f>
        <v>20.500489173355962</v>
      </c>
      <c r="J60" s="701"/>
      <c r="K60" s="701"/>
      <c r="L60" s="701"/>
      <c r="M60" s="701"/>
      <c r="N60" s="953"/>
      <c r="O60" s="953"/>
      <c r="P60" s="664"/>
      <c r="Q60" s="686">
        <f>+SUM(Q56:Q59)</f>
        <v>397.34100000000001</v>
      </c>
      <c r="R60" s="661">
        <f>+(Q60/Q53-1)*100</f>
        <v>14.88724978531344</v>
      </c>
      <c r="S60" s="2060"/>
      <c r="T60" s="663">
        <v>87.866</v>
      </c>
      <c r="U60" s="657">
        <f>+T60/Q60*100</f>
        <v>22.113499487845452</v>
      </c>
      <c r="V60" s="664"/>
      <c r="W60" s="1104"/>
      <c r="X60" s="798">
        <v>13</v>
      </c>
      <c r="Y60" s="2060"/>
      <c r="Z60" s="663"/>
      <c r="AA60" s="657"/>
      <c r="AB60" s="723"/>
      <c r="AC60" s="1104"/>
      <c r="AD60" s="1103">
        <v>15</v>
      </c>
      <c r="AE60" s="723">
        <v>22</v>
      </c>
      <c r="AF60" s="723"/>
      <c r="AG60" s="686"/>
      <c r="AH60" s="661"/>
      <c r="AI60" s="2060"/>
      <c r="AJ60" s="663"/>
      <c r="AK60" s="657"/>
      <c r="AL60" s="664"/>
      <c r="AM60" s="660">
        <f>+SUM(AM56:AM59)</f>
        <v>100.58199999999999</v>
      </c>
      <c r="AN60" s="1780">
        <f>+(AM60/AM53-1)*100</f>
        <v>7.8268886482777633</v>
      </c>
      <c r="AO60" s="663">
        <v>11.276</v>
      </c>
      <c r="AP60" s="657"/>
      <c r="AQ60" s="664"/>
      <c r="AR60" s="660"/>
      <c r="AS60" s="661"/>
      <c r="AT60" s="663"/>
      <c r="AU60" s="657"/>
      <c r="AV60" s="664"/>
      <c r="AW60" s="673">
        <f>'qtrP&amp;L'!$AD$14</f>
        <v>922.10800000000006</v>
      </c>
      <c r="AX60" s="673"/>
      <c r="AY60" s="679">
        <f>+E60+Q60+AM60+AR60</f>
        <v>922.10800000000006</v>
      </c>
      <c r="AZ60" s="682" t="str">
        <f>IF(AW60=AY60,"","n")</f>
        <v/>
      </c>
      <c r="BA60" s="665">
        <f>+(AY60/AY53-1)*100</f>
        <v>14.791134481608204</v>
      </c>
      <c r="BB60" s="666"/>
      <c r="BC60" s="673">
        <f>'qtrP&amp;L'!$AD$52</f>
        <v>109.41300000000007</v>
      </c>
      <c r="BD60" s="673"/>
      <c r="BE60" s="691">
        <v>76.688999999999993</v>
      </c>
      <c r="BF60" s="667">
        <f>+H60+T60+AO60+AT60-BE60</f>
        <v>109.41300000000001</v>
      </c>
      <c r="BG60" s="961"/>
      <c r="BH60" s="672">
        <f>+BF60/AY60*100</f>
        <v>11.865529851167109</v>
      </c>
      <c r="BI60" s="131"/>
      <c r="BJ60" s="118">
        <f>+E60/$AY60</f>
        <v>0.46001661410593986</v>
      </c>
      <c r="BK60" s="118">
        <f>+Q60/$AY60</f>
        <v>0.43090505667448931</v>
      </c>
      <c r="BL60" s="118">
        <f>+AM60/AY60</f>
        <v>0.10907832921957079</v>
      </c>
      <c r="BM60" s="118">
        <f>+AR60/AY60</f>
        <v>0</v>
      </c>
      <c r="BN60" s="131"/>
      <c r="BO60" s="131"/>
      <c r="BP60" s="131"/>
      <c r="BQ60" s="131"/>
      <c r="BR60" s="131"/>
      <c r="BS60" s="131"/>
      <c r="BT60" s="131"/>
      <c r="BU60" s="131"/>
      <c r="BV60" s="131"/>
      <c r="BW60" s="131"/>
      <c r="BX60" s="131"/>
      <c r="BY60" s="131"/>
    </row>
    <row r="61" spans="1:77" hidden="1" outlineLevel="3">
      <c r="A61" s="131"/>
      <c r="B61" s="131"/>
      <c r="C61" s="131"/>
      <c r="D61" s="131"/>
      <c r="E61" s="656"/>
      <c r="F61" s="233"/>
      <c r="G61" s="2058"/>
      <c r="H61" s="227"/>
      <c r="I61" s="657"/>
      <c r="J61" s="709"/>
      <c r="K61" s="709"/>
      <c r="L61" s="709"/>
      <c r="M61" s="709"/>
      <c r="N61" s="233"/>
      <c r="O61" s="953"/>
      <c r="P61" s="643"/>
      <c r="Q61" s="656"/>
      <c r="R61" s="233"/>
      <c r="S61" s="2058"/>
      <c r="T61" s="227"/>
      <c r="U61" s="657"/>
      <c r="V61" s="643"/>
      <c r="W61" s="1105"/>
      <c r="X61" s="893"/>
      <c r="Y61" s="2058"/>
      <c r="Z61" s="227"/>
      <c r="AA61" s="657"/>
      <c r="AB61" s="643"/>
      <c r="AC61" s="1105"/>
      <c r="AD61" s="1108"/>
      <c r="AE61" s="643"/>
      <c r="AF61" s="643"/>
      <c r="AG61" s="656"/>
      <c r="AH61" s="233"/>
      <c r="AI61" s="2058"/>
      <c r="AJ61" s="227"/>
      <c r="AK61" s="657"/>
      <c r="AL61" s="643"/>
      <c r="AM61" s="656"/>
      <c r="AN61" s="234"/>
      <c r="AO61" s="227"/>
      <c r="AP61" s="657"/>
      <c r="AQ61" s="643"/>
      <c r="AR61" s="656"/>
      <c r="AS61" s="233"/>
      <c r="AT61" s="227"/>
      <c r="AU61" s="657"/>
      <c r="AV61" s="643"/>
      <c r="AW61" s="658"/>
      <c r="AX61" s="658"/>
      <c r="AY61" s="658"/>
      <c r="AZ61" s="659"/>
      <c r="BA61" s="132"/>
      <c r="BB61" s="132"/>
      <c r="BC61" s="658"/>
      <c r="BD61" s="658"/>
      <c r="BE61" s="658"/>
      <c r="BF61" s="658"/>
      <c r="BG61" s="960"/>
      <c r="BH61" s="131"/>
      <c r="BI61" s="131"/>
      <c r="BJ61" s="131"/>
      <c r="BK61" s="131"/>
      <c r="BL61" s="131"/>
      <c r="BM61" s="131"/>
      <c r="BN61" s="131"/>
      <c r="BO61" s="131"/>
      <c r="BP61" s="131"/>
      <c r="BQ61" s="131"/>
      <c r="BR61" s="131"/>
      <c r="BS61" s="131"/>
      <c r="BT61" s="131"/>
      <c r="BU61" s="131"/>
      <c r="BV61" s="131"/>
      <c r="BW61" s="131"/>
      <c r="BX61" s="131"/>
      <c r="BY61" s="131"/>
    </row>
    <row r="62" spans="1:77" hidden="1" outlineLevel="3" collapsed="1">
      <c r="A62" s="131"/>
      <c r="B62" s="2506">
        <f>+B55+1</f>
        <v>1997</v>
      </c>
      <c r="C62" s="2506"/>
      <c r="D62" s="131"/>
      <c r="E62" s="656"/>
      <c r="F62" s="233"/>
      <c r="G62" s="2058"/>
      <c r="H62" s="227"/>
      <c r="I62" s="657"/>
      <c r="J62" s="709"/>
      <c r="K62" s="709"/>
      <c r="L62" s="709"/>
      <c r="M62" s="709"/>
      <c r="N62" s="233"/>
      <c r="O62" s="953"/>
      <c r="P62" s="643"/>
      <c r="Q62" s="656"/>
      <c r="R62" s="233"/>
      <c r="S62" s="2058"/>
      <c r="T62" s="227"/>
      <c r="U62" s="657"/>
      <c r="V62" s="643"/>
      <c r="W62" s="1105"/>
      <c r="X62" s="893"/>
      <c r="Y62" s="2058"/>
      <c r="Z62" s="227"/>
      <c r="AA62" s="657"/>
      <c r="AB62" s="643"/>
      <c r="AC62" s="1105"/>
      <c r="AD62" s="1108"/>
      <c r="AE62" s="643"/>
      <c r="AF62" s="643"/>
      <c r="AG62" s="656"/>
      <c r="AH62" s="233"/>
      <c r="AI62" s="2058"/>
      <c r="AJ62" s="227"/>
      <c r="AK62" s="657"/>
      <c r="AL62" s="643"/>
      <c r="AM62" s="656"/>
      <c r="AN62" s="234"/>
      <c r="AO62" s="227"/>
      <c r="AP62" s="657"/>
      <c r="AQ62" s="643"/>
      <c r="AR62" s="656"/>
      <c r="AS62" s="233"/>
      <c r="AT62" s="227"/>
      <c r="AU62" s="657"/>
      <c r="AV62" s="643"/>
      <c r="AW62" s="658"/>
      <c r="AX62" s="658"/>
      <c r="AY62" s="658"/>
      <c r="AZ62" s="659"/>
      <c r="BA62" s="132"/>
      <c r="BB62" s="132"/>
      <c r="BC62" s="658"/>
      <c r="BD62" s="658"/>
      <c r="BE62" s="658"/>
      <c r="BF62" s="658"/>
      <c r="BG62" s="960"/>
      <c r="BH62" s="131"/>
      <c r="BI62" s="131"/>
      <c r="BJ62" s="131"/>
      <c r="BK62" s="131"/>
      <c r="BL62" s="131"/>
      <c r="BM62" s="131"/>
      <c r="BN62" s="131"/>
      <c r="BO62" s="131"/>
      <c r="BP62" s="131"/>
      <c r="BQ62" s="131"/>
      <c r="BR62" s="131"/>
      <c r="BS62" s="131"/>
      <c r="BT62" s="131"/>
      <c r="BU62" s="131"/>
      <c r="BV62" s="131"/>
      <c r="BW62" s="131"/>
      <c r="BX62" s="131"/>
      <c r="BY62" s="131"/>
    </row>
    <row r="63" spans="1:77" hidden="1" outlineLevel="3">
      <c r="A63" s="131"/>
      <c r="B63" s="131" t="str">
        <f>$B$14</f>
        <v>1Q</v>
      </c>
      <c r="C63" s="131" t="str">
        <f>$C$14</f>
        <v>Apr</v>
      </c>
      <c r="D63" s="131"/>
      <c r="E63" s="660">
        <v>87.733999999999995</v>
      </c>
      <c r="F63" s="661">
        <f>+(E63/E56-1)*100</f>
        <v>9.1273197671525974</v>
      </c>
      <c r="G63" s="2060">
        <v>7</v>
      </c>
      <c r="H63" s="663"/>
      <c r="I63" s="671">
        <f>+H63/E63*100</f>
        <v>0</v>
      </c>
      <c r="J63" s="701"/>
      <c r="K63" s="701"/>
      <c r="L63" s="701"/>
      <c r="M63" s="701"/>
      <c r="N63" s="953">
        <v>3</v>
      </c>
      <c r="O63" s="953">
        <v>9</v>
      </c>
      <c r="P63" s="664"/>
      <c r="Q63" s="660">
        <v>95.238</v>
      </c>
      <c r="R63" s="661">
        <f>+(Q63/Q56-1)*100</f>
        <v>16.961204514473071</v>
      </c>
      <c r="S63" s="2060"/>
      <c r="T63" s="663"/>
      <c r="U63" s="671">
        <f>+T63/Q63*100</f>
        <v>0</v>
      </c>
      <c r="V63" s="664"/>
      <c r="W63" s="1104"/>
      <c r="X63" s="798">
        <v>26</v>
      </c>
      <c r="Y63" s="2060"/>
      <c r="Z63" s="663"/>
      <c r="AA63" s="671"/>
      <c r="AB63" s="723"/>
      <c r="AC63" s="1104"/>
      <c r="AD63" s="1103">
        <v>16</v>
      </c>
      <c r="AE63" s="723">
        <v>32</v>
      </c>
      <c r="AF63" s="723"/>
      <c r="AG63" s="660"/>
      <c r="AH63" s="661"/>
      <c r="AI63" s="2060"/>
      <c r="AJ63" s="663"/>
      <c r="AK63" s="671"/>
      <c r="AL63" s="664"/>
      <c r="AM63" s="660">
        <v>16.727</v>
      </c>
      <c r="AN63" s="1780">
        <f>+(AM63/AM56-1)*100</f>
        <v>-11.581562533037316</v>
      </c>
      <c r="AO63" s="663">
        <v>7</v>
      </c>
      <c r="AP63" s="671">
        <f>+AO63/AM63*100</f>
        <v>41.84850839959347</v>
      </c>
      <c r="AQ63" s="664"/>
      <c r="AR63" s="660"/>
      <c r="AS63" s="661"/>
      <c r="AT63" s="663"/>
      <c r="AU63" s="671"/>
      <c r="AV63" s="664"/>
      <c r="AW63" s="673">
        <f>'qtrP&amp;L'!$AH$10</f>
        <v>199.69900000000001</v>
      </c>
      <c r="AX63" s="673"/>
      <c r="AY63" s="679">
        <f>+E63+Q63+AM63+AR63</f>
        <v>199.69899999999998</v>
      </c>
      <c r="AZ63" s="682" t="str">
        <f>IF(AW63=AY63,"","n")</f>
        <v/>
      </c>
      <c r="BA63" s="665">
        <f>+(AY63/AY56-1)*100</f>
        <v>10.489042331291731</v>
      </c>
      <c r="BB63" s="666"/>
      <c r="BC63" s="673">
        <f>'qtrP&amp;L'!$AH$48</f>
        <v>16.703000000000017</v>
      </c>
      <c r="BD63" s="672">
        <f>+BC63/AW63*100</f>
        <v>8.3640879523683225</v>
      </c>
      <c r="BE63" s="695"/>
      <c r="BF63" s="667">
        <f>+H63+T63+AO63+AT63-BE63</f>
        <v>7</v>
      </c>
      <c r="BG63" s="961"/>
      <c r="BH63" s="672">
        <f>+BF63/AY63*100</f>
        <v>3.5052754395365024</v>
      </c>
      <c r="BI63" s="131"/>
      <c r="BJ63" s="131"/>
      <c r="BK63" s="131"/>
      <c r="BL63" s="131"/>
      <c r="BM63" s="131"/>
      <c r="BN63" s="131"/>
      <c r="BO63" s="131"/>
      <c r="BP63" s="131"/>
      <c r="BQ63" s="131"/>
      <c r="BR63" s="131"/>
      <c r="BS63" s="131"/>
      <c r="BT63" s="131"/>
      <c r="BU63" s="131"/>
      <c r="BV63" s="131"/>
      <c r="BW63" s="131"/>
      <c r="BX63" s="131"/>
      <c r="BY63" s="131"/>
    </row>
    <row r="64" spans="1:77" hidden="1" outlineLevel="3">
      <c r="A64" s="131"/>
      <c r="B64" s="131" t="str">
        <f>$B$15</f>
        <v>2Q</v>
      </c>
      <c r="C64" s="131" t="str">
        <f>$C$15</f>
        <v>Jul</v>
      </c>
      <c r="D64" s="131"/>
      <c r="E64" s="669">
        <v>105.244</v>
      </c>
      <c r="F64" s="661">
        <f>+(E64/E57-1)*100</f>
        <v>13.778527335430656</v>
      </c>
      <c r="G64" s="2060">
        <v>9</v>
      </c>
      <c r="H64" s="684"/>
      <c r="I64" s="671">
        <f>+H64/E64*100</f>
        <v>0</v>
      </c>
      <c r="J64" s="701"/>
      <c r="K64" s="701"/>
      <c r="L64" s="701"/>
      <c r="M64" s="701"/>
      <c r="N64" s="953">
        <v>7</v>
      </c>
      <c r="O64" s="953">
        <v>11</v>
      </c>
      <c r="P64" s="664"/>
      <c r="Q64" s="669">
        <v>90.908000000000001</v>
      </c>
      <c r="R64" s="661">
        <f>+(Q64/Q57-1)*100</f>
        <v>3.1217387358773108</v>
      </c>
      <c r="S64" s="2060"/>
      <c r="T64" s="670"/>
      <c r="U64" s="671">
        <f>+T64/Q64*100</f>
        <v>0</v>
      </c>
      <c r="V64" s="664"/>
      <c r="W64" s="1104"/>
      <c r="X64" s="798">
        <v>2</v>
      </c>
      <c r="Y64" s="2060"/>
      <c r="Z64" s="670"/>
      <c r="AA64" s="671"/>
      <c r="AB64" s="723"/>
      <c r="AC64" s="1104"/>
      <c r="AD64" s="1103">
        <v>10</v>
      </c>
      <c r="AE64" s="723">
        <v>23</v>
      </c>
      <c r="AF64" s="723"/>
      <c r="AG64" s="669"/>
      <c r="AH64" s="661"/>
      <c r="AI64" s="2060"/>
      <c r="AJ64" s="670"/>
      <c r="AK64" s="671"/>
      <c r="AL64" s="664"/>
      <c r="AM64" s="669">
        <v>20.997</v>
      </c>
      <c r="AN64" s="1780">
        <f>+(AM64/AM57-1)*100</f>
        <v>-5.0253301972136839</v>
      </c>
      <c r="AO64" s="684">
        <v>9</v>
      </c>
      <c r="AP64" s="671">
        <f>+AO64/AM64*100</f>
        <v>42.863266180882988</v>
      </c>
      <c r="AQ64" s="664"/>
      <c r="AR64" s="669"/>
      <c r="AS64" s="661"/>
      <c r="AT64" s="670"/>
      <c r="AU64" s="671"/>
      <c r="AV64" s="664"/>
      <c r="AW64" s="673">
        <f>'qtrP&amp;L'!$AH$11</f>
        <v>217.149</v>
      </c>
      <c r="AX64" s="673"/>
      <c r="AY64" s="673">
        <f>+E64+Q64+AM64+AR64</f>
        <v>217.149</v>
      </c>
      <c r="AZ64" s="682" t="str">
        <f>IF(AW64=AY64,"","n")</f>
        <v/>
      </c>
      <c r="BA64" s="665">
        <f>+(AY64/AY57-1)*100</f>
        <v>7.094982812446049</v>
      </c>
      <c r="BB64" s="666"/>
      <c r="BC64" s="673">
        <f>'qtrP&amp;L'!$AH$49</f>
        <v>19.24499999999999</v>
      </c>
      <c r="BD64" s="672">
        <f>+BC64/AW64*100</f>
        <v>8.8625782296948135</v>
      </c>
      <c r="BE64" s="691"/>
      <c r="BF64" s="673">
        <f>+H64+T64+AO64+AT64-BE64</f>
        <v>9</v>
      </c>
      <c r="BG64" s="962"/>
      <c r="BH64" s="672">
        <f>+BF64/AY64*100</f>
        <v>4.1446195929983558</v>
      </c>
      <c r="BI64" s="131"/>
      <c r="BJ64" s="131"/>
      <c r="BK64" s="131"/>
      <c r="BL64" s="131"/>
      <c r="BM64" s="131"/>
      <c r="BN64" s="131"/>
      <c r="BO64" s="131"/>
      <c r="BP64" s="131"/>
      <c r="BQ64" s="131"/>
      <c r="BR64" s="131"/>
      <c r="BS64" s="131"/>
      <c r="BT64" s="131"/>
      <c r="BU64" s="131"/>
      <c r="BV64" s="131"/>
      <c r="BW64" s="131"/>
      <c r="BX64" s="131"/>
      <c r="BY64" s="131"/>
    </row>
    <row r="65" spans="1:77" hidden="1" outlineLevel="3">
      <c r="A65" s="131"/>
      <c r="B65" s="131" t="str">
        <f>$B$16</f>
        <v>3Q</v>
      </c>
      <c r="C65" s="131" t="str">
        <f>$C$16</f>
        <v>Oct</v>
      </c>
      <c r="D65" s="131"/>
      <c r="E65" s="669">
        <v>114.467</v>
      </c>
      <c r="F65" s="661">
        <f>+(E65/E58-1)*100</f>
        <v>14.794163365591938</v>
      </c>
      <c r="G65" s="2060">
        <v>11</v>
      </c>
      <c r="H65" s="684"/>
      <c r="I65" s="671">
        <f>+H65/E65*100</f>
        <v>0</v>
      </c>
      <c r="J65" s="701"/>
      <c r="K65" s="701"/>
      <c r="L65" s="701"/>
      <c r="M65" s="701"/>
      <c r="N65" s="953">
        <v>10</v>
      </c>
      <c r="O65" s="953">
        <v>11</v>
      </c>
      <c r="P65" s="664"/>
      <c r="Q65" s="669">
        <v>93.956000000000003</v>
      </c>
      <c r="R65" s="661">
        <f>+(Q65/Q58-1)*100</f>
        <v>5.8969388215138974</v>
      </c>
      <c r="S65" s="2060"/>
      <c r="T65" s="670"/>
      <c r="U65" s="671">
        <f>+T65/Q65*100</f>
        <v>0</v>
      </c>
      <c r="V65" s="664"/>
      <c r="W65" s="1104"/>
      <c r="X65" s="798">
        <v>14</v>
      </c>
      <c r="Y65" s="2060"/>
      <c r="Z65" s="670"/>
      <c r="AA65" s="671"/>
      <c r="AB65" s="723"/>
      <c r="AC65" s="1104"/>
      <c r="AD65" s="1103">
        <v>-9</v>
      </c>
      <c r="AE65" s="723">
        <v>13</v>
      </c>
      <c r="AF65" s="723"/>
      <c r="AG65" s="669"/>
      <c r="AH65" s="661"/>
      <c r="AI65" s="2060"/>
      <c r="AJ65" s="670"/>
      <c r="AK65" s="671"/>
      <c r="AL65" s="664"/>
      <c r="AM65" s="669">
        <v>24.651</v>
      </c>
      <c r="AN65" s="1780">
        <f>+(AM65/AM58-1)*100</f>
        <v>9.336467666104852</v>
      </c>
      <c r="AO65" s="684">
        <v>11</v>
      </c>
      <c r="AP65" s="671">
        <f>+AO65/AM65*100</f>
        <v>44.622936189201248</v>
      </c>
      <c r="AQ65" s="664"/>
      <c r="AR65" s="669"/>
      <c r="AS65" s="661"/>
      <c r="AT65" s="670"/>
      <c r="AU65" s="671"/>
      <c r="AV65" s="664"/>
      <c r="AW65" s="673">
        <f>'qtrP&amp;L'!$AH$12</f>
        <v>233.07400000000001</v>
      </c>
      <c r="AX65" s="673"/>
      <c r="AY65" s="673">
        <f>+E65+Q65+AM65+AR65</f>
        <v>233.07400000000001</v>
      </c>
      <c r="AZ65" s="682" t="str">
        <f>IF(AW65=AY65,"","n")</f>
        <v/>
      </c>
      <c r="BA65" s="665">
        <f>+(AY65/AY58-1)*100</f>
        <v>10.469464653885341</v>
      </c>
      <c r="BB65" s="666"/>
      <c r="BC65" s="673">
        <f>'qtrP&amp;L'!$AH$50</f>
        <v>21.426000000000016</v>
      </c>
      <c r="BD65" s="672">
        <f>+BC65/AW65*100</f>
        <v>9.1927885564241461</v>
      </c>
      <c r="BE65" s="691"/>
      <c r="BF65" s="673">
        <f>+H65+T65+AO65+AT65-BE65</f>
        <v>11</v>
      </c>
      <c r="BG65" s="962"/>
      <c r="BH65" s="672">
        <f>+BF65/AY65*100</f>
        <v>4.7195311360340488</v>
      </c>
      <c r="BI65" s="131"/>
      <c r="BJ65" s="131"/>
      <c r="BK65" s="131"/>
      <c r="BL65" s="131"/>
      <c r="BM65" s="131"/>
      <c r="BN65" s="131"/>
      <c r="BO65" s="131"/>
      <c r="BP65" s="131"/>
      <c r="BQ65" s="131"/>
      <c r="BR65" s="131"/>
      <c r="BS65" s="131"/>
      <c r="BT65" s="131"/>
      <c r="BU65" s="131"/>
      <c r="BV65" s="131"/>
      <c r="BW65" s="131"/>
      <c r="BX65" s="131"/>
      <c r="BY65" s="131"/>
    </row>
    <row r="66" spans="1:77" hidden="1" outlineLevel="3">
      <c r="A66" s="131"/>
      <c r="B66" s="131" t="str">
        <f>$B$17</f>
        <v>4Q</v>
      </c>
      <c r="C66" s="131" t="str">
        <f>$C$17</f>
        <v>Jan</v>
      </c>
      <c r="D66" s="131"/>
      <c r="E66" s="675">
        <v>183.79900000000001</v>
      </c>
      <c r="F66" s="661">
        <f>+(E66/E59-1)*100</f>
        <v>21.25944252020453</v>
      </c>
      <c r="G66" s="2060">
        <v>13</v>
      </c>
      <c r="H66" s="715"/>
      <c r="I66" s="671">
        <f>+H66/E66*100</f>
        <v>0</v>
      </c>
      <c r="J66" s="701"/>
      <c r="K66" s="701"/>
      <c r="L66" s="701"/>
      <c r="M66" s="701"/>
      <c r="N66" s="953"/>
      <c r="O66" s="953"/>
      <c r="P66" s="664"/>
      <c r="Q66" s="675">
        <v>141.167</v>
      </c>
      <c r="R66" s="661">
        <f>+(Q66/Q59-1)*100</f>
        <v>1.5341571126487041</v>
      </c>
      <c r="S66" s="2060"/>
      <c r="T66" s="715"/>
      <c r="U66" s="671">
        <f>+T66/Q66*100</f>
        <v>0</v>
      </c>
      <c r="V66" s="664"/>
      <c r="W66" s="1104"/>
      <c r="X66" s="798">
        <v>11</v>
      </c>
      <c r="Y66" s="2060"/>
      <c r="Z66" s="715"/>
      <c r="AA66" s="671"/>
      <c r="AB66" s="723"/>
      <c r="AC66" s="1104"/>
      <c r="AD66" s="1103" t="s">
        <v>1376</v>
      </c>
      <c r="AE66" s="723" t="s">
        <v>1376</v>
      </c>
      <c r="AF66" s="723"/>
      <c r="AG66" s="669"/>
      <c r="AH66" s="661"/>
      <c r="AI66" s="2060"/>
      <c r="AJ66" s="1097"/>
      <c r="AK66" s="671"/>
      <c r="AL66" s="664"/>
      <c r="AM66" s="669">
        <v>42.728000000000002</v>
      </c>
      <c r="AN66" s="1780">
        <f>+(AM66/AM59-1)*100</f>
        <v>15.449878411240213</v>
      </c>
      <c r="AO66" s="715"/>
      <c r="AP66" s="671">
        <f>+AO66/AM66*100</f>
        <v>0</v>
      </c>
      <c r="AQ66" s="664"/>
      <c r="AR66" s="669"/>
      <c r="AS66" s="661"/>
      <c r="AT66" s="670"/>
      <c r="AU66" s="671"/>
      <c r="AV66" s="664"/>
      <c r="AW66" s="677">
        <f>'qtrP&amp;L'!$AH$13</f>
        <v>367.69400000000002</v>
      </c>
      <c r="AX66" s="677"/>
      <c r="AY66" s="677">
        <f>+E66+Q66+AM66+AR66</f>
        <v>367.69400000000002</v>
      </c>
      <c r="AZ66" s="682" t="str">
        <f>IF(AW66=AY66,"","n")</f>
        <v/>
      </c>
      <c r="BA66" s="665">
        <f>+(AY66/AY59-1)*100</f>
        <v>12.232196545377416</v>
      </c>
      <c r="BB66" s="666"/>
      <c r="BC66" s="677">
        <f>'qtrP&amp;L'!$AH$51</f>
        <v>76.048000000000002</v>
      </c>
      <c r="BD66" s="685">
        <f>+BC66/AW66*100</f>
        <v>20.682415269218428</v>
      </c>
      <c r="BE66" s="677"/>
      <c r="BF66" s="677">
        <f>+H66+T66+AO66+AT66-BE66</f>
        <v>0</v>
      </c>
      <c r="BG66" s="962"/>
      <c r="BH66" s="672">
        <f>+BF66/AY66*100</f>
        <v>0</v>
      </c>
      <c r="BI66" s="131"/>
      <c r="BJ66" s="131"/>
      <c r="BK66" s="131"/>
      <c r="BL66" s="131"/>
      <c r="BM66" s="131"/>
      <c r="BN66" s="131"/>
      <c r="BO66" s="131"/>
      <c r="BP66" s="131"/>
      <c r="BQ66" s="131"/>
      <c r="BR66" s="131"/>
      <c r="BS66" s="131"/>
      <c r="BT66" s="131"/>
      <c r="BU66" s="131"/>
      <c r="BV66" s="131"/>
      <c r="BW66" s="131"/>
      <c r="BX66" s="131"/>
      <c r="BY66" s="131"/>
    </row>
    <row r="67" spans="1:77" hidden="1" outlineLevel="3">
      <c r="A67" s="131"/>
      <c r="B67" s="131"/>
      <c r="C67" s="131" t="str">
        <f>$C$18</f>
        <v>Year</v>
      </c>
      <c r="D67" s="131"/>
      <c r="E67" s="686">
        <f>+SUM(E63:E66)</f>
        <v>491.24400000000003</v>
      </c>
      <c r="F67" s="661">
        <f>+(E67/E60-1)*100</f>
        <v>15.808904133809554</v>
      </c>
      <c r="G67" s="2060">
        <v>11</v>
      </c>
      <c r="H67" s="663">
        <v>102.14</v>
      </c>
      <c r="I67" s="671">
        <f>+H67/E67*100</f>
        <v>20.792111455814215</v>
      </c>
      <c r="J67" s="701"/>
      <c r="K67" s="701"/>
      <c r="L67" s="701"/>
      <c r="M67" s="701"/>
      <c r="N67" s="953">
        <v>8</v>
      </c>
      <c r="O67" s="953">
        <v>12</v>
      </c>
      <c r="P67" s="664"/>
      <c r="Q67" s="686">
        <f>+SUM(Q63:Q66)</f>
        <v>421.26900000000001</v>
      </c>
      <c r="R67" s="661">
        <f>+(Q67/Q60-1)*100</f>
        <v>6.0220314540910591</v>
      </c>
      <c r="S67" s="2060"/>
      <c r="T67" s="663">
        <v>97.716999999999999</v>
      </c>
      <c r="U67" s="671">
        <f>+T67/Q67*100</f>
        <v>23.195867723473597</v>
      </c>
      <c r="V67" s="664"/>
      <c r="W67" s="1104"/>
      <c r="X67" s="798">
        <v>13</v>
      </c>
      <c r="Y67" s="2060"/>
      <c r="Z67" s="663"/>
      <c r="AA67" s="671"/>
      <c r="AB67" s="723"/>
      <c r="AC67" s="1104"/>
      <c r="AD67" s="1103">
        <v>1</v>
      </c>
      <c r="AE67" s="723">
        <v>17</v>
      </c>
      <c r="AF67" s="723"/>
      <c r="AG67" s="686"/>
      <c r="AH67" s="661"/>
      <c r="AI67" s="2060"/>
      <c r="AJ67" s="663"/>
      <c r="AK67" s="671"/>
      <c r="AL67" s="664"/>
      <c r="AM67" s="686">
        <f>+SUM(AM63:AM66)</f>
        <v>105.10300000000001</v>
      </c>
      <c r="AN67" s="1780">
        <f>+(AM67/AM60-1)*100</f>
        <v>4.4948400310194758</v>
      </c>
      <c r="AO67" s="663">
        <v>10.425000000000001</v>
      </c>
      <c r="AP67" s="671">
        <f>+AO67/AM67*100</f>
        <v>9.9188415173686764</v>
      </c>
      <c r="AQ67" s="664"/>
      <c r="AR67" s="686"/>
      <c r="AS67" s="661"/>
      <c r="AT67" s="687"/>
      <c r="AU67" s="671"/>
      <c r="AV67" s="664"/>
      <c r="AW67" s="673">
        <f>'qtrP&amp;L'!$AH$14</f>
        <v>1017.616</v>
      </c>
      <c r="AX67" s="673"/>
      <c r="AY67" s="679">
        <f>+E67+Q67+AM67+AR67</f>
        <v>1017.616</v>
      </c>
      <c r="AZ67" s="682" t="str">
        <f>IF(AW67=AY67,"","n")</f>
        <v/>
      </c>
      <c r="BA67" s="665">
        <f>+(AY67/AY60-1)*100</f>
        <v>10.357571998073967</v>
      </c>
      <c r="BB67" s="666"/>
      <c r="BC67" s="673">
        <f>'qtrP&amp;L'!$AH$52</f>
        <v>133.42200000000003</v>
      </c>
      <c r="BD67" s="672">
        <f>+BC67/AW67*100</f>
        <v>13.111232527790445</v>
      </c>
      <c r="BE67" s="691">
        <v>76.86</v>
      </c>
      <c r="BF67" s="667">
        <f>+H67+T67+AO67+AT67-BE67</f>
        <v>133.42200000000003</v>
      </c>
      <c r="BG67" s="961"/>
      <c r="BH67" s="672">
        <f>+BF67/AY67*100</f>
        <v>13.111232527790445</v>
      </c>
      <c r="BI67" s="131"/>
      <c r="BJ67" s="118">
        <f>+E67/$AY67</f>
        <v>0.48274005125705577</v>
      </c>
      <c r="BK67" s="118">
        <f>+Q67/$AY67</f>
        <v>0.41397639188063085</v>
      </c>
      <c r="BL67" s="118">
        <f>+AM67/AY67</f>
        <v>0.1032835568623135</v>
      </c>
      <c r="BM67" s="118">
        <f>+AR67/AY67</f>
        <v>0</v>
      </c>
      <c r="BN67" s="131"/>
      <c r="BO67" s="131"/>
      <c r="BP67" s="131"/>
      <c r="BQ67" s="131"/>
      <c r="BR67" s="131"/>
      <c r="BS67" s="131"/>
      <c r="BT67" s="131"/>
      <c r="BU67" s="131"/>
      <c r="BV67" s="131"/>
      <c r="BW67" s="131"/>
      <c r="BX67" s="131"/>
      <c r="BY67" s="131"/>
    </row>
    <row r="68" spans="1:77" hidden="1" outlineLevel="3">
      <c r="A68" s="131"/>
      <c r="B68" s="131"/>
      <c r="C68" s="131"/>
      <c r="D68" s="131"/>
      <c r="E68" s="656"/>
      <c r="F68" s="233"/>
      <c r="G68" s="2058"/>
      <c r="H68" s="688"/>
      <c r="I68" s="657"/>
      <c r="J68" s="709"/>
      <c r="K68" s="709"/>
      <c r="L68" s="709"/>
      <c r="M68" s="709"/>
      <c r="N68" s="233"/>
      <c r="O68" s="953"/>
      <c r="P68" s="643"/>
      <c r="Q68" s="656"/>
      <c r="R68" s="233"/>
      <c r="S68" s="2058"/>
      <c r="T68" s="688"/>
      <c r="U68" s="657"/>
      <c r="V68" s="643"/>
      <c r="W68" s="1796"/>
      <c r="X68" s="778"/>
      <c r="Y68" s="2058"/>
      <c r="Z68" s="688"/>
      <c r="AA68" s="657"/>
      <c r="AB68" s="996"/>
      <c r="AC68" s="1796"/>
      <c r="AD68" s="1797"/>
      <c r="AE68" s="996"/>
      <c r="AF68" s="996"/>
      <c r="AG68" s="656"/>
      <c r="AH68" s="233"/>
      <c r="AI68" s="2058"/>
      <c r="AJ68" s="688"/>
      <c r="AK68" s="657"/>
      <c r="AL68" s="643"/>
      <c r="AM68" s="656"/>
      <c r="AN68" s="234"/>
      <c r="AO68" s="688"/>
      <c r="AP68" s="657"/>
      <c r="AQ68" s="643"/>
      <c r="AR68" s="656"/>
      <c r="AS68" s="233"/>
      <c r="AT68" s="688"/>
      <c r="AU68" s="657"/>
      <c r="AV68" s="643"/>
      <c r="AW68" s="658"/>
      <c r="AX68" s="658"/>
      <c r="AY68" s="658"/>
      <c r="AZ68" s="659"/>
      <c r="BA68" s="132"/>
      <c r="BB68" s="132"/>
      <c r="BC68" s="658"/>
      <c r="BD68" s="658"/>
      <c r="BE68" s="658"/>
      <c r="BF68" s="658"/>
      <c r="BG68" s="960"/>
      <c r="BH68" s="131"/>
      <c r="BI68" s="131"/>
      <c r="BJ68" s="131"/>
      <c r="BK68" s="131"/>
      <c r="BL68" s="131"/>
      <c r="BM68" s="131"/>
      <c r="BN68" s="131"/>
      <c r="BO68" s="131"/>
      <c r="BP68" s="131"/>
      <c r="BQ68" s="131"/>
      <c r="BR68" s="131"/>
      <c r="BS68" s="131"/>
      <c r="BT68" s="131"/>
      <c r="BU68" s="131"/>
      <c r="BV68" s="131"/>
      <c r="BW68" s="131"/>
      <c r="BX68" s="131"/>
      <c r="BY68" s="131"/>
    </row>
    <row r="69" spans="1:77" hidden="1" outlineLevel="2" collapsed="1">
      <c r="A69" s="131"/>
      <c r="B69" s="2506">
        <f>+B62+1</f>
        <v>1998</v>
      </c>
      <c r="C69" s="2506"/>
      <c r="D69" s="131"/>
      <c r="E69" s="656"/>
      <c r="F69" s="233"/>
      <c r="G69" s="2058"/>
      <c r="H69" s="688"/>
      <c r="I69" s="657"/>
      <c r="J69" s="709"/>
      <c r="K69" s="709"/>
      <c r="L69" s="709"/>
      <c r="M69" s="709"/>
      <c r="N69" s="233"/>
      <c r="O69" s="953"/>
      <c r="P69" s="643"/>
      <c r="Q69" s="656"/>
      <c r="R69" s="233"/>
      <c r="S69" s="2058"/>
      <c r="T69" s="688"/>
      <c r="U69" s="657"/>
      <c r="V69" s="643"/>
      <c r="W69" s="1796"/>
      <c r="X69" s="778"/>
      <c r="Y69" s="2058"/>
      <c r="Z69" s="688"/>
      <c r="AA69" s="657"/>
      <c r="AB69" s="996"/>
      <c r="AC69" s="1796"/>
      <c r="AD69" s="1797"/>
      <c r="AE69" s="996"/>
      <c r="AF69" s="996"/>
      <c r="AG69" s="656"/>
      <c r="AH69" s="233"/>
      <c r="AI69" s="2058"/>
      <c r="AJ69" s="688"/>
      <c r="AK69" s="657"/>
      <c r="AL69" s="643"/>
      <c r="AM69" s="656"/>
      <c r="AN69" s="234"/>
      <c r="AO69" s="688"/>
      <c r="AP69" s="657"/>
      <c r="AQ69" s="643"/>
      <c r="AR69" s="656"/>
      <c r="AS69" s="233"/>
      <c r="AT69" s="688"/>
      <c r="AU69" s="657"/>
      <c r="AV69" s="643"/>
      <c r="AW69" s="658"/>
      <c r="AX69" s="658"/>
      <c r="AY69" s="658"/>
      <c r="AZ69" s="659"/>
      <c r="BA69" s="132"/>
      <c r="BB69" s="132"/>
      <c r="BC69" s="658"/>
      <c r="BD69" s="658"/>
      <c r="BE69" s="658"/>
      <c r="BF69" s="658"/>
      <c r="BG69" s="960"/>
      <c r="BH69" s="131"/>
      <c r="BI69" s="131"/>
      <c r="BJ69" s="131"/>
      <c r="BK69" s="131"/>
      <c r="BL69" s="131"/>
      <c r="BM69" s="131"/>
      <c r="BN69" s="131"/>
      <c r="BO69" s="131"/>
      <c r="BP69" s="131"/>
      <c r="BQ69" s="131"/>
      <c r="BR69" s="131"/>
      <c r="BS69" s="131"/>
      <c r="BT69" s="131"/>
      <c r="BU69" s="131"/>
      <c r="BV69" s="131"/>
      <c r="BW69" s="131"/>
      <c r="BX69" s="131"/>
      <c r="BY69" s="131"/>
    </row>
    <row r="70" spans="1:77" hidden="1" outlineLevel="2">
      <c r="A70" s="131"/>
      <c r="B70" s="131" t="str">
        <f>$B$14</f>
        <v>1Q</v>
      </c>
      <c r="C70" s="131" t="str">
        <f>$C$14</f>
        <v>Apr</v>
      </c>
      <c r="D70" s="131"/>
      <c r="E70" s="660">
        <v>108.024</v>
      </c>
      <c r="F70" s="661">
        <f>+(E70/E63-1)*100</f>
        <v>23.126723961064144</v>
      </c>
      <c r="G70" s="2060">
        <v>12</v>
      </c>
      <c r="H70" s="663">
        <v>19.731000000000002</v>
      </c>
      <c r="I70" s="671">
        <f>+H70/E70*100</f>
        <v>18.26538546989558</v>
      </c>
      <c r="J70" s="701"/>
      <c r="K70" s="701"/>
      <c r="L70" s="701"/>
      <c r="M70" s="701"/>
      <c r="N70" s="953">
        <v>6</v>
      </c>
      <c r="O70" s="953">
        <v>15</v>
      </c>
      <c r="P70" s="664"/>
      <c r="Q70" s="660">
        <v>96.471999999999994</v>
      </c>
      <c r="R70" s="661">
        <f>+(Q70/Q63-1)*100</f>
        <v>1.2957012957012903</v>
      </c>
      <c r="S70" s="2060"/>
      <c r="T70" s="663">
        <v>22.123999999999999</v>
      </c>
      <c r="U70" s="671">
        <f>+T70/Q70*100</f>
        <v>22.933079028111784</v>
      </c>
      <c r="V70" s="664"/>
      <c r="W70" s="1104"/>
      <c r="X70" s="798">
        <v>2</v>
      </c>
      <c r="Y70" s="2060"/>
      <c r="Z70" s="663"/>
      <c r="AA70" s="671"/>
      <c r="AB70" s="723"/>
      <c r="AC70" s="1104"/>
      <c r="AD70" s="1103">
        <v>-18</v>
      </c>
      <c r="AE70" s="723">
        <v>24</v>
      </c>
      <c r="AF70" s="723"/>
      <c r="AG70" s="660"/>
      <c r="AH70" s="661"/>
      <c r="AI70" s="2060"/>
      <c r="AJ70" s="663"/>
      <c r="AK70" s="671"/>
      <c r="AL70" s="664"/>
      <c r="AM70" s="660">
        <v>21.663</v>
      </c>
      <c r="AN70" s="1780">
        <f>+(AM70/AM63-1)*100</f>
        <v>29.509176780056201</v>
      </c>
      <c r="AO70" s="663">
        <v>3.992</v>
      </c>
      <c r="AP70" s="671">
        <f>+AO70/AM70*100</f>
        <v>18.427733924202556</v>
      </c>
      <c r="AQ70" s="664"/>
      <c r="AR70" s="660"/>
      <c r="AS70" s="661"/>
      <c r="AT70" s="663"/>
      <c r="AU70" s="671"/>
      <c r="AV70" s="664"/>
      <c r="AW70" s="673">
        <f>'qtrP&amp;L'!$AL$10</f>
        <v>226.15899999999999</v>
      </c>
      <c r="AX70" s="665">
        <f>+(AW70/AW63-1)*100</f>
        <v>13.249941161447975</v>
      </c>
      <c r="AY70" s="679">
        <f>+E70+Q70+AM70+AR70</f>
        <v>226.15899999999999</v>
      </c>
      <c r="AZ70" s="682" t="str">
        <f>IF(AW70=AY70,"","n")</f>
        <v/>
      </c>
      <c r="BA70" s="665">
        <f>+(AY70/AY63-1)*100</f>
        <v>13.249941161447975</v>
      </c>
      <c r="BB70" s="666"/>
      <c r="BC70" s="673">
        <f>'qtrP&amp;L'!$AL$48</f>
        <v>20.465999999999994</v>
      </c>
      <c r="BD70" s="672">
        <f>+BC70/AW70*100</f>
        <v>9.0493856092395148</v>
      </c>
      <c r="BE70" s="695">
        <v>25.381</v>
      </c>
      <c r="BF70" s="667">
        <f>+H70+T70+AO70+AT70-BE70</f>
        <v>20.466000000000001</v>
      </c>
      <c r="BG70" s="963" t="str">
        <f t="shared" ref="BG70:BG114" si="0">IF(BC70=BF70,"","n")</f>
        <v/>
      </c>
      <c r="BH70" s="672">
        <f>+BF70/AY70*100</f>
        <v>9.0493856092395184</v>
      </c>
      <c r="BI70" s="131"/>
      <c r="BJ70" s="131"/>
      <c r="BK70" s="131"/>
      <c r="BL70" s="131"/>
      <c r="BM70" s="131"/>
      <c r="BN70" s="131"/>
      <c r="BO70" s="131"/>
      <c r="BP70" s="131"/>
      <c r="BQ70" s="131"/>
      <c r="BR70" s="131"/>
      <c r="BS70" s="131"/>
      <c r="BT70" s="131"/>
      <c r="BU70" s="131"/>
      <c r="BV70" s="131"/>
      <c r="BW70" s="131"/>
      <c r="BX70" s="131"/>
      <c r="BY70" s="131"/>
    </row>
    <row r="71" spans="1:77" hidden="1" outlineLevel="2">
      <c r="A71" s="131"/>
      <c r="B71" s="131" t="str">
        <f>$B$15</f>
        <v>2Q</v>
      </c>
      <c r="C71" s="131" t="str">
        <f>$C$15</f>
        <v>Jul</v>
      </c>
      <c r="D71" s="131"/>
      <c r="E71" s="669">
        <v>129.733</v>
      </c>
      <c r="F71" s="661">
        <f>+(E71/E64-1)*100</f>
        <v>23.268784918855246</v>
      </c>
      <c r="G71" s="2060">
        <v>15</v>
      </c>
      <c r="H71" s="684">
        <v>25.113</v>
      </c>
      <c r="I71" s="671">
        <f>+H71/E71*100</f>
        <v>19.357449530959737</v>
      </c>
      <c r="J71" s="701"/>
      <c r="K71" s="701"/>
      <c r="L71" s="701"/>
      <c r="M71" s="701"/>
      <c r="N71" s="953">
        <v>9</v>
      </c>
      <c r="O71" s="953">
        <v>18</v>
      </c>
      <c r="P71" s="664"/>
      <c r="Q71" s="669">
        <v>93.266000000000005</v>
      </c>
      <c r="R71" s="661">
        <f>+(Q71/Q64-1)*100</f>
        <v>2.5938311259735114</v>
      </c>
      <c r="S71" s="2060"/>
      <c r="T71" s="670">
        <v>19.521000000000001</v>
      </c>
      <c r="U71" s="671">
        <f>+T71/Q71*100</f>
        <v>20.93045697253018</v>
      </c>
      <c r="V71" s="664"/>
      <c r="W71" s="1104"/>
      <c r="X71" s="798">
        <v>30</v>
      </c>
      <c r="Y71" s="2060"/>
      <c r="Z71" s="670"/>
      <c r="AA71" s="671"/>
      <c r="AB71" s="723"/>
      <c r="AC71" s="1104"/>
      <c r="AD71" s="1103">
        <v>-13</v>
      </c>
      <c r="AE71" s="723">
        <v>10</v>
      </c>
      <c r="AF71" s="723"/>
      <c r="AG71" s="669"/>
      <c r="AH71" s="661"/>
      <c r="AI71" s="2060"/>
      <c r="AJ71" s="670"/>
      <c r="AK71" s="671"/>
      <c r="AL71" s="664"/>
      <c r="AM71" s="669">
        <v>24.722999999999999</v>
      </c>
      <c r="AN71" s="1780">
        <f>+(AM71/AM64-1)*100</f>
        <v>17.745392198885558</v>
      </c>
      <c r="AO71" s="684">
        <v>1.839</v>
      </c>
      <c r="AP71" s="671">
        <f>+AO71/AM71*100</f>
        <v>7.4384176677587677</v>
      </c>
      <c r="AQ71" s="664"/>
      <c r="AR71" s="669"/>
      <c r="AS71" s="661"/>
      <c r="AT71" s="670"/>
      <c r="AU71" s="671"/>
      <c r="AV71" s="664"/>
      <c r="AW71" s="673">
        <f>'qtrP&amp;L'!$AL$11</f>
        <v>247.72200000000001</v>
      </c>
      <c r="AX71" s="665">
        <f>+(AW71/AW64-1)*100</f>
        <v>14.079272757415428</v>
      </c>
      <c r="AY71" s="673">
        <f>+E71+Q71+AM71+AR71</f>
        <v>247.72200000000004</v>
      </c>
      <c r="AZ71" s="682" t="str">
        <f>IF(AW71=AY71,"","n")</f>
        <v/>
      </c>
      <c r="BA71" s="665">
        <f>+(AY71/AY64-1)*100</f>
        <v>14.079272757415428</v>
      </c>
      <c r="BB71" s="666"/>
      <c r="BC71" s="673">
        <f>'qtrP&amp;L'!$AL$49</f>
        <v>24.980000000000004</v>
      </c>
      <c r="BD71" s="672">
        <f>+BC71/AW71*100</f>
        <v>10.083884354235797</v>
      </c>
      <c r="BE71" s="691">
        <v>21.492999999999999</v>
      </c>
      <c r="BF71" s="673">
        <f>+H71+T71+AO71+AT71-BE71</f>
        <v>24.98</v>
      </c>
      <c r="BG71" s="963" t="str">
        <f t="shared" si="0"/>
        <v/>
      </c>
      <c r="BH71" s="672">
        <f>+BF71/AY71*100</f>
        <v>10.083884354235796</v>
      </c>
      <c r="BI71" s="131"/>
      <c r="BJ71" s="131"/>
      <c r="BK71" s="131"/>
      <c r="BL71" s="131"/>
      <c r="BM71" s="131"/>
      <c r="BN71" s="131"/>
      <c r="BO71" s="131"/>
      <c r="BP71" s="131"/>
      <c r="BQ71" s="131"/>
      <c r="BR71" s="131"/>
      <c r="BS71" s="131"/>
      <c r="BT71" s="131"/>
      <c r="BU71" s="131"/>
      <c r="BV71" s="131"/>
      <c r="BW71" s="131"/>
      <c r="BX71" s="131"/>
      <c r="BY71" s="131"/>
    </row>
    <row r="72" spans="1:77" hidden="1" outlineLevel="2">
      <c r="A72" s="131"/>
      <c r="B72" s="131" t="str">
        <f>$B$16</f>
        <v>3Q</v>
      </c>
      <c r="C72" s="131" t="str">
        <f>$C$16</f>
        <v>Oct</v>
      </c>
      <c r="D72" s="131"/>
      <c r="E72" s="669">
        <v>125.762</v>
      </c>
      <c r="F72" s="661">
        <f>+(E72/E65-1)*100</f>
        <v>9.8674727213956981</v>
      </c>
      <c r="G72" s="2060">
        <v>-1</v>
      </c>
      <c r="H72" s="684">
        <v>19.832999999999998</v>
      </c>
      <c r="I72" s="671">
        <f>+H72/E72*100</f>
        <v>15.770264467804262</v>
      </c>
      <c r="J72" s="701"/>
      <c r="K72" s="701"/>
      <c r="L72" s="701"/>
      <c r="M72" s="701"/>
      <c r="N72" s="953">
        <v>-7</v>
      </c>
      <c r="O72" s="953">
        <v>3</v>
      </c>
      <c r="P72" s="664"/>
      <c r="Q72" s="669">
        <v>101.249</v>
      </c>
      <c r="R72" s="661">
        <f>+(Q72/Q65-1)*100</f>
        <v>7.7621439822895821</v>
      </c>
      <c r="S72" s="2060"/>
      <c r="T72" s="670">
        <v>22.327000000000002</v>
      </c>
      <c r="U72" s="671">
        <f>+T72/Q72*100</f>
        <v>22.051575818032774</v>
      </c>
      <c r="V72" s="664"/>
      <c r="W72" s="1104"/>
      <c r="X72" s="798">
        <v>23</v>
      </c>
      <c r="Y72" s="2060"/>
      <c r="Z72" s="670"/>
      <c r="AA72" s="671"/>
      <c r="AB72" s="723"/>
      <c r="AC72" s="1104"/>
      <c r="AD72" s="1103">
        <v>-10</v>
      </c>
      <c r="AE72" s="723">
        <v>13</v>
      </c>
      <c r="AF72" s="723"/>
      <c r="AG72" s="669"/>
      <c r="AH72" s="661"/>
      <c r="AI72" s="2060"/>
      <c r="AJ72" s="670"/>
      <c r="AK72" s="671"/>
      <c r="AL72" s="664"/>
      <c r="AM72" s="669">
        <v>25.548999999999999</v>
      </c>
      <c r="AN72" s="1780">
        <f>+(AM72/AM65-1)*100</f>
        <v>3.6428542452638935</v>
      </c>
      <c r="AO72" s="684">
        <v>2.0270000000000001</v>
      </c>
      <c r="AP72" s="671">
        <f>+AO72/AM72*100</f>
        <v>7.9337743160201963</v>
      </c>
      <c r="AQ72" s="664"/>
      <c r="AR72" s="669"/>
      <c r="AS72" s="661"/>
      <c r="AT72" s="670"/>
      <c r="AU72" s="671"/>
      <c r="AV72" s="664"/>
      <c r="AW72" s="673">
        <f>'qtrP&amp;L'!$AL$12</f>
        <v>252.56</v>
      </c>
      <c r="AX72" s="665">
        <f>+(AW72/AW65-1)*100</f>
        <v>8.360434883341771</v>
      </c>
      <c r="AY72" s="673">
        <f>+E72+Q72+AM72+AR72</f>
        <v>252.56</v>
      </c>
      <c r="AZ72" s="682" t="str">
        <f>IF(AW72=AY72,"","n")</f>
        <v/>
      </c>
      <c r="BA72" s="665">
        <f>+(AY72/AY65-1)*100</f>
        <v>8.360434883341771</v>
      </c>
      <c r="BB72" s="666"/>
      <c r="BC72" s="673">
        <f>'qtrP&amp;L'!$AL$50</f>
        <v>22.454999999999984</v>
      </c>
      <c r="BD72" s="672">
        <f>+BC72/AW72*100</f>
        <v>8.8909566043712314</v>
      </c>
      <c r="BE72" s="691">
        <v>21.731999999999999</v>
      </c>
      <c r="BF72" s="673">
        <f>+H72+T72+AO72+AT72-BE72</f>
        <v>22.454999999999998</v>
      </c>
      <c r="BG72" s="963" t="str">
        <f t="shared" si="0"/>
        <v/>
      </c>
      <c r="BH72" s="672">
        <f>+BF72/AY72*100</f>
        <v>8.8909566043712385</v>
      </c>
      <c r="BI72" s="131"/>
      <c r="BJ72" s="131"/>
      <c r="BK72" s="131"/>
      <c r="BL72" s="131"/>
      <c r="BM72" s="131"/>
      <c r="BN72" s="131"/>
      <c r="BO72" s="131"/>
      <c r="BP72" s="131"/>
      <c r="BQ72" s="131"/>
      <c r="BR72" s="131"/>
      <c r="BS72" s="131"/>
      <c r="BT72" s="131"/>
      <c r="BU72" s="131"/>
      <c r="BV72" s="131"/>
      <c r="BW72" s="131"/>
      <c r="BX72" s="131"/>
      <c r="BY72" s="131"/>
    </row>
    <row r="73" spans="1:77" hidden="1" outlineLevel="2">
      <c r="A73" s="131"/>
      <c r="B73" s="131" t="str">
        <f>$B$17</f>
        <v>4Q</v>
      </c>
      <c r="C73" s="131" t="str">
        <f>$C$17</f>
        <v>Jan</v>
      </c>
      <c r="D73" s="131"/>
      <c r="E73" s="1014">
        <f>E74-SUM(E70:E72)</f>
        <v>230.07000000000005</v>
      </c>
      <c r="F73" s="661">
        <f>+(E73/E66-1)*100</f>
        <v>25.174783323086647</v>
      </c>
      <c r="G73" s="2060">
        <v>12</v>
      </c>
      <c r="H73" s="715">
        <f>H74-SUM(H70:H72)</f>
        <v>62.119000000000014</v>
      </c>
      <c r="I73" s="671">
        <f>+H73/E73*100</f>
        <v>27.00004346503238</v>
      </c>
      <c r="J73" s="701"/>
      <c r="K73" s="701"/>
      <c r="L73" s="701"/>
      <c r="M73" s="701"/>
      <c r="N73" s="953"/>
      <c r="O73" s="953"/>
      <c r="P73" s="664"/>
      <c r="Q73" s="1014">
        <f>Q74-SUM(Q70:Q72)</f>
        <v>171.48700000000002</v>
      </c>
      <c r="R73" s="661">
        <f>+(Q73/Q66-1)*100</f>
        <v>21.478107489710773</v>
      </c>
      <c r="S73" s="2060"/>
      <c r="T73" s="715">
        <f>T74-SUM(T70:T72)</f>
        <v>46.663000000000011</v>
      </c>
      <c r="U73" s="671">
        <f>+T73/Q73*100</f>
        <v>27.210808982605101</v>
      </c>
      <c r="V73" s="664"/>
      <c r="W73" s="1104"/>
      <c r="X73" s="798">
        <v>10</v>
      </c>
      <c r="Y73" s="2060"/>
      <c r="Z73" s="715"/>
      <c r="AA73" s="671"/>
      <c r="AB73" s="723"/>
      <c r="AC73" s="1104"/>
      <c r="AD73" s="1103" t="s">
        <v>1376</v>
      </c>
      <c r="AE73" s="723" t="s">
        <v>1376</v>
      </c>
      <c r="AF73" s="723"/>
      <c r="AG73" s="1790"/>
      <c r="AH73" s="661"/>
      <c r="AI73" s="2060"/>
      <c r="AJ73" s="1097"/>
      <c r="AK73" s="671"/>
      <c r="AL73" s="664"/>
      <c r="AM73" s="669">
        <f>AM74-SUM(AM70:AM72)</f>
        <v>49.930999999999997</v>
      </c>
      <c r="AN73" s="1780">
        <f>+(AM73/AM66-1)*100</f>
        <v>16.857798165137595</v>
      </c>
      <c r="AO73" s="715">
        <f>AO74-SUM(AO70:AO72)</f>
        <v>7.6000000000000005</v>
      </c>
      <c r="AP73" s="671">
        <f>+AO73/AM73*100</f>
        <v>15.221004986881898</v>
      </c>
      <c r="AQ73" s="664"/>
      <c r="AR73" s="669"/>
      <c r="AS73" s="661"/>
      <c r="AT73" s="670"/>
      <c r="AU73" s="671"/>
      <c r="AV73" s="664"/>
      <c r="AW73" s="677">
        <f>'qtrP&amp;L'!$AL$13</f>
        <v>451.48800000000006</v>
      </c>
      <c r="AX73" s="912">
        <f>+(AW73/AW66-1)*100</f>
        <v>22.789058293037144</v>
      </c>
      <c r="AY73" s="677">
        <f>+E73+Q73+AM73+AR73</f>
        <v>451.48800000000006</v>
      </c>
      <c r="AZ73" s="804" t="str">
        <f>IF(AW73=AY73,"","n")</f>
        <v/>
      </c>
      <c r="BA73" s="665">
        <f>+(AY73/AY66-1)*100</f>
        <v>22.789058293037144</v>
      </c>
      <c r="BB73" s="666"/>
      <c r="BC73" s="1013">
        <f>'qtrP&amp;L'!$AL$51</f>
        <v>93.22100000000006</v>
      </c>
      <c r="BD73" s="891">
        <f>+BC73/AW73*100</f>
        <v>20.647503366645413</v>
      </c>
      <c r="BE73" s="890">
        <f>+BE74-SUM(BE70:BE72)</f>
        <v>23.161000000000001</v>
      </c>
      <c r="BF73" s="1013">
        <f>+H73+T73+AO73+AT73-BE73</f>
        <v>93.221000000000018</v>
      </c>
      <c r="BG73" s="963" t="str">
        <f>IF(BC73=BF73,"","n")</f>
        <v>n</v>
      </c>
      <c r="BH73" s="672">
        <f>+BF73/AY73*100</f>
        <v>20.647503366645406</v>
      </c>
      <c r="BI73" s="131"/>
      <c r="BJ73" s="131"/>
      <c r="BK73" s="131"/>
      <c r="BL73" s="131"/>
      <c r="BM73" s="131"/>
      <c r="BN73" s="131"/>
      <c r="BO73" s="131"/>
      <c r="BP73" s="131"/>
      <c r="BQ73" s="131"/>
      <c r="BR73" s="131"/>
      <c r="BS73" s="131"/>
      <c r="BT73" s="131"/>
      <c r="BU73" s="131"/>
      <c r="BV73" s="131"/>
      <c r="BW73" s="131"/>
      <c r="BX73" s="131"/>
      <c r="BY73" s="131"/>
    </row>
    <row r="74" spans="1:77" hidden="1" outlineLevel="2">
      <c r="A74" s="131"/>
      <c r="B74" s="131"/>
      <c r="C74" s="131" t="str">
        <f>$C$18</f>
        <v>Year</v>
      </c>
      <c r="D74" s="131"/>
      <c r="E74" s="808">
        <v>593.58900000000006</v>
      </c>
      <c r="F74" s="661">
        <f>+(E74/E67-1)*100</f>
        <v>20.833842245401478</v>
      </c>
      <c r="G74" s="2060">
        <v>10</v>
      </c>
      <c r="H74" s="809">
        <v>126.79600000000001</v>
      </c>
      <c r="I74" s="671">
        <f>+H74/E74*100</f>
        <v>21.360907968308037</v>
      </c>
      <c r="J74" s="701"/>
      <c r="K74" s="701"/>
      <c r="L74" s="701"/>
      <c r="M74" s="701"/>
      <c r="N74" s="953">
        <v>3</v>
      </c>
      <c r="O74" s="953">
        <v>13</v>
      </c>
      <c r="P74" s="664"/>
      <c r="Q74" s="660">
        <v>462.47399999999999</v>
      </c>
      <c r="R74" s="661">
        <f>+(Q74/Q67-1)*100</f>
        <v>9.7811612057853825</v>
      </c>
      <c r="S74" s="2060"/>
      <c r="T74" s="663">
        <v>110.63500000000001</v>
      </c>
      <c r="U74" s="671">
        <f>+T74/Q74*100</f>
        <v>23.922425909348419</v>
      </c>
      <c r="V74" s="664"/>
      <c r="W74" s="1104"/>
      <c r="X74" s="798">
        <v>15</v>
      </c>
      <c r="Y74" s="2060"/>
      <c r="Z74" s="663"/>
      <c r="AA74" s="671"/>
      <c r="AB74" s="723"/>
      <c r="AC74" s="1104"/>
      <c r="AD74" s="1103">
        <v>-7</v>
      </c>
      <c r="AE74" s="723">
        <v>16</v>
      </c>
      <c r="AF74" s="723"/>
      <c r="AG74" s="660"/>
      <c r="AH74" s="661"/>
      <c r="AI74" s="2060"/>
      <c r="AJ74" s="663"/>
      <c r="AK74" s="671"/>
      <c r="AL74" s="664"/>
      <c r="AM74" s="686">
        <v>121.866</v>
      </c>
      <c r="AN74" s="1780">
        <f>+(AM74/AM67-1)*100</f>
        <v>15.949116580877787</v>
      </c>
      <c r="AO74" s="663">
        <v>15.458</v>
      </c>
      <c r="AP74" s="671">
        <f>+AO74/AM74*100</f>
        <v>12.684423875404132</v>
      </c>
      <c r="AQ74" s="664"/>
      <c r="AR74" s="686"/>
      <c r="AS74" s="661"/>
      <c r="AT74" s="687"/>
      <c r="AU74" s="671"/>
      <c r="AV74" s="664"/>
      <c r="AW74" s="673">
        <f>'qtrP&amp;L'!$AL$14</f>
        <v>1177.9290000000001</v>
      </c>
      <c r="AX74" s="912">
        <f>+(AW74/AW67-1)*100</f>
        <v>15.75378138708512</v>
      </c>
      <c r="AY74" s="803">
        <f>+E74+Q74+AM74+AR74</f>
        <v>1177.9290000000001</v>
      </c>
      <c r="AZ74" s="804" t="str">
        <f>IF(AW74=AY74,"","n")</f>
        <v/>
      </c>
      <c r="BA74" s="665">
        <f>+(AY74/AY67-1)*100</f>
        <v>15.75378138708512</v>
      </c>
      <c r="BB74" s="666"/>
      <c r="BC74" s="673">
        <f>'qtrP&amp;L'!$AL$52</f>
        <v>161.12200000000004</v>
      </c>
      <c r="BD74" s="672">
        <f>+BC74/AW74*100</f>
        <v>13.678413554636998</v>
      </c>
      <c r="BE74" s="691">
        <v>91.766999999999996</v>
      </c>
      <c r="BF74" s="667">
        <f>+H74+T74+AO74+AT74-BE74</f>
        <v>161.12200000000001</v>
      </c>
      <c r="BG74" s="963" t="str">
        <f t="shared" si="0"/>
        <v/>
      </c>
      <c r="BH74" s="672">
        <f>+BF74/AY74*100</f>
        <v>13.678413554636995</v>
      </c>
      <c r="BI74" s="131"/>
      <c r="BJ74" s="118">
        <f>+E74/$AY74</f>
        <v>0.50392595818593477</v>
      </c>
      <c r="BK74" s="118">
        <f>+Q74/$AY74</f>
        <v>0.39261619333593106</v>
      </c>
      <c r="BL74" s="118">
        <f>+AM74/AY74</f>
        <v>0.10345784847813408</v>
      </c>
      <c r="BM74" s="118">
        <f>+AR74/AY74</f>
        <v>0</v>
      </c>
      <c r="BN74" s="131"/>
      <c r="BO74" s="131"/>
      <c r="BP74" s="131"/>
      <c r="BQ74" s="131"/>
      <c r="BR74" s="131"/>
      <c r="BS74" s="131"/>
      <c r="BT74" s="131"/>
      <c r="BU74" s="131"/>
      <c r="BV74" s="131"/>
      <c r="BW74" s="131"/>
      <c r="BX74" s="131"/>
      <c r="BY74" s="131"/>
    </row>
    <row r="75" spans="1:77" hidden="1" outlineLevel="2">
      <c r="A75" s="131"/>
      <c r="B75" s="689"/>
      <c r="C75" s="131"/>
      <c r="D75" s="131"/>
      <c r="E75" s="913"/>
      <c r="F75" s="233"/>
      <c r="G75" s="2058"/>
      <c r="H75" s="688"/>
      <c r="I75" s="657"/>
      <c r="J75" s="709"/>
      <c r="K75" s="709"/>
      <c r="L75" s="709"/>
      <c r="M75" s="709"/>
      <c r="N75" s="233"/>
      <c r="O75" s="688"/>
      <c r="P75" s="643"/>
      <c r="Q75" s="656"/>
      <c r="R75" s="233"/>
      <c r="S75" s="2058"/>
      <c r="T75" s="688"/>
      <c r="U75" s="657"/>
      <c r="V75" s="643"/>
      <c r="W75" s="1105"/>
      <c r="X75" s="893"/>
      <c r="Y75" s="2058"/>
      <c r="Z75" s="688"/>
      <c r="AA75" s="657"/>
      <c r="AB75" s="643"/>
      <c r="AC75" s="1105"/>
      <c r="AD75" s="1108"/>
      <c r="AE75" s="643"/>
      <c r="AF75" s="643"/>
      <c r="AG75" s="656"/>
      <c r="AH75" s="233"/>
      <c r="AI75" s="2058"/>
      <c r="AJ75" s="688"/>
      <c r="AK75" s="657"/>
      <c r="AL75" s="643"/>
      <c r="AM75" s="656"/>
      <c r="AN75" s="234"/>
      <c r="AO75" s="688"/>
      <c r="AP75" s="657"/>
      <c r="AQ75" s="643"/>
      <c r="AR75" s="656"/>
      <c r="AS75" s="233"/>
      <c r="AT75" s="688"/>
      <c r="AU75" s="657"/>
      <c r="AV75" s="643"/>
      <c r="AW75" s="658"/>
      <c r="AX75" s="658"/>
      <c r="AY75" s="658"/>
      <c r="AZ75" s="659"/>
      <c r="BA75" s="132"/>
      <c r="BB75" s="132"/>
      <c r="BC75" s="658"/>
      <c r="BD75" s="658"/>
      <c r="BE75" s="658"/>
      <c r="BF75" s="658"/>
      <c r="BG75" s="963" t="str">
        <f t="shared" si="0"/>
        <v/>
      </c>
      <c r="BH75" s="131"/>
      <c r="BI75" s="131"/>
      <c r="BJ75" s="131"/>
      <c r="BK75" s="131"/>
      <c r="BL75" s="131"/>
      <c r="BM75" s="131"/>
      <c r="BN75" s="131"/>
      <c r="BO75" s="131"/>
      <c r="BP75" s="131"/>
      <c r="BQ75" s="131"/>
      <c r="BR75" s="131"/>
      <c r="BS75" s="131"/>
      <c r="BT75" s="131"/>
      <c r="BU75" s="131"/>
      <c r="BV75" s="131"/>
      <c r="BW75" s="131"/>
      <c r="BX75" s="131"/>
      <c r="BY75" s="131"/>
    </row>
    <row r="76" spans="1:77" hidden="1" outlineLevel="2">
      <c r="A76" s="131"/>
      <c r="B76" s="2506">
        <f>+B69+1</f>
        <v>1999</v>
      </c>
      <c r="C76" s="2506"/>
      <c r="D76" s="131"/>
      <c r="E76" s="656"/>
      <c r="F76" s="233"/>
      <c r="G76" s="2058"/>
      <c r="H76" s="688"/>
      <c r="I76" s="657"/>
      <c r="J76" s="709"/>
      <c r="K76" s="709"/>
      <c r="L76" s="709"/>
      <c r="M76" s="709"/>
      <c r="N76" s="233"/>
      <c r="O76" s="688"/>
      <c r="P76" s="643"/>
      <c r="Q76" s="656"/>
      <c r="R76" s="233"/>
      <c r="S76" s="2058"/>
      <c r="T76" s="688"/>
      <c r="U76" s="657"/>
      <c r="V76" s="643"/>
      <c r="W76" s="1105"/>
      <c r="X76" s="893"/>
      <c r="Y76" s="2058"/>
      <c r="Z76" s="688"/>
      <c r="AA76" s="657"/>
      <c r="AB76" s="643"/>
      <c r="AC76" s="1105"/>
      <c r="AD76" s="1108"/>
      <c r="AE76" s="643"/>
      <c r="AF76" s="643"/>
      <c r="AG76" s="656"/>
      <c r="AH76" s="233"/>
      <c r="AI76" s="2058"/>
      <c r="AJ76" s="688"/>
      <c r="AK76" s="657"/>
      <c r="AL76" s="643"/>
      <c r="AM76" s="656"/>
      <c r="AN76" s="234"/>
      <c r="AO76" s="688"/>
      <c r="AP76" s="657"/>
      <c r="AQ76" s="643"/>
      <c r="AR76" s="656"/>
      <c r="AS76" s="233"/>
      <c r="AT76" s="688"/>
      <c r="AU76" s="657"/>
      <c r="AV76" s="643"/>
      <c r="AW76" s="658"/>
      <c r="AX76" s="658"/>
      <c r="AY76" s="658"/>
      <c r="AZ76" s="659"/>
      <c r="BA76" s="132"/>
      <c r="BB76" s="132"/>
      <c r="BC76" s="658"/>
      <c r="BD76" s="658"/>
      <c r="BE76" s="658"/>
      <c r="BF76" s="658"/>
      <c r="BG76" s="963" t="str">
        <f t="shared" si="0"/>
        <v/>
      </c>
      <c r="BH76" s="131"/>
      <c r="BI76" s="131"/>
      <c r="BJ76" s="131"/>
      <c r="BK76" s="131"/>
      <c r="BL76" s="131"/>
      <c r="BM76" s="131"/>
      <c r="BN76" s="131"/>
      <c r="BO76" s="131"/>
      <c r="BP76" s="131"/>
      <c r="BQ76" s="131"/>
      <c r="BR76" s="131"/>
      <c r="BS76" s="131"/>
      <c r="BT76" s="131"/>
      <c r="BU76" s="131"/>
      <c r="BV76" s="131"/>
      <c r="BW76" s="131"/>
      <c r="BX76" s="131"/>
      <c r="BY76" s="131"/>
    </row>
    <row r="77" spans="1:77" hidden="1" outlineLevel="2">
      <c r="A77" s="131"/>
      <c r="B77" s="131" t="str">
        <f>$B$14</f>
        <v>1Q</v>
      </c>
      <c r="C77" s="131" t="str">
        <f>$C$14</f>
        <v>Apr</v>
      </c>
      <c r="D77" s="131"/>
      <c r="E77" s="660">
        <v>131.691</v>
      </c>
      <c r="F77" s="661">
        <f>+(E77/E70-1)*100</f>
        <v>21.909020217729402</v>
      </c>
      <c r="G77" s="2060">
        <v>12</v>
      </c>
      <c r="H77" s="663">
        <v>24.123999999999999</v>
      </c>
      <c r="I77" s="671">
        <f>+H77/E77*100</f>
        <v>18.318639846306883</v>
      </c>
      <c r="J77" s="701"/>
      <c r="K77" s="701"/>
      <c r="L77" s="701"/>
      <c r="M77" s="701"/>
      <c r="N77" s="953">
        <v>12</v>
      </c>
      <c r="O77" s="953">
        <v>12</v>
      </c>
      <c r="P77" s="664"/>
      <c r="Q77" s="660">
        <v>117.474</v>
      </c>
      <c r="R77" s="661">
        <f>+(Q77/Q70-1)*100</f>
        <v>21.770047267600965</v>
      </c>
      <c r="S77" s="2060"/>
      <c r="T77" s="663">
        <v>28.963999999999999</v>
      </c>
      <c r="U77" s="671">
        <f>+T77/Q77*100</f>
        <v>24.655668488346354</v>
      </c>
      <c r="V77" s="664"/>
      <c r="W77" s="1104"/>
      <c r="X77" s="798">
        <v>14</v>
      </c>
      <c r="Y77" s="2060"/>
      <c r="Z77" s="663"/>
      <c r="AA77" s="671"/>
      <c r="AB77" s="723"/>
      <c r="AC77" s="1104"/>
      <c r="AD77" s="1103">
        <v>26</v>
      </c>
      <c r="AE77" s="723">
        <v>18</v>
      </c>
      <c r="AF77" s="723"/>
      <c r="AG77" s="660"/>
      <c r="AH77" s="661"/>
      <c r="AI77" s="2060"/>
      <c r="AJ77" s="663"/>
      <c r="AK77" s="671"/>
      <c r="AL77" s="664"/>
      <c r="AM77" s="660">
        <v>23.111999999999998</v>
      </c>
      <c r="AN77" s="1780">
        <f>+(AM77/AM70-1)*100</f>
        <v>6.6888242625674943</v>
      </c>
      <c r="AO77" s="663">
        <v>0.38200000000000001</v>
      </c>
      <c r="AP77" s="671">
        <f>+AO77/AM77*100</f>
        <v>1.6528210453444099</v>
      </c>
      <c r="AQ77" s="664"/>
      <c r="AR77" s="660"/>
      <c r="AS77" s="661"/>
      <c r="AT77" s="663"/>
      <c r="AU77" s="671"/>
      <c r="AV77" s="664"/>
      <c r="AW77" s="673">
        <f>'qtrP&amp;L'!$AP$10</f>
        <v>272.27699999999999</v>
      </c>
      <c r="AX77" s="665">
        <f>+(AW77/AW70-1)*100</f>
        <v>20.3918482129829</v>
      </c>
      <c r="AY77" s="679">
        <f>+E77+Q77+AM77+AR77</f>
        <v>272.27700000000004</v>
      </c>
      <c r="AZ77" s="682" t="str">
        <f>IF(AW77=AY77,"","n")</f>
        <v/>
      </c>
      <c r="BA77" s="665">
        <f>+(AY77/AY70-1)*100</f>
        <v>20.391848212982921</v>
      </c>
      <c r="BB77" s="666"/>
      <c r="BC77" s="673">
        <f>'qtrP&amp;L'!$AP$48</f>
        <v>29.438999999999993</v>
      </c>
      <c r="BD77" s="672">
        <f>+BC77/AW77*100</f>
        <v>10.812150861071627</v>
      </c>
      <c r="BE77" s="695">
        <v>24.030999999999999</v>
      </c>
      <c r="BF77" s="667">
        <f>+H77+T77+AO77+AT77-BE77</f>
        <v>29.438999999999993</v>
      </c>
      <c r="BG77" s="963" t="str">
        <f t="shared" si="0"/>
        <v/>
      </c>
      <c r="BH77" s="672">
        <f>+BF77/AY77*100</f>
        <v>10.812150861071625</v>
      </c>
      <c r="BI77" s="131"/>
      <c r="BJ77" s="131"/>
      <c r="BK77" s="131"/>
      <c r="BL77" s="131"/>
      <c r="BM77" s="131"/>
      <c r="BN77" s="131"/>
      <c r="BO77" s="131"/>
      <c r="BP77" s="131"/>
      <c r="BQ77" s="131"/>
      <c r="BR77" s="131"/>
      <c r="BS77" s="131"/>
      <c r="BT77" s="131"/>
      <c r="BU77" s="131"/>
      <c r="BV77" s="131"/>
      <c r="BW77" s="131"/>
      <c r="BX77" s="131"/>
      <c r="BY77" s="131"/>
    </row>
    <row r="78" spans="1:77" hidden="1" outlineLevel="2">
      <c r="A78" s="131"/>
      <c r="B78" s="131" t="str">
        <f>$B$15</f>
        <v>2Q</v>
      </c>
      <c r="C78" s="131" t="str">
        <f>$C$15</f>
        <v>Jul</v>
      </c>
      <c r="D78" s="131"/>
      <c r="E78" s="669">
        <v>159.512</v>
      </c>
      <c r="F78" s="661">
        <f>+(E78/E71-1)*100</f>
        <v>22.954067199556015</v>
      </c>
      <c r="G78" s="2060">
        <v>12</v>
      </c>
      <c r="H78" s="684">
        <v>32.723999999999997</v>
      </c>
      <c r="I78" s="671">
        <f>+H78/E78*100</f>
        <v>20.515070966447663</v>
      </c>
      <c r="J78" s="701"/>
      <c r="K78" s="701"/>
      <c r="L78" s="701"/>
      <c r="M78" s="701"/>
      <c r="N78" s="953">
        <v>9</v>
      </c>
      <c r="O78" s="953">
        <v>14</v>
      </c>
      <c r="P78" s="664"/>
      <c r="Q78" s="669">
        <v>121.574</v>
      </c>
      <c r="R78" s="661">
        <f>+(Q78/Q71-1)*100</f>
        <v>30.351896725494811</v>
      </c>
      <c r="S78" s="2060"/>
      <c r="T78" s="670">
        <v>29.670999999999999</v>
      </c>
      <c r="U78" s="671">
        <f>+T78/Q78*100</f>
        <v>24.405711747577609</v>
      </c>
      <c r="V78" s="664"/>
      <c r="W78" s="1104"/>
      <c r="X78" s="798">
        <v>13</v>
      </c>
      <c r="Y78" s="2060"/>
      <c r="Z78" s="670"/>
      <c r="AA78" s="671"/>
      <c r="AB78" s="723"/>
      <c r="AC78" s="1104"/>
      <c r="AD78" s="1103">
        <v>24</v>
      </c>
      <c r="AE78" s="723">
        <v>21</v>
      </c>
      <c r="AF78" s="723"/>
      <c r="AG78" s="669"/>
      <c r="AH78" s="661"/>
      <c r="AI78" s="2060"/>
      <c r="AJ78" s="670"/>
      <c r="AK78" s="671"/>
      <c r="AL78" s="664"/>
      <c r="AM78" s="669">
        <v>25.981000000000002</v>
      </c>
      <c r="AN78" s="1780">
        <f>+(AM78/AM71-1)*100</f>
        <v>5.088379242001384</v>
      </c>
      <c r="AO78" s="663">
        <v>1.095</v>
      </c>
      <c r="AP78" s="671">
        <f>+AO78/AM78*100</f>
        <v>4.2146183749663209</v>
      </c>
      <c r="AQ78" s="664"/>
      <c r="AR78" s="669"/>
      <c r="AS78" s="661"/>
      <c r="AT78" s="670"/>
      <c r="AU78" s="671"/>
      <c r="AV78" s="664"/>
      <c r="AW78" s="673">
        <f>'qtrP&amp;L'!$AP$11</f>
        <v>307.06700000000001</v>
      </c>
      <c r="AX78" s="665">
        <f>+(AW78/AW71-1)*100</f>
        <v>23.956289711854417</v>
      </c>
      <c r="AY78" s="673">
        <f>+E78+Q78+AM78+AR78</f>
        <v>307.06700000000001</v>
      </c>
      <c r="AZ78" s="682" t="str">
        <f>IF(AW78=AY78,"","n")</f>
        <v/>
      </c>
      <c r="BA78" s="665">
        <f>+(AY78/AY71-1)*100</f>
        <v>23.956289711854396</v>
      </c>
      <c r="BB78" s="666"/>
      <c r="BC78" s="673">
        <f>'qtrP&amp;L'!$AP$49</f>
        <v>41.953000000000003</v>
      </c>
      <c r="BD78" s="672">
        <f>+BC78/AW78*100</f>
        <v>13.662490596514768</v>
      </c>
      <c r="BE78" s="691">
        <v>21.536999999999999</v>
      </c>
      <c r="BF78" s="673">
        <f>+H78+T78+AO78+AT78-BE78</f>
        <v>41.952999999999996</v>
      </c>
      <c r="BG78" s="963" t="str">
        <f t="shared" si="0"/>
        <v/>
      </c>
      <c r="BH78" s="672">
        <f>+BF78/AY78*100</f>
        <v>13.662490596514765</v>
      </c>
      <c r="BI78" s="131"/>
      <c r="BJ78" s="131"/>
      <c r="BK78" s="131"/>
      <c r="BL78" s="131"/>
      <c r="BM78" s="131"/>
      <c r="BN78" s="131"/>
      <c r="BO78" s="131"/>
      <c r="BP78" s="131"/>
      <c r="BQ78" s="131"/>
      <c r="BR78" s="131"/>
      <c r="BS78" s="131"/>
      <c r="BT78" s="131"/>
      <c r="BU78" s="131"/>
      <c r="BV78" s="131"/>
      <c r="BW78" s="131"/>
      <c r="BX78" s="131"/>
      <c r="BY78" s="131"/>
    </row>
    <row r="79" spans="1:77" hidden="1" outlineLevel="2">
      <c r="A79" s="131"/>
      <c r="B79" s="131" t="str">
        <f>$B$16</f>
        <v>3Q</v>
      </c>
      <c r="C79" s="131" t="str">
        <f>$C$16</f>
        <v>Oct</v>
      </c>
      <c r="D79" s="131"/>
      <c r="E79" s="669">
        <v>161.49100000000001</v>
      </c>
      <c r="F79" s="661">
        <f>+(E79/E72-1)*100</f>
        <v>28.410012563413446</v>
      </c>
      <c r="G79" s="2060">
        <v>22</v>
      </c>
      <c r="H79" s="800">
        <v>30.065000000000001</v>
      </c>
      <c r="I79" s="671">
        <f>+H79/E79*100</f>
        <v>18.617136558693673</v>
      </c>
      <c r="J79" s="701"/>
      <c r="K79" s="701"/>
      <c r="L79" s="701"/>
      <c r="M79" s="701"/>
      <c r="N79" s="953">
        <v>16</v>
      </c>
      <c r="O79" s="953">
        <v>24</v>
      </c>
      <c r="P79" s="664"/>
      <c r="Q79" s="669">
        <v>132.869</v>
      </c>
      <c r="R79" s="661">
        <f>+(Q79/Q72-1)*100</f>
        <v>31.22993807346246</v>
      </c>
      <c r="S79" s="2060"/>
      <c r="T79" s="691">
        <v>29.503</v>
      </c>
      <c r="U79" s="671">
        <f>+T79/Q79*100</f>
        <v>22.204577440938067</v>
      </c>
      <c r="V79" s="664"/>
      <c r="W79" s="1104"/>
      <c r="X79" s="798">
        <v>10</v>
      </c>
      <c r="Y79" s="2060"/>
      <c r="Z79" s="691"/>
      <c r="AA79" s="671"/>
      <c r="AB79" s="723"/>
      <c r="AC79" s="1104"/>
      <c r="AD79" s="1103">
        <v>49</v>
      </c>
      <c r="AE79" s="723">
        <v>33</v>
      </c>
      <c r="AF79" s="723"/>
      <c r="AG79" s="669"/>
      <c r="AH79" s="661"/>
      <c r="AI79" s="2060"/>
      <c r="AJ79" s="691"/>
      <c r="AK79" s="671"/>
      <c r="AL79" s="664"/>
      <c r="AM79" s="669">
        <v>28.346</v>
      </c>
      <c r="AN79" s="1780">
        <f>+(AM79/AM72-1)*100</f>
        <v>10.947590903753568</v>
      </c>
      <c r="AO79" s="695">
        <v>1.413</v>
      </c>
      <c r="AP79" s="671">
        <f>+AO79/AM79*100</f>
        <v>4.9848303111550134</v>
      </c>
      <c r="AQ79" s="664"/>
      <c r="AR79" s="669"/>
      <c r="AS79" s="661"/>
      <c r="AT79" s="670"/>
      <c r="AU79" s="671"/>
      <c r="AV79" s="664"/>
      <c r="AW79" s="673">
        <f>'qtrP&amp;L'!$AP$12</f>
        <v>322.70600000000002</v>
      </c>
      <c r="AX79" s="665">
        <f>+(AW79/AW72-1)*100</f>
        <v>27.77399429838454</v>
      </c>
      <c r="AY79" s="673">
        <f>+E79+Q79+AM79+AR79</f>
        <v>322.70600000000002</v>
      </c>
      <c r="AZ79" s="682" t="str">
        <f>IF(AW79=AY79,"","n")</f>
        <v/>
      </c>
      <c r="BA79" s="665">
        <f>+(AY79/AY72-1)*100</f>
        <v>27.77399429838454</v>
      </c>
      <c r="BB79" s="666"/>
      <c r="BC79" s="673">
        <f>'qtrP&amp;L'!$AP$50</f>
        <v>39.481999999999999</v>
      </c>
      <c r="BD79" s="672">
        <f>+BC79/AW79*100</f>
        <v>12.234665608944363</v>
      </c>
      <c r="BE79" s="691">
        <v>21.498999999999999</v>
      </c>
      <c r="BF79" s="673">
        <f>+H79+T79+AO79+AT79-BE79</f>
        <v>39.481999999999999</v>
      </c>
      <c r="BG79" s="963" t="str">
        <f t="shared" si="0"/>
        <v/>
      </c>
      <c r="BH79" s="672">
        <f>+BF79/AY79*100</f>
        <v>12.234665608944363</v>
      </c>
      <c r="BI79" s="131"/>
      <c r="BJ79" s="131"/>
      <c r="BK79" s="131"/>
      <c r="BL79" s="131"/>
      <c r="BM79" s="131"/>
      <c r="BN79" s="131"/>
      <c r="BO79" s="131"/>
      <c r="BP79" s="131"/>
      <c r="BQ79" s="131"/>
      <c r="BR79" s="131"/>
      <c r="BS79" s="131"/>
      <c r="BT79" s="131"/>
      <c r="BU79" s="131"/>
      <c r="BV79" s="131"/>
      <c r="BW79" s="131"/>
      <c r="BX79" s="131"/>
      <c r="BY79" s="131"/>
    </row>
    <row r="80" spans="1:77" hidden="1" outlineLevel="2">
      <c r="A80" s="131"/>
      <c r="B80" s="131" t="str">
        <f>$B$17</f>
        <v>4Q</v>
      </c>
      <c r="C80" s="131" t="str">
        <f>$C$17</f>
        <v>Jan</v>
      </c>
      <c r="D80" s="131"/>
      <c r="E80" s="1014">
        <f>E81-SUM(E77:E79)</f>
        <v>291.73099999999999</v>
      </c>
      <c r="F80" s="661">
        <f>+(E80/E73-1)*100</f>
        <v>26.800973616725308</v>
      </c>
      <c r="G80" s="2060">
        <v>26</v>
      </c>
      <c r="H80" s="715">
        <f>H81-SUM(H77:H79)</f>
        <v>89.914000000000001</v>
      </c>
      <c r="I80" s="671">
        <f>+H80/E80*100</f>
        <v>30.820858941970513</v>
      </c>
      <c r="J80" s="701"/>
      <c r="K80" s="701"/>
      <c r="L80" s="701"/>
      <c r="M80" s="701"/>
      <c r="N80" s="953"/>
      <c r="O80" s="953"/>
      <c r="P80" s="664"/>
      <c r="Q80" s="1014">
        <f>Q81-SUM(Q77:Q79)</f>
        <v>217.68999999999994</v>
      </c>
      <c r="R80" s="661">
        <f>+(Q80/Q73-1)*100</f>
        <v>26.942567075055202</v>
      </c>
      <c r="S80" s="2060"/>
      <c r="T80" s="715">
        <f>T81-SUM(T77:T79)</f>
        <v>61.78</v>
      </c>
      <c r="U80" s="671">
        <f>+T80/Q80*100</f>
        <v>28.37980614635492</v>
      </c>
      <c r="V80" s="664"/>
      <c r="W80" s="1104"/>
      <c r="X80" s="798">
        <v>13</v>
      </c>
      <c r="Y80" s="2060"/>
      <c r="Z80" s="715"/>
      <c r="AA80" s="671"/>
      <c r="AB80" s="723"/>
      <c r="AC80" s="1104"/>
      <c r="AD80" s="1103" t="s">
        <v>1376</v>
      </c>
      <c r="AE80" s="723" t="s">
        <v>1376</v>
      </c>
      <c r="AF80" s="723"/>
      <c r="AG80" s="1790"/>
      <c r="AH80" s="661"/>
      <c r="AI80" s="2060"/>
      <c r="AJ80" s="1097"/>
      <c r="AK80" s="671"/>
      <c r="AL80" s="664"/>
      <c r="AM80" s="669">
        <f>AM81-SUM(AM77:AM79)</f>
        <v>60.21899999999998</v>
      </c>
      <c r="AN80" s="1780">
        <f>+(AM80/AM73-1)*100</f>
        <v>20.604434119084303</v>
      </c>
      <c r="AO80" s="715">
        <f>AO81-SUM(AO77:AO79)</f>
        <v>14.817</v>
      </c>
      <c r="AP80" s="671">
        <f>+AO80/AM80*100</f>
        <v>24.605191052657808</v>
      </c>
      <c r="AQ80" s="664"/>
      <c r="AR80" s="669"/>
      <c r="AS80" s="661"/>
      <c r="AT80" s="670"/>
      <c r="AU80" s="671"/>
      <c r="AV80" s="664"/>
      <c r="AW80" s="677">
        <f>'qtrP&amp;L'!$AP$13</f>
        <v>569.64</v>
      </c>
      <c r="AX80" s="912">
        <f>+(AW80/AW73-1)*100</f>
        <v>26.169466298107569</v>
      </c>
      <c r="AY80" s="677">
        <f>+E80+Q80+AM80+AR80</f>
        <v>569.63999999999987</v>
      </c>
      <c r="AZ80" s="804" t="str">
        <f>IF(AW80=AY80,"","n")</f>
        <v/>
      </c>
      <c r="BA80" s="665">
        <f>+(AY80/AY73-1)*100</f>
        <v>26.169466298107547</v>
      </c>
      <c r="BB80" s="666"/>
      <c r="BC80" s="1012">
        <f>'qtrP&amp;L'!$AP$51</f>
        <v>146.00899999999996</v>
      </c>
      <c r="BD80" s="685">
        <f>+BC80/AW80*100</f>
        <v>25.631802541956318</v>
      </c>
      <c r="BE80" s="677">
        <f>+BE81-SUM(BE77:BE79)</f>
        <v>20.50200000000001</v>
      </c>
      <c r="BF80" s="1012">
        <f>+H80+T80+AO80+AT80-BE80</f>
        <v>146.00900000000001</v>
      </c>
      <c r="BG80" s="963" t="str">
        <f t="shared" si="0"/>
        <v/>
      </c>
      <c r="BH80" s="672">
        <f>+BF80/AY80*100</f>
        <v>25.631802541956333</v>
      </c>
      <c r="BI80" s="131"/>
      <c r="BJ80" s="131"/>
      <c r="BK80" s="131"/>
      <c r="BL80" s="131"/>
      <c r="BM80" s="131"/>
      <c r="BN80" s="131"/>
      <c r="BO80" s="131"/>
      <c r="BP80" s="131"/>
      <c r="BQ80" s="131"/>
      <c r="BR80" s="131"/>
      <c r="BS80" s="131"/>
      <c r="BT80" s="131"/>
      <c r="BU80" s="131"/>
      <c r="BV80" s="131"/>
      <c r="BW80" s="131"/>
      <c r="BX80" s="131"/>
      <c r="BY80" s="131"/>
    </row>
    <row r="81" spans="1:77" hidden="1" outlineLevel="2">
      <c r="A81" s="131"/>
      <c r="B81" s="131"/>
      <c r="C81" s="131" t="str">
        <f>$C$18</f>
        <v>Year</v>
      </c>
      <c r="D81" s="131"/>
      <c r="E81" s="724">
        <v>744.42499999999995</v>
      </c>
      <c r="F81" s="661">
        <f>+(E81/E74-1)*100</f>
        <v>25.410848246850914</v>
      </c>
      <c r="G81" s="2060">
        <v>20</v>
      </c>
      <c r="H81" s="695">
        <v>176.827</v>
      </c>
      <c r="I81" s="671">
        <f>+H81/E81*100</f>
        <v>23.753501024280485</v>
      </c>
      <c r="J81" s="701"/>
      <c r="K81" s="701"/>
      <c r="L81" s="701"/>
      <c r="M81" s="701"/>
      <c r="N81" s="953">
        <v>14</v>
      </c>
      <c r="O81" s="953">
        <v>22</v>
      </c>
      <c r="P81" s="664"/>
      <c r="Q81" s="724">
        <v>589.60699999999997</v>
      </c>
      <c r="R81" s="661">
        <f>+(Q81/Q74-1)*100</f>
        <v>27.489761586597304</v>
      </c>
      <c r="S81" s="2060"/>
      <c r="T81" s="695">
        <v>149.91800000000001</v>
      </c>
      <c r="U81" s="671">
        <f>+T81/Q81*100</f>
        <v>25.426767321283499</v>
      </c>
      <c r="V81" s="664"/>
      <c r="W81" s="1104"/>
      <c r="X81" s="798">
        <v>13</v>
      </c>
      <c r="Y81" s="2060"/>
      <c r="Z81" s="695"/>
      <c r="AA81" s="671"/>
      <c r="AB81" s="723"/>
      <c r="AC81" s="1104"/>
      <c r="AD81" s="1103">
        <v>36</v>
      </c>
      <c r="AE81" s="723">
        <v>26</v>
      </c>
      <c r="AF81" s="723"/>
      <c r="AG81" s="724"/>
      <c r="AH81" s="661"/>
      <c r="AI81" s="2060"/>
      <c r="AJ81" s="695"/>
      <c r="AK81" s="671"/>
      <c r="AL81" s="664"/>
      <c r="AM81" s="686">
        <v>137.65799999999999</v>
      </c>
      <c r="AN81" s="1780">
        <f>+(AM81/AM74-1)*100</f>
        <v>12.958495396583114</v>
      </c>
      <c r="AO81" s="695">
        <v>17.707000000000001</v>
      </c>
      <c r="AP81" s="671">
        <f>+AO81/AM81*100</f>
        <v>12.863037382498657</v>
      </c>
      <c r="AQ81" s="664"/>
      <c r="AR81" s="686"/>
      <c r="AS81" s="661"/>
      <c r="AT81" s="687"/>
      <c r="AU81" s="671"/>
      <c r="AV81" s="664"/>
      <c r="AW81" s="673">
        <f>'qtrP&amp;L'!$AP$14</f>
        <v>1471.69</v>
      </c>
      <c r="AX81" s="912">
        <f>+(AW81/AW74-1)*100</f>
        <v>24.938769654198168</v>
      </c>
      <c r="AY81" s="803">
        <f>+E81+Q81+AM81+AR81</f>
        <v>1471.6899999999998</v>
      </c>
      <c r="AZ81" s="804" t="str">
        <f>IF(AW81=AY81,"","n")</f>
        <v/>
      </c>
      <c r="BA81" s="665">
        <f>+(AY81/AY74-1)*100</f>
        <v>24.938769654198147</v>
      </c>
      <c r="BB81" s="666"/>
      <c r="BC81" s="673">
        <f>'qtrP&amp;L'!$AP$52</f>
        <v>256.88299999999992</v>
      </c>
      <c r="BD81" s="672">
        <f>+BC81/AW81*100</f>
        <v>17.454966738919193</v>
      </c>
      <c r="BE81" s="691">
        <v>87.569000000000003</v>
      </c>
      <c r="BF81" s="667">
        <f>+H81+T81+AO81+AT81-BE81</f>
        <v>256.88299999999998</v>
      </c>
      <c r="BG81" s="963" t="str">
        <f t="shared" si="0"/>
        <v/>
      </c>
      <c r="BH81" s="672">
        <f>+BF81/AY81*100</f>
        <v>17.454966738919204</v>
      </c>
      <c r="BI81" s="131"/>
      <c r="BJ81" s="118">
        <f>+E81/$AY81</f>
        <v>0.50583003213992084</v>
      </c>
      <c r="BK81" s="118">
        <f>+Q81/$AY81</f>
        <v>0.40063260605154621</v>
      </c>
      <c r="BL81" s="118">
        <f>+AM81/AY81</f>
        <v>9.3537361808533045E-2</v>
      </c>
      <c r="BM81" s="118">
        <f>+AR81/AY81</f>
        <v>0</v>
      </c>
      <c r="BN81" s="131"/>
      <c r="BO81" s="131"/>
      <c r="BP81" s="131"/>
      <c r="BQ81" s="131"/>
      <c r="BR81" s="131"/>
      <c r="BS81" s="131"/>
      <c r="BT81" s="131"/>
      <c r="BU81" s="131"/>
      <c r="BV81" s="131"/>
      <c r="BW81" s="131"/>
      <c r="BX81" s="131"/>
      <c r="BY81" s="131"/>
    </row>
    <row r="82" spans="1:77" hidden="1" outlineLevel="2">
      <c r="A82" s="131"/>
      <c r="B82" s="131"/>
      <c r="C82" s="131"/>
      <c r="D82" s="131"/>
      <c r="E82" s="656"/>
      <c r="F82" s="233"/>
      <c r="G82" s="2058"/>
      <c r="H82" s="688"/>
      <c r="I82" s="657"/>
      <c r="J82" s="709"/>
      <c r="K82" s="709"/>
      <c r="L82" s="709"/>
      <c r="M82" s="709"/>
      <c r="N82" s="233"/>
      <c r="O82" s="953"/>
      <c r="P82" s="643"/>
      <c r="Q82" s="656"/>
      <c r="R82" s="233"/>
      <c r="S82" s="2058"/>
      <c r="T82" s="688"/>
      <c r="U82" s="657"/>
      <c r="V82" s="643"/>
      <c r="W82" s="1105"/>
      <c r="X82" s="893"/>
      <c r="Y82" s="2058"/>
      <c r="Z82" s="688"/>
      <c r="AA82" s="657"/>
      <c r="AB82" s="643"/>
      <c r="AC82" s="1105"/>
      <c r="AD82" s="1108"/>
      <c r="AE82" s="643"/>
      <c r="AF82" s="643"/>
      <c r="AG82" s="656"/>
      <c r="AH82" s="233"/>
      <c r="AI82" s="2058"/>
      <c r="AJ82" s="688"/>
      <c r="AK82" s="657"/>
      <c r="AL82" s="643"/>
      <c r="AM82" s="656"/>
      <c r="AN82" s="234"/>
      <c r="AO82" s="688"/>
      <c r="AP82" s="657"/>
      <c r="AQ82" s="643"/>
      <c r="AR82" s="656"/>
      <c r="AS82" s="233"/>
      <c r="AT82" s="688"/>
      <c r="AU82" s="657"/>
      <c r="AV82" s="643"/>
      <c r="AW82" s="658"/>
      <c r="AX82" s="658"/>
      <c r="AY82" s="658"/>
      <c r="AZ82" s="659"/>
      <c r="BA82" s="132"/>
      <c r="BB82" s="132"/>
      <c r="BC82" s="658"/>
      <c r="BD82" s="658"/>
      <c r="BE82" s="658"/>
      <c r="BF82" s="658"/>
      <c r="BG82" s="963" t="str">
        <f t="shared" si="0"/>
        <v/>
      </c>
      <c r="BH82" s="131"/>
      <c r="BI82" s="131"/>
      <c r="BJ82" s="131"/>
      <c r="BK82" s="131"/>
      <c r="BL82" s="131"/>
      <c r="BM82" s="131"/>
      <c r="BN82" s="131"/>
      <c r="BO82" s="131"/>
      <c r="BP82" s="131"/>
      <c r="BQ82" s="131"/>
      <c r="BR82" s="131"/>
      <c r="BS82" s="131"/>
      <c r="BT82" s="131"/>
      <c r="BU82" s="131"/>
      <c r="BV82" s="131"/>
      <c r="BW82" s="131"/>
      <c r="BX82" s="131"/>
      <c r="BY82" s="131"/>
    </row>
    <row r="83" spans="1:77" hidden="1" outlineLevel="2">
      <c r="A83" s="131"/>
      <c r="B83" s="2506">
        <f>+B76+1</f>
        <v>2000</v>
      </c>
      <c r="C83" s="2506"/>
      <c r="D83" s="131"/>
      <c r="E83" s="656"/>
      <c r="F83" s="233"/>
      <c r="G83" s="2058"/>
      <c r="H83" s="688"/>
      <c r="I83" s="657"/>
      <c r="J83" s="709"/>
      <c r="K83" s="709"/>
      <c r="L83" s="709"/>
      <c r="M83" s="709"/>
      <c r="N83" s="233"/>
      <c r="O83" s="953"/>
      <c r="P83" s="643"/>
      <c r="Q83" s="656"/>
      <c r="R83" s="233"/>
      <c r="S83" s="2058"/>
      <c r="T83" s="688"/>
      <c r="U83" s="657"/>
      <c r="V83" s="643"/>
      <c r="W83" s="1105"/>
      <c r="X83" s="893"/>
      <c r="Y83" s="2058"/>
      <c r="Z83" s="688"/>
      <c r="AA83" s="657"/>
      <c r="AB83" s="643"/>
      <c r="AC83" s="1105"/>
      <c r="AD83" s="1108"/>
      <c r="AE83" s="643"/>
      <c r="AF83" s="643"/>
      <c r="AG83" s="656"/>
      <c r="AH83" s="233"/>
      <c r="AI83" s="2058"/>
      <c r="AJ83" s="688"/>
      <c r="AK83" s="657"/>
      <c r="AL83" s="643"/>
      <c r="AM83" s="656"/>
      <c r="AN83" s="234"/>
      <c r="AO83" s="688"/>
      <c r="AP83" s="657"/>
      <c r="AQ83" s="643"/>
      <c r="AR83" s="656"/>
      <c r="AS83" s="233"/>
      <c r="AT83" s="688"/>
      <c r="AU83" s="657"/>
      <c r="AV83" s="643"/>
      <c r="AW83" s="658"/>
      <c r="AX83" s="658"/>
      <c r="AY83" s="658"/>
      <c r="AZ83" s="659"/>
      <c r="BA83" s="132"/>
      <c r="BB83" s="132"/>
      <c r="BC83" s="658"/>
      <c r="BD83" s="658"/>
      <c r="BE83" s="658"/>
      <c r="BF83" s="658"/>
      <c r="BG83" s="963" t="str">
        <f t="shared" si="0"/>
        <v/>
      </c>
      <c r="BH83" s="131"/>
      <c r="BI83" s="131"/>
      <c r="BJ83" s="131"/>
      <c r="BK83" s="131"/>
      <c r="BL83" s="131"/>
      <c r="BM83" s="131"/>
      <c r="BN83" s="131"/>
      <c r="BO83" s="131"/>
      <c r="BP83" s="131"/>
      <c r="BQ83" s="131"/>
      <c r="BR83" s="131"/>
      <c r="BS83" s="131"/>
      <c r="BT83" s="131"/>
      <c r="BU83" s="131"/>
      <c r="BV83" s="131"/>
      <c r="BW83" s="131"/>
      <c r="BX83" s="131"/>
      <c r="BY83" s="131"/>
    </row>
    <row r="84" spans="1:77" hidden="1" outlineLevel="2">
      <c r="A84" s="131"/>
      <c r="B84" s="131" t="str">
        <f>$B$14</f>
        <v>1Q</v>
      </c>
      <c r="C84" s="131" t="str">
        <f>$C$14</f>
        <v>Apr</v>
      </c>
      <c r="D84" s="131"/>
      <c r="E84" s="660">
        <v>169.767</v>
      </c>
      <c r="F84" s="661">
        <f>+(E84/E77-1)*100</f>
        <v>28.913137572043635</v>
      </c>
      <c r="G84" s="2060">
        <v>28</v>
      </c>
      <c r="H84" s="663">
        <v>45.034999999999997</v>
      </c>
      <c r="I84" s="671">
        <f>+H84/E84*100</f>
        <v>26.52753479769331</v>
      </c>
      <c r="J84" s="701"/>
      <c r="K84" s="701"/>
      <c r="L84" s="701"/>
      <c r="M84" s="701"/>
      <c r="N84" s="953">
        <v>19</v>
      </c>
      <c r="O84" s="953">
        <v>32</v>
      </c>
      <c r="P84" s="664"/>
      <c r="Q84" s="660">
        <v>147.446</v>
      </c>
      <c r="R84" s="661">
        <f>+(Q84/Q77-1)*100</f>
        <v>25.513730697856541</v>
      </c>
      <c r="S84" s="2060"/>
      <c r="T84" s="663">
        <v>34.860999999999997</v>
      </c>
      <c r="U84" s="671">
        <f>+T84/Q84*100</f>
        <v>23.643232098530987</v>
      </c>
      <c r="V84" s="664"/>
      <c r="W84" s="1104"/>
      <c r="X84" s="798">
        <v>15</v>
      </c>
      <c r="Y84" s="2060"/>
      <c r="Z84" s="663"/>
      <c r="AA84" s="671"/>
      <c r="AB84" s="723"/>
      <c r="AC84" s="1104"/>
      <c r="AD84" s="1103">
        <v>32</v>
      </c>
      <c r="AE84" s="723">
        <v>25</v>
      </c>
      <c r="AF84" s="723"/>
      <c r="AG84" s="660"/>
      <c r="AH84" s="661"/>
      <c r="AI84" s="2060"/>
      <c r="AJ84" s="663"/>
      <c r="AK84" s="671"/>
      <c r="AL84" s="664"/>
      <c r="AM84" s="660">
        <v>27.93</v>
      </c>
      <c r="AN84" s="1780">
        <f>+(AM84/AM77-1)*100</f>
        <v>20.846313603322962</v>
      </c>
      <c r="AO84" s="663">
        <v>0.38200000000000001</v>
      </c>
      <c r="AP84" s="671">
        <f>+AO84/AM84*100</f>
        <v>1.3677049767275331</v>
      </c>
      <c r="AQ84" s="664"/>
      <c r="AR84" s="660"/>
      <c r="AS84" s="661"/>
      <c r="AT84" s="663"/>
      <c r="AU84" s="671"/>
      <c r="AV84" s="664"/>
      <c r="AW84" s="673">
        <f>'qtrP&amp;L'!$AT$10</f>
        <v>345.14299999999997</v>
      </c>
      <c r="AX84" s="665">
        <f>+(AW84/AW77-1)*100</f>
        <v>26.761716927981418</v>
      </c>
      <c r="AY84" s="679">
        <f>+E84+Q84+AM84+AR84</f>
        <v>345.14299999999997</v>
      </c>
      <c r="AZ84" s="682" t="str">
        <f>IF(AW84=AY84,"","n")</f>
        <v/>
      </c>
      <c r="BA84" s="665">
        <f>+(AY84/AY77-1)*100</f>
        <v>26.761716927981393</v>
      </c>
      <c r="BB84" s="666"/>
      <c r="BC84" s="673">
        <f>'qtrP&amp;L'!$AT$48</f>
        <v>53.394999999999982</v>
      </c>
      <c r="BD84" s="672">
        <f>+BC84/AW84*100</f>
        <v>15.47039922582813</v>
      </c>
      <c r="BE84" s="695">
        <v>26.882999999999999</v>
      </c>
      <c r="BF84" s="667">
        <f>+H84+T84+AO84+AT84-BE84</f>
        <v>53.394999999999996</v>
      </c>
      <c r="BG84" s="963" t="str">
        <f t="shared" si="0"/>
        <v/>
      </c>
      <c r="BH84" s="672">
        <f>+BF84/AY84*100</f>
        <v>15.470399225828135</v>
      </c>
      <c r="BI84" s="131"/>
      <c r="BJ84" s="118">
        <f>+E84/$AY84</f>
        <v>0.49187438250232512</v>
      </c>
      <c r="BK84" s="118">
        <f>+Q84/$AY84</f>
        <v>0.42720263774725259</v>
      </c>
      <c r="BL84" s="118">
        <f>+AM84/AY84</f>
        <v>8.09229797504223E-2</v>
      </c>
      <c r="BM84" s="118">
        <f>+AR84/AY84</f>
        <v>0</v>
      </c>
      <c r="BN84" s="131"/>
      <c r="BO84" s="118">
        <f>+H84/$BF84</f>
        <v>0.84343103286824606</v>
      </c>
      <c r="BP84" s="118">
        <f>+T84/$BF84</f>
        <v>0.65288884727034369</v>
      </c>
      <c r="BQ84" s="118">
        <f>+AO84/$BF84</f>
        <v>7.1542279239629183E-3</v>
      </c>
      <c r="BR84" s="118">
        <f>+AT84/$BF84</f>
        <v>0</v>
      </c>
      <c r="BS84" s="131"/>
      <c r="BT84" s="131"/>
      <c r="BU84" s="131"/>
      <c r="BV84" s="131"/>
      <c r="BW84" s="131"/>
      <c r="BX84" s="131"/>
      <c r="BY84" s="131"/>
    </row>
    <row r="85" spans="1:77" hidden="1" outlineLevel="2">
      <c r="A85" s="131"/>
      <c r="B85" s="131" t="str">
        <f>$B$15</f>
        <v>2Q</v>
      </c>
      <c r="C85" s="131" t="str">
        <f>$C$15</f>
        <v>Jul</v>
      </c>
      <c r="D85" s="131"/>
      <c r="E85" s="669">
        <v>188.65899999999999</v>
      </c>
      <c r="F85" s="661">
        <f>+(E85/E78-1)*100</f>
        <v>18.272606449671503</v>
      </c>
      <c r="G85" s="2060">
        <v>19</v>
      </c>
      <c r="H85" s="684">
        <v>52.866</v>
      </c>
      <c r="I85" s="671">
        <f>+H85/E85*100</f>
        <v>28.021986759179264</v>
      </c>
      <c r="J85" s="701"/>
      <c r="K85" s="701"/>
      <c r="L85" s="701"/>
      <c r="M85" s="701"/>
      <c r="N85" s="953">
        <v>8</v>
      </c>
      <c r="O85" s="953">
        <v>23</v>
      </c>
      <c r="P85" s="664"/>
      <c r="Q85" s="669">
        <v>153.25399999999999</v>
      </c>
      <c r="R85" s="661">
        <f>+(Q85/Q78-1)*100</f>
        <v>26.058203234244147</v>
      </c>
      <c r="S85" s="2060"/>
      <c r="T85" s="670">
        <v>39.502000000000002</v>
      </c>
      <c r="U85" s="671">
        <f>+T85/Q85*100</f>
        <v>25.775509937750407</v>
      </c>
      <c r="V85" s="664"/>
      <c r="W85" s="1104"/>
      <c r="X85" s="798">
        <v>12</v>
      </c>
      <c r="Y85" s="2060"/>
      <c r="Z85" s="670"/>
      <c r="AA85" s="671"/>
      <c r="AB85" s="723"/>
      <c r="AC85" s="1104"/>
      <c r="AD85" s="1103">
        <v>39</v>
      </c>
      <c r="AE85" s="723">
        <v>21</v>
      </c>
      <c r="AF85" s="723"/>
      <c r="AG85" s="669"/>
      <c r="AH85" s="661"/>
      <c r="AI85" s="2060"/>
      <c r="AJ85" s="670"/>
      <c r="AK85" s="671"/>
      <c r="AL85" s="664"/>
      <c r="AM85" s="669">
        <v>32.534999999999997</v>
      </c>
      <c r="AN85" s="1780">
        <f>+(AM85/AM78-1)*100</f>
        <v>25.226126784958215</v>
      </c>
      <c r="AO85" s="684">
        <v>2.2210000000000001</v>
      </c>
      <c r="AP85" s="671">
        <f>+AO85/AM85*100</f>
        <v>6.8264945443368692</v>
      </c>
      <c r="AQ85" s="664"/>
      <c r="AR85" s="669"/>
      <c r="AS85" s="661"/>
      <c r="AT85" s="670"/>
      <c r="AU85" s="671"/>
      <c r="AV85" s="664"/>
      <c r="AW85" s="673">
        <f>'qtrP&amp;L'!$AT$11</f>
        <v>374.44799999999998</v>
      </c>
      <c r="AX85" s="665">
        <f>+(AW85/AW78-1)*100</f>
        <v>21.943419514307937</v>
      </c>
      <c r="AY85" s="673">
        <f>+E85+Q85+AM85+AR85</f>
        <v>374.44799999999998</v>
      </c>
      <c r="AZ85" s="682" t="str">
        <f>IF(AW85=AY85,"","n")</f>
        <v/>
      </c>
      <c r="BA85" s="665">
        <f>+(AY85/AY78-1)*100</f>
        <v>21.943419514307937</v>
      </c>
      <c r="BB85" s="666"/>
      <c r="BC85" s="673">
        <f>'qtrP&amp;L'!$AT$49</f>
        <v>67.07699999999997</v>
      </c>
      <c r="BD85" s="672">
        <f>+BC85/AW85*100</f>
        <v>17.913568773234193</v>
      </c>
      <c r="BE85" s="691">
        <v>27.512</v>
      </c>
      <c r="BF85" s="673">
        <f>+H85+T85+AO85+AT85-BE85</f>
        <v>67.076999999999998</v>
      </c>
      <c r="BG85" s="963" t="str">
        <f t="shared" si="0"/>
        <v/>
      </c>
      <c r="BH85" s="672">
        <f>+BF85/AY85*100</f>
        <v>17.9135687732342</v>
      </c>
      <c r="BI85" s="131"/>
      <c r="BJ85" s="118">
        <f>+E85/$AY85</f>
        <v>0.5038323078237833</v>
      </c>
      <c r="BK85" s="118">
        <f>+Q85/$AY85</f>
        <v>0.40927979318890739</v>
      </c>
      <c r="BL85" s="118">
        <f>+AM85/AY85</f>
        <v>8.6887898987309309E-2</v>
      </c>
      <c r="BM85" s="118">
        <f>+AR85/AY85</f>
        <v>0</v>
      </c>
      <c r="BN85" s="131"/>
      <c r="BO85" s="118">
        <f>+H85/$BF85</f>
        <v>0.7881390044277472</v>
      </c>
      <c r="BP85" s="118">
        <f>+T85/$BF85</f>
        <v>0.58890528795265151</v>
      </c>
      <c r="BQ85" s="118">
        <f>+AO85/$BF85</f>
        <v>3.3111200560549815E-2</v>
      </c>
      <c r="BR85" s="118">
        <f>+AT85/$BF85</f>
        <v>0</v>
      </c>
      <c r="BS85" s="131"/>
      <c r="BT85" s="131"/>
      <c r="BU85" s="131"/>
      <c r="BV85" s="131"/>
      <c r="BW85" s="131"/>
      <c r="BX85" s="131"/>
      <c r="BY85" s="131"/>
    </row>
    <row r="86" spans="1:77" hidden="1" outlineLevel="2">
      <c r="A86" s="131"/>
      <c r="B86" s="131" t="str">
        <f>$B$16</f>
        <v>3Q</v>
      </c>
      <c r="C86" s="131" t="str">
        <f>$C$16</f>
        <v>Oct</v>
      </c>
      <c r="D86" s="131"/>
      <c r="E86" s="669">
        <v>182.36199999999999</v>
      </c>
      <c r="F86" s="661">
        <f>+(E86/E79-1)*100</f>
        <v>12.923940033809922</v>
      </c>
      <c r="G86" s="2060">
        <v>18</v>
      </c>
      <c r="H86" s="684">
        <v>46.673000000000002</v>
      </c>
      <c r="I86" s="671">
        <f>+H86/E86*100</f>
        <v>25.593599543764601</v>
      </c>
      <c r="J86" s="701"/>
      <c r="K86" s="701"/>
      <c r="L86" s="701"/>
      <c r="M86" s="701"/>
      <c r="N86" s="953">
        <v>11</v>
      </c>
      <c r="O86" s="953">
        <v>21</v>
      </c>
      <c r="P86" s="664"/>
      <c r="Q86" s="669">
        <v>154.72999999999999</v>
      </c>
      <c r="R86" s="661">
        <f>+(Q86/Q79-1)*100</f>
        <v>16.453047738750183</v>
      </c>
      <c r="S86" s="2060"/>
      <c r="T86" s="670">
        <v>38.972000000000001</v>
      </c>
      <c r="U86" s="671">
        <f>+T86/Q86*100</f>
        <v>25.187100109868805</v>
      </c>
      <c r="V86" s="664"/>
      <c r="W86" s="1104"/>
      <c r="X86" s="798">
        <v>10</v>
      </c>
      <c r="Y86" s="2060"/>
      <c r="Z86" s="670"/>
      <c r="AA86" s="671"/>
      <c r="AB86" s="723"/>
      <c r="AC86" s="1104"/>
      <c r="AD86" s="1103">
        <v>31</v>
      </c>
      <c r="AE86" s="723">
        <v>35</v>
      </c>
      <c r="AF86" s="723"/>
      <c r="AG86" s="669"/>
      <c r="AH86" s="661"/>
      <c r="AI86" s="2060"/>
      <c r="AJ86" s="670"/>
      <c r="AK86" s="671"/>
      <c r="AL86" s="664"/>
      <c r="AM86" s="669">
        <v>34.981999999999999</v>
      </c>
      <c r="AN86" s="1780">
        <f>+(AM86/AM79-1)*100</f>
        <v>23.410710505891473</v>
      </c>
      <c r="AO86" s="684">
        <v>2.6760000000000002</v>
      </c>
      <c r="AP86" s="671">
        <f>+AO86/AM86*100</f>
        <v>7.6496483906008814</v>
      </c>
      <c r="AQ86" s="664"/>
      <c r="AR86" s="669"/>
      <c r="AS86" s="661"/>
      <c r="AT86" s="670"/>
      <c r="AU86" s="671"/>
      <c r="AV86" s="664"/>
      <c r="AW86" s="673">
        <f>'qtrP&amp;L'!$AT$12</f>
        <v>372.07400000000001</v>
      </c>
      <c r="AX86" s="665">
        <f>+(AW86/AW79-1)*100</f>
        <v>15.298135144682767</v>
      </c>
      <c r="AY86" s="673">
        <f>+E86+Q86+AM86+AR86</f>
        <v>372.07399999999996</v>
      </c>
      <c r="AZ86" s="682" t="str">
        <f>IF(AW86=AY86,"","n")</f>
        <v/>
      </c>
      <c r="BA86" s="665">
        <f>+(AY86/AY79-1)*100</f>
        <v>15.298135144682767</v>
      </c>
      <c r="BB86" s="666"/>
      <c r="BC86" s="673">
        <f>'qtrP&amp;L'!$AT$50</f>
        <v>63.052000000000021</v>
      </c>
      <c r="BD86" s="672">
        <f>+BC86/AW86*100</f>
        <v>16.946091368921241</v>
      </c>
      <c r="BE86" s="691">
        <v>25.268999999999998</v>
      </c>
      <c r="BF86" s="673">
        <f>+H86+T86+AO86+AT86-BE86</f>
        <v>63.052000000000014</v>
      </c>
      <c r="BG86" s="963" t="str">
        <f t="shared" si="0"/>
        <v/>
      </c>
      <c r="BH86" s="672">
        <f>+BF86/AY86*100</f>
        <v>16.946091368921241</v>
      </c>
      <c r="BI86" s="131"/>
      <c r="BJ86" s="118">
        <f>+E86/$AY86</f>
        <v>0.49012293253492589</v>
      </c>
      <c r="BK86" s="118">
        <f>+Q86/$AY86</f>
        <v>0.41585813574719011</v>
      </c>
      <c r="BL86" s="118">
        <f>+AM86/AY86</f>
        <v>9.4018931717884086E-2</v>
      </c>
      <c r="BM86" s="118">
        <f>+AR86/AY86</f>
        <v>0</v>
      </c>
      <c r="BN86" s="131"/>
      <c r="BO86" s="118">
        <f>+H86/$BF86</f>
        <v>0.74023028611304942</v>
      </c>
      <c r="BP86" s="118">
        <f>+T86/$BF86</f>
        <v>0.61809300260102762</v>
      </c>
      <c r="BQ86" s="118">
        <f>+AO86/$BF86</f>
        <v>4.2441159677726312E-2</v>
      </c>
      <c r="BR86" s="118">
        <f>+AT86/$BF86</f>
        <v>0</v>
      </c>
      <c r="BS86" s="131"/>
      <c r="BT86" s="131"/>
      <c r="BU86" s="131"/>
      <c r="BV86" s="131"/>
      <c r="BW86" s="131"/>
      <c r="BX86" s="131"/>
      <c r="BY86" s="131"/>
    </row>
    <row r="87" spans="1:77" hidden="1" outlineLevel="2">
      <c r="A87" s="131"/>
      <c r="B87" s="131" t="str">
        <f>$B$17</f>
        <v>4Q</v>
      </c>
      <c r="C87" s="131" t="str">
        <f>$C$17</f>
        <v>Jan</v>
      </c>
      <c r="D87" s="131"/>
      <c r="E87" s="1804">
        <v>292.43299999999999</v>
      </c>
      <c r="F87" s="661">
        <f>+(E87/E80-1)*100</f>
        <v>0.24063263760107922</v>
      </c>
      <c r="G87" s="2060">
        <v>-1</v>
      </c>
      <c r="H87" s="715">
        <f>H88-SUM(H84:H86)</f>
        <v>86.220999999999975</v>
      </c>
      <c r="I87" s="671">
        <f>+H87/E87*100</f>
        <v>29.484018561516645</v>
      </c>
      <c r="J87" s="701"/>
      <c r="K87" s="701"/>
      <c r="L87" s="701"/>
      <c r="M87" s="701"/>
      <c r="N87" s="953">
        <v>-5</v>
      </c>
      <c r="O87" s="953">
        <v>1</v>
      </c>
      <c r="P87" s="664"/>
      <c r="Q87" s="675">
        <v>223.84399999999999</v>
      </c>
      <c r="R87" s="661">
        <f>+(Q87/Q80-1)*100</f>
        <v>2.8269557627819575</v>
      </c>
      <c r="S87" s="2060"/>
      <c r="T87" s="715">
        <f>T88-SUM(T84:T86)</f>
        <v>74.881</v>
      </c>
      <c r="U87" s="671">
        <f>+T87/Q87*100</f>
        <v>33.452315005092828</v>
      </c>
      <c r="V87" s="664"/>
      <c r="W87" s="1104"/>
      <c r="X87" s="798">
        <v>8</v>
      </c>
      <c r="Y87" s="2060"/>
      <c r="Z87" s="715"/>
      <c r="AA87" s="671"/>
      <c r="AB87" s="723"/>
      <c r="AC87" s="1104"/>
      <c r="AD87" s="1103" t="s">
        <v>1376</v>
      </c>
      <c r="AE87" s="723" t="s">
        <v>1376</v>
      </c>
      <c r="AF87" s="723"/>
      <c r="AG87" s="669"/>
      <c r="AH87" s="661"/>
      <c r="AI87" s="2060"/>
      <c r="AJ87" s="1097"/>
      <c r="AK87" s="671"/>
      <c r="AL87" s="664"/>
      <c r="AM87" s="669">
        <v>60.113999999999997</v>
      </c>
      <c r="AN87" s="1780">
        <f>+(AM87/AM80-1)*100</f>
        <v>-0.174363572958669</v>
      </c>
      <c r="AO87" s="715">
        <f>AO88-SUM(AO84:AO86)</f>
        <v>16.998000000000001</v>
      </c>
      <c r="AP87" s="671">
        <f>+AO87/AM87*100</f>
        <v>28.276275077353031</v>
      </c>
      <c r="AQ87" s="664"/>
      <c r="AR87" s="669"/>
      <c r="AS87" s="661"/>
      <c r="AT87" s="670"/>
      <c r="AU87" s="671"/>
      <c r="AV87" s="664"/>
      <c r="AW87" s="677">
        <f>'qtrP&amp;L'!$AT$13</f>
        <v>576.39100000000008</v>
      </c>
      <c r="AX87" s="665">
        <f>+(AW87/AW80-1)*100</f>
        <v>1.1851344708939227</v>
      </c>
      <c r="AY87" s="677">
        <f>+E87+Q87+AM87+AR87</f>
        <v>576.39100000000008</v>
      </c>
      <c r="AZ87" s="682" t="str">
        <f>IF(AW87=AY87,"","n")</f>
        <v/>
      </c>
      <c r="BA87" s="665">
        <f>+(AY87/AY80-1)*100</f>
        <v>1.1851344708939449</v>
      </c>
      <c r="BB87" s="666"/>
      <c r="BC87" s="677">
        <f>'qtrP&amp;L'!$AT$51</f>
        <v>143.87200000000001</v>
      </c>
      <c r="BD87" s="685">
        <f>+BC87/AW87*100</f>
        <v>24.960833878391579</v>
      </c>
      <c r="BE87" s="677">
        <f>+BE88-SUM(BE84:BE86)</f>
        <v>34.228000000000009</v>
      </c>
      <c r="BF87" s="677">
        <f>+H87+T87+AO87+AT87-BE87</f>
        <v>143.87199999999996</v>
      </c>
      <c r="BG87" s="963" t="str">
        <f t="shared" si="0"/>
        <v/>
      </c>
      <c r="BH87" s="672">
        <f>+BF87/AY87*100</f>
        <v>24.960833878391568</v>
      </c>
      <c r="BI87" s="131"/>
      <c r="BJ87" s="118">
        <f>+E87/$AY87</f>
        <v>0.50735178030191308</v>
      </c>
      <c r="BK87" s="118">
        <f>+Q87/$AY87</f>
        <v>0.38835443301508865</v>
      </c>
      <c r="BL87" s="118">
        <f>+AM87/AY87</f>
        <v>0.10429378668299816</v>
      </c>
      <c r="BM87" s="118">
        <f>+AR87/AY87</f>
        <v>0</v>
      </c>
      <c r="BN87" s="131"/>
      <c r="BO87" s="118">
        <f>+H87/$BF87</f>
        <v>0.59928964635231319</v>
      </c>
      <c r="BP87" s="118">
        <f>+T87/$BF87</f>
        <v>0.5204695840747332</v>
      </c>
      <c r="BQ87" s="118">
        <f>+AO87/$BF87</f>
        <v>0.11814668594306055</v>
      </c>
      <c r="BR87" s="118">
        <f>+AT87/$BF87</f>
        <v>0</v>
      </c>
      <c r="BS87" s="131"/>
      <c r="BT87" s="131"/>
      <c r="BU87" s="131"/>
      <c r="BV87" s="131"/>
      <c r="BW87" s="131"/>
      <c r="BX87" s="131"/>
      <c r="BY87" s="131"/>
    </row>
    <row r="88" spans="1:77" hidden="1" outlineLevel="2">
      <c r="A88" s="131"/>
      <c r="B88" s="131"/>
      <c r="C88" s="131" t="str">
        <f>$C$18</f>
        <v>Year</v>
      </c>
      <c r="D88" s="131"/>
      <c r="E88" s="660">
        <v>833.221</v>
      </c>
      <c r="F88" s="661">
        <f>+(E88/E81-1)*100</f>
        <v>11.928132451220751</v>
      </c>
      <c r="G88" s="2060">
        <v>12</v>
      </c>
      <c r="H88" s="663">
        <v>230.79499999999999</v>
      </c>
      <c r="I88" s="671">
        <f>+H88/E88*100</f>
        <v>27.69913384324207</v>
      </c>
      <c r="J88" s="701"/>
      <c r="K88" s="701"/>
      <c r="L88" s="701"/>
      <c r="M88" s="701"/>
      <c r="N88" s="953">
        <v>6</v>
      </c>
      <c r="O88" s="953">
        <v>15</v>
      </c>
      <c r="P88" s="664"/>
      <c r="Q88" s="686">
        <f>+SUM(Q84:Q87)</f>
        <v>679.27399999999989</v>
      </c>
      <c r="R88" s="661">
        <f>+(Q88/Q81-1)*100</f>
        <v>15.207926635877778</v>
      </c>
      <c r="S88" s="2060">
        <v>13</v>
      </c>
      <c r="T88" s="663">
        <v>188.21600000000001</v>
      </c>
      <c r="U88" s="671">
        <f>+T88/Q88*100</f>
        <v>27.708406327932472</v>
      </c>
      <c r="V88" s="664"/>
      <c r="W88" s="1104"/>
      <c r="X88" s="798">
        <v>11</v>
      </c>
      <c r="Y88" s="2060"/>
      <c r="Z88" s="663"/>
      <c r="AA88" s="671"/>
      <c r="AB88" s="723"/>
      <c r="AC88" s="1104"/>
      <c r="AD88" s="1103">
        <v>26</v>
      </c>
      <c r="AE88" s="723">
        <v>23</v>
      </c>
      <c r="AF88" s="723"/>
      <c r="AG88" s="686"/>
      <c r="AH88" s="661"/>
      <c r="AI88" s="2060"/>
      <c r="AJ88" s="663"/>
      <c r="AK88" s="671"/>
      <c r="AL88" s="664"/>
      <c r="AM88" s="686">
        <f>SUM(AM84:AM87)</f>
        <v>155.56100000000001</v>
      </c>
      <c r="AN88" s="1780">
        <f>+(AM88/AM81-1)*100</f>
        <v>13.005419227360582</v>
      </c>
      <c r="AO88" s="663">
        <v>22.277000000000001</v>
      </c>
      <c r="AP88" s="671">
        <f>+AO88/AM88*100</f>
        <v>14.320427356471093</v>
      </c>
      <c r="AQ88" s="664"/>
      <c r="AR88" s="686"/>
      <c r="AS88" s="661"/>
      <c r="AT88" s="687"/>
      <c r="AU88" s="671"/>
      <c r="AV88" s="664"/>
      <c r="AW88" s="673">
        <f>'qtrP&amp;L'!$AT$14</f>
        <v>1668.056</v>
      </c>
      <c r="AX88" s="665">
        <f>+(AW88/AW81-1)*100</f>
        <v>13.34289150568393</v>
      </c>
      <c r="AY88" s="679">
        <f>+E88+Q88+AM88+AR88</f>
        <v>1668.0559999999998</v>
      </c>
      <c r="AZ88" s="1494"/>
      <c r="BA88" s="665">
        <f>+(AY88/AY81-1)*100</f>
        <v>13.342891505683951</v>
      </c>
      <c r="BB88" s="666"/>
      <c r="BC88" s="673">
        <f>'qtrP&amp;L'!$AT$52</f>
        <v>327.39599999999996</v>
      </c>
      <c r="BD88" s="672">
        <f>+BC88/AW88*100</f>
        <v>19.6273986005266</v>
      </c>
      <c r="BE88" s="691">
        <v>113.892</v>
      </c>
      <c r="BF88" s="667">
        <f>+H88+T88+AO88+AT88-BE88</f>
        <v>327.39599999999996</v>
      </c>
      <c r="BG88" s="963" t="str">
        <f t="shared" si="0"/>
        <v/>
      </c>
      <c r="BH88" s="672">
        <f>+BF88/AY88*100</f>
        <v>19.6273986005266</v>
      </c>
      <c r="BI88" s="131"/>
      <c r="BJ88" s="118">
        <f>+E88/$AY88</f>
        <v>0.49951620329293506</v>
      </c>
      <c r="BK88" s="118">
        <f>+Q88/$AY88</f>
        <v>0.40722493729227316</v>
      </c>
      <c r="BL88" s="118">
        <f>+AM88/AY88</f>
        <v>9.3258859414791839E-2</v>
      </c>
      <c r="BM88" s="118">
        <f>+AR88/AY88</f>
        <v>0</v>
      </c>
      <c r="BN88" s="131"/>
      <c r="BO88" s="118">
        <f>+H88/$BF88</f>
        <v>0.70494141651089204</v>
      </c>
      <c r="BP88" s="118">
        <f>+T88/$BF88</f>
        <v>0.57488790333418871</v>
      </c>
      <c r="BQ88" s="118">
        <f>+AO88/$BF88</f>
        <v>6.8042981588046295E-2</v>
      </c>
      <c r="BR88" s="118">
        <f>+AT88/$BF88</f>
        <v>0</v>
      </c>
      <c r="BS88" s="131"/>
      <c r="BT88" s="131"/>
      <c r="BU88" s="131"/>
      <c r="BV88" s="131"/>
      <c r="BW88" s="131"/>
      <c r="BX88" s="131"/>
      <c r="BY88" s="131"/>
    </row>
    <row r="89" spans="1:77" hidden="1" outlineLevel="2">
      <c r="A89" s="131"/>
      <c r="B89" s="131"/>
      <c r="C89" s="131"/>
      <c r="D89" s="131"/>
      <c r="E89" s="656"/>
      <c r="F89" s="233"/>
      <c r="G89" s="2058"/>
      <c r="H89" s="688"/>
      <c r="I89" s="657"/>
      <c r="J89" s="709"/>
      <c r="K89" s="709"/>
      <c r="L89" s="709"/>
      <c r="M89" s="709"/>
      <c r="N89" s="233"/>
      <c r="O89" s="953"/>
      <c r="P89" s="643"/>
      <c r="Q89" s="656"/>
      <c r="R89" s="233"/>
      <c r="S89" s="2058"/>
      <c r="T89" s="688"/>
      <c r="U89" s="657"/>
      <c r="V89" s="643"/>
      <c r="W89" s="1105"/>
      <c r="X89" s="893"/>
      <c r="Y89" s="2058"/>
      <c r="Z89" s="688"/>
      <c r="AA89" s="657"/>
      <c r="AB89" s="643"/>
      <c r="AC89" s="1105"/>
      <c r="AD89" s="1108"/>
      <c r="AE89" s="643"/>
      <c r="AF89" s="643"/>
      <c r="AG89" s="656"/>
      <c r="AH89" s="233"/>
      <c r="AI89" s="2058"/>
      <c r="AJ89" s="688"/>
      <c r="AK89" s="657"/>
      <c r="AL89" s="643"/>
      <c r="AM89" s="656"/>
      <c r="AN89" s="234"/>
      <c r="AO89" s="688"/>
      <c r="AP89" s="657"/>
      <c r="AQ89" s="643"/>
      <c r="AR89" s="656"/>
      <c r="AS89" s="233"/>
      <c r="AT89" s="688"/>
      <c r="AU89" s="657"/>
      <c r="AV89" s="643"/>
      <c r="AW89" s="658"/>
      <c r="AX89" s="658"/>
      <c r="AY89" s="658"/>
      <c r="AZ89" s="659"/>
      <c r="BA89" s="132"/>
      <c r="BB89" s="132"/>
      <c r="BC89" s="658"/>
      <c r="BD89" s="658"/>
      <c r="BE89" s="658"/>
      <c r="BF89" s="658"/>
      <c r="BG89" s="963" t="str">
        <f t="shared" si="0"/>
        <v/>
      </c>
      <c r="BH89" s="131"/>
      <c r="BI89" s="131"/>
      <c r="BJ89" s="131"/>
      <c r="BK89" s="131"/>
      <c r="BL89" s="131"/>
      <c r="BM89" s="131"/>
      <c r="BN89" s="131"/>
      <c r="BO89" s="131"/>
      <c r="BP89" s="131"/>
      <c r="BQ89" s="131"/>
      <c r="BR89" s="131"/>
      <c r="BS89" s="131"/>
      <c r="BT89" s="131"/>
      <c r="BU89" s="131"/>
      <c r="BV89" s="131"/>
      <c r="BW89" s="131"/>
      <c r="BX89" s="131"/>
      <c r="BY89" s="131"/>
    </row>
    <row r="90" spans="1:77" hidden="1" outlineLevel="2">
      <c r="A90" s="131"/>
      <c r="B90" s="2506">
        <f>+B83+1</f>
        <v>2001</v>
      </c>
      <c r="C90" s="2506"/>
      <c r="D90" s="131"/>
      <c r="E90" s="656"/>
      <c r="F90" s="233"/>
      <c r="G90" s="2058"/>
      <c r="H90" s="688"/>
      <c r="I90" s="657"/>
      <c r="J90" s="709"/>
      <c r="K90" s="709"/>
      <c r="L90" s="709"/>
      <c r="M90" s="709"/>
      <c r="N90" s="233"/>
      <c r="O90" s="953"/>
      <c r="P90" s="643"/>
      <c r="Q90" s="656"/>
      <c r="R90" s="233"/>
      <c r="S90" s="2058"/>
      <c r="T90" s="688"/>
      <c r="U90" s="657"/>
      <c r="V90" s="643"/>
      <c r="W90" s="1105"/>
      <c r="X90" s="893"/>
      <c r="Y90" s="2058"/>
      <c r="Z90" s="688"/>
      <c r="AA90" s="657"/>
      <c r="AB90" s="643"/>
      <c r="AC90" s="1105"/>
      <c r="AD90" s="1108"/>
      <c r="AE90" s="643"/>
      <c r="AF90" s="643"/>
      <c r="AG90" s="656"/>
      <c r="AH90" s="233"/>
      <c r="AI90" s="2058"/>
      <c r="AJ90" s="688"/>
      <c r="AK90" s="657"/>
      <c r="AL90" s="643"/>
      <c r="AM90" s="656"/>
      <c r="AN90" s="234"/>
      <c r="AO90" s="688"/>
      <c r="AP90" s="657"/>
      <c r="AQ90" s="643"/>
      <c r="AR90" s="656"/>
      <c r="AS90" s="233"/>
      <c r="AT90" s="688"/>
      <c r="AU90" s="657"/>
      <c r="AV90" s="643"/>
      <c r="AW90" s="658"/>
      <c r="AX90" s="658"/>
      <c r="AY90" s="658"/>
      <c r="AZ90" s="659"/>
      <c r="BA90" s="132"/>
      <c r="BB90" s="132"/>
      <c r="BC90" s="658"/>
      <c r="BD90" s="658"/>
      <c r="BE90" s="658"/>
      <c r="BF90" s="658"/>
      <c r="BG90" s="963" t="str">
        <f t="shared" si="0"/>
        <v/>
      </c>
      <c r="BH90" s="131"/>
      <c r="BI90" s="131"/>
      <c r="BJ90" s="131"/>
      <c r="BK90" s="131"/>
      <c r="BL90" s="131"/>
      <c r="BM90" s="131"/>
      <c r="BN90" s="131"/>
      <c r="BO90" s="131"/>
      <c r="BP90" s="131"/>
      <c r="BQ90" s="131"/>
      <c r="BR90" s="131"/>
      <c r="BS90" s="131"/>
      <c r="BT90" s="131"/>
      <c r="BU90" s="131"/>
      <c r="BV90" s="131"/>
      <c r="BW90" s="131"/>
      <c r="BX90" s="131"/>
      <c r="BY90" s="131"/>
    </row>
    <row r="91" spans="1:77" hidden="1" outlineLevel="2">
      <c r="A91" s="131"/>
      <c r="B91" s="131" t="str">
        <f>$B$14</f>
        <v>1Q</v>
      </c>
      <c r="C91" s="131" t="str">
        <f>$C$14</f>
        <v>Apr</v>
      </c>
      <c r="D91" s="131"/>
      <c r="E91" s="660">
        <v>159.012</v>
      </c>
      <c r="F91" s="661">
        <f>+(E91/E84-1)*100</f>
        <v>-6.3351534750569876</v>
      </c>
      <c r="G91" s="2060">
        <v>-8</v>
      </c>
      <c r="H91" s="663">
        <v>34.564</v>
      </c>
      <c r="I91" s="671">
        <f>+H91/E91*100</f>
        <v>21.736724272381956</v>
      </c>
      <c r="J91" s="701"/>
      <c r="K91" s="701"/>
      <c r="L91" s="701"/>
      <c r="M91" s="701"/>
      <c r="N91" s="953">
        <v>-15</v>
      </c>
      <c r="O91" s="953">
        <v>-6</v>
      </c>
      <c r="P91" s="664"/>
      <c r="Q91" s="660">
        <v>146.423</v>
      </c>
      <c r="R91" s="661">
        <f>+(Q91/Q84-1)*100</f>
        <v>-0.69381332826933262</v>
      </c>
      <c r="S91" s="2060"/>
      <c r="T91" s="663">
        <v>38.487000000000002</v>
      </c>
      <c r="U91" s="671">
        <f>+T91/Q91*100</f>
        <v>26.28480498282374</v>
      </c>
      <c r="V91" s="664"/>
      <c r="W91" s="1104"/>
      <c r="X91" s="798">
        <v>6</v>
      </c>
      <c r="Y91" s="2060"/>
      <c r="Z91" s="663"/>
      <c r="AA91" s="671"/>
      <c r="AB91" s="723"/>
      <c r="AC91" s="1104"/>
      <c r="AD91" s="1103">
        <v>2</v>
      </c>
      <c r="AE91" s="723">
        <v>15</v>
      </c>
      <c r="AF91" s="723"/>
      <c r="AG91" s="660"/>
      <c r="AH91" s="661"/>
      <c r="AI91" s="2060"/>
      <c r="AJ91" s="663"/>
      <c r="AK91" s="671"/>
      <c r="AL91" s="664"/>
      <c r="AM91" s="660">
        <v>30.966000000000001</v>
      </c>
      <c r="AN91" s="1780">
        <f>+(AM91/AM84-1)*100</f>
        <v>10.870032223415693</v>
      </c>
      <c r="AO91" s="663">
        <v>2.1589999999999998</v>
      </c>
      <c r="AP91" s="671">
        <f>+AO91/AM91*100</f>
        <v>6.9721630175030667</v>
      </c>
      <c r="AQ91" s="664"/>
      <c r="AR91" s="660"/>
      <c r="AS91" s="661"/>
      <c r="AT91" s="663"/>
      <c r="AU91" s="671"/>
      <c r="AV91" s="664"/>
      <c r="AW91" s="673">
        <f>'qtrP&amp;L'!$AX$10</f>
        <v>336.40100000000001</v>
      </c>
      <c r="AX91" s="665">
        <f>+(AW91/AW84-1)*100</f>
        <v>-2.5328631900400578</v>
      </c>
      <c r="AY91" s="679">
        <f>+E91+Q91+AM91+AR91</f>
        <v>336.40100000000001</v>
      </c>
      <c r="AZ91" s="682" t="str">
        <f>IF(AW91=AY91,"","n")</f>
        <v/>
      </c>
      <c r="BA91" s="665">
        <f>+(AY91/AY84-1)*100</f>
        <v>-2.5328631900400578</v>
      </c>
      <c r="BB91" s="666"/>
      <c r="BC91" s="673">
        <f>'qtrP&amp;L'!$AX$48</f>
        <v>49.221000000000004</v>
      </c>
      <c r="BD91" s="672">
        <f>+BC91/AW91*100</f>
        <v>14.631644971328861</v>
      </c>
      <c r="BE91" s="695">
        <v>25.989000000000001</v>
      </c>
      <c r="BF91" s="667">
        <f>+H91+T91+AO91+AT91-BE91</f>
        <v>49.221000000000004</v>
      </c>
      <c r="BG91" s="963" t="str">
        <f t="shared" si="0"/>
        <v/>
      </c>
      <c r="BH91" s="672">
        <f>+BF91/AY91*100</f>
        <v>14.631644971328861</v>
      </c>
      <c r="BI91" s="131"/>
      <c r="BJ91" s="118">
        <f>+E91/$AY91</f>
        <v>0.47268587192071365</v>
      </c>
      <c r="BK91" s="118">
        <f>+Q91/$AY91</f>
        <v>0.4352632721068011</v>
      </c>
      <c r="BL91" s="118">
        <f>+AM91/AY91</f>
        <v>9.2050855972485218E-2</v>
      </c>
      <c r="BM91" s="118">
        <f>+AR91/AY91</f>
        <v>0</v>
      </c>
      <c r="BN91" s="131"/>
      <c r="BO91" s="118">
        <f>+H91/$BF91</f>
        <v>0.70222059689969718</v>
      </c>
      <c r="BP91" s="118">
        <f>+T91/$BF91</f>
        <v>0.78192235021637102</v>
      </c>
      <c r="BQ91" s="118">
        <f>+AO91/$BF91</f>
        <v>4.3863391641778909E-2</v>
      </c>
      <c r="BR91" s="118">
        <f>+AT91/$BF91</f>
        <v>0</v>
      </c>
      <c r="BS91" s="131"/>
      <c r="BT91" s="131"/>
      <c r="BU91" s="131"/>
      <c r="BV91" s="131"/>
      <c r="BW91" s="131"/>
      <c r="BX91" s="131"/>
      <c r="BY91" s="131"/>
    </row>
    <row r="92" spans="1:77" hidden="1" outlineLevel="2">
      <c r="A92" s="131"/>
      <c r="B92" s="131" t="str">
        <f>$B$15</f>
        <v>2Q</v>
      </c>
      <c r="C92" s="131" t="str">
        <f>$C$15</f>
        <v>Jul</v>
      </c>
      <c r="D92" s="131"/>
      <c r="E92" s="669">
        <v>186.16300000000001</v>
      </c>
      <c r="F92" s="661">
        <f>+(E92/E85-1)*100</f>
        <v>-1.3230219602563209</v>
      </c>
      <c r="G92" s="2060">
        <v>-4</v>
      </c>
      <c r="H92" s="684">
        <v>47.081000000000003</v>
      </c>
      <c r="I92" s="671">
        <f>+H92/E92*100</f>
        <v>25.290202671852086</v>
      </c>
      <c r="J92" s="701"/>
      <c r="K92" s="701"/>
      <c r="L92" s="701"/>
      <c r="M92" s="701"/>
      <c r="N92" s="953">
        <v>-6</v>
      </c>
      <c r="O92" s="953">
        <v>-3</v>
      </c>
      <c r="P92" s="664"/>
      <c r="Q92" s="669">
        <v>150.57400000000001</v>
      </c>
      <c r="R92" s="661">
        <f>+(Q92/Q85-1)*100</f>
        <v>-1.7487308650997568</v>
      </c>
      <c r="S92" s="2060"/>
      <c r="T92" s="670">
        <v>42.95</v>
      </c>
      <c r="U92" s="671">
        <f>+T92/Q92*100</f>
        <v>28.524180801466386</v>
      </c>
      <c r="V92" s="664"/>
      <c r="W92" s="1104"/>
      <c r="X92" s="798">
        <v>6</v>
      </c>
      <c r="Y92" s="2060"/>
      <c r="Z92" s="670"/>
      <c r="AA92" s="671"/>
      <c r="AB92" s="723"/>
      <c r="AC92" s="1104"/>
      <c r="AD92" s="1103">
        <v>3</v>
      </c>
      <c r="AE92" s="723">
        <v>17</v>
      </c>
      <c r="AF92" s="723"/>
      <c r="AG92" s="669"/>
      <c r="AH92" s="661"/>
      <c r="AI92" s="2060"/>
      <c r="AJ92" s="670"/>
      <c r="AK92" s="671"/>
      <c r="AL92" s="664"/>
      <c r="AM92" s="669">
        <v>34.564</v>
      </c>
      <c r="AN92" s="1780">
        <f>+(AM92/AM85-1)*100</f>
        <v>6.2363608421699857</v>
      </c>
      <c r="AO92" s="684">
        <v>3.956</v>
      </c>
      <c r="AP92" s="671">
        <f>+AO92/AM92*100</f>
        <v>11.445434556185626</v>
      </c>
      <c r="AQ92" s="664"/>
      <c r="AR92" s="669"/>
      <c r="AS92" s="661"/>
      <c r="AT92" s="670"/>
      <c r="AU92" s="671"/>
      <c r="AV92" s="664"/>
      <c r="AW92" s="673">
        <f>'qtrP&amp;L'!$AX$11</f>
        <v>371.30099999999999</v>
      </c>
      <c r="AX92" s="665">
        <f>+(AW92/AW85-1)*100</f>
        <v>-0.8404371234457142</v>
      </c>
      <c r="AY92" s="673">
        <f>+E92+Q92+AM92+AR92</f>
        <v>371.30100000000004</v>
      </c>
      <c r="AZ92" s="682" t="str">
        <f>IF(AW92=AY92,"","n")</f>
        <v/>
      </c>
      <c r="BA92" s="665">
        <f>+(AY92/AY85-1)*100</f>
        <v>-0.84043712344569199</v>
      </c>
      <c r="BB92" s="666"/>
      <c r="BC92" s="673">
        <f>'qtrP&amp;L'!$AX$49</f>
        <v>65.669999999999987</v>
      </c>
      <c r="BD92" s="672">
        <f>+BC92/AW92*100</f>
        <v>17.686459233883021</v>
      </c>
      <c r="BE92" s="691">
        <v>28.317</v>
      </c>
      <c r="BF92" s="673">
        <f>+H92+T92+AO92+AT92-BE92</f>
        <v>65.670000000000016</v>
      </c>
      <c r="BG92" s="963" t="str">
        <f t="shared" si="0"/>
        <v/>
      </c>
      <c r="BH92" s="672">
        <f>+BF92/AY92*100</f>
        <v>17.686459233883024</v>
      </c>
      <c r="BI92" s="131"/>
      <c r="BJ92" s="118">
        <f>+E92/$AY92</f>
        <v>0.50138028176600657</v>
      </c>
      <c r="BK92" s="118">
        <f>+Q92/$AY92</f>
        <v>0.40553082270179719</v>
      </c>
      <c r="BL92" s="118">
        <f>+AM92/AY92</f>
        <v>9.3088895532196236E-2</v>
      </c>
      <c r="BM92" s="118">
        <f>+AR92/AY92</f>
        <v>0</v>
      </c>
      <c r="BN92" s="131"/>
      <c r="BO92" s="118">
        <f>+H92/$BF92</f>
        <v>0.71693315060149221</v>
      </c>
      <c r="BP92" s="118">
        <f>+T92/$BF92</f>
        <v>0.6540277143292218</v>
      </c>
      <c r="BQ92" s="118">
        <f>+AO92/$BF92</f>
        <v>6.0240596924013998E-2</v>
      </c>
      <c r="BR92" s="118">
        <f>+AT92/$BF92</f>
        <v>0</v>
      </c>
      <c r="BS92" s="131"/>
      <c r="BT92" s="131"/>
      <c r="BU92" s="131"/>
      <c r="BV92" s="131"/>
      <c r="BW92" s="131"/>
      <c r="BX92" s="131"/>
      <c r="BY92" s="131"/>
    </row>
    <row r="93" spans="1:77" hidden="1" outlineLevel="2">
      <c r="A93" s="131"/>
      <c r="B93" s="131" t="str">
        <f>$B$16</f>
        <v>3Q</v>
      </c>
      <c r="C93" s="131" t="str">
        <f>$C$16</f>
        <v>Oct</v>
      </c>
      <c r="D93" s="131"/>
      <c r="E93" s="669">
        <v>152.06800000000001</v>
      </c>
      <c r="F93" s="661">
        <f>+(E93/E86-1)*100</f>
        <v>-16.612013467718047</v>
      </c>
      <c r="G93" s="2060">
        <v>-19</v>
      </c>
      <c r="H93" s="800">
        <v>25.359000000000002</v>
      </c>
      <c r="I93" s="671">
        <f>+H93/E93*100</f>
        <v>16.676092274508772</v>
      </c>
      <c r="J93" s="701"/>
      <c r="K93" s="701"/>
      <c r="L93" s="701"/>
      <c r="M93" s="701"/>
      <c r="N93" s="798">
        <v>-29</v>
      </c>
      <c r="O93" s="798">
        <v>-16</v>
      </c>
      <c r="P93" s="664"/>
      <c r="Q93" s="805">
        <v>147.22</v>
      </c>
      <c r="R93" s="661">
        <f>+(Q93/Q86-1)*100</f>
        <v>-4.8536159762166298</v>
      </c>
      <c r="S93" s="2060"/>
      <c r="T93" s="691">
        <v>42.067</v>
      </c>
      <c r="U93" s="671">
        <f>+T93/Q93*100</f>
        <v>28.574242630077435</v>
      </c>
      <c r="V93" s="664"/>
      <c r="W93" s="1104"/>
      <c r="X93" s="798">
        <v>1</v>
      </c>
      <c r="Y93" s="2060"/>
      <c r="Z93" s="691"/>
      <c r="AA93" s="671"/>
      <c r="AB93" s="723"/>
      <c r="AC93" s="1104"/>
      <c r="AD93" s="1103">
        <v>-4</v>
      </c>
      <c r="AE93" s="723">
        <v>-12</v>
      </c>
      <c r="AF93" s="723"/>
      <c r="AG93" s="805"/>
      <c r="AH93" s="661"/>
      <c r="AI93" s="2060"/>
      <c r="AJ93" s="691"/>
      <c r="AK93" s="671"/>
      <c r="AL93" s="664"/>
      <c r="AM93" s="805">
        <v>33.786000000000001</v>
      </c>
      <c r="AN93" s="1291">
        <f>+(AM93/AM86-1)*100</f>
        <v>-3.4189011491624233</v>
      </c>
      <c r="AO93" s="800">
        <v>1.724</v>
      </c>
      <c r="AP93" s="671">
        <f>+AO93/AM93*100</f>
        <v>5.1027052625347773</v>
      </c>
      <c r="AQ93" s="664"/>
      <c r="AR93" s="805"/>
      <c r="AS93" s="802"/>
      <c r="AT93" s="691"/>
      <c r="AU93" s="671"/>
      <c r="AV93" s="664"/>
      <c r="AW93" s="673">
        <f>'qtrP&amp;L'!$AX$12</f>
        <v>333.07400000000001</v>
      </c>
      <c r="AX93" s="665">
        <f>+(AW93/AW86-1)*100</f>
        <v>-10.481785881303185</v>
      </c>
      <c r="AY93" s="673">
        <f>+E93+Q93+AM93+AR93</f>
        <v>333.07400000000001</v>
      </c>
      <c r="AZ93" s="682" t="str">
        <f>IF(AW93=AY93,"","n")</f>
        <v/>
      </c>
      <c r="BA93" s="665">
        <f>+(AY93/AY86-1)*100</f>
        <v>-10.481785881303162</v>
      </c>
      <c r="BB93" s="664"/>
      <c r="BC93" s="673">
        <f>'qtrP&amp;L'!$AX$50</f>
        <v>46.040999999999997</v>
      </c>
      <c r="BD93" s="672">
        <f>+BC93/AW93*100</f>
        <v>13.823054336273618</v>
      </c>
      <c r="BE93" s="691">
        <v>23.109000000000002</v>
      </c>
      <c r="BF93" s="673">
        <f>+H93+T93+AO93+AT93-BE93</f>
        <v>46.041000000000004</v>
      </c>
      <c r="BG93" s="963" t="str">
        <f t="shared" si="0"/>
        <v/>
      </c>
      <c r="BH93" s="672">
        <f>+BF93/AY93*100</f>
        <v>13.823054336273621</v>
      </c>
      <c r="BI93" s="247"/>
      <c r="BJ93" s="806">
        <f>+E93/$AY93</f>
        <v>0.45655920305998071</v>
      </c>
      <c r="BK93" s="806">
        <f>+Q93/$AY93</f>
        <v>0.44200387901787591</v>
      </c>
      <c r="BL93" s="118">
        <f>+AM93/AY93</f>
        <v>0.10143691792214343</v>
      </c>
      <c r="BM93" s="118">
        <f>+AR93/AY93</f>
        <v>0</v>
      </c>
      <c r="BN93" s="131"/>
      <c r="BO93" s="118">
        <f>+H93/$BF93</f>
        <v>0.55079168567146675</v>
      </c>
      <c r="BP93" s="118">
        <f>+T93/$BF93</f>
        <v>0.91368562802719311</v>
      </c>
      <c r="BQ93" s="118">
        <f>+AO93/$BF93</f>
        <v>3.7444886079798435E-2</v>
      </c>
      <c r="BR93" s="118">
        <f>+AT93/$BF93</f>
        <v>0</v>
      </c>
      <c r="BS93" s="131"/>
      <c r="BT93" s="131"/>
      <c r="BU93" s="131"/>
      <c r="BV93" s="131"/>
      <c r="BW93" s="131"/>
      <c r="BX93" s="131"/>
      <c r="BY93" s="131"/>
    </row>
    <row r="94" spans="1:77" hidden="1" outlineLevel="2">
      <c r="A94" s="131"/>
      <c r="B94" s="131" t="str">
        <f>$B$17</f>
        <v>4Q</v>
      </c>
      <c r="C94" s="131" t="str">
        <f>$C$17</f>
        <v>Jan</v>
      </c>
      <c r="D94" s="131"/>
      <c r="E94" s="1804">
        <v>289.54899999999998</v>
      </c>
      <c r="F94" s="661">
        <f>+(E94/E87-1)*100</f>
        <v>-0.98620880680361234</v>
      </c>
      <c r="G94" s="2060">
        <v>-3</v>
      </c>
      <c r="H94" s="801">
        <f>H95-SUM(H91:H93)</f>
        <v>84.809999999999974</v>
      </c>
      <c r="I94" s="671">
        <f>+H94/E94*100</f>
        <v>29.290379175890774</v>
      </c>
      <c r="J94" s="701"/>
      <c r="K94" s="701"/>
      <c r="L94" s="701"/>
      <c r="M94" s="701"/>
      <c r="N94" s="798">
        <v>-13</v>
      </c>
      <c r="O94" s="798">
        <v>0</v>
      </c>
      <c r="P94" s="664"/>
      <c r="Q94" s="807">
        <v>214.81100000000001</v>
      </c>
      <c r="R94" s="661">
        <f>+(Q94/Q87-1)*100</f>
        <v>-4.0353996533299963</v>
      </c>
      <c r="S94" s="2060"/>
      <c r="T94" s="801">
        <f>T95-SUM(T91:T93)</f>
        <v>63.375999999999976</v>
      </c>
      <c r="U94" s="671">
        <f>+T94/Q94*100</f>
        <v>29.503144624809703</v>
      </c>
      <c r="V94" s="664"/>
      <c r="W94" s="1104"/>
      <c r="X94" s="798">
        <v>-1</v>
      </c>
      <c r="Y94" s="2060"/>
      <c r="Z94" s="801"/>
      <c r="AA94" s="671"/>
      <c r="AB94" s="723"/>
      <c r="AC94" s="1104"/>
      <c r="AD94" s="1103">
        <v>-1</v>
      </c>
      <c r="AE94" s="723">
        <v>-4</v>
      </c>
      <c r="AF94" s="723"/>
      <c r="AG94" s="805"/>
      <c r="AH94" s="661"/>
      <c r="AI94" s="2060"/>
      <c r="AJ94" s="1098"/>
      <c r="AK94" s="671"/>
      <c r="AL94" s="664"/>
      <c r="AM94" s="807">
        <v>61.399000000000001</v>
      </c>
      <c r="AN94" s="1291">
        <f>+(AM94/AM87-1)*100</f>
        <v>2.1376052167548343</v>
      </c>
      <c r="AO94" s="801">
        <f>AO95-SUM(AO91:AO93)</f>
        <v>18.734000000000002</v>
      </c>
      <c r="AP94" s="671">
        <f>+AO94/AM94*100</f>
        <v>30.511897587908599</v>
      </c>
      <c r="AQ94" s="664"/>
      <c r="AR94" s="807"/>
      <c r="AS94" s="802"/>
      <c r="AT94" s="692"/>
      <c r="AU94" s="671"/>
      <c r="AV94" s="664"/>
      <c r="AW94" s="677">
        <f>'qtrP&amp;L'!$AX$13</f>
        <v>565.75900000000001</v>
      </c>
      <c r="AX94" s="665">
        <f>+(AW94/AW87-1)*100</f>
        <v>-1.8445811957508162</v>
      </c>
      <c r="AY94" s="677">
        <f>+E94+Q94+AM94+AR94</f>
        <v>565.75900000000001</v>
      </c>
      <c r="AZ94" s="682" t="str">
        <f>IF(AW94=AY94,"","n")</f>
        <v/>
      </c>
      <c r="BA94" s="665">
        <f>+(AY94/AY87-1)*100</f>
        <v>-1.8445811957508162</v>
      </c>
      <c r="BB94" s="664"/>
      <c r="BC94" s="677">
        <f>'qtrP&amp;L'!$AX$51</f>
        <v>148.965</v>
      </c>
      <c r="BD94" s="685">
        <f>+BC94/AW94*100</f>
        <v>26.330115826703597</v>
      </c>
      <c r="BE94" s="677">
        <f>+BE95-SUM(BE91:BE93)</f>
        <v>17.955000000000013</v>
      </c>
      <c r="BF94" s="677">
        <f>+H94+T94+AO94+AT94-BE94</f>
        <v>148.96499999999995</v>
      </c>
      <c r="BG94" s="963" t="str">
        <f t="shared" si="0"/>
        <v/>
      </c>
      <c r="BH94" s="672">
        <f>+BF94/AY94*100</f>
        <v>26.330115826703587</v>
      </c>
      <c r="BI94" s="247"/>
      <c r="BJ94" s="806">
        <f>+E94/$AY94</f>
        <v>0.51178858842722774</v>
      </c>
      <c r="BK94" s="806">
        <f>+Q94/$AY94</f>
        <v>0.37968640357466693</v>
      </c>
      <c r="BL94" s="118">
        <f>+AM94/AY94</f>
        <v>0.1085250079981052</v>
      </c>
      <c r="BM94" s="118">
        <f>+AR94/AY94</f>
        <v>0</v>
      </c>
      <c r="BN94" s="131"/>
      <c r="BO94" s="118">
        <f>+H94/$BF94</f>
        <v>0.5693283657234921</v>
      </c>
      <c r="BP94" s="118">
        <f>+T94/$BF94</f>
        <v>0.42544221797066423</v>
      </c>
      <c r="BQ94" s="118">
        <f>+AO94/$BF94</f>
        <v>0.12576108481858161</v>
      </c>
      <c r="BR94" s="118">
        <f>+AT94/$BF94</f>
        <v>0</v>
      </c>
      <c r="BS94" s="131"/>
      <c r="BT94" s="131"/>
      <c r="BU94" s="131"/>
      <c r="BV94" s="131"/>
      <c r="BW94" s="131"/>
      <c r="BX94" s="131"/>
      <c r="BY94" s="131"/>
    </row>
    <row r="95" spans="1:77" hidden="1" outlineLevel="2">
      <c r="A95" s="131"/>
      <c r="B95" s="131"/>
      <c r="C95" s="131" t="str">
        <f>$C$18</f>
        <v>Year</v>
      </c>
      <c r="D95" s="131"/>
      <c r="E95" s="686">
        <f>+SUM(E91:E94)</f>
        <v>786.79200000000003</v>
      </c>
      <c r="F95" s="661">
        <f>+(E95/E88-1)*100</f>
        <v>-5.5722311367572335</v>
      </c>
      <c r="G95" s="2060">
        <v>-8</v>
      </c>
      <c r="H95" s="663">
        <v>191.81399999999999</v>
      </c>
      <c r="I95" s="671">
        <f>+H95/E95*100</f>
        <v>24.379251441295789</v>
      </c>
      <c r="J95" s="701"/>
      <c r="K95" s="667">
        <v>819.81399999999996</v>
      </c>
      <c r="L95" s="701"/>
      <c r="M95" s="701"/>
      <c r="N95" s="953">
        <v>-15</v>
      </c>
      <c r="O95" s="953">
        <v>-6</v>
      </c>
      <c r="P95" s="664"/>
      <c r="Q95" s="686">
        <f>+SUM(Q91:Q94)</f>
        <v>659.02800000000002</v>
      </c>
      <c r="R95" s="661">
        <f>+(Q95/Q88-1)*100</f>
        <v>-2.9805351007104464</v>
      </c>
      <c r="S95" s="2060">
        <v>-4</v>
      </c>
      <c r="T95" s="663">
        <v>186.88</v>
      </c>
      <c r="U95" s="671">
        <f>+T95/Q95*100</f>
        <v>28.356913515055503</v>
      </c>
      <c r="V95" s="664"/>
      <c r="W95" s="1104"/>
      <c r="X95" s="798">
        <v>3</v>
      </c>
      <c r="Y95" s="2060"/>
      <c r="Z95" s="663"/>
      <c r="AA95" s="671"/>
      <c r="AB95" s="723"/>
      <c r="AC95" s="1104"/>
      <c r="AD95" s="1103">
        <v>0</v>
      </c>
      <c r="AE95" s="723">
        <v>1</v>
      </c>
      <c r="AF95" s="723"/>
      <c r="AG95" s="686"/>
      <c r="AH95" s="661"/>
      <c r="AI95" s="2060"/>
      <c r="AJ95" s="663"/>
      <c r="AK95" s="671"/>
      <c r="AL95" s="664"/>
      <c r="AM95" s="686">
        <f>+SUM(AM91:AM94)</f>
        <v>160.715</v>
      </c>
      <c r="AN95" s="1780">
        <f>+(AM95/AM88-1)*100</f>
        <v>3.3131697533443472</v>
      </c>
      <c r="AO95" s="663">
        <v>26.573</v>
      </c>
      <c r="AP95" s="671">
        <f>+AO95/AM95*100</f>
        <v>16.534237625610555</v>
      </c>
      <c r="AQ95" s="664"/>
      <c r="AR95" s="686"/>
      <c r="AS95" s="661"/>
      <c r="AT95" s="687"/>
      <c r="AU95" s="671"/>
      <c r="AV95" s="664"/>
      <c r="AW95" s="673">
        <f>'qtrP&amp;L'!$AX$14</f>
        <v>1606.5350000000001</v>
      </c>
      <c r="AX95" s="665">
        <f>+(AW95/AW88-1)*100</f>
        <v>-3.6881855285434084</v>
      </c>
      <c r="AY95" s="693">
        <f>+E95+Q95+AM95+AR95</f>
        <v>1606.5350000000001</v>
      </c>
      <c r="AZ95" s="1494"/>
      <c r="BA95" s="665">
        <f>+(AY95/AY88-1)*100</f>
        <v>-3.6881855285433862</v>
      </c>
      <c r="BB95" s="666"/>
      <c r="BC95" s="673">
        <f>'qtrP&amp;L'!$AX$52</f>
        <v>309.89699999999999</v>
      </c>
      <c r="BD95" s="672">
        <f>+BC95/AW95*100</f>
        <v>19.289775821877516</v>
      </c>
      <c r="BE95" s="691">
        <v>95.37</v>
      </c>
      <c r="BF95" s="667">
        <f>+H95+T95+AO95+AT95-BE95</f>
        <v>309.89699999999993</v>
      </c>
      <c r="BG95" s="963" t="str">
        <f t="shared" si="0"/>
        <v/>
      </c>
      <c r="BH95" s="672">
        <f>+BF95/AY95*100</f>
        <v>19.289775821877512</v>
      </c>
      <c r="BI95" s="131"/>
      <c r="BJ95" s="118">
        <f>+E95/$AY95</f>
        <v>0.48974469899504214</v>
      </c>
      <c r="BK95" s="118">
        <f>+Q95/$AY95</f>
        <v>0.41021701985951131</v>
      </c>
      <c r="BL95" s="118">
        <f>+AM95/AY95</f>
        <v>0.10003828114544656</v>
      </c>
      <c r="BM95" s="118">
        <f>+AR95/AY95</f>
        <v>0</v>
      </c>
      <c r="BN95" s="131"/>
      <c r="BO95" s="118">
        <f>+H95/$BF95</f>
        <v>0.61896049332520175</v>
      </c>
      <c r="BP95" s="118">
        <f>+T95/$BF95</f>
        <v>0.60303907427306502</v>
      </c>
      <c r="BQ95" s="118">
        <f>+AO95/$BF95</f>
        <v>8.5747845251809493E-2</v>
      </c>
      <c r="BR95" s="118">
        <f>+AT95/$BF95</f>
        <v>0</v>
      </c>
      <c r="BS95" s="131"/>
      <c r="BT95" s="131"/>
      <c r="BU95" s="131"/>
      <c r="BV95" s="131"/>
      <c r="BW95" s="131"/>
      <c r="BX95" s="131"/>
      <c r="BY95" s="131"/>
    </row>
    <row r="96" spans="1:77" hidden="1" outlineLevel="2">
      <c r="A96" s="131"/>
      <c r="B96" s="131"/>
      <c r="C96" s="131"/>
      <c r="D96" s="131"/>
      <c r="E96" s="656"/>
      <c r="F96" s="233"/>
      <c r="G96" s="2061"/>
      <c r="H96" s="688"/>
      <c r="I96" s="657"/>
      <c r="J96" s="709"/>
      <c r="K96" s="709"/>
      <c r="L96" s="709"/>
      <c r="M96" s="709"/>
      <c r="N96" s="690"/>
      <c r="O96" s="953"/>
      <c r="P96" s="643"/>
      <c r="Q96" s="656"/>
      <c r="R96" s="233"/>
      <c r="S96" s="2061"/>
      <c r="T96" s="688"/>
      <c r="U96" s="657"/>
      <c r="V96" s="643"/>
      <c r="W96" s="1105"/>
      <c r="X96" s="893"/>
      <c r="Y96" s="2061"/>
      <c r="Z96" s="688"/>
      <c r="AA96" s="657"/>
      <c r="AB96" s="643"/>
      <c r="AC96" s="1105"/>
      <c r="AD96" s="1108"/>
      <c r="AE96" s="643"/>
      <c r="AF96" s="643"/>
      <c r="AG96" s="656"/>
      <c r="AH96" s="233"/>
      <c r="AI96" s="2061"/>
      <c r="AJ96" s="688"/>
      <c r="AK96" s="657"/>
      <c r="AL96" s="643"/>
      <c r="AM96" s="656"/>
      <c r="AN96" s="234"/>
      <c r="AO96" s="688"/>
      <c r="AP96" s="657"/>
      <c r="AQ96" s="643"/>
      <c r="AR96" s="656"/>
      <c r="AS96" s="233"/>
      <c r="AT96" s="688"/>
      <c r="AU96" s="657"/>
      <c r="AV96" s="643"/>
      <c r="AW96" s="658"/>
      <c r="AX96" s="658"/>
      <c r="AY96" s="658"/>
      <c r="AZ96" s="659"/>
      <c r="BA96" s="132"/>
      <c r="BB96" s="132"/>
      <c r="BC96" s="658"/>
      <c r="BD96" s="658"/>
      <c r="BE96" s="658"/>
      <c r="BF96" s="658"/>
      <c r="BG96" s="963" t="str">
        <f t="shared" si="0"/>
        <v/>
      </c>
      <c r="BH96" s="131"/>
      <c r="BI96" s="131"/>
      <c r="BJ96" s="131"/>
      <c r="BK96" s="131"/>
      <c r="BL96" s="131"/>
      <c r="BM96" s="131"/>
      <c r="BN96" s="131"/>
      <c r="BO96" s="131"/>
      <c r="BP96" s="131"/>
      <c r="BQ96" s="131"/>
      <c r="BR96" s="131"/>
      <c r="BS96" s="131"/>
      <c r="BT96" s="131"/>
      <c r="BU96" s="131"/>
      <c r="BV96" s="131"/>
      <c r="BW96" s="131"/>
      <c r="BX96" s="131"/>
      <c r="BY96" s="131"/>
    </row>
    <row r="97" spans="1:77" hidden="1" outlineLevel="2">
      <c r="A97" s="131"/>
      <c r="B97" s="2506">
        <f>+B90+1</f>
        <v>2002</v>
      </c>
      <c r="C97" s="2506"/>
      <c r="D97" s="131"/>
      <c r="E97" s="656"/>
      <c r="F97" s="233"/>
      <c r="G97" s="2061"/>
      <c r="H97" s="688"/>
      <c r="I97" s="657"/>
      <c r="J97" s="709"/>
      <c r="K97" s="709"/>
      <c r="L97" s="709"/>
      <c r="M97" s="709"/>
      <c r="N97" s="690"/>
      <c r="O97" s="953"/>
      <c r="P97" s="643"/>
      <c r="Q97" s="656"/>
      <c r="R97" s="233"/>
      <c r="S97" s="2061"/>
      <c r="T97" s="688"/>
      <c r="U97" s="657"/>
      <c r="V97" s="643"/>
      <c r="W97" s="1105"/>
      <c r="X97" s="893"/>
      <c r="Y97" s="2061"/>
      <c r="Z97" s="688"/>
      <c r="AA97" s="657"/>
      <c r="AB97" s="643"/>
      <c r="AC97" s="1105"/>
      <c r="AD97" s="1108"/>
      <c r="AE97" s="643"/>
      <c r="AF97" s="643"/>
      <c r="AG97" s="656"/>
      <c r="AH97" s="233"/>
      <c r="AI97" s="2061"/>
      <c r="AJ97" s="688"/>
      <c r="AK97" s="657"/>
      <c r="AL97" s="643"/>
      <c r="AM97" s="656"/>
      <c r="AN97" s="234"/>
      <c r="AO97" s="688"/>
      <c r="AP97" s="657"/>
      <c r="AQ97" s="643"/>
      <c r="AR97" s="656"/>
      <c r="AS97" s="233"/>
      <c r="AT97" s="688"/>
      <c r="AU97" s="657"/>
      <c r="AV97" s="643"/>
      <c r="AW97" s="658"/>
      <c r="AX97" s="658"/>
      <c r="AY97" s="658"/>
      <c r="AZ97" s="659"/>
      <c r="BA97" s="132"/>
      <c r="BB97" s="132"/>
      <c r="BC97" s="658"/>
      <c r="BD97" s="658"/>
      <c r="BE97" s="658"/>
      <c r="BF97" s="658"/>
      <c r="BG97" s="963" t="str">
        <f t="shared" si="0"/>
        <v/>
      </c>
      <c r="BH97" s="131"/>
      <c r="BI97" s="131"/>
      <c r="BJ97" s="131"/>
      <c r="BK97" s="131"/>
      <c r="BL97" s="131"/>
      <c r="BM97" s="131"/>
      <c r="BN97" s="131"/>
      <c r="BO97" s="131"/>
      <c r="BP97" s="131"/>
      <c r="BQ97" s="131"/>
      <c r="BR97" s="131"/>
      <c r="BS97" s="131"/>
      <c r="BT97" s="131"/>
      <c r="BU97" s="131"/>
      <c r="BV97" s="131"/>
      <c r="BW97" s="694"/>
      <c r="BX97" s="131"/>
      <c r="BY97" s="131"/>
    </row>
    <row r="98" spans="1:77" hidden="1" outlineLevel="2">
      <c r="A98" s="131"/>
      <c r="B98" s="131" t="str">
        <f>$B$14</f>
        <v>1Q</v>
      </c>
      <c r="C98" s="247" t="str">
        <f>$C$14</f>
        <v>Apr</v>
      </c>
      <c r="D98" s="247"/>
      <c r="E98" s="724">
        <v>165.67</v>
      </c>
      <c r="F98" s="661">
        <f>+(E98/E91-1)*100</f>
        <v>4.1871053756949106</v>
      </c>
      <c r="G98" s="2063">
        <v>2</v>
      </c>
      <c r="H98" s="695">
        <v>33.732999999999997</v>
      </c>
      <c r="I98" s="671">
        <f>+H98/E98*100</f>
        <v>20.361562141606811</v>
      </c>
      <c r="J98" s="701"/>
      <c r="K98" s="701"/>
      <c r="L98" s="701"/>
      <c r="M98" s="701"/>
      <c r="N98" s="798">
        <v>-1</v>
      </c>
      <c r="O98" s="798">
        <v>2</v>
      </c>
      <c r="P98" s="664"/>
      <c r="Q98" s="724">
        <v>147.63800000000001</v>
      </c>
      <c r="R98" s="661">
        <f>+(Q98/Q91-1)*100</f>
        <v>0.82978766996988362</v>
      </c>
      <c r="S98" s="2063"/>
      <c r="T98" s="695">
        <v>44.265000000000001</v>
      </c>
      <c r="U98" s="671">
        <f>+T98/Q98*100</f>
        <v>29.982118424795782</v>
      </c>
      <c r="V98" s="664"/>
      <c r="W98" s="1104"/>
      <c r="X98" s="798">
        <v>-1</v>
      </c>
      <c r="Y98" s="2063"/>
      <c r="Z98" s="695"/>
      <c r="AA98" s="671"/>
      <c r="AB98" s="723"/>
      <c r="AC98" s="1104"/>
      <c r="AD98" s="1103">
        <v>5</v>
      </c>
      <c r="AE98" s="723">
        <v>-5</v>
      </c>
      <c r="AF98" s="723"/>
      <c r="AG98" s="724"/>
      <c r="AH98" s="661"/>
      <c r="AI98" s="2063"/>
      <c r="AJ98" s="695"/>
      <c r="AK98" s="671"/>
      <c r="AL98" s="664"/>
      <c r="AM98" s="724">
        <v>33.820999999999998</v>
      </c>
      <c r="AN98" s="1291">
        <f>+(AM98/AM91-1)*100</f>
        <v>9.2197894464896901</v>
      </c>
      <c r="AO98" s="695">
        <v>5.1230000000000002</v>
      </c>
      <c r="AP98" s="671">
        <f>+AO98/AM98*100</f>
        <v>15.147393631175898</v>
      </c>
      <c r="AQ98" s="664"/>
      <c r="AR98" s="724"/>
      <c r="AS98" s="802"/>
      <c r="AT98" s="695">
        <v>0</v>
      </c>
      <c r="AU98" s="671"/>
      <c r="AV98" s="664"/>
      <c r="AW98" s="673">
        <f>'qtrP&amp;L'!$BB$10</f>
        <v>347.12900000000002</v>
      </c>
      <c r="AX98" s="665">
        <f>+(AW98/AW91-1)*100</f>
        <v>3.189051162154688</v>
      </c>
      <c r="AY98" s="803">
        <f>+E98+Q98+AM98+AR98</f>
        <v>347.12900000000002</v>
      </c>
      <c r="AZ98" s="682" t="str">
        <f>IF(AW98=AY98,"","n")</f>
        <v/>
      </c>
      <c r="BA98" s="665">
        <f>+(AY98/AY91-1)*100</f>
        <v>3.189051162154688</v>
      </c>
      <c r="BB98" s="664"/>
      <c r="BC98" s="673">
        <f>'qtrP&amp;L'!$BB$48</f>
        <v>58.566000000000031</v>
      </c>
      <c r="BD98" s="672">
        <f>+BC98/AW98*100</f>
        <v>16.871537670433767</v>
      </c>
      <c r="BE98" s="695">
        <v>24.555</v>
      </c>
      <c r="BF98" s="667">
        <f>+H98+T98+AO98+AT98-BE98</f>
        <v>58.565999999999995</v>
      </c>
      <c r="BG98" s="963" t="str">
        <f t="shared" si="0"/>
        <v/>
      </c>
      <c r="BH98" s="672">
        <f>+BF98/AY98*100</f>
        <v>16.871537670433757</v>
      </c>
      <c r="BI98" s="131"/>
      <c r="BJ98" s="118">
        <f>+E98/$AY98</f>
        <v>0.47725773415646627</v>
      </c>
      <c r="BK98" s="118">
        <f>+Q98/$AY98</f>
        <v>0.42531162766579572</v>
      </c>
      <c r="BL98" s="118">
        <f>+AM98/AY98</f>
        <v>9.7430638177737949E-2</v>
      </c>
      <c r="BM98" s="118">
        <f>+AR98/AY98</f>
        <v>0</v>
      </c>
      <c r="BN98" s="131"/>
      <c r="BO98" s="118">
        <f>+H98/($BF98+BE98)</f>
        <v>0.40583005498008923</v>
      </c>
      <c r="BP98" s="118">
        <f>+T98/($BF98+BE98)</f>
        <v>0.53253690403147225</v>
      </c>
      <c r="BQ98" s="118">
        <f>+AO98/($BF98+BE98)</f>
        <v>6.1633040988438546E-2</v>
      </c>
      <c r="BR98" s="118">
        <f>+AT98/($BF98+BE98)</f>
        <v>0</v>
      </c>
      <c r="BS98" s="131"/>
      <c r="BT98" s="131"/>
      <c r="BU98" s="131"/>
      <c r="BV98" s="131"/>
      <c r="BW98" s="131"/>
      <c r="BX98" s="131"/>
      <c r="BY98" s="131"/>
    </row>
    <row r="99" spans="1:77" hidden="1" outlineLevel="2">
      <c r="A99" s="131"/>
      <c r="B99" s="131" t="str">
        <f>$B$15</f>
        <v>2Q</v>
      </c>
      <c r="C99" s="247" t="str">
        <f>$C$15</f>
        <v>Jul</v>
      </c>
      <c r="D99" s="247"/>
      <c r="E99" s="805">
        <v>187.21799999999999</v>
      </c>
      <c r="F99" s="661">
        <f>+(E99/E92-1)*100</f>
        <v>0.56670767016000489</v>
      </c>
      <c r="G99" s="2063">
        <v>-2</v>
      </c>
      <c r="H99" s="800">
        <v>41.076000000000001</v>
      </c>
      <c r="I99" s="671">
        <f>+H99/E99*100</f>
        <v>21.940198057879051</v>
      </c>
      <c r="J99" s="701"/>
      <c r="K99" s="701"/>
      <c r="L99" s="701"/>
      <c r="M99" s="701"/>
      <c r="N99" s="798">
        <v>-6</v>
      </c>
      <c r="O99" s="798">
        <v>0</v>
      </c>
      <c r="P99" s="664"/>
      <c r="Q99" s="805">
        <v>148.46199999999999</v>
      </c>
      <c r="R99" s="661">
        <f>+(Q99/Q92-1)*100</f>
        <v>-1.4026325926122851</v>
      </c>
      <c r="S99" s="2063"/>
      <c r="T99" s="691">
        <v>39.213000000000001</v>
      </c>
      <c r="U99" s="671">
        <f>+T99/Q99*100</f>
        <v>26.412819442012097</v>
      </c>
      <c r="V99" s="664"/>
      <c r="W99" s="1104"/>
      <c r="X99" s="798">
        <v>-13</v>
      </c>
      <c r="Y99" s="2063"/>
      <c r="Z99" s="691"/>
      <c r="AA99" s="671"/>
      <c r="AB99" s="723"/>
      <c r="AC99" s="1104"/>
      <c r="AD99" s="1103">
        <v>0</v>
      </c>
      <c r="AE99" s="723">
        <v>-10</v>
      </c>
      <c r="AF99" s="723"/>
      <c r="AG99" s="805"/>
      <c r="AH99" s="661"/>
      <c r="AI99" s="2063"/>
      <c r="AJ99" s="691"/>
      <c r="AK99" s="671"/>
      <c r="AL99" s="664"/>
      <c r="AM99" s="805">
        <v>38.747</v>
      </c>
      <c r="AN99" s="1291">
        <f>+(AM99/AM92-1)*100</f>
        <v>12.10218724684642</v>
      </c>
      <c r="AO99" s="800">
        <v>6.7770000000000001</v>
      </c>
      <c r="AP99" s="671">
        <f>+AO99/AM99*100</f>
        <v>17.490386352491807</v>
      </c>
      <c r="AQ99" s="664"/>
      <c r="AR99" s="805"/>
      <c r="AS99" s="802"/>
      <c r="AT99" s="691">
        <v>0</v>
      </c>
      <c r="AU99" s="671"/>
      <c r="AV99" s="664"/>
      <c r="AW99" s="673">
        <f>'qtrP&amp;L'!$BB$11</f>
        <v>374.42700000000002</v>
      </c>
      <c r="AX99" s="665">
        <f>+(AW99/AW92-1)*100</f>
        <v>0.84190454644614832</v>
      </c>
      <c r="AY99" s="673">
        <f>+E99+Q99+AM99+AR99</f>
        <v>374.42699999999996</v>
      </c>
      <c r="AZ99" s="682" t="str">
        <f>IF(AW99=AY99,"","n")</f>
        <v/>
      </c>
      <c r="BA99" s="665">
        <f>+(AY99/AY92-1)*100</f>
        <v>0.84190454644612611</v>
      </c>
      <c r="BB99" s="664"/>
      <c r="BC99" s="673">
        <f>'qtrP&amp;L'!$BB$49</f>
        <v>59.078000000000003</v>
      </c>
      <c r="BD99" s="672">
        <f>+BC99/AW99*100</f>
        <v>15.778242487854776</v>
      </c>
      <c r="BE99" s="691">
        <v>27.988</v>
      </c>
      <c r="BF99" s="673">
        <f>+H99+T99+AO99+AT99-BE99</f>
        <v>59.078000000000003</v>
      </c>
      <c r="BG99" s="963" t="str">
        <f t="shared" si="0"/>
        <v/>
      </c>
      <c r="BH99" s="672">
        <f>+BF99/AY99*100</f>
        <v>15.778242487854776</v>
      </c>
      <c r="BI99" s="131"/>
      <c r="BJ99" s="118">
        <f>+E99/$AY99</f>
        <v>0.50001201836406028</v>
      </c>
      <c r="BK99" s="118">
        <f>+Q99/$AY99</f>
        <v>0.39650452558175558</v>
      </c>
      <c r="BL99" s="118">
        <f>+AM99/AY99</f>
        <v>0.10348345605418413</v>
      </c>
      <c r="BM99" s="118">
        <f>+AR99/AY99</f>
        <v>0</v>
      </c>
      <c r="BN99" s="131"/>
      <c r="BO99" s="118">
        <f>+H99/($BF99+BE99)</f>
        <v>0.47178002894356003</v>
      </c>
      <c r="BP99" s="118">
        <f>+T99/($BF99+BE99)</f>
        <v>0.45038246847219349</v>
      </c>
      <c r="BQ99" s="118">
        <f>+AO99/($BF99+BE99)</f>
        <v>7.7837502584246432E-2</v>
      </c>
      <c r="BR99" s="118">
        <f>+AT99/($BF99+BE99)</f>
        <v>0</v>
      </c>
      <c r="BS99" s="131"/>
      <c r="BT99" s="131"/>
      <c r="BU99" s="131"/>
      <c r="BV99" s="131"/>
      <c r="BW99" s="131"/>
      <c r="BX99" s="131"/>
      <c r="BY99" s="131"/>
    </row>
    <row r="100" spans="1:77" hidden="1" outlineLevel="2">
      <c r="A100" s="131"/>
      <c r="B100" s="131" t="str">
        <f>$B$16</f>
        <v>3Q</v>
      </c>
      <c r="C100" s="247" t="str">
        <f>$C$16</f>
        <v>Oct</v>
      </c>
      <c r="D100" s="247"/>
      <c r="E100" s="805">
        <v>168.49299999999999</v>
      </c>
      <c r="F100" s="661">
        <f>+(E100/E93-1)*100</f>
        <v>10.801088986506024</v>
      </c>
      <c r="G100" s="2063">
        <v>9</v>
      </c>
      <c r="H100" s="800">
        <v>27.204999999999998</v>
      </c>
      <c r="I100" s="671">
        <f>+H100/E100*100</f>
        <v>16.146071350145107</v>
      </c>
      <c r="J100" s="701"/>
      <c r="K100" s="701"/>
      <c r="L100" s="701"/>
      <c r="M100" s="701"/>
      <c r="N100" s="798">
        <v>10</v>
      </c>
      <c r="O100" s="798">
        <v>8</v>
      </c>
      <c r="P100" s="664"/>
      <c r="Q100" s="805">
        <v>156.28100000000001</v>
      </c>
      <c r="R100" s="661">
        <f>+(Q100/Q93-1)*100</f>
        <v>6.1547344110854496</v>
      </c>
      <c r="S100" s="2063"/>
      <c r="T100" s="691">
        <v>43.171999999999997</v>
      </c>
      <c r="U100" s="671">
        <f>+T100/Q100*100</f>
        <v>27.624599279502942</v>
      </c>
      <c r="V100" s="664"/>
      <c r="W100" s="1104"/>
      <c r="X100" s="798">
        <v>-7</v>
      </c>
      <c r="Y100" s="2063"/>
      <c r="Z100" s="691"/>
      <c r="AA100" s="671"/>
      <c r="AB100" s="723"/>
      <c r="AC100" s="1104"/>
      <c r="AD100" s="1103">
        <v>1</v>
      </c>
      <c r="AE100" s="723">
        <v>9</v>
      </c>
      <c r="AF100" s="723"/>
      <c r="AG100" s="805"/>
      <c r="AH100" s="661"/>
      <c r="AI100" s="2063"/>
      <c r="AJ100" s="691"/>
      <c r="AK100" s="671"/>
      <c r="AL100" s="664"/>
      <c r="AM100" s="805">
        <v>37.337000000000003</v>
      </c>
      <c r="AN100" s="1291">
        <f>+(AM100/AM93-1)*100</f>
        <v>10.510270526253485</v>
      </c>
      <c r="AO100" s="800">
        <v>4.4610000000000003</v>
      </c>
      <c r="AP100" s="671">
        <f>+AO100/AM100*100</f>
        <v>11.9479336850845</v>
      </c>
      <c r="AQ100" s="664"/>
      <c r="AR100" s="805">
        <v>3.9220000000000002</v>
      </c>
      <c r="AS100" s="802"/>
      <c r="AT100" s="691">
        <v>-1.024</v>
      </c>
      <c r="AU100" s="671">
        <f>+AT100/AR100*100</f>
        <v>-26.109127995920449</v>
      </c>
      <c r="AV100" s="664"/>
      <c r="AW100" s="673">
        <f>'qtrP&amp;L'!$BB$12</f>
        <v>366.03300000000002</v>
      </c>
      <c r="AX100" s="665">
        <f>+(AW100/AW93-1)*100</f>
        <v>9.8953986201264499</v>
      </c>
      <c r="AY100" s="673">
        <f>+E100+Q100+AM100+AR100</f>
        <v>366.03300000000002</v>
      </c>
      <c r="AZ100" s="682" t="str">
        <f>IF(AW100=AY100,"","n")</f>
        <v/>
      </c>
      <c r="BA100" s="665">
        <f>+(AY100/AY93-1)*100</f>
        <v>9.8953986201264499</v>
      </c>
      <c r="BB100" s="664"/>
      <c r="BC100" s="673">
        <f>'qtrP&amp;L'!$BB$50</f>
        <v>49.913000000000011</v>
      </c>
      <c r="BD100" s="672">
        <f>+BC100/AW100*100</f>
        <v>13.636202200348057</v>
      </c>
      <c r="BE100" s="691">
        <v>23.901</v>
      </c>
      <c r="BF100" s="673">
        <f>+H100+T100+AO100+AT100-BE100</f>
        <v>49.912999999999997</v>
      </c>
      <c r="BG100" s="963" t="str">
        <f t="shared" si="0"/>
        <v/>
      </c>
      <c r="BH100" s="672">
        <f>+BF100/AY100*100</f>
        <v>13.636202200348055</v>
      </c>
      <c r="BI100" s="247"/>
      <c r="BJ100" s="806">
        <f>+E100/$AY100</f>
        <v>0.46032188354601905</v>
      </c>
      <c r="BK100" s="806">
        <f>+Q100/$AY100</f>
        <v>0.42695877147688871</v>
      </c>
      <c r="BL100" s="806">
        <f>+AM100/AY100</f>
        <v>0.10200446407837545</v>
      </c>
      <c r="BM100" s="806">
        <f>+AR100/AY100</f>
        <v>1.0714880898716783E-2</v>
      </c>
      <c r="BN100" s="247"/>
      <c r="BO100" s="806">
        <f>+H100/($BF100+BE100)</f>
        <v>0.36856151949494675</v>
      </c>
      <c r="BP100" s="806">
        <f>+T100/($BF100+BE100)</f>
        <v>0.58487549787303228</v>
      </c>
      <c r="BQ100" s="806">
        <f>+AO100/($BF100+BE100)</f>
        <v>6.0435689706559742E-2</v>
      </c>
      <c r="BR100" s="806">
        <f>+AT100/($BF100+BE100)</f>
        <v>-1.3872707074538707E-2</v>
      </c>
      <c r="BS100" s="247"/>
      <c r="BT100" s="247"/>
      <c r="BU100" s="247"/>
      <c r="BV100" s="247"/>
      <c r="BW100" s="247"/>
      <c r="BX100" s="131"/>
      <c r="BY100" s="131"/>
    </row>
    <row r="101" spans="1:77" hidden="1" outlineLevel="2">
      <c r="A101" s="131"/>
      <c r="B101" s="131" t="str">
        <f>$B$17</f>
        <v>4Q</v>
      </c>
      <c r="C101" s="131" t="str">
        <f>$C$17</f>
        <v>Jan</v>
      </c>
      <c r="D101" s="131"/>
      <c r="E101" s="1804">
        <v>298.43299999999999</v>
      </c>
      <c r="F101" s="661">
        <f>+(E101/E94-1)*100</f>
        <v>3.0682198867894694</v>
      </c>
      <c r="G101" s="2060">
        <v>0</v>
      </c>
      <c r="H101" s="801">
        <f>H102-SUM(H98:H100)</f>
        <v>88.63000000000001</v>
      </c>
      <c r="I101" s="671">
        <f>+H101/E101*100</f>
        <v>29.698458280418055</v>
      </c>
      <c r="J101" s="701"/>
      <c r="K101" s="701"/>
      <c r="L101" s="701"/>
      <c r="M101" s="701"/>
      <c r="N101" s="798">
        <v>1</v>
      </c>
      <c r="O101" s="798">
        <v>0</v>
      </c>
      <c r="P101" s="664"/>
      <c r="Q101" s="807">
        <v>231.108</v>
      </c>
      <c r="R101" s="661">
        <f>+(Q101/Q94-1)*100</f>
        <v>7.5866692115394541</v>
      </c>
      <c r="S101" s="2060"/>
      <c r="T101" s="801">
        <f>T102-SUM(T98:T100)</f>
        <v>62.603999999999985</v>
      </c>
      <c r="U101" s="671">
        <f>+T101/Q101*100</f>
        <v>27.088633885456144</v>
      </c>
      <c r="V101" s="664"/>
      <c r="W101" s="1104"/>
      <c r="X101" s="798">
        <v>-10</v>
      </c>
      <c r="Y101" s="2060"/>
      <c r="Z101" s="801"/>
      <c r="AA101" s="671"/>
      <c r="AB101" s="723"/>
      <c r="AC101" s="1104"/>
      <c r="AD101" s="1103">
        <v>13</v>
      </c>
      <c r="AE101" s="723">
        <v>9</v>
      </c>
      <c r="AF101" s="723"/>
      <c r="AG101" s="805"/>
      <c r="AH101" s="661"/>
      <c r="AI101" s="2060"/>
      <c r="AJ101" s="1098"/>
      <c r="AK101" s="671"/>
      <c r="AL101" s="664"/>
      <c r="AM101" s="807">
        <v>69.27</v>
      </c>
      <c r="AN101" s="1291">
        <f>+(AM101/AM94-1)*100</f>
        <v>12.819427026498786</v>
      </c>
      <c r="AO101" s="801">
        <f>AO102-SUM(AO98:AO100)</f>
        <v>26.248000000000001</v>
      </c>
      <c r="AP101" s="671">
        <f>+AO101/AM101*100</f>
        <v>37.892305471344017</v>
      </c>
      <c r="AQ101" s="664"/>
      <c r="AR101" s="807">
        <v>20.202000000000002</v>
      </c>
      <c r="AS101" s="802"/>
      <c r="AT101" s="801">
        <f>AT102-SUM(AT98:AT100)</f>
        <v>-0.15999999999999992</v>
      </c>
      <c r="AU101" s="671">
        <f>+AT101/AR101*100</f>
        <v>-0.79200079200079154</v>
      </c>
      <c r="AV101" s="664"/>
      <c r="AW101" s="677">
        <f>'qtrP&amp;L'!$BB$13</f>
        <v>619.01300000000003</v>
      </c>
      <c r="AX101" s="665">
        <f>+(AW101/AW94-1)*100</f>
        <v>9.4128418637617894</v>
      </c>
      <c r="AY101" s="677">
        <f>+E101+Q101+AM101+AR101</f>
        <v>619.01299999999992</v>
      </c>
      <c r="AZ101" s="682"/>
      <c r="BA101" s="665">
        <f>+(AY101/AY94-1)*100</f>
        <v>9.4128418637617663</v>
      </c>
      <c r="BB101" s="664"/>
      <c r="BC101" s="677">
        <f>'qtrP&amp;L'!$BB$51</f>
        <v>151.64000000000001</v>
      </c>
      <c r="BD101" s="685">
        <f>+BC101/AW101*100</f>
        <v>24.497062258789395</v>
      </c>
      <c r="BE101" s="677">
        <f>+BE102-SUM(BE98:BE100)</f>
        <v>25.682000000000002</v>
      </c>
      <c r="BF101" s="677">
        <f>+H101+T101+AO101+AT101-BE101</f>
        <v>151.63999999999999</v>
      </c>
      <c r="BG101" s="963" t="str">
        <f t="shared" si="0"/>
        <v/>
      </c>
      <c r="BH101" s="672">
        <f>+BF101/AY101*100</f>
        <v>24.497062258789395</v>
      </c>
      <c r="BI101" s="672"/>
      <c r="BJ101" s="806">
        <f>+E101/$AY101</f>
        <v>0.48211103805574362</v>
      </c>
      <c r="BK101" s="806">
        <f>+Q101/$AY101</f>
        <v>0.37334918652758509</v>
      </c>
      <c r="BL101" s="806">
        <f>+AM101/AY101</f>
        <v>0.1119039503209141</v>
      </c>
      <c r="BM101" s="806">
        <f>+AR101/AY101</f>
        <v>3.2635825095757284E-2</v>
      </c>
      <c r="BN101" s="247"/>
      <c r="BO101" s="806">
        <f>+H101/($BF101+BE101)</f>
        <v>0.49982517679701338</v>
      </c>
      <c r="BP101" s="806">
        <f>+T101/($BF101+BE101)</f>
        <v>0.35305263870247339</v>
      </c>
      <c r="BQ101" s="806">
        <f>+AO101/($BF101+BE101)</f>
        <v>0.14802449780625079</v>
      </c>
      <c r="BR101" s="806">
        <f>+AT101/($BF101+BE101)</f>
        <v>-9.023133057375843E-4</v>
      </c>
      <c r="BS101" s="247"/>
      <c r="BT101" s="247"/>
      <c r="BU101" s="247"/>
      <c r="BV101" s="247"/>
      <c r="BW101" s="247"/>
      <c r="BX101" s="131"/>
      <c r="BY101" s="131"/>
    </row>
    <row r="102" spans="1:77" hidden="1" outlineLevel="2">
      <c r="A102" s="131"/>
      <c r="B102" s="131"/>
      <c r="C102" s="131" t="str">
        <f>$C$18</f>
        <v>Year</v>
      </c>
      <c r="D102" s="131"/>
      <c r="E102" s="686">
        <f>+SUM(E98:E101)</f>
        <v>819.81399999999996</v>
      </c>
      <c r="F102" s="661">
        <f>+(E102/E95-1)*100</f>
        <v>4.1970431829505106</v>
      </c>
      <c r="G102" s="2060">
        <v>2</v>
      </c>
      <c r="H102" s="695">
        <v>190.64400000000001</v>
      </c>
      <c r="I102" s="671">
        <f>+H102/E102*100</f>
        <v>23.254543103679616</v>
      </c>
      <c r="J102" s="701"/>
      <c r="K102" s="667">
        <v>948.89099999999996</v>
      </c>
      <c r="L102" s="701"/>
      <c r="M102" s="701"/>
      <c r="N102" s="953">
        <v>0</v>
      </c>
      <c r="O102" s="953">
        <v>2</v>
      </c>
      <c r="P102" s="664"/>
      <c r="Q102" s="686">
        <f>+SUM(Q98:Q101)</f>
        <v>683.48900000000003</v>
      </c>
      <c r="R102" s="661">
        <f>+(Q102/Q95-1)*100</f>
        <v>3.7116784112359413</v>
      </c>
      <c r="S102" s="2060">
        <v>-1</v>
      </c>
      <c r="T102" s="695">
        <v>189.25399999999999</v>
      </c>
      <c r="U102" s="671">
        <f>+T102/Q102*100</f>
        <v>27.689399536788446</v>
      </c>
      <c r="V102" s="664"/>
      <c r="W102" s="1104"/>
      <c r="X102" s="798">
        <v>-8</v>
      </c>
      <c r="Y102" s="2060"/>
      <c r="Z102" s="695"/>
      <c r="AA102" s="671"/>
      <c r="AB102" s="723"/>
      <c r="AC102" s="1104"/>
      <c r="AD102" s="1103">
        <v>5</v>
      </c>
      <c r="AE102" s="723">
        <v>2</v>
      </c>
      <c r="AF102" s="723"/>
      <c r="AG102" s="686"/>
      <c r="AH102" s="661"/>
      <c r="AI102" s="2060"/>
      <c r="AJ102" s="695"/>
      <c r="AK102" s="671"/>
      <c r="AL102" s="664"/>
      <c r="AM102" s="686">
        <f>+SUM(AM98:AM101)</f>
        <v>179.17500000000001</v>
      </c>
      <c r="AN102" s="1780">
        <f>+(AM102/AM95-1)*100</f>
        <v>11.486171172572579</v>
      </c>
      <c r="AO102" s="695">
        <v>42.609000000000002</v>
      </c>
      <c r="AP102" s="671">
        <f>+AO102/AM102*100</f>
        <v>23.780661364587694</v>
      </c>
      <c r="AQ102" s="664"/>
      <c r="AR102" s="686">
        <f>+SUM(AR98:AR101)</f>
        <v>24.124000000000002</v>
      </c>
      <c r="AS102" s="661"/>
      <c r="AT102" s="695">
        <v>-1.1839999999999999</v>
      </c>
      <c r="AU102" s="671">
        <f>+AT102/AR102*100</f>
        <v>-4.9079754601226986</v>
      </c>
      <c r="AV102" s="664"/>
      <c r="AW102" s="673">
        <f>'qtrP&amp;L'!$BB$14</f>
        <v>1706.6019999999999</v>
      </c>
      <c r="AX102" s="665">
        <f>+(AW102/AW95-1)*100</f>
        <v>6.228746961628584</v>
      </c>
      <c r="AY102" s="693">
        <f>+E102+Q102+AM102+AR102</f>
        <v>1706.6019999999999</v>
      </c>
      <c r="AZ102" s="1494"/>
      <c r="BA102" s="665">
        <f>+(AY102/AY95-1)*100</f>
        <v>6.228746961628584</v>
      </c>
      <c r="BB102" s="666"/>
      <c r="BC102" s="673">
        <f>'qtrP&amp;L'!$BB$52</f>
        <v>319.19700000000006</v>
      </c>
      <c r="BD102" s="672">
        <f>+BC102/AW102*100</f>
        <v>18.703657912038079</v>
      </c>
      <c r="BE102" s="691">
        <v>102.126</v>
      </c>
      <c r="BF102" s="667">
        <f>+H102+T102+AO102+AT102-BE102</f>
        <v>319.197</v>
      </c>
      <c r="BG102" s="963" t="str">
        <f t="shared" si="0"/>
        <v/>
      </c>
      <c r="BH102" s="672">
        <f>+BF102/AY102*100</f>
        <v>18.703657912038075</v>
      </c>
      <c r="BI102" s="131"/>
      <c r="BJ102" s="118">
        <f>+E102/$AY102</f>
        <v>0.4803779674464228</v>
      </c>
      <c r="BK102" s="118">
        <f>+Q102/$AY102</f>
        <v>0.4004970110195582</v>
      </c>
      <c r="BL102" s="118">
        <f>+AM102/AY102</f>
        <v>0.10498932967381969</v>
      </c>
      <c r="BM102" s="118">
        <f>+AR102/AY102</f>
        <v>1.4135691860199393E-2</v>
      </c>
      <c r="BN102" s="131"/>
      <c r="BO102" s="118">
        <f>+H102/($BF102+BE102)</f>
        <v>0.45248894553584784</v>
      </c>
      <c r="BP102" s="118">
        <f>+T102/($BF102+BE102)</f>
        <v>0.44918981399069124</v>
      </c>
      <c r="BQ102" s="118">
        <f>+AO102/($BF102+BE102)</f>
        <v>0.10113143597667348</v>
      </c>
      <c r="BR102" s="118">
        <f>+AT102/($BF102+BE102)</f>
        <v>-2.8101955032124996E-3</v>
      </c>
      <c r="BS102" s="131"/>
      <c r="BT102" s="131"/>
      <c r="BU102" s="131"/>
      <c r="BV102" s="131"/>
      <c r="BW102" s="131"/>
      <c r="BX102" s="1496">
        <f>+K102/K95-1</f>
        <v>0.15744668912704585</v>
      </c>
      <c r="BY102" s="1496">
        <f>+(AW102-K102)/(AW95-K95)-1</f>
        <v>-3.6874571798642952E-2</v>
      </c>
    </row>
    <row r="103" spans="1:77" hidden="1" outlineLevel="2">
      <c r="A103" s="131"/>
      <c r="B103" s="131"/>
      <c r="C103" s="131"/>
      <c r="D103" s="131"/>
      <c r="E103" s="656"/>
      <c r="F103" s="233"/>
      <c r="G103" s="2058"/>
      <c r="H103" s="227"/>
      <c r="I103" s="657"/>
      <c r="J103" s="709"/>
      <c r="K103" s="709"/>
      <c r="L103" s="709"/>
      <c r="M103" s="709"/>
      <c r="N103" s="233"/>
      <c r="O103" s="953"/>
      <c r="P103" s="643"/>
      <c r="Q103" s="656"/>
      <c r="R103" s="233"/>
      <c r="S103" s="2058"/>
      <c r="T103" s="658"/>
      <c r="U103" s="657"/>
      <c r="V103" s="643"/>
      <c r="W103" s="1105"/>
      <c r="X103" s="893"/>
      <c r="Y103" s="2058"/>
      <c r="Z103" s="658"/>
      <c r="AA103" s="657"/>
      <c r="AB103" s="643"/>
      <c r="AC103" s="1105"/>
      <c r="AD103" s="1108"/>
      <c r="AE103" s="643"/>
      <c r="AF103" s="643"/>
      <c r="AG103" s="656"/>
      <c r="AH103" s="233"/>
      <c r="AI103" s="2058"/>
      <c r="AJ103" s="658"/>
      <c r="AK103" s="657"/>
      <c r="AL103" s="643"/>
      <c r="AM103" s="656"/>
      <c r="AN103" s="234"/>
      <c r="AO103" s="227"/>
      <c r="AP103" s="657"/>
      <c r="AQ103" s="643"/>
      <c r="AR103" s="656"/>
      <c r="AS103" s="233"/>
      <c r="AT103" s="227"/>
      <c r="AU103" s="657"/>
      <c r="AV103" s="643"/>
      <c r="AW103" s="658"/>
      <c r="AX103" s="658"/>
      <c r="AY103" s="658"/>
      <c r="AZ103" s="659"/>
      <c r="BA103" s="132"/>
      <c r="BB103" s="132"/>
      <c r="BC103" s="658"/>
      <c r="BD103" s="658"/>
      <c r="BE103" s="658"/>
      <c r="BF103" s="658"/>
      <c r="BG103" s="963" t="str">
        <f t="shared" si="0"/>
        <v/>
      </c>
      <c r="BH103" s="131"/>
      <c r="BI103" s="131"/>
      <c r="BJ103" s="131"/>
      <c r="BK103" s="131"/>
      <c r="BL103" s="131"/>
      <c r="BM103" s="131"/>
      <c r="BN103" s="131"/>
      <c r="BO103" s="131"/>
      <c r="BP103" s="131"/>
      <c r="BQ103" s="131"/>
      <c r="BR103" s="131"/>
      <c r="BS103" s="131"/>
      <c r="BT103" s="131"/>
      <c r="BU103" s="131"/>
      <c r="BV103" s="131"/>
      <c r="BW103" s="131"/>
      <c r="BX103" s="131"/>
      <c r="BY103" s="131"/>
    </row>
    <row r="104" spans="1:77" hidden="1" outlineLevel="2">
      <c r="A104" s="131"/>
      <c r="B104" s="2506">
        <f>+B97+1</f>
        <v>2003</v>
      </c>
      <c r="C104" s="2506"/>
      <c r="D104" s="131"/>
      <c r="E104" s="656"/>
      <c r="F104" s="233"/>
      <c r="G104" s="2058"/>
      <c r="H104" s="227"/>
      <c r="I104" s="657"/>
      <c r="J104" s="709"/>
      <c r="K104" s="709"/>
      <c r="L104" s="709"/>
      <c r="M104" s="709"/>
      <c r="N104" s="233"/>
      <c r="O104" s="953"/>
      <c r="P104" s="643"/>
      <c r="Q104" s="656"/>
      <c r="R104" s="233"/>
      <c r="S104" s="2058"/>
      <c r="T104" s="227"/>
      <c r="U104" s="657"/>
      <c r="V104" s="643"/>
      <c r="W104" s="1105"/>
      <c r="X104" s="893"/>
      <c r="Y104" s="2058"/>
      <c r="Z104" s="227"/>
      <c r="AA104" s="657"/>
      <c r="AB104" s="643"/>
      <c r="AC104" s="1105"/>
      <c r="AD104" s="1108"/>
      <c r="AE104" s="643"/>
      <c r="AF104" s="643"/>
      <c r="AG104" s="656"/>
      <c r="AH104" s="233"/>
      <c r="AI104" s="2058"/>
      <c r="AJ104" s="227"/>
      <c r="AK104" s="657"/>
      <c r="AL104" s="643"/>
      <c r="AM104" s="656"/>
      <c r="AN104" s="234"/>
      <c r="AO104" s="227"/>
      <c r="AP104" s="657"/>
      <c r="AQ104" s="643"/>
      <c r="AR104" s="656"/>
      <c r="AS104" s="233"/>
      <c r="AT104" s="227"/>
      <c r="AU104" s="657"/>
      <c r="AV104" s="643"/>
      <c r="AW104" s="658"/>
      <c r="AX104" s="658"/>
      <c r="AY104" s="658"/>
      <c r="AZ104" s="659"/>
      <c r="BA104" s="132"/>
      <c r="BB104" s="132"/>
      <c r="BC104" s="658"/>
      <c r="BD104" s="658"/>
      <c r="BE104" s="658"/>
      <c r="BF104" s="658"/>
      <c r="BG104" s="963" t="str">
        <f t="shared" si="0"/>
        <v/>
      </c>
      <c r="BH104" s="131"/>
      <c r="BI104" s="131"/>
      <c r="BJ104" s="131"/>
      <c r="BK104" s="131"/>
      <c r="BL104" s="131"/>
      <c r="BM104" s="131"/>
      <c r="BN104" s="131"/>
      <c r="BO104" s="131"/>
      <c r="BP104" s="131"/>
      <c r="BQ104" s="131"/>
      <c r="BR104" s="131"/>
      <c r="BS104" s="131"/>
      <c r="BT104" s="131"/>
      <c r="BU104" s="131"/>
      <c r="BV104" s="131"/>
      <c r="BW104" s="131"/>
      <c r="BX104" s="131"/>
      <c r="BY104" s="131"/>
    </row>
    <row r="105" spans="1:77" hidden="1" outlineLevel="2">
      <c r="A105" s="131"/>
      <c r="B105" s="131" t="str">
        <f>$B$14</f>
        <v>1Q</v>
      </c>
      <c r="C105" s="131" t="str">
        <f>$C$14</f>
        <v>Apr</v>
      </c>
      <c r="D105" s="131"/>
      <c r="E105" s="916">
        <v>173.58600000000001</v>
      </c>
      <c r="F105" s="661">
        <f>+(E105/E98-1)*100</f>
        <v>4.7781734773948425</v>
      </c>
      <c r="G105" s="2060">
        <v>2</v>
      </c>
      <c r="H105" s="695">
        <v>31.721</v>
      </c>
      <c r="I105" s="671">
        <f>+H105/E105*100</f>
        <v>18.273939142557577</v>
      </c>
      <c r="J105" s="701"/>
      <c r="K105" s="701"/>
      <c r="L105" s="701"/>
      <c r="M105" s="701"/>
      <c r="N105" s="953">
        <v>-5</v>
      </c>
      <c r="O105" s="953">
        <v>3</v>
      </c>
      <c r="P105" s="664"/>
      <c r="Q105" s="660">
        <v>165.524</v>
      </c>
      <c r="R105" s="661">
        <f>+(Q105/Q98-1)*100</f>
        <v>12.114767200856136</v>
      </c>
      <c r="S105" s="2060"/>
      <c r="T105" s="695">
        <v>47.314999999999998</v>
      </c>
      <c r="U105" s="671">
        <f>+T105/Q105*100</f>
        <v>28.584978613373284</v>
      </c>
      <c r="V105" s="664"/>
      <c r="W105" s="1104"/>
      <c r="X105" s="798">
        <v>-3</v>
      </c>
      <c r="Y105" s="2060"/>
      <c r="Z105" s="695"/>
      <c r="AA105" s="671"/>
      <c r="AB105" s="723"/>
      <c r="AC105" s="1104"/>
      <c r="AD105" s="1103">
        <v>-0.4</v>
      </c>
      <c r="AE105" s="723">
        <v>7</v>
      </c>
      <c r="AF105" s="723"/>
      <c r="AG105" s="660"/>
      <c r="AH105" s="661"/>
      <c r="AI105" s="2060"/>
      <c r="AJ105" s="695"/>
      <c r="AK105" s="671"/>
      <c r="AL105" s="664"/>
      <c r="AM105" s="660">
        <v>37.283000000000001</v>
      </c>
      <c r="AN105" s="1780">
        <f>+(AM105/AM98-1)*100</f>
        <v>10.236243753880725</v>
      </c>
      <c r="AO105" s="695">
        <v>6.7359999999999998</v>
      </c>
      <c r="AP105" s="671">
        <f>+AO105/AM105*100</f>
        <v>18.067215621060537</v>
      </c>
      <c r="AQ105" s="664"/>
      <c r="AR105" s="660">
        <v>19.446000000000002</v>
      </c>
      <c r="AS105" s="661"/>
      <c r="AT105" s="695">
        <v>-0.60599999999999998</v>
      </c>
      <c r="AU105" s="671">
        <f>+AT105/AR105*100</f>
        <v>-3.1163221228016043</v>
      </c>
      <c r="AV105" s="664"/>
      <c r="AW105" s="673">
        <f>'qtrP&amp;L'!$BF$10</f>
        <v>395.839</v>
      </c>
      <c r="AX105" s="665">
        <f>+(AW105/AW98-1)*100</f>
        <v>14.032247377775974</v>
      </c>
      <c r="AY105" s="679">
        <f>+E105+Q105+AM105+AR105</f>
        <v>395.83900000000006</v>
      </c>
      <c r="AZ105" s="682" t="str">
        <f>IF(AW105=AY105,"","n")</f>
        <v/>
      </c>
      <c r="BA105" s="665">
        <f>+(AY105/AY98-1)*100</f>
        <v>14.032247377775997</v>
      </c>
      <c r="BB105" s="666"/>
      <c r="BC105" s="667">
        <f>'qtrP&amp;L'!$BF$48</f>
        <v>58.968999999999994</v>
      </c>
      <c r="BD105" s="672">
        <f>+BC105/AW105*100</f>
        <v>14.897218313506247</v>
      </c>
      <c r="BE105" s="695">
        <v>26.196999999999999</v>
      </c>
      <c r="BF105" s="667">
        <f>+H105+T105+AO105+AT105-BE105</f>
        <v>58.969000000000008</v>
      </c>
      <c r="BG105" s="963" t="str">
        <f t="shared" si="0"/>
        <v/>
      </c>
      <c r="BH105" s="672">
        <f>+BF105/AY105*100</f>
        <v>14.897218313506249</v>
      </c>
      <c r="BI105" s="131"/>
      <c r="BJ105" s="118">
        <f>+E105/$AY105</f>
        <v>0.43852677477459268</v>
      </c>
      <c r="BK105" s="118">
        <f>+Q105/$AY105</f>
        <v>0.4181599084476264</v>
      </c>
      <c r="BL105" s="118">
        <f>+AM105/AY105</f>
        <v>9.4187283213629777E-2</v>
      </c>
      <c r="BM105" s="118">
        <f>+AR105/AY105</f>
        <v>4.912603356415108E-2</v>
      </c>
      <c r="BN105" s="131"/>
      <c r="BO105" s="118">
        <f>+H105/($BF105+BE105)</f>
        <v>0.37246084118075284</v>
      </c>
      <c r="BP105" s="118">
        <f>+T105/($BF105+BE105)</f>
        <v>0.5555620787638258</v>
      </c>
      <c r="BQ105" s="118">
        <f>+AO105/($BF105+BE105)</f>
        <v>7.9092595636756441E-2</v>
      </c>
      <c r="BR105" s="118">
        <f>+AT105/($BF105+BE105)</f>
        <v>-7.1155155813352735E-3</v>
      </c>
      <c r="BS105" s="131"/>
      <c r="BT105" s="131"/>
      <c r="BU105" s="131"/>
      <c r="BV105" s="131"/>
      <c r="BW105" s="131"/>
      <c r="BX105" s="131"/>
      <c r="BY105" s="131"/>
    </row>
    <row r="106" spans="1:77" hidden="1" outlineLevel="2">
      <c r="A106" s="131"/>
      <c r="B106" s="131" t="str">
        <f>$B$15</f>
        <v>2Q</v>
      </c>
      <c r="C106" s="131" t="str">
        <f>$C$15</f>
        <v>Jul</v>
      </c>
      <c r="D106" s="131"/>
      <c r="E106" s="926">
        <v>213.036</v>
      </c>
      <c r="F106" s="661">
        <f>+(E106/E99-1)*100</f>
        <v>13.79034067237126</v>
      </c>
      <c r="G106" s="2060">
        <v>9</v>
      </c>
      <c r="H106" s="800">
        <v>49.13</v>
      </c>
      <c r="I106" s="671">
        <f>+H106/E106*100</f>
        <v>23.061829925458611</v>
      </c>
      <c r="J106" s="701"/>
      <c r="K106" s="701"/>
      <c r="L106" s="701"/>
      <c r="M106" s="701"/>
      <c r="N106" s="953">
        <v>2</v>
      </c>
      <c r="O106" s="953">
        <v>11</v>
      </c>
      <c r="P106" s="664"/>
      <c r="Q106" s="669">
        <v>168.98699999999999</v>
      </c>
      <c r="R106" s="661">
        <f>+(Q106/Q99-1)*100</f>
        <v>13.82508655413508</v>
      </c>
      <c r="S106" s="2060"/>
      <c r="T106" s="691">
        <v>43.51</v>
      </c>
      <c r="U106" s="671">
        <f>+T106/Q106*100</f>
        <v>25.747542710386007</v>
      </c>
      <c r="V106" s="664"/>
      <c r="W106" s="1104"/>
      <c r="X106" s="798">
        <v>4</v>
      </c>
      <c r="Y106" s="2060"/>
      <c r="Z106" s="691"/>
      <c r="AA106" s="671"/>
      <c r="AB106" s="723"/>
      <c r="AC106" s="1104"/>
      <c r="AD106" s="1103">
        <v>4</v>
      </c>
      <c r="AE106" s="723">
        <v>14</v>
      </c>
      <c r="AF106" s="723"/>
      <c r="AG106" s="669"/>
      <c r="AH106" s="661"/>
      <c r="AI106" s="2060"/>
      <c r="AJ106" s="691"/>
      <c r="AK106" s="671"/>
      <c r="AL106" s="664"/>
      <c r="AM106" s="669">
        <v>43.942999999999998</v>
      </c>
      <c r="AN106" s="1780">
        <f>+(AM106/AM99-1)*100</f>
        <v>13.410070457067636</v>
      </c>
      <c r="AO106" s="800">
        <v>10.074</v>
      </c>
      <c r="AP106" s="671">
        <f>+AO106/AM106*100</f>
        <v>22.925153039164371</v>
      </c>
      <c r="AQ106" s="664"/>
      <c r="AR106" s="669">
        <v>16.529</v>
      </c>
      <c r="AS106" s="661"/>
      <c r="AT106" s="691">
        <v>-2.41</v>
      </c>
      <c r="AU106" s="671">
        <f>+AT106/AR106*100</f>
        <v>-14.580434388045255</v>
      </c>
      <c r="AV106" s="664"/>
      <c r="AW106" s="673">
        <f>'qtrP&amp;L'!$BF$11</f>
        <v>442.495</v>
      </c>
      <c r="AX106" s="665">
        <f>+(AW106/AW99-1)*100</f>
        <v>18.179244552342631</v>
      </c>
      <c r="AY106" s="673">
        <f>+E106+Q106+AM106+AR106</f>
        <v>442.495</v>
      </c>
      <c r="AZ106" s="682" t="str">
        <f>IF(AW106=AY106,"","n")</f>
        <v/>
      </c>
      <c r="BA106" s="665">
        <f>+(AY106/AY99-1)*100</f>
        <v>18.179244552342656</v>
      </c>
      <c r="BB106" s="666"/>
      <c r="BC106" s="673">
        <f>'qtrP&amp;L'!$BF$49</f>
        <v>68.453000000000003</v>
      </c>
      <c r="BD106" s="672">
        <f>+BC106/AW106*100</f>
        <v>15.469779319540333</v>
      </c>
      <c r="BE106" s="691">
        <v>31.850999999999999</v>
      </c>
      <c r="BF106" s="673">
        <f>+H106+T106+AO106+AT106-BE106</f>
        <v>68.453000000000003</v>
      </c>
      <c r="BG106" s="963" t="str">
        <f t="shared" si="0"/>
        <v/>
      </c>
      <c r="BH106" s="672">
        <f>+BF106/AY106*100</f>
        <v>15.469779319540333</v>
      </c>
      <c r="BI106" s="131"/>
      <c r="BJ106" s="118">
        <f>+E106/$AY106</f>
        <v>0.48144272816641998</v>
      </c>
      <c r="BK106" s="118">
        <f>+Q106/$AY106</f>
        <v>0.38189584063096754</v>
      </c>
      <c r="BL106" s="118">
        <f>+AM106/AY106</f>
        <v>9.9307336806065599E-2</v>
      </c>
      <c r="BM106" s="118">
        <f>+AR106/AY106</f>
        <v>3.7354094396546855E-2</v>
      </c>
      <c r="BN106" s="131"/>
      <c r="BO106" s="118">
        <f>+H106/($BF106+BE106)</f>
        <v>0.48981097463710321</v>
      </c>
      <c r="BP106" s="118">
        <f>+T106/($BF106+BE106)</f>
        <v>0.43378130483330674</v>
      </c>
      <c r="BQ106" s="118">
        <f>+AO106/($BF106+BE106)</f>
        <v>0.10043467857712554</v>
      </c>
      <c r="BR106" s="118">
        <f>+AT106/($BF106+BE106)</f>
        <v>-2.4026958047535494E-2</v>
      </c>
      <c r="BS106" s="131"/>
      <c r="BT106" s="131"/>
      <c r="BU106" s="131"/>
      <c r="BV106" s="131"/>
      <c r="BW106" s="131"/>
      <c r="BX106" s="131"/>
      <c r="BY106" s="131"/>
    </row>
    <row r="107" spans="1:77" hidden="1" outlineLevel="2">
      <c r="A107" s="131"/>
      <c r="B107" s="131" t="str">
        <f>$B$16</f>
        <v>3Q</v>
      </c>
      <c r="C107" s="131" t="str">
        <f>$C$16</f>
        <v>Oct</v>
      </c>
      <c r="D107" s="131"/>
      <c r="E107" s="926">
        <v>202.84399999999999</v>
      </c>
      <c r="F107" s="661">
        <f>+(E107/E100-1)*100</f>
        <v>20.387197094241305</v>
      </c>
      <c r="G107" s="2060">
        <v>16</v>
      </c>
      <c r="H107" s="800">
        <v>37.654000000000003</v>
      </c>
      <c r="I107" s="671">
        <f>+H107/E107*100</f>
        <v>18.563033661335808</v>
      </c>
      <c r="J107" s="701"/>
      <c r="K107" s="701"/>
      <c r="L107" s="701"/>
      <c r="M107" s="701"/>
      <c r="N107" s="953">
        <v>15</v>
      </c>
      <c r="O107" s="953">
        <v>16</v>
      </c>
      <c r="P107" s="664"/>
      <c r="Q107" s="669">
        <v>173.53299999999999</v>
      </c>
      <c r="R107" s="661">
        <f>+(Q107/Q100-1)*100</f>
        <v>11.039089844574823</v>
      </c>
      <c r="S107" s="2060"/>
      <c r="T107" s="691">
        <v>43.567999999999998</v>
      </c>
      <c r="U107" s="671">
        <f>+T107/Q107*100</f>
        <v>25.106463900237998</v>
      </c>
      <c r="V107" s="664"/>
      <c r="W107" s="1104"/>
      <c r="X107" s="798">
        <v>-3</v>
      </c>
      <c r="Y107" s="2060"/>
      <c r="Z107" s="691"/>
      <c r="AA107" s="671"/>
      <c r="AB107" s="723"/>
      <c r="AC107" s="1104"/>
      <c r="AD107" s="1103">
        <v>25</v>
      </c>
      <c r="AE107" s="723">
        <v>10</v>
      </c>
      <c r="AF107" s="723"/>
      <c r="AG107" s="669"/>
      <c r="AH107" s="661"/>
      <c r="AI107" s="2060"/>
      <c r="AJ107" s="691"/>
      <c r="AK107" s="671"/>
      <c r="AL107" s="664"/>
      <c r="AM107" s="669">
        <v>39.311</v>
      </c>
      <c r="AN107" s="1780">
        <f>+(AM107/AM100-1)*100</f>
        <v>5.2869807429627436</v>
      </c>
      <c r="AO107" s="800">
        <v>5.0529999999999999</v>
      </c>
      <c r="AP107" s="671">
        <f>+AO107/AM107*100</f>
        <v>12.853908575207956</v>
      </c>
      <c r="AQ107" s="664"/>
      <c r="AR107" s="669">
        <v>14.435</v>
      </c>
      <c r="AS107" s="661">
        <f>+(AR107/AR100-1)*100</f>
        <v>268.0520142784294</v>
      </c>
      <c r="AT107" s="691">
        <v>-4.1319999999999997</v>
      </c>
      <c r="AU107" s="671">
        <f>+AT107/AR107*100</f>
        <v>-28.624870107377898</v>
      </c>
      <c r="AV107" s="664"/>
      <c r="AW107" s="673">
        <f>'qtrP&amp;L'!$BF$12</f>
        <v>430.12299999999999</v>
      </c>
      <c r="AX107" s="665">
        <f>+(AW107/AW100-1)*100</f>
        <v>17.50935024984086</v>
      </c>
      <c r="AY107" s="673">
        <f>+E107+Q107+AM107+AR107</f>
        <v>430.12299999999993</v>
      </c>
      <c r="AZ107" s="682" t="str">
        <f>IF(AW107=AY107,"","n")</f>
        <v/>
      </c>
      <c r="BA107" s="665">
        <f>+(AY107/AY100-1)*100</f>
        <v>17.509350249840839</v>
      </c>
      <c r="BB107" s="666"/>
      <c r="BC107" s="673">
        <f>'qtrP&amp;L'!$BF$50</f>
        <v>49.215000000000003</v>
      </c>
      <c r="BD107" s="672">
        <f>+BC107/AW107*100</f>
        <v>11.44207587132053</v>
      </c>
      <c r="BE107" s="691">
        <v>32.927999999999997</v>
      </c>
      <c r="BF107" s="673">
        <f>+H107+T107+AO107+AT107-BE107</f>
        <v>49.215000000000003</v>
      </c>
      <c r="BG107" s="963" t="str">
        <f t="shared" si="0"/>
        <v/>
      </c>
      <c r="BH107" s="672">
        <f>+BF107/AY107*100</f>
        <v>11.442075871320531</v>
      </c>
      <c r="BI107" s="131"/>
      <c r="BJ107" s="118">
        <f>+E107/$AY107</f>
        <v>0.47159533435784656</v>
      </c>
      <c r="BK107" s="118">
        <f>+Q107/$AY107</f>
        <v>0.40344971089665055</v>
      </c>
      <c r="BL107" s="118">
        <f>+AM107/AY107</f>
        <v>9.139478707253508E-2</v>
      </c>
      <c r="BM107" s="118">
        <f>+AR107/AY107</f>
        <v>3.3560167672967968E-2</v>
      </c>
      <c r="BN107" s="131"/>
      <c r="BO107" s="118">
        <f>+H107/($BF107+BE107)</f>
        <v>0.45839572452917476</v>
      </c>
      <c r="BP107" s="118">
        <f>+T107/($BF107+BE107)</f>
        <v>0.5303921210571807</v>
      </c>
      <c r="BQ107" s="118">
        <f>+AO107/($BF107+BE107)</f>
        <v>6.1514675626651083E-2</v>
      </c>
      <c r="BR107" s="118">
        <f>+AT107/($BF107+BE107)</f>
        <v>-5.030252121300658E-2</v>
      </c>
      <c r="BS107" s="131"/>
      <c r="BT107" s="131"/>
      <c r="BU107" s="131"/>
      <c r="BV107" s="131"/>
      <c r="BW107" s="131"/>
      <c r="BX107" s="131"/>
      <c r="BY107" s="131"/>
    </row>
    <row r="108" spans="1:77" hidden="1" outlineLevel="2">
      <c r="A108" s="131"/>
      <c r="B108" s="131" t="str">
        <f>$B$17</f>
        <v>4Q</v>
      </c>
      <c r="C108" s="131" t="str">
        <f>$C$17</f>
        <v>Jan</v>
      </c>
      <c r="D108" s="131"/>
      <c r="E108" s="927">
        <v>359.41800000000001</v>
      </c>
      <c r="F108" s="661">
        <f>+(E108/E101-1)*100</f>
        <v>20.435072528842333</v>
      </c>
      <c r="G108" s="2060">
        <v>17</v>
      </c>
      <c r="H108" s="801">
        <f>H109-SUM(H105:H107)</f>
        <v>105.64400000000001</v>
      </c>
      <c r="I108" s="671">
        <f>+H108/E108*100</f>
        <v>29.393074359102773</v>
      </c>
      <c r="J108" s="701"/>
      <c r="K108" s="701"/>
      <c r="L108" s="701"/>
      <c r="M108" s="701"/>
      <c r="N108" s="953">
        <v>22</v>
      </c>
      <c r="O108" s="953">
        <v>15</v>
      </c>
      <c r="P108" s="664"/>
      <c r="Q108" s="675">
        <v>273.53399999999999</v>
      </c>
      <c r="R108" s="661">
        <f>+(Q108/Q101-1)*100</f>
        <v>18.357650968378426</v>
      </c>
      <c r="S108" s="2060"/>
      <c r="T108" s="801">
        <f>T109-SUM(T105:T107)</f>
        <v>79.273000000000025</v>
      </c>
      <c r="U108" s="671">
        <f>+T108/Q108*100</f>
        <v>28.981040748133697</v>
      </c>
      <c r="V108" s="664"/>
      <c r="W108" s="1104"/>
      <c r="X108" s="798">
        <v>-7</v>
      </c>
      <c r="Y108" s="2060"/>
      <c r="Z108" s="801"/>
      <c r="AA108" s="671"/>
      <c r="AB108" s="723"/>
      <c r="AC108" s="1104"/>
      <c r="AD108" s="1103">
        <v>19</v>
      </c>
      <c r="AE108" s="723">
        <v>13</v>
      </c>
      <c r="AF108" s="723"/>
      <c r="AG108" s="669"/>
      <c r="AH108" s="661"/>
      <c r="AI108" s="2060"/>
      <c r="AJ108" s="1098"/>
      <c r="AK108" s="671"/>
      <c r="AL108" s="664"/>
      <c r="AM108" s="675">
        <v>76.86</v>
      </c>
      <c r="AN108" s="1780">
        <f>+(AM108/AM101-1)*100</f>
        <v>10.957124296232145</v>
      </c>
      <c r="AO108" s="801">
        <f>AO109-SUM(AO105:AO107)</f>
        <v>24.950000000000003</v>
      </c>
      <c r="AP108" s="671">
        <f>+AO108/AM108*100</f>
        <v>32.461618527192307</v>
      </c>
      <c r="AQ108" s="664"/>
      <c r="AR108" s="675">
        <v>21.776</v>
      </c>
      <c r="AS108" s="661">
        <f>+(AR108/AR101-1)*100</f>
        <v>7.7913077913077888</v>
      </c>
      <c r="AT108" s="801">
        <f>AT109-SUM(AT105:AT107)</f>
        <v>-1.3120000000000012</v>
      </c>
      <c r="AU108" s="671">
        <f>+AT108/AR108*100</f>
        <v>-6.0249816311535689</v>
      </c>
      <c r="AV108" s="664"/>
      <c r="AW108" s="677">
        <f>'qtrP&amp;L'!$BF$13</f>
        <v>731.58799999999997</v>
      </c>
      <c r="AX108" s="665">
        <f>+(AW108/AW101-1)*100</f>
        <v>18.186209336475969</v>
      </c>
      <c r="AY108" s="677">
        <f>+E108+Q108+AM108+AR108</f>
        <v>731.58799999999997</v>
      </c>
      <c r="AZ108" s="682" t="str">
        <f>IF(AW108=AY108,"","n")</f>
        <v/>
      </c>
      <c r="BA108" s="665">
        <f>+(AY108/AY101-1)*100</f>
        <v>18.18620933647599</v>
      </c>
      <c r="BB108" s="666"/>
      <c r="BC108" s="677">
        <f>'qtrP&amp;L'!$BF$51</f>
        <v>178.88199999999995</v>
      </c>
      <c r="BD108" s="685">
        <f>+BC108/AW108*100</f>
        <v>24.451193841342388</v>
      </c>
      <c r="BE108" s="677">
        <f>+BE109-SUM(BE105:BE107)</f>
        <v>29.673000000000002</v>
      </c>
      <c r="BF108" s="677">
        <f>+H108+T108+AO108+AT108-BE108</f>
        <v>178.88200000000001</v>
      </c>
      <c r="BG108" s="963" t="str">
        <f t="shared" si="0"/>
        <v/>
      </c>
      <c r="BH108" s="672">
        <f>+BF108/AY108*100</f>
        <v>24.451193841342398</v>
      </c>
      <c r="BI108" s="131"/>
      <c r="BJ108" s="118">
        <f>+E108/$AY108</f>
        <v>0.49128471216039632</v>
      </c>
      <c r="BK108" s="118">
        <f>+Q108/$AY108</f>
        <v>0.37389076912141805</v>
      </c>
      <c r="BL108" s="118">
        <f>+AM108/AY108</f>
        <v>0.10505913164239983</v>
      </c>
      <c r="BM108" s="118">
        <f>+AR108/AY108</f>
        <v>2.9765387075785826E-2</v>
      </c>
      <c r="BN108" s="131"/>
      <c r="BO108" s="118">
        <f>+H108/$BF108</f>
        <v>0.59057926454310661</v>
      </c>
      <c r="BP108" s="118">
        <f>+T108/$BF108</f>
        <v>0.44315805950291265</v>
      </c>
      <c r="BQ108" s="118">
        <f>+AO108/$BF108</f>
        <v>0.13947742086962356</v>
      </c>
      <c r="BR108" s="118">
        <f>+AT108/$BF108</f>
        <v>-7.334443935108066E-3</v>
      </c>
      <c r="BS108" s="131"/>
      <c r="BT108" s="131"/>
      <c r="BU108" s="131"/>
      <c r="BV108" s="131"/>
      <c r="BW108" s="131"/>
      <c r="BX108" s="131"/>
      <c r="BY108" s="131"/>
    </row>
    <row r="109" spans="1:77" hidden="1" outlineLevel="2">
      <c r="A109" s="131"/>
      <c r="B109" s="131"/>
      <c r="C109" s="131" t="str">
        <f>$C$18</f>
        <v>Year</v>
      </c>
      <c r="D109" s="131"/>
      <c r="E109" s="916">
        <v>1013.034</v>
      </c>
      <c r="F109" s="661">
        <f>+(E109/E102-1)*100</f>
        <v>23.568760718894776</v>
      </c>
      <c r="G109" s="2060">
        <v>12</v>
      </c>
      <c r="H109" s="695">
        <v>224.149</v>
      </c>
      <c r="I109" s="671">
        <f>+H109/E109*100</f>
        <v>22.126503157840705</v>
      </c>
      <c r="J109" s="701"/>
      <c r="K109" s="667">
        <v>1013.034</v>
      </c>
      <c r="L109" s="701"/>
      <c r="M109" s="701"/>
      <c r="N109" s="953">
        <v>10</v>
      </c>
      <c r="O109" s="953">
        <v>12</v>
      </c>
      <c r="P109" s="664"/>
      <c r="Q109" s="660">
        <v>781.572</v>
      </c>
      <c r="R109" s="661">
        <f>+(Q109/Q102-1)*100</f>
        <v>14.350340678489326</v>
      </c>
      <c r="S109" s="2060"/>
      <c r="T109" s="695">
        <v>213.666</v>
      </c>
      <c r="U109" s="671">
        <f>+T109/Q109*100</f>
        <v>27.337980378007398</v>
      </c>
      <c r="V109" s="664"/>
      <c r="W109" s="1104"/>
      <c r="X109" s="798">
        <v>-3</v>
      </c>
      <c r="Y109" s="2060"/>
      <c r="Z109" s="695"/>
      <c r="AA109" s="671"/>
      <c r="AB109" s="723"/>
      <c r="AC109" s="1104"/>
      <c r="AD109" s="1103">
        <v>13</v>
      </c>
      <c r="AE109" s="723">
        <v>12</v>
      </c>
      <c r="AF109" s="723"/>
      <c r="AG109" s="660"/>
      <c r="AH109" s="661"/>
      <c r="AI109" s="2060"/>
      <c r="AJ109" s="695"/>
      <c r="AK109" s="671"/>
      <c r="AL109" s="664"/>
      <c r="AM109" s="796">
        <v>133.25399999999999</v>
      </c>
      <c r="AN109" s="1780">
        <f>+(AM109/AM102-1)*100</f>
        <v>-25.629133528673098</v>
      </c>
      <c r="AO109" s="695">
        <v>46.813000000000002</v>
      </c>
      <c r="AP109" s="671">
        <f>+AO109/AM109*100</f>
        <v>35.130652738379339</v>
      </c>
      <c r="AQ109" s="664"/>
      <c r="AR109" s="796">
        <v>72.185000000000002</v>
      </c>
      <c r="AS109" s="661">
        <f>+(AR109/AR102-1)*100</f>
        <v>199.22483833526775</v>
      </c>
      <c r="AT109" s="667">
        <v>-8.4600000000000009</v>
      </c>
      <c r="AU109" s="671">
        <f>+AT109/AR109*100</f>
        <v>-11.719886402992312</v>
      </c>
      <c r="AV109" s="664"/>
      <c r="AW109" s="673">
        <f>'qtrP&amp;L'!$BF$14</f>
        <v>2000.0450000000001</v>
      </c>
      <c r="AX109" s="665">
        <f>+(AW109/AW102-1)*100</f>
        <v>17.194577294530312</v>
      </c>
      <c r="AY109" s="679">
        <f>+E109+Q109+AM109+AR109</f>
        <v>2000.0449999999998</v>
      </c>
      <c r="AZ109" s="1494"/>
      <c r="BA109" s="665">
        <f>+(AY109/AY102-1)*100</f>
        <v>17.194577294530312</v>
      </c>
      <c r="BB109" s="666"/>
      <c r="BC109" s="667">
        <f>'qtrP&amp;L'!$BF$52</f>
        <v>355.51899999999995</v>
      </c>
      <c r="BD109" s="672">
        <f>+BC109/AW109*100</f>
        <v>17.775550050123869</v>
      </c>
      <c r="BE109" s="691">
        <v>120.649</v>
      </c>
      <c r="BF109" s="667">
        <f>+H109+T109+AO109+AT109-BE109</f>
        <v>355.51900000000001</v>
      </c>
      <c r="BG109" s="963" t="str">
        <f t="shared" si="0"/>
        <v/>
      </c>
      <c r="BH109" s="672">
        <f>+BF109/AY109*100</f>
        <v>17.775550050123872</v>
      </c>
      <c r="BI109" s="131"/>
      <c r="BJ109" s="118">
        <f>+E109/$AY109</f>
        <v>0.5065056036239185</v>
      </c>
      <c r="BK109" s="118">
        <f>+Q109/$AY109</f>
        <v>0.39077720751283102</v>
      </c>
      <c r="BL109" s="118">
        <f>+AM109/AY109</f>
        <v>6.6625500926229167E-2</v>
      </c>
      <c r="BM109" s="118">
        <f>+AR109/AY109</f>
        <v>3.6091687937021423E-2</v>
      </c>
      <c r="BN109" s="131"/>
      <c r="BO109" s="118">
        <f>+H109/$BF109</f>
        <v>0.63048388412433654</v>
      </c>
      <c r="BP109" s="118">
        <f>+T109/$BF109</f>
        <v>0.60099741504673443</v>
      </c>
      <c r="BQ109" s="118">
        <f>+AO109/$BF109</f>
        <v>0.13167510034625435</v>
      </c>
      <c r="BR109" s="118">
        <f>+AT109/$BF109</f>
        <v>-2.3796196546457433E-2</v>
      </c>
      <c r="BS109" s="131"/>
      <c r="BT109" s="131"/>
      <c r="BU109" s="131"/>
      <c r="BV109" s="131"/>
      <c r="BW109" s="131"/>
      <c r="BX109" s="1496">
        <f>+K109/K102-1</f>
        <v>6.759785897431847E-2</v>
      </c>
      <c r="BY109" s="1496">
        <f>+(AW109-K109)/(AW102-K102)-1</f>
        <v>0.30262197592485807</v>
      </c>
    </row>
    <row r="110" spans="1:77" hidden="1" outlineLevel="2">
      <c r="A110" s="131"/>
      <c r="B110" s="131"/>
      <c r="C110" s="131"/>
      <c r="D110" s="131"/>
      <c r="E110" s="656"/>
      <c r="F110" s="233"/>
      <c r="G110" s="2058"/>
      <c r="H110" s="227"/>
      <c r="I110" s="657"/>
      <c r="J110" s="709"/>
      <c r="K110" s="709"/>
      <c r="L110" s="709"/>
      <c r="M110" s="709"/>
      <c r="N110" s="233"/>
      <c r="O110" s="953"/>
      <c r="P110" s="643"/>
      <c r="Q110" s="656"/>
      <c r="R110" s="233"/>
      <c r="S110" s="2058"/>
      <c r="T110" s="227"/>
      <c r="U110" s="657"/>
      <c r="V110" s="643"/>
      <c r="W110" s="1105"/>
      <c r="X110" s="893"/>
      <c r="Y110" s="2058"/>
      <c r="Z110" s="227"/>
      <c r="AA110" s="657"/>
      <c r="AB110" s="643"/>
      <c r="AC110" s="1105"/>
      <c r="AD110" s="1108"/>
      <c r="AE110" s="643"/>
      <c r="AF110" s="643"/>
      <c r="AG110" s="656"/>
      <c r="AH110" s="233"/>
      <c r="AI110" s="2058"/>
      <c r="AJ110" s="227"/>
      <c r="AK110" s="657"/>
      <c r="AL110" s="643"/>
      <c r="AM110" s="656"/>
      <c r="AN110" s="234"/>
      <c r="AO110" s="227"/>
      <c r="AP110" s="657"/>
      <c r="AQ110" s="643"/>
      <c r="AR110" s="656"/>
      <c r="AS110" s="233"/>
      <c r="AT110" s="227"/>
      <c r="AU110" s="657"/>
      <c r="AV110" s="643"/>
      <c r="AW110" s="658"/>
      <c r="AX110" s="658"/>
      <c r="AY110" s="658"/>
      <c r="AZ110" s="659"/>
      <c r="BA110" s="132"/>
      <c r="BB110" s="132"/>
      <c r="BC110" s="658"/>
      <c r="BD110" s="658"/>
      <c r="BE110" s="658"/>
      <c r="BF110" s="658"/>
      <c r="BG110" s="963" t="str">
        <f t="shared" si="0"/>
        <v/>
      </c>
      <c r="BH110" s="131"/>
      <c r="BI110" s="131"/>
      <c r="BJ110" s="131"/>
      <c r="BK110" s="131"/>
      <c r="BL110" s="131"/>
      <c r="BM110" s="131"/>
      <c r="BN110" s="131"/>
      <c r="BO110" s="131"/>
      <c r="BP110" s="131"/>
      <c r="BQ110" s="131"/>
      <c r="BR110" s="131"/>
      <c r="BS110" s="131"/>
      <c r="BT110" s="131"/>
      <c r="BU110" s="131"/>
      <c r="BV110" s="131"/>
      <c r="BW110" s="131"/>
      <c r="BX110" s="131"/>
      <c r="BY110" s="131"/>
    </row>
    <row r="111" spans="1:77" hidden="1" outlineLevel="2">
      <c r="A111" s="131"/>
      <c r="B111" s="2506">
        <f>+B104+1</f>
        <v>2004</v>
      </c>
      <c r="C111" s="2506"/>
      <c r="D111" s="131"/>
      <c r="E111" s="656"/>
      <c r="F111" s="233"/>
      <c r="G111" s="2058"/>
      <c r="H111" s="227"/>
      <c r="I111" s="657"/>
      <c r="J111" s="709"/>
      <c r="K111" s="709"/>
      <c r="L111" s="709"/>
      <c r="M111" s="709"/>
      <c r="N111" s="233"/>
      <c r="O111" s="953"/>
      <c r="P111" s="643"/>
      <c r="Q111" s="656"/>
      <c r="R111" s="233"/>
      <c r="S111" s="2058"/>
      <c r="T111" s="227"/>
      <c r="U111" s="657"/>
      <c r="V111" s="643"/>
      <c r="W111" s="1105"/>
      <c r="X111" s="893"/>
      <c r="Y111" s="2058"/>
      <c r="Z111" s="227"/>
      <c r="AA111" s="657"/>
      <c r="AB111" s="643"/>
      <c r="AC111" s="1105"/>
      <c r="AD111" s="1108"/>
      <c r="AE111" s="643"/>
      <c r="AF111" s="643"/>
      <c r="AG111" s="656"/>
      <c r="AH111" s="233"/>
      <c r="AI111" s="2058"/>
      <c r="AJ111" s="227"/>
      <c r="AK111" s="657"/>
      <c r="AL111" s="643"/>
      <c r="AM111" s="656"/>
      <c r="AN111" s="234"/>
      <c r="AO111" s="227"/>
      <c r="AP111" s="657"/>
      <c r="AQ111" s="643"/>
      <c r="AR111" s="656"/>
      <c r="AS111" s="233"/>
      <c r="AT111" s="227"/>
      <c r="AU111" s="657"/>
      <c r="AV111" s="643"/>
      <c r="AW111" s="658"/>
      <c r="AX111" s="658"/>
      <c r="AY111" s="658"/>
      <c r="AZ111" s="659"/>
      <c r="BA111" s="132"/>
      <c r="BB111" s="132"/>
      <c r="BC111" s="658"/>
      <c r="BD111" s="658"/>
      <c r="BE111" s="732"/>
      <c r="BF111" s="658"/>
      <c r="BG111" s="963" t="str">
        <f t="shared" si="0"/>
        <v/>
      </c>
      <c r="BH111" s="131"/>
      <c r="BI111" s="131"/>
      <c r="BJ111" s="131"/>
      <c r="BK111" s="131"/>
      <c r="BL111" s="131"/>
      <c r="BM111" s="131"/>
      <c r="BN111" s="131"/>
      <c r="BO111" s="131"/>
      <c r="BP111" s="131"/>
      <c r="BQ111" s="131"/>
      <c r="BR111" s="131"/>
      <c r="BS111" s="131"/>
      <c r="BT111" s="131"/>
      <c r="BU111" s="131"/>
      <c r="BV111" s="131"/>
      <c r="BW111" s="131"/>
      <c r="BX111" s="131"/>
      <c r="BY111" s="131"/>
    </row>
    <row r="112" spans="1:77" hidden="1" outlineLevel="2">
      <c r="A112" s="131"/>
      <c r="B112" s="131" t="str">
        <f>$B$14</f>
        <v>1Q</v>
      </c>
      <c r="C112" s="131" t="str">
        <f>$C$14</f>
        <v>Apr</v>
      </c>
      <c r="D112" s="131"/>
      <c r="E112" s="916">
        <v>213.66200000000001</v>
      </c>
      <c r="F112" s="661">
        <f>+(E112/E105-1)*100</f>
        <v>23.087115320359942</v>
      </c>
      <c r="G112" s="2060">
        <v>20</v>
      </c>
      <c r="H112" s="663">
        <v>41.164999999999999</v>
      </c>
      <c r="I112" s="671">
        <f>+H112/E112*100</f>
        <v>19.266411434883132</v>
      </c>
      <c r="J112" s="701"/>
      <c r="K112" s="701"/>
      <c r="L112" s="701"/>
      <c r="M112" s="701"/>
      <c r="N112" s="953">
        <v>30</v>
      </c>
      <c r="O112" s="953">
        <v>17</v>
      </c>
      <c r="P112" s="664"/>
      <c r="Q112" s="660">
        <v>184.73099999999999</v>
      </c>
      <c r="R112" s="661">
        <f>+(Q112/Q105-1)*100</f>
        <v>11.603755346656675</v>
      </c>
      <c r="S112" s="2060">
        <f>8-10</f>
        <v>-2</v>
      </c>
      <c r="T112" s="663">
        <v>49.292000000000002</v>
      </c>
      <c r="U112" s="671">
        <f>+T112/Q112*100</f>
        <v>26.683123027537341</v>
      </c>
      <c r="V112" s="664"/>
      <c r="W112" s="1104"/>
      <c r="X112" s="798">
        <f>+-1-9</f>
        <v>-10</v>
      </c>
      <c r="Y112" s="2060"/>
      <c r="Z112" s="663"/>
      <c r="AA112" s="671"/>
      <c r="AB112" s="723"/>
      <c r="AC112" s="1104"/>
      <c r="AD112" s="1103">
        <f>33-7</f>
        <v>26</v>
      </c>
      <c r="AE112" s="723">
        <f>23-16</f>
        <v>7</v>
      </c>
      <c r="AF112" s="723"/>
      <c r="AG112" s="660"/>
      <c r="AH112" s="661"/>
      <c r="AI112" s="2060"/>
      <c r="AJ112" s="663"/>
      <c r="AK112" s="671"/>
      <c r="AL112" s="664"/>
      <c r="AM112" s="660">
        <v>36.899000000000001</v>
      </c>
      <c r="AN112" s="1780">
        <f>+(AM112/AM105-1)*100</f>
        <v>-1.0299600354048755</v>
      </c>
      <c r="AO112" s="663">
        <v>4.7240000000000002</v>
      </c>
      <c r="AP112" s="671">
        <f>+AO112/AM112*100</f>
        <v>12.802514973305509</v>
      </c>
      <c r="AQ112" s="664"/>
      <c r="AR112" s="660">
        <v>21.667999999999999</v>
      </c>
      <c r="AS112" s="661">
        <f>+(AR112/AR105-1)*100</f>
        <v>11.42651445027254</v>
      </c>
      <c r="AT112" s="663">
        <v>-1.3360000000000001</v>
      </c>
      <c r="AU112" s="671">
        <f>+AT112/AR112*100</f>
        <v>-6.1657744138822235</v>
      </c>
      <c r="AV112" s="664"/>
      <c r="AW112" s="673">
        <f>'qtrP&amp;L'!$BJ$10</f>
        <v>456.96</v>
      </c>
      <c r="AX112" s="665">
        <f>+(AW112/AW105-1)*100</f>
        <v>15.440873688545075</v>
      </c>
      <c r="AY112" s="679">
        <f>+E112+Q112+AM112+AR112</f>
        <v>456.96000000000004</v>
      </c>
      <c r="AZ112" s="682" t="str">
        <f>IF(AW112=AY112,"","n")</f>
        <v/>
      </c>
      <c r="BA112" s="665">
        <f>+(AY112/AY105-1)*100</f>
        <v>15.440873688545075</v>
      </c>
      <c r="BB112" s="666"/>
      <c r="BC112" s="667">
        <f>'qtrP&amp;L'!$BJ$48</f>
        <v>62.694999999999965</v>
      </c>
      <c r="BD112" s="672">
        <f>+BC112/AW112*100</f>
        <v>13.720019257703076</v>
      </c>
      <c r="BE112" s="695">
        <v>31.15</v>
      </c>
      <c r="BF112" s="667">
        <f>+H112+T112+AO112+AT112-BE112</f>
        <v>62.695</v>
      </c>
      <c r="BG112" s="963" t="str">
        <f t="shared" si="0"/>
        <v/>
      </c>
      <c r="BH112" s="672">
        <f>+BF112/AY112*100</f>
        <v>13.720019257703081</v>
      </c>
      <c r="BI112" s="131"/>
      <c r="BJ112" s="118">
        <f>+E112/$AY112</f>
        <v>0.46757265406162463</v>
      </c>
      <c r="BK112" s="118">
        <f>+Q112/$AY112</f>
        <v>0.40426076680672263</v>
      </c>
      <c r="BL112" s="118">
        <f>+AM112/AY112</f>
        <v>8.0748862044817918E-2</v>
      </c>
      <c r="BM112" s="118">
        <f>+AR112/AY112</f>
        <v>4.7417717086834732E-2</v>
      </c>
      <c r="BN112" s="131"/>
      <c r="BO112" s="118">
        <f>+H112/$BF112</f>
        <v>0.6565914347236621</v>
      </c>
      <c r="BP112" s="118">
        <f>+T112/$BF112</f>
        <v>0.78621899673020179</v>
      </c>
      <c r="BQ112" s="118">
        <f>+AO112/$BF112</f>
        <v>7.5348911396443105E-2</v>
      </c>
      <c r="BR112" s="118">
        <f>+AT112/$BF112</f>
        <v>-2.1309514315336151E-2</v>
      </c>
      <c r="BS112" s="131"/>
      <c r="BT112" s="131"/>
      <c r="BU112" s="131"/>
      <c r="BV112" s="131"/>
      <c r="BW112" s="131"/>
      <c r="BX112" s="131"/>
      <c r="BY112" s="131"/>
    </row>
    <row r="113" spans="1:77" hidden="1" outlineLevel="2">
      <c r="A113" s="131"/>
      <c r="B113" s="131" t="str">
        <f>$B$15</f>
        <v>2Q</v>
      </c>
      <c r="C113" s="131" t="str">
        <f>$C$15</f>
        <v>Jul</v>
      </c>
      <c r="D113" s="131"/>
      <c r="E113" s="926">
        <v>248.13399999999999</v>
      </c>
      <c r="F113" s="661">
        <f>+(E113/E106-1)*100</f>
        <v>16.475149739950055</v>
      </c>
      <c r="G113" s="2060">
        <v>10</v>
      </c>
      <c r="H113" s="670">
        <v>46.533000000000001</v>
      </c>
      <c r="I113" s="671">
        <f>+H113/E113*100</f>
        <v>18.753173688410296</v>
      </c>
      <c r="J113" s="701"/>
      <c r="K113" s="701"/>
      <c r="L113" s="701"/>
      <c r="M113" s="701"/>
      <c r="N113" s="953">
        <v>16</v>
      </c>
      <c r="O113" s="953">
        <v>9</v>
      </c>
      <c r="P113" s="664"/>
      <c r="Q113" s="669">
        <v>180.94800000000001</v>
      </c>
      <c r="R113" s="661">
        <f>+(Q113/Q106-1)*100</f>
        <v>7.0780592589962721</v>
      </c>
      <c r="S113" s="2060">
        <v>-4</v>
      </c>
      <c r="T113" s="670">
        <v>40.100999999999999</v>
      </c>
      <c r="U113" s="671">
        <f>+T113/Q113*100</f>
        <v>22.161615491743483</v>
      </c>
      <c r="V113" s="664"/>
      <c r="W113" s="1104"/>
      <c r="X113" s="798">
        <v>-10</v>
      </c>
      <c r="Y113" s="2060"/>
      <c r="Z113" s="670"/>
      <c r="AA113" s="671"/>
      <c r="AB113" s="723"/>
      <c r="AC113" s="1104"/>
      <c r="AD113" s="1103">
        <v>16</v>
      </c>
      <c r="AE113" s="723">
        <v>0</v>
      </c>
      <c r="AF113" s="723"/>
      <c r="AG113" s="669"/>
      <c r="AH113" s="661"/>
      <c r="AI113" s="2060"/>
      <c r="AJ113" s="670"/>
      <c r="AK113" s="671"/>
      <c r="AL113" s="664"/>
      <c r="AM113" s="660">
        <v>28.91</v>
      </c>
      <c r="AN113" s="1780">
        <f>+(AM113/AM106-1)*100</f>
        <v>-34.210226884828067</v>
      </c>
      <c r="AO113" s="670">
        <v>8.0990000000000002</v>
      </c>
      <c r="AP113" s="671">
        <f>+AO113/AM113*100</f>
        <v>28.014527845036319</v>
      </c>
      <c r="AQ113" s="664"/>
      <c r="AR113" s="660">
        <v>18.605</v>
      </c>
      <c r="AS113" s="661">
        <f>+(AR113/AR106-1)*100</f>
        <v>12.559743481154339</v>
      </c>
      <c r="AT113" s="697">
        <v>-3.3370000000000002</v>
      </c>
      <c r="AU113" s="671">
        <f>+AT113/AR113*100</f>
        <v>-17.936038699274391</v>
      </c>
      <c r="AV113" s="664"/>
      <c r="AW113" s="673">
        <f>'qtrP&amp;L'!$BJ$11</f>
        <v>476.59699999999998</v>
      </c>
      <c r="AX113" s="665">
        <f>+(AW113/AW106-1)*100</f>
        <v>7.7067537486299242</v>
      </c>
      <c r="AY113" s="673">
        <f>+E113+Q113+AM113+AR113</f>
        <v>476.59700000000004</v>
      </c>
      <c r="AZ113" s="682" t="str">
        <f>IF(AW113=AY113,"","n")</f>
        <v/>
      </c>
      <c r="BA113" s="665">
        <f>+(AY113/AY106-1)*100</f>
        <v>7.7067537486299242</v>
      </c>
      <c r="BB113" s="666"/>
      <c r="BC113" s="673">
        <f>ROUND('qtrP&amp;L'!$BJ$49,4)</f>
        <v>58.17</v>
      </c>
      <c r="BD113" s="672">
        <f>+BC113/AW113*100</f>
        <v>12.205280352163358</v>
      </c>
      <c r="BE113" s="691">
        <v>33.225999999999999</v>
      </c>
      <c r="BF113" s="673">
        <f>+H113+T113+AO113+AT113-BE113</f>
        <v>58.17</v>
      </c>
      <c r="BG113" s="963" t="str">
        <f t="shared" si="0"/>
        <v/>
      </c>
      <c r="BH113" s="672">
        <f>+BF113/AY113*100</f>
        <v>12.205280352163356</v>
      </c>
      <c r="BI113" s="131"/>
      <c r="BJ113" s="118">
        <f>+E113/$AY113</f>
        <v>0.52063693225093732</v>
      </c>
      <c r="BK113" s="118">
        <f>+Q113/$AY113</f>
        <v>0.37966667855651631</v>
      </c>
      <c r="BL113" s="118">
        <f>+AM113/AY113</f>
        <v>6.065921522795989E-2</v>
      </c>
      <c r="BM113" s="118">
        <f>+AR113/AY113</f>
        <v>3.9037173964586433E-2</v>
      </c>
      <c r="BN113" s="131"/>
      <c r="BO113" s="118">
        <f>+H113/$BF113</f>
        <v>0.79994842702423929</v>
      </c>
      <c r="BP113" s="118">
        <f>+T113/$BF113</f>
        <v>0.68937596699329551</v>
      </c>
      <c r="BQ113" s="118">
        <f>+AO113/$BF113</f>
        <v>0.13922984356197352</v>
      </c>
      <c r="BR113" s="118">
        <f>+AT113/$BF113</f>
        <v>-5.7366340037820186E-2</v>
      </c>
      <c r="BS113" s="131"/>
      <c r="BT113" s="131"/>
      <c r="BU113" s="131"/>
      <c r="BV113" s="131"/>
      <c r="BW113" s="131"/>
      <c r="BX113" s="131"/>
      <c r="BY113" s="131"/>
    </row>
    <row r="114" spans="1:77" hidden="1" outlineLevel="2">
      <c r="A114" s="131"/>
      <c r="B114" s="131" t="str">
        <f>$B$16</f>
        <v>3Q</v>
      </c>
      <c r="C114" s="131" t="str">
        <f>$C$16</f>
        <v>Oct</v>
      </c>
      <c r="D114" s="131"/>
      <c r="E114" s="926">
        <v>227.029</v>
      </c>
      <c r="F114" s="661">
        <f>+(E114/E107-1)*100</f>
        <v>11.922955571769434</v>
      </c>
      <c r="G114" s="2060">
        <v>4</v>
      </c>
      <c r="H114" s="670">
        <v>27.013999999999999</v>
      </c>
      <c r="I114" s="671">
        <f>+H114/E114*100</f>
        <v>11.898920402239362</v>
      </c>
      <c r="J114" s="701"/>
      <c r="K114" s="701"/>
      <c r="L114" s="701"/>
      <c r="M114" s="701"/>
      <c r="N114" s="953">
        <v>1</v>
      </c>
      <c r="O114" s="953">
        <v>5</v>
      </c>
      <c r="P114" s="664"/>
      <c r="Q114" s="669">
        <v>190.851</v>
      </c>
      <c r="R114" s="661">
        <f>+(Q114/Q107-1)*100</f>
        <v>9.9796580477488526</v>
      </c>
      <c r="S114" s="2060">
        <v>-2</v>
      </c>
      <c r="T114" s="670">
        <v>39.472999999999999</v>
      </c>
      <c r="U114" s="671">
        <f>+T114/Q114*100</f>
        <v>20.682626761190669</v>
      </c>
      <c r="V114" s="664"/>
      <c r="W114" s="1104"/>
      <c r="X114" s="798">
        <v>-5</v>
      </c>
      <c r="Y114" s="2060"/>
      <c r="Z114" s="670"/>
      <c r="AA114" s="671"/>
      <c r="AB114" s="723"/>
      <c r="AC114" s="1104"/>
      <c r="AD114" s="1103">
        <v>6</v>
      </c>
      <c r="AE114" s="723">
        <v>1</v>
      </c>
      <c r="AF114" s="723"/>
      <c r="AG114" s="669"/>
      <c r="AH114" s="661"/>
      <c r="AI114" s="2060"/>
      <c r="AJ114" s="670"/>
      <c r="AK114" s="671"/>
      <c r="AL114" s="664"/>
      <c r="AM114" s="660">
        <v>26.332000000000001</v>
      </c>
      <c r="AN114" s="1780">
        <f>+(AM114/AM107-1)*100</f>
        <v>-33.016204115896308</v>
      </c>
      <c r="AO114" s="670">
        <v>3.544</v>
      </c>
      <c r="AP114" s="671">
        <f>+AO114/AM114*100</f>
        <v>13.458909311863893</v>
      </c>
      <c r="AQ114" s="664"/>
      <c r="AR114" s="660">
        <v>16.940000000000001</v>
      </c>
      <c r="AS114" s="661">
        <f>+(AR114/AR107-1)*100</f>
        <v>17.353654312435051</v>
      </c>
      <c r="AT114" s="670">
        <v>-5.4489999999999998</v>
      </c>
      <c r="AU114" s="671">
        <f>+AT114/AR114*100</f>
        <v>-32.166469893742615</v>
      </c>
      <c r="AV114" s="664"/>
      <c r="AW114" s="673">
        <f>'qtrP&amp;L'!$BJ$12</f>
        <v>461.15199999999999</v>
      </c>
      <c r="AX114" s="665">
        <f>+(AW114/AW107-1)*100</f>
        <v>7.2139829769624075</v>
      </c>
      <c r="AY114" s="673">
        <f>+E114+Q114+AM114+AR114</f>
        <v>461.15199999999999</v>
      </c>
      <c r="AZ114" s="682" t="str">
        <f>IF(AW114=AY114,"","n")</f>
        <v/>
      </c>
      <c r="BA114" s="665">
        <f>+(AY114/AY107-1)*100</f>
        <v>7.2139829769624075</v>
      </c>
      <c r="BB114" s="666"/>
      <c r="BC114" s="673">
        <f>'qtrP&amp;L'!$BJ$50</f>
        <v>33.364000000000004</v>
      </c>
      <c r="BD114" s="672">
        <f>+BC114/AW114*100</f>
        <v>7.234924710290751</v>
      </c>
      <c r="BE114" s="691">
        <v>31.218</v>
      </c>
      <c r="BF114" s="673">
        <f>+H114+T114+AO114+AT114-BE114</f>
        <v>33.36399999999999</v>
      </c>
      <c r="BG114" s="963" t="str">
        <f t="shared" si="0"/>
        <v/>
      </c>
      <c r="BH114" s="672">
        <f>+BF114/AY114*100</f>
        <v>7.2349247102907484</v>
      </c>
      <c r="BI114" s="131"/>
      <c r="BJ114" s="118">
        <f>+E114/$AY114</f>
        <v>0.49230839289431683</v>
      </c>
      <c r="BK114" s="118">
        <f>+Q114/$AY114</f>
        <v>0.4138570362917216</v>
      </c>
      <c r="BL114" s="118">
        <f>+AM114/AY114</f>
        <v>5.7100478800915969E-2</v>
      </c>
      <c r="BM114" s="118">
        <f>+AR114/AY114</f>
        <v>3.6734092013045595E-2</v>
      </c>
      <c r="BN114" s="131"/>
      <c r="BO114" s="118">
        <f>+H114/$BF114</f>
        <v>0.80967509890900391</v>
      </c>
      <c r="BP114" s="118">
        <f>+T114/$BF114</f>
        <v>1.1831015465771493</v>
      </c>
      <c r="BQ114" s="118">
        <f>+AO114/$BF114</f>
        <v>0.10622227550653403</v>
      </c>
      <c r="BR114" s="118">
        <f>+AT114/$BF114</f>
        <v>-0.16331974583383291</v>
      </c>
      <c r="BS114" s="131"/>
      <c r="BT114" s="131"/>
      <c r="BU114" s="131"/>
      <c r="BV114" s="131"/>
      <c r="BW114" s="131"/>
      <c r="BX114" s="131"/>
      <c r="BY114" s="131"/>
    </row>
    <row r="115" spans="1:77" hidden="1" outlineLevel="2">
      <c r="A115" s="131"/>
      <c r="B115" s="131" t="str">
        <f>$B$17</f>
        <v>4Q</v>
      </c>
      <c r="C115" s="131" t="str">
        <f>$C$17</f>
        <v>Jan</v>
      </c>
      <c r="D115" s="131"/>
      <c r="E115" s="927">
        <v>396.96</v>
      </c>
      <c r="F115" s="661">
        <f>+(E115/E108-1)*100</f>
        <v>10.445219771964664</v>
      </c>
      <c r="G115" s="2060">
        <v>7</v>
      </c>
      <c r="H115" s="715">
        <f>H116-SUM(H112:H114)</f>
        <v>112.58999999999999</v>
      </c>
      <c r="I115" s="671">
        <f>+H115/E115*100</f>
        <v>28.363059250302296</v>
      </c>
      <c r="J115" s="705"/>
      <c r="K115" s="705"/>
      <c r="L115" s="705"/>
      <c r="M115" s="705"/>
      <c r="N115" s="953">
        <v>12</v>
      </c>
      <c r="O115" s="953">
        <v>6</v>
      </c>
      <c r="P115" s="664"/>
      <c r="Q115" s="675">
        <v>300.83</v>
      </c>
      <c r="R115" s="661">
        <f>+(Q115/Q108-1)*100</f>
        <v>9.9790154057630929</v>
      </c>
      <c r="S115" s="2060">
        <v>-3</v>
      </c>
      <c r="T115" s="715">
        <f>T116-SUM(T112:T114)</f>
        <v>73.394000000000005</v>
      </c>
      <c r="U115" s="671">
        <f>+T115/Q115*100</f>
        <v>24.397167835654692</v>
      </c>
      <c r="V115" s="664"/>
      <c r="W115" s="1104"/>
      <c r="X115" s="798">
        <v>-7</v>
      </c>
      <c r="Y115" s="2060"/>
      <c r="Z115" s="715"/>
      <c r="AA115" s="671"/>
      <c r="AB115" s="723"/>
      <c r="AC115" s="1104"/>
      <c r="AD115" s="1103">
        <v>4</v>
      </c>
      <c r="AE115" s="723">
        <v>2</v>
      </c>
      <c r="AF115" s="723"/>
      <c r="AG115" s="669"/>
      <c r="AH115" s="661"/>
      <c r="AI115" s="2060"/>
      <c r="AJ115" s="1097"/>
      <c r="AK115" s="671"/>
      <c r="AL115" s="664"/>
      <c r="AM115" s="797">
        <v>81.427000000000007</v>
      </c>
      <c r="AN115" s="1780">
        <f>+(AM115/AM108-1)*100</f>
        <v>5.9419724173822575</v>
      </c>
      <c r="AO115" s="715">
        <f>AO116-SUM(AO112:AO114)</f>
        <v>31.199000000000002</v>
      </c>
      <c r="AP115" s="671">
        <f>+AO115/AM115*100</f>
        <v>38.315300821594803</v>
      </c>
      <c r="AQ115" s="664"/>
      <c r="AR115" s="797">
        <v>30.905000000000001</v>
      </c>
      <c r="AS115" s="661">
        <f>+(AR115/AR108-1)*100</f>
        <v>41.922299779573848</v>
      </c>
      <c r="AT115" s="715">
        <f>AT116-SUM(AT112:AT114)</f>
        <v>-13.167999999999999</v>
      </c>
      <c r="AU115" s="671">
        <f>+AT115/AR115*100</f>
        <v>-42.607992234266298</v>
      </c>
      <c r="AV115" s="664"/>
      <c r="AW115" s="677">
        <f>'qtrP&amp;L'!$BJ$13</f>
        <v>810.12199999999996</v>
      </c>
      <c r="AX115" s="665">
        <f>+(AW115/AW108-1)*100</f>
        <v>10.734730476716404</v>
      </c>
      <c r="AY115" s="677">
        <f>+E115+Q115+AM115+AR115</f>
        <v>810.12199999999996</v>
      </c>
      <c r="AZ115" s="682" t="str">
        <f>IF(AW115=AY115,"","n")</f>
        <v/>
      </c>
      <c r="BA115" s="665">
        <f>+(AY115/AY108-1)*100</f>
        <v>10.734730476716404</v>
      </c>
      <c r="BB115" s="666"/>
      <c r="BC115" s="677">
        <f>'qtrP&amp;L'!$BJ$51</f>
        <v>140.30000000000001</v>
      </c>
      <c r="BD115" s="685">
        <f>+BC115/AW115*100</f>
        <v>17.318379207082394</v>
      </c>
      <c r="BE115" s="677">
        <f>+BE116-SUM(BE112:BE114)</f>
        <v>63.714999999999989</v>
      </c>
      <c r="BF115" s="677">
        <f>+H115+T115+AO115+AT115-BE115</f>
        <v>140.30000000000001</v>
      </c>
      <c r="BG115" s="963" t="str">
        <f>IF(BC115=BF115,"","n")</f>
        <v/>
      </c>
      <c r="BH115" s="672">
        <f>+BF115/AY115*100</f>
        <v>17.318379207082394</v>
      </c>
      <c r="BI115" s="131"/>
      <c r="BJ115" s="118">
        <f>+E115/$AY115</f>
        <v>0.49000027156403603</v>
      </c>
      <c r="BK115" s="118">
        <f>+Q115/$AY115</f>
        <v>0.3713391316369633</v>
      </c>
      <c r="BL115" s="118">
        <f>+AM115/AY115</f>
        <v>0.10051202164612245</v>
      </c>
      <c r="BM115" s="118">
        <f>+AR115/AY115</f>
        <v>3.8148575152878214E-2</v>
      </c>
      <c r="BN115" s="131"/>
      <c r="BO115" s="118">
        <f>+H115/$BF115</f>
        <v>0.80249465431218803</v>
      </c>
      <c r="BP115" s="118">
        <f>+T115/$BF115</f>
        <v>0.52312188168210971</v>
      </c>
      <c r="BQ115" s="118">
        <f>+AO115/$BF115</f>
        <v>0.22237348538845331</v>
      </c>
      <c r="BR115" s="118">
        <f>+AT115/$BF115</f>
        <v>-9.3856022808267978E-2</v>
      </c>
      <c r="BS115" s="131"/>
      <c r="BT115" s="131"/>
      <c r="BU115" s="131"/>
      <c r="BV115" s="131"/>
      <c r="BW115" s="131"/>
      <c r="BX115" s="131"/>
      <c r="BY115" s="131"/>
    </row>
    <row r="116" spans="1:77" hidden="1" outlineLevel="2">
      <c r="A116" s="131"/>
      <c r="B116" s="131"/>
      <c r="C116" s="131" t="str">
        <f>$C$18</f>
        <v>Year</v>
      </c>
      <c r="D116" s="131"/>
      <c r="E116" s="916">
        <v>1116.845</v>
      </c>
      <c r="F116" s="661">
        <f>+(E116/E109-1)*100</f>
        <v>10.247533646452144</v>
      </c>
      <c r="G116" s="2060">
        <v>9</v>
      </c>
      <c r="H116" s="663">
        <v>227.30199999999999</v>
      </c>
      <c r="I116" s="671">
        <f>+H116/E116*100</f>
        <v>20.352152715909547</v>
      </c>
      <c r="J116" s="701"/>
      <c r="K116" s="667">
        <v>1116.845</v>
      </c>
      <c r="L116" s="701"/>
      <c r="M116" s="701"/>
      <c r="N116" s="953">
        <v>14</v>
      </c>
      <c r="O116" s="953">
        <v>8</v>
      </c>
      <c r="P116" s="664"/>
      <c r="Q116" s="686">
        <f>+SUM(Q112:Q115)</f>
        <v>857.3599999999999</v>
      </c>
      <c r="R116" s="661">
        <f>+(Q116/Q109-1)*100</f>
        <v>9.6968673391574889</v>
      </c>
      <c r="S116" s="2060">
        <v>-3</v>
      </c>
      <c r="T116" s="663">
        <v>202.26</v>
      </c>
      <c r="U116" s="671">
        <f>+T116/Q116*100</f>
        <v>23.591023607352806</v>
      </c>
      <c r="V116" s="664"/>
      <c r="W116" s="1104"/>
      <c r="X116" s="798">
        <v>-8</v>
      </c>
      <c r="Y116" s="2060"/>
      <c r="Z116" s="663"/>
      <c r="AA116" s="671"/>
      <c r="AB116" s="723"/>
      <c r="AC116" s="1104"/>
      <c r="AD116" s="1103">
        <v>11</v>
      </c>
      <c r="AE116" s="723">
        <v>3</v>
      </c>
      <c r="AF116" s="723"/>
      <c r="AG116" s="686"/>
      <c r="AH116" s="661"/>
      <c r="AI116" s="2060"/>
      <c r="AJ116" s="663"/>
      <c r="AK116" s="671"/>
      <c r="AL116" s="664"/>
      <c r="AM116" s="686">
        <v>142.50800000000001</v>
      </c>
      <c r="AN116" s="1780">
        <f>+(AM116/AM109-1)*100</f>
        <v>6.9446320560733854</v>
      </c>
      <c r="AO116" s="663">
        <v>47.566000000000003</v>
      </c>
      <c r="AP116" s="671">
        <f>+AO116/AM116*100</f>
        <v>33.377775282791141</v>
      </c>
      <c r="AQ116" s="664"/>
      <c r="AR116" s="686">
        <f>SUM(AR112:AR115)</f>
        <v>88.117999999999995</v>
      </c>
      <c r="AS116" s="661">
        <f>+(AR116/AR109-1)*100</f>
        <v>22.072452725635515</v>
      </c>
      <c r="AT116" s="663">
        <v>-23.29</v>
      </c>
      <c r="AU116" s="671">
        <f>+AT116/AR116*100</f>
        <v>-26.430468235774757</v>
      </c>
      <c r="AV116" s="664"/>
      <c r="AW116" s="673">
        <f>'qtrP&amp;L'!$BJ$14</f>
        <v>2204.8310000000001</v>
      </c>
      <c r="AX116" s="665">
        <f>+(AW116/AW109-1)*100</f>
        <v>10.239069620933527</v>
      </c>
      <c r="AY116" s="679">
        <f>+E116+Q116+AM116+AR116</f>
        <v>2204.8309999999997</v>
      </c>
      <c r="AZ116" s="1494"/>
      <c r="BA116" s="665">
        <f>+(AY116/AY109-1)*100</f>
        <v>10.239069620933527</v>
      </c>
      <c r="BB116" s="666"/>
      <c r="BC116" s="667">
        <f>'qtrP&amp;L'!$BJ$52</f>
        <v>294.52899999999988</v>
      </c>
      <c r="BD116" s="672">
        <f>+BC116/AW116*100</f>
        <v>13.358348100149167</v>
      </c>
      <c r="BE116" s="691">
        <v>159.309</v>
      </c>
      <c r="BF116" s="667">
        <f>+H116+T116+AO116+AT116-BE116</f>
        <v>294.529</v>
      </c>
      <c r="BG116" s="963" t="str">
        <f t="shared" ref="BG116:BG149" si="1">IF(BC116=BF116,"","n")</f>
        <v/>
      </c>
      <c r="BH116" s="672">
        <f>+BF116/AY116*100</f>
        <v>13.358348100149176</v>
      </c>
      <c r="BI116" s="131"/>
      <c r="BJ116" s="118">
        <f>+E116/$AY116</f>
        <v>0.50654449252573108</v>
      </c>
      <c r="BK116" s="118">
        <f>+Q116/$AY116</f>
        <v>0.388855200239837</v>
      </c>
      <c r="BL116" s="118">
        <f>+AM116/AY116</f>
        <v>6.4634432298892763E-2</v>
      </c>
      <c r="BM116" s="118">
        <f>+AR116/AY116</f>
        <v>3.9965874935539283E-2</v>
      </c>
      <c r="BN116" s="131"/>
      <c r="BO116" s="118">
        <f>+H116/$BF116</f>
        <v>0.77174743403875334</v>
      </c>
      <c r="BP116" s="118">
        <f>+T116/$BF116</f>
        <v>0.6867235484451446</v>
      </c>
      <c r="BQ116" s="118">
        <f>+AO116/$BF116</f>
        <v>0.16149852815851751</v>
      </c>
      <c r="BR116" s="118">
        <f>+AT116/$BF116</f>
        <v>-7.9075405138373467E-2</v>
      </c>
      <c r="BS116" s="131"/>
      <c r="BT116" s="131"/>
      <c r="BU116" s="131"/>
      <c r="BV116" s="131"/>
      <c r="BW116" s="131"/>
      <c r="BX116" s="1496">
        <f>+K116/K109-1</f>
        <v>0.10247533646452145</v>
      </c>
      <c r="BY116" s="1496">
        <f>+(AW116-K116)/(AW109-K109)-1</f>
        <v>0.10230382437480445</v>
      </c>
    </row>
    <row r="117" spans="1:77" hidden="1" outlineLevel="2">
      <c r="A117" s="131"/>
      <c r="B117" s="131"/>
      <c r="C117" s="131"/>
      <c r="D117" s="131"/>
      <c r="E117" s="656"/>
      <c r="F117" s="233"/>
      <c r="G117" s="2058"/>
      <c r="H117" s="227"/>
      <c r="I117" s="657"/>
      <c r="J117" s="709"/>
      <c r="K117" s="709"/>
      <c r="L117" s="709"/>
      <c r="M117" s="709"/>
      <c r="N117" s="233"/>
      <c r="O117" s="953"/>
      <c r="P117" s="643"/>
      <c r="Q117" s="656"/>
      <c r="R117" s="233"/>
      <c r="S117" s="2058"/>
      <c r="T117" s="227"/>
      <c r="U117" s="657"/>
      <c r="V117" s="643"/>
      <c r="W117" s="1105"/>
      <c r="X117" s="893"/>
      <c r="Y117" s="2058"/>
      <c r="Z117" s="227"/>
      <c r="AA117" s="657"/>
      <c r="AB117" s="643"/>
      <c r="AC117" s="1105"/>
      <c r="AD117" s="1108"/>
      <c r="AE117" s="643"/>
      <c r="AF117" s="643"/>
      <c r="AG117" s="656"/>
      <c r="AH117" s="233"/>
      <c r="AI117" s="2058"/>
      <c r="AJ117" s="227"/>
      <c r="AK117" s="657"/>
      <c r="AL117" s="643"/>
      <c r="AM117" s="656"/>
      <c r="AN117" s="234"/>
      <c r="AO117" s="227"/>
      <c r="AP117" s="657"/>
      <c r="AQ117" s="643"/>
      <c r="AR117" s="656"/>
      <c r="AS117" s="233"/>
      <c r="AT117" s="227"/>
      <c r="AU117" s="657"/>
      <c r="AV117" s="643"/>
      <c r="AW117" s="658"/>
      <c r="AX117" s="658"/>
      <c r="AY117" s="658"/>
      <c r="AZ117" s="659"/>
      <c r="BA117" s="132"/>
      <c r="BB117" s="132"/>
      <c r="BC117" s="658"/>
      <c r="BD117" s="658"/>
      <c r="BE117" s="658"/>
      <c r="BF117" s="658"/>
      <c r="BG117" s="963" t="str">
        <f t="shared" si="1"/>
        <v/>
      </c>
      <c r="BH117" s="131"/>
      <c r="BI117" s="131"/>
      <c r="BJ117" s="131"/>
      <c r="BK117" s="131"/>
      <c r="BL117" s="131"/>
      <c r="BM117" s="131"/>
      <c r="BN117" s="131"/>
      <c r="BO117" s="131"/>
      <c r="BP117" s="131"/>
      <c r="BQ117" s="131"/>
      <c r="BR117" s="131"/>
      <c r="BS117" s="131"/>
      <c r="BT117" s="131"/>
      <c r="BU117" s="131"/>
      <c r="BV117" s="131"/>
      <c r="BW117" s="131"/>
      <c r="BX117" s="131"/>
      <c r="BY117" s="131"/>
    </row>
    <row r="118" spans="1:77" hidden="1" outlineLevel="2">
      <c r="A118" s="131"/>
      <c r="B118" s="2506">
        <f>+B111+1</f>
        <v>2005</v>
      </c>
      <c r="C118" s="2506"/>
      <c r="D118" s="131"/>
      <c r="E118" s="656"/>
      <c r="F118" s="233"/>
      <c r="G118" s="2058"/>
      <c r="H118" s="227"/>
      <c r="I118" s="657"/>
      <c r="J118" s="709"/>
      <c r="K118" s="709"/>
      <c r="L118" s="709"/>
      <c r="M118" s="709"/>
      <c r="N118" s="233"/>
      <c r="O118" s="953"/>
      <c r="P118" s="643"/>
      <c r="Q118" s="656"/>
      <c r="R118" s="233"/>
      <c r="S118" s="2058"/>
      <c r="T118" s="227"/>
      <c r="U118" s="657"/>
      <c r="V118" s="643"/>
      <c r="W118" s="1105"/>
      <c r="X118" s="893"/>
      <c r="Y118" s="2058"/>
      <c r="Z118" s="227"/>
      <c r="AA118" s="657"/>
      <c r="AB118" s="643"/>
      <c r="AC118" s="1105"/>
      <c r="AD118" s="1108"/>
      <c r="AE118" s="643"/>
      <c r="AF118" s="643"/>
      <c r="AG118" s="656"/>
      <c r="AH118" s="233"/>
      <c r="AI118" s="2058"/>
      <c r="AJ118" s="227"/>
      <c r="AK118" s="657"/>
      <c r="AL118" s="643"/>
      <c r="AM118" s="656"/>
      <c r="AN118" s="234"/>
      <c r="AO118" s="227"/>
      <c r="AP118" s="657"/>
      <c r="AQ118" s="643"/>
      <c r="AR118" s="656"/>
      <c r="AS118" s="233"/>
      <c r="AT118" s="227"/>
      <c r="AU118" s="657"/>
      <c r="AV118" s="643"/>
      <c r="AW118" s="658"/>
      <c r="AX118" s="658"/>
      <c r="AY118" s="658"/>
      <c r="AZ118" s="659"/>
      <c r="BA118" s="132"/>
      <c r="BB118" s="132"/>
      <c r="BC118" s="658"/>
      <c r="BD118" s="658"/>
      <c r="BE118" s="658"/>
      <c r="BF118" s="658"/>
      <c r="BG118" s="963" t="str">
        <f t="shared" si="1"/>
        <v/>
      </c>
      <c r="BH118" s="131"/>
      <c r="BI118" s="131"/>
      <c r="BJ118" s="131"/>
      <c r="BK118" s="131"/>
      <c r="BL118" s="131"/>
      <c r="BM118" s="131"/>
      <c r="BN118" s="131"/>
      <c r="BO118" s="131"/>
      <c r="BP118" s="131"/>
      <c r="BQ118" s="131"/>
      <c r="BR118" s="131"/>
      <c r="BS118" s="131"/>
      <c r="BT118" s="131"/>
      <c r="BU118" s="131"/>
      <c r="BV118" s="131"/>
      <c r="BW118" s="131"/>
      <c r="BX118" s="131"/>
      <c r="BY118" s="131"/>
    </row>
    <row r="119" spans="1:77" hidden="1" outlineLevel="2">
      <c r="A119" s="131"/>
      <c r="B119" s="131" t="str">
        <f>$B$14</f>
        <v>1Q</v>
      </c>
      <c r="C119" s="131" t="str">
        <f>$C$14</f>
        <v>Apr</v>
      </c>
      <c r="D119" s="131"/>
      <c r="E119" s="660">
        <v>255.852</v>
      </c>
      <c r="F119" s="661">
        <f>+(E119/E112-1)*100</f>
        <v>19.746141101365701</v>
      </c>
      <c r="G119" s="2060">
        <v>11</v>
      </c>
      <c r="H119" s="663">
        <v>46.261000000000003</v>
      </c>
      <c r="I119" s="671">
        <f>+H119/E119*100</f>
        <v>18.08115629348217</v>
      </c>
      <c r="J119" s="705"/>
      <c r="K119" s="705"/>
      <c r="L119" s="705"/>
      <c r="M119" s="705"/>
      <c r="N119" s="953">
        <v>11</v>
      </c>
      <c r="O119" s="953">
        <v>11</v>
      </c>
      <c r="P119" s="664"/>
      <c r="Q119" s="660">
        <v>190.316</v>
      </c>
      <c r="R119" s="661">
        <f>+(Q119/Q112-1)*100</f>
        <v>3.0233149823256644</v>
      </c>
      <c r="S119" s="2060">
        <v>-6</v>
      </c>
      <c r="T119" s="663">
        <v>44.072000000000003</v>
      </c>
      <c r="U119" s="671">
        <f>+T119/Q119*100</f>
        <v>23.157275268500811</v>
      </c>
      <c r="V119" s="664"/>
      <c r="W119" s="1104"/>
      <c r="X119" s="798">
        <v>-10</v>
      </c>
      <c r="Y119" s="2060"/>
      <c r="Z119" s="663"/>
      <c r="AA119" s="671"/>
      <c r="AB119" s="723"/>
      <c r="AC119" s="1104"/>
      <c r="AD119" s="1103">
        <v>5</v>
      </c>
      <c r="AE119" s="723">
        <v>-3</v>
      </c>
      <c r="AF119" s="723"/>
      <c r="AG119" s="660"/>
      <c r="AH119" s="661"/>
      <c r="AI119" s="2060"/>
      <c r="AJ119" s="663"/>
      <c r="AK119" s="671"/>
      <c r="AL119" s="664"/>
      <c r="AM119" s="660">
        <v>28.936</v>
      </c>
      <c r="AN119" s="1780">
        <f>+(AM119/AM112-1)*100</f>
        <v>-21.580530637686657</v>
      </c>
      <c r="AO119" s="663">
        <v>8.6760000000000002</v>
      </c>
      <c r="AP119" s="671">
        <f>+AO119/AM119*100</f>
        <v>29.983411667127452</v>
      </c>
      <c r="AQ119" s="664"/>
      <c r="AR119" s="660">
        <v>34.796999999999997</v>
      </c>
      <c r="AS119" s="661">
        <f>+(AR119/AR112-1)*100</f>
        <v>60.591655898098566</v>
      </c>
      <c r="AT119" s="663">
        <v>-1.5149999999999999</v>
      </c>
      <c r="AU119" s="671">
        <f>+AT119/AR119*100</f>
        <v>-4.3538236054832318</v>
      </c>
      <c r="AV119" s="664"/>
      <c r="AW119" s="673">
        <f>'qtrP&amp;L'!$BN$10</f>
        <v>509.90100000000001</v>
      </c>
      <c r="AX119" s="665">
        <f>+(AW119/AW112-1)*100</f>
        <v>11.585477941176482</v>
      </c>
      <c r="AY119" s="679">
        <f>+E119+Q119+AM119+AR119</f>
        <v>509.90099999999995</v>
      </c>
      <c r="AZ119" s="682" t="str">
        <f>IF(AW119=AY119,"","n")</f>
        <v/>
      </c>
      <c r="BA119" s="665">
        <f>+(AY119/AY112-1)*100</f>
        <v>11.585477941176459</v>
      </c>
      <c r="BB119" s="666"/>
      <c r="BC119" s="667">
        <f>'qtrP&amp;L'!$BN$48</f>
        <v>66.311000000000035</v>
      </c>
      <c r="BD119" s="672">
        <f>+BC119/AW119*100</f>
        <v>13.00468130087998</v>
      </c>
      <c r="BE119" s="695">
        <v>31.183</v>
      </c>
      <c r="BF119" s="667">
        <f>+H119+T119+AO119+AT119-BE119</f>
        <v>66.311000000000007</v>
      </c>
      <c r="BG119" s="963" t="str">
        <f t="shared" si="1"/>
        <v/>
      </c>
      <c r="BH119" s="672">
        <f>+BF119/AY119*100</f>
        <v>13.004681300879978</v>
      </c>
      <c r="BI119" s="131"/>
      <c r="BJ119" s="118">
        <f>+E119/$AY119</f>
        <v>0.50176799025693231</v>
      </c>
      <c r="BK119" s="118">
        <f>+Q119/$AY119</f>
        <v>0.37324108013124119</v>
      </c>
      <c r="BL119" s="118">
        <f>+AM119/AY119</f>
        <v>5.674827074275203E-2</v>
      </c>
      <c r="BM119" s="118">
        <f>+AR119/AY119</f>
        <v>6.8242658869074588E-2</v>
      </c>
      <c r="BN119" s="131"/>
      <c r="BO119" s="118">
        <f>+H119/$BF119</f>
        <v>0.69763689282321184</v>
      </c>
      <c r="BP119" s="118">
        <f>+T119/$BF119</f>
        <v>0.66462577852844928</v>
      </c>
      <c r="BQ119" s="118">
        <f>+AO119/$BF119</f>
        <v>0.13083802084118773</v>
      </c>
      <c r="BR119" s="118">
        <f>+AT119/$BF119</f>
        <v>-2.2846888148271023E-2</v>
      </c>
      <c r="BS119" s="131"/>
      <c r="BT119" s="131"/>
      <c r="BU119" s="131"/>
      <c r="BV119" s="131"/>
      <c r="BW119" s="131"/>
      <c r="BX119" s="131"/>
      <c r="BY119" s="131"/>
    </row>
    <row r="120" spans="1:77" hidden="1" outlineLevel="2">
      <c r="A120" s="131"/>
      <c r="B120" s="131" t="str">
        <f>$B$15</f>
        <v>2Q</v>
      </c>
      <c r="C120" s="131" t="str">
        <f>$C$15</f>
        <v>Jul</v>
      </c>
      <c r="D120" s="131"/>
      <c r="E120" s="669">
        <v>267.70999999999998</v>
      </c>
      <c r="F120" s="661">
        <f>+(E120/E113-1)*100</f>
        <v>7.8892856279268342</v>
      </c>
      <c r="G120" s="2060">
        <v>6</v>
      </c>
      <c r="H120" s="670">
        <v>54.122</v>
      </c>
      <c r="I120" s="671">
        <f>+H120/E120*100</f>
        <v>20.216652347689664</v>
      </c>
      <c r="J120" s="705"/>
      <c r="K120" s="705"/>
      <c r="L120" s="705"/>
      <c r="M120" s="705"/>
      <c r="N120" s="953">
        <v>3</v>
      </c>
      <c r="O120" s="953">
        <v>6</v>
      </c>
      <c r="P120" s="664"/>
      <c r="Q120" s="669">
        <v>202.10400000000001</v>
      </c>
      <c r="R120" s="661">
        <f>+(Q120/Q113-1)*100</f>
        <v>11.691756747794946</v>
      </c>
      <c r="S120" s="2060">
        <v>3</v>
      </c>
      <c r="T120" s="670">
        <v>43.381999999999998</v>
      </c>
      <c r="U120" s="671">
        <f>+T120/Q120*100</f>
        <v>21.465186240747336</v>
      </c>
      <c r="V120" s="664"/>
      <c r="W120" s="1104"/>
      <c r="X120" s="798">
        <v>1</v>
      </c>
      <c r="Y120" s="2060"/>
      <c r="Z120" s="670"/>
      <c r="AA120" s="671"/>
      <c r="AB120" s="723"/>
      <c r="AC120" s="1104"/>
      <c r="AD120" s="1103">
        <v>6</v>
      </c>
      <c r="AE120" s="723">
        <v>5</v>
      </c>
      <c r="AF120" s="723"/>
      <c r="AG120" s="669"/>
      <c r="AH120" s="661"/>
      <c r="AI120" s="2060"/>
      <c r="AJ120" s="670"/>
      <c r="AK120" s="671"/>
      <c r="AL120" s="664"/>
      <c r="AM120" s="669">
        <v>30.353999999999999</v>
      </c>
      <c r="AN120" s="1780">
        <f>+(AM120/AM113-1)*100</f>
        <v>4.9948114839156066</v>
      </c>
      <c r="AO120" s="670">
        <v>9.6240000000000006</v>
      </c>
      <c r="AP120" s="671">
        <f>+AO120/AM120*100</f>
        <v>31.705870725439812</v>
      </c>
      <c r="AQ120" s="664"/>
      <c r="AR120" s="669">
        <v>26.533000000000001</v>
      </c>
      <c r="AS120" s="661">
        <f>+(AR120/AR113-1)*100</f>
        <v>42.612201021230845</v>
      </c>
      <c r="AT120" s="670">
        <v>-3.1269999999999998</v>
      </c>
      <c r="AU120" s="671">
        <f>+AT120/AR120*100</f>
        <v>-11.785323936230354</v>
      </c>
      <c r="AV120" s="664"/>
      <c r="AW120" s="673">
        <f>'qtrP&amp;L'!$BN$11</f>
        <v>526.70100000000002</v>
      </c>
      <c r="AX120" s="665">
        <f>+(AW120/AW113-1)*100</f>
        <v>10.512865167006936</v>
      </c>
      <c r="AY120" s="673">
        <f>+E120+Q120+AM120+AR120</f>
        <v>526.70099999999991</v>
      </c>
      <c r="AZ120" s="682" t="str">
        <f>IF(AW120=AY120,"","n")</f>
        <v/>
      </c>
      <c r="BA120" s="665">
        <f>+(AY120/AY113-1)*100</f>
        <v>10.51286516700689</v>
      </c>
      <c r="BB120" s="666"/>
      <c r="BC120" s="795">
        <f>ROUND('qtrP&amp;L'!$BN$49,4)</f>
        <v>74.067999999999998</v>
      </c>
      <c r="BD120" s="672">
        <f>+BC120/AW120*100</f>
        <v>14.062627562886723</v>
      </c>
      <c r="BE120" s="691">
        <v>29.933</v>
      </c>
      <c r="BF120" s="795">
        <f>+H120+T120+AO120+AT120-BE120</f>
        <v>74.067999999999984</v>
      </c>
      <c r="BG120" s="963" t="str">
        <f t="shared" si="1"/>
        <v/>
      </c>
      <c r="BH120" s="672">
        <f>+BF120/AY120*100</f>
        <v>14.062627562886723</v>
      </c>
      <c r="BI120" s="131"/>
      <c r="BJ120" s="118">
        <f>+E120/$AY120</f>
        <v>0.50827699206950439</v>
      </c>
      <c r="BK120" s="118">
        <f>+Q120/$AY120</f>
        <v>0.38371675770503577</v>
      </c>
      <c r="BL120" s="118">
        <f>+AM120/AY120</f>
        <v>5.7630420295385815E-2</v>
      </c>
      <c r="BM120" s="118">
        <f>+AR120/AY120</f>
        <v>5.0375829930074188E-2</v>
      </c>
      <c r="BN120" s="131"/>
      <c r="BO120" s="118">
        <f>+H120/$BF120</f>
        <v>0.73070691796727349</v>
      </c>
      <c r="BP120" s="118">
        <f>+T120/$BF120</f>
        <v>0.58570502781228073</v>
      </c>
      <c r="BQ120" s="118">
        <f>+AO120/$BF120</f>
        <v>0.12993465464168066</v>
      </c>
      <c r="BR120" s="118">
        <f>+AT120/$BF120</f>
        <v>-4.2217961872873584E-2</v>
      </c>
      <c r="BS120" s="131"/>
      <c r="BT120" s="131"/>
      <c r="BU120" s="131"/>
      <c r="BV120" s="131"/>
      <c r="BW120" s="131"/>
      <c r="BX120" s="131"/>
      <c r="BY120" s="131"/>
    </row>
    <row r="121" spans="1:77" hidden="1" outlineLevel="2">
      <c r="A121" s="131"/>
      <c r="B121" s="131" t="str">
        <f>$B$16</f>
        <v>3Q</v>
      </c>
      <c r="C121" s="131" t="str">
        <f>$C$16</f>
        <v>Oct</v>
      </c>
      <c r="D121" s="131"/>
      <c r="E121" s="669">
        <v>247.78200000000001</v>
      </c>
      <c r="F121" s="661">
        <f>+(E121/E114-1)*100</f>
        <v>9.1411229402411198</v>
      </c>
      <c r="G121" s="2060">
        <v>7</v>
      </c>
      <c r="H121" s="670">
        <v>37.911000000000001</v>
      </c>
      <c r="I121" s="671">
        <f>+H121/E121*100</f>
        <v>15.300142867520645</v>
      </c>
      <c r="J121" s="705"/>
      <c r="K121" s="705"/>
      <c r="L121" s="705"/>
      <c r="M121" s="705"/>
      <c r="N121" s="953">
        <v>12</v>
      </c>
      <c r="O121" s="798">
        <v>6</v>
      </c>
      <c r="P121" s="664"/>
      <c r="Q121" s="669">
        <v>204.28700000000001</v>
      </c>
      <c r="R121" s="661">
        <f>+(Q121/Q114-1)*100</f>
        <v>7.0400469476188166</v>
      </c>
      <c r="S121" s="2060">
        <v>1</v>
      </c>
      <c r="T121" s="670">
        <v>41.021000000000001</v>
      </c>
      <c r="U121" s="671">
        <f>+T121/Q121*100</f>
        <v>20.080083412062439</v>
      </c>
      <c r="V121" s="664"/>
      <c r="W121" s="1104"/>
      <c r="X121" s="798" t="s">
        <v>63</v>
      </c>
      <c r="Y121" s="2060"/>
      <c r="Z121" s="670"/>
      <c r="AA121" s="671"/>
      <c r="AB121" s="723"/>
      <c r="AC121" s="1104"/>
      <c r="AD121" s="1103">
        <v>4</v>
      </c>
      <c r="AE121" s="723">
        <v>-1</v>
      </c>
      <c r="AF121" s="723"/>
      <c r="AG121" s="669"/>
      <c r="AH121" s="661"/>
      <c r="AI121" s="2060"/>
      <c r="AJ121" s="670"/>
      <c r="AK121" s="671"/>
      <c r="AL121" s="664"/>
      <c r="AM121" s="669">
        <v>27.308</v>
      </c>
      <c r="AN121" s="1780">
        <f>+(AM121/AM114-1)*100</f>
        <v>3.7065167856600301</v>
      </c>
      <c r="AO121" s="670">
        <v>4.8789999999999996</v>
      </c>
      <c r="AP121" s="671">
        <f>+AO121/AM121*100</f>
        <v>17.866559250036616</v>
      </c>
      <c r="AQ121" s="664"/>
      <c r="AR121" s="669">
        <v>20.728000000000002</v>
      </c>
      <c r="AS121" s="661">
        <f>+(AR121/AR114-1)*100</f>
        <v>22.361275088547817</v>
      </c>
      <c r="AT121" s="670">
        <v>-10.584</v>
      </c>
      <c r="AU121" s="671">
        <f>+AT121/AR121*100</f>
        <v>-51.061366267850246</v>
      </c>
      <c r="AV121" s="664"/>
      <c r="AW121" s="673">
        <f>'qtrP&amp;L'!$BN$12</f>
        <v>500.10500000000002</v>
      </c>
      <c r="AX121" s="665">
        <f>+(AW121/AW114-1)*100</f>
        <v>8.4468895288321466</v>
      </c>
      <c r="AY121" s="673">
        <f>+E121+Q121+AM121+AR121</f>
        <v>500.10500000000002</v>
      </c>
      <c r="AZ121" s="682" t="str">
        <f>IF(AW121=AY121,"","n")</f>
        <v/>
      </c>
      <c r="BA121" s="665">
        <f>+(AY121/AY114-1)*100</f>
        <v>8.4468895288321466</v>
      </c>
      <c r="BB121" s="666"/>
      <c r="BC121" s="795">
        <f>'qtrP&amp;L'!$BN$50</f>
        <v>39.795000000000016</v>
      </c>
      <c r="BD121" s="672">
        <f>+BC121/AW121*100</f>
        <v>7.9573289609182103</v>
      </c>
      <c r="BE121" s="691">
        <v>33.432000000000002</v>
      </c>
      <c r="BF121" s="795">
        <f>+H121+T121+AO121+AT121-BE121</f>
        <v>39.795000000000002</v>
      </c>
      <c r="BG121" s="963" t="str">
        <f t="shared" si="1"/>
        <v/>
      </c>
      <c r="BH121" s="672">
        <f>+BF121/AY121*100</f>
        <v>7.9573289609182067</v>
      </c>
      <c r="BI121" s="131"/>
      <c r="BJ121" s="118">
        <f>+E121/$AY121</f>
        <v>0.49545995340978394</v>
      </c>
      <c r="BK121" s="118">
        <f>+Q121/$AY121</f>
        <v>0.4084882174743304</v>
      </c>
      <c r="BL121" s="118">
        <f>+AM121/AY121</f>
        <v>5.4604533048059907E-2</v>
      </c>
      <c r="BM121" s="118">
        <f>+AR121/AY121</f>
        <v>4.144729606782576E-2</v>
      </c>
      <c r="BN121" s="131"/>
      <c r="BO121" s="118">
        <f>+H121/$BF121</f>
        <v>0.95265736901620801</v>
      </c>
      <c r="BP121" s="118">
        <f>+T121/$BF121</f>
        <v>1.0308078904384972</v>
      </c>
      <c r="BQ121" s="118">
        <f>+AO121/$BF121</f>
        <v>0.12260334212840808</v>
      </c>
      <c r="BR121" s="118">
        <f>+AT121/$BF121</f>
        <v>-0.26596306068601583</v>
      </c>
      <c r="BS121" s="131"/>
      <c r="BT121" s="131"/>
      <c r="BU121" s="131"/>
      <c r="BV121" s="131"/>
      <c r="BW121" s="131"/>
      <c r="BX121" s="131"/>
      <c r="BY121" s="131"/>
    </row>
    <row r="122" spans="1:77" hidden="1" outlineLevel="2">
      <c r="A122" s="131"/>
      <c r="B122" s="131" t="str">
        <f>$B$17</f>
        <v>4Q</v>
      </c>
      <c r="C122" s="131" t="str">
        <f>$C$17</f>
        <v>Jan</v>
      </c>
      <c r="D122" s="131"/>
      <c r="E122" s="675">
        <v>449.339</v>
      </c>
      <c r="F122" s="661">
        <f>+(E122/E115-1)*100</f>
        <v>13.195032245062489</v>
      </c>
      <c r="G122" s="2063">
        <v>5</v>
      </c>
      <c r="H122" s="715">
        <f>H123-SUM(H119:H121)</f>
        <v>130.47499999999999</v>
      </c>
      <c r="I122" s="671">
        <f>+H122/E122*100</f>
        <v>29.037096713172012</v>
      </c>
      <c r="J122" s="705"/>
      <c r="K122" s="705"/>
      <c r="L122" s="705"/>
      <c r="M122" s="705"/>
      <c r="N122" s="953">
        <v>7</v>
      </c>
      <c r="O122" s="798">
        <v>-2</v>
      </c>
      <c r="P122" s="664"/>
      <c r="Q122" s="675">
        <v>303.98200000000003</v>
      </c>
      <c r="R122" s="661">
        <f>+(Q122/Q115-1)*100</f>
        <v>1.0477678423029824</v>
      </c>
      <c r="S122" s="2063">
        <v>7</v>
      </c>
      <c r="T122" s="715">
        <f>T123-SUM(T119:T121)</f>
        <v>84.020999999999987</v>
      </c>
      <c r="U122" s="671">
        <f>+T122/Q122*100</f>
        <v>27.640123428360887</v>
      </c>
      <c r="V122" s="664"/>
      <c r="W122" s="1104"/>
      <c r="X122" s="798">
        <v>7</v>
      </c>
      <c r="Y122" s="2063"/>
      <c r="Z122" s="715"/>
      <c r="AA122" s="671"/>
      <c r="AB122" s="723"/>
      <c r="AC122" s="1104"/>
      <c r="AD122" s="1103">
        <v>13</v>
      </c>
      <c r="AE122" s="723">
        <v>1</v>
      </c>
      <c r="AF122" s="723"/>
      <c r="AG122" s="669"/>
      <c r="AH122" s="661"/>
      <c r="AI122" s="2063"/>
      <c r="AJ122" s="1097"/>
      <c r="AK122" s="671"/>
      <c r="AL122" s="664"/>
      <c r="AM122" s="675">
        <v>70.885000000000005</v>
      </c>
      <c r="AN122" s="1780">
        <f>+(AM122/AM115-1)*100</f>
        <v>-12.946565635477182</v>
      </c>
      <c r="AO122" s="715">
        <f>AO123-SUM(AO119:AO121)</f>
        <v>35.363</v>
      </c>
      <c r="AP122" s="671">
        <f>+AO122/AM122*100</f>
        <v>49.887846511955978</v>
      </c>
      <c r="AQ122" s="664"/>
      <c r="AR122" s="675">
        <v>34.24</v>
      </c>
      <c r="AS122" s="661">
        <f>+(AR122/AR115-1)*100</f>
        <v>10.791134120692437</v>
      </c>
      <c r="AT122" s="715">
        <f>AT123-SUM(AT119:AT121)</f>
        <v>-3.6030000000000015</v>
      </c>
      <c r="AU122" s="671">
        <f>+AT122/AR122*100</f>
        <v>-10.522780373831779</v>
      </c>
      <c r="AV122" s="664"/>
      <c r="AW122" s="677">
        <f>'qtrP&amp;L'!$BN$13</f>
        <v>858.44600000000003</v>
      </c>
      <c r="AX122" s="665">
        <f>+(AW122/AW115-1)*100</f>
        <v>5.9650274896867472</v>
      </c>
      <c r="AY122" s="677">
        <f>+E122+Q122+AM122+AR122</f>
        <v>858.44600000000003</v>
      </c>
      <c r="AZ122" s="682" t="str">
        <f>IF(AW122=AY122,"","n")</f>
        <v/>
      </c>
      <c r="BA122" s="665">
        <f>+(AY122/AY115-1)*100</f>
        <v>5.9650274896867472</v>
      </c>
      <c r="BB122" s="666"/>
      <c r="BC122" s="677">
        <f>'qtrP&amp;L'!$BN$51</f>
        <v>202.53100000000001</v>
      </c>
      <c r="BD122" s="685">
        <f>+BC122/AW122*100</f>
        <v>23.592747825722292</v>
      </c>
      <c r="BE122" s="677">
        <f>+BE123-SUM(BE119:BE121)</f>
        <v>43.724999999999994</v>
      </c>
      <c r="BF122" s="677">
        <f>+H122+T122+AO122+AT122-BE122</f>
        <v>202.53099999999998</v>
      </c>
      <c r="BG122" s="963" t="str">
        <f t="shared" si="1"/>
        <v/>
      </c>
      <c r="BH122" s="672">
        <f>+BF122/AY122*100</f>
        <v>23.592747825722292</v>
      </c>
      <c r="BI122" s="131"/>
      <c r="BJ122" s="118">
        <f>+E122/$AY122</f>
        <v>0.52343304063388962</v>
      </c>
      <c r="BK122" s="118">
        <f>+Q122/$AY122</f>
        <v>0.35410730552649788</v>
      </c>
      <c r="BL122" s="118">
        <f>+AM122/AY122</f>
        <v>8.2573627228736582E-2</v>
      </c>
      <c r="BM122" s="118">
        <f>+AR122/AY122</f>
        <v>3.9886026610875931E-2</v>
      </c>
      <c r="BN122" s="131"/>
      <c r="BO122" s="118">
        <f>+H122/$BF122</f>
        <v>0.64422236595879157</v>
      </c>
      <c r="BP122" s="118">
        <f>+T122/$BF122</f>
        <v>0.4148550098503439</v>
      </c>
      <c r="BQ122" s="118">
        <f>+AO122/$BF122</f>
        <v>0.17460536905461388</v>
      </c>
      <c r="BR122" s="118">
        <f>+AT122/$BF122</f>
        <v>-1.77898692052081E-2</v>
      </c>
      <c r="BS122" s="131"/>
      <c r="BT122" s="131"/>
      <c r="BU122" s="131"/>
      <c r="BV122" s="131"/>
      <c r="BW122" s="131"/>
      <c r="BX122" s="131"/>
      <c r="BY122" s="131"/>
    </row>
    <row r="123" spans="1:77" hidden="1" outlineLevel="2">
      <c r="A123" s="227"/>
      <c r="B123" s="227"/>
      <c r="C123" s="227" t="str">
        <f>$C$18</f>
        <v>Year</v>
      </c>
      <c r="D123" s="227"/>
      <c r="E123" s="799">
        <f>SUM(E119:E122)</f>
        <v>1220.683</v>
      </c>
      <c r="F123" s="661">
        <f>+(E123/E116-1)*100</f>
        <v>9.2974405580004351</v>
      </c>
      <c r="G123" s="2060">
        <v>7</v>
      </c>
      <c r="H123" s="663">
        <v>268.76900000000001</v>
      </c>
      <c r="I123" s="671">
        <f>+H123/E123*100</f>
        <v>22.017919476227654</v>
      </c>
      <c r="J123" s="701"/>
      <c r="K123" s="667">
        <v>1220.683</v>
      </c>
      <c r="L123" s="701"/>
      <c r="M123" s="701"/>
      <c r="N123" s="953">
        <v>7</v>
      </c>
      <c r="O123" s="953">
        <v>5</v>
      </c>
      <c r="P123" s="700"/>
      <c r="Q123" s="686">
        <f>+SUM(Q119:Q122)</f>
        <v>900.68900000000008</v>
      </c>
      <c r="R123" s="661">
        <f>+(Q123/Q116-1)*100</f>
        <v>5.0537697116730618</v>
      </c>
      <c r="S123" s="2060">
        <v>2</v>
      </c>
      <c r="T123" s="663">
        <v>212.49600000000001</v>
      </c>
      <c r="U123" s="671">
        <f>+T123/Q123*100</f>
        <v>23.592605216673014</v>
      </c>
      <c r="V123" s="700"/>
      <c r="W123" s="1104"/>
      <c r="X123" s="798">
        <v>0</v>
      </c>
      <c r="Y123" s="2060"/>
      <c r="Z123" s="663"/>
      <c r="AA123" s="671"/>
      <c r="AB123" s="798"/>
      <c r="AC123" s="1104"/>
      <c r="AD123" s="1103">
        <v>8</v>
      </c>
      <c r="AE123" s="798">
        <v>1</v>
      </c>
      <c r="AF123" s="798"/>
      <c r="AG123" s="686"/>
      <c r="AH123" s="661"/>
      <c r="AI123" s="2060"/>
      <c r="AJ123" s="663"/>
      <c r="AK123" s="671"/>
      <c r="AL123" s="700"/>
      <c r="AM123" s="686">
        <f>SUM(AM119:AM122)</f>
        <v>157.483</v>
      </c>
      <c r="AN123" s="1780">
        <f>+(AM123/AM116-1)*100</f>
        <v>10.50818199680017</v>
      </c>
      <c r="AO123" s="663">
        <v>58.542000000000002</v>
      </c>
      <c r="AP123" s="671">
        <f>+AO123/AM123*100</f>
        <v>37.173536191207937</v>
      </c>
      <c r="AQ123" s="700"/>
      <c r="AR123" s="686">
        <f>+SUM(AR119:AR122)</f>
        <v>116.298</v>
      </c>
      <c r="AS123" s="661">
        <f>+(AR123/AR116-1)*100</f>
        <v>31.979845207562608</v>
      </c>
      <c r="AT123" s="663">
        <v>-18.829000000000001</v>
      </c>
      <c r="AU123" s="671">
        <f>+AT123/AR123*100</f>
        <v>-16.190304218473234</v>
      </c>
      <c r="AV123" s="700"/>
      <c r="AW123" s="673">
        <f>'qtrP&amp;L'!$BN$14</f>
        <v>2395.1530000000002</v>
      </c>
      <c r="AX123" s="665">
        <f>+(AW123/AW116-1)*100</f>
        <v>8.6320448143191175</v>
      </c>
      <c r="AY123" s="693">
        <f>+E123+Q123+AM123+AR123</f>
        <v>2395.1530000000002</v>
      </c>
      <c r="AZ123" s="1494"/>
      <c r="BA123" s="665">
        <f>+(AY123/AY116-1)*100</f>
        <v>8.6320448143191406</v>
      </c>
      <c r="BB123" s="662"/>
      <c r="BC123" s="667">
        <f>'qtrP&amp;L'!$BN$52</f>
        <v>382.70500000000015</v>
      </c>
      <c r="BD123" s="701">
        <f>+BC123/AW123*100</f>
        <v>15.978311197656273</v>
      </c>
      <c r="BE123" s="691">
        <v>138.273</v>
      </c>
      <c r="BF123" s="667">
        <f>+H123+T123+AO123+AT123-BE123</f>
        <v>382.70500000000004</v>
      </c>
      <c r="BG123" s="963" t="str">
        <f t="shared" si="1"/>
        <v/>
      </c>
      <c r="BH123" s="701">
        <f>+BF123/AY123*100</f>
        <v>15.978311197656266</v>
      </c>
      <c r="BI123" s="227"/>
      <c r="BJ123" s="703">
        <f>+E123/$AY123</f>
        <v>0.50964719164078442</v>
      </c>
      <c r="BK123" s="703">
        <f>+Q123/$AY123</f>
        <v>0.37604654065940674</v>
      </c>
      <c r="BL123" s="703">
        <f>+AM123/AY123</f>
        <v>6.5750705696045297E-2</v>
      </c>
      <c r="BM123" s="703">
        <f>+AR123/AY123</f>
        <v>4.8555562003763431E-2</v>
      </c>
      <c r="BN123" s="227"/>
      <c r="BO123" s="703">
        <f>+H123/$BF123</f>
        <v>0.70228766282123301</v>
      </c>
      <c r="BP123" s="703">
        <f>+T123/$BF123</f>
        <v>0.55524751440404485</v>
      </c>
      <c r="BQ123" s="703">
        <f>+AO123/$BF123</f>
        <v>0.15296899700813943</v>
      </c>
      <c r="BR123" s="703">
        <f>+AT123/$BF123</f>
        <v>-4.9199775283834804E-2</v>
      </c>
      <c r="BS123" s="227"/>
      <c r="BT123" s="227"/>
      <c r="BU123" s="227"/>
      <c r="BV123" s="227"/>
      <c r="BW123" s="227"/>
      <c r="BX123" s="1496">
        <f>+K123/K116-1</f>
        <v>9.297440558000436E-2</v>
      </c>
      <c r="BY123" s="1496">
        <f>+(AW123-K123)/(AW116-K116)-1</f>
        <v>7.9489993437415585E-2</v>
      </c>
    </row>
    <row r="124" spans="1:77" hidden="1" outlineLevel="2">
      <c r="A124" s="131"/>
      <c r="B124" s="131"/>
      <c r="C124" s="131"/>
      <c r="D124" s="131"/>
      <c r="E124" s="656"/>
      <c r="F124" s="233"/>
      <c r="G124" s="2058"/>
      <c r="H124" s="227"/>
      <c r="I124" s="657"/>
      <c r="J124" s="709"/>
      <c r="K124" s="709"/>
      <c r="L124" s="709"/>
      <c r="M124" s="709"/>
      <c r="N124" s="233"/>
      <c r="O124" s="953"/>
      <c r="P124" s="643"/>
      <c r="Q124" s="656"/>
      <c r="R124" s="233"/>
      <c r="S124" s="2058"/>
      <c r="T124" s="227"/>
      <c r="U124" s="657"/>
      <c r="V124" s="643"/>
      <c r="W124" s="1105"/>
      <c r="X124" s="893"/>
      <c r="Y124" s="2058"/>
      <c r="Z124" s="227"/>
      <c r="AA124" s="657"/>
      <c r="AB124" s="643"/>
      <c r="AC124" s="1105"/>
      <c r="AD124" s="1108"/>
      <c r="AE124" s="643"/>
      <c r="AF124" s="643"/>
      <c r="AG124" s="656"/>
      <c r="AH124" s="233"/>
      <c r="AI124" s="2058"/>
      <c r="AJ124" s="227"/>
      <c r="AK124" s="657"/>
      <c r="AL124" s="643"/>
      <c r="AM124" s="656"/>
      <c r="AN124" s="234"/>
      <c r="AO124" s="227"/>
      <c r="AP124" s="657"/>
      <c r="AQ124" s="643"/>
      <c r="AR124" s="656"/>
      <c r="AS124" s="233"/>
      <c r="AT124" s="227"/>
      <c r="AU124" s="657"/>
      <c r="AV124" s="643"/>
      <c r="AW124" s="658"/>
      <c r="AX124" s="658"/>
      <c r="AY124" s="658"/>
      <c r="AZ124" s="659"/>
      <c r="BA124" s="132"/>
      <c r="BB124" s="132"/>
      <c r="BC124" s="658"/>
      <c r="BD124" s="658"/>
      <c r="BE124" s="658"/>
      <c r="BF124" s="658"/>
      <c r="BG124" s="963" t="str">
        <f t="shared" si="1"/>
        <v/>
      </c>
      <c r="BH124" s="131"/>
      <c r="BI124" s="131"/>
      <c r="BJ124" s="131"/>
      <c r="BK124" s="131"/>
      <c r="BL124" s="131"/>
      <c r="BM124" s="131"/>
      <c r="BN124" s="131"/>
      <c r="BO124" s="131"/>
      <c r="BP124" s="131"/>
      <c r="BQ124" s="131"/>
      <c r="BR124" s="131"/>
      <c r="BS124" s="131"/>
      <c r="BT124" s="131"/>
      <c r="BU124" s="131"/>
      <c r="BV124" s="131"/>
      <c r="BW124" s="131"/>
      <c r="BX124" s="131"/>
      <c r="BY124" s="131"/>
    </row>
    <row r="125" spans="1:77" hidden="1" outlineLevel="2">
      <c r="A125" s="131"/>
      <c r="B125" s="2506">
        <f>+B118+1</f>
        <v>2006</v>
      </c>
      <c r="C125" s="2506"/>
      <c r="D125" s="131"/>
      <c r="E125" s="656"/>
      <c r="F125" s="233"/>
      <c r="G125" s="2058"/>
      <c r="H125" s="227"/>
      <c r="I125" s="657"/>
      <c r="J125" s="709"/>
      <c r="K125" s="709"/>
      <c r="L125" s="709"/>
      <c r="M125" s="709"/>
      <c r="N125" s="233"/>
      <c r="O125" s="953"/>
      <c r="P125" s="643"/>
      <c r="Q125" s="656"/>
      <c r="R125" s="233"/>
      <c r="S125" s="2058"/>
      <c r="T125" s="227"/>
      <c r="U125" s="657"/>
      <c r="V125" s="643"/>
      <c r="W125" s="1105"/>
      <c r="X125" s="893"/>
      <c r="Y125" s="2058"/>
      <c r="Z125" s="227"/>
      <c r="AA125" s="657"/>
      <c r="AB125" s="643"/>
      <c r="AC125" s="1105"/>
      <c r="AD125" s="1108"/>
      <c r="AE125" s="643"/>
      <c r="AF125" s="643"/>
      <c r="AG125" s="656"/>
      <c r="AH125" s="233"/>
      <c r="AI125" s="2058"/>
      <c r="AJ125" s="227"/>
      <c r="AK125" s="657"/>
      <c r="AL125" s="643"/>
      <c r="AM125" s="656"/>
      <c r="AN125" s="234"/>
      <c r="AO125" s="227"/>
      <c r="AP125" s="657"/>
      <c r="AQ125" s="643"/>
      <c r="AR125" s="656"/>
      <c r="AS125" s="233"/>
      <c r="AT125" s="227"/>
      <c r="AU125" s="657"/>
      <c r="AV125" s="643"/>
      <c r="AW125" s="658"/>
      <c r="AX125" s="658"/>
      <c r="AY125" s="658"/>
      <c r="AZ125" s="659"/>
      <c r="BA125" s="132"/>
      <c r="BB125" s="132"/>
      <c r="BC125" s="658"/>
      <c r="BD125" s="658"/>
      <c r="BE125" s="658"/>
      <c r="BF125" s="658"/>
      <c r="BG125" s="963" t="str">
        <f t="shared" si="1"/>
        <v/>
      </c>
      <c r="BH125" s="131"/>
      <c r="BI125" s="131"/>
      <c r="BJ125" s="131"/>
      <c r="BK125" s="131"/>
      <c r="BL125" s="131"/>
      <c r="BM125" s="131"/>
      <c r="BN125" s="131"/>
      <c r="BO125" s="131"/>
      <c r="BP125" s="131"/>
      <c r="BQ125" s="131"/>
      <c r="BR125" s="131"/>
      <c r="BS125" s="131"/>
      <c r="BT125" s="131"/>
      <c r="BU125" s="131"/>
      <c r="BV125" s="131"/>
      <c r="BW125" s="131"/>
      <c r="BX125" s="131"/>
      <c r="BY125" s="131"/>
    </row>
    <row r="126" spans="1:77" hidden="1" outlineLevel="2">
      <c r="A126" s="131"/>
      <c r="B126" s="131" t="str">
        <f>$B$14</f>
        <v>1Q</v>
      </c>
      <c r="C126" s="131" t="str">
        <f>$C$14</f>
        <v>Apr</v>
      </c>
      <c r="D126" s="131"/>
      <c r="E126" s="660">
        <v>260.58</v>
      </c>
      <c r="F126" s="661">
        <f>+(E126/E119-1)*100</f>
        <v>1.8479433422447178</v>
      </c>
      <c r="G126" s="2060">
        <v>-1</v>
      </c>
      <c r="H126" s="663">
        <f>86.115-H127</f>
        <v>42.140999999999998</v>
      </c>
      <c r="I126" s="671">
        <f>+H126/E126*100</f>
        <v>16.172000921022338</v>
      </c>
      <c r="J126" s="705"/>
      <c r="K126" s="705"/>
      <c r="L126" s="705"/>
      <c r="M126" s="705"/>
      <c r="N126" s="953">
        <v>-7</v>
      </c>
      <c r="O126" s="953" t="s">
        <v>63</v>
      </c>
      <c r="P126" s="664"/>
      <c r="Q126" s="660">
        <v>215.16399999999999</v>
      </c>
      <c r="R126" s="661">
        <f>+(Q126/Q119-1)*100</f>
        <v>13.056180247588212</v>
      </c>
      <c r="S126" s="2060">
        <v>16</v>
      </c>
      <c r="T126" s="663">
        <v>53.451000000000001</v>
      </c>
      <c r="U126" s="671">
        <f>+T126/Q126*100</f>
        <v>24.841981000539125</v>
      </c>
      <c r="V126" s="664"/>
      <c r="W126" s="1104"/>
      <c r="X126" s="798">
        <v>12</v>
      </c>
      <c r="Y126" s="2060"/>
      <c r="Z126" s="663"/>
      <c r="AA126" s="671"/>
      <c r="AB126" s="723"/>
      <c r="AC126" s="1104"/>
      <c r="AD126" s="1103">
        <v>20</v>
      </c>
      <c r="AE126" s="723">
        <v>24</v>
      </c>
      <c r="AF126" s="723"/>
      <c r="AG126" s="660"/>
      <c r="AH126" s="661"/>
      <c r="AI126" s="2060"/>
      <c r="AJ126" s="663"/>
      <c r="AK126" s="671"/>
      <c r="AL126" s="664"/>
      <c r="AM126" s="660">
        <v>29.957000000000001</v>
      </c>
      <c r="AN126" s="1780">
        <f>+(AM126/AM119-1)*100</f>
        <v>3.5284766380978771</v>
      </c>
      <c r="AO126" s="663">
        <v>7.117</v>
      </c>
      <c r="AP126" s="671">
        <f>+AO126/AM126*100</f>
        <v>23.75738558600661</v>
      </c>
      <c r="AQ126" s="664"/>
      <c r="AR126" s="660">
        <f>((AR133+AR134)/(1+1.01))-AR127</f>
        <v>9.6256605419119516</v>
      </c>
      <c r="AS126" s="661">
        <f>+(AR126/AR119-1)*100</f>
        <v>-72.337671230531498</v>
      </c>
      <c r="AT126" s="663">
        <f>-6.218-AT127</f>
        <v>-2.887</v>
      </c>
      <c r="AU126" s="671">
        <f>+AT126/AR126*100</f>
        <v>-29.992746860638338</v>
      </c>
      <c r="AV126" s="664"/>
      <c r="AW126" s="673">
        <f>'qtrP&amp;L'!BR10</f>
        <v>515.35599999999988</v>
      </c>
      <c r="AX126" s="665">
        <f>+(AW126/AW119-1)*100</f>
        <v>1.0698155132074394</v>
      </c>
      <c r="AY126" s="679">
        <f>+E126+Q126+AM126+AR126</f>
        <v>515.32666054191191</v>
      </c>
      <c r="AZ126" s="682" t="str">
        <f>IF(AW126=AY126,"","n")</f>
        <v>n</v>
      </c>
      <c r="BA126" s="665">
        <f>+(AY126/AY119-1)*100</f>
        <v>1.0640615613446425</v>
      </c>
      <c r="BB126" s="666"/>
      <c r="BC126" s="667">
        <f>ROUND('qtrP&amp;L'!$BR$48,3)</f>
        <v>74.933000000000007</v>
      </c>
      <c r="BD126" s="672">
        <f>+BC126/AW126*100</f>
        <v>14.540046104052347</v>
      </c>
      <c r="BE126" s="695">
        <f>50.571-BE127</f>
        <v>24.887999999999998</v>
      </c>
      <c r="BF126" s="667">
        <f>+H126+T126+AO126+AT126-BE126</f>
        <v>74.933999999999997</v>
      </c>
      <c r="BG126" s="1011" t="str">
        <f>IF(BC126=BF126,"","n")</f>
        <v>n</v>
      </c>
      <c r="BH126" s="672">
        <f>+BF126/AY126*100</f>
        <v>14.541067974476659</v>
      </c>
      <c r="BI126" s="131"/>
      <c r="BJ126" s="118">
        <f>+E126/$AY126</f>
        <v>0.50565984637002259</v>
      </c>
      <c r="BK126" s="118">
        <f>+Q126/$AY126</f>
        <v>0.41752933910645312</v>
      </c>
      <c r="BL126" s="118">
        <f>+AM126/AY126</f>
        <v>5.813205932038825E-2</v>
      </c>
      <c r="BM126" s="118">
        <f>+AR126/AY126</f>
        <v>1.8678755203136031E-2</v>
      </c>
      <c r="BN126" s="131"/>
      <c r="BO126" s="118">
        <f>+H126/$BF126</f>
        <v>0.56237488990311468</v>
      </c>
      <c r="BP126" s="118">
        <f>+T126/$BF126</f>
        <v>0.71330771078549127</v>
      </c>
      <c r="BQ126" s="118">
        <f>+AO126/$BF126</f>
        <v>9.4976913016788109E-2</v>
      </c>
      <c r="BR126" s="118">
        <f>+AT126/$BF126</f>
        <v>-3.8527237302159234E-2</v>
      </c>
      <c r="BS126" s="131"/>
      <c r="BT126" s="131"/>
      <c r="BU126" s="131"/>
      <c r="BV126" s="131"/>
      <c r="BW126" s="131"/>
      <c r="BX126" s="131"/>
      <c r="BY126" s="131"/>
    </row>
    <row r="127" spans="1:77" hidden="1" outlineLevel="2">
      <c r="A127" s="131"/>
      <c r="B127" s="131" t="str">
        <f>$B$15</f>
        <v>2Q</v>
      </c>
      <c r="C127" s="131" t="str">
        <f>$C$15</f>
        <v>Jul</v>
      </c>
      <c r="D127" s="131"/>
      <c r="E127" s="669">
        <v>288.55599999999998</v>
      </c>
      <c r="F127" s="661">
        <f>+(E127/E120-1)*100</f>
        <v>7.786784206790931</v>
      </c>
      <c r="G127" s="2060">
        <v>5</v>
      </c>
      <c r="H127" s="670">
        <v>43.973999999999997</v>
      </c>
      <c r="I127" s="671">
        <f>+H127/E127*100</f>
        <v>15.23932962752464</v>
      </c>
      <c r="J127" s="705"/>
      <c r="K127" s="705"/>
      <c r="L127" s="705"/>
      <c r="M127" s="705"/>
      <c r="N127" s="953">
        <v>5</v>
      </c>
      <c r="O127" s="798">
        <v>4</v>
      </c>
      <c r="P127" s="664"/>
      <c r="Q127" s="669">
        <v>223.15299999999999</v>
      </c>
      <c r="R127" s="661">
        <f>+(Q127/Q120-1)*100</f>
        <v>10.414934885009686</v>
      </c>
      <c r="S127" s="2060">
        <v>10</v>
      </c>
      <c r="T127" s="670">
        <v>51.768999999999998</v>
      </c>
      <c r="U127" s="671">
        <f>+T127/Q127*100</f>
        <v>23.198881484900493</v>
      </c>
      <c r="V127" s="664"/>
      <c r="W127" s="1104"/>
      <c r="X127" s="798">
        <v>2</v>
      </c>
      <c r="Y127" s="2060"/>
      <c r="Z127" s="670"/>
      <c r="AA127" s="671"/>
      <c r="AB127" s="723"/>
      <c r="AC127" s="1104"/>
      <c r="AD127" s="1103">
        <v>27</v>
      </c>
      <c r="AE127" s="723">
        <v>17</v>
      </c>
      <c r="AF127" s="723"/>
      <c r="AG127" s="669"/>
      <c r="AH127" s="661"/>
      <c r="AI127" s="2060"/>
      <c r="AJ127" s="670"/>
      <c r="AK127" s="671"/>
      <c r="AL127" s="664"/>
      <c r="AM127" s="669">
        <v>35.741999999999997</v>
      </c>
      <c r="AN127" s="1780">
        <f>+(AM127/AM120-1)*100</f>
        <v>17.75054358568886</v>
      </c>
      <c r="AO127" s="670">
        <v>10.148999999999999</v>
      </c>
      <c r="AP127" s="671">
        <f>+AO127/AM127*100</f>
        <v>28.395165351687091</v>
      </c>
      <c r="AQ127" s="664"/>
      <c r="AR127" s="669">
        <f>AR134/(1+1.51)</f>
        <v>7.2111553784860574</v>
      </c>
      <c r="AS127" s="661">
        <f>+(AR127/AR120-1)*100</f>
        <v>-72.821937291350181</v>
      </c>
      <c r="AT127" s="670">
        <v>-3.331</v>
      </c>
      <c r="AU127" s="671">
        <f>+AT127/AR127*100</f>
        <v>-46.19232044198894</v>
      </c>
      <c r="AV127" s="664"/>
      <c r="AW127" s="673">
        <f>'qtrP&amp;L'!BR11</f>
        <v>554.65700000000004</v>
      </c>
      <c r="AX127" s="665">
        <f>+(AW127/AW120-1)*100</f>
        <v>5.307755253929658</v>
      </c>
      <c r="AY127" s="673">
        <f>+E127+Q127+AM127+AR127</f>
        <v>554.66215537848598</v>
      </c>
      <c r="AZ127" s="682" t="str">
        <f>IF(AW127=AY127,"","n")</f>
        <v>n</v>
      </c>
      <c r="BA127" s="665">
        <f>+(AY127/AY120-1)*100</f>
        <v>5.3087340594542454</v>
      </c>
      <c r="BB127" s="666"/>
      <c r="BC127" s="673">
        <f>ROUND('qtrP&amp;L'!$BR$49,4)</f>
        <v>76.878</v>
      </c>
      <c r="BD127" s="672">
        <f>+BC127/AW127*100</f>
        <v>13.860457904614924</v>
      </c>
      <c r="BE127" s="691">
        <v>25.683</v>
      </c>
      <c r="BF127" s="673">
        <f>+H127+T127+AO127+AT127-BE127</f>
        <v>76.877999999999986</v>
      </c>
      <c r="BG127" s="963" t="str">
        <f t="shared" si="1"/>
        <v/>
      </c>
      <c r="BH127" s="672">
        <f>+BF127/AY127*100</f>
        <v>13.860329076812638</v>
      </c>
      <c r="BI127" s="131"/>
      <c r="BJ127" s="118">
        <f>+E127/$AY127</f>
        <v>0.52023740434048082</v>
      </c>
      <c r="BK127" s="118">
        <f>+Q127/$AY127</f>
        <v>0.40232238279845611</v>
      </c>
      <c r="BL127" s="118">
        <f>+AM127/AY127</f>
        <v>6.443922602869967E-2</v>
      </c>
      <c r="BM127" s="118">
        <f>+AR127/AY127</f>
        <v>1.3000986832363507E-2</v>
      </c>
      <c r="BN127" s="131"/>
      <c r="BO127" s="118">
        <f>+H127/$BF127</f>
        <v>0.57199719035354724</v>
      </c>
      <c r="BP127" s="118">
        <f>+T127/$BF127</f>
        <v>0.67339160748198457</v>
      </c>
      <c r="BQ127" s="118">
        <f>+AO127/$BF127</f>
        <v>0.13201436041520331</v>
      </c>
      <c r="BR127" s="118">
        <f>+AT127/$BF127</f>
        <v>-4.3328390436795969E-2</v>
      </c>
      <c r="BS127" s="131"/>
      <c r="BT127" s="131"/>
      <c r="BU127" s="131"/>
      <c r="BV127" s="131"/>
      <c r="BW127" s="131"/>
      <c r="BX127" s="131"/>
      <c r="BY127" s="131"/>
    </row>
    <row r="128" spans="1:77" hidden="1" outlineLevel="2">
      <c r="A128" s="131"/>
      <c r="B128" s="131" t="str">
        <f>$B$16</f>
        <v>3Q</v>
      </c>
      <c r="C128" s="131" t="str">
        <f>$C$16</f>
        <v>Oct</v>
      </c>
      <c r="D128" s="131"/>
      <c r="E128" s="669">
        <v>270.37299999999999</v>
      </c>
      <c r="F128" s="661">
        <f>+(E128/E121-1)*100</f>
        <v>9.1172885843200824</v>
      </c>
      <c r="G128" s="2060">
        <v>6</v>
      </c>
      <c r="H128" s="670">
        <v>29.516999999999999</v>
      </c>
      <c r="I128" s="671">
        <f>+H128/E128*100</f>
        <v>10.917140394935885</v>
      </c>
      <c r="J128" s="705"/>
      <c r="K128" s="705"/>
      <c r="L128" s="705"/>
      <c r="M128" s="705"/>
      <c r="N128" s="953">
        <v>13</v>
      </c>
      <c r="O128" s="798">
        <v>4</v>
      </c>
      <c r="P128" s="664"/>
      <c r="Q128" s="669">
        <v>221.68100000000001</v>
      </c>
      <c r="R128" s="661">
        <f>+(Q128/Q121-1)*100</f>
        <v>8.5144918668344172</v>
      </c>
      <c r="S128" s="2060">
        <v>4</v>
      </c>
      <c r="T128" s="670">
        <v>51.054000000000002</v>
      </c>
      <c r="U128" s="671">
        <f>+T128/Q128*100</f>
        <v>23.030390516101967</v>
      </c>
      <c r="V128" s="664"/>
      <c r="W128" s="1104"/>
      <c r="X128" s="798">
        <v>-5</v>
      </c>
      <c r="Y128" s="2060"/>
      <c r="Z128" s="670"/>
      <c r="AA128" s="671"/>
      <c r="AB128" s="723"/>
      <c r="AC128" s="1104"/>
      <c r="AD128" s="1103">
        <v>17</v>
      </c>
      <c r="AE128" s="723">
        <v>21</v>
      </c>
      <c r="AF128" s="723"/>
      <c r="AG128" s="669"/>
      <c r="AH128" s="661"/>
      <c r="AI128" s="2060"/>
      <c r="AJ128" s="670"/>
      <c r="AK128" s="671"/>
      <c r="AL128" s="664"/>
      <c r="AM128" s="669">
        <v>30.308</v>
      </c>
      <c r="AN128" s="1780">
        <f>+(AM128/AM121-1)*100</f>
        <v>10.985791709389181</v>
      </c>
      <c r="AO128" s="670">
        <v>4.4260000000000002</v>
      </c>
      <c r="AP128" s="671">
        <f>+AO128/AM128*100</f>
        <v>14.603405041573184</v>
      </c>
      <c r="AQ128" s="664"/>
      <c r="AR128" s="669">
        <v>25.423999999999999</v>
      </c>
      <c r="AS128" s="661">
        <f>+(AR128/AR121-1)*100</f>
        <v>22.655345426476249</v>
      </c>
      <c r="AT128" s="670">
        <v>-7.9189999999999996</v>
      </c>
      <c r="AU128" s="671">
        <f>+AT128/AR128*100</f>
        <v>-31.147734424166138</v>
      </c>
      <c r="AV128" s="664"/>
      <c r="AW128" s="673">
        <f>'qtrP&amp;L'!BR12</f>
        <v>531.83399999999995</v>
      </c>
      <c r="AX128" s="665">
        <f>+(AW128/AW121-1)*100</f>
        <v>6.3444676617910201</v>
      </c>
      <c r="AY128" s="673">
        <f>+E128+Q128+AM128+AR128</f>
        <v>547.78599999999994</v>
      </c>
      <c r="AZ128" s="682" t="str">
        <f>IF(AW128=AY128,"","n")</f>
        <v>n</v>
      </c>
      <c r="BA128" s="665">
        <f>+(AY128/AY121-1)*100</f>
        <v>9.5341978184581002</v>
      </c>
      <c r="BB128" s="666"/>
      <c r="BC128" s="673">
        <f>ROUND('qtrP&amp;L'!$BR$50,4)</f>
        <v>47.655000000000001</v>
      </c>
      <c r="BD128" s="672">
        <f>+BC128/AW128*100</f>
        <v>8.960502713252632</v>
      </c>
      <c r="BE128" s="691">
        <v>33.021999999999998</v>
      </c>
      <c r="BF128" s="673">
        <f>+H128+T128+AO128+AT128-BE128</f>
        <v>44.056000000000004</v>
      </c>
      <c r="BG128" s="963" t="str">
        <f t="shared" si="1"/>
        <v>n</v>
      </c>
      <c r="BH128" s="672">
        <f>+BF128/AY128*100</f>
        <v>8.0425567648680332</v>
      </c>
      <c r="BI128" s="131"/>
      <c r="BJ128" s="118">
        <f>+E128/$AY128</f>
        <v>0.49357413296433283</v>
      </c>
      <c r="BK128" s="118">
        <f>+Q128/$AY128</f>
        <v>0.40468540634481354</v>
      </c>
      <c r="BL128" s="118">
        <f>+AM128/AY128</f>
        <v>5.5328175601420997E-2</v>
      </c>
      <c r="BM128" s="118">
        <f>+AR128/AY128</f>
        <v>4.6412285089432737E-2</v>
      </c>
      <c r="BN128" s="131"/>
      <c r="BO128" s="118">
        <f>+H128/$BF128</f>
        <v>0.66998819684038491</v>
      </c>
      <c r="BP128" s="118">
        <f>+T128/$BF128</f>
        <v>1.1588432903577264</v>
      </c>
      <c r="BQ128" s="118">
        <f>+AO128/$BF128</f>
        <v>0.10046304703105138</v>
      </c>
      <c r="BR128" s="118">
        <f>+AT128/$BF128</f>
        <v>-0.17974850190666422</v>
      </c>
      <c r="BS128" s="131"/>
      <c r="BT128" s="131"/>
      <c r="BU128" s="131"/>
      <c r="BV128" s="131"/>
      <c r="BW128" s="131"/>
      <c r="BX128" s="131"/>
      <c r="BY128" s="131"/>
    </row>
    <row r="129" spans="1:77" hidden="1" outlineLevel="2">
      <c r="A129" s="131"/>
      <c r="B129" s="131" t="str">
        <f>$B$17</f>
        <v>4Q</v>
      </c>
      <c r="C129" s="131" t="str">
        <f>$C$17</f>
        <v>Jan</v>
      </c>
      <c r="D129" s="131"/>
      <c r="E129" s="675">
        <v>506.93200000000002</v>
      </c>
      <c r="F129" s="661">
        <f>+(E129/E122-1)*100</f>
        <v>12.817271592272217</v>
      </c>
      <c r="G129" s="2063">
        <v>9</v>
      </c>
      <c r="H129" s="715">
        <f>H130-SUM(H126:H128)</f>
        <v>144.435</v>
      </c>
      <c r="I129" s="671">
        <f>+H129/E129*100</f>
        <v>28.491987090970781</v>
      </c>
      <c r="J129" s="705"/>
      <c r="K129" s="705"/>
      <c r="L129" s="705"/>
      <c r="M129" s="705"/>
      <c r="N129" s="953">
        <v>17</v>
      </c>
      <c r="O129" s="798">
        <v>8</v>
      </c>
      <c r="P129" s="664"/>
      <c r="Q129" s="675">
        <v>350.62900000000002</v>
      </c>
      <c r="R129" s="661">
        <f>+(Q129/Q122-1)*100</f>
        <v>15.345316499003236</v>
      </c>
      <c r="S129" s="2063">
        <v>6</v>
      </c>
      <c r="T129" s="715">
        <f>T130-SUM(T126:T128)</f>
        <v>102.84199999999998</v>
      </c>
      <c r="U129" s="671">
        <f>+T129/Q129*100</f>
        <v>29.330717082728462</v>
      </c>
      <c r="V129" s="664"/>
      <c r="W129" s="1104"/>
      <c r="X129" s="798">
        <v>-4</v>
      </c>
      <c r="Y129" s="2063"/>
      <c r="Z129" s="715"/>
      <c r="AA129" s="671"/>
      <c r="AB129" s="723"/>
      <c r="AC129" s="1104"/>
      <c r="AD129" s="1103">
        <v>22</v>
      </c>
      <c r="AE129" s="723">
        <v>19</v>
      </c>
      <c r="AF129" s="723"/>
      <c r="AG129" s="669"/>
      <c r="AH129" s="661"/>
      <c r="AI129" s="2063"/>
      <c r="AJ129" s="1097"/>
      <c r="AK129" s="671"/>
      <c r="AL129" s="664"/>
      <c r="AM129" s="675">
        <v>78.070999999999998</v>
      </c>
      <c r="AN129" s="1780">
        <f>+(AM129/AM122-1)*100</f>
        <v>10.137546730620016</v>
      </c>
      <c r="AO129" s="715">
        <f>AO130-SUM(AO126:AO128)</f>
        <v>40.887999999999998</v>
      </c>
      <c r="AP129" s="671">
        <f>+AO129/AM129*100</f>
        <v>52.37284010708202</v>
      </c>
      <c r="AQ129" s="664"/>
      <c r="AR129" s="675">
        <v>50.722000000000001</v>
      </c>
      <c r="AS129" s="661">
        <f>+(AR129/AR122-1)*100</f>
        <v>48.136682242990659</v>
      </c>
      <c r="AT129" s="715">
        <f>AT130-SUM(AT126:AT128)</f>
        <v>-15.207000000000001</v>
      </c>
      <c r="AU129" s="671">
        <f>+AT129/AR129*100</f>
        <v>-29.981073301525967</v>
      </c>
      <c r="AV129" s="664"/>
      <c r="AW129" s="677">
        <f>'qtrP&amp;L'!BR13</f>
        <v>958.88699999999994</v>
      </c>
      <c r="AX129" s="665">
        <f>+(AW129/AW122-1)*100</f>
        <v>11.700328267590487</v>
      </c>
      <c r="AY129" s="677">
        <f>+E129+Q129+AM129+AR129</f>
        <v>986.35400000000004</v>
      </c>
      <c r="AZ129" s="682" t="str">
        <f>IF(AW129=AY129,"","n")</f>
        <v>n</v>
      </c>
      <c r="BA129" s="665">
        <f>+(AY129/AY122-1)*100</f>
        <v>14.899947113738076</v>
      </c>
      <c r="BB129" s="666"/>
      <c r="BC129" s="677">
        <f>'qtrP&amp;L'!$BR$51</f>
        <v>231.32999999999993</v>
      </c>
      <c r="BD129" s="685">
        <f>+BC129/AW129*100</f>
        <v>24.124844741872604</v>
      </c>
      <c r="BE129" s="801">
        <f>BE130-SUM(BE126:BE128)</f>
        <v>53.39100000000002</v>
      </c>
      <c r="BF129" s="677">
        <f>+H129+T129+AO129+AT129-BE129</f>
        <v>219.56699999999995</v>
      </c>
      <c r="BG129" s="1011" t="str">
        <f t="shared" si="1"/>
        <v>n</v>
      </c>
      <c r="BH129" s="672">
        <f>+BF129/AY129*100</f>
        <v>22.260466323449791</v>
      </c>
      <c r="BI129" s="131"/>
      <c r="BJ129" s="118">
        <f>+E129/$AY129</f>
        <v>0.51394529753009566</v>
      </c>
      <c r="BK129" s="118">
        <f>+Q129/$AY129</f>
        <v>0.35547987842093204</v>
      </c>
      <c r="BL129" s="118">
        <f>+AM129/AY129</f>
        <v>7.9151095854024009E-2</v>
      </c>
      <c r="BM129" s="118">
        <f>+AR129/AY129</f>
        <v>5.1423728194948261E-2</v>
      </c>
      <c r="BN129" s="131"/>
      <c r="BO129" s="118">
        <f>+H129/$BF129</f>
        <v>0.65781743158124872</v>
      </c>
      <c r="BP129" s="118">
        <f>+T129/$BF129</f>
        <v>0.46838550419689667</v>
      </c>
      <c r="BQ129" s="118">
        <f>+AO129/$BF129</f>
        <v>0.18622106236365213</v>
      </c>
      <c r="BR129" s="118">
        <f>+AT129/$BF129</f>
        <v>-6.925904165926576E-2</v>
      </c>
      <c r="BS129" s="131"/>
      <c r="BT129" s="131"/>
      <c r="BU129" s="131"/>
      <c r="BV129" s="131"/>
      <c r="BW129" s="131"/>
      <c r="BX129" s="131"/>
      <c r="BY129" s="131"/>
    </row>
    <row r="130" spans="1:77" hidden="1" outlineLevel="2">
      <c r="A130" s="227"/>
      <c r="B130" s="227"/>
      <c r="C130" s="227" t="str">
        <f>$C$18</f>
        <v>Year</v>
      </c>
      <c r="D130" s="227"/>
      <c r="E130" s="696">
        <f>+SUM(E126:E129)</f>
        <v>1326.441</v>
      </c>
      <c r="F130" s="661">
        <f>+(E130/E123-1)*100</f>
        <v>8.6638381955020272</v>
      </c>
      <c r="G130" s="2060">
        <v>5</v>
      </c>
      <c r="H130" s="663">
        <v>260.06700000000001</v>
      </c>
      <c r="I130" s="671">
        <f>+H130/E130*100</f>
        <v>19.606375255288398</v>
      </c>
      <c r="J130" s="701"/>
      <c r="K130" s="701"/>
      <c r="L130" s="701"/>
      <c r="M130" s="701"/>
      <c r="N130" s="953">
        <v>9</v>
      </c>
      <c r="O130" s="953">
        <v>4</v>
      </c>
      <c r="P130" s="700"/>
      <c r="Q130" s="686">
        <f>+SUM(Q126:Q129)</f>
        <v>1010.6270000000001</v>
      </c>
      <c r="R130" s="661">
        <f>+(Q130/Q123-1)*100</f>
        <v>12.205988970665782</v>
      </c>
      <c r="S130" s="2060">
        <v>8</v>
      </c>
      <c r="T130" s="663">
        <v>259.11599999999999</v>
      </c>
      <c r="U130" s="671">
        <f>+T130/Q130*100</f>
        <v>25.639132934307113</v>
      </c>
      <c r="V130" s="700"/>
      <c r="W130" s="1106"/>
      <c r="X130" s="713">
        <v>0</v>
      </c>
      <c r="Y130" s="2060"/>
      <c r="Z130" s="663"/>
      <c r="AA130" s="671"/>
      <c r="AB130" s="713"/>
      <c r="AC130" s="1106"/>
      <c r="AD130" s="1109">
        <v>22</v>
      </c>
      <c r="AE130" s="713">
        <v>20</v>
      </c>
      <c r="AF130" s="713"/>
      <c r="AG130" s="686"/>
      <c r="AH130" s="661"/>
      <c r="AI130" s="2060"/>
      <c r="AJ130" s="663"/>
      <c r="AK130" s="671"/>
      <c r="AL130" s="700"/>
      <c r="AM130" s="686">
        <f>+SUM(AM126:AM129)</f>
        <v>174.078</v>
      </c>
      <c r="AN130" s="1780">
        <f>+(AM130/AM123-1)*100</f>
        <v>10.537645333147072</v>
      </c>
      <c r="AO130" s="663">
        <v>62.58</v>
      </c>
      <c r="AP130" s="671">
        <f>+AO130/AM130*100</f>
        <v>35.94940199221039</v>
      </c>
      <c r="AQ130" s="700"/>
      <c r="AR130" s="686">
        <f>+SUM(AR126:AR129)</f>
        <v>92.982815920398011</v>
      </c>
      <c r="AS130" s="661">
        <f>+(AR130/AR123-1)*100</f>
        <v>-20.047794527508632</v>
      </c>
      <c r="AT130" s="663">
        <v>-29.344000000000001</v>
      </c>
      <c r="AU130" s="671">
        <f>+AT130/AR130*100</f>
        <v>-31.558519399026601</v>
      </c>
      <c r="AV130" s="700"/>
      <c r="AW130" s="673">
        <f>'qtrP&amp;L'!$BR$14</f>
        <v>2560.7339999999995</v>
      </c>
      <c r="AX130" s="665">
        <f>+(AW130/AW123-1)*100</f>
        <v>6.9131700563596299</v>
      </c>
      <c r="AY130" s="693">
        <f>+E130+Q130+AM130+AR130</f>
        <v>2604.1288159203982</v>
      </c>
      <c r="AZ130" s="1494"/>
      <c r="BA130" s="665">
        <f>+(AY130/AY123-1)*100</f>
        <v>8.7249464197234126</v>
      </c>
      <c r="BB130" s="662"/>
      <c r="BC130" s="667">
        <f>'qtrP&amp;L'!$BR$52</f>
        <v>430.79599999999982</v>
      </c>
      <c r="BD130" s="701">
        <f>+BC130/AW130*100</f>
        <v>16.823145238826051</v>
      </c>
      <c r="BE130" s="691">
        <v>136.98400000000001</v>
      </c>
      <c r="BF130" s="667">
        <f>+H130+T130+AO130+AT130-BE130</f>
        <v>415.43499999999995</v>
      </c>
      <c r="BG130" s="963" t="str">
        <f t="shared" si="1"/>
        <v>n</v>
      </c>
      <c r="BH130" s="701">
        <f>+BF130/AY130*100</f>
        <v>15.952935870922708</v>
      </c>
      <c r="BI130" s="227"/>
      <c r="BJ130" s="703">
        <f>+E130/$AY130</f>
        <v>0.50936074739881299</v>
      </c>
      <c r="BK130" s="703">
        <f>+Q130/$AY130</f>
        <v>0.38808640871431166</v>
      </c>
      <c r="BL130" s="703">
        <f>+AM130/AY130</f>
        <v>6.6846923599082494E-2</v>
      </c>
      <c r="BM130" s="703">
        <f>+AR130/AY130</f>
        <v>3.5705920287792806E-2</v>
      </c>
      <c r="BN130" s="227"/>
      <c r="BO130" s="703">
        <f>+H130/$BF130</f>
        <v>0.62601128937138195</v>
      </c>
      <c r="BP130" s="703">
        <f>+T130/$BF130</f>
        <v>0.62372212259438908</v>
      </c>
      <c r="BQ130" s="703">
        <f>+AO130/$BF130</f>
        <v>0.15063728381094518</v>
      </c>
      <c r="BR130" s="703">
        <f>+AT130/$BF130</f>
        <v>-7.0634395272425307E-2</v>
      </c>
      <c r="BS130" s="227"/>
      <c r="BT130" s="227"/>
      <c r="BU130" s="227"/>
      <c r="BV130" s="227"/>
      <c r="BW130" s="227"/>
      <c r="BX130" s="1496"/>
      <c r="BY130" s="1496"/>
    </row>
    <row r="131" spans="1:77" hidden="1" outlineLevel="2">
      <c r="A131" s="227"/>
      <c r="B131" s="227"/>
      <c r="C131" s="227"/>
      <c r="D131" s="227"/>
      <c r="E131" s="696"/>
      <c r="F131" s="661"/>
      <c r="G131" s="2060"/>
      <c r="H131" s="663"/>
      <c r="I131" s="671"/>
      <c r="J131" s="701"/>
      <c r="K131" s="701"/>
      <c r="L131" s="701"/>
      <c r="M131" s="701"/>
      <c r="N131" s="953"/>
      <c r="O131" s="953"/>
      <c r="P131" s="700"/>
      <c r="Q131" s="686"/>
      <c r="R131" s="661"/>
      <c r="S131" s="2060"/>
      <c r="T131" s="663"/>
      <c r="U131" s="671"/>
      <c r="V131" s="700"/>
      <c r="W131" s="1106"/>
      <c r="X131" s="713"/>
      <c r="Y131" s="2060"/>
      <c r="Z131" s="663"/>
      <c r="AA131" s="671"/>
      <c r="AB131" s="713"/>
      <c r="AC131" s="1106"/>
      <c r="AD131" s="1109"/>
      <c r="AE131" s="713"/>
      <c r="AF131" s="713"/>
      <c r="AG131" s="686"/>
      <c r="AH131" s="661"/>
      <c r="AI131" s="2060"/>
      <c r="AJ131" s="663"/>
      <c r="AK131" s="671"/>
      <c r="AL131" s="700"/>
      <c r="AM131" s="686"/>
      <c r="AN131" s="1780"/>
      <c r="AO131" s="663"/>
      <c r="AP131" s="671"/>
      <c r="AQ131" s="700"/>
      <c r="AR131" s="686"/>
      <c r="AS131" s="661"/>
      <c r="AT131" s="663"/>
      <c r="AU131" s="671"/>
      <c r="AV131" s="700"/>
      <c r="AW131" s="673"/>
      <c r="AX131" s="662"/>
      <c r="AY131" s="693"/>
      <c r="AZ131" s="702"/>
      <c r="BA131" s="661"/>
      <c r="BB131" s="662"/>
      <c r="BC131" s="667"/>
      <c r="BD131" s="701"/>
      <c r="BE131" s="691"/>
      <c r="BF131" s="667"/>
      <c r="BG131" s="963" t="str">
        <f t="shared" si="1"/>
        <v/>
      </c>
      <c r="BH131" s="701"/>
      <c r="BI131" s="227"/>
      <c r="BJ131" s="703"/>
      <c r="BK131" s="703"/>
      <c r="BL131" s="703"/>
      <c r="BM131" s="703"/>
      <c r="BN131" s="227"/>
      <c r="BO131" s="703"/>
      <c r="BP131" s="703"/>
      <c r="BQ131" s="703"/>
      <c r="BR131" s="703"/>
      <c r="BS131" s="227"/>
      <c r="BT131" s="227"/>
      <c r="BU131" s="227"/>
      <c r="BV131" s="227"/>
      <c r="BW131" s="227"/>
      <c r="BX131" s="227"/>
      <c r="BY131" s="227"/>
    </row>
    <row r="132" spans="1:77" hidden="1" outlineLevel="2">
      <c r="A132" s="247"/>
      <c r="B132" s="2506">
        <f>+B125+1</f>
        <v>2007</v>
      </c>
      <c r="C132" s="2506"/>
      <c r="D132" s="247"/>
      <c r="E132" s="892"/>
      <c r="F132" s="893"/>
      <c r="G132" s="2064"/>
      <c r="H132" s="658"/>
      <c r="I132" s="895"/>
      <c r="J132" s="709"/>
      <c r="K132" s="709"/>
      <c r="L132" s="709"/>
      <c r="M132" s="709"/>
      <c r="N132" s="893"/>
      <c r="O132" s="798"/>
      <c r="P132" s="643"/>
      <c r="Q132" s="892"/>
      <c r="R132" s="893"/>
      <c r="S132" s="2064"/>
      <c r="T132" s="658"/>
      <c r="U132" s="895"/>
      <c r="V132" s="643"/>
      <c r="W132" s="1105"/>
      <c r="X132" s="893"/>
      <c r="Y132" s="2064"/>
      <c r="Z132" s="658"/>
      <c r="AA132" s="895"/>
      <c r="AB132" s="643"/>
      <c r="AC132" s="1105"/>
      <c r="AD132" s="1108"/>
      <c r="AE132" s="643"/>
      <c r="AF132" s="643"/>
      <c r="AG132" s="892"/>
      <c r="AH132" s="893"/>
      <c r="AI132" s="2064"/>
      <c r="AJ132" s="658"/>
      <c r="AK132" s="895"/>
      <c r="AL132" s="643"/>
      <c r="AM132" s="892"/>
      <c r="AN132" s="1108"/>
      <c r="AO132" s="658"/>
      <c r="AP132" s="894"/>
      <c r="AQ132" s="643"/>
      <c r="AR132" s="892"/>
      <c r="AS132" s="893"/>
      <c r="AT132" s="658"/>
      <c r="AU132" s="895"/>
      <c r="AV132" s="643"/>
      <c r="AW132" s="658"/>
      <c r="AX132" s="658"/>
      <c r="AY132" s="658"/>
      <c r="AZ132" s="659"/>
      <c r="BA132" s="256"/>
      <c r="BB132" s="256"/>
      <c r="BC132" s="658"/>
      <c r="BD132" s="658"/>
      <c r="BE132" s="658"/>
      <c r="BF132" s="658"/>
      <c r="BG132" s="963" t="str">
        <f t="shared" si="1"/>
        <v/>
      </c>
      <c r="BH132" s="247"/>
      <c r="BI132" s="247"/>
      <c r="BJ132" s="247"/>
      <c r="BK132" s="247"/>
      <c r="BL132" s="247"/>
      <c r="BM132" s="247"/>
      <c r="BN132" s="247"/>
      <c r="BO132" s="247"/>
      <c r="BP132" s="247"/>
      <c r="BQ132" s="247"/>
      <c r="BR132" s="247"/>
      <c r="BS132" s="247"/>
      <c r="BT132" s="247"/>
      <c r="BU132" s="247"/>
      <c r="BV132" s="247"/>
      <c r="BW132" s="247"/>
      <c r="BX132" s="247"/>
      <c r="BY132" s="247"/>
    </row>
    <row r="133" spans="1:77" hidden="1" outlineLevel="2">
      <c r="A133" s="247"/>
      <c r="B133" s="247" t="str">
        <f>$B$14</f>
        <v>1Q</v>
      </c>
      <c r="C133" s="247" t="str">
        <f>$C$14</f>
        <v>Apr</v>
      </c>
      <c r="D133" s="247"/>
      <c r="E133" s="724">
        <f>298.684</f>
        <v>298.68400000000003</v>
      </c>
      <c r="F133" s="661">
        <f>+(E133/E126-1)*100</f>
        <v>14.622764602041617</v>
      </c>
      <c r="G133" s="2063">
        <v>12</v>
      </c>
      <c r="H133" s="695">
        <f>108.215-H134</f>
        <v>43.603999999999999</v>
      </c>
      <c r="I133" s="671">
        <f>+H133/E133*100</f>
        <v>14.598706325079347</v>
      </c>
      <c r="J133" s="705"/>
      <c r="K133" s="705"/>
      <c r="L133" s="705"/>
      <c r="M133" s="705"/>
      <c r="N133" s="798">
        <v>26</v>
      </c>
      <c r="O133" s="798">
        <v>9</v>
      </c>
      <c r="P133" s="664"/>
      <c r="Q133" s="724">
        <v>248.00700000000001</v>
      </c>
      <c r="R133" s="661">
        <f>+(Q133/Q126-1)*100</f>
        <v>15.264170586157544</v>
      </c>
      <c r="S133" s="2063">
        <v>4</v>
      </c>
      <c r="T133" s="695">
        <v>60.530999999999999</v>
      </c>
      <c r="U133" s="671">
        <f>+T133/Q133*100</f>
        <v>24.406972383844003</v>
      </c>
      <c r="V133" s="664"/>
      <c r="W133" s="1104"/>
      <c r="X133" s="798">
        <v>-7</v>
      </c>
      <c r="Y133" s="2063"/>
      <c r="Z133" s="695"/>
      <c r="AA133" s="671"/>
      <c r="AB133" s="723"/>
      <c r="AC133" s="1104"/>
      <c r="AD133" s="1103">
        <v>24</v>
      </c>
      <c r="AE133" s="723">
        <v>11</v>
      </c>
      <c r="AF133" s="723"/>
      <c r="AG133" s="724"/>
      <c r="AH133" s="661"/>
      <c r="AI133" s="2063"/>
      <c r="AJ133" s="695"/>
      <c r="AK133" s="671"/>
      <c r="AL133" s="664"/>
      <c r="AM133" s="1022">
        <v>33.295999999999999</v>
      </c>
      <c r="AN133" s="1291">
        <f>+(AM133/AM126-1)*100</f>
        <v>11.145975898788251</v>
      </c>
      <c r="AO133" s="695">
        <f>21.635-AO134</f>
        <v>8.256000000000002</v>
      </c>
      <c r="AP133" s="671">
        <f>+AO133/AM133*100</f>
        <v>24.795771263815482</v>
      </c>
      <c r="AQ133" s="664"/>
      <c r="AR133" s="1022">
        <v>15.742000000000001</v>
      </c>
      <c r="AS133" s="802">
        <f>+(AR133/AR126-1)*100</f>
        <v>63.542023235250689</v>
      </c>
      <c r="AT133" s="695">
        <f>-9.292-AT134</f>
        <v>-4.4959999999999996</v>
      </c>
      <c r="AU133" s="671">
        <f>+AT133/AR133*100</f>
        <v>-28.560538686316857</v>
      </c>
      <c r="AV133" s="664"/>
      <c r="AW133" s="903">
        <f>'qtrP&amp;L'!BV10</f>
        <v>595.72900000000004</v>
      </c>
      <c r="AX133" s="665">
        <f>+(AW133/AW126-1)*100</f>
        <v>15.595627100489784</v>
      </c>
      <c r="AY133" s="904">
        <f>+E133+Q133+AM133+AR133</f>
        <v>595.72900000000004</v>
      </c>
      <c r="AZ133" s="682" t="str">
        <f>IF(AW133=AY133,"","n")</f>
        <v/>
      </c>
      <c r="BA133" s="665">
        <f>+(AY133/AY126-1)*100</f>
        <v>15.602208388275107</v>
      </c>
      <c r="BB133" s="664"/>
      <c r="BC133" s="903">
        <f>ROUND('qtrP&amp;L'!$BV48,3)</f>
        <v>87.917000000000002</v>
      </c>
      <c r="BD133" s="672">
        <f>+BC133/AW133*100</f>
        <v>14.757884877184088</v>
      </c>
      <c r="BE133" s="695">
        <v>26.608000000000001</v>
      </c>
      <c r="BF133" s="903">
        <f>+H133+T133+AO133+AT133-BE133</f>
        <v>81.286999999999992</v>
      </c>
      <c r="BG133" s="963" t="str">
        <f>IF(BC133=BF133,"","n")</f>
        <v>n</v>
      </c>
      <c r="BH133" s="672">
        <f>+BF133/AY133*100</f>
        <v>13.64496272634033</v>
      </c>
      <c r="BI133" s="247"/>
      <c r="BJ133" s="806">
        <f>+E133/$AY133</f>
        <v>0.5013756254941425</v>
      </c>
      <c r="BK133" s="806">
        <f>+Q133/$AY133</f>
        <v>0.41630842211811075</v>
      </c>
      <c r="BL133" s="806">
        <f>+AM133/AY133</f>
        <v>5.5891185421559124E-2</v>
      </c>
      <c r="BM133" s="806">
        <f>+AR133/AY133</f>
        <v>2.6424766966187646E-2</v>
      </c>
      <c r="BN133" s="247"/>
      <c r="BO133" s="806">
        <f>+H133/$BF133</f>
        <v>0.53642033781539489</v>
      </c>
      <c r="BP133" s="806">
        <f>+T133/$BF133</f>
        <v>0.74465781736317005</v>
      </c>
      <c r="BQ133" s="806">
        <f>+AO133/$BF133</f>
        <v>0.10156605607292682</v>
      </c>
      <c r="BR133" s="806">
        <f>+AT133/$BF133</f>
        <v>-5.5310197202504706E-2</v>
      </c>
      <c r="BS133" s="247"/>
      <c r="BT133" s="247"/>
      <c r="BU133" s="247"/>
      <c r="BV133" s="247"/>
      <c r="BW133" s="247"/>
      <c r="BX133" s="247"/>
      <c r="BY133" s="247"/>
    </row>
    <row r="134" spans="1:77" hidden="1" outlineLevel="2">
      <c r="A134" s="247"/>
      <c r="B134" s="247" t="str">
        <f>$B$15</f>
        <v>2Q</v>
      </c>
      <c r="C134" s="247" t="str">
        <f>$C$15</f>
        <v>Jul</v>
      </c>
      <c r="D134" s="247"/>
      <c r="E134" s="805">
        <v>345.33600000000001</v>
      </c>
      <c r="F134" s="802">
        <f>+(E134/E127-1)*100</f>
        <v>19.677289676873833</v>
      </c>
      <c r="G134" s="2063">
        <v>17</v>
      </c>
      <c r="H134" s="691">
        <v>64.611000000000004</v>
      </c>
      <c r="I134" s="671">
        <f>+H134/E134*100</f>
        <v>18.709604559038155</v>
      </c>
      <c r="J134" s="705"/>
      <c r="K134" s="705"/>
      <c r="L134" s="705"/>
      <c r="M134" s="705"/>
      <c r="N134" s="798">
        <v>31</v>
      </c>
      <c r="O134" s="798">
        <v>14</v>
      </c>
      <c r="P134" s="664"/>
      <c r="Q134" s="805">
        <v>259.02300000000002</v>
      </c>
      <c r="R134" s="661">
        <f>+(Q134/Q127-1)*100</f>
        <v>16.074173325028141</v>
      </c>
      <c r="S134" s="2063">
        <v>7</v>
      </c>
      <c r="T134" s="691">
        <v>61.652000000000001</v>
      </c>
      <c r="U134" s="671">
        <f>+T134/Q134*100</f>
        <v>23.801747335178728</v>
      </c>
      <c r="V134" s="664"/>
      <c r="W134" s="1104"/>
      <c r="X134" s="798">
        <v>-6</v>
      </c>
      <c r="Y134" s="2063"/>
      <c r="Z134" s="691"/>
      <c r="AA134" s="671"/>
      <c r="AB134" s="723"/>
      <c r="AC134" s="1104"/>
      <c r="AD134" s="1103">
        <v>24</v>
      </c>
      <c r="AE134" s="723">
        <v>23</v>
      </c>
      <c r="AF134" s="723"/>
      <c r="AG134" s="805"/>
      <c r="AH134" s="661"/>
      <c r="AI134" s="2063"/>
      <c r="AJ134" s="691"/>
      <c r="AK134" s="671"/>
      <c r="AL134" s="664"/>
      <c r="AM134" s="805">
        <v>40.103000000000002</v>
      </c>
      <c r="AN134" s="1291">
        <f>+(AM134/AM127-1)*100</f>
        <v>12.201331766549162</v>
      </c>
      <c r="AO134" s="691">
        <v>13.379</v>
      </c>
      <c r="AP134" s="671">
        <f>+AO134/AM134*100</f>
        <v>33.361593895718521</v>
      </c>
      <c r="AQ134" s="664"/>
      <c r="AR134" s="805">
        <v>18.100000000000001</v>
      </c>
      <c r="AS134" s="802">
        <f>+(AR134/AR127-1)*100</f>
        <v>150.99999999999997</v>
      </c>
      <c r="AT134" s="691">
        <v>-4.7960000000000003</v>
      </c>
      <c r="AU134" s="671">
        <f>+AT134/AR134*100</f>
        <v>-26.497237569060772</v>
      </c>
      <c r="AV134" s="664"/>
      <c r="AW134" s="673">
        <f>'qtrP&amp;L'!BV11</f>
        <v>662.56200000000001</v>
      </c>
      <c r="AX134" s="912">
        <f>+(AW134/AW127-1)*100</f>
        <v>19.454365490744728</v>
      </c>
      <c r="AY134" s="673">
        <f>+E134+Q134+AM134+AR134</f>
        <v>662.56200000000001</v>
      </c>
      <c r="AZ134" s="804" t="str">
        <f>IF(AW134=AY134,"","n")</f>
        <v/>
      </c>
      <c r="BA134" s="912">
        <f>+(AY134/AY127-1)*100</f>
        <v>19.453255206835983</v>
      </c>
      <c r="BB134" s="664"/>
      <c r="BC134" s="673">
        <f>'qtrP&amp;L'!$BV49</f>
        <v>112.78699999999998</v>
      </c>
      <c r="BD134" s="672">
        <f>+BC134/AW134*100</f>
        <v>17.022859747465137</v>
      </c>
      <c r="BE134" s="691">
        <v>27.852</v>
      </c>
      <c r="BF134" s="673">
        <f>+H134+T134+AO134+AT134-BE134</f>
        <v>106.994</v>
      </c>
      <c r="BG134" s="1011" t="str">
        <f t="shared" si="1"/>
        <v>n</v>
      </c>
      <c r="BH134" s="672">
        <f>+BF134/AY134*100</f>
        <v>16.148526477522104</v>
      </c>
      <c r="BI134" s="247"/>
      <c r="BJ134" s="806">
        <f>+E134/$AY134</f>
        <v>0.5212131091128076</v>
      </c>
      <c r="BK134" s="806">
        <f>+Q134/$AY134</f>
        <v>0.39094152698162588</v>
      </c>
      <c r="BL134" s="806">
        <f>+AM134/AY134</f>
        <v>6.0527165759581746E-2</v>
      </c>
      <c r="BM134" s="806">
        <f>+AR134/AY134</f>
        <v>2.731819814598483E-2</v>
      </c>
      <c r="BN134" s="247"/>
      <c r="BO134" s="806">
        <f>+H134/$BF134</f>
        <v>0.60387498364394265</v>
      </c>
      <c r="BP134" s="806">
        <f>+T134/$BF134</f>
        <v>0.57621922724638763</v>
      </c>
      <c r="BQ134" s="806">
        <f>+AO134/$BF134</f>
        <v>0.12504439501280445</v>
      </c>
      <c r="BR134" s="806">
        <f>+AT134/$BF134</f>
        <v>-4.482494345477317E-2</v>
      </c>
      <c r="BS134" s="247"/>
      <c r="BT134" s="247"/>
      <c r="BU134" s="247"/>
      <c r="BV134" s="247"/>
      <c r="BW134" s="247"/>
      <c r="BX134" s="247"/>
      <c r="BY134" s="247"/>
    </row>
    <row r="135" spans="1:77" hidden="1" outlineLevel="2">
      <c r="A135" s="247"/>
      <c r="B135" s="247" t="str">
        <f>$B$16</f>
        <v>3Q</v>
      </c>
      <c r="C135" s="247" t="str">
        <f>$C$16</f>
        <v>Oct</v>
      </c>
      <c r="D135" s="247"/>
      <c r="E135" s="805">
        <v>302.673</v>
      </c>
      <c r="F135" s="802">
        <f>+(E135/E128-1)*100</f>
        <v>11.946459150876754</v>
      </c>
      <c r="G135" s="2063">
        <v>8</v>
      </c>
      <c r="H135" s="673">
        <f>E135*I135/100</f>
        <v>34.807395</v>
      </c>
      <c r="I135" s="698">
        <v>11.5</v>
      </c>
      <c r="J135" s="705"/>
      <c r="K135" s="705"/>
      <c r="L135" s="705"/>
      <c r="M135" s="705"/>
      <c r="N135" s="798">
        <v>25</v>
      </c>
      <c r="O135" s="798">
        <v>4</v>
      </c>
      <c r="P135" s="664"/>
      <c r="Q135" s="805">
        <v>270.84500000000003</v>
      </c>
      <c r="R135" s="661">
        <f>+(Q135/Q128-1)*100</f>
        <v>22.177814066158131</v>
      </c>
      <c r="S135" s="2063">
        <v>10</v>
      </c>
      <c r="T135" s="673">
        <f>Q135*U135/100</f>
        <v>62.836040000000004</v>
      </c>
      <c r="U135" s="698">
        <v>23.2</v>
      </c>
      <c r="V135" s="664"/>
      <c r="W135" s="1104"/>
      <c r="X135" s="798">
        <v>-1</v>
      </c>
      <c r="Y135" s="2063"/>
      <c r="Z135" s="673"/>
      <c r="AA135" s="698"/>
      <c r="AB135" s="723"/>
      <c r="AC135" s="1104"/>
      <c r="AD135" s="1103">
        <v>29</v>
      </c>
      <c r="AE135" s="723">
        <v>14</v>
      </c>
      <c r="AF135" s="723"/>
      <c r="AG135" s="805"/>
      <c r="AH135" s="661"/>
      <c r="AI135" s="2063"/>
      <c r="AJ135" s="673"/>
      <c r="AK135" s="698"/>
      <c r="AL135" s="664"/>
      <c r="AM135" s="805">
        <v>31.373000000000001</v>
      </c>
      <c r="AN135" s="1291">
        <f>+(AM135/AM128-1)*100</f>
        <v>3.513923716510492</v>
      </c>
      <c r="AO135" s="673">
        <f>AP135/100*AM135</f>
        <v>4.7059499999999996</v>
      </c>
      <c r="AP135" s="698">
        <v>15</v>
      </c>
      <c r="AQ135" s="664"/>
      <c r="AR135" s="805">
        <v>22.431999999999999</v>
      </c>
      <c r="AS135" s="802">
        <f>+(AR135/AR128-1)*100</f>
        <v>-11.768407803650094</v>
      </c>
      <c r="AT135" s="673">
        <f>AU135/100*AR135</f>
        <v>-6.0566399999999998</v>
      </c>
      <c r="AU135" s="698">
        <v>-27</v>
      </c>
      <c r="AV135" s="664"/>
      <c r="AW135" s="673">
        <f>'qtrP&amp;L'!BV12</f>
        <v>627.32299999999998</v>
      </c>
      <c r="AX135" s="912">
        <f>+(AW135/AW128-1)*100</f>
        <v>17.95466254507987</v>
      </c>
      <c r="AY135" s="673">
        <f>+E135+Q135+AM135+AR135</f>
        <v>627.32300000000009</v>
      </c>
      <c r="AZ135" s="804" t="str">
        <f>IF(AW135=AY135,"","n")</f>
        <v/>
      </c>
      <c r="BA135" s="912">
        <f>+(AY135/AY128-1)*100</f>
        <v>14.519721204996138</v>
      </c>
      <c r="BB135" s="664"/>
      <c r="BC135" s="673">
        <f>'qtrP&amp;L'!$BV50</f>
        <v>63.143999999999949</v>
      </c>
      <c r="BD135" s="672">
        <f>+BC135/AW135*100</f>
        <v>10.065628073576125</v>
      </c>
      <c r="BE135" s="673">
        <f>+BE128</f>
        <v>33.021999999999998</v>
      </c>
      <c r="BF135" s="673">
        <f>+H135+T135+AO135+AT135-BE135</f>
        <v>63.270745000000012</v>
      </c>
      <c r="BG135" s="1011" t="str">
        <f t="shared" si="1"/>
        <v>n</v>
      </c>
      <c r="BH135" s="672">
        <f>+BF135/AY135*100</f>
        <v>10.085832178957252</v>
      </c>
      <c r="BI135" s="247"/>
      <c r="BJ135" s="806">
        <f>+E135/$AY135</f>
        <v>0.48248350530747314</v>
      </c>
      <c r="BK135" s="806">
        <f>+Q135/$AY135</f>
        <v>0.4317472817033649</v>
      </c>
      <c r="BL135" s="806">
        <f>+AM135/AY135</f>
        <v>5.0010919414719364E-2</v>
      </c>
      <c r="BM135" s="806">
        <f>+AR135/AY135</f>
        <v>3.5758293574442504E-2</v>
      </c>
      <c r="BN135" s="247"/>
      <c r="BO135" s="806">
        <f>+H135/$BF135</f>
        <v>0.55013411016418401</v>
      </c>
      <c r="BP135" s="806">
        <f>+T135/$BF135</f>
        <v>0.99312944710861228</v>
      </c>
      <c r="BQ135" s="806">
        <f>+AO135/$BF135</f>
        <v>7.4377976741067275E-2</v>
      </c>
      <c r="BR135" s="806">
        <f>+AT135/$BF135</f>
        <v>-9.572575761515055E-2</v>
      </c>
      <c r="BS135" s="247"/>
      <c r="BT135" s="247"/>
      <c r="BU135" s="247"/>
      <c r="BV135" s="247"/>
      <c r="BW135" s="247"/>
      <c r="BX135" s="247"/>
      <c r="BY135" s="247"/>
    </row>
    <row r="136" spans="1:77" hidden="1" outlineLevel="2">
      <c r="A136" s="247"/>
      <c r="B136" s="247" t="str">
        <f>$B$17</f>
        <v>4Q</v>
      </c>
      <c r="C136" s="247" t="str">
        <f>$C$17</f>
        <v>Jan</v>
      </c>
      <c r="D136" s="247"/>
      <c r="E136" s="807">
        <v>527.94500000000005</v>
      </c>
      <c r="F136" s="802">
        <f>+(E136/E129-1)*100</f>
        <v>4.1451318914568436</v>
      </c>
      <c r="G136" s="2063">
        <v>-1</v>
      </c>
      <c r="H136" s="801">
        <f>E136*I136/100</f>
        <v>153.10405</v>
      </c>
      <c r="I136" s="698">
        <v>29</v>
      </c>
      <c r="J136" s="705"/>
      <c r="K136" s="705"/>
      <c r="L136" s="705"/>
      <c r="M136" s="705"/>
      <c r="N136" s="798">
        <v>10</v>
      </c>
      <c r="O136" s="798">
        <v>-4</v>
      </c>
      <c r="P136" s="664"/>
      <c r="Q136" s="807">
        <v>422.56700000000001</v>
      </c>
      <c r="R136" s="661">
        <f>+(Q136/Q129-1)*100</f>
        <v>20.516842588605044</v>
      </c>
      <c r="S136" s="2063">
        <v>6</v>
      </c>
      <c r="T136" s="801">
        <f>Q136*U136/100</f>
        <v>124.65726500000001</v>
      </c>
      <c r="U136" s="698">
        <v>29.5</v>
      </c>
      <c r="V136" s="664"/>
      <c r="W136" s="1104"/>
      <c r="X136" s="798">
        <v>-6</v>
      </c>
      <c r="Y136" s="2063"/>
      <c r="Z136" s="801"/>
      <c r="AA136" s="698"/>
      <c r="AB136" s="723"/>
      <c r="AC136" s="1104"/>
      <c r="AD136" s="1103">
        <v>28</v>
      </c>
      <c r="AE136" s="723">
        <v>8</v>
      </c>
      <c r="AF136" s="723"/>
      <c r="AG136" s="805"/>
      <c r="AH136" s="661"/>
      <c r="AI136" s="2063"/>
      <c r="AJ136" s="1098"/>
      <c r="AK136" s="698"/>
      <c r="AL136" s="664"/>
      <c r="AM136" s="807">
        <v>77.355000000000004</v>
      </c>
      <c r="AN136" s="1291">
        <f>+(AM136/AM129-1)*100</f>
        <v>-0.91711390913398194</v>
      </c>
      <c r="AO136" s="801">
        <f>AP136/100*AM136</f>
        <v>40.998150000000003</v>
      </c>
      <c r="AP136" s="698">
        <v>53</v>
      </c>
      <c r="AQ136" s="664"/>
      <c r="AR136" s="807">
        <v>25.29</v>
      </c>
      <c r="AS136" s="802">
        <f>+(AR136/AR129-1)*100</f>
        <v>-50.13997870746423</v>
      </c>
      <c r="AT136" s="801">
        <f>AU136/100*AR136</f>
        <v>-6.8283000000000005</v>
      </c>
      <c r="AU136" s="698">
        <v>-27</v>
      </c>
      <c r="AV136" s="664"/>
      <c r="AW136" s="677">
        <f>'qtrP&amp;L'!BV13</f>
        <v>1053.1569999999999</v>
      </c>
      <c r="AX136" s="912">
        <f>+(AW136/AW129-1)*100</f>
        <v>9.8311897022276931</v>
      </c>
      <c r="AY136" s="677">
        <f>+E136+Q136+AM136+AR136</f>
        <v>1053.1569999999999</v>
      </c>
      <c r="AZ136" s="804" t="str">
        <f>IF(AW136=AY136,"","n")</f>
        <v/>
      </c>
      <c r="BA136" s="912">
        <f>+(AY136/AY129-1)*100</f>
        <v>6.7727205445509364</v>
      </c>
      <c r="BB136" s="664"/>
      <c r="BC136" s="677">
        <f>'qtrP&amp;L'!$BV51</f>
        <v>281.15199999999987</v>
      </c>
      <c r="BD136" s="685">
        <f>+BC136/AW136*100</f>
        <v>26.69611463438024</v>
      </c>
      <c r="BE136" s="801">
        <f>BE137-SUM(BE133:BE135)</f>
        <v>49.50200000000001</v>
      </c>
      <c r="BF136" s="677">
        <f>+H136+T136+AO136+AT136-BE136</f>
        <v>262.42916500000001</v>
      </c>
      <c r="BG136" s="1011" t="str">
        <f t="shared" si="1"/>
        <v>n</v>
      </c>
      <c r="BH136" s="672">
        <f>+BF136/AY136*100</f>
        <v>24.91833268923817</v>
      </c>
      <c r="BI136" s="247"/>
      <c r="BJ136" s="806">
        <f>+E136/$AY136</f>
        <v>0.50129752733922872</v>
      </c>
      <c r="BK136" s="806">
        <f>+Q136/$AY136</f>
        <v>0.40123837186668276</v>
      </c>
      <c r="BL136" s="806">
        <f>+AM136/AY136</f>
        <v>7.3450587139429369E-2</v>
      </c>
      <c r="BM136" s="806">
        <f>+AR136/AY136</f>
        <v>2.4013513654659278E-2</v>
      </c>
      <c r="BN136" s="247"/>
      <c r="BO136" s="806">
        <f>+H136/$BF136</f>
        <v>0.58341095586689073</v>
      </c>
      <c r="BP136" s="806">
        <f>+T136/$BF136</f>
        <v>0.47501300017473286</v>
      </c>
      <c r="BQ136" s="806">
        <f>+AO136/$BF136</f>
        <v>0.15622558567375697</v>
      </c>
      <c r="BR136" s="806">
        <f>+AT136/$BF136</f>
        <v>-2.6019592753724612E-2</v>
      </c>
      <c r="BS136" s="247"/>
      <c r="BT136" s="247"/>
      <c r="BU136" s="247"/>
      <c r="BV136" s="247"/>
      <c r="BW136" s="247"/>
      <c r="BX136" s="247"/>
      <c r="BY136" s="247"/>
    </row>
    <row r="137" spans="1:77" hidden="1" outlineLevel="2">
      <c r="A137" s="658"/>
      <c r="B137" s="658"/>
      <c r="C137" s="658" t="str">
        <f>$C$18</f>
        <v>Year</v>
      </c>
      <c r="D137" s="658"/>
      <c r="E137" s="946">
        <f>+SUM(E133:E136)</f>
        <v>1474.6379999999999</v>
      </c>
      <c r="F137" s="802">
        <f>+(E137/E130-1)*100</f>
        <v>11.172528593431586</v>
      </c>
      <c r="G137" s="2063">
        <v>7</v>
      </c>
      <c r="H137" s="667">
        <f>SUM(H134:H136)</f>
        <v>252.522445</v>
      </c>
      <c r="I137" s="671">
        <f>+H137/E137*100</f>
        <v>17.124368489080034</v>
      </c>
      <c r="J137" s="701"/>
      <c r="K137" s="701"/>
      <c r="L137" s="701"/>
      <c r="M137" s="701"/>
      <c r="N137" s="798">
        <v>21</v>
      </c>
      <c r="O137" s="798">
        <v>4</v>
      </c>
      <c r="P137" s="700"/>
      <c r="Q137" s="799">
        <f>+SUM(Q133:Q136)</f>
        <v>1200.442</v>
      </c>
      <c r="R137" s="661">
        <f>+(Q137/Q130-1)*100</f>
        <v>18.781904698766194</v>
      </c>
      <c r="S137" s="2063">
        <v>7</v>
      </c>
      <c r="T137" s="667">
        <f>SUM(T133:T136)</f>
        <v>309.67630500000001</v>
      </c>
      <c r="U137" s="671">
        <f>+T137/Q137*100</f>
        <v>25.796856907705664</v>
      </c>
      <c r="V137" s="700"/>
      <c r="W137" s="1104"/>
      <c r="X137" s="798">
        <v>-5</v>
      </c>
      <c r="Y137" s="2063"/>
      <c r="Z137" s="667"/>
      <c r="AA137" s="671"/>
      <c r="AB137" s="798"/>
      <c r="AC137" s="1104"/>
      <c r="AD137" s="1103">
        <v>26</v>
      </c>
      <c r="AE137" s="798">
        <v>13</v>
      </c>
      <c r="AF137" s="798"/>
      <c r="AG137" s="799"/>
      <c r="AH137" s="661"/>
      <c r="AI137" s="2063"/>
      <c r="AJ137" s="667"/>
      <c r="AK137" s="671"/>
      <c r="AL137" s="700"/>
      <c r="AM137" s="799">
        <f>+SUM(AM133:AM136)</f>
        <v>182.12700000000001</v>
      </c>
      <c r="AN137" s="1291">
        <f>+(AM137/AM130-1)*100</f>
        <v>4.6237893358149762</v>
      </c>
      <c r="AO137" s="667">
        <f>SUM(AO133:AO136)</f>
        <v>67.339100000000002</v>
      </c>
      <c r="AP137" s="698">
        <f>+AO137/AM137*100</f>
        <v>36.973705161782711</v>
      </c>
      <c r="AQ137" s="700"/>
      <c r="AR137" s="799">
        <f>+SUM(AR133:AR136)</f>
        <v>81.563999999999993</v>
      </c>
      <c r="AS137" s="802">
        <f>+(AR137/AR130-1)*100</f>
        <v>-12.280565830759082</v>
      </c>
      <c r="AT137" s="667">
        <f>SUM(AT133:AT136)</f>
        <v>-22.176940000000002</v>
      </c>
      <c r="AU137" s="671">
        <f>+AT137/AR137*100</f>
        <v>-27.189617968711694</v>
      </c>
      <c r="AV137" s="700"/>
      <c r="AW137" s="673">
        <f>'qtrP&amp;L'!BV14</f>
        <v>2938.7709999999997</v>
      </c>
      <c r="AX137" s="912">
        <f>+(AW137/AW130-1)*100</f>
        <v>14.76283753017691</v>
      </c>
      <c r="AY137" s="1021">
        <f>+E137+Q137+AM137+AR137</f>
        <v>2938.7709999999997</v>
      </c>
      <c r="AZ137" s="1494"/>
      <c r="BA137" s="912">
        <f>+(AY137/AY130-1)*100</f>
        <v>12.850446645870939</v>
      </c>
      <c r="BB137" s="700"/>
      <c r="BC137" s="667">
        <f>'qtrP&amp;L'!$BV52</f>
        <v>544.99999999999977</v>
      </c>
      <c r="BD137" s="701">
        <f>+BC137/AW137*100</f>
        <v>18.545167350569329</v>
      </c>
      <c r="BE137" s="691">
        <v>136.98400000000001</v>
      </c>
      <c r="BF137" s="667">
        <f>+H137+T137+AO137+AT137-BE137</f>
        <v>470.37691000000007</v>
      </c>
      <c r="BG137" s="1011" t="str">
        <f t="shared" si="1"/>
        <v>n</v>
      </c>
      <c r="BH137" s="701">
        <f>+BF137/AY137*100</f>
        <v>16.005905529896687</v>
      </c>
      <c r="BI137" s="658"/>
      <c r="BJ137" s="203">
        <f>+E137/$AY137</f>
        <v>0.50178731177080493</v>
      </c>
      <c r="BK137" s="203">
        <f>+Q137/$AY137</f>
        <v>0.4084843630211405</v>
      </c>
      <c r="BL137" s="203">
        <f>+AM137/AY137</f>
        <v>6.1973865946002606E-2</v>
      </c>
      <c r="BM137" s="203">
        <f>+AR137/AY137</f>
        <v>2.7754459262052063E-2</v>
      </c>
      <c r="BN137" s="658"/>
      <c r="BO137" s="203">
        <f>+H137/$BF137</f>
        <v>0.53685127741495642</v>
      </c>
      <c r="BP137" s="203">
        <f>+T137/$BF137</f>
        <v>0.65835779439088538</v>
      </c>
      <c r="BQ137" s="203">
        <f>+AO137/$BF137</f>
        <v>0.14315987576856185</v>
      </c>
      <c r="BR137" s="203">
        <f>+AT137/$BF137</f>
        <v>-4.7147169702696501E-2</v>
      </c>
      <c r="BS137" s="658"/>
      <c r="BT137" s="658"/>
      <c r="BU137" s="658"/>
      <c r="BV137" s="658"/>
      <c r="BW137" s="658"/>
      <c r="BX137" s="658"/>
      <c r="BY137" s="658"/>
    </row>
    <row r="138" spans="1:77" hidden="1" outlineLevel="3">
      <c r="A138" s="658"/>
      <c r="B138" s="658"/>
      <c r="C138" s="658"/>
      <c r="D138" s="658"/>
      <c r="E138" s="946"/>
      <c r="F138" s="802"/>
      <c r="G138" s="2063"/>
      <c r="H138" s="695"/>
      <c r="I138" s="671"/>
      <c r="J138" s="701"/>
      <c r="K138" s="701"/>
      <c r="L138" s="701"/>
      <c r="M138" s="701"/>
      <c r="N138" s="798"/>
      <c r="O138" s="798"/>
      <c r="P138" s="700"/>
      <c r="Q138" s="799"/>
      <c r="R138" s="802"/>
      <c r="S138" s="2063"/>
      <c r="T138" s="695"/>
      <c r="U138" s="671"/>
      <c r="V138" s="700"/>
      <c r="W138" s="1106"/>
      <c r="X138" s="713"/>
      <c r="Y138" s="2063"/>
      <c r="Z138" s="695"/>
      <c r="AA138" s="671"/>
      <c r="AB138" s="713"/>
      <c r="AC138" s="1106"/>
      <c r="AD138" s="1109"/>
      <c r="AE138" s="713"/>
      <c r="AF138" s="713"/>
      <c r="AG138" s="799"/>
      <c r="AH138" s="802"/>
      <c r="AI138" s="2063"/>
      <c r="AJ138" s="695"/>
      <c r="AK138" s="671"/>
      <c r="AL138" s="700"/>
      <c r="AM138" s="799"/>
      <c r="AN138" s="1291"/>
      <c r="AO138" s="695"/>
      <c r="AP138" s="671"/>
      <c r="AQ138" s="700"/>
      <c r="AR138" s="799"/>
      <c r="AS138" s="802"/>
      <c r="AT138" s="695"/>
      <c r="AU138" s="671"/>
      <c r="AV138" s="700"/>
      <c r="AW138" s="673"/>
      <c r="AX138" s="700"/>
      <c r="AY138" s="1021"/>
      <c r="AZ138" s="1035"/>
      <c r="BA138" s="802"/>
      <c r="BB138" s="700"/>
      <c r="BC138" s="667"/>
      <c r="BD138" s="701"/>
      <c r="BE138" s="691"/>
      <c r="BF138" s="667"/>
      <c r="BG138" s="1011" t="str">
        <f t="shared" ref="BG138:BG145" si="2">IF(BC138=BF138,"","n")</f>
        <v/>
      </c>
      <c r="BH138" s="701"/>
      <c r="BI138" s="658"/>
      <c r="BJ138" s="203"/>
      <c r="BK138" s="203"/>
      <c r="BL138" s="203"/>
      <c r="BM138" s="203"/>
      <c r="BN138" s="658"/>
      <c r="BO138" s="203"/>
      <c r="BP138" s="203"/>
      <c r="BQ138" s="203"/>
      <c r="BR138" s="203"/>
      <c r="BS138" s="658"/>
      <c r="BT138" s="658"/>
      <c r="BU138" s="658"/>
      <c r="BV138" s="658"/>
      <c r="BW138" s="658"/>
      <c r="BX138" s="658"/>
      <c r="BY138" s="658"/>
    </row>
    <row r="139" spans="1:77" hidden="1" outlineLevel="3">
      <c r="A139" s="1052"/>
      <c r="B139" s="2506">
        <f>+B132+1</f>
        <v>2008</v>
      </c>
      <c r="C139" s="2506"/>
      <c r="D139" s="1052"/>
      <c r="E139" s="1053"/>
      <c r="F139" s="1054"/>
      <c r="G139" s="2065"/>
      <c r="H139" s="1055"/>
      <c r="I139" s="1056"/>
      <c r="J139" s="1057"/>
      <c r="K139" s="1057"/>
      <c r="L139" s="1057"/>
      <c r="M139" s="1057"/>
      <c r="N139" s="1054"/>
      <c r="O139" s="1058"/>
      <c r="P139" s="742"/>
      <c r="Q139" s="1053"/>
      <c r="R139" s="1054"/>
      <c r="S139" s="2065"/>
      <c r="T139" s="1055"/>
      <c r="U139" s="1056"/>
      <c r="V139" s="742"/>
      <c r="W139" s="1798"/>
      <c r="X139" s="1054"/>
      <c r="Y139" s="2065"/>
      <c r="Z139" s="1055"/>
      <c r="AA139" s="1056"/>
      <c r="AB139" s="742"/>
      <c r="AC139" s="1798"/>
      <c r="AD139" s="1781"/>
      <c r="AE139" s="742"/>
      <c r="AF139" s="742"/>
      <c r="AG139" s="1053"/>
      <c r="AH139" s="1054"/>
      <c r="AI139" s="2065"/>
      <c r="AJ139" s="1055"/>
      <c r="AK139" s="1056"/>
      <c r="AL139" s="742"/>
      <c r="AM139" s="1053"/>
      <c r="AN139" s="1781"/>
      <c r="AO139" s="1055"/>
      <c r="AP139" s="1059"/>
      <c r="AQ139" s="742"/>
      <c r="AR139" s="1053"/>
      <c r="AS139" s="1054"/>
      <c r="AT139" s="1055"/>
      <c r="AU139" s="1056"/>
      <c r="AV139" s="742"/>
      <c r="AW139" s="1055"/>
      <c r="AX139" s="1055"/>
      <c r="AY139" s="1055"/>
      <c r="AZ139" s="1060"/>
      <c r="BA139" s="741"/>
      <c r="BB139" s="741"/>
      <c r="BC139" s="1055"/>
      <c r="BD139" s="1055"/>
      <c r="BE139" s="1055"/>
      <c r="BF139" s="1055"/>
      <c r="BG139" s="1061" t="str">
        <f t="shared" si="2"/>
        <v/>
      </c>
      <c r="BH139" s="1052"/>
      <c r="BI139" s="1052"/>
      <c r="BJ139" s="1052"/>
      <c r="BK139" s="1052"/>
      <c r="BL139" s="1052"/>
      <c r="BM139" s="1052"/>
      <c r="BN139" s="1052"/>
      <c r="BO139" s="1052"/>
      <c r="BP139" s="1052"/>
      <c r="BQ139" s="1052"/>
      <c r="BR139" s="1052"/>
      <c r="BS139" s="1052"/>
      <c r="BT139" s="1052"/>
      <c r="BU139" s="1052"/>
      <c r="BV139" s="1052"/>
      <c r="BW139" s="1052"/>
      <c r="BX139" s="1052"/>
      <c r="BY139" s="1052"/>
    </row>
    <row r="140" spans="1:77" hidden="1" outlineLevel="3">
      <c r="A140" s="1052"/>
      <c r="B140" s="1052" t="str">
        <f>$B$14</f>
        <v>1Q</v>
      </c>
      <c r="C140" s="1052" t="str">
        <f>$C$14</f>
        <v>Apr</v>
      </c>
      <c r="D140" s="1052"/>
      <c r="E140" s="1062">
        <f>SeqQtrSales!V156</f>
        <v>373.565</v>
      </c>
      <c r="F140" s="1063">
        <f>+(E140/E133-1)*100</f>
        <v>25.070308419600629</v>
      </c>
      <c r="G140" s="2066">
        <f>SeqQtrSales!H156</f>
        <v>1</v>
      </c>
      <c r="H140" s="1065">
        <f>E140*I140/100</f>
        <v>54.540489999999998</v>
      </c>
      <c r="I140" s="1066">
        <v>14.6</v>
      </c>
      <c r="J140" s="1067"/>
      <c r="K140" s="1067"/>
      <c r="L140" s="1067"/>
      <c r="M140" s="1067"/>
      <c r="N140" s="1068">
        <v>10</v>
      </c>
      <c r="O140" s="1068">
        <v>-3</v>
      </c>
      <c r="P140" s="1069"/>
      <c r="Q140" s="1062">
        <f>SeqQtrSales!V319</f>
        <v>281.45723937142861</v>
      </c>
      <c r="R140" s="1063">
        <f>Q140/Q133-1</f>
        <v>0.13487619047619059</v>
      </c>
      <c r="S140" s="2066">
        <f>SeqQtrSales!H319</f>
        <v>4.4400000000000004</v>
      </c>
      <c r="T140" s="1065">
        <f>Q140*U140/100</f>
        <v>68.675566406628576</v>
      </c>
      <c r="U140" s="1066">
        <v>24.4</v>
      </c>
      <c r="V140" s="1069"/>
      <c r="W140" s="1799"/>
      <c r="X140" s="1068">
        <v>-4</v>
      </c>
      <c r="Y140" s="2066"/>
      <c r="Z140" s="1065"/>
      <c r="AA140" s="1066"/>
      <c r="AB140" s="1070"/>
      <c r="AC140" s="1799"/>
      <c r="AD140" s="1800">
        <v>20</v>
      </c>
      <c r="AE140" s="1070">
        <v>7</v>
      </c>
      <c r="AF140" s="1070"/>
      <c r="AG140" s="1062"/>
      <c r="AH140" s="1063"/>
      <c r="AI140" s="2066"/>
      <c r="AJ140" s="1065"/>
      <c r="AK140" s="1066"/>
      <c r="AL140" s="1069"/>
      <c r="AM140" s="1062">
        <f>AM133*(1+AN140/100)</f>
        <v>34.294879999999999</v>
      </c>
      <c r="AN140" s="1782">
        <v>3</v>
      </c>
      <c r="AO140" s="1065">
        <f>AP140/100*AM140</f>
        <v>8.5051302399999997</v>
      </c>
      <c r="AP140" s="1066">
        <v>24.8</v>
      </c>
      <c r="AQ140" s="1069"/>
      <c r="AR140" s="1062">
        <f>AR133*(1+AS140/100)</f>
        <v>17.316200000000002</v>
      </c>
      <c r="AS140" s="1071">
        <v>10</v>
      </c>
      <c r="AT140" s="1065">
        <f>AU140/100*AR140</f>
        <v>-4.9524332000000015</v>
      </c>
      <c r="AU140" s="1066">
        <v>-28.6</v>
      </c>
      <c r="AV140" s="1069"/>
      <c r="AW140" s="1072">
        <f>'qtrP&amp;L'!BZ10</f>
        <v>665.48</v>
      </c>
      <c r="AX140" s="1073">
        <f>+(AW140/AW133-1)*100</f>
        <v>11.708511756184436</v>
      </c>
      <c r="AY140" s="1074">
        <f>+E140+Q140+AM140+AR140</f>
        <v>706.63331937142868</v>
      </c>
      <c r="AZ140" s="1075" t="str">
        <f>IF(AW140=AY140,"","n")</f>
        <v>n</v>
      </c>
      <c r="BA140" s="1073">
        <f>+(AY140/AY133-1)*100</f>
        <v>18.616572194979362</v>
      </c>
      <c r="BB140" s="1069"/>
      <c r="BC140" s="1072">
        <f>ROUND('qtrP&amp;L'!$BZ48,3)</f>
        <v>106.68600000000001</v>
      </c>
      <c r="BD140" s="1076">
        <f>+BC140/AW140*100</f>
        <v>16.031435956001683</v>
      </c>
      <c r="BE140" s="1077">
        <v>26.608000000000001</v>
      </c>
      <c r="BF140" s="1072">
        <f>+H140+T140+AO140+AT140-BE140</f>
        <v>100.16075344662858</v>
      </c>
      <c r="BG140" s="1061" t="str">
        <f t="shared" si="2"/>
        <v>n</v>
      </c>
      <c r="BH140" s="1076">
        <f>+BF140/AY140*100</f>
        <v>14.174360407421</v>
      </c>
      <c r="BI140" s="1052"/>
      <c r="BJ140" s="1078">
        <f>+E140/$AY140</f>
        <v>0.52865466396673333</v>
      </c>
      <c r="BK140" s="1078">
        <f>+Q140/$AY140</f>
        <v>0.39830734223202663</v>
      </c>
      <c r="BL140" s="1078">
        <f>+AM140/AY140</f>
        <v>4.8532780807033431E-2</v>
      </c>
      <c r="BM140" s="1078">
        <f>+AR140/AY140</f>
        <v>2.4505212994206493E-2</v>
      </c>
      <c r="BN140" s="1052"/>
      <c r="BO140" s="1078">
        <f>+H140/$BF140</f>
        <v>0.5445295499804953</v>
      </c>
      <c r="BP140" s="1078">
        <f>+T140/$BF140</f>
        <v>0.68565345250944898</v>
      </c>
      <c r="BQ140" s="1078">
        <f>+AO140/$BF140</f>
        <v>8.4914798934015837E-2</v>
      </c>
      <c r="BR140" s="1078">
        <f>+AT140/$BF140</f>
        <v>-4.9444847703136972E-2</v>
      </c>
      <c r="BS140" s="1052"/>
      <c r="BT140" s="1052"/>
      <c r="BU140" s="1052"/>
      <c r="BV140" s="1052"/>
      <c r="BW140" s="1052"/>
      <c r="BX140" s="1052"/>
      <c r="BY140" s="1052"/>
    </row>
    <row r="141" spans="1:77" hidden="1" outlineLevel="3">
      <c r="A141" s="1052"/>
      <c r="B141" s="1052" t="str">
        <f>$B$15</f>
        <v>2Q</v>
      </c>
      <c r="C141" s="1052" t="str">
        <f>$C$15</f>
        <v>Jul</v>
      </c>
      <c r="D141" s="1052"/>
      <c r="E141" s="1079">
        <f>SeqQtrSales!V157</f>
        <v>422.40600000000001</v>
      </c>
      <c r="F141" s="1063">
        <f>+(E141/E134-1)*100</f>
        <v>22.317395232469252</v>
      </c>
      <c r="G141" s="2066">
        <f>SeqQtrSales!H157</f>
        <v>-3</v>
      </c>
      <c r="H141" s="1080">
        <f>E141*I141/100</f>
        <v>78.989921999999993</v>
      </c>
      <c r="I141" s="1066">
        <v>18.7</v>
      </c>
      <c r="J141" s="1067"/>
      <c r="K141" s="1067"/>
      <c r="L141" s="1067"/>
      <c r="M141" s="1067"/>
      <c r="N141" s="1068">
        <v>10</v>
      </c>
      <c r="O141" s="1068">
        <v>-3</v>
      </c>
      <c r="P141" s="1069"/>
      <c r="Q141" s="1079">
        <f>SeqQtrSales!V320</f>
        <v>293.2030543797236</v>
      </c>
      <c r="R141" s="1063">
        <f>Q141/Q134-1</f>
        <v>0.13195760368663612</v>
      </c>
      <c r="S141" s="2066">
        <f>SeqQtrSales!H320</f>
        <v>4.4400000000000004</v>
      </c>
      <c r="T141" s="1080">
        <f>Q141*U141/100</f>
        <v>69.782326942374226</v>
      </c>
      <c r="U141" s="1066">
        <v>23.8</v>
      </c>
      <c r="V141" s="1069"/>
      <c r="W141" s="1799"/>
      <c r="X141" s="1068">
        <v>-4</v>
      </c>
      <c r="Y141" s="2066"/>
      <c r="Z141" s="1080"/>
      <c r="AA141" s="1066"/>
      <c r="AB141" s="1070"/>
      <c r="AC141" s="1799"/>
      <c r="AD141" s="1800">
        <v>20</v>
      </c>
      <c r="AE141" s="1070">
        <v>7</v>
      </c>
      <c r="AF141" s="1070"/>
      <c r="AG141" s="1079"/>
      <c r="AH141" s="1063"/>
      <c r="AI141" s="2066"/>
      <c r="AJ141" s="1080"/>
      <c r="AK141" s="1066"/>
      <c r="AL141" s="1069"/>
      <c r="AM141" s="1079">
        <f>AM134*(1+AN141/100)</f>
        <v>41.306090000000005</v>
      </c>
      <c r="AN141" s="1782">
        <v>3</v>
      </c>
      <c r="AO141" s="1080">
        <f>AP141/100*AM141</f>
        <v>13.79623406</v>
      </c>
      <c r="AP141" s="1066">
        <v>33.4</v>
      </c>
      <c r="AQ141" s="1069"/>
      <c r="AR141" s="1079">
        <f>AR134*(1+AS141/100)</f>
        <v>19.910000000000004</v>
      </c>
      <c r="AS141" s="1071">
        <v>10</v>
      </c>
      <c r="AT141" s="1080">
        <f>AU141/100*AR141</f>
        <v>-5.2761500000000012</v>
      </c>
      <c r="AU141" s="1066">
        <v>-26.5</v>
      </c>
      <c r="AV141" s="1069"/>
      <c r="AW141" s="1080">
        <f>'qtrP&amp;L'!BZ11</f>
        <v>729.63400000000001</v>
      </c>
      <c r="AX141" s="1073">
        <f>+(AW141/AW134-1)*100</f>
        <v>10.123128099709922</v>
      </c>
      <c r="AY141" s="1080">
        <f>+E141+Q141+AM141+AR141</f>
        <v>776.82514437972361</v>
      </c>
      <c r="AZ141" s="1075" t="str">
        <f>IF(AW141=AY141,"","n")</f>
        <v>n</v>
      </c>
      <c r="BA141" s="1073">
        <f>+(AY141/AY134-1)*100</f>
        <v>17.245653143362215</v>
      </c>
      <c r="BB141" s="1069"/>
      <c r="BC141" s="1080">
        <f>ROUND('qtrP&amp;L'!$BZ49,3)</f>
        <v>134.32900000000001</v>
      </c>
      <c r="BD141" s="1076">
        <f>+BC141/AW141*100</f>
        <v>18.410463328189202</v>
      </c>
      <c r="BE141" s="1081">
        <v>27.852</v>
      </c>
      <c r="BF141" s="1080">
        <f>+H141+T141+AO141+AT141-BE141</f>
        <v>129.44033300237422</v>
      </c>
      <c r="BG141" s="1061" t="str">
        <f t="shared" si="2"/>
        <v>n</v>
      </c>
      <c r="BH141" s="1076">
        <f>+BF141/AY141*100</f>
        <v>16.662737288933823</v>
      </c>
      <c r="BI141" s="1052"/>
      <c r="BJ141" s="1078">
        <f>+E141/$AY141</f>
        <v>0.54375943293813067</v>
      </c>
      <c r="BK141" s="1078">
        <f>+Q141/$AY141</f>
        <v>0.37743764668410579</v>
      </c>
      <c r="BL141" s="1078">
        <f>+AM141/AY141</f>
        <v>5.3172957001774108E-2</v>
      </c>
      <c r="BM141" s="1078">
        <f>+AR141/AY141</f>
        <v>2.5629963375989412E-2</v>
      </c>
      <c r="BN141" s="1052"/>
      <c r="BO141" s="1078">
        <f>+H141/$BF141</f>
        <v>0.61024195602580178</v>
      </c>
      <c r="BP141" s="1078">
        <f>+T141/$BF141</f>
        <v>0.53910806101753672</v>
      </c>
      <c r="BQ141" s="1078">
        <f>+AO141/$BF141</f>
        <v>0.10658373429668902</v>
      </c>
      <c r="BR141" s="1078">
        <f>+AT141/$BF141</f>
        <v>-4.0761251749122318E-2</v>
      </c>
      <c r="BS141" s="1052"/>
      <c r="BT141" s="1052"/>
      <c r="BU141" s="1052"/>
      <c r="BV141" s="1052"/>
      <c r="BW141" s="1052"/>
      <c r="BX141" s="1052"/>
      <c r="BY141" s="1052"/>
    </row>
    <row r="142" spans="1:77" hidden="1" outlineLevel="3">
      <c r="A142" s="1052"/>
      <c r="B142" s="1052" t="str">
        <f>$B$16</f>
        <v>3Q</v>
      </c>
      <c r="C142" s="1052" t="str">
        <f>$C$16</f>
        <v>Oct</v>
      </c>
      <c r="D142" s="1052"/>
      <c r="E142" s="1079">
        <f>SeqQtrSales!V158</f>
        <v>331.78300000000002</v>
      </c>
      <c r="F142" s="1063">
        <f>+(E142/E135-1)*100</f>
        <v>9.6176401595120744</v>
      </c>
      <c r="G142" s="2066">
        <f>SeqQtrSales!H158</f>
        <v>-12</v>
      </c>
      <c r="H142" s="1080">
        <f>E142*I142/100</f>
        <v>38.155045000000001</v>
      </c>
      <c r="I142" s="1066">
        <v>11.5</v>
      </c>
      <c r="J142" s="1067"/>
      <c r="K142" s="1067"/>
      <c r="L142" s="1067"/>
      <c r="M142" s="1067"/>
      <c r="N142" s="1068">
        <v>10</v>
      </c>
      <c r="O142" s="1068">
        <v>-1</v>
      </c>
      <c r="P142" s="1069"/>
      <c r="Q142" s="1079">
        <f>SeqQtrSales!V321</f>
        <v>307.69797633333337</v>
      </c>
      <c r="R142" s="1063">
        <f>Q142/Q135-1</f>
        <v>0.13606666666666678</v>
      </c>
      <c r="S142" s="2066">
        <f>SeqQtrSales!H321</f>
        <v>4.4400000000000004</v>
      </c>
      <c r="T142" s="1080">
        <f>Q142*U142/100</f>
        <v>71.385930509333335</v>
      </c>
      <c r="U142" s="1066">
        <v>23.2</v>
      </c>
      <c r="V142" s="1069"/>
      <c r="W142" s="1799"/>
      <c r="X142" s="1068">
        <v>-4</v>
      </c>
      <c r="Y142" s="2066"/>
      <c r="Z142" s="1080"/>
      <c r="AA142" s="1066"/>
      <c r="AB142" s="1070"/>
      <c r="AC142" s="1799"/>
      <c r="AD142" s="1800">
        <v>20</v>
      </c>
      <c r="AE142" s="1070">
        <v>7</v>
      </c>
      <c r="AF142" s="1070"/>
      <c r="AG142" s="1079"/>
      <c r="AH142" s="1063"/>
      <c r="AI142" s="2066"/>
      <c r="AJ142" s="1080"/>
      <c r="AK142" s="1066"/>
      <c r="AL142" s="1069"/>
      <c r="AM142" s="1079">
        <f>AM135*(1+AN142/100)</f>
        <v>32.314190000000004</v>
      </c>
      <c r="AN142" s="1782">
        <v>3</v>
      </c>
      <c r="AO142" s="1080">
        <f>AP142/100*AM142</f>
        <v>4.8471285000000002</v>
      </c>
      <c r="AP142" s="1066">
        <v>15</v>
      </c>
      <c r="AQ142" s="1069"/>
      <c r="AR142" s="1079">
        <f>AR135*(1+AS142/100)</f>
        <v>24.6752</v>
      </c>
      <c r="AS142" s="1071">
        <v>10</v>
      </c>
      <c r="AT142" s="1080">
        <f>AU142/100*AR142</f>
        <v>-6.6623040000000007</v>
      </c>
      <c r="AU142" s="1066">
        <v>-27</v>
      </c>
      <c r="AV142" s="1069"/>
      <c r="AW142" s="1080">
        <f>'qtrP&amp;L'!BZ12</f>
        <v>616.15200000000004</v>
      </c>
      <c r="AX142" s="1073">
        <f>+(AW142/AW135-1)*100</f>
        <v>-1.7807413405853012</v>
      </c>
      <c r="AY142" s="1080">
        <f>+E142+Q142+AM142+AR142</f>
        <v>696.47036633333346</v>
      </c>
      <c r="AZ142" s="1075" t="str">
        <f>IF(AW142=AY142,"","n")</f>
        <v>n</v>
      </c>
      <c r="BA142" s="1073">
        <f>+(AY142/AY135-1)*100</f>
        <v>11.022609777313018</v>
      </c>
      <c r="BB142" s="1069"/>
      <c r="BC142" s="1080">
        <f>ROUND('qtrP&amp;L'!$BZ50,3)</f>
        <v>81.503</v>
      </c>
      <c r="BD142" s="1076">
        <f>+BC142/AW142*100</f>
        <v>13.227742505096144</v>
      </c>
      <c r="BE142" s="1080">
        <f>+BE135</f>
        <v>33.021999999999998</v>
      </c>
      <c r="BF142" s="1080">
        <f>+H142+T142+AO142+AT142-BE142</f>
        <v>74.703800009333321</v>
      </c>
      <c r="BG142" s="1061" t="str">
        <f t="shared" si="2"/>
        <v>n</v>
      </c>
      <c r="BH142" s="1076">
        <f>+BF142/AY142*100</f>
        <v>10.726055783625371</v>
      </c>
      <c r="BI142" s="1052"/>
      <c r="BJ142" s="1078">
        <f>+E142/$AY142</f>
        <v>0.4763777700215997</v>
      </c>
      <c r="BK142" s="1078">
        <f>+Q142/$AY142</f>
        <v>0.44179622164436483</v>
      </c>
      <c r="BL142" s="1078">
        <f>+AM142/AY142</f>
        <v>4.6397078127132126E-2</v>
      </c>
      <c r="BM142" s="1078">
        <f>+AR142/AY142</f>
        <v>3.5428930206903235E-2</v>
      </c>
      <c r="BN142" s="1052"/>
      <c r="BO142" s="1078">
        <f>+H142/$BF142</f>
        <v>0.51075105945390997</v>
      </c>
      <c r="BP142" s="1078">
        <f>+T142/$BF142</f>
        <v>0.9555863356404164</v>
      </c>
      <c r="BQ142" s="1078">
        <f>+AO142/$BF142</f>
        <v>6.4884631028065659E-2</v>
      </c>
      <c r="BR142" s="1078">
        <f>+AT142/$BF142</f>
        <v>-8.9182933119434718E-2</v>
      </c>
      <c r="BS142" s="1052"/>
      <c r="BT142" s="1052"/>
      <c r="BU142" s="1052"/>
      <c r="BV142" s="1052"/>
      <c r="BW142" s="1052"/>
      <c r="BX142" s="1052"/>
      <c r="BY142" s="1052"/>
    </row>
    <row r="143" spans="1:77" hidden="1" outlineLevel="3">
      <c r="A143" s="1052"/>
      <c r="B143" s="1052" t="str">
        <f>$B$17</f>
        <v>4Q</v>
      </c>
      <c r="C143" s="1052" t="str">
        <f>$C$17</f>
        <v>Jan</v>
      </c>
      <c r="D143" s="1052"/>
      <c r="E143" s="1082">
        <f>SeqQtrSales!V159</f>
        <v>458.88200000000001</v>
      </c>
      <c r="F143" s="1063">
        <f>+(E143/E136-1)*100</f>
        <v>-13.081476290143868</v>
      </c>
      <c r="G143" s="2066">
        <f>SeqQtrSales!H159</f>
        <v>-31</v>
      </c>
      <c r="H143" s="1083">
        <f>E143*I143/100</f>
        <v>133.07578000000001</v>
      </c>
      <c r="I143" s="1066">
        <v>29</v>
      </c>
      <c r="J143" s="1067"/>
      <c r="K143" s="1067"/>
      <c r="L143" s="1067"/>
      <c r="M143" s="1067"/>
      <c r="N143" s="1068">
        <v>12</v>
      </c>
      <c r="O143" s="1068">
        <v>2</v>
      </c>
      <c r="P143" s="1069"/>
      <c r="Q143" s="1082">
        <f>SeqQtrSales!V322</f>
        <v>488.04812803275865</v>
      </c>
      <c r="R143" s="1063">
        <f>Q143/Q136-1</f>
        <v>0.15496034482758625</v>
      </c>
      <c r="S143" s="2066">
        <f>SeqQtrSales!H322</f>
        <v>4.4400000000000004</v>
      </c>
      <c r="T143" s="1083">
        <f>Q143*U143/100</f>
        <v>143.97419776966382</v>
      </c>
      <c r="U143" s="1066">
        <v>29.5</v>
      </c>
      <c r="V143" s="1069"/>
      <c r="W143" s="1799"/>
      <c r="X143" s="1068">
        <v>-4</v>
      </c>
      <c r="Y143" s="2066"/>
      <c r="Z143" s="1083"/>
      <c r="AA143" s="1066"/>
      <c r="AB143" s="1070"/>
      <c r="AC143" s="1799"/>
      <c r="AD143" s="1800">
        <v>20</v>
      </c>
      <c r="AE143" s="1070">
        <v>7</v>
      </c>
      <c r="AF143" s="1070"/>
      <c r="AG143" s="1079"/>
      <c r="AH143" s="1063"/>
      <c r="AI143" s="2066"/>
      <c r="AJ143" s="1099"/>
      <c r="AK143" s="1066"/>
      <c r="AL143" s="1069"/>
      <c r="AM143" s="1082">
        <f>AM136*(1+AN143/100)</f>
        <v>79.675650000000005</v>
      </c>
      <c r="AN143" s="1782">
        <v>3</v>
      </c>
      <c r="AO143" s="1083">
        <f>AP143/100*AM143</f>
        <v>42.228094500000005</v>
      </c>
      <c r="AP143" s="1066">
        <v>53</v>
      </c>
      <c r="AQ143" s="1069"/>
      <c r="AR143" s="1082">
        <f>AR136*(1+AS143/100)</f>
        <v>27.819000000000003</v>
      </c>
      <c r="AS143" s="1071">
        <v>10</v>
      </c>
      <c r="AT143" s="1083">
        <f>AU143/100*AR143</f>
        <v>-7.5111300000000014</v>
      </c>
      <c r="AU143" s="1066">
        <v>-27</v>
      </c>
      <c r="AV143" s="1069"/>
      <c r="AW143" s="1084">
        <f>'qtrP&amp;L'!BZ13</f>
        <v>837.59299999999996</v>
      </c>
      <c r="AX143" s="1073">
        <f>+(AW143/AW136-1)*100</f>
        <v>-20.468363216500485</v>
      </c>
      <c r="AY143" s="1084">
        <f>+E143+Q143+AM143+AR143</f>
        <v>1054.4247780327585</v>
      </c>
      <c r="AZ143" s="1075" t="str">
        <f>IF(AW143=AY143,"","n")</f>
        <v>n</v>
      </c>
      <c r="BA143" s="1073">
        <f>+(AY143/AY136-1)*100</f>
        <v>0.12037882602105032</v>
      </c>
      <c r="BB143" s="1069"/>
      <c r="BC143" s="1084">
        <f>ROUND('qtrP&amp;L'!$BZ51,3)</f>
        <v>169.98</v>
      </c>
      <c r="BD143" s="1085">
        <f>+BC143/AW143*100</f>
        <v>20.293865875192367</v>
      </c>
      <c r="BE143" s="1083">
        <f>BE144-SUM(BE140:BE142)</f>
        <v>49.50200000000001</v>
      </c>
      <c r="BF143" s="1084">
        <f>+H143+T143+AO143+AT143-BE143</f>
        <v>262.26494226966383</v>
      </c>
      <c r="BG143" s="1061" t="str">
        <f t="shared" si="2"/>
        <v>n</v>
      </c>
      <c r="BH143" s="1076">
        <f>+BF143/AY143*100</f>
        <v>24.87279773138221</v>
      </c>
      <c r="BI143" s="1052"/>
      <c r="BJ143" s="1078">
        <f>+E143/$AY143</f>
        <v>0.43519652568876149</v>
      </c>
      <c r="BK143" s="1078">
        <f>+Q143/$AY143</f>
        <v>0.46285722623410902</v>
      </c>
      <c r="BL143" s="1078">
        <f>+AM143/AY143</f>
        <v>7.5563142729489871E-2</v>
      </c>
      <c r="BM143" s="1078">
        <f>+AR143/AY143</f>
        <v>2.6383105347639824E-2</v>
      </c>
      <c r="BN143" s="1052"/>
      <c r="BO143" s="1078">
        <f>+H143/$BF143</f>
        <v>0.50740971648116795</v>
      </c>
      <c r="BP143" s="1078">
        <f>+T143/$BF143</f>
        <v>0.5489647092123654</v>
      </c>
      <c r="BQ143" s="1078">
        <f>+AO143/$BF143</f>
        <v>0.16101311191101017</v>
      </c>
      <c r="BR143" s="1078">
        <f>+AT143/$BF143</f>
        <v>-2.8639474018136098E-2</v>
      </c>
      <c r="BS143" s="1052"/>
      <c r="BT143" s="1052"/>
      <c r="BU143" s="1052"/>
      <c r="BV143" s="1052"/>
      <c r="BW143" s="1052"/>
      <c r="BX143" s="1052"/>
      <c r="BY143" s="1052"/>
    </row>
    <row r="144" spans="1:77" hidden="1" outlineLevel="3">
      <c r="A144" s="1055"/>
      <c r="B144" s="1055"/>
      <c r="C144" s="1055" t="str">
        <f>$C$18</f>
        <v>Year</v>
      </c>
      <c r="D144" s="1055"/>
      <c r="E144" s="1086">
        <f>+SUM(E140:E143)</f>
        <v>1586.636</v>
      </c>
      <c r="F144" s="1063">
        <f>+(E144/E137-1)*100</f>
        <v>7.5949487263992976</v>
      </c>
      <c r="G144" s="2066">
        <f>SeqQtrSales!H160</f>
        <v>-14</v>
      </c>
      <c r="H144" s="1065">
        <f>SUM(H141:H143)</f>
        <v>250.22074700000002</v>
      </c>
      <c r="I144" s="1087">
        <f>+H144/E144*100</f>
        <v>15.770519955427712</v>
      </c>
      <c r="J144" s="1088"/>
      <c r="K144" s="1088"/>
      <c r="L144" s="1088"/>
      <c r="M144" s="1088"/>
      <c r="N144" s="1058">
        <f>N140*E140/$E144+N141*E141/$E144+N142*E142/$E144+N143*E143/$E144</f>
        <v>10.578433868889904</v>
      </c>
      <c r="O144" s="1058">
        <f>O140*E140/$E144+O141*E141/$E144+O142*E142/$E144+O143*E143/$E144</f>
        <v>-1.1356933789476602</v>
      </c>
      <c r="P144" s="1064"/>
      <c r="Q144" s="1062">
        <f>+SUM(Q140:Q143)</f>
        <v>1370.4063981172444</v>
      </c>
      <c r="R144" s="1063">
        <f>Q144/Q137-1</f>
        <v>0.1415848480120192</v>
      </c>
      <c r="S144" s="2066">
        <f>SeqQtrSales!H323</f>
        <v>4.4399999999999995</v>
      </c>
      <c r="T144" s="1065">
        <f>SUM(T140:T143)</f>
        <v>353.81802162799994</v>
      </c>
      <c r="U144" s="1087">
        <f>+T144/Q144*100</f>
        <v>25.818474148551751</v>
      </c>
      <c r="V144" s="1064"/>
      <c r="W144" s="1801"/>
      <c r="X144" s="1089">
        <f>X140*Q140/$Q144+X141*Q141/$Q144+X142*Q142/$Q144+X143*Q143/$Q144</f>
        <v>-3.9999999999999996</v>
      </c>
      <c r="Y144" s="2066"/>
      <c r="Z144" s="1065"/>
      <c r="AA144" s="1087"/>
      <c r="AB144" s="1089"/>
      <c r="AC144" s="1801"/>
      <c r="AD144" s="1802">
        <f>AD140*Q140/$Q144+AD141*Q141/$Q144+AD142*Q142/$Q144+AD143*Q143/$Q144</f>
        <v>19.999999999999996</v>
      </c>
      <c r="AE144" s="1089">
        <f>AE140*Q140/$Q144+AE141*Q141/$Q144+AE142*Q142/$Q144+AE143*Q143/$Q144</f>
        <v>7</v>
      </c>
      <c r="AF144" s="1089"/>
      <c r="AG144" s="1062"/>
      <c r="AH144" s="1063"/>
      <c r="AI144" s="2066"/>
      <c r="AJ144" s="1065"/>
      <c r="AK144" s="1087"/>
      <c r="AL144" s="1064"/>
      <c r="AM144" s="1062">
        <f>+SUM(AM140:AM143)</f>
        <v>187.59081000000003</v>
      </c>
      <c r="AN144" s="1783">
        <f>+(AM144/AM137-1)*100</f>
        <v>3.0000000000000027</v>
      </c>
      <c r="AO144" s="1065">
        <f>SUM(AO140:AO143)</f>
        <v>69.376587300000011</v>
      </c>
      <c r="AP144" s="1066">
        <f>+AO144/AM144*100</f>
        <v>36.9829349849281</v>
      </c>
      <c r="AQ144" s="1064"/>
      <c r="AR144" s="1062">
        <f>+SUM(AR140:AR143)</f>
        <v>89.720400000000012</v>
      </c>
      <c r="AS144" s="1063">
        <f>+(AR144/AR137-1)*100</f>
        <v>10.000000000000032</v>
      </c>
      <c r="AT144" s="1065">
        <f>SUM(AT140:AT143)</f>
        <v>-24.402017200000003</v>
      </c>
      <c r="AU144" s="1087">
        <f>+AT144/AR144*100</f>
        <v>-27.197847089402188</v>
      </c>
      <c r="AV144" s="1064"/>
      <c r="AW144" s="1080">
        <f>'qtrP&amp;L'!BZ14</f>
        <v>2848.8589999999999</v>
      </c>
      <c r="AX144" s="1073">
        <f>+(AW144/AW137-1)*100</f>
        <v>-3.0595102510539207</v>
      </c>
      <c r="AY144" s="1090">
        <f>+E144+Q144+AM144+AR144</f>
        <v>3234.3536081172447</v>
      </c>
      <c r="AZ144" s="1075" t="str">
        <f>IF(AW144=AY144,"","n")</f>
        <v>n</v>
      </c>
      <c r="BA144" s="1073">
        <f>+(AY144/AY137-1)*100</f>
        <v>10.05803474027902</v>
      </c>
      <c r="BB144" s="1064"/>
      <c r="BC144" s="1065">
        <f>ROUND('qtrP&amp;L'!$BZ52,3)</f>
        <v>492.49799999999999</v>
      </c>
      <c r="BD144" s="1088">
        <f>+BC144/AW144*100</f>
        <v>17.28755266582165</v>
      </c>
      <c r="BE144" s="1081">
        <v>136.98400000000001</v>
      </c>
      <c r="BF144" s="1065">
        <f>+H144+T144+AO144+AT144-BE144</f>
        <v>512.02933872799986</v>
      </c>
      <c r="BG144" s="1061" t="str">
        <f t="shared" si="2"/>
        <v>n</v>
      </c>
      <c r="BH144" s="1088">
        <f>+BF144/AY144*100</f>
        <v>15.830963486582354</v>
      </c>
      <c r="BI144" s="1055"/>
      <c r="BJ144" s="1091">
        <f>+E144/$AY144</f>
        <v>0.49055737010882972</v>
      </c>
      <c r="BK144" s="1091">
        <f>+Q144/$AY144</f>
        <v>0.42370333122449594</v>
      </c>
      <c r="BL144" s="1091">
        <f>+AM144/AY144</f>
        <v>5.7999474618113528E-2</v>
      </c>
      <c r="BM144" s="1091">
        <f>+AR144/AY144</f>
        <v>2.7739824048560763E-2</v>
      </c>
      <c r="BN144" s="1055"/>
      <c r="BO144" s="1091">
        <f>+H144/$BF144</f>
        <v>0.48868439379197809</v>
      </c>
      <c r="BP144" s="1091">
        <f>+T144/$BF144</f>
        <v>0.69101122702649487</v>
      </c>
      <c r="BQ144" s="1091">
        <f>+AO144/$BF144</f>
        <v>0.13549338300095776</v>
      </c>
      <c r="BR144" s="1091">
        <f>+AT144/$BF144</f>
        <v>-4.7657458966355905E-2</v>
      </c>
      <c r="BS144" s="1055"/>
      <c r="BT144" s="1055"/>
      <c r="BU144" s="1055"/>
      <c r="BV144" s="1055"/>
      <c r="BW144" s="1055"/>
      <c r="BX144" s="1055"/>
      <c r="BY144" s="1055"/>
    </row>
    <row r="145" spans="1:77" ht="7.5" hidden="1" customHeight="1" outlineLevel="2" collapsed="1">
      <c r="A145" s="247"/>
      <c r="B145" s="247"/>
      <c r="C145" s="247"/>
      <c r="D145" s="247"/>
      <c r="E145" s="1040"/>
      <c r="F145" s="1041"/>
      <c r="G145" s="2067"/>
      <c r="H145" s="392"/>
      <c r="I145" s="1042"/>
      <c r="J145" s="706"/>
      <c r="K145" s="706"/>
      <c r="L145" s="706"/>
      <c r="M145" s="706"/>
      <c r="N145" s="643"/>
      <c r="O145" s="1038"/>
      <c r="P145" s="643"/>
      <c r="Q145" s="1040"/>
      <c r="R145" s="1041"/>
      <c r="S145" s="2067"/>
      <c r="T145" s="392"/>
      <c r="U145" s="1042"/>
      <c r="V145" s="643"/>
      <c r="W145" s="1105"/>
      <c r="X145" s="893"/>
      <c r="Y145" s="2067"/>
      <c r="Z145" s="392"/>
      <c r="AA145" s="1042"/>
      <c r="AB145" s="643"/>
      <c r="AC145" s="1105"/>
      <c r="AD145" s="1108"/>
      <c r="AE145" s="643"/>
      <c r="AF145" s="643"/>
      <c r="AG145" s="1791"/>
      <c r="AH145" s="893"/>
      <c r="AI145" s="2067"/>
      <c r="AJ145" s="658"/>
      <c r="AK145" s="895"/>
      <c r="AL145" s="643"/>
      <c r="AM145" s="1043"/>
      <c r="AN145" s="1784"/>
      <c r="AO145" s="392"/>
      <c r="AP145" s="1042"/>
      <c r="AQ145" s="643"/>
      <c r="AR145" s="1043"/>
      <c r="AS145" s="1041"/>
      <c r="AT145" s="392"/>
      <c r="AU145" s="1042"/>
      <c r="AV145" s="643"/>
      <c r="AW145" s="281"/>
      <c r="AX145" s="281"/>
      <c r="AY145" s="281"/>
      <c r="AZ145" s="1039"/>
      <c r="BA145" s="256"/>
      <c r="BB145" s="256"/>
      <c r="BC145" s="281"/>
      <c r="BD145" s="281"/>
      <c r="BE145" s="281"/>
      <c r="BF145" s="281"/>
      <c r="BG145" s="1011" t="str">
        <f t="shared" si="2"/>
        <v/>
      </c>
      <c r="BH145" s="247"/>
      <c r="BI145" s="247"/>
      <c r="BJ145" s="247"/>
      <c r="BK145" s="247"/>
      <c r="BL145" s="247"/>
      <c r="BM145" s="247"/>
      <c r="BN145" s="247"/>
      <c r="BO145" s="247"/>
      <c r="BP145" s="247"/>
      <c r="BQ145" s="247"/>
      <c r="BR145" s="247"/>
      <c r="BS145" s="247"/>
      <c r="BT145" s="247"/>
      <c r="BU145" s="247"/>
      <c r="BV145" s="247"/>
      <c r="BW145" s="247"/>
      <c r="BX145" s="247"/>
      <c r="BY145" s="247"/>
    </row>
    <row r="146" spans="1:77" hidden="1" outlineLevel="2">
      <c r="A146" s="247"/>
      <c r="B146" s="247"/>
      <c r="C146" s="247"/>
      <c r="D146" s="247"/>
      <c r="E146" s="1791"/>
      <c r="F146" s="893"/>
      <c r="G146" s="2064"/>
      <c r="H146" s="658"/>
      <c r="I146" s="895"/>
      <c r="J146" s="706"/>
      <c r="K146" s="706"/>
      <c r="L146" s="706"/>
      <c r="M146" s="706"/>
      <c r="N146" s="643"/>
      <c r="O146" s="1038"/>
      <c r="P146" s="643"/>
      <c r="Q146" s="1791"/>
      <c r="R146" s="893"/>
      <c r="S146" s="2064"/>
      <c r="T146" s="658"/>
      <c r="U146" s="895"/>
      <c r="V146" s="643"/>
      <c r="W146" s="1105"/>
      <c r="X146" s="893"/>
      <c r="Y146" s="2064"/>
      <c r="Z146" s="658"/>
      <c r="AA146" s="895"/>
      <c r="AB146" s="643"/>
      <c r="AC146" s="1105"/>
      <c r="AD146" s="1108"/>
      <c r="AE146" s="643"/>
      <c r="AF146" s="643"/>
      <c r="AG146" s="1791"/>
      <c r="AH146" s="893"/>
      <c r="AI146" s="2064"/>
      <c r="AJ146" s="658"/>
      <c r="AK146" s="895"/>
      <c r="AL146" s="643"/>
      <c r="AM146" s="892"/>
      <c r="AN146" s="1108"/>
      <c r="AO146" s="658"/>
      <c r="AP146" s="658"/>
      <c r="AQ146" s="643"/>
      <c r="AR146" s="892"/>
      <c r="AS146" s="893"/>
      <c r="AT146" s="658"/>
      <c r="AU146" s="895"/>
      <c r="AV146" s="643"/>
      <c r="AW146" s="281"/>
      <c r="AX146" s="281"/>
      <c r="AY146" s="281"/>
      <c r="AZ146" s="1039"/>
      <c r="BA146" s="256"/>
      <c r="BB146" s="256"/>
      <c r="BC146" s="281"/>
      <c r="BD146" s="281"/>
      <c r="BE146" s="281"/>
      <c r="BF146" s="281"/>
      <c r="BG146" s="1011"/>
      <c r="BH146" s="247"/>
      <c r="BI146" s="247"/>
      <c r="BJ146" s="247"/>
      <c r="BK146" s="247"/>
      <c r="BL146" s="247"/>
      <c r="BM146" s="247"/>
      <c r="BN146" s="247"/>
      <c r="BO146" s="247"/>
      <c r="BP146" s="247"/>
      <c r="BQ146" s="247"/>
      <c r="BR146" s="247"/>
      <c r="BS146" s="247"/>
      <c r="BT146" s="247"/>
      <c r="BU146" s="247"/>
      <c r="BV146" s="247"/>
      <c r="BW146" s="247"/>
      <c r="BX146" s="247"/>
      <c r="BY146" s="247"/>
    </row>
    <row r="147" spans="1:77" hidden="1" outlineLevel="2">
      <c r="A147" s="247"/>
      <c r="B147" s="1100" t="s">
        <v>1078</v>
      </c>
      <c r="C147" s="1100"/>
      <c r="D147" s="1100"/>
      <c r="E147" s="1165"/>
      <c r="F147" s="1166"/>
      <c r="G147" s="2064"/>
      <c r="H147" s="658"/>
      <c r="I147" s="895"/>
      <c r="J147" s="706"/>
      <c r="K147" s="706"/>
      <c r="L147" s="706"/>
      <c r="M147" s="706"/>
      <c r="N147" s="643"/>
      <c r="O147" s="1038"/>
      <c r="P147" s="643"/>
      <c r="Q147" s="892"/>
      <c r="R147" s="893"/>
      <c r="S147" s="2064"/>
      <c r="T147" s="658"/>
      <c r="U147" s="895"/>
      <c r="V147" s="643"/>
      <c r="W147" s="1105"/>
      <c r="X147" s="893"/>
      <c r="Y147" s="2064"/>
      <c r="Z147" s="658"/>
      <c r="AA147" s="895"/>
      <c r="AB147" s="643"/>
      <c r="AC147" s="1105"/>
      <c r="AD147" s="1108"/>
      <c r="AE147" s="643"/>
      <c r="AF147" s="643"/>
      <c r="AG147" s="892"/>
      <c r="AH147" s="893"/>
      <c r="AI147" s="2064"/>
      <c r="AJ147" s="658"/>
      <c r="AK147" s="895"/>
      <c r="AL147" s="643"/>
      <c r="AM147" s="892"/>
      <c r="AN147" s="1108"/>
      <c r="AO147" s="247"/>
      <c r="AP147" s="247"/>
      <c r="AQ147" s="643"/>
      <c r="AR147" s="892"/>
      <c r="AS147" s="893"/>
      <c r="AT147" s="658"/>
      <c r="AU147" s="895"/>
      <c r="AV147" s="643"/>
      <c r="AW147" s="281"/>
      <c r="AX147" s="281"/>
      <c r="AY147" s="281"/>
      <c r="AZ147" s="1039"/>
      <c r="BA147" s="256"/>
      <c r="BB147" s="256"/>
      <c r="BC147" s="281"/>
      <c r="BD147" s="281"/>
      <c r="BE147" s="281"/>
      <c r="BF147" s="281"/>
      <c r="BG147" s="1011" t="str">
        <f t="shared" si="1"/>
        <v/>
      </c>
      <c r="BH147" s="247"/>
      <c r="BI147" s="247"/>
      <c r="BJ147" s="247"/>
      <c r="BK147" s="247"/>
      <c r="BL147" s="247"/>
      <c r="BM147" s="247"/>
      <c r="BN147" s="247"/>
      <c r="BO147" s="247"/>
      <c r="BP147" s="247"/>
      <c r="BQ147" s="247"/>
      <c r="BR147" s="247"/>
      <c r="BS147" s="247"/>
      <c r="BT147" s="247"/>
      <c r="BU147" s="247"/>
      <c r="BV147" s="247"/>
      <c r="BW147" s="247"/>
      <c r="BX147" s="247"/>
      <c r="BY147" s="247"/>
    </row>
    <row r="148" spans="1:77" hidden="1" outlineLevel="2">
      <c r="A148" s="247"/>
      <c r="B148" s="247"/>
      <c r="C148" s="247"/>
      <c r="D148" s="247"/>
      <c r="E148" s="892"/>
      <c r="F148" s="893"/>
      <c r="G148" s="2064"/>
      <c r="H148" s="658"/>
      <c r="I148" s="895"/>
      <c r="J148" s="706"/>
      <c r="K148" s="706"/>
      <c r="L148" s="706"/>
      <c r="M148" s="706"/>
      <c r="N148" s="643"/>
      <c r="O148" s="1038"/>
      <c r="P148" s="643"/>
      <c r="Q148" s="892"/>
      <c r="R148" s="893"/>
      <c r="S148" s="2064"/>
      <c r="T148" s="658"/>
      <c r="U148" s="895"/>
      <c r="V148" s="643"/>
      <c r="W148" s="1105"/>
      <c r="X148" s="893"/>
      <c r="Y148" s="2064"/>
      <c r="Z148" s="658"/>
      <c r="AA148" s="895"/>
      <c r="AB148" s="643"/>
      <c r="AC148" s="1105"/>
      <c r="AD148" s="1108"/>
      <c r="AE148" s="643"/>
      <c r="AF148" s="643"/>
      <c r="AG148" s="892"/>
      <c r="AH148" s="893"/>
      <c r="AI148" s="2064"/>
      <c r="AJ148" s="658"/>
      <c r="AK148" s="895"/>
      <c r="AL148" s="643"/>
      <c r="AM148" s="892"/>
      <c r="AN148" s="1108"/>
      <c r="AO148" s="247"/>
      <c r="AP148" s="247"/>
      <c r="AQ148" s="643"/>
      <c r="AR148" s="892"/>
      <c r="AS148" s="893"/>
      <c r="AT148" s="658"/>
      <c r="AU148" s="895"/>
      <c r="AV148" s="643"/>
      <c r="AW148" s="281"/>
      <c r="AX148" s="281"/>
      <c r="AY148" s="281"/>
      <c r="AZ148" s="1039"/>
      <c r="BA148" s="256"/>
      <c r="BB148" s="256"/>
      <c r="BC148" s="281"/>
      <c r="BD148" s="281"/>
      <c r="BE148" s="281"/>
      <c r="BF148" s="281"/>
      <c r="BG148" s="1011"/>
      <c r="BH148" s="247"/>
      <c r="BI148" s="247"/>
      <c r="BJ148" s="247"/>
      <c r="BK148" s="247"/>
      <c r="BL148" s="247"/>
      <c r="BM148" s="247"/>
      <c r="BN148" s="247"/>
      <c r="BO148" s="247"/>
      <c r="BP148" s="247"/>
      <c r="BQ148" s="247"/>
      <c r="BR148" s="247"/>
      <c r="BS148" s="247"/>
      <c r="BT148" s="247"/>
      <c r="BU148" s="247"/>
      <c r="BV148" s="247"/>
      <c r="BW148" s="247"/>
      <c r="BX148" s="247"/>
      <c r="BY148" s="247"/>
    </row>
    <row r="149" spans="1:77" hidden="1" outlineLevel="2">
      <c r="A149" s="131"/>
      <c r="B149" s="131"/>
      <c r="C149" s="131"/>
      <c r="D149" s="131"/>
      <c r="E149" s="833" t="s">
        <v>1829</v>
      </c>
      <c r="F149" s="834"/>
      <c r="G149" s="2059"/>
      <c r="H149" s="835"/>
      <c r="I149" s="836"/>
      <c r="J149" s="706"/>
      <c r="K149" s="1113" t="s">
        <v>1934</v>
      </c>
      <c r="L149" s="1114"/>
      <c r="M149" s="1114"/>
      <c r="N149" s="1115"/>
      <c r="O149" s="1116"/>
      <c r="P149" s="643"/>
      <c r="Q149" s="833" t="s">
        <v>1830</v>
      </c>
      <c r="R149" s="834"/>
      <c r="S149" s="2059"/>
      <c r="T149" s="835"/>
      <c r="U149" s="836"/>
      <c r="V149" s="643"/>
      <c r="W149" s="1117"/>
      <c r="X149" s="1300" t="s">
        <v>1362</v>
      </c>
      <c r="Y149" s="2059"/>
      <c r="Z149" s="835"/>
      <c r="AA149" s="836"/>
      <c r="AB149" s="643"/>
      <c r="AC149" s="1117" t="s">
        <v>1085</v>
      </c>
      <c r="AD149" s="1118"/>
      <c r="AE149" s="643"/>
      <c r="AF149" s="643"/>
      <c r="AG149" s="833" t="s">
        <v>1831</v>
      </c>
      <c r="AH149" s="834"/>
      <c r="AI149" s="2059"/>
      <c r="AJ149" s="835"/>
      <c r="AK149" s="836"/>
      <c r="AL149" s="1120"/>
      <c r="AM149" s="833" t="s">
        <v>141</v>
      </c>
      <c r="AN149" s="1290"/>
      <c r="AO149" s="1121"/>
      <c r="AP149" s="1120"/>
      <c r="AQ149" s="1120"/>
      <c r="AR149" s="833" t="s">
        <v>585</v>
      </c>
      <c r="AS149" s="837"/>
      <c r="AT149" s="838"/>
      <c r="AU149" s="839"/>
      <c r="AV149" s="893"/>
      <c r="AW149" s="283"/>
      <c r="AX149" s="283"/>
      <c r="AY149" s="283"/>
      <c r="AZ149" s="659"/>
      <c r="BA149" s="587"/>
      <c r="BB149" s="587"/>
      <c r="BC149" s="283"/>
      <c r="BD149" s="283"/>
      <c r="BE149" s="283"/>
      <c r="BF149" s="283"/>
      <c r="BG149" s="1092" t="str">
        <f t="shared" si="1"/>
        <v/>
      </c>
      <c r="BH149" s="131"/>
      <c r="BI149" s="131"/>
      <c r="BJ149" s="131"/>
      <c r="BK149" s="131"/>
      <c r="BL149" s="131"/>
      <c r="BM149" s="131"/>
      <c r="BN149" s="131"/>
      <c r="BO149" s="131"/>
      <c r="BP149" s="131"/>
      <c r="BQ149" s="131"/>
      <c r="BR149" s="131"/>
      <c r="BS149" s="131"/>
      <c r="BT149" s="131"/>
      <c r="BU149" s="131"/>
      <c r="BV149" s="131"/>
      <c r="BW149" s="131"/>
      <c r="BX149" s="131"/>
      <c r="BY149" s="131"/>
    </row>
    <row r="150" spans="1:77" ht="38.25" hidden="1" customHeight="1" outlineLevel="2">
      <c r="A150" s="645"/>
      <c r="B150" s="645"/>
      <c r="C150" s="645"/>
      <c r="D150" s="646"/>
      <c r="E150" s="647" t="s">
        <v>1930</v>
      </c>
      <c r="F150" s="648" t="s">
        <v>1923</v>
      </c>
      <c r="G150" s="2057" t="s">
        <v>46</v>
      </c>
      <c r="H150" s="649" t="s">
        <v>1931</v>
      </c>
      <c r="I150" s="650" t="s">
        <v>330</v>
      </c>
      <c r="J150" s="708"/>
      <c r="K150" s="1150" t="s">
        <v>69</v>
      </c>
      <c r="L150" s="1111" t="s">
        <v>1923</v>
      </c>
      <c r="M150" s="1110" t="s">
        <v>1083</v>
      </c>
      <c r="N150" s="1111" t="s">
        <v>1081</v>
      </c>
      <c r="O150" s="1101" t="s">
        <v>1082</v>
      </c>
      <c r="P150" s="651"/>
      <c r="Q150" s="647" t="s">
        <v>1930</v>
      </c>
      <c r="R150" s="648" t="s">
        <v>1923</v>
      </c>
      <c r="S150" s="2057" t="s">
        <v>46</v>
      </c>
      <c r="T150" s="649" t="s">
        <v>1931</v>
      </c>
      <c r="U150" s="650" t="s">
        <v>330</v>
      </c>
      <c r="V150" s="651"/>
      <c r="W150" s="1112"/>
      <c r="X150" s="1299" t="s">
        <v>1084</v>
      </c>
      <c r="Y150" s="2057" t="s">
        <v>46</v>
      </c>
      <c r="Z150" s="649"/>
      <c r="AA150" s="650"/>
      <c r="AB150" s="651"/>
      <c r="AC150" s="1112" t="s">
        <v>1084</v>
      </c>
      <c r="AD150" s="1107" t="s">
        <v>46</v>
      </c>
      <c r="AE150" s="651" t="s">
        <v>2008</v>
      </c>
      <c r="AF150" s="651"/>
      <c r="AG150" s="647" t="s">
        <v>1930</v>
      </c>
      <c r="AH150" s="648" t="s">
        <v>1923</v>
      </c>
      <c r="AI150" s="2057" t="s">
        <v>46</v>
      </c>
      <c r="AJ150" s="649" t="s">
        <v>1931</v>
      </c>
      <c r="AK150" s="650" t="s">
        <v>330</v>
      </c>
      <c r="AL150" s="651"/>
      <c r="AM150" s="647"/>
      <c r="AN150" s="650"/>
      <c r="AO150" s="1095"/>
      <c r="AP150" s="1096"/>
      <c r="AQ150" s="651"/>
      <c r="AR150" s="647" t="s">
        <v>1930</v>
      </c>
      <c r="AS150" s="648" t="s">
        <v>1923</v>
      </c>
      <c r="AT150" s="649" t="s">
        <v>1931</v>
      </c>
      <c r="AU150" s="650" t="s">
        <v>330</v>
      </c>
      <c r="AV150" s="651"/>
      <c r="AW150" s="652" t="s">
        <v>1930</v>
      </c>
      <c r="AX150" s="653" t="s">
        <v>1923</v>
      </c>
      <c r="AY150" s="652"/>
      <c r="AZ150" s="654"/>
      <c r="BA150" s="653" t="s">
        <v>1923</v>
      </c>
      <c r="BB150" s="653" t="s">
        <v>46</v>
      </c>
      <c r="BC150" s="652" t="s">
        <v>1931</v>
      </c>
      <c r="BD150" s="652"/>
      <c r="BE150" s="652" t="s">
        <v>1932</v>
      </c>
      <c r="BF150" s="652" t="s">
        <v>1933</v>
      </c>
      <c r="BG150" s="959"/>
      <c r="BH150" s="653" t="s">
        <v>330</v>
      </c>
      <c r="BI150" s="645"/>
      <c r="BJ150" s="652" t="s">
        <v>146</v>
      </c>
      <c r="BK150" s="652" t="s">
        <v>2007</v>
      </c>
      <c r="BL150" s="652" t="s">
        <v>1375</v>
      </c>
      <c r="BM150" s="655"/>
      <c r="BN150" s="645"/>
      <c r="BO150" s="655"/>
      <c r="BP150" s="655"/>
      <c r="BQ150" s="655"/>
      <c r="BR150" s="655"/>
      <c r="BS150" s="645"/>
      <c r="BT150" s="645"/>
      <c r="BU150" s="645"/>
      <c r="BV150" s="645"/>
      <c r="BW150" s="645"/>
      <c r="BX150" s="645"/>
      <c r="BY150" s="645"/>
    </row>
    <row r="151" spans="1:77" hidden="1" outlineLevel="1" collapsed="1">
      <c r="A151" s="247"/>
      <c r="B151" s="2506">
        <v>2006</v>
      </c>
      <c r="C151" s="2506"/>
      <c r="D151" s="247"/>
      <c r="E151" s="892"/>
      <c r="F151" s="893"/>
      <c r="G151" s="2064"/>
      <c r="H151" s="658"/>
      <c r="I151" s="895"/>
      <c r="J151" s="709"/>
      <c r="K151" s="1151" t="s">
        <v>0</v>
      </c>
      <c r="L151" s="709"/>
      <c r="M151" s="709"/>
      <c r="N151" s="893"/>
      <c r="O151" s="1103"/>
      <c r="P151" s="643"/>
      <c r="Q151" s="892"/>
      <c r="R151" s="893"/>
      <c r="S151" s="2064"/>
      <c r="T151" s="658"/>
      <c r="U151" s="895"/>
      <c r="V151" s="643"/>
      <c r="W151" s="1105"/>
      <c r="X151" s="893"/>
      <c r="Y151" s="2064"/>
      <c r="Z151" s="658"/>
      <c r="AA151" s="895"/>
      <c r="AB151" s="643"/>
      <c r="AC151" s="1105"/>
      <c r="AD151" s="1108"/>
      <c r="AE151" s="643"/>
      <c r="AF151" s="643"/>
      <c r="AG151" s="892"/>
      <c r="AH151" s="893"/>
      <c r="AI151" s="2064"/>
      <c r="AJ151" s="658"/>
      <c r="AK151" s="895"/>
      <c r="AL151" s="643"/>
      <c r="AM151" s="892"/>
      <c r="AN151" s="1108"/>
      <c r="AO151" s="658"/>
      <c r="AP151" s="1119"/>
      <c r="AQ151" s="643"/>
      <c r="AR151" s="892"/>
      <c r="AS151" s="893"/>
      <c r="AT151" s="658"/>
      <c r="AU151" s="895"/>
      <c r="AV151" s="643"/>
      <c r="AW151" s="658"/>
      <c r="AX151" s="658"/>
      <c r="AY151" s="658"/>
      <c r="AZ151" s="659"/>
      <c r="BA151" s="256"/>
      <c r="BB151" s="256"/>
      <c r="BC151" s="658"/>
      <c r="BD151" s="658"/>
      <c r="BE151" s="658"/>
      <c r="BF151" s="658"/>
      <c r="BG151" s="963" t="str">
        <f>IF(BC151=BF151,"","n")</f>
        <v/>
      </c>
      <c r="BH151" s="247"/>
      <c r="BI151" s="247"/>
      <c r="BJ151" s="247"/>
      <c r="BK151" s="247"/>
      <c r="BL151" s="247"/>
      <c r="BM151" s="247"/>
      <c r="BN151" s="247"/>
      <c r="BO151" s="247"/>
      <c r="BP151" s="247"/>
      <c r="BQ151" s="247"/>
      <c r="BR151" s="247"/>
      <c r="BS151" s="247"/>
      <c r="BT151" s="247"/>
      <c r="BU151" s="247"/>
      <c r="BV151" s="247"/>
      <c r="BW151" s="247"/>
      <c r="BX151" s="247"/>
      <c r="BY151" s="247"/>
    </row>
    <row r="152" spans="1:77" hidden="1" outlineLevel="1">
      <c r="A152" s="247"/>
      <c r="B152" s="247" t="str">
        <f>$B$14</f>
        <v>1Q</v>
      </c>
      <c r="C152" s="247" t="str">
        <f>$C$14</f>
        <v>Apr</v>
      </c>
      <c r="D152" s="247"/>
      <c r="E152" s="724">
        <v>303.62299999999999</v>
      </c>
      <c r="F152" s="661"/>
      <c r="G152" s="2063"/>
      <c r="H152" s="695"/>
      <c r="I152" s="671"/>
      <c r="J152" s="705"/>
      <c r="K152" s="724">
        <v>260.58</v>
      </c>
      <c r="L152" s="705"/>
      <c r="M152" s="705"/>
      <c r="N152" s="798"/>
      <c r="O152" s="1103"/>
      <c r="P152" s="664"/>
      <c r="Q152" s="724">
        <v>167.88</v>
      </c>
      <c r="R152" s="802"/>
      <c r="S152" s="2063"/>
      <c r="T152" s="695"/>
      <c r="U152" s="671"/>
      <c r="V152" s="664"/>
      <c r="W152" s="1104"/>
      <c r="X152" s="798"/>
      <c r="Y152" s="2063"/>
      <c r="Z152" s="695"/>
      <c r="AA152" s="671"/>
      <c r="AB152" s="723"/>
      <c r="AC152" s="1104"/>
      <c r="AD152" s="1103"/>
      <c r="AE152" s="723"/>
      <c r="AF152" s="723"/>
      <c r="AG152" s="724">
        <v>34.198</v>
      </c>
      <c r="AH152" s="802"/>
      <c r="AI152" s="2063"/>
      <c r="AJ152" s="695"/>
      <c r="AK152" s="671"/>
      <c r="AL152" s="664"/>
      <c r="AM152" s="724">
        <f>qtrSales!AN124</f>
        <v>29.957000000000001</v>
      </c>
      <c r="AN152" s="1291"/>
      <c r="AO152" s="695"/>
      <c r="AP152" s="701"/>
      <c r="AQ152" s="664"/>
      <c r="AR152" s="805">
        <v>9.6549999999999994</v>
      </c>
      <c r="AS152" s="802"/>
      <c r="AT152" s="695"/>
      <c r="AU152" s="671"/>
      <c r="AV152" s="664"/>
      <c r="AW152" s="1168">
        <f>AR152+AG152+Q152+E152</f>
        <v>515.35599999999999</v>
      </c>
      <c r="AX152" s="665"/>
      <c r="AY152" s="904"/>
      <c r="AZ152" s="682"/>
      <c r="BA152" s="665"/>
      <c r="BB152" s="664"/>
      <c r="BC152" s="903"/>
      <c r="BD152" s="672"/>
      <c r="BE152" s="695"/>
      <c r="BF152" s="903"/>
      <c r="BG152" s="963"/>
      <c r="BH152" s="672"/>
      <c r="BI152" s="247"/>
      <c r="BJ152" s="806"/>
      <c r="BK152" s="806"/>
      <c r="BL152" s="806"/>
      <c r="BM152" s="806"/>
      <c r="BN152" s="247"/>
      <c r="BO152" s="1251">
        <f>E152/$AW152</f>
        <v>0.58915196485536214</v>
      </c>
      <c r="BP152" s="1251">
        <f>K152/AW152</f>
        <v>0.50563105891849514</v>
      </c>
      <c r="BQ152" s="1251">
        <f>Q152/AW152</f>
        <v>0.32575540015057552</v>
      </c>
      <c r="BR152" s="1251">
        <v>0.2</v>
      </c>
      <c r="BS152" s="1251"/>
      <c r="BT152" s="1251">
        <f>AG152/AW152</f>
        <v>6.6358012713541706E-2</v>
      </c>
      <c r="BU152" s="1251">
        <f>BQ152-BR152</f>
        <v>0.12575540015057551</v>
      </c>
      <c r="BV152" s="247">
        <v>0</v>
      </c>
      <c r="BW152" s="1251">
        <f>AR152/AW152</f>
        <v>1.8734622280520648E-2</v>
      </c>
      <c r="BX152" s="247"/>
      <c r="BY152" s="247"/>
    </row>
    <row r="153" spans="1:77" hidden="1" outlineLevel="1">
      <c r="A153" s="247"/>
      <c r="B153" s="247" t="str">
        <f>$B$15</f>
        <v>2Q</v>
      </c>
      <c r="C153" s="247" t="str">
        <f>$C$15</f>
        <v>Jul</v>
      </c>
      <c r="D153" s="247"/>
      <c r="E153" s="805">
        <v>342.91699999999997</v>
      </c>
      <c r="F153" s="802"/>
      <c r="G153" s="2063"/>
      <c r="H153" s="691"/>
      <c r="I153" s="671"/>
      <c r="J153" s="705"/>
      <c r="K153" s="805">
        <v>288.55599999999998</v>
      </c>
      <c r="L153" s="705"/>
      <c r="M153" s="705"/>
      <c r="N153" s="798"/>
      <c r="O153" s="1103"/>
      <c r="P153" s="664"/>
      <c r="Q153" s="805">
        <v>167.77</v>
      </c>
      <c r="R153" s="802"/>
      <c r="S153" s="2063"/>
      <c r="T153" s="691"/>
      <c r="U153" s="671"/>
      <c r="V153" s="664"/>
      <c r="W153" s="1104"/>
      <c r="X153" s="798"/>
      <c r="Y153" s="2063"/>
      <c r="Z153" s="691"/>
      <c r="AA153" s="671"/>
      <c r="AB153" s="723"/>
      <c r="AC153" s="1104"/>
      <c r="AD153" s="1103"/>
      <c r="AE153" s="723"/>
      <c r="AF153" s="723"/>
      <c r="AG153" s="805">
        <v>36.764000000000003</v>
      </c>
      <c r="AH153" s="802"/>
      <c r="AI153" s="2063"/>
      <c r="AJ153" s="691"/>
      <c r="AK153" s="671"/>
      <c r="AL153" s="664"/>
      <c r="AM153" s="1285">
        <f>qtrSales!AN125</f>
        <v>35.741999999999997</v>
      </c>
      <c r="AN153" s="1291"/>
      <c r="AO153" s="691"/>
      <c r="AP153" s="701"/>
      <c r="AQ153" s="664"/>
      <c r="AR153" s="805">
        <v>7.2060000000000004</v>
      </c>
      <c r="AS153" s="802"/>
      <c r="AT153" s="691"/>
      <c r="AU153" s="671"/>
      <c r="AV153" s="664"/>
      <c r="AW153" s="673">
        <f>AR153+AG153+Q153+E153</f>
        <v>554.65699999999993</v>
      </c>
      <c r="AX153" s="912"/>
      <c r="AY153" s="673"/>
      <c r="AZ153" s="804"/>
      <c r="BA153" s="912"/>
      <c r="BB153" s="664"/>
      <c r="BC153" s="673"/>
      <c r="BD153" s="672"/>
      <c r="BE153" s="691"/>
      <c r="BF153" s="673"/>
      <c r="BG153" s="1011"/>
      <c r="BH153" s="672"/>
      <c r="BI153" s="247"/>
      <c r="BJ153" s="806"/>
      <c r="BK153" s="806"/>
      <c r="BL153" s="806"/>
      <c r="BM153" s="806"/>
      <c r="BN153" s="247"/>
      <c r="BO153" s="1251">
        <f>E153/$AW153</f>
        <v>0.61825055845324228</v>
      </c>
      <c r="BP153" s="1251">
        <f>K153/AW153</f>
        <v>0.52024223979865036</v>
      </c>
      <c r="BQ153" s="1251">
        <f>Q153/AW153</f>
        <v>0.30247522342636984</v>
      </c>
      <c r="BR153" s="1251">
        <v>0.18</v>
      </c>
      <c r="BS153" s="1251"/>
      <c r="BT153" s="1251">
        <f>AG153/AW153</f>
        <v>6.6282405162109204E-2</v>
      </c>
      <c r="BU153" s="1251">
        <f>BQ153-BR153</f>
        <v>0.12247522342636985</v>
      </c>
      <c r="BV153" s="247">
        <v>0</v>
      </c>
      <c r="BW153" s="1251">
        <f t="shared" ref="BW153:BW177" si="3">AR153/AW153</f>
        <v>1.2991812958278722E-2</v>
      </c>
      <c r="BX153" s="247"/>
      <c r="BY153" s="247"/>
    </row>
    <row r="154" spans="1:77" hidden="1" outlineLevel="1">
      <c r="A154" s="247"/>
      <c r="B154" s="247" t="str">
        <f>$B$16</f>
        <v>3Q</v>
      </c>
      <c r="C154" s="247" t="str">
        <f>$C$16</f>
        <v>Oct</v>
      </c>
      <c r="D154" s="247"/>
      <c r="E154" s="805">
        <v>317.45400000000001</v>
      </c>
      <c r="F154" s="802"/>
      <c r="G154" s="2063"/>
      <c r="H154" s="673"/>
      <c r="I154" s="698"/>
      <c r="J154" s="705"/>
      <c r="K154" s="805">
        <v>270.37299999999999</v>
      </c>
      <c r="L154" s="705"/>
      <c r="M154" s="705"/>
      <c r="N154" s="798"/>
      <c r="O154" s="1103"/>
      <c r="P154" s="664"/>
      <c r="Q154" s="805">
        <v>166.15</v>
      </c>
      <c r="R154" s="802"/>
      <c r="S154" s="2063"/>
      <c r="T154" s="673"/>
      <c r="U154" s="698"/>
      <c r="V154" s="664"/>
      <c r="W154" s="1104"/>
      <c r="X154" s="798"/>
      <c r="Y154" s="2063"/>
      <c r="Z154" s="673"/>
      <c r="AA154" s="698"/>
      <c r="AB154" s="723"/>
      <c r="AC154" s="1104"/>
      <c r="AD154" s="1103"/>
      <c r="AE154" s="723"/>
      <c r="AF154" s="723"/>
      <c r="AG154" s="805">
        <v>38.758000000000003</v>
      </c>
      <c r="AH154" s="802"/>
      <c r="AI154" s="2063"/>
      <c r="AJ154" s="673"/>
      <c r="AK154" s="698"/>
      <c r="AL154" s="664"/>
      <c r="AM154" s="1285">
        <f>qtrSales!AN126</f>
        <v>30.308</v>
      </c>
      <c r="AN154" s="1291"/>
      <c r="AO154" s="673"/>
      <c r="AP154" s="705"/>
      <c r="AQ154" s="664"/>
      <c r="AR154" s="805">
        <v>9.4719999999999995</v>
      </c>
      <c r="AS154" s="802"/>
      <c r="AT154" s="673"/>
      <c r="AU154" s="698"/>
      <c r="AV154" s="664"/>
      <c r="AW154" s="673">
        <f>AR154+AG154+Q154+E154</f>
        <v>531.83400000000006</v>
      </c>
      <c r="AX154" s="912"/>
      <c r="AY154" s="673"/>
      <c r="AZ154" s="804"/>
      <c r="BA154" s="912"/>
      <c r="BB154" s="664"/>
      <c r="BC154" s="673"/>
      <c r="BD154" s="672"/>
      <c r="BE154" s="673"/>
      <c r="BF154" s="673"/>
      <c r="BG154" s="1011"/>
      <c r="BH154" s="672"/>
      <c r="BI154" s="247"/>
      <c r="BJ154" s="806"/>
      <c r="BK154" s="806"/>
      <c r="BL154" s="806"/>
      <c r="BM154" s="806"/>
      <c r="BN154" s="247"/>
      <c r="BO154" s="1251">
        <f>E154/$AW154</f>
        <v>0.59690429720551896</v>
      </c>
      <c r="BP154" s="1251">
        <f>K154/AW154</f>
        <v>0.50837855421052425</v>
      </c>
      <c r="BQ154" s="1251">
        <f>Q154/AW154</f>
        <v>0.31240951123846911</v>
      </c>
      <c r="BR154" s="1251">
        <v>0.19</v>
      </c>
      <c r="BS154" s="1251"/>
      <c r="BT154" s="1251">
        <f>AG154/AW154</f>
        <v>7.2876123000785956E-2</v>
      </c>
      <c r="BU154" s="1251">
        <f>BQ154-BR154</f>
        <v>0.1224095112384691</v>
      </c>
      <c r="BV154" s="247">
        <v>0</v>
      </c>
      <c r="BW154" s="1251">
        <f t="shared" si="3"/>
        <v>1.7810068555225878E-2</v>
      </c>
      <c r="BX154" s="247"/>
      <c r="BY154" s="247"/>
    </row>
    <row r="155" spans="1:77" hidden="1" outlineLevel="1">
      <c r="A155" s="247"/>
      <c r="B155" s="247" t="str">
        <f>$B$17</f>
        <v>4Q</v>
      </c>
      <c r="C155" s="247" t="str">
        <f>$C$17</f>
        <v>Jan</v>
      </c>
      <c r="D155" s="247"/>
      <c r="E155" s="807">
        <v>613.75</v>
      </c>
      <c r="F155" s="802"/>
      <c r="G155" s="2063"/>
      <c r="H155" s="801"/>
      <c r="I155" s="698"/>
      <c r="J155" s="705"/>
      <c r="K155" s="807">
        <v>506.93200000000002</v>
      </c>
      <c r="L155" s="705"/>
      <c r="M155" s="705"/>
      <c r="N155" s="798"/>
      <c r="O155" s="1103"/>
      <c r="P155" s="664"/>
      <c r="Q155" s="807">
        <v>246.20400000000001</v>
      </c>
      <c r="R155" s="802"/>
      <c r="S155" s="2063"/>
      <c r="T155" s="801"/>
      <c r="U155" s="698"/>
      <c r="V155" s="664"/>
      <c r="W155" s="1104"/>
      <c r="X155" s="798"/>
      <c r="Y155" s="2063"/>
      <c r="Z155" s="801"/>
      <c r="AA155" s="698"/>
      <c r="AB155" s="723"/>
      <c r="AC155" s="1104"/>
      <c r="AD155" s="1103"/>
      <c r="AE155" s="723"/>
      <c r="AF155" s="723"/>
      <c r="AG155" s="807">
        <v>75.677999999999997</v>
      </c>
      <c r="AH155" s="802"/>
      <c r="AI155" s="2063"/>
      <c r="AJ155" s="801"/>
      <c r="AK155" s="698"/>
      <c r="AL155" s="664"/>
      <c r="AM155" s="1286">
        <f>qtrSales!AN127</f>
        <v>78.070999999999998</v>
      </c>
      <c r="AN155" s="1291"/>
      <c r="AO155" s="1098"/>
      <c r="AP155" s="705"/>
      <c r="AQ155" s="664"/>
      <c r="AR155" s="807">
        <v>23.254999999999999</v>
      </c>
      <c r="AS155" s="802"/>
      <c r="AT155" s="801"/>
      <c r="AU155" s="698"/>
      <c r="AV155" s="664"/>
      <c r="AW155" s="677">
        <f>AR155+AG155+Q155+E155</f>
        <v>958.88699999999994</v>
      </c>
      <c r="AX155" s="912"/>
      <c r="AY155" s="677"/>
      <c r="AZ155" s="804"/>
      <c r="BA155" s="912"/>
      <c r="BB155" s="664"/>
      <c r="BC155" s="677"/>
      <c r="BD155" s="685"/>
      <c r="BE155" s="801"/>
      <c r="BF155" s="677"/>
      <c r="BG155" s="1011"/>
      <c r="BH155" s="672"/>
      <c r="BI155" s="247"/>
      <c r="BJ155" s="806"/>
      <c r="BK155" s="806"/>
      <c r="BL155" s="806"/>
      <c r="BM155" s="806"/>
      <c r="BN155" s="247"/>
      <c r="BO155" s="1231">
        <f>E155/$AW155</f>
        <v>0.64006499201678613</v>
      </c>
      <c r="BP155" s="1231">
        <f>K155/AW155</f>
        <v>0.52866709007422152</v>
      </c>
      <c r="BQ155" s="1231">
        <f>Q155/AW155</f>
        <v>0.25676018133523554</v>
      </c>
      <c r="BR155" s="1231">
        <v>0.15</v>
      </c>
      <c r="BS155" s="1231"/>
      <c r="BT155" s="1231">
        <f>AG155/AW155</f>
        <v>7.892275106451542E-2</v>
      </c>
      <c r="BU155" s="1231">
        <f>BQ155-BR155</f>
        <v>0.10676018133523554</v>
      </c>
      <c r="BV155" s="247">
        <v>0</v>
      </c>
      <c r="BW155" s="1231">
        <f t="shared" si="3"/>
        <v>2.4252075583462911E-2</v>
      </c>
      <c r="BX155" s="247"/>
      <c r="BY155" s="247"/>
    </row>
    <row r="156" spans="1:77" hidden="1" outlineLevel="1">
      <c r="A156" s="658"/>
      <c r="B156" s="658"/>
      <c r="C156" s="658" t="str">
        <f>$C$18</f>
        <v>Year</v>
      </c>
      <c r="D156" s="658"/>
      <c r="E156" s="799">
        <f>SUM(E152:E155)</f>
        <v>1577.7439999999999</v>
      </c>
      <c r="F156" s="802"/>
      <c r="G156" s="2063"/>
      <c r="H156" s="695">
        <v>342.87700000000001</v>
      </c>
      <c r="I156" s="671">
        <f>+H156/E156*100</f>
        <v>21.732106095792474</v>
      </c>
      <c r="J156" s="701"/>
      <c r="K156" s="946">
        <v>1326.441</v>
      </c>
      <c r="L156" s="701"/>
      <c r="M156" s="701"/>
      <c r="N156" s="798"/>
      <c r="O156" s="1103"/>
      <c r="P156" s="700"/>
      <c r="Q156" s="799">
        <f>SUM(Q152:Q155)</f>
        <v>748.00399999999991</v>
      </c>
      <c r="R156" s="802"/>
      <c r="S156" s="2063"/>
      <c r="T156" s="695">
        <v>211.56800000000001</v>
      </c>
      <c r="U156" s="671">
        <f>+T156/Q156*100</f>
        <v>28.284340725450669</v>
      </c>
      <c r="V156" s="700"/>
      <c r="W156" s="1104"/>
      <c r="X156" s="798"/>
      <c r="Y156" s="2063"/>
      <c r="Z156" s="695"/>
      <c r="AA156" s="671"/>
      <c r="AB156" s="798"/>
      <c r="AC156" s="1104"/>
      <c r="AD156" s="1103"/>
      <c r="AE156" s="798"/>
      <c r="AF156" s="798"/>
      <c r="AG156" s="799">
        <f>SUM(AG152:AG155)</f>
        <v>185.398</v>
      </c>
      <c r="AH156" s="802"/>
      <c r="AI156" s="2063"/>
      <c r="AJ156" s="695">
        <v>31.963999999999999</v>
      </c>
      <c r="AK156" s="671">
        <f>+AJ156/AG156*100</f>
        <v>17.240746933623878</v>
      </c>
      <c r="AL156" s="700"/>
      <c r="AM156" s="799">
        <f>SUM(AM152:AM155)</f>
        <v>174.078</v>
      </c>
      <c r="AN156" s="1291"/>
      <c r="AO156" s="667"/>
      <c r="AP156" s="705"/>
      <c r="AQ156" s="700"/>
      <c r="AR156" s="799">
        <f>SUM(AR152:AR155)</f>
        <v>49.587999999999994</v>
      </c>
      <c r="AS156" s="802"/>
      <c r="AT156" s="695">
        <v>-14.379</v>
      </c>
      <c r="AU156" s="671"/>
      <c r="AV156" s="700"/>
      <c r="AW156" s="667">
        <f>AR156+AG156+Q156+E156</f>
        <v>2560.7339999999999</v>
      </c>
      <c r="AX156" s="912"/>
      <c r="AY156" s="1021"/>
      <c r="AZ156" s="804"/>
      <c r="BA156" s="912"/>
      <c r="BB156" s="700"/>
      <c r="BC156" s="667"/>
      <c r="BD156" s="701"/>
      <c r="BE156" s="691">
        <v>-109.964</v>
      </c>
      <c r="BF156" s="667"/>
      <c r="BG156" s="1011"/>
      <c r="BH156" s="701"/>
      <c r="BI156" s="658"/>
      <c r="BJ156" s="667">
        <v>1560.93</v>
      </c>
      <c r="BK156" s="667">
        <v>491.31200000000001</v>
      </c>
      <c r="BL156" s="667">
        <v>508.49200000000002</v>
      </c>
      <c r="BM156" s="203"/>
      <c r="BN156" s="658"/>
      <c r="BO156" s="1251">
        <f>E156/$AW156</f>
        <v>0.61612959409294366</v>
      </c>
      <c r="BP156" s="1251">
        <f>K156/AW156</f>
        <v>0.51799249746361786</v>
      </c>
      <c r="BQ156" s="1251">
        <f>Q156/AW156</f>
        <v>0.29210531043052496</v>
      </c>
      <c r="BR156" s="1251">
        <v>0.19</v>
      </c>
      <c r="BS156" s="1251"/>
      <c r="BT156" s="1251">
        <f>AG156/AW156</f>
        <v>7.2400335216387182E-2</v>
      </c>
      <c r="BU156" s="1251">
        <f>BQ156-BR156</f>
        <v>0.10210531043052495</v>
      </c>
      <c r="BV156" s="658">
        <v>0</v>
      </c>
      <c r="BW156" s="1251">
        <f t="shared" si="3"/>
        <v>1.9364760260144161E-2</v>
      </c>
      <c r="BX156" s="1496">
        <f>+K156/K123-1</f>
        <v>8.6638381955020272E-2</v>
      </c>
      <c r="BY156" s="1496">
        <f>+(AW156-K156)/(AW123-K123)-1</f>
        <v>5.0936166951901285E-2</v>
      </c>
    </row>
    <row r="157" spans="1:77" hidden="1" outlineLevel="1">
      <c r="A157" s="658"/>
      <c r="B157" s="658"/>
      <c r="C157" s="658"/>
      <c r="D157" s="658"/>
      <c r="E157" s="946"/>
      <c r="F157" s="802"/>
      <c r="G157" s="2063"/>
      <c r="H157" s="695"/>
      <c r="I157" s="671"/>
      <c r="J157" s="701"/>
      <c r="K157" s="1218"/>
      <c r="L157" s="701"/>
      <c r="M157" s="701"/>
      <c r="N157" s="798"/>
      <c r="O157" s="1103"/>
      <c r="P157" s="700"/>
      <c r="Q157" s="799"/>
      <c r="R157" s="802"/>
      <c r="S157" s="2063"/>
      <c r="T157" s="695"/>
      <c r="U157" s="671"/>
      <c r="V157" s="700"/>
      <c r="W157" s="1106"/>
      <c r="X157" s="713"/>
      <c r="Y157" s="2063"/>
      <c r="Z157" s="695"/>
      <c r="AA157" s="671"/>
      <c r="AB157" s="713"/>
      <c r="AC157" s="1106"/>
      <c r="AD157" s="1109"/>
      <c r="AE157" s="713"/>
      <c r="AF157" s="713"/>
      <c r="AG157" s="799"/>
      <c r="AH157" s="802"/>
      <c r="AI157" s="2063"/>
      <c r="AJ157" s="695"/>
      <c r="AK157" s="671"/>
      <c r="AL157" s="700"/>
      <c r="AM157" s="799"/>
      <c r="AN157" s="1291"/>
      <c r="AO157" s="695"/>
      <c r="AP157" s="701"/>
      <c r="AQ157" s="700"/>
      <c r="AR157" s="799"/>
      <c r="AS157" s="802"/>
      <c r="AT157" s="695"/>
      <c r="AU157" s="671"/>
      <c r="AV157" s="700"/>
      <c r="AW157" s="673"/>
      <c r="AX157" s="700"/>
      <c r="AY157" s="1021"/>
      <c r="AZ157" s="1035"/>
      <c r="BA157" s="802"/>
      <c r="BB157" s="700"/>
      <c r="BC157" s="667"/>
      <c r="BD157" s="701"/>
      <c r="BE157" s="691"/>
      <c r="BF157" s="667"/>
      <c r="BG157" s="1011" t="str">
        <f>IF(BC157=BF157,"","n")</f>
        <v/>
      </c>
      <c r="BH157" s="701"/>
      <c r="BI157" s="658"/>
      <c r="BJ157" s="203"/>
      <c r="BK157" s="203"/>
      <c r="BL157" s="203"/>
      <c r="BM157" s="203"/>
      <c r="BN157" s="658"/>
      <c r="BO157" s="1251"/>
      <c r="BP157" s="1251"/>
      <c r="BQ157" s="1251"/>
      <c r="BR157" s="1251"/>
      <c r="BS157" s="1251"/>
      <c r="BT157" s="1251"/>
      <c r="BU157" s="1251"/>
      <c r="BV157" s="658">
        <v>0</v>
      </c>
      <c r="BW157" s="1251"/>
      <c r="BX157" s="658"/>
      <c r="BY157" s="658"/>
    </row>
    <row r="158" spans="1:77" hidden="1" outlineLevel="1">
      <c r="A158" s="247"/>
      <c r="B158" s="2506">
        <v>2007</v>
      </c>
      <c r="C158" s="2506"/>
      <c r="D158" s="247"/>
      <c r="E158" s="892"/>
      <c r="F158" s="893"/>
      <c r="G158" s="2064"/>
      <c r="H158" s="658"/>
      <c r="I158" s="895"/>
      <c r="J158" s="709"/>
      <c r="K158" s="892"/>
      <c r="L158" s="709"/>
      <c r="M158" s="709"/>
      <c r="N158" s="893"/>
      <c r="O158" s="1103"/>
      <c r="P158" s="643"/>
      <c r="Q158" s="892"/>
      <c r="R158" s="893"/>
      <c r="S158" s="2064"/>
      <c r="T158" s="658"/>
      <c r="U158" s="895"/>
      <c r="V158" s="643"/>
      <c r="W158" s="1105"/>
      <c r="X158" s="893"/>
      <c r="Y158" s="2064"/>
      <c r="Z158" s="658"/>
      <c r="AA158" s="895"/>
      <c r="AB158" s="643"/>
      <c r="AC158" s="1105"/>
      <c r="AD158" s="1108"/>
      <c r="AE158" s="643"/>
      <c r="AF158" s="643"/>
      <c r="AG158" s="892"/>
      <c r="AH158" s="893"/>
      <c r="AI158" s="2064"/>
      <c r="AJ158" s="658"/>
      <c r="AK158" s="895"/>
      <c r="AL158" s="643"/>
      <c r="AM158" s="892"/>
      <c r="AN158" s="1108"/>
      <c r="AO158" s="658"/>
      <c r="AP158" s="1119"/>
      <c r="AQ158" s="643"/>
      <c r="AR158" s="892"/>
      <c r="AS158" s="893"/>
      <c r="AT158" s="658"/>
      <c r="AU158" s="895"/>
      <c r="AV158" s="643"/>
      <c r="AW158" s="658"/>
      <c r="AX158" s="658"/>
      <c r="AY158" s="658"/>
      <c r="AZ158" s="659"/>
      <c r="BA158" s="256"/>
      <c r="BB158" s="256"/>
      <c r="BC158" s="658"/>
      <c r="BD158" s="658"/>
      <c r="BE158" s="658"/>
      <c r="BF158" s="658"/>
      <c r="BG158" s="963"/>
      <c r="BH158" s="247"/>
      <c r="BI158" s="247"/>
      <c r="BJ158" s="247"/>
      <c r="BK158" s="247"/>
      <c r="BL158" s="247"/>
      <c r="BM158" s="247"/>
      <c r="BN158" s="247"/>
      <c r="BO158" s="1251"/>
      <c r="BP158" s="1251"/>
      <c r="BQ158" s="1251"/>
      <c r="BR158" s="1251"/>
      <c r="BS158" s="1251"/>
      <c r="BT158" s="1251"/>
      <c r="BU158" s="1251"/>
      <c r="BV158" s="658">
        <v>0</v>
      </c>
      <c r="BW158" s="1251"/>
      <c r="BX158" s="247"/>
      <c r="BY158" s="247"/>
    </row>
    <row r="159" spans="1:77" hidden="1" outlineLevel="1">
      <c r="A159" s="247"/>
      <c r="B159" s="247" t="str">
        <f>$B$14</f>
        <v>1Q</v>
      </c>
      <c r="C159" s="247" t="str">
        <f>$C$14</f>
        <v>Apr</v>
      </c>
      <c r="D159" s="247"/>
      <c r="E159" s="724">
        <v>353.34899999999999</v>
      </c>
      <c r="F159" s="661">
        <f>+(E159/E152-1)*100</f>
        <v>16.377547155518513</v>
      </c>
      <c r="G159" s="2063">
        <v>12</v>
      </c>
      <c r="H159" s="695">
        <v>62.101999999999997</v>
      </c>
      <c r="I159" s="671">
        <f>+H159/E159*100</f>
        <v>17.575258455521311</v>
      </c>
      <c r="J159" s="705"/>
      <c r="K159" s="724">
        <v>298.68400000000003</v>
      </c>
      <c r="L159" s="705"/>
      <c r="M159" s="798">
        <v>12</v>
      </c>
      <c r="N159" s="798">
        <v>26</v>
      </c>
      <c r="O159" s="1103">
        <v>9</v>
      </c>
      <c r="P159" s="664"/>
      <c r="Q159" s="724">
        <v>183.09399999999999</v>
      </c>
      <c r="R159" s="802">
        <f>(Q159/Q152-1)*100</f>
        <v>9.0624255420538535</v>
      </c>
      <c r="S159" s="2063">
        <v>2</v>
      </c>
      <c r="T159" s="695">
        <v>49.298999999999999</v>
      </c>
      <c r="U159" s="671">
        <f>+T159/Q159*100</f>
        <v>26.925513670573586</v>
      </c>
      <c r="V159" s="664"/>
      <c r="W159" s="799">
        <f>W166/(1+X166/100)</f>
        <v>110.83893805309737</v>
      </c>
      <c r="X159" s="798"/>
      <c r="Y159" s="2063"/>
      <c r="Z159" s="695"/>
      <c r="AA159" s="671"/>
      <c r="AB159" s="723"/>
      <c r="AC159" s="1104"/>
      <c r="AD159" s="1103"/>
      <c r="AE159" s="723"/>
      <c r="AF159" s="723"/>
      <c r="AG159" s="724">
        <v>43.543999999999997</v>
      </c>
      <c r="AH159" s="802">
        <f>(AG159/AG152-1)*100</f>
        <v>27.3290835721387</v>
      </c>
      <c r="AI159" s="2063">
        <v>11</v>
      </c>
      <c r="AJ159" s="695">
        <v>7.62</v>
      </c>
      <c r="AK159" s="671">
        <f>+AJ159/AG159*100</f>
        <v>17.49954069446996</v>
      </c>
      <c r="AL159" s="664"/>
      <c r="AM159" s="724">
        <f>qtrSales!AN131</f>
        <v>33.295999999999999</v>
      </c>
      <c r="AN159" s="1291">
        <f>+(AM159/AM152-1)*100</f>
        <v>11.145975898788251</v>
      </c>
      <c r="AO159" s="695"/>
      <c r="AP159" s="701"/>
      <c r="AQ159" s="664"/>
      <c r="AR159" s="805">
        <v>15.742000000000001</v>
      </c>
      <c r="AS159" s="802">
        <f>+(AR159/AR152-1)*100</f>
        <v>63.045054375971013</v>
      </c>
      <c r="AT159" s="695">
        <v>-4.4960000000000004</v>
      </c>
      <c r="AU159" s="671">
        <f>+AT159/AR159*100</f>
        <v>-28.56053868631686</v>
      </c>
      <c r="AV159" s="664"/>
      <c r="AW159" s="1168">
        <f>AR159+AG159+Q159+E159</f>
        <v>595.72900000000004</v>
      </c>
      <c r="AX159" s="1168"/>
      <c r="AY159" s="1168"/>
      <c r="AZ159" s="1168"/>
      <c r="BA159" s="1168"/>
      <c r="BB159" s="1168"/>
      <c r="BC159" s="1168">
        <f>'qtrP&amp;L'!BV48</f>
        <v>87.91700000000003</v>
      </c>
      <c r="BD159" s="672"/>
      <c r="BE159" s="695">
        <v>-26.608000000000001</v>
      </c>
      <c r="BF159" s="1168">
        <f>H159+T159+AJ159+AT159+BE159</f>
        <v>87.917000000000002</v>
      </c>
      <c r="BG159" s="963"/>
      <c r="BH159" s="1175">
        <f>BF159/AW159</f>
        <v>0.14757884877184088</v>
      </c>
      <c r="BI159" s="247"/>
      <c r="BJ159" s="806"/>
      <c r="BK159" s="806"/>
      <c r="BL159" s="806"/>
      <c r="BM159" s="806"/>
      <c r="BN159" s="247"/>
      <c r="BO159" s="1251">
        <f>E159/$AW159</f>
        <v>0.59313714793135797</v>
      </c>
      <c r="BP159" s="1251">
        <f>K159/AW159</f>
        <v>0.5013756254941425</v>
      </c>
      <c r="BQ159" s="1251">
        <f>Q159/AW159</f>
        <v>0.30734444688776269</v>
      </c>
      <c r="BR159" s="1251">
        <v>0.17</v>
      </c>
      <c r="BS159" s="1251"/>
      <c r="BT159" s="1251">
        <f t="shared" ref="BT159:BT176" si="4">AG159/AW159</f>
        <v>7.3093638214691573E-2</v>
      </c>
      <c r="BU159" s="1251">
        <f>BQ159-BR159</f>
        <v>0.13734444688776268</v>
      </c>
      <c r="BV159" s="658">
        <v>0</v>
      </c>
      <c r="BW159" s="1251">
        <f t="shared" si="3"/>
        <v>2.6424766966187646E-2</v>
      </c>
      <c r="BX159" s="247"/>
      <c r="BY159" s="247"/>
    </row>
    <row r="160" spans="1:77" hidden="1" outlineLevel="1">
      <c r="A160" s="247"/>
      <c r="B160" s="247" t="str">
        <f>$B$15</f>
        <v>2Q</v>
      </c>
      <c r="C160" s="247" t="str">
        <f>$C$15</f>
        <v>Jul</v>
      </c>
      <c r="D160" s="247"/>
      <c r="E160" s="805">
        <v>408.94099999999997</v>
      </c>
      <c r="F160" s="802">
        <f>+(E160/E153-1)*100</f>
        <v>19.253638635588199</v>
      </c>
      <c r="G160" s="2063">
        <v>17</v>
      </c>
      <c r="H160" s="691">
        <v>87.581999999999994</v>
      </c>
      <c r="I160" s="671">
        <f>+H160/E160*100</f>
        <v>21.416781393893007</v>
      </c>
      <c r="J160" s="705"/>
      <c r="K160" s="805">
        <v>345.33600000000001</v>
      </c>
      <c r="L160" s="705"/>
      <c r="M160" s="798">
        <v>17</v>
      </c>
      <c r="N160" s="798">
        <v>31</v>
      </c>
      <c r="O160" s="1103">
        <v>14</v>
      </c>
      <c r="P160" s="664"/>
      <c r="Q160" s="805">
        <v>182.96199999999999</v>
      </c>
      <c r="R160" s="802">
        <f>(Q160/Q153-1)*100</f>
        <v>9.0552542170829078</v>
      </c>
      <c r="S160" s="2063">
        <v>3</v>
      </c>
      <c r="T160" s="691">
        <v>47.182000000000002</v>
      </c>
      <c r="U160" s="671">
        <f>+T160/Q160*100</f>
        <v>25.787868519146055</v>
      </c>
      <c r="V160" s="664"/>
      <c r="W160" s="1037">
        <f>W167/(1+X167/100)</f>
        <v>105.86874999999998</v>
      </c>
      <c r="X160" s="798"/>
      <c r="Y160" s="2063">
        <v>-6</v>
      </c>
      <c r="Z160" s="691"/>
      <c r="AA160" s="671"/>
      <c r="AB160" s="723"/>
      <c r="AC160" s="1104"/>
      <c r="AD160" s="1103">
        <v>24</v>
      </c>
      <c r="AE160" s="723"/>
      <c r="AF160" s="723"/>
      <c r="AG160" s="805">
        <v>52.558999999999997</v>
      </c>
      <c r="AH160" s="802">
        <f>(AG160/AG153-1)*100</f>
        <v>42.963224893917953</v>
      </c>
      <c r="AI160" s="2063">
        <v>23</v>
      </c>
      <c r="AJ160" s="691">
        <v>10.670999999999999</v>
      </c>
      <c r="AK160" s="671">
        <f>+AJ160/AG160*100</f>
        <v>20.302897695922677</v>
      </c>
      <c r="AL160" s="664"/>
      <c r="AM160" s="1285">
        <f>qtrSales!AN132</f>
        <v>40.103000000000002</v>
      </c>
      <c r="AN160" s="1291">
        <f>+(AM160/AM153-1)*100</f>
        <v>12.201331766549162</v>
      </c>
      <c r="AO160" s="691"/>
      <c r="AP160" s="701"/>
      <c r="AQ160" s="664"/>
      <c r="AR160" s="805">
        <v>18.100000000000001</v>
      </c>
      <c r="AS160" s="802">
        <f>+(AR160/AR153-1)*100</f>
        <v>151.17957257840692</v>
      </c>
      <c r="AT160" s="691">
        <v>-4.7960000000000003</v>
      </c>
      <c r="AU160" s="671">
        <f>+AT160/AR160*100</f>
        <v>-26.497237569060772</v>
      </c>
      <c r="AV160" s="664"/>
      <c r="AW160" s="673">
        <f>AR160+AG160+Q160+E160</f>
        <v>662.5619999999999</v>
      </c>
      <c r="AX160" s="912"/>
      <c r="AY160" s="673"/>
      <c r="AZ160" s="804"/>
      <c r="BA160" s="912"/>
      <c r="BB160" s="664"/>
      <c r="BC160" s="903">
        <f>'qtrP&amp;L'!BV49</f>
        <v>112.78699999999998</v>
      </c>
      <c r="BD160" s="672"/>
      <c r="BE160" s="1259">
        <v>-27.852</v>
      </c>
      <c r="BF160" s="673">
        <f>H160+T160+AJ160+AT160+BE160</f>
        <v>112.78700000000001</v>
      </c>
      <c r="BG160" s="1011"/>
      <c r="BH160" s="1175">
        <f>BF160/AW160</f>
        <v>0.17022859747465147</v>
      </c>
      <c r="BI160" s="247"/>
      <c r="BJ160" s="806"/>
      <c r="BK160" s="806"/>
      <c r="BL160" s="806"/>
      <c r="BM160" s="806"/>
      <c r="BN160" s="247"/>
      <c r="BO160" s="1251">
        <f>E160/$AW160</f>
        <v>0.61721167226614271</v>
      </c>
      <c r="BP160" s="1251">
        <f>K160/AW160</f>
        <v>0.5212131091128076</v>
      </c>
      <c r="BQ160" s="1251">
        <f>Q160/AW160</f>
        <v>0.27614321376716444</v>
      </c>
      <c r="BR160" s="1251">
        <v>0.14000000000000001</v>
      </c>
      <c r="BS160" s="1251"/>
      <c r="BT160" s="1251">
        <f t="shared" si="4"/>
        <v>7.932691582070811E-2</v>
      </c>
      <c r="BU160" s="1251">
        <f>BQ160-BR160</f>
        <v>0.13614321376716443</v>
      </c>
      <c r="BV160" s="247">
        <v>0</v>
      </c>
      <c r="BW160" s="1251">
        <f t="shared" si="3"/>
        <v>2.7318198145984834E-2</v>
      </c>
      <c r="BX160" s="247"/>
      <c r="BY160" s="247"/>
    </row>
    <row r="161" spans="1:77" hidden="1" outlineLevel="1">
      <c r="A161" s="247"/>
      <c r="B161" s="247" t="str">
        <f>$B$16</f>
        <v>3Q</v>
      </c>
      <c r="C161" s="247" t="str">
        <f>$C$16</f>
        <v>Oct</v>
      </c>
      <c r="D161" s="247"/>
      <c r="E161" s="805">
        <v>355.346</v>
      </c>
      <c r="F161" s="802">
        <f>+(E161/E154-1)*100</f>
        <v>11.936217530728864</v>
      </c>
      <c r="G161" s="2063">
        <v>8</v>
      </c>
      <c r="H161" s="691">
        <v>48.749000000000002</v>
      </c>
      <c r="I161" s="671">
        <f>+H161/E161*100</f>
        <v>13.718741733409129</v>
      </c>
      <c r="J161" s="705"/>
      <c r="K161" s="805">
        <v>302.673</v>
      </c>
      <c r="L161" s="705"/>
      <c r="M161" s="798">
        <v>8</v>
      </c>
      <c r="N161" s="798">
        <v>25</v>
      </c>
      <c r="O161" s="1103">
        <v>4</v>
      </c>
      <c r="P161" s="664"/>
      <c r="Q161" s="805">
        <v>199.47</v>
      </c>
      <c r="R161" s="802">
        <f>(Q161/Q154-1)*100</f>
        <v>20.054167920553724</v>
      </c>
      <c r="S161" s="2063">
        <v>9</v>
      </c>
      <c r="T161" s="691">
        <v>44.246000000000002</v>
      </c>
      <c r="U161" s="671">
        <f>+T161/Q161*100</f>
        <v>22.181781721562142</v>
      </c>
      <c r="V161" s="664"/>
      <c r="W161" s="1037">
        <f>W168/(1+X168/100)</f>
        <v>112.43564356435644</v>
      </c>
      <c r="X161" s="798"/>
      <c r="Y161" s="2063">
        <v>-1</v>
      </c>
      <c r="Z161" s="691"/>
      <c r="AA161" s="671"/>
      <c r="AB161" s="723"/>
      <c r="AC161" s="1104"/>
      <c r="AD161" s="1103">
        <v>29</v>
      </c>
      <c r="AE161" s="723"/>
      <c r="AF161" s="723"/>
      <c r="AG161" s="805">
        <v>50.075000000000003</v>
      </c>
      <c r="AH161" s="802">
        <f>(AG161/AG154-1)*100</f>
        <v>29.199133082202387</v>
      </c>
      <c r="AI161" s="2063">
        <v>14</v>
      </c>
      <c r="AJ161" s="691">
        <v>6.9139999999999997</v>
      </c>
      <c r="AK161" s="671">
        <f>+AJ161/AG161*100</f>
        <v>13.807289066400397</v>
      </c>
      <c r="AL161" s="664"/>
      <c r="AM161" s="1285">
        <f>qtrSales!AN133</f>
        <v>31.373000000000001</v>
      </c>
      <c r="AN161" s="1291">
        <f>+(AM161/AM154-1)*100</f>
        <v>3.513923716510492</v>
      </c>
      <c r="AO161" s="673"/>
      <c r="AP161" s="705"/>
      <c r="AQ161" s="664"/>
      <c r="AR161" s="805">
        <v>22.431999999999999</v>
      </c>
      <c r="AS161" s="802">
        <f>+(AR161/AR154-1)*100</f>
        <v>136.82432432432435</v>
      </c>
      <c r="AT161" s="691">
        <v>-6.9640000000000004</v>
      </c>
      <c r="AU161" s="671">
        <f>+AT161/AR161*100</f>
        <v>-31.044935805991447</v>
      </c>
      <c r="AV161" s="664"/>
      <c r="AW161" s="673">
        <f>AR161+AG161+Q161+E161</f>
        <v>627.32299999999998</v>
      </c>
      <c r="AX161" s="912"/>
      <c r="AY161" s="795"/>
      <c r="AZ161" s="804"/>
      <c r="BA161" s="912"/>
      <c r="BB161" s="664"/>
      <c r="BC161" s="903">
        <f>'qtrP&amp;L'!BV50</f>
        <v>63.143999999999949</v>
      </c>
      <c r="BD161" s="672"/>
      <c r="BE161" s="1259">
        <f>-39.8+10</f>
        <v>-29.799999999999997</v>
      </c>
      <c r="BF161" s="673">
        <f>H161+T161+AJ161+AT161+BE161</f>
        <v>63.14500000000001</v>
      </c>
      <c r="BG161" s="1011"/>
      <c r="BH161" s="1175">
        <f>BF161/AW161</f>
        <v>0.10065787481090285</v>
      </c>
      <c r="BI161" s="247"/>
      <c r="BJ161" s="806"/>
      <c r="BK161" s="806"/>
      <c r="BL161" s="806"/>
      <c r="BM161" s="806"/>
      <c r="BN161" s="247"/>
      <c r="BO161" s="1251">
        <f>E161/$AW161</f>
        <v>0.56644822523644123</v>
      </c>
      <c r="BP161" s="1251">
        <f>K161/AW161</f>
        <v>0.48248350530747319</v>
      </c>
      <c r="BQ161" s="1251">
        <f>Q161/AW161</f>
        <v>0.31797016847780174</v>
      </c>
      <c r="BR161" s="1251">
        <v>0.18</v>
      </c>
      <c r="BS161" s="1251"/>
      <c r="BT161" s="1251">
        <f t="shared" si="4"/>
        <v>7.9823312711314598E-2</v>
      </c>
      <c r="BU161" s="1251">
        <f>BQ161-BR161</f>
        <v>0.13797016847780175</v>
      </c>
      <c r="BV161" s="247">
        <v>0</v>
      </c>
      <c r="BW161" s="1251">
        <f t="shared" si="3"/>
        <v>3.5758293574442511E-2</v>
      </c>
      <c r="BX161" s="247"/>
      <c r="BY161" s="247"/>
    </row>
    <row r="162" spans="1:77" hidden="1" outlineLevel="1">
      <c r="A162" s="247"/>
      <c r="B162" s="247" t="str">
        <f>$B$17</f>
        <v>4Q</v>
      </c>
      <c r="C162" s="247" t="str">
        <f>$C$17</f>
        <v>Jan</v>
      </c>
      <c r="D162" s="247"/>
      <c r="E162" s="807">
        <v>642.23299999999995</v>
      </c>
      <c r="F162" s="802">
        <f>+(E162/E155-1)*100</f>
        <v>4.6408146639511205</v>
      </c>
      <c r="G162" s="2063">
        <v>-1</v>
      </c>
      <c r="H162" s="801">
        <f>H163-SUM(H159:H161)</f>
        <v>196.57800000000003</v>
      </c>
      <c r="I162" s="671">
        <f>+H162/E162*100</f>
        <v>30.608517469516521</v>
      </c>
      <c r="J162" s="705"/>
      <c r="K162" s="807">
        <v>527.94500000000005</v>
      </c>
      <c r="L162" s="705"/>
      <c r="M162" s="798">
        <v>-1</v>
      </c>
      <c r="N162" s="798">
        <v>10</v>
      </c>
      <c r="O162" s="1103">
        <v>-4</v>
      </c>
      <c r="P162" s="664"/>
      <c r="Q162" s="807">
        <v>288.233</v>
      </c>
      <c r="R162" s="802">
        <f>(Q162/Q155-1)*100</f>
        <v>17.070803073873698</v>
      </c>
      <c r="S162" s="2063">
        <v>5</v>
      </c>
      <c r="T162" s="801">
        <f>T163-SUM(T159:T161)</f>
        <v>86.389999999999986</v>
      </c>
      <c r="U162" s="671">
        <f>+T162/Q162*100</f>
        <v>29.972279371203154</v>
      </c>
      <c r="V162" s="664"/>
      <c r="W162" s="1154">
        <f>W169/(1+X169/100)</f>
        <v>169.32019230769228</v>
      </c>
      <c r="X162" s="798"/>
      <c r="Y162" s="2063">
        <v>-6</v>
      </c>
      <c r="Z162" s="801"/>
      <c r="AA162" s="671"/>
      <c r="AB162" s="723"/>
      <c r="AC162" s="1104"/>
      <c r="AD162" s="1103">
        <v>28</v>
      </c>
      <c r="AE162" s="723"/>
      <c r="AF162" s="723"/>
      <c r="AG162" s="807">
        <v>97.400999999999996</v>
      </c>
      <c r="AH162" s="802">
        <f>(AG162/AG155-1)*100</f>
        <v>28.704511218583995</v>
      </c>
      <c r="AI162" s="2063">
        <v>8</v>
      </c>
      <c r="AJ162" s="801">
        <f>AJ163-SUM(AJ159:AJ161)</f>
        <v>32.18</v>
      </c>
      <c r="AK162" s="671">
        <f>+AJ162/AG162*100</f>
        <v>33.038675167606087</v>
      </c>
      <c r="AL162" s="664"/>
      <c r="AM162" s="1286">
        <f>qtrSales!AN134</f>
        <v>77.355000000000004</v>
      </c>
      <c r="AN162" s="1291">
        <f>+(AM162/AM155-1)*100</f>
        <v>-0.91711390913398194</v>
      </c>
      <c r="AO162" s="1098"/>
      <c r="AP162" s="705"/>
      <c r="AQ162" s="664"/>
      <c r="AR162" s="807">
        <v>25.29</v>
      </c>
      <c r="AS162" s="802">
        <f>+(AR162/AR155-1)*100</f>
        <v>8.750806278219736</v>
      </c>
      <c r="AT162" s="801">
        <f>AT163-SUM(AT159:AT161)</f>
        <v>-16.781999999999996</v>
      </c>
      <c r="AU162" s="671">
        <f>+AT162/AR162*100</f>
        <v>-66.358244365361799</v>
      </c>
      <c r="AV162" s="664"/>
      <c r="AW162" s="677">
        <f>AR162+AG162+Q162+E162</f>
        <v>1053.1569999999999</v>
      </c>
      <c r="AX162" s="912"/>
      <c r="AY162" s="677"/>
      <c r="AZ162" s="804"/>
      <c r="BA162" s="912"/>
      <c r="BB162" s="664"/>
      <c r="BC162" s="677">
        <f>'qtrP&amp;L'!BV51</f>
        <v>281.15199999999987</v>
      </c>
      <c r="BD162" s="685"/>
      <c r="BE162" s="801">
        <f>BE163-SUM(BE159:BE161)</f>
        <v>-32.747000000000014</v>
      </c>
      <c r="BF162" s="677">
        <f>H162+T162+AJ162+AT162+BE162+15.532</f>
        <v>281.15100000000001</v>
      </c>
      <c r="BG162" s="1011"/>
      <c r="BH162" s="1175">
        <f>BF162/AW162</f>
        <v>0.26696019681775846</v>
      </c>
      <c r="BI162" s="247"/>
      <c r="BJ162" s="806"/>
      <c r="BK162" s="806"/>
      <c r="BL162" s="806"/>
      <c r="BM162" s="806"/>
      <c r="BN162" s="247"/>
      <c r="BO162" s="1231">
        <f>E162/$AW162</f>
        <v>0.60981695986448359</v>
      </c>
      <c r="BP162" s="1231">
        <f>K162/AW162</f>
        <v>0.50129752733922872</v>
      </c>
      <c r="BQ162" s="1231">
        <f>Q162/AW162</f>
        <v>0.27368474026189832</v>
      </c>
      <c r="BR162" s="1231">
        <v>0.14000000000000001</v>
      </c>
      <c r="BS162" s="1231"/>
      <c r="BT162" s="1231">
        <f t="shared" si="4"/>
        <v>9.2484786218958809E-2</v>
      </c>
      <c r="BU162" s="1231">
        <f>BQ162-BR162</f>
        <v>0.1336847402618983</v>
      </c>
      <c r="BV162" s="247">
        <v>0</v>
      </c>
      <c r="BW162" s="1231">
        <f t="shared" si="3"/>
        <v>2.4013513654659278E-2</v>
      </c>
      <c r="BX162" s="247"/>
      <c r="BY162" s="247"/>
    </row>
    <row r="163" spans="1:77" hidden="1" outlineLevel="1">
      <c r="A163" s="658"/>
      <c r="B163" s="658"/>
      <c r="C163" s="658" t="str">
        <f>$C$18</f>
        <v>Year</v>
      </c>
      <c r="D163" s="658"/>
      <c r="E163" s="946">
        <f>+SUM(E159:E162)</f>
        <v>1759.8689999999999</v>
      </c>
      <c r="F163" s="802">
        <f>+(E163/E156-1)*100</f>
        <v>11.543380928718472</v>
      </c>
      <c r="G163" s="2063">
        <v>8</v>
      </c>
      <c r="H163" s="695">
        <v>395.01100000000002</v>
      </c>
      <c r="I163" s="671">
        <f>+H163/E163*100</f>
        <v>22.44547747588031</v>
      </c>
      <c r="J163" s="701"/>
      <c r="K163" s="946">
        <v>1474.6379999999999</v>
      </c>
      <c r="L163" s="701"/>
      <c r="M163" s="798"/>
      <c r="N163" s="798">
        <v>21</v>
      </c>
      <c r="O163" s="1103">
        <v>4</v>
      </c>
      <c r="P163" s="700"/>
      <c r="Q163" s="799">
        <f>+SUM(Q159:Q162)</f>
        <v>853.75900000000001</v>
      </c>
      <c r="R163" s="802">
        <f>(Q163/Q156-1)*100</f>
        <v>14.138293378110301</v>
      </c>
      <c r="S163" s="2063">
        <v>5</v>
      </c>
      <c r="T163" s="695">
        <v>227.11699999999999</v>
      </c>
      <c r="U163" s="671">
        <f>+T163/Q163*100</f>
        <v>26.602003609918018</v>
      </c>
      <c r="V163" s="700"/>
      <c r="W163" s="799">
        <f>+SUM(W159:W162)</f>
        <v>498.46352392514609</v>
      </c>
      <c r="X163" s="798"/>
      <c r="Y163" s="2063"/>
      <c r="Z163" s="695"/>
      <c r="AA163" s="671"/>
      <c r="AB163" s="798"/>
      <c r="AC163" s="1104"/>
      <c r="AD163" s="1103"/>
      <c r="AE163" s="798"/>
      <c r="AF163" s="798"/>
      <c r="AG163" s="799">
        <f>SUM(AG159:AG162)</f>
        <v>243.57900000000001</v>
      </c>
      <c r="AH163" s="802">
        <f>(AG163/AG156-1)*100</f>
        <v>31.381676177736551</v>
      </c>
      <c r="AI163" s="2063">
        <v>13</v>
      </c>
      <c r="AJ163" s="695">
        <v>57.384999999999998</v>
      </c>
      <c r="AK163" s="671">
        <f>+AJ163/AG163*100</f>
        <v>23.559091711518644</v>
      </c>
      <c r="AL163" s="700"/>
      <c r="AM163" s="799">
        <f>SUM(AM159:AM162)</f>
        <v>182.12700000000001</v>
      </c>
      <c r="AN163" s="1291">
        <f>+(AM163/AM156-1)*100</f>
        <v>4.6237893358149762</v>
      </c>
      <c r="AO163" s="667"/>
      <c r="AP163" s="705"/>
      <c r="AQ163" s="700"/>
      <c r="AR163" s="799">
        <f>+SUM(AR159:AR162)</f>
        <v>81.563999999999993</v>
      </c>
      <c r="AS163" s="802">
        <f>+(AR163/AR156-1)*100</f>
        <v>64.483342744212322</v>
      </c>
      <c r="AT163" s="695">
        <v>-33.037999999999997</v>
      </c>
      <c r="AU163" s="671">
        <f>+AT163/AR163*100</f>
        <v>-40.505615222402042</v>
      </c>
      <c r="AV163" s="700"/>
      <c r="AW163" s="667">
        <f>AR163+AG163+Q163+E163</f>
        <v>2938.7709999999997</v>
      </c>
      <c r="AX163" s="912"/>
      <c r="AY163" s="1021"/>
      <c r="AZ163" s="804"/>
      <c r="BA163" s="912"/>
      <c r="BB163" s="700"/>
      <c r="BC163" s="667">
        <f>'qtrP&amp;L'!BV52</f>
        <v>544.99999999999977</v>
      </c>
      <c r="BD163" s="701"/>
      <c r="BE163" s="691">
        <f>-127.007+10</f>
        <v>-117.00700000000001</v>
      </c>
      <c r="BF163" s="667">
        <f>H163+T163+AJ163+AT163+BE163+15.532</f>
        <v>545.00000000000011</v>
      </c>
      <c r="BG163" s="1011"/>
      <c r="BH163" s="1175">
        <f>BF163/AW163</f>
        <v>0.18545167350569342</v>
      </c>
      <c r="BI163" s="658"/>
      <c r="BJ163" s="667">
        <v>1734.1389999999999</v>
      </c>
      <c r="BK163" s="667">
        <v>498.50099999999998</v>
      </c>
      <c r="BL163" s="667">
        <v>706.13099999999997</v>
      </c>
      <c r="BM163" s="203"/>
      <c r="BN163" s="658"/>
      <c r="BO163" s="1251">
        <f>E163/$AW163</f>
        <v>0.5988452315610846</v>
      </c>
      <c r="BP163" s="1251">
        <f>K163/AW163</f>
        <v>0.50178731177080493</v>
      </c>
      <c r="BQ163" s="1251">
        <f>Q163/AW163</f>
        <v>0.29051566113861887</v>
      </c>
      <c r="BR163" s="1251">
        <v>0.17</v>
      </c>
      <c r="BS163" s="1251"/>
      <c r="BT163" s="1251">
        <f t="shared" si="4"/>
        <v>8.2884648038244566E-2</v>
      </c>
      <c r="BU163" s="1251">
        <f>BQ163-BR163</f>
        <v>0.12051566113861886</v>
      </c>
      <c r="BV163" s="247">
        <v>0</v>
      </c>
      <c r="BW163" s="1251">
        <f t="shared" si="3"/>
        <v>2.7754459262052063E-2</v>
      </c>
      <c r="BX163" s="1496">
        <f>+K163/K156-1</f>
        <v>0.11172528593431585</v>
      </c>
      <c r="BY163" s="1496">
        <f>+(AW163-K163)/(AW156-K156)-1</f>
        <v>0.18621186379571131</v>
      </c>
    </row>
    <row r="164" spans="1:77" hidden="1" outlineLevel="1">
      <c r="A164" s="658"/>
      <c r="B164" s="658"/>
      <c r="C164" s="658"/>
      <c r="D164" s="658"/>
      <c r="E164" s="946"/>
      <c r="F164" s="802"/>
      <c r="G164" s="2063"/>
      <c r="H164" s="695"/>
      <c r="I164" s="671"/>
      <c r="J164" s="701"/>
      <c r="K164" s="1218"/>
      <c r="L164" s="701"/>
      <c r="M164" s="701"/>
      <c r="N164" s="798"/>
      <c r="O164" s="1103"/>
      <c r="P164" s="700"/>
      <c r="Q164" s="1474" t="s">
        <v>161</v>
      </c>
      <c r="R164" s="802"/>
      <c r="S164" s="2063"/>
      <c r="T164" s="695"/>
      <c r="U164" s="671"/>
      <c r="V164" s="700"/>
      <c r="W164" s="1106"/>
      <c r="X164" s="713"/>
      <c r="Y164" s="2063"/>
      <c r="Z164" s="695"/>
      <c r="AA164" s="671"/>
      <c r="AB164" s="713"/>
      <c r="AC164" s="1106"/>
      <c r="AD164" s="1109"/>
      <c r="AE164" s="713"/>
      <c r="AF164" s="713"/>
      <c r="AG164" s="1474" t="s">
        <v>160</v>
      </c>
      <c r="AH164" s="802"/>
      <c r="AI164" s="2063"/>
      <c r="AJ164" s="695"/>
      <c r="AK164" s="671"/>
      <c r="AL164" s="700"/>
      <c r="AM164" s="799"/>
      <c r="AN164" s="1291"/>
      <c r="AO164" s="695"/>
      <c r="AP164" s="701"/>
      <c r="AQ164" s="700"/>
      <c r="AR164" s="799"/>
      <c r="AS164" s="802"/>
      <c r="AT164" s="695"/>
      <c r="AU164" s="671"/>
      <c r="AV164" s="700"/>
      <c r="AW164" s="673"/>
      <c r="AX164" s="700"/>
      <c r="AY164" s="1021"/>
      <c r="AZ164" s="1035"/>
      <c r="BA164" s="802"/>
      <c r="BB164" s="700"/>
      <c r="BC164" s="667"/>
      <c r="BD164" s="701"/>
      <c r="BE164" s="691"/>
      <c r="BF164" s="667"/>
      <c r="BG164" s="1011"/>
      <c r="BH164" s="701"/>
      <c r="BI164" s="658"/>
      <c r="BJ164" s="203"/>
      <c r="BK164" s="203"/>
      <c r="BL164" s="203"/>
      <c r="BM164" s="203"/>
      <c r="BN164" s="658"/>
      <c r="BO164" s="1251"/>
      <c r="BP164" s="1251"/>
      <c r="BQ164" s="1251"/>
      <c r="BR164" s="1251"/>
      <c r="BS164" s="1251"/>
      <c r="BT164" s="1251"/>
      <c r="BU164" s="1251"/>
      <c r="BV164" s="658">
        <v>0</v>
      </c>
      <c r="BW164" s="1251"/>
      <c r="BX164" s="658"/>
      <c r="BY164" s="658"/>
    </row>
    <row r="165" spans="1:77" hidden="1" outlineLevel="1">
      <c r="A165" s="247"/>
      <c r="B165" s="2506">
        <f>+B158+1</f>
        <v>2008</v>
      </c>
      <c r="C165" s="2506"/>
      <c r="D165" s="247"/>
      <c r="E165" s="892"/>
      <c r="F165" s="893"/>
      <c r="G165" s="2064"/>
      <c r="H165" s="658"/>
      <c r="I165" s="895"/>
      <c r="J165" s="709"/>
      <c r="K165" s="1102"/>
      <c r="L165" s="709"/>
      <c r="M165" s="709"/>
      <c r="N165" s="893"/>
      <c r="O165" s="1103"/>
      <c r="P165" s="643"/>
      <c r="Q165" s="892"/>
      <c r="R165" s="893"/>
      <c r="S165" s="2064"/>
      <c r="T165" s="658"/>
      <c r="U165" s="895"/>
      <c r="V165" s="643"/>
      <c r="W165" s="1105"/>
      <c r="X165" s="893"/>
      <c r="Y165" s="2064"/>
      <c r="Z165" s="658"/>
      <c r="AA165" s="895"/>
      <c r="AB165" s="643"/>
      <c r="AC165" s="1105"/>
      <c r="AD165" s="1108"/>
      <c r="AE165" s="643"/>
      <c r="AF165" s="643"/>
      <c r="AG165" s="892"/>
      <c r="AH165" s="893"/>
      <c r="AI165" s="2064"/>
      <c r="AJ165" s="658"/>
      <c r="AK165" s="895"/>
      <c r="AL165" s="643"/>
      <c r="AM165" s="892"/>
      <c r="AN165" s="1108"/>
      <c r="AO165" s="658"/>
      <c r="AP165" s="1119"/>
      <c r="AQ165" s="643"/>
      <c r="AR165" s="892"/>
      <c r="AS165" s="893"/>
      <c r="AT165" s="658"/>
      <c r="AU165" s="895"/>
      <c r="AV165" s="643"/>
      <c r="AW165" s="658"/>
      <c r="AX165" s="658"/>
      <c r="AY165" s="658"/>
      <c r="AZ165" s="659"/>
      <c r="BA165" s="256"/>
      <c r="BB165" s="256"/>
      <c r="BC165" s="658"/>
      <c r="BD165" s="658"/>
      <c r="BE165" s="658"/>
      <c r="BF165" s="658"/>
      <c r="BG165" s="1011"/>
      <c r="BH165" s="247"/>
      <c r="BI165" s="247"/>
      <c r="BJ165" s="247"/>
      <c r="BK165" s="247"/>
      <c r="BL165" s="247"/>
      <c r="BM165" s="247"/>
      <c r="BN165" s="247"/>
      <c r="BO165" s="1251"/>
      <c r="BP165" s="1251"/>
      <c r="BQ165" s="1251"/>
      <c r="BR165" s="1251"/>
      <c r="BS165" s="1251"/>
      <c r="BT165" s="1251"/>
      <c r="BU165" s="1251"/>
      <c r="BV165" s="658">
        <v>0</v>
      </c>
      <c r="BW165" s="1251"/>
      <c r="BX165" s="247"/>
      <c r="BY165" s="247"/>
    </row>
    <row r="166" spans="1:77" hidden="1" outlineLevel="1">
      <c r="A166" s="247"/>
      <c r="B166" s="247" t="str">
        <f>$B$14</f>
        <v>1Q</v>
      </c>
      <c r="C166" s="247" t="str">
        <f>$C$14</f>
        <v>Apr</v>
      </c>
      <c r="D166" s="247"/>
      <c r="E166" s="724">
        <v>373.565</v>
      </c>
      <c r="F166" s="802">
        <f>+(E166/E159-1)*100</f>
        <v>5.7212557556410193</v>
      </c>
      <c r="G166" s="2063">
        <v>1</v>
      </c>
      <c r="H166" s="695">
        <v>68.290999999999997</v>
      </c>
      <c r="I166" s="671">
        <f>+H166/E166*100</f>
        <v>18.280888198840898</v>
      </c>
      <c r="J166" s="705"/>
      <c r="K166" s="1146">
        <f>E133*(1+L166/100)</f>
        <v>313.61820000000006</v>
      </c>
      <c r="L166" s="798">
        <v>5</v>
      </c>
      <c r="M166" s="798">
        <v>0</v>
      </c>
      <c r="N166" s="798">
        <v>16</v>
      </c>
      <c r="O166" s="1103">
        <v>-4</v>
      </c>
      <c r="P166" s="664"/>
      <c r="Q166" s="724">
        <v>91.066999999999993</v>
      </c>
      <c r="R166" s="802">
        <f>(Q166/Q159-1)*100</f>
        <v>-50.262160420330538</v>
      </c>
      <c r="S166" s="2063">
        <v>4</v>
      </c>
      <c r="T166" s="695">
        <v>56.365000000000002</v>
      </c>
      <c r="U166" s="671">
        <f>+T166/(Q166+W166)*100</f>
        <v>26.056907750271595</v>
      </c>
      <c r="V166" s="664"/>
      <c r="W166" s="724">
        <v>125.248</v>
      </c>
      <c r="X166" s="798">
        <v>13</v>
      </c>
      <c r="Y166" s="2063">
        <v>-7</v>
      </c>
      <c r="Z166" s="695"/>
      <c r="AA166" s="671"/>
      <c r="AB166" s="723"/>
      <c r="AC166" s="1104">
        <v>39</v>
      </c>
      <c r="AD166" s="1103">
        <v>22</v>
      </c>
      <c r="AE166" s="964"/>
      <c r="AF166" s="964"/>
      <c r="AG166" s="724">
        <v>57.284999999999997</v>
      </c>
      <c r="AH166" s="802">
        <f>(AG166/AG159-1)*100</f>
        <v>31.556586441300748</v>
      </c>
      <c r="AI166" s="2063">
        <v>12</v>
      </c>
      <c r="AJ166" s="695">
        <v>11.574</v>
      </c>
      <c r="AK166" s="671">
        <f>+AJ166/AG166*100</f>
        <v>20.204241948153967</v>
      </c>
      <c r="AL166" s="664"/>
      <c r="AM166" s="724">
        <f>qtrSales!AN138</f>
        <v>33.628959999999999</v>
      </c>
      <c r="AN166" s="1291">
        <f>+(AM166/AM159-1)*100</f>
        <v>1.0000000000000009</v>
      </c>
      <c r="AO166" s="667"/>
      <c r="AP166" s="705"/>
      <c r="AQ166" s="664"/>
      <c r="AR166" s="724">
        <v>18.315000000000001</v>
      </c>
      <c r="AS166" s="802">
        <f>+(AR166/AR159-1)*100</f>
        <v>16.344810062253835</v>
      </c>
      <c r="AT166" s="695">
        <v>-0.67800000000000005</v>
      </c>
      <c r="AU166" s="671">
        <f>+AT166/AR166*100</f>
        <v>-3.7018837018837023</v>
      </c>
      <c r="AV166" s="664"/>
      <c r="AW166" s="1168">
        <f>AR166+AG166+Q166+E166+W166</f>
        <v>665.48</v>
      </c>
      <c r="AX166" s="912"/>
      <c r="AY166" s="1036"/>
      <c r="AZ166" s="804"/>
      <c r="BA166" s="912"/>
      <c r="BB166" s="664"/>
      <c r="BC166" s="1168">
        <f>'qtrP&amp;L'!BZ48</f>
        <v>106.68600000000004</v>
      </c>
      <c r="BD166" s="672"/>
      <c r="BE166" s="695">
        <v>-28.896000000000001</v>
      </c>
      <c r="BF166" s="1168">
        <f>H166+T166+AJ166+AT166+BE166</f>
        <v>106.65600000000002</v>
      </c>
      <c r="BG166" s="1011"/>
      <c r="BH166" s="1175">
        <f>BF166/AW166</f>
        <v>0.16026927931718463</v>
      </c>
      <c r="BI166" s="247"/>
      <c r="BJ166" s="806"/>
      <c r="BK166" s="806"/>
      <c r="BL166" s="806"/>
      <c r="BM166" s="806"/>
      <c r="BN166" s="247"/>
      <c r="BO166" s="1251">
        <f>E166/$AW166</f>
        <v>0.56134669712087515</v>
      </c>
      <c r="BP166" s="1251">
        <f>K166/AW166</f>
        <v>0.47126615375368164</v>
      </c>
      <c r="BQ166" s="1251">
        <f>Q166/AW166</f>
        <v>0.13684408246679086</v>
      </c>
      <c r="BR166" s="1251">
        <f>W166/AW166</f>
        <v>0.18820700847508565</v>
      </c>
      <c r="BS166" s="1251"/>
      <c r="BT166" s="1251">
        <f t="shared" si="4"/>
        <v>8.6080723688164926E-2</v>
      </c>
      <c r="BU166" s="1251">
        <f>BQ166</f>
        <v>0.13684408246679086</v>
      </c>
      <c r="BV166" s="658">
        <v>0</v>
      </c>
      <c r="BW166" s="1251">
        <f t="shared" si="3"/>
        <v>2.7521488249083369E-2</v>
      </c>
      <c r="BX166" s="247"/>
      <c r="BY166" s="247"/>
    </row>
    <row r="167" spans="1:77" hidden="1" outlineLevel="1">
      <c r="A167" s="247"/>
      <c r="B167" s="247" t="str">
        <f>$B$15</f>
        <v>2Q</v>
      </c>
      <c r="C167" s="247" t="str">
        <f>$C$15</f>
        <v>Jul</v>
      </c>
      <c r="D167" s="247"/>
      <c r="E167" s="805">
        <v>422.40600000000001</v>
      </c>
      <c r="F167" s="802">
        <f>+(E167/E160-1)*100</f>
        <v>3.2926510181175317</v>
      </c>
      <c r="G167" s="2063">
        <v>-3</v>
      </c>
      <c r="H167" s="691">
        <v>93.596999999999994</v>
      </c>
      <c r="I167" s="671">
        <f>+H167/E167*100</f>
        <v>22.158065936563396</v>
      </c>
      <c r="J167" s="705"/>
      <c r="K167" s="1147">
        <f>E134*(1+L167/100)</f>
        <v>352.24272000000002</v>
      </c>
      <c r="L167" s="798">
        <v>2</v>
      </c>
      <c r="M167" s="798">
        <v>-4</v>
      </c>
      <c r="N167" s="798">
        <v>5</v>
      </c>
      <c r="O167" s="1103">
        <v>-6</v>
      </c>
      <c r="P167" s="664"/>
      <c r="Q167" s="805">
        <v>87.771000000000001</v>
      </c>
      <c r="R167" s="802">
        <f>(Q167/Q160-1)*100</f>
        <v>-52.027743465856304</v>
      </c>
      <c r="S167" s="2063">
        <v>1</v>
      </c>
      <c r="T167" s="691">
        <v>53.895000000000003</v>
      </c>
      <c r="U167" s="671">
        <f>+T167/(Q167+W167)*100</f>
        <v>26.119005156437797</v>
      </c>
      <c r="V167" s="664"/>
      <c r="W167" s="805">
        <v>118.57299999999999</v>
      </c>
      <c r="X167" s="798">
        <v>12</v>
      </c>
      <c r="Y167" s="2063">
        <v>-7</v>
      </c>
      <c r="Z167" s="691"/>
      <c r="AA167" s="671"/>
      <c r="AB167" s="964"/>
      <c r="AC167" s="1104">
        <v>23</v>
      </c>
      <c r="AD167" s="1103">
        <v>13</v>
      </c>
      <c r="AE167" s="964"/>
      <c r="AF167" s="964"/>
      <c r="AG167" s="805">
        <v>65.813999999999993</v>
      </c>
      <c r="AH167" s="802">
        <f>(AG167/AG160-1)*100</f>
        <v>25.219277383511862</v>
      </c>
      <c r="AI167" s="2063">
        <v>11</v>
      </c>
      <c r="AJ167" s="691">
        <v>15.513999999999999</v>
      </c>
      <c r="AK167" s="671">
        <f>+AJ167/AG167*100</f>
        <v>23.572492174917194</v>
      </c>
      <c r="AL167" s="664"/>
      <c r="AM167" s="1285">
        <f>qtrSales!AN139</f>
        <v>38.49888</v>
      </c>
      <c r="AN167" s="1291">
        <f>+(AM167/AM160-1)*100</f>
        <v>-4.0000000000000036</v>
      </c>
      <c r="AO167" s="673"/>
      <c r="AP167" s="705"/>
      <c r="AQ167" s="664"/>
      <c r="AR167" s="805">
        <v>35.07</v>
      </c>
      <c r="AS167" s="802">
        <f>+(AR167/AR160-1)*100</f>
        <v>93.756906077348063</v>
      </c>
      <c r="AT167" s="691">
        <v>0.89300000000000002</v>
      </c>
      <c r="AU167" s="671">
        <f>+AT167/AR167*100</f>
        <v>2.5463358996293128</v>
      </c>
      <c r="AV167" s="664"/>
      <c r="AW167" s="673">
        <f>AR167+AG167+Q167+E167+W167</f>
        <v>729.6339999999999</v>
      </c>
      <c r="AX167" s="912"/>
      <c r="AY167" s="673"/>
      <c r="AZ167" s="804"/>
      <c r="BA167" s="912"/>
      <c r="BB167" s="664"/>
      <c r="BC167" s="903">
        <f>'qtrP&amp;L'!BZ49</f>
        <v>134.32900000000001</v>
      </c>
      <c r="BD167" s="672"/>
      <c r="BE167" s="1260">
        <v>-29.54</v>
      </c>
      <c r="BF167" s="673">
        <f>H167+T167+AJ167+AT167+BE167</f>
        <v>134.35900000000001</v>
      </c>
      <c r="BG167" s="1011"/>
      <c r="BH167" s="1175">
        <f>BF167/AW167</f>
        <v>0.18414574978687948</v>
      </c>
      <c r="BI167" s="247"/>
      <c r="BJ167" s="806"/>
      <c r="BK167" s="806"/>
      <c r="BL167" s="806"/>
      <c r="BM167" s="806"/>
      <c r="BN167" s="247"/>
      <c r="BO167" s="1251">
        <f>E167/$AW167</f>
        <v>0.5789286135240409</v>
      </c>
      <c r="BP167" s="1251">
        <f>K167/AW167</f>
        <v>0.48276631845555451</v>
      </c>
      <c r="BQ167" s="1251">
        <f>Q167/AW167</f>
        <v>0.12029455864172998</v>
      </c>
      <c r="BR167" s="1251">
        <f>W167/AW167</f>
        <v>0.16251024486249271</v>
      </c>
      <c r="BS167" s="1251"/>
      <c r="BT167" s="1251">
        <f t="shared" si="4"/>
        <v>9.0201388641428445E-2</v>
      </c>
      <c r="BU167" s="1251">
        <f>BQ167</f>
        <v>0.12029455864172998</v>
      </c>
      <c r="BV167" s="658">
        <v>0</v>
      </c>
      <c r="BW167" s="1251">
        <f t="shared" si="3"/>
        <v>4.8065194330308078E-2</v>
      </c>
      <c r="BX167" s="247"/>
      <c r="BY167" s="247"/>
    </row>
    <row r="168" spans="1:77" hidden="1" outlineLevel="1">
      <c r="A168" s="247"/>
      <c r="B168" s="247" t="str">
        <f>$B$16</f>
        <v>3Q</v>
      </c>
      <c r="C168" s="247" t="str">
        <f>$C$16</f>
        <v>Oct</v>
      </c>
      <c r="D168" s="247"/>
      <c r="E168" s="805">
        <v>331.78300000000002</v>
      </c>
      <c r="F168" s="802">
        <f>+(E168/E161-1)*100</f>
        <v>-6.6310018967428945</v>
      </c>
      <c r="G168" s="2063">
        <v>-12</v>
      </c>
      <c r="H168" s="691">
        <v>48.369</v>
      </c>
      <c r="I168" s="671">
        <f>+H168/E168*100</f>
        <v>14.578504625010924</v>
      </c>
      <c r="J168" s="705"/>
      <c r="K168" s="1147">
        <f>E135*(1+L168/100)</f>
        <v>275.43243000000001</v>
      </c>
      <c r="L168" s="798">
        <v>-9</v>
      </c>
      <c r="M168" s="798">
        <v>-14</v>
      </c>
      <c r="N168" s="798">
        <v>-5</v>
      </c>
      <c r="O168" s="1103">
        <v>-16</v>
      </c>
      <c r="P168" s="664"/>
      <c r="Q168" s="805">
        <v>85.055999999999997</v>
      </c>
      <c r="R168" s="802">
        <f>(Q168/Q161-1)*100</f>
        <v>-57.359001353587004</v>
      </c>
      <c r="S168" s="2063">
        <v>-3</v>
      </c>
      <c r="T168" s="691">
        <v>49.01</v>
      </c>
      <c r="U168" s="671">
        <f>+T168/(Q168+W168)*100</f>
        <v>24.675756233133285</v>
      </c>
      <c r="V168" s="664"/>
      <c r="W168" s="805">
        <v>113.56</v>
      </c>
      <c r="X168" s="798">
        <v>1</v>
      </c>
      <c r="Y168" s="2063">
        <v>-7</v>
      </c>
      <c r="Z168" s="691"/>
      <c r="AA168" s="671"/>
      <c r="AB168" s="723"/>
      <c r="AC168" s="1104">
        <v>9</v>
      </c>
      <c r="AD168" s="1103">
        <v>4</v>
      </c>
      <c r="AE168" s="964"/>
      <c r="AF168" s="964"/>
      <c r="AG168" s="805">
        <v>55.411999999999999</v>
      </c>
      <c r="AH168" s="802">
        <f>(AG168/AG161-1)*100</f>
        <v>10.658012980529197</v>
      </c>
      <c r="AI168" s="2063">
        <v>8</v>
      </c>
      <c r="AJ168" s="691">
        <v>7.843</v>
      </c>
      <c r="AK168" s="671">
        <f>+AJ168/AG168*100</f>
        <v>14.153973868476141</v>
      </c>
      <c r="AL168" s="664"/>
      <c r="AM168" s="1285">
        <f>qtrSales!AN140</f>
        <v>29.17689</v>
      </c>
      <c r="AN168" s="1291">
        <f>+(AM168/AM161-1)*100</f>
        <v>-7.0000000000000062</v>
      </c>
      <c r="AO168" s="673"/>
      <c r="AP168" s="705"/>
      <c r="AQ168" s="664"/>
      <c r="AR168" s="805">
        <v>30.341000000000001</v>
      </c>
      <c r="AS168" s="802">
        <f>+(AR168/AR161-1)*100</f>
        <v>35.257667617689023</v>
      </c>
      <c r="AT168" s="1260">
        <v>-0.45100000000000001</v>
      </c>
      <c r="AU168" s="671">
        <f>+AT168/AR168*100</f>
        <v>-1.4864374938202431</v>
      </c>
      <c r="AV168" s="664"/>
      <c r="AW168" s="673">
        <f>AR168+AG168+Q168+E168+W168</f>
        <v>616.15200000000004</v>
      </c>
      <c r="AX168" s="912"/>
      <c r="AY168" s="673"/>
      <c r="AZ168" s="804"/>
      <c r="BA168" s="912"/>
      <c r="BB168" s="664"/>
      <c r="BC168" s="903">
        <f>'qtrP&amp;L'!BZ50</f>
        <v>81.503000000000043</v>
      </c>
      <c r="BD168" s="672"/>
      <c r="BE168" s="1260">
        <v>-23.268000000000001</v>
      </c>
      <c r="BF168" s="673">
        <f>H168+T168+AJ168+AT168+BE168</f>
        <v>81.503</v>
      </c>
      <c r="BG168" s="1011"/>
      <c r="BH168" s="1175">
        <f>BF168/AW168</f>
        <v>0.13227742505096143</v>
      </c>
      <c r="BI168" s="247"/>
      <c r="BJ168" s="806"/>
      <c r="BK168" s="806"/>
      <c r="BL168" s="806"/>
      <c r="BM168" s="806"/>
      <c r="BN168" s="247"/>
      <c r="BO168" s="1251">
        <f>E168/$AW168</f>
        <v>0.53847589555823883</v>
      </c>
      <c r="BP168" s="1251">
        <f>K168/AW168</f>
        <v>0.44702026448019316</v>
      </c>
      <c r="BQ168" s="1251">
        <f>Q168/AW168</f>
        <v>0.13804385930744362</v>
      </c>
      <c r="BR168" s="1251">
        <f>W168/AW168</f>
        <v>0.18430517145120034</v>
      </c>
      <c r="BS168" s="1251"/>
      <c r="BT168" s="1251">
        <f t="shared" si="4"/>
        <v>8.9932354354120406E-2</v>
      </c>
      <c r="BU168" s="1251">
        <f>BQ168</f>
        <v>0.13804385930744362</v>
      </c>
      <c r="BV168" s="247">
        <v>0</v>
      </c>
      <c r="BW168" s="1251">
        <f t="shared" si="3"/>
        <v>4.9242719328996737E-2</v>
      </c>
      <c r="BX168" s="247"/>
      <c r="BY168" s="247"/>
    </row>
    <row r="169" spans="1:77" hidden="1" outlineLevel="1">
      <c r="A169" s="247"/>
      <c r="B169" s="247" t="str">
        <f>$B$17</f>
        <v>4Q</v>
      </c>
      <c r="C169" s="247" t="str">
        <f>$C$17</f>
        <v>Jan</v>
      </c>
      <c r="D169" s="247"/>
      <c r="E169" s="807">
        <v>458.88200000000001</v>
      </c>
      <c r="F169" s="802">
        <f>+(E169/E162-1)*100</f>
        <v>-28.548984558563628</v>
      </c>
      <c r="G169" s="2063">
        <v>-31</v>
      </c>
      <c r="H169" s="801">
        <f>H170-SUM(H166:H168)</f>
        <v>107.70700000000002</v>
      </c>
      <c r="I169" s="671">
        <f>+H169/E169*100</f>
        <v>23.471611438234671</v>
      </c>
      <c r="J169" s="705"/>
      <c r="K169" s="1149">
        <f>E136*(1+L169/100)</f>
        <v>369.56150000000002</v>
      </c>
      <c r="L169" s="798">
        <v>-30</v>
      </c>
      <c r="M169" s="798">
        <v>-33</v>
      </c>
      <c r="N169" s="798">
        <v>-34</v>
      </c>
      <c r="O169" s="1103">
        <v>-33</v>
      </c>
      <c r="P169" s="664"/>
      <c r="Q169" s="807">
        <v>99.200999999999993</v>
      </c>
      <c r="R169" s="802">
        <f>(Q169/Q162-1)*100</f>
        <v>-65.583052599806408</v>
      </c>
      <c r="S169" s="2063">
        <v>-13</v>
      </c>
      <c r="T169" s="801">
        <f>T170-SUM(T166:T168)</f>
        <v>74.687999999999988</v>
      </c>
      <c r="U169" s="671">
        <f>+T169/(Q169+W169)*100</f>
        <v>27.130268004388036</v>
      </c>
      <c r="V169" s="664"/>
      <c r="W169" s="807">
        <v>176.09299999999999</v>
      </c>
      <c r="X169" s="798">
        <v>4</v>
      </c>
      <c r="Y169" s="2063">
        <v>-16</v>
      </c>
      <c r="Z169" s="801"/>
      <c r="AA169" s="671"/>
      <c r="AB169" s="964"/>
      <c r="AC169" s="1152">
        <v>-13</v>
      </c>
      <c r="AD169" s="1153">
        <v>-9</v>
      </c>
      <c r="AE169" s="964"/>
      <c r="AF169" s="964"/>
      <c r="AG169" s="807">
        <v>94.581999999999994</v>
      </c>
      <c r="AH169" s="802">
        <f>(AG169/AG162-1)*100</f>
        <v>-2.8942207985544366</v>
      </c>
      <c r="AI169" s="2063">
        <v>0</v>
      </c>
      <c r="AJ169" s="801">
        <f>AJ170-SUM(AJ166:AJ168)</f>
        <v>23.794000000000004</v>
      </c>
      <c r="AK169" s="671">
        <f>+AJ169/AG169*100</f>
        <v>25.157006618595513</v>
      </c>
      <c r="AL169" s="664"/>
      <c r="AM169" s="1286">
        <f>qtrSales!AN141</f>
        <v>61.884000000000007</v>
      </c>
      <c r="AN169" s="1291">
        <f>+(AM169/AM162-1)*100</f>
        <v>-19.999999999999996</v>
      </c>
      <c r="AO169" s="1098"/>
      <c r="AP169" s="705"/>
      <c r="AQ169" s="664"/>
      <c r="AR169" s="807">
        <v>8.8350000000000009</v>
      </c>
      <c r="AS169" s="802">
        <f>+(AR169/AR162-1)*100</f>
        <v>-65.065243179122177</v>
      </c>
      <c r="AT169" s="801">
        <f>AT170-SUM(AT166:AT168)</f>
        <v>-24.631999999999998</v>
      </c>
      <c r="AU169" s="1237">
        <f>+AT169/AR169*100</f>
        <v>-278.8002263723825</v>
      </c>
      <c r="AV169" s="664"/>
      <c r="AW169" s="677">
        <f>AR169+AG169+Q169+E169+W169</f>
        <v>837.59299999999996</v>
      </c>
      <c r="AX169" s="912"/>
      <c r="AY169" s="677"/>
      <c r="AZ169" s="804"/>
      <c r="BA169" s="912"/>
      <c r="BB169" s="664"/>
      <c r="BC169" s="677">
        <f>'qtrP&amp;L'!BZ51</f>
        <v>169.97999999999996</v>
      </c>
      <c r="BD169" s="685"/>
      <c r="BE169" s="801">
        <f>BE170-SUM(BE166:BE168)</f>
        <v>-20.184999999999988</v>
      </c>
      <c r="BF169" s="677">
        <f>H169+T169+AJ169+AT169+BE169+7.549+3.4</f>
        <v>172.32100000000003</v>
      </c>
      <c r="BG169" s="1011"/>
      <c r="BH169" s="1175">
        <f>BF169/AW169</f>
        <v>0.20573357227197461</v>
      </c>
      <c r="BI169" s="247"/>
      <c r="BJ169" s="806"/>
      <c r="BK169" s="806"/>
      <c r="BL169" s="806"/>
      <c r="BM169" s="806"/>
      <c r="BN169" s="247"/>
      <c r="BO169" s="1231">
        <f>E169/$AW169</f>
        <v>0.54785796920461372</v>
      </c>
      <c r="BP169" s="1231">
        <f>K169/AW169</f>
        <v>0.44121846768060385</v>
      </c>
      <c r="BQ169" s="1231">
        <f>Q169/AW169</f>
        <v>0.11843580354659124</v>
      </c>
      <c r="BR169" s="1231">
        <f>W169/AW169</f>
        <v>0.21023695279210786</v>
      </c>
      <c r="BS169" s="1231"/>
      <c r="BT169" s="1231">
        <f t="shared" si="4"/>
        <v>0.11292119203479493</v>
      </c>
      <c r="BU169" s="1231">
        <f>BQ169</f>
        <v>0.11843580354659124</v>
      </c>
      <c r="BV169" s="247">
        <v>0</v>
      </c>
      <c r="BW169" s="1231">
        <f t="shared" si="3"/>
        <v>1.0548082421892258E-2</v>
      </c>
      <c r="BX169" s="247"/>
      <c r="BY169" s="247"/>
    </row>
    <row r="170" spans="1:77" hidden="1" outlineLevel="1">
      <c r="A170" s="658"/>
      <c r="B170" s="658"/>
      <c r="C170" s="658" t="str">
        <f>$C$18</f>
        <v>Year</v>
      </c>
      <c r="D170" s="658"/>
      <c r="E170" s="946">
        <f>+SUM(E166:E169)</f>
        <v>1586.636</v>
      </c>
      <c r="F170" s="802">
        <f>+(E170/E163-1)*100</f>
        <v>-9.8435167617589752</v>
      </c>
      <c r="G170" s="2063">
        <v>-14</v>
      </c>
      <c r="H170" s="695">
        <v>317.964</v>
      </c>
      <c r="I170" s="671">
        <f>+H170/E170*100</f>
        <v>20.040135229504436</v>
      </c>
      <c r="J170" s="701"/>
      <c r="K170" s="1147">
        <f>E137*(1+L170/100)</f>
        <v>1312.4278199999999</v>
      </c>
      <c r="L170" s="798">
        <v>-11</v>
      </c>
      <c r="M170" s="798">
        <v>-16</v>
      </c>
      <c r="N170" s="798">
        <v>-9</v>
      </c>
      <c r="O170" s="1103">
        <v>-17</v>
      </c>
      <c r="P170" s="700"/>
      <c r="Q170" s="799">
        <f>+SUM(Q166:Q169)</f>
        <v>363.09500000000003</v>
      </c>
      <c r="R170" s="802">
        <f>(Q170/Q163-1)*100</f>
        <v>-57.471019339181197</v>
      </c>
      <c r="S170" s="2063">
        <v>-4</v>
      </c>
      <c r="T170" s="695">
        <v>233.958</v>
      </c>
      <c r="U170" s="671">
        <f>+T170/(Q170+W170)*100</f>
        <v>26.094812557650332</v>
      </c>
      <c r="V170" s="700"/>
      <c r="W170" s="799">
        <f>+SUM(W166:W169)</f>
        <v>533.47399999999993</v>
      </c>
      <c r="X170" s="798">
        <v>7</v>
      </c>
      <c r="Y170" s="2063">
        <v>-10</v>
      </c>
      <c r="Z170" s="695">
        <v>141.80199999999999</v>
      </c>
      <c r="AA170" s="671">
        <f>+Z170/W170*100</f>
        <v>26.580864297041657</v>
      </c>
      <c r="AB170" s="713"/>
      <c r="AC170" s="1104">
        <v>10</v>
      </c>
      <c r="AD170" s="1103">
        <v>5</v>
      </c>
      <c r="AE170" s="713"/>
      <c r="AF170" s="713"/>
      <c r="AG170" s="946">
        <f>+SUM(AG166:AG169)</f>
        <v>273.09299999999996</v>
      </c>
      <c r="AH170" s="802">
        <f>(AG170/AG163-1)*100</f>
        <v>12.116808099220355</v>
      </c>
      <c r="AI170" s="2063">
        <v>6</v>
      </c>
      <c r="AJ170" s="695">
        <v>58.725000000000001</v>
      </c>
      <c r="AK170" s="671">
        <f>+AJ170/AG170*100</f>
        <v>21.503663587129662</v>
      </c>
      <c r="AL170" s="700"/>
      <c r="AM170" s="799">
        <f>SUM(AM166:AM169)</f>
        <v>163.18872999999999</v>
      </c>
      <c r="AN170" s="1291">
        <f>+(AM170/AM163-1)*100</f>
        <v>-10.398386839952344</v>
      </c>
      <c r="AO170" s="667"/>
      <c r="AP170" s="705"/>
      <c r="AQ170" s="700"/>
      <c r="AR170" s="799">
        <f>+SUM(AR166:AR169)</f>
        <v>92.561000000000007</v>
      </c>
      <c r="AS170" s="802">
        <f>+(AR170/AR163-1)*100</f>
        <v>13.482663920357041</v>
      </c>
      <c r="AT170" s="695">
        <v>-24.867999999999999</v>
      </c>
      <c r="AU170" s="671">
        <f>+AT170/AR170*100</f>
        <v>-26.86660688626959</v>
      </c>
      <c r="AV170" s="700"/>
      <c r="AW170" s="667">
        <f>AR170+AG170+Q170+E170+W170</f>
        <v>2848.8590000000004</v>
      </c>
      <c r="AX170" s="912"/>
      <c r="AY170" s="1021"/>
      <c r="AZ170" s="804"/>
      <c r="BA170" s="912"/>
      <c r="BB170" s="700"/>
      <c r="BC170" s="667">
        <f>'qtrP&amp;L'!BZ52</f>
        <v>492.49800000000005</v>
      </c>
      <c r="BD170" s="701"/>
      <c r="BE170" s="691">
        <v>-101.889</v>
      </c>
      <c r="BF170" s="667">
        <f>H170+T170+AJ170+AT170+BE170+7.5+3.4</f>
        <v>494.78999999999996</v>
      </c>
      <c r="BG170" s="1011"/>
      <c r="BH170" s="1175">
        <f>BF170/AW170</f>
        <v>0.17368005927987307</v>
      </c>
      <c r="BI170" s="658"/>
      <c r="BJ170" s="667">
        <v>1547.0309999999999</v>
      </c>
      <c r="BK170" s="667">
        <v>533.47400000000005</v>
      </c>
      <c r="BL170" s="667">
        <v>779.49199999999996</v>
      </c>
      <c r="BM170" s="203"/>
      <c r="BN170" s="658"/>
      <c r="BO170" s="1251">
        <f>E170/$AW170</f>
        <v>0.55693735632405805</v>
      </c>
      <c r="BP170" s="1251">
        <f>K170/AW170</f>
        <v>0.46068542528780809</v>
      </c>
      <c r="BQ170" s="1251">
        <f>Q170/AW170</f>
        <v>0.12745278021832598</v>
      </c>
      <c r="BR170" s="1251">
        <f>W170/AW170</f>
        <v>0.18725882888552922</v>
      </c>
      <c r="BS170" s="1251"/>
      <c r="BT170" s="1251">
        <f t="shared" si="4"/>
        <v>9.5860483091651752E-2</v>
      </c>
      <c r="BU170" s="1251">
        <f>BQ170</f>
        <v>0.12745278021832598</v>
      </c>
      <c r="BV170" s="247">
        <v>0</v>
      </c>
      <c r="BW170" s="1251">
        <f t="shared" si="3"/>
        <v>3.2490551480434796E-2</v>
      </c>
      <c r="BX170" s="1496">
        <f>+K170/K163-1</f>
        <v>-0.10999999999999999</v>
      </c>
      <c r="BY170" s="1496">
        <f>+(AW170-K170)/(AW163-K163)-1</f>
        <v>4.9379516751552499E-2</v>
      </c>
    </row>
    <row r="171" spans="1:77" hidden="1" outlineLevel="1">
      <c r="A171" s="658"/>
      <c r="B171" s="658"/>
      <c r="C171" s="658"/>
      <c r="D171" s="658"/>
      <c r="E171" s="946"/>
      <c r="F171" s="802"/>
      <c r="G171" s="2063"/>
      <c r="H171" s="695"/>
      <c r="I171" s="671"/>
      <c r="J171" s="701"/>
      <c r="K171" s="1218"/>
      <c r="L171" s="701"/>
      <c r="M171" s="701"/>
      <c r="N171" s="798"/>
      <c r="O171" s="1103"/>
      <c r="P171" s="700"/>
      <c r="Q171" s="1474" t="s">
        <v>543</v>
      </c>
      <c r="R171" s="802"/>
      <c r="S171" s="2063"/>
      <c r="T171" s="695"/>
      <c r="U171" s="671"/>
      <c r="V171" s="700"/>
      <c r="W171" s="799"/>
      <c r="X171" s="713"/>
      <c r="Y171" s="2063"/>
      <c r="Z171" s="695"/>
      <c r="AA171" s="671"/>
      <c r="AB171" s="713"/>
      <c r="AC171" s="1106"/>
      <c r="AD171" s="1109"/>
      <c r="AE171" s="713"/>
      <c r="AF171" s="713"/>
      <c r="AG171" s="1170"/>
      <c r="AH171" s="802"/>
      <c r="AI171" s="2063"/>
      <c r="AJ171" s="695"/>
      <c r="AK171" s="671"/>
      <c r="AL171" s="700"/>
      <c r="AM171" s="1268"/>
      <c r="AN171" s="1291"/>
      <c r="AO171" s="695"/>
      <c r="AP171" s="701"/>
      <c r="AQ171" s="700"/>
      <c r="AR171" s="1268"/>
      <c r="AS171" s="802"/>
      <c r="AT171" s="695"/>
      <c r="AU171" s="671"/>
      <c r="AV171" s="700"/>
      <c r="AW171" s="673"/>
      <c r="AX171" s="700"/>
      <c r="AY171" s="1021"/>
      <c r="AZ171" s="1035"/>
      <c r="BA171" s="802"/>
      <c r="BB171" s="700"/>
      <c r="BC171" s="667"/>
      <c r="BD171" s="701"/>
      <c r="BE171" s="691"/>
      <c r="BF171" s="667"/>
      <c r="BG171" s="1011"/>
      <c r="BH171" s="701"/>
      <c r="BI171" s="658"/>
      <c r="BJ171" s="203"/>
      <c r="BK171" s="203"/>
      <c r="BL171" s="203"/>
      <c r="BM171" s="203"/>
      <c r="BN171" s="658"/>
      <c r="BO171" s="1251"/>
      <c r="BP171" s="1251"/>
      <c r="BQ171" s="1251"/>
      <c r="BR171" s="1251"/>
      <c r="BS171" s="1251"/>
      <c r="BT171" s="1251"/>
      <c r="BU171" s="1251"/>
      <c r="BV171" s="247">
        <v>0</v>
      </c>
      <c r="BW171" s="1251"/>
      <c r="BX171" s="658"/>
      <c r="BY171" s="658"/>
    </row>
    <row r="172" spans="1:77" hidden="1" outlineLevel="1">
      <c r="A172" s="247"/>
      <c r="B172" s="2506">
        <f>+B165+1</f>
        <v>2009</v>
      </c>
      <c r="C172" s="2506"/>
      <c r="D172" s="247"/>
      <c r="E172" s="1230"/>
      <c r="F172" s="893"/>
      <c r="G172" s="2064"/>
      <c r="H172" s="658"/>
      <c r="I172" s="895"/>
      <c r="J172" s="709"/>
      <c r="K172" s="1102"/>
      <c r="L172" s="709"/>
      <c r="M172" s="709"/>
      <c r="N172" s="893"/>
      <c r="O172" s="1103"/>
      <c r="P172" s="643"/>
      <c r="Q172" s="1230"/>
      <c r="R172" s="893"/>
      <c r="S172" s="2064"/>
      <c r="T172" s="658"/>
      <c r="U172" s="895"/>
      <c r="V172" s="643"/>
      <c r="W172" s="1230"/>
      <c r="X172" s="893"/>
      <c r="Y172" s="2064"/>
      <c r="Z172" s="658"/>
      <c r="AA172" s="895"/>
      <c r="AB172" s="643"/>
      <c r="AC172" s="1105"/>
      <c r="AD172" s="1108"/>
      <c r="AE172" s="643"/>
      <c r="AF172" s="643"/>
      <c r="AG172" s="1230"/>
      <c r="AH172" s="893"/>
      <c r="AI172" s="2064"/>
      <c r="AJ172" s="658"/>
      <c r="AK172" s="895"/>
      <c r="AL172" s="643"/>
      <c r="AM172" s="1230"/>
      <c r="AN172" s="1108"/>
      <c r="AO172" s="658"/>
      <c r="AP172" s="1119"/>
      <c r="AQ172" s="643"/>
      <c r="AR172" s="1230"/>
      <c r="AS172" s="893"/>
      <c r="AT172" s="658"/>
      <c r="AU172" s="895"/>
      <c r="AV172" s="643"/>
      <c r="AW172" s="658"/>
      <c r="AX172" s="658"/>
      <c r="AY172" s="658"/>
      <c r="AZ172" s="659"/>
      <c r="BA172" s="256"/>
      <c r="BB172" s="256"/>
      <c r="BC172" s="658"/>
      <c r="BD172" s="658"/>
      <c r="BE172" s="1261"/>
      <c r="BF172" s="658"/>
      <c r="BG172" s="1011"/>
      <c r="BH172" s="247"/>
      <c r="BI172" s="247"/>
      <c r="BJ172" s="247"/>
      <c r="BK172" s="247"/>
      <c r="BL172" s="247"/>
      <c r="BM172" s="247"/>
      <c r="BN172" s="247"/>
      <c r="BO172" s="1251"/>
      <c r="BP172" s="1251"/>
      <c r="BQ172" s="1251"/>
      <c r="BR172" s="1251"/>
      <c r="BS172" s="1251"/>
      <c r="BT172" s="1251"/>
      <c r="BU172" s="1251"/>
      <c r="BV172" s="658">
        <v>0</v>
      </c>
      <c r="BW172" s="1251"/>
      <c r="BX172" s="247"/>
      <c r="BY172" s="247"/>
    </row>
    <row r="173" spans="1:77" hidden="1" outlineLevel="1">
      <c r="A173" s="247"/>
      <c r="B173" s="247" t="str">
        <f>$B$14</f>
        <v>1Q</v>
      </c>
      <c r="C173" s="247" t="str">
        <f>$C$14</f>
        <v>Apr</v>
      </c>
      <c r="D173" s="247"/>
      <c r="E173" s="724">
        <v>258.99400000000003</v>
      </c>
      <c r="F173" s="802">
        <f>+(E173/E166-1)*100</f>
        <v>-30.669629114076525</v>
      </c>
      <c r="G173" s="2063">
        <v>-32</v>
      </c>
      <c r="H173" s="695">
        <v>29.469000000000001</v>
      </c>
      <c r="I173" s="671">
        <f>+H173/E173*100</f>
        <v>11.37825586693128</v>
      </c>
      <c r="J173" s="705"/>
      <c r="K173" s="1146">
        <f>K166*(1+L173/100)</f>
        <v>216.39655800000003</v>
      </c>
      <c r="L173" s="798">
        <v>-31</v>
      </c>
      <c r="M173" s="798">
        <v>-34</v>
      </c>
      <c r="N173" s="798">
        <v>-42</v>
      </c>
      <c r="O173" s="1103">
        <v>-32</v>
      </c>
      <c r="P173" s="664"/>
      <c r="Q173" s="724">
        <v>81.695999999999998</v>
      </c>
      <c r="R173" s="802">
        <f>(Q173/Q166-1)*100</f>
        <v>-10.290225877650517</v>
      </c>
      <c r="S173" s="2063">
        <v>-5</v>
      </c>
      <c r="T173" s="695">
        <v>17.262</v>
      </c>
      <c r="U173" s="671">
        <f>+T173/Q173*100</f>
        <v>21.129553466509989</v>
      </c>
      <c r="V173" s="664"/>
      <c r="W173" s="724">
        <v>117.029</v>
      </c>
      <c r="X173" s="802">
        <f>(W173/W166-1)*100</f>
        <v>-6.5621806336228943</v>
      </c>
      <c r="Y173" s="2063">
        <v>-13</v>
      </c>
      <c r="Z173" s="695">
        <v>30.963999999999999</v>
      </c>
      <c r="AA173" s="671">
        <f>+Z173/W173*100</f>
        <v>26.45839920019824</v>
      </c>
      <c r="AB173" s="723"/>
      <c r="AC173" s="1104">
        <v>-11</v>
      </c>
      <c r="AD173" s="1103">
        <v>-5</v>
      </c>
      <c r="AE173" s="964"/>
      <c r="AF173" s="964"/>
      <c r="AG173" s="724">
        <v>54.956000000000003</v>
      </c>
      <c r="AH173" s="802">
        <f>(AG173/AG166-1)*100</f>
        <v>-4.0656367286375001</v>
      </c>
      <c r="AI173" s="2063">
        <v>3</v>
      </c>
      <c r="AJ173" s="695">
        <v>7.53</v>
      </c>
      <c r="AK173" s="671">
        <f>+AJ173/AG173*100</f>
        <v>13.701870587378995</v>
      </c>
      <c r="AL173" s="664"/>
      <c r="AM173" s="724">
        <f>qtrSales!AN145</f>
        <v>27.912036799999999</v>
      </c>
      <c r="AN173" s="2075">
        <f>+(AM173/AM166-1)*100</f>
        <v>-17.000000000000004</v>
      </c>
      <c r="AO173" s="667"/>
      <c r="AP173" s="705"/>
      <c r="AQ173" s="664"/>
      <c r="AR173" s="724">
        <v>4.9400000000000004</v>
      </c>
      <c r="AS173" s="802">
        <f>+(AR173/AR166-1)*100</f>
        <v>-73.027573027573027</v>
      </c>
      <c r="AT173" s="695">
        <v>-1.224</v>
      </c>
      <c r="AU173" s="671">
        <f>+AT173/AR173*100</f>
        <v>-24.777327935222672</v>
      </c>
      <c r="AV173" s="664"/>
      <c r="AW173" s="1168">
        <f>AR173+AG173+Q173+E173+W173</f>
        <v>517.61500000000001</v>
      </c>
      <c r="AX173" s="912"/>
      <c r="AY173" s="1036"/>
      <c r="AZ173" s="804"/>
      <c r="BA173" s="912"/>
      <c r="BB173" s="664"/>
      <c r="BC173" s="1168">
        <f>'qtrP&amp;L'!CD48</f>
        <v>59.51400000000001</v>
      </c>
      <c r="BD173" s="672"/>
      <c r="BE173" s="695">
        <v>-24.486999999999998</v>
      </c>
      <c r="BF173" s="1168">
        <f>H173+T173+AJ173+AT173+BE173+Z173</f>
        <v>59.51400000000001</v>
      </c>
      <c r="BG173" s="1011"/>
      <c r="BH173" s="672"/>
      <c r="BI173" s="247"/>
      <c r="BJ173" s="806"/>
      <c r="BK173" s="806"/>
      <c r="BL173" s="806"/>
      <c r="BM173" s="806"/>
      <c r="BN173" s="247"/>
      <c r="BO173" s="1251">
        <f>E173/$AW173</f>
        <v>0.50036030640533991</v>
      </c>
      <c r="BP173" s="1251">
        <f>K173/AW173</f>
        <v>0.41806469673405916</v>
      </c>
      <c r="BQ173" s="1251">
        <f>Q173/AW173</f>
        <v>0.15783159297933791</v>
      </c>
      <c r="BR173" s="1251">
        <f>W173/AW173</f>
        <v>0.22609275233522985</v>
      </c>
      <c r="BS173" s="1251"/>
      <c r="BT173" s="1251">
        <f t="shared" si="4"/>
        <v>0.10617157539870367</v>
      </c>
      <c r="BU173" s="1251">
        <f>BQ173</f>
        <v>0.15783159297933791</v>
      </c>
      <c r="BV173" s="658">
        <v>0</v>
      </c>
      <c r="BW173" s="1252">
        <f t="shared" si="3"/>
        <v>9.543772881388678E-3</v>
      </c>
      <c r="BX173" s="247"/>
      <c r="BY173" s="247"/>
    </row>
    <row r="174" spans="1:77" hidden="1" outlineLevel="1">
      <c r="A174" s="247"/>
      <c r="B174" s="247" t="str">
        <f>$B$15</f>
        <v>2Q</v>
      </c>
      <c r="C174" s="247" t="str">
        <f>$C$15</f>
        <v>Jul</v>
      </c>
      <c r="D174" s="247"/>
      <c r="E174" s="805">
        <v>324.86200000000002</v>
      </c>
      <c r="F174" s="802">
        <f>+(E174/E167-1)*100</f>
        <v>-23.092475012192061</v>
      </c>
      <c r="G174" s="2063">
        <v>-25</v>
      </c>
      <c r="H174" s="691">
        <v>55.738</v>
      </c>
      <c r="I174" s="671">
        <f>+H174/E174*100</f>
        <v>17.157439158781266</v>
      </c>
      <c r="J174" s="705"/>
      <c r="K174" s="1147">
        <f>K167*(1+L174/100)</f>
        <v>264.18204000000003</v>
      </c>
      <c r="L174" s="798">
        <v>-25</v>
      </c>
      <c r="M174" s="798">
        <v>-27</v>
      </c>
      <c r="N174" s="798">
        <v>-30</v>
      </c>
      <c r="O174" s="1103">
        <v>-26</v>
      </c>
      <c r="P174" s="664"/>
      <c r="Q174" s="805">
        <v>91.92</v>
      </c>
      <c r="R174" s="802">
        <f>(Q174/Q167-1)*100</f>
        <v>4.7270738626653541</v>
      </c>
      <c r="S174" s="2063">
        <v>5</v>
      </c>
      <c r="T174" s="691">
        <v>19.433</v>
      </c>
      <c r="U174" s="671">
        <f>+T174/Q174*100</f>
        <v>21.141209747606617</v>
      </c>
      <c r="V174" s="664"/>
      <c r="W174" s="805">
        <v>113.738</v>
      </c>
      <c r="X174" s="802">
        <f>(W174/W167-1)*100</f>
        <v>-4.0776568021387627</v>
      </c>
      <c r="Y174" s="2063">
        <v>-11</v>
      </c>
      <c r="Z174" s="691">
        <v>29.321000000000002</v>
      </c>
      <c r="AA174" s="671">
        <f>+Z174/W174*100</f>
        <v>25.779422884172398</v>
      </c>
      <c r="AB174" s="964"/>
      <c r="AC174" s="1104">
        <v>6</v>
      </c>
      <c r="AD174" s="1103">
        <v>5</v>
      </c>
      <c r="AE174" s="964"/>
      <c r="AF174" s="964"/>
      <c r="AG174" s="805">
        <v>67.301000000000002</v>
      </c>
      <c r="AH174" s="802">
        <f>(AG174/AG167-1)*100</f>
        <v>2.2593976965387341</v>
      </c>
      <c r="AI174" s="2063">
        <v>5</v>
      </c>
      <c r="AJ174" s="691">
        <v>11.401999999999999</v>
      </c>
      <c r="AK174" s="671">
        <f>+AJ174/AG174*100</f>
        <v>16.941798784564863</v>
      </c>
      <c r="AL174" s="664"/>
      <c r="AM174" s="1285">
        <f>qtrSales!AN146</f>
        <v>35.418969600000004</v>
      </c>
      <c r="AN174" s="2075">
        <f>+(AM174/AM167-1)*100</f>
        <v>-7.9999999999999849</v>
      </c>
      <c r="AO174" s="673"/>
      <c r="AP174" s="705"/>
      <c r="AQ174" s="664"/>
      <c r="AR174" s="805">
        <v>14.672000000000001</v>
      </c>
      <c r="AS174" s="802">
        <f>+(AR174/AR167-1)*100</f>
        <v>-58.163672654690622</v>
      </c>
      <c r="AT174" s="1260">
        <v>-3.1760000000000002</v>
      </c>
      <c r="AU174" s="671">
        <f>+AT174/AR174*100</f>
        <v>-21.646673936750275</v>
      </c>
      <c r="AV174" s="664"/>
      <c r="AW174" s="673">
        <f>AR174+AG174+Q174+E174+W174</f>
        <v>612.49299999999994</v>
      </c>
      <c r="AX174" s="912"/>
      <c r="AY174" s="673"/>
      <c r="AZ174" s="804"/>
      <c r="BA174" s="912"/>
      <c r="BB174" s="664"/>
      <c r="BC174" s="903">
        <f>'qtrP&amp;L'!CD49</f>
        <v>85.112000000000052</v>
      </c>
      <c r="BD174" s="672"/>
      <c r="BE174" s="1260">
        <v>-27.606000000000002</v>
      </c>
      <c r="BF174" s="673">
        <f>H174+T174+AJ174+AT174+BE174+Z174</f>
        <v>85.111999999999995</v>
      </c>
      <c r="BG174" s="1011"/>
      <c r="BH174" s="672"/>
      <c r="BI174" s="247"/>
      <c r="BJ174" s="806"/>
      <c r="BK174" s="806"/>
      <c r="BL174" s="806"/>
      <c r="BM174" s="806"/>
      <c r="BN174" s="247"/>
      <c r="BO174" s="1251">
        <f>E174/$AW174</f>
        <v>0.53039300040980064</v>
      </c>
      <c r="BP174" s="1251">
        <f>K174/AW174</f>
        <v>0.43132254572705331</v>
      </c>
      <c r="BQ174" s="1251">
        <f>Q174/AW174</f>
        <v>0.1500751845327212</v>
      </c>
      <c r="BR174" s="1251">
        <f>W174/AW174</f>
        <v>0.18569681612687819</v>
      </c>
      <c r="BS174" s="1251"/>
      <c r="BT174" s="1251">
        <f t="shared" si="4"/>
        <v>0.10988043944992026</v>
      </c>
      <c r="BU174" s="1251">
        <f>BQ174</f>
        <v>0.1500751845327212</v>
      </c>
      <c r="BV174" s="658">
        <v>0</v>
      </c>
      <c r="BW174" s="1251">
        <f t="shared" si="3"/>
        <v>2.3954559480679781E-2</v>
      </c>
      <c r="BX174" s="247"/>
      <c r="BY174" s="247"/>
    </row>
    <row r="175" spans="1:77" hidden="1" outlineLevel="1">
      <c r="A175" s="247"/>
      <c r="B175" s="247" t="str">
        <f>$B$16</f>
        <v>3Q</v>
      </c>
      <c r="C175" s="247" t="str">
        <f>$C$16</f>
        <v>Oct</v>
      </c>
      <c r="D175" s="247"/>
      <c r="E175" s="805">
        <v>303.51499999999999</v>
      </c>
      <c r="F175" s="802">
        <f>+(E175/E168-1)*100</f>
        <v>-8.520026643920886</v>
      </c>
      <c r="G175" s="2063">
        <v>-10</v>
      </c>
      <c r="H175" s="691">
        <v>39.244</v>
      </c>
      <c r="I175" s="671">
        <f>+H175/E175*100</f>
        <v>12.929838722962621</v>
      </c>
      <c r="J175" s="705"/>
      <c r="K175" s="1266">
        <f>K168*(1+L175/100)</f>
        <v>250.64351130000003</v>
      </c>
      <c r="L175" s="798">
        <v>-9</v>
      </c>
      <c r="M175" s="798">
        <v>-10</v>
      </c>
      <c r="N175" s="798">
        <v>-8</v>
      </c>
      <c r="O175" s="1103">
        <v>-11</v>
      </c>
      <c r="P175" s="664"/>
      <c r="Q175" s="805">
        <v>102.381</v>
      </c>
      <c r="R175" s="802">
        <f>(Q175/Q168-1)*100</f>
        <v>20.368933408577881</v>
      </c>
      <c r="S175" s="2063">
        <v>9</v>
      </c>
      <c r="T175" s="691">
        <v>23.472000000000001</v>
      </c>
      <c r="U175" s="671">
        <f>+T175/Q175*100</f>
        <v>22.926128871567968</v>
      </c>
      <c r="V175" s="664"/>
      <c r="W175" s="805">
        <v>117.062</v>
      </c>
      <c r="X175" s="802">
        <f>(W175/W168-1)*100</f>
        <v>3.0838323353293395</v>
      </c>
      <c r="Y175" s="2063">
        <v>-13</v>
      </c>
      <c r="Z175" s="691">
        <v>30.295999999999999</v>
      </c>
      <c r="AA175" s="671">
        <f>+Z175/W175*100</f>
        <v>25.880302745553642</v>
      </c>
      <c r="AB175" s="723"/>
      <c r="AC175" s="1104">
        <v>20</v>
      </c>
      <c r="AD175" s="1103">
        <v>9</v>
      </c>
      <c r="AE175" s="964"/>
      <c r="AF175" s="964"/>
      <c r="AG175" s="805">
        <v>63.603999999999999</v>
      </c>
      <c r="AH175" s="802">
        <f>(AG175/AG168-1)*100</f>
        <v>14.783801342669456</v>
      </c>
      <c r="AI175" s="2063">
        <v>9</v>
      </c>
      <c r="AJ175" s="691">
        <v>8.6509999999999998</v>
      </c>
      <c r="AK175" s="671">
        <f>+AJ175/AG175*100</f>
        <v>13.601345827306458</v>
      </c>
      <c r="AL175" s="664"/>
      <c r="AM175" s="1285">
        <f>qtrSales!AN147</f>
        <v>26.550969900000002</v>
      </c>
      <c r="AN175" s="2075">
        <f>+(AM175/AM168-1)*100</f>
        <v>-8.9999999999999964</v>
      </c>
      <c r="AO175" s="673"/>
      <c r="AP175" s="705"/>
      <c r="AQ175" s="664"/>
      <c r="AR175" s="805">
        <v>11.65</v>
      </c>
      <c r="AS175" s="802">
        <f>+(AR175/AR168-1)*100</f>
        <v>-61.603111301539172</v>
      </c>
      <c r="AT175" s="1260">
        <v>-0.505</v>
      </c>
      <c r="AU175" s="671">
        <f>+AT175/AR175*100</f>
        <v>-4.3347639484978533</v>
      </c>
      <c r="AV175" s="664"/>
      <c r="AW175" s="673">
        <f>AR175+AG175+Q175+E175+W175</f>
        <v>598.21199999999999</v>
      </c>
      <c r="AX175" s="912"/>
      <c r="AY175" s="673"/>
      <c r="AZ175" s="804"/>
      <c r="BA175" s="912"/>
      <c r="BB175" s="664"/>
      <c r="BC175" s="903">
        <f>'qtrP&amp;L'!CD50</f>
        <v>70.817000000000007</v>
      </c>
      <c r="BD175" s="672"/>
      <c r="BE175" s="1260">
        <v>-30.341000000000001</v>
      </c>
      <c r="BF175" s="673">
        <f>H175+T175+AJ175+AT175+BE175+Z175</f>
        <v>70.817000000000007</v>
      </c>
      <c r="BG175" s="1011"/>
      <c r="BH175" s="672"/>
      <c r="BI175" s="247"/>
      <c r="BJ175" s="806"/>
      <c r="BK175" s="806"/>
      <c r="BL175" s="806"/>
      <c r="BM175" s="806"/>
      <c r="BN175" s="247"/>
      <c r="BO175" s="1251">
        <f>E175/$AW175</f>
        <v>0.50737029681785051</v>
      </c>
      <c r="BP175" s="1251">
        <f>K175/AW175</f>
        <v>0.41898776905177432</v>
      </c>
      <c r="BQ175" s="1251">
        <f>Q175/AW175</f>
        <v>0.17114501213616579</v>
      </c>
      <c r="BR175" s="1251">
        <f>W175/AW175</f>
        <v>0.19568647904087513</v>
      </c>
      <c r="BS175" s="1251"/>
      <c r="BT175" s="1251">
        <f t="shared" si="4"/>
        <v>0.10632351072863801</v>
      </c>
      <c r="BU175" s="1251">
        <f>BQ175</f>
        <v>0.17114501213616579</v>
      </c>
      <c r="BV175" s="658">
        <v>0</v>
      </c>
      <c r="BW175" s="1251">
        <f t="shared" si="3"/>
        <v>1.9474701276470548E-2</v>
      </c>
      <c r="BX175" s="247"/>
      <c r="BY175" s="247"/>
    </row>
    <row r="176" spans="1:77" hidden="1" outlineLevel="1">
      <c r="A176" s="247"/>
      <c r="B176" s="247" t="str">
        <f>$B$17</f>
        <v>4Q</v>
      </c>
      <c r="C176" s="247" t="str">
        <f>$C$17</f>
        <v>Jan</v>
      </c>
      <c r="D176" s="247"/>
      <c r="E176" s="807">
        <v>523.5</v>
      </c>
      <c r="F176" s="802">
        <f>+(E176/E169-1)*100</f>
        <v>14.081615753069411</v>
      </c>
      <c r="G176" s="2063">
        <v>10</v>
      </c>
      <c r="H176" s="801">
        <f>H177-SUM(H173:H175)</f>
        <v>139.01900000000003</v>
      </c>
      <c r="I176" s="671">
        <f>+H176/E176*100</f>
        <v>26.55568290353391</v>
      </c>
      <c r="J176" s="705"/>
      <c r="K176" s="1280">
        <f>K169*(1+L176/100)</f>
        <v>413.90888000000007</v>
      </c>
      <c r="L176" s="798">
        <v>12</v>
      </c>
      <c r="M176" s="798">
        <v>11</v>
      </c>
      <c r="N176" s="798">
        <v>22</v>
      </c>
      <c r="O176" s="1103">
        <v>8</v>
      </c>
      <c r="P176" s="664"/>
      <c r="Q176" s="807">
        <v>150.29900000000001</v>
      </c>
      <c r="R176" s="802">
        <f>(Q176/Q169-1)*100</f>
        <v>51.509561395550477</v>
      </c>
      <c r="S176" s="2063">
        <v>24</v>
      </c>
      <c r="T176" s="801">
        <f>T177-SUM(T173:T175)</f>
        <v>40.522999999999996</v>
      </c>
      <c r="U176" s="671">
        <f>+T176/Q176*100</f>
        <v>26.96158989747104</v>
      </c>
      <c r="V176" s="664"/>
      <c r="W176" s="807">
        <v>165.16</v>
      </c>
      <c r="X176" s="802">
        <f>(W176/W169-1)*100</f>
        <v>-6.2086511104927471</v>
      </c>
      <c r="Y176" s="2063">
        <v>-9</v>
      </c>
      <c r="Z176" s="801">
        <f>Z177-SUM(Z173:Z175)</f>
        <v>48.938000000000017</v>
      </c>
      <c r="AA176" s="671">
        <f>+Z176/W176*100</f>
        <v>29.630661177040459</v>
      </c>
      <c r="AB176" s="964"/>
      <c r="AC176" s="1152">
        <v>51</v>
      </c>
      <c r="AD176" s="1153">
        <v>24</v>
      </c>
      <c r="AE176" s="964"/>
      <c r="AF176" s="964"/>
      <c r="AG176" s="807">
        <v>120.46</v>
      </c>
      <c r="AH176" s="802">
        <f>(AG176/AG169-1)*100</f>
        <v>27.360385697067091</v>
      </c>
      <c r="AI176" s="2063">
        <v>14</v>
      </c>
      <c r="AJ176" s="801">
        <f>AJ177-SUM(AJ173:AJ175)</f>
        <v>32.518999999999998</v>
      </c>
      <c r="AK176" s="671">
        <f>+AJ176/AG176*100</f>
        <v>26.995683214345011</v>
      </c>
      <c r="AL176" s="664"/>
      <c r="AM176" s="1286">
        <f>qtrSales!AN148</f>
        <v>71.785440000000008</v>
      </c>
      <c r="AN176" s="2075">
        <f>+(AM176/AM169-1)*100</f>
        <v>15.999999999999993</v>
      </c>
      <c r="AO176" s="1098"/>
      <c r="AP176" s="705"/>
      <c r="AQ176" s="664"/>
      <c r="AR176" s="807">
        <v>21.991</v>
      </c>
      <c r="AS176" s="802">
        <f>+(AR176/AR169-1)*100</f>
        <v>148.907753254103</v>
      </c>
      <c r="AT176" s="801">
        <f>AT177-SUM(AT173:AT175)</f>
        <v>-3.8619999999999992</v>
      </c>
      <c r="AU176" s="671">
        <f>+AT176/AR176*100</f>
        <v>-17.561729798553952</v>
      </c>
      <c r="AV176" s="664"/>
      <c r="AW176" s="677">
        <f>AR176+AG176+Q176+E176+W176</f>
        <v>981.41</v>
      </c>
      <c r="AX176" s="912"/>
      <c r="AY176" s="677"/>
      <c r="AZ176" s="804"/>
      <c r="BA176" s="912"/>
      <c r="BB176" s="664"/>
      <c r="BC176" s="677">
        <f>'qtrP&amp;L'!CD51</f>
        <v>224.60700000000003</v>
      </c>
      <c r="BD176" s="685"/>
      <c r="BE176" s="801">
        <f>BE177-SUM(BE173:BE175)</f>
        <v>-32.53</v>
      </c>
      <c r="BF176" s="677">
        <f>H176+T176+AJ176+AT176+BE176+Z176</f>
        <v>224.60700000000006</v>
      </c>
      <c r="BG176" s="1011"/>
      <c r="BH176" s="672"/>
      <c r="BI176" s="247"/>
      <c r="BJ176" s="806"/>
      <c r="BK176" s="806"/>
      <c r="BL176" s="806"/>
      <c r="BM176" s="806"/>
      <c r="BN176" s="247"/>
      <c r="BO176" s="1231">
        <f>E176/$AW176</f>
        <v>0.53341620729358785</v>
      </c>
      <c r="BP176" s="1231">
        <f>K176/AW176</f>
        <v>0.42174919758306934</v>
      </c>
      <c r="BQ176" s="1231">
        <f>Q176/AW176</f>
        <v>0.15314598383957775</v>
      </c>
      <c r="BR176" s="1231">
        <f>W176/AW176</f>
        <v>0.16828848289705628</v>
      </c>
      <c r="BS176" s="1231"/>
      <c r="BT176" s="1231">
        <f t="shared" si="4"/>
        <v>0.12274176949491038</v>
      </c>
      <c r="BU176" s="1231">
        <f>BQ176</f>
        <v>0.15314598383957775</v>
      </c>
      <c r="BV176" s="658">
        <v>0</v>
      </c>
      <c r="BW176" s="1231">
        <f t="shared" si="3"/>
        <v>2.2407556474867793E-2</v>
      </c>
      <c r="BX176" s="247"/>
      <c r="BY176" s="247"/>
    </row>
    <row r="177" spans="1:77" hidden="1" outlineLevel="1">
      <c r="A177" s="658"/>
      <c r="B177" s="658"/>
      <c r="C177" s="658" t="str">
        <f>$C$18</f>
        <v>Year</v>
      </c>
      <c r="D177" s="658"/>
      <c r="E177" s="946">
        <f>+SUM(E173:E176)</f>
        <v>1410.8710000000001</v>
      </c>
      <c r="F177" s="802">
        <f>+(E177/E170-1)*100</f>
        <v>-11.077840159935858</v>
      </c>
      <c r="G177" s="2063">
        <v>-14</v>
      </c>
      <c r="H177" s="695">
        <v>263.47000000000003</v>
      </c>
      <c r="I177" s="671">
        <f>+H177/E177*100</f>
        <v>18.674279930624415</v>
      </c>
      <c r="J177" s="701"/>
      <c r="K177" s="1147">
        <f>K170*(1+L177/100)</f>
        <v>1154.9364816</v>
      </c>
      <c r="L177" s="798">
        <v>-12</v>
      </c>
      <c r="M177" s="798">
        <v>-15</v>
      </c>
      <c r="N177" s="798">
        <v>-15</v>
      </c>
      <c r="O177" s="1103">
        <v>-15</v>
      </c>
      <c r="P177" s="700"/>
      <c r="Q177" s="799">
        <f>+SUM(Q173:Q176)</f>
        <v>426.29599999999994</v>
      </c>
      <c r="R177" s="802">
        <f>(Q177/Q170-1)*100</f>
        <v>17.406188463074379</v>
      </c>
      <c r="S177" s="2063">
        <v>8</v>
      </c>
      <c r="T177" s="695">
        <v>100.69</v>
      </c>
      <c r="U177" s="671">
        <f>+T177/Q177*100</f>
        <v>23.619738397733034</v>
      </c>
      <c r="V177" s="700"/>
      <c r="W177" s="799">
        <f>+SUM(W173:W176)</f>
        <v>512.98900000000003</v>
      </c>
      <c r="X177" s="802">
        <f>(W177/W170-1)*100</f>
        <v>-3.8399247198551145</v>
      </c>
      <c r="Y177" s="2063">
        <v>-11</v>
      </c>
      <c r="Z177" s="695">
        <v>139.51900000000001</v>
      </c>
      <c r="AA177" s="671">
        <f>+Z177/W177*100</f>
        <v>27.197269337159273</v>
      </c>
      <c r="AB177" s="713"/>
      <c r="AC177" s="1104">
        <v>18</v>
      </c>
      <c r="AD177" s="1103">
        <v>8</v>
      </c>
      <c r="AE177" s="713"/>
      <c r="AF177" s="713"/>
      <c r="AG177" s="946">
        <f>+SUM(AG173:AG176)</f>
        <v>306.32099999999997</v>
      </c>
      <c r="AH177" s="802">
        <f>(AG177/AG170-1)*100</f>
        <v>12.167283672595053</v>
      </c>
      <c r="AI177" s="2063">
        <v>9</v>
      </c>
      <c r="AJ177" s="695">
        <v>60.101999999999997</v>
      </c>
      <c r="AK177" s="671">
        <f>+AJ177/AG177*100</f>
        <v>19.620594082677975</v>
      </c>
      <c r="AL177" s="700"/>
      <c r="AM177" s="799">
        <f>SUM(AM173:AM176)</f>
        <v>161.66741630000001</v>
      </c>
      <c r="AN177" s="2075">
        <f>+(AM177/AM170-1)*100</f>
        <v>-0.93224188949811992</v>
      </c>
      <c r="AO177" s="667"/>
      <c r="AP177" s="705"/>
      <c r="AQ177" s="700"/>
      <c r="AR177" s="799">
        <f>+SUM(AR173:AR176)</f>
        <v>53.253</v>
      </c>
      <c r="AS177" s="802">
        <f>+(AR177/AR170-1)*100</f>
        <v>-42.467129784682534</v>
      </c>
      <c r="AT177" s="695">
        <v>-8.7669999999999995</v>
      </c>
      <c r="AU177" s="671">
        <f>+AT177/AR177*100</f>
        <v>-16.462922276679247</v>
      </c>
      <c r="AV177" s="700"/>
      <c r="AW177" s="667">
        <f>AR177+AG177+Q177+E177+W177</f>
        <v>2709.73</v>
      </c>
      <c r="AX177" s="912"/>
      <c r="AY177" s="1021"/>
      <c r="AZ177" s="804"/>
      <c r="BA177" s="912"/>
      <c r="BB177" s="700"/>
      <c r="BC177" s="667">
        <f>'qtrP&amp;L'!CD52</f>
        <v>440.05000000000007</v>
      </c>
      <c r="BD177" s="701"/>
      <c r="BE177" s="691">
        <v>-114.964</v>
      </c>
      <c r="BF177" s="667">
        <f>H177+T177+AJ177+AT177+BE177+Z177</f>
        <v>440.05</v>
      </c>
      <c r="BG177" s="1011"/>
      <c r="BH177" s="701"/>
      <c r="BI177" s="658"/>
      <c r="BJ177" s="203"/>
      <c r="BK177" s="203"/>
      <c r="BL177" s="203"/>
      <c r="BM177" s="203"/>
      <c r="BN177" s="658"/>
      <c r="BO177" s="322">
        <f>E177/$AW177</f>
        <v>0.52066847988544984</v>
      </c>
      <c r="BP177" s="322">
        <f>K177/AW177</f>
        <v>0.42621828802131578</v>
      </c>
      <c r="BQ177" s="322">
        <f>Q177/AW177</f>
        <v>0.15732047104324046</v>
      </c>
      <c r="BR177" s="1251">
        <f>W177/AW177</f>
        <v>0.18931369546043333</v>
      </c>
      <c r="BS177" s="322"/>
      <c r="BT177" s="322">
        <f>AG177/AW177</f>
        <v>0.11304484210604007</v>
      </c>
      <c r="BU177" s="1251">
        <f>BQ177</f>
        <v>0.15732047104324046</v>
      </c>
      <c r="BV177" s="658">
        <v>0</v>
      </c>
      <c r="BW177" s="322">
        <f t="shared" si="3"/>
        <v>1.9652511504836274E-2</v>
      </c>
      <c r="BX177" s="1496">
        <f>+K177/K170-1</f>
        <v>-0.11999999999999988</v>
      </c>
      <c r="BY177" s="1496">
        <f>+(AW177-K177)/(AW170-K170)-1</f>
        <v>1.1951292475071762E-2</v>
      </c>
    </row>
    <row r="178" spans="1:77" hidden="1" outlineLevel="1">
      <c r="A178" s="658"/>
      <c r="B178" s="658"/>
      <c r="C178" s="658"/>
      <c r="D178" s="658"/>
      <c r="E178" s="946"/>
      <c r="F178" s="802"/>
      <c r="G178" s="2063"/>
      <c r="H178" s="695"/>
      <c r="I178" s="671"/>
      <c r="J178" s="701"/>
      <c r="K178" s="1218"/>
      <c r="L178" s="798"/>
      <c r="M178" s="701"/>
      <c r="N178" s="798"/>
      <c r="O178" s="1103"/>
      <c r="P178" s="700"/>
      <c r="Q178" s="1474" t="s">
        <v>163</v>
      </c>
      <c r="R178" s="802"/>
      <c r="S178" s="2063"/>
      <c r="T178" s="695"/>
      <c r="U178" s="671"/>
      <c r="V178" s="700"/>
      <c r="W178" s="799"/>
      <c r="X178" s="713"/>
      <c r="Y178" s="2063"/>
      <c r="Z178" s="695"/>
      <c r="AA178" s="671"/>
      <c r="AB178" s="713"/>
      <c r="AC178" s="1106"/>
      <c r="AD178" s="1109"/>
      <c r="AE178" s="713"/>
      <c r="AF178" s="713"/>
      <c r="AG178" s="1170">
        <f>+AG177/AW177</f>
        <v>0.11304484210604007</v>
      </c>
      <c r="AH178" s="802"/>
      <c r="AI178" s="2063"/>
      <c r="AJ178" s="695"/>
      <c r="AK178" s="671"/>
      <c r="AL178" s="700"/>
      <c r="AM178" s="1269"/>
      <c r="AN178" s="2076"/>
      <c r="AO178" s="695"/>
      <c r="AP178" s="701"/>
      <c r="AQ178" s="700"/>
      <c r="AR178" s="1269"/>
      <c r="AS178" s="1265"/>
      <c r="AT178" s="695"/>
      <c r="AU178" s="671"/>
      <c r="AV178" s="700"/>
      <c r="AW178" s="673"/>
      <c r="AX178" s="700"/>
      <c r="AY178" s="1021"/>
      <c r="AZ178" s="1035"/>
      <c r="BA178" s="802"/>
      <c r="BB178" s="700"/>
      <c r="BC178" s="667"/>
      <c r="BD178" s="701"/>
      <c r="BE178" s="691"/>
      <c r="BF178" s="667"/>
      <c r="BG178" s="1011"/>
      <c r="BH178" s="701"/>
      <c r="BI178" s="658"/>
      <c r="BJ178" s="203"/>
      <c r="BK178" s="203"/>
      <c r="BL178" s="203"/>
      <c r="BM178" s="203"/>
      <c r="BN178" s="658"/>
      <c r="BO178" s="806"/>
      <c r="BP178" s="806"/>
      <c r="BQ178" s="806"/>
      <c r="BR178" s="806"/>
      <c r="BS178" s="806"/>
      <c r="BT178" s="806"/>
      <c r="BU178" s="806"/>
      <c r="BV178" s="247">
        <v>0</v>
      </c>
      <c r="BW178" s="1251"/>
      <c r="BX178" s="658"/>
      <c r="BY178" s="658"/>
    </row>
    <row r="179" spans="1:77" hidden="1" outlineLevel="1">
      <c r="A179" s="247"/>
      <c r="B179" s="2507">
        <f>+B172+1</f>
        <v>2010</v>
      </c>
      <c r="C179" s="2507"/>
      <c r="D179" s="247"/>
      <c r="E179" s="1230"/>
      <c r="F179" s="893"/>
      <c r="G179" s="2064"/>
      <c r="H179" s="658"/>
      <c r="I179" s="895"/>
      <c r="J179" s="709"/>
      <c r="K179" s="1102"/>
      <c r="L179" s="798"/>
      <c r="M179" s="709"/>
      <c r="N179" s="893"/>
      <c r="O179" s="1103"/>
      <c r="P179" s="643"/>
      <c r="Q179" s="1230"/>
      <c r="R179" s="893"/>
      <c r="S179" s="2064"/>
      <c r="T179" s="658"/>
      <c r="U179" s="895"/>
      <c r="V179" s="643"/>
      <c r="W179" s="1230"/>
      <c r="X179" s="893"/>
      <c r="Y179" s="2064"/>
      <c r="Z179" s="658"/>
      <c r="AA179" s="895"/>
      <c r="AB179" s="643"/>
      <c r="AC179" s="1277"/>
      <c r="AD179" s="1108"/>
      <c r="AE179" s="643"/>
      <c r="AF179" s="643"/>
      <c r="AG179" s="1230"/>
      <c r="AH179" s="893"/>
      <c r="AI179" s="2064"/>
      <c r="AJ179" s="658"/>
      <c r="AK179" s="895"/>
      <c r="AL179" s="643"/>
      <c r="AM179" s="1230"/>
      <c r="AN179" s="2077"/>
      <c r="AO179" s="658"/>
      <c r="AP179" s="1119"/>
      <c r="AQ179" s="643"/>
      <c r="AR179" s="1230"/>
      <c r="AS179" s="893"/>
      <c r="AT179" s="658"/>
      <c r="AU179" s="895"/>
      <c r="AV179" s="643"/>
      <c r="AW179" s="658"/>
      <c r="AX179" s="658"/>
      <c r="AY179" s="658"/>
      <c r="AZ179" s="659"/>
      <c r="BA179" s="256"/>
      <c r="BB179" s="256"/>
      <c r="BC179" s="658"/>
      <c r="BD179" s="658"/>
      <c r="BE179" s="658"/>
      <c r="BF179" s="658"/>
      <c r="BG179" s="1011"/>
      <c r="BH179" s="247"/>
      <c r="BI179" s="247"/>
      <c r="BJ179" s="247"/>
      <c r="BK179" s="247"/>
      <c r="BL179" s="247"/>
      <c r="BM179" s="247"/>
      <c r="BN179" s="247"/>
      <c r="BO179" s="1251"/>
      <c r="BP179" s="1251"/>
      <c r="BQ179" s="1251"/>
      <c r="BR179" s="1251"/>
      <c r="BS179" s="1251"/>
      <c r="BT179" s="1251"/>
      <c r="BU179" s="1251"/>
      <c r="BV179" s="658">
        <v>0</v>
      </c>
      <c r="BW179" s="1251"/>
      <c r="BX179" s="247"/>
      <c r="BY179" s="247"/>
    </row>
    <row r="180" spans="1:77" hidden="1" outlineLevel="1">
      <c r="A180" s="247"/>
      <c r="B180" s="247" t="str">
        <f>$B$14</f>
        <v>1Q</v>
      </c>
      <c r="C180" s="247" t="str">
        <f>$C$14</f>
        <v>Apr</v>
      </c>
      <c r="D180" s="247"/>
      <c r="E180" s="724">
        <v>315.25799999999998</v>
      </c>
      <c r="F180" s="802">
        <f>+(E180/E173-1)*100</f>
        <v>21.724055383522376</v>
      </c>
      <c r="G180" s="2063">
        <v>15</v>
      </c>
      <c r="H180" s="695">
        <v>54.921999999999997</v>
      </c>
      <c r="I180" s="671">
        <f>+H180/E180*100</f>
        <v>17.421286692169588</v>
      </c>
      <c r="J180" s="705"/>
      <c r="K180" s="1146"/>
      <c r="L180" s="798"/>
      <c r="M180" s="798"/>
      <c r="N180" s="798">
        <v>26</v>
      </c>
      <c r="O180" s="1103">
        <v>13</v>
      </c>
      <c r="P180" s="664"/>
      <c r="Q180" s="724">
        <f>233.826-Q181</f>
        <v>122.336</v>
      </c>
      <c r="R180" s="802">
        <f>(Q180/Q173-1)*100</f>
        <v>49.745397571484531</v>
      </c>
      <c r="S180" s="2063">
        <v>21</v>
      </c>
      <c r="T180" s="695">
        <v>32.173999999999999</v>
      </c>
      <c r="U180" s="671">
        <f>+T180/Q180*100</f>
        <v>26.299699189118492</v>
      </c>
      <c r="V180" s="664"/>
      <c r="W180" s="724">
        <f>233.08-W181</f>
        <v>115.04900000000001</v>
      </c>
      <c r="X180" s="802">
        <f>(W180/W173-1)*100</f>
        <v>-1.6918883353698622</v>
      </c>
      <c r="Y180" s="2063">
        <v>-10</v>
      </c>
      <c r="Z180" s="695">
        <v>30.995999999999999</v>
      </c>
      <c r="AA180" s="671">
        <f>+Z180/W180*100</f>
        <v>26.941564029239711</v>
      </c>
      <c r="AB180" s="723"/>
      <c r="AC180" s="1104"/>
      <c r="AD180" s="1163"/>
      <c r="AE180" s="964"/>
      <c r="AF180" s="964"/>
      <c r="AG180" s="724">
        <f>145.521-AG181</f>
        <v>68.627999999999986</v>
      </c>
      <c r="AH180" s="802">
        <f>(AG180/AG173-1)*100</f>
        <v>24.878084285610271</v>
      </c>
      <c r="AI180" s="2063">
        <v>14</v>
      </c>
      <c r="AJ180" s="695">
        <v>14.628</v>
      </c>
      <c r="AK180" s="671">
        <f>+AJ180/AG180*100</f>
        <v>21.314915194964161</v>
      </c>
      <c r="AL180" s="664"/>
      <c r="AM180" s="1287">
        <f>qtrSales!AN152</f>
        <v>34.331805263999996</v>
      </c>
      <c r="AN180" s="2075">
        <f>+(AM180/AM173-1)*100</f>
        <v>23</v>
      </c>
      <c r="AO180" s="667"/>
      <c r="AP180" s="705"/>
      <c r="AQ180" s="664"/>
      <c r="AR180" s="724">
        <v>12.315</v>
      </c>
      <c r="AS180" s="802">
        <f>+(AR180/AR173-1)*100</f>
        <v>149.29149797570847</v>
      </c>
      <c r="AT180" s="695">
        <v>0.248</v>
      </c>
      <c r="AU180" s="671">
        <f>+AT180/AR180*100</f>
        <v>2.0138043036946813</v>
      </c>
      <c r="AV180" s="664">
        <f>AW180-'qtrP&amp;L'!CH10</f>
        <v>0</v>
      </c>
      <c r="AW180" s="1168">
        <f>AR180+AG180+Q180+E180+W180</f>
        <v>633.58600000000001</v>
      </c>
      <c r="AX180" s="912"/>
      <c r="AY180" s="1036"/>
      <c r="AZ180" s="804"/>
      <c r="BA180" s="912"/>
      <c r="BB180" s="664"/>
      <c r="BC180" s="1168">
        <f>'qtrP&amp;L'!CH48</f>
        <v>106.27700000000004</v>
      </c>
      <c r="BD180" s="672"/>
      <c r="BE180" s="695">
        <v>-27.550999999999998</v>
      </c>
      <c r="BF180" s="1168">
        <f>H180+T180+AJ180+AT180+BE180+Z180+0.86</f>
        <v>106.277</v>
      </c>
      <c r="BG180" s="1011"/>
      <c r="BH180" s="701"/>
      <c r="BI180" s="247"/>
      <c r="BJ180" s="806"/>
      <c r="BK180" s="806"/>
      <c r="BL180" s="806"/>
      <c r="BM180" s="806"/>
      <c r="BN180" s="247"/>
      <c r="BO180" s="1251">
        <f>E180/$AW180</f>
        <v>0.49757728232631399</v>
      </c>
      <c r="BP180" s="1251">
        <f>K180/AW180</f>
        <v>0</v>
      </c>
      <c r="BQ180" s="1251">
        <f>Q180/AW180</f>
        <v>0.19308507448081239</v>
      </c>
      <c r="BR180" s="1251">
        <f>W180/AW180</f>
        <v>0.18158387338104062</v>
      </c>
      <c r="BS180" s="1251"/>
      <c r="BT180" s="1251">
        <f>AG180/AW180</f>
        <v>0.10831678730274973</v>
      </c>
      <c r="BU180" s="1251">
        <f>BQ180</f>
        <v>0.19308507448081239</v>
      </c>
      <c r="BV180" s="658">
        <v>0</v>
      </c>
      <c r="BW180" s="1252">
        <f>AR180/AW180</f>
        <v>1.9436982509083219E-2</v>
      </c>
      <c r="BX180" s="247"/>
      <c r="BY180" s="247"/>
    </row>
    <row r="181" spans="1:77" hidden="1" outlineLevel="1">
      <c r="A181" s="247"/>
      <c r="B181" s="247" t="str">
        <f>$B$15</f>
        <v>2Q</v>
      </c>
      <c r="C181" s="247" t="str">
        <f>$C$15</f>
        <v>Jul</v>
      </c>
      <c r="D181" s="247"/>
      <c r="E181" s="805">
        <v>350.43299999999999</v>
      </c>
      <c r="F181" s="802">
        <f>+(E181/E174-1)*100</f>
        <v>7.8713422930351884</v>
      </c>
      <c r="G181" s="2063">
        <v>5</v>
      </c>
      <c r="H181" s="691">
        <v>68.97</v>
      </c>
      <c r="I181" s="671">
        <f>+H181/E181*100</f>
        <v>19.681365624812734</v>
      </c>
      <c r="J181" s="705"/>
      <c r="K181" s="1147"/>
      <c r="L181" s="798"/>
      <c r="M181" s="1162"/>
      <c r="N181" s="798">
        <v>8</v>
      </c>
      <c r="O181" s="1103">
        <v>4</v>
      </c>
      <c r="P181" s="664"/>
      <c r="Q181" s="805">
        <v>111.49</v>
      </c>
      <c r="R181" s="802">
        <f>(Q181/Q174-1)*100</f>
        <v>21.290252393385558</v>
      </c>
      <c r="S181" s="2063">
        <v>7</v>
      </c>
      <c r="T181" s="691">
        <v>24.366</v>
      </c>
      <c r="U181" s="671">
        <f>+T181/Q181*100</f>
        <v>21.854874876670554</v>
      </c>
      <c r="V181" s="664"/>
      <c r="W181" s="805">
        <v>118.03100000000001</v>
      </c>
      <c r="X181" s="802">
        <f>(W181/W174-1)*100</f>
        <v>3.7744641192917205</v>
      </c>
      <c r="Y181" s="2063">
        <v>-7</v>
      </c>
      <c r="Z181" s="691">
        <v>31.228000000000002</v>
      </c>
      <c r="AA181" s="671">
        <f>+Z181/W181*100</f>
        <v>26.457456092043614</v>
      </c>
      <c r="AB181" s="964"/>
      <c r="AC181" s="1104"/>
      <c r="AD181" s="1163"/>
      <c r="AE181" s="964"/>
      <c r="AF181" s="964"/>
      <c r="AG181" s="805">
        <v>76.893000000000001</v>
      </c>
      <c r="AH181" s="802">
        <f>(AG181/AG174-1)*100</f>
        <v>14.252388523201741</v>
      </c>
      <c r="AI181" s="2063">
        <v>21</v>
      </c>
      <c r="AJ181" s="691">
        <v>16.841000000000001</v>
      </c>
      <c r="AK181" s="671">
        <f>+AJ181/AG181*100</f>
        <v>21.901863628678814</v>
      </c>
      <c r="AL181" s="664"/>
      <c r="AM181" s="1288">
        <f>qtrSales!AN153</f>
        <v>34.710590208000006</v>
      </c>
      <c r="AN181" s="2075">
        <f>+(AM181/AM174-1)*100</f>
        <v>-1.9999999999999907</v>
      </c>
      <c r="AO181" s="673"/>
      <c r="AP181" s="705"/>
      <c r="AQ181" s="664"/>
      <c r="AR181" s="805">
        <v>11.913</v>
      </c>
      <c r="AS181" s="802">
        <f>+(AR181/AR174-1)*100</f>
        <v>-18.804525627044711</v>
      </c>
      <c r="AT181" s="1260">
        <v>0.86199999999999999</v>
      </c>
      <c r="AU181" s="671">
        <f>+AT181/AR181*100</f>
        <v>7.2357928313606976</v>
      </c>
      <c r="AV181" s="664">
        <f>AW181-'qtrP&amp;L'!CH11</f>
        <v>0</v>
      </c>
      <c r="AW181" s="673">
        <f>AR181+AG181+Q181+E181+W181</f>
        <v>668.76</v>
      </c>
      <c r="AX181" s="912"/>
      <c r="AY181" s="673"/>
      <c r="AZ181" s="804"/>
      <c r="BA181" s="912"/>
      <c r="BB181" s="664"/>
      <c r="BC181" s="903">
        <f>'qtrP&amp;L'!CH49</f>
        <v>117.55099999999999</v>
      </c>
      <c r="BD181" s="672"/>
      <c r="BE181" s="1260">
        <v>-24.716000000000001</v>
      </c>
      <c r="BF181" s="673">
        <f>H181+T181+AJ181+AT181+BE181+Z181</f>
        <v>117.55099999999999</v>
      </c>
      <c r="BG181" s="1011"/>
      <c r="BH181" s="701"/>
      <c r="BI181" s="247"/>
      <c r="BJ181" s="806"/>
      <c r="BK181" s="806"/>
      <c r="BL181" s="806"/>
      <c r="BM181" s="806"/>
      <c r="BN181" s="247"/>
      <c r="BO181" s="1251">
        <f>E181/$AW181</f>
        <v>0.52400412704109101</v>
      </c>
      <c r="BP181" s="1251">
        <f>K181/AW181</f>
        <v>0</v>
      </c>
      <c r="BQ181" s="1251">
        <f>Q181/AW181</f>
        <v>0.16671152580895987</v>
      </c>
      <c r="BR181" s="1251">
        <f>W181/AW181</f>
        <v>0.17649231413362043</v>
      </c>
      <c r="BS181" s="1251"/>
      <c r="BT181" s="1251">
        <f>AG181/AW181</f>
        <v>0.11497846761169926</v>
      </c>
      <c r="BU181" s="1251">
        <f>BQ181</f>
        <v>0.16671152580895987</v>
      </c>
      <c r="BV181" s="658">
        <v>0</v>
      </c>
      <c r="BW181" s="1251">
        <f>AR181/AW181</f>
        <v>1.7813565404629465E-2</v>
      </c>
      <c r="BX181" s="247"/>
      <c r="BY181" s="247"/>
    </row>
    <row r="182" spans="1:77" hidden="1" outlineLevel="1">
      <c r="A182" s="247"/>
      <c r="B182" s="247" t="str">
        <f>$B$16</f>
        <v>3Q</v>
      </c>
      <c r="C182" s="247" t="str">
        <f>$C$16</f>
        <v>Oct</v>
      </c>
      <c r="D182" s="247"/>
      <c r="E182" s="805">
        <v>331.767</v>
      </c>
      <c r="F182" s="802">
        <f>+(E182/E175-1)*100</f>
        <v>9.3082714198639227</v>
      </c>
      <c r="G182" s="2063">
        <v>5</v>
      </c>
      <c r="H182" s="691">
        <v>51.677999999999997</v>
      </c>
      <c r="I182" s="671">
        <f>+H182/E182*100</f>
        <v>15.576594417166264</v>
      </c>
      <c r="J182" s="705"/>
      <c r="K182" s="1241"/>
      <c r="L182" s="798"/>
      <c r="M182" s="1162"/>
      <c r="N182" s="798">
        <v>-3</v>
      </c>
      <c r="O182" s="1103">
        <v>8</v>
      </c>
      <c r="P182" s="664"/>
      <c r="Q182" s="805">
        <v>127.057</v>
      </c>
      <c r="R182" s="802">
        <f>(Q182/Q175-1)*100</f>
        <v>24.102128324591487</v>
      </c>
      <c r="S182" s="2063">
        <v>11</v>
      </c>
      <c r="T182" s="691">
        <v>25.434000000000001</v>
      </c>
      <c r="U182" s="671">
        <f>+T182/Q182*100</f>
        <v>20.017787292317621</v>
      </c>
      <c r="V182" s="664"/>
      <c r="W182" s="805">
        <v>130.81700000000001</v>
      </c>
      <c r="X182" s="802">
        <f>(W182/W175-1)*100</f>
        <v>11.750183663357895</v>
      </c>
      <c r="Y182" s="2063">
        <v>-2</v>
      </c>
      <c r="Z182" s="691">
        <v>39.081000000000003</v>
      </c>
      <c r="AA182" s="671">
        <f>+Z182/W182*100</f>
        <v>29.874557588081064</v>
      </c>
      <c r="AB182" s="723"/>
      <c r="AC182" s="1104"/>
      <c r="AD182" s="1163"/>
      <c r="AE182" s="964"/>
      <c r="AF182" s="964"/>
      <c r="AG182" s="805">
        <v>77.456000000000003</v>
      </c>
      <c r="AH182" s="802">
        <f>(AG182/AG175-1)*100</f>
        <v>21.778504496572548</v>
      </c>
      <c r="AI182" s="2063">
        <v>24</v>
      </c>
      <c r="AJ182" s="691">
        <v>15.539</v>
      </c>
      <c r="AK182" s="671">
        <f>+AJ182/AG182*100</f>
        <v>20.061712456104107</v>
      </c>
      <c r="AL182" s="664"/>
      <c r="AM182" s="1288">
        <f>qtrSales!AN154</f>
        <v>28.409537793000002</v>
      </c>
      <c r="AN182" s="2075">
        <f>+(AM182/AM175-1)*100</f>
        <v>7.0000000000000062</v>
      </c>
      <c r="AO182" s="673"/>
      <c r="AP182" s="705"/>
      <c r="AQ182" s="664"/>
      <c r="AR182" s="805">
        <v>14.632</v>
      </c>
      <c r="AS182" s="802">
        <f>+(AR182/AR175-1)*100</f>
        <v>25.596566523605134</v>
      </c>
      <c r="AT182" s="1260">
        <v>2.1339999999999999</v>
      </c>
      <c r="AU182" s="671">
        <f>+AT182/AR182*100</f>
        <v>14.584472389283762</v>
      </c>
      <c r="AV182" s="664">
        <f>AW182-'qtrP&amp;L'!CH12</f>
        <v>0</v>
      </c>
      <c r="AW182" s="673">
        <f>AR182+AG182+Q182+E182+W182</f>
        <v>681.72900000000004</v>
      </c>
      <c r="AX182" s="912"/>
      <c r="AY182" s="673"/>
      <c r="AZ182" s="804"/>
      <c r="BA182" s="912"/>
      <c r="BB182" s="664"/>
      <c r="BC182" s="903">
        <f>'qtrP&amp;L'!CH50</f>
        <v>103.99900000000008</v>
      </c>
      <c r="BD182" s="672"/>
      <c r="BE182" s="1260">
        <v>-29.867000000000001</v>
      </c>
      <c r="BF182" s="673">
        <f>H182+T182+AJ182+AT182+BE182+Z182</f>
        <v>103.999</v>
      </c>
      <c r="BG182" s="1011"/>
      <c r="BH182" s="701"/>
      <c r="BI182" s="247"/>
      <c r="BJ182" s="806"/>
      <c r="BK182" s="806"/>
      <c r="BL182" s="806"/>
      <c r="BM182" s="806"/>
      <c r="BN182" s="247"/>
      <c r="BO182" s="1251">
        <f>E182/$AW182</f>
        <v>0.48665525450728953</v>
      </c>
      <c r="BP182" s="1251">
        <f>K182/AW182</f>
        <v>0</v>
      </c>
      <c r="BQ182" s="1251">
        <f>Q182/AW182</f>
        <v>0.18637464447016336</v>
      </c>
      <c r="BR182" s="1251">
        <f>W182/AW182</f>
        <v>0.19189003254959081</v>
      </c>
      <c r="BS182" s="1251"/>
      <c r="BT182" s="1251">
        <f>AG182/AW182</f>
        <v>0.11361699443620558</v>
      </c>
      <c r="BU182" s="1251">
        <f>BQ182</f>
        <v>0.18637464447016336</v>
      </c>
      <c r="BV182" s="658">
        <v>0</v>
      </c>
      <c r="BW182" s="1251">
        <f>AR182/AW182</f>
        <v>2.1463074036750671E-2</v>
      </c>
      <c r="BX182" s="247"/>
      <c r="BY182" s="247"/>
    </row>
    <row r="183" spans="1:77" hidden="1" outlineLevel="1">
      <c r="A183" s="247"/>
      <c r="B183" s="247" t="str">
        <f>$B$17</f>
        <v>4Q</v>
      </c>
      <c r="C183" s="247" t="str">
        <f>$C$17</f>
        <v>Jan</v>
      </c>
      <c r="D183" s="247"/>
      <c r="E183" s="807">
        <f>1574.571-E180-E181-E182</f>
        <v>577.11299999999983</v>
      </c>
      <c r="F183" s="802">
        <f>+(E183/E176-1)*100</f>
        <v>10.241260744985636</v>
      </c>
      <c r="G183" s="2063">
        <v>8</v>
      </c>
      <c r="H183" s="801">
        <f>H184-SUM(H180:H182)</f>
        <v>164.76100000000002</v>
      </c>
      <c r="I183" s="671">
        <f>+H183/E183*100</f>
        <v>28.54917494494147</v>
      </c>
      <c r="J183" s="705"/>
      <c r="K183" s="1242"/>
      <c r="L183" s="798"/>
      <c r="M183" s="1162"/>
      <c r="N183" s="798">
        <v>2</v>
      </c>
      <c r="O183" s="1103">
        <v>9</v>
      </c>
      <c r="P183" s="664"/>
      <c r="Q183" s="807">
        <f>549.197-Q180-Q181-Q182</f>
        <v>188.31399999999996</v>
      </c>
      <c r="R183" s="802">
        <f>(Q183/Q176-1)*100</f>
        <v>25.292916120533036</v>
      </c>
      <c r="S183" s="2063">
        <v>16</v>
      </c>
      <c r="T183" s="801">
        <f>T184-SUM(T180:T182)</f>
        <v>51.474000000000004</v>
      </c>
      <c r="U183" s="671">
        <f>+T183/Q183*100</f>
        <v>27.334133415465665</v>
      </c>
      <c r="V183" s="664"/>
      <c r="W183" s="807">
        <f>546.537-W180-W181-W182</f>
        <v>182.64000000000004</v>
      </c>
      <c r="X183" s="802">
        <f>(W183/W176-1)*100</f>
        <v>10.583676434972178</v>
      </c>
      <c r="Y183" s="2063">
        <v>1</v>
      </c>
      <c r="Z183" s="801">
        <f>Z184-SUM(Z180:Z182)</f>
        <v>61.495000000000005</v>
      </c>
      <c r="AA183" s="671">
        <f>+Z183/W183*100</f>
        <v>33.670061322820843</v>
      </c>
      <c r="AB183" s="964"/>
      <c r="AC183" s="1152"/>
      <c r="AD183" s="1164"/>
      <c r="AE183" s="964"/>
      <c r="AF183" s="964"/>
      <c r="AG183" s="807">
        <f>360.831-AG180-AG181-AG182</f>
        <v>137.85400000000004</v>
      </c>
      <c r="AH183" s="802">
        <f>(AG183/AG176-1)*100</f>
        <v>14.439648015938932</v>
      </c>
      <c r="AI183" s="2063">
        <v>16</v>
      </c>
      <c r="AJ183" s="801">
        <f>AJ184-SUM(AJ180:AJ182)</f>
        <v>41.300999999999995</v>
      </c>
      <c r="AK183" s="671">
        <f>+AJ183/AG183*100</f>
        <v>29.959957636339883</v>
      </c>
      <c r="AL183" s="664"/>
      <c r="AM183" s="1289">
        <f>qtrSales!AN155</f>
        <v>77.52827520000001</v>
      </c>
      <c r="AN183" s="2075">
        <f>+(AM183/AM176-1)*100</f>
        <v>8.0000000000000071</v>
      </c>
      <c r="AO183" s="1098"/>
      <c r="AP183" s="705"/>
      <c r="AQ183" s="664"/>
      <c r="AR183" s="807">
        <f>54.154-AR180-AR181-AR182</f>
        <v>15.294000000000006</v>
      </c>
      <c r="AS183" s="802">
        <f>+(AR183/AR176-1)*100</f>
        <v>-30.45336728661723</v>
      </c>
      <c r="AT183" s="1264">
        <f>AT184-SUM(AT180:AT182)</f>
        <v>0.11400000000000032</v>
      </c>
      <c r="AU183" s="671">
        <f>+AT183/AR183*100</f>
        <v>0.74539034915653379</v>
      </c>
      <c r="AV183" s="664">
        <f>AW183-'qtrP&amp;L'!CH13</f>
        <v>0</v>
      </c>
      <c r="AW183" s="677">
        <f>AR183+AG183+Q183+E183+W183</f>
        <v>1101.2149999999999</v>
      </c>
      <c r="AX183" s="912"/>
      <c r="AY183" s="677"/>
      <c r="AZ183" s="804"/>
      <c r="BA183" s="912"/>
      <c r="BB183" s="664"/>
      <c r="BC183" s="677">
        <f>'qtrP&amp;L'!CH51</f>
        <v>284.58899999999994</v>
      </c>
      <c r="BD183" s="685"/>
      <c r="BE183" s="801">
        <f>BE184-SUM(BE180:BE182)</f>
        <v>-33.695999999999998</v>
      </c>
      <c r="BF183" s="677">
        <f>H183+T183+AJ183+AT183+BE183+Z183-0.86</f>
        <v>284.58899999999994</v>
      </c>
      <c r="BG183" s="1011"/>
      <c r="BH183" s="701"/>
      <c r="BI183" s="247"/>
      <c r="BJ183" s="806"/>
      <c r="BK183" s="806"/>
      <c r="BL183" s="806"/>
      <c r="BM183" s="806"/>
      <c r="BN183" s="247"/>
      <c r="BO183" s="1231">
        <f>E183/$AW183</f>
        <v>0.52406932342912138</v>
      </c>
      <c r="BP183" s="1231">
        <f>K183/AW183</f>
        <v>0</v>
      </c>
      <c r="BQ183" s="1231">
        <f>Q183/AW183</f>
        <v>0.17100566192796138</v>
      </c>
      <c r="BR183" s="1231">
        <f>W183/AW183</f>
        <v>0.16585317126991556</v>
      </c>
      <c r="BS183" s="1231"/>
      <c r="BT183" s="1231">
        <f>AG183/AW183</f>
        <v>0.12518354726370423</v>
      </c>
      <c r="BU183" s="1231">
        <f>BQ183</f>
        <v>0.17100566192796138</v>
      </c>
      <c r="BV183" s="658">
        <v>0</v>
      </c>
      <c r="BW183" s="1231">
        <f>AR183/AW183</f>
        <v>1.3888296109297465E-2</v>
      </c>
      <c r="BX183" s="247"/>
      <c r="BY183" s="247"/>
    </row>
    <row r="184" spans="1:77" hidden="1" outlineLevel="1">
      <c r="A184" s="658"/>
      <c r="B184" s="658"/>
      <c r="C184" s="658" t="str">
        <f>$C$18</f>
        <v>Year</v>
      </c>
      <c r="D184" s="658"/>
      <c r="E184" s="946">
        <f>+SUM(E180:E183)</f>
        <v>1574.5709999999999</v>
      </c>
      <c r="F184" s="802">
        <f>+(E184/E177-1)*100</f>
        <v>11.602761698270058</v>
      </c>
      <c r="G184" s="2063">
        <v>8</v>
      </c>
      <c r="H184" s="695">
        <v>340.33100000000002</v>
      </c>
      <c r="I184" s="671">
        <f>+H184/E184*100</f>
        <v>21.614204757994401</v>
      </c>
      <c r="J184" s="701"/>
      <c r="K184" s="1241"/>
      <c r="L184" s="798"/>
      <c r="M184" s="798"/>
      <c r="N184" s="798">
        <v>6</v>
      </c>
      <c r="O184" s="1103">
        <v>9</v>
      </c>
      <c r="P184" s="700"/>
      <c r="Q184" s="799">
        <f>SeqQtrSales!V361</f>
        <v>549.19699999999989</v>
      </c>
      <c r="R184" s="802">
        <f>(Q184/Q177-1)*100</f>
        <v>28.829967909621466</v>
      </c>
      <c r="S184" s="2063">
        <v>14</v>
      </c>
      <c r="T184" s="695">
        <v>133.44800000000001</v>
      </c>
      <c r="U184" s="671">
        <f>+T184/Q184*100</f>
        <v>24.298748900667707</v>
      </c>
      <c r="V184" s="700"/>
      <c r="W184" s="799">
        <f>+SUM(W180:W183)</f>
        <v>546.53700000000003</v>
      </c>
      <c r="X184" s="1302">
        <f>(W184/W177-1)*100</f>
        <v>6.5397113778268068</v>
      </c>
      <c r="Y184" s="2063">
        <v>-4</v>
      </c>
      <c r="Z184" s="695">
        <v>162.80000000000001</v>
      </c>
      <c r="AA184" s="671">
        <f>+Z184/W184*100</f>
        <v>29.787553267207894</v>
      </c>
      <c r="AB184" s="713"/>
      <c r="AC184" s="1739"/>
      <c r="AD184" s="1740"/>
      <c r="AE184" s="713"/>
      <c r="AF184" s="713"/>
      <c r="AG184" s="946">
        <f>SeqQtrSales!V455</f>
        <v>360.83100000000002</v>
      </c>
      <c r="AH184" s="802">
        <f>(AG184/AG177-1)*100</f>
        <v>17.795058125299956</v>
      </c>
      <c r="AI184" s="2063">
        <v>18</v>
      </c>
      <c r="AJ184" s="695">
        <v>88.308999999999997</v>
      </c>
      <c r="AK184" s="671">
        <f>+AJ184/AG184*100</f>
        <v>24.473784126086727</v>
      </c>
      <c r="AL184" s="700"/>
      <c r="AM184" s="799">
        <f>SUM(AM180:AM183)</f>
        <v>174.98020846500003</v>
      </c>
      <c r="AN184" s="2075">
        <f>+(AM184/AM177-1)*100</f>
        <v>8.2346786196520796</v>
      </c>
      <c r="AO184" s="667"/>
      <c r="AP184" s="705"/>
      <c r="AQ184" s="700"/>
      <c r="AR184" s="799">
        <f>+SUM(AR180:AR183)</f>
        <v>54.154000000000003</v>
      </c>
      <c r="AS184" s="802">
        <f>+(AR184/AR177-1)*100</f>
        <v>1.6919234597111865</v>
      </c>
      <c r="AT184" s="695">
        <v>3.3580000000000001</v>
      </c>
      <c r="AU184" s="671">
        <f>+AT184/AR184*100</f>
        <v>6.2008346567197252</v>
      </c>
      <c r="AV184" s="700"/>
      <c r="AW184" s="667">
        <f>AR184+AG184+Q184+E184+W184</f>
        <v>3085.29</v>
      </c>
      <c r="AX184" s="912"/>
      <c r="AY184" s="1021"/>
      <c r="AZ184" s="804"/>
      <c r="BA184" s="912"/>
      <c r="BB184" s="700"/>
      <c r="BC184" s="667">
        <f>'qtrP&amp;L'!CH52</f>
        <v>612.41600000000005</v>
      </c>
      <c r="BD184" s="701"/>
      <c r="BE184" s="691">
        <v>-115.83</v>
      </c>
      <c r="BF184" s="667">
        <f>H184+T184+AJ184+AT184+BE184+Z184</f>
        <v>612.41599999999994</v>
      </c>
      <c r="BG184" s="1011"/>
      <c r="BH184" s="701"/>
      <c r="BI184" s="658"/>
      <c r="BJ184" s="203"/>
      <c r="BK184" s="203"/>
      <c r="BL184" s="203"/>
      <c r="BM184" s="203"/>
      <c r="BN184" s="658"/>
      <c r="BO184" s="322">
        <f>E184/$AW184</f>
        <v>0.51034781171299937</v>
      </c>
      <c r="BP184" s="322">
        <f>K184/AW184</f>
        <v>0</v>
      </c>
      <c r="BQ184" s="322">
        <f>Q184/AW184</f>
        <v>0.17800498494468911</v>
      </c>
      <c r="BR184" s="1251">
        <f>W184/AW184</f>
        <v>0.17714282936125941</v>
      </c>
      <c r="BS184" s="322"/>
      <c r="BT184" s="322">
        <f>AG184/AW184</f>
        <v>0.11695205312952754</v>
      </c>
      <c r="BU184" s="1251">
        <f>BQ184</f>
        <v>0.17800498494468911</v>
      </c>
      <c r="BV184" s="658">
        <v>0</v>
      </c>
      <c r="BW184" s="322">
        <f>AR184/AW184</f>
        <v>1.7552320851524493E-2</v>
      </c>
      <c r="BX184" s="1496">
        <f>+K184/K177-1</f>
        <v>-1</v>
      </c>
      <c r="BY184" s="1496">
        <f>+(AW184-K184)/(AW177-K177)-1</f>
        <v>0.98437282088427813</v>
      </c>
    </row>
    <row r="185" spans="1:77" hidden="1" outlineLevel="1">
      <c r="A185" s="658"/>
      <c r="B185" s="658"/>
      <c r="C185" s="658"/>
      <c r="D185" s="658"/>
      <c r="E185" s="946"/>
      <c r="F185" s="802"/>
      <c r="G185" s="2068"/>
      <c r="H185" s="667"/>
      <c r="I185" s="671"/>
      <c r="J185" s="1738"/>
      <c r="K185" s="1485"/>
      <c r="L185" s="798"/>
      <c r="M185" s="798"/>
      <c r="N185" s="798"/>
      <c r="O185" s="1103"/>
      <c r="P185" s="700"/>
      <c r="Q185" s="799"/>
      <c r="R185" s="802"/>
      <c r="S185" s="2068"/>
      <c r="T185" s="667"/>
      <c r="U185" s="671"/>
      <c r="V185" s="700"/>
      <c r="W185" s="799"/>
      <c r="X185" s="1302"/>
      <c r="Y185" s="2068"/>
      <c r="Z185" s="667"/>
      <c r="AA185" s="671"/>
      <c r="AB185" s="700"/>
      <c r="AC185" s="1106"/>
      <c r="AD185" s="1109"/>
      <c r="AE185" s="713"/>
      <c r="AF185" s="700"/>
      <c r="AG185" s="946"/>
      <c r="AH185" s="802"/>
      <c r="AI185" s="2068"/>
      <c r="AJ185" s="667"/>
      <c r="AK185" s="671"/>
      <c r="AL185" s="700"/>
      <c r="AM185" s="799"/>
      <c r="AN185" s="2075"/>
      <c r="AO185" s="667"/>
      <c r="AP185" s="705"/>
      <c r="AQ185" s="700"/>
      <c r="AR185" s="799"/>
      <c r="AS185" s="802"/>
      <c r="AT185" s="667"/>
      <c r="AU185" s="671"/>
      <c r="AV185" s="700"/>
      <c r="AW185" s="667"/>
      <c r="AX185" s="912"/>
      <c r="AY185" s="1021"/>
      <c r="AZ185" s="804"/>
      <c r="BA185" s="912"/>
      <c r="BB185" s="700"/>
      <c r="BC185" s="667"/>
      <c r="BD185" s="701"/>
      <c r="BE185" s="1263"/>
      <c r="BF185" s="667"/>
      <c r="BG185" s="1011"/>
      <c r="BH185" s="701"/>
      <c r="BI185" s="658"/>
      <c r="BJ185" s="203"/>
      <c r="BK185" s="203"/>
      <c r="BL185" s="203"/>
      <c r="BM185" s="203"/>
      <c r="BN185" s="658"/>
      <c r="BO185" s="322">
        <f>+BO184/0.98</f>
        <v>0.52076307317652992</v>
      </c>
      <c r="BP185" s="322"/>
      <c r="BQ185" s="322">
        <f>+BQ184/0.98</f>
        <v>0.18163773973947869</v>
      </c>
      <c r="BR185" s="322">
        <f>+BR184/0.98</f>
        <v>0.18075798914414226</v>
      </c>
      <c r="BS185" s="322"/>
      <c r="BT185" s="322">
        <f>+BT184/0.98</f>
        <v>0.11933882972400769</v>
      </c>
      <c r="BU185" s="1251"/>
      <c r="BV185" s="658"/>
      <c r="BW185" s="322"/>
      <c r="BX185" s="658"/>
      <c r="BY185" s="658"/>
    </row>
    <row r="186" spans="1:77" hidden="1" outlineLevel="1">
      <c r="A186" s="247"/>
      <c r="B186" s="2507">
        <f>+B179+1</f>
        <v>2011</v>
      </c>
      <c r="C186" s="2507"/>
      <c r="D186" s="247"/>
      <c r="E186" s="1230"/>
      <c r="F186" s="893"/>
      <c r="G186" s="2064"/>
      <c r="H186" s="658"/>
      <c r="I186" s="895"/>
      <c r="J186" s="709"/>
      <c r="K186" s="1102"/>
      <c r="L186" s="798"/>
      <c r="M186" s="709"/>
      <c r="N186" s="893"/>
      <c r="O186" s="1103"/>
      <c r="P186" s="643"/>
      <c r="Q186" s="1230"/>
      <c r="R186" s="893"/>
      <c r="S186" s="2064"/>
      <c r="T186" s="658"/>
      <c r="U186" s="895"/>
      <c r="V186" s="643"/>
      <c r="W186" s="1230"/>
      <c r="X186" s="893"/>
      <c r="Y186" s="2064"/>
      <c r="Z186" s="658"/>
      <c r="AA186" s="895"/>
      <c r="AB186" s="643"/>
      <c r="AC186" s="1277"/>
      <c r="AD186" s="1108"/>
      <c r="AE186" s="643"/>
      <c r="AF186" s="643"/>
      <c r="AG186" s="1230"/>
      <c r="AH186" s="893"/>
      <c r="AI186" s="2064"/>
      <c r="AJ186" s="658"/>
      <c r="AK186" s="895"/>
      <c r="AL186" s="643"/>
      <c r="AM186" s="1230"/>
      <c r="AN186" s="2077"/>
      <c r="AO186" s="658"/>
      <c r="AP186" s="1119"/>
      <c r="AQ186" s="643"/>
      <c r="AR186" s="1230"/>
      <c r="AS186" s="893"/>
      <c r="AT186" s="658"/>
      <c r="AU186" s="895"/>
      <c r="AV186" s="643"/>
      <c r="AW186" s="658"/>
      <c r="AX186" s="658"/>
      <c r="AY186" s="658"/>
      <c r="AZ186" s="659"/>
      <c r="BA186" s="256"/>
      <c r="BB186" s="256"/>
      <c r="BC186" s="658"/>
      <c r="BD186" s="658"/>
      <c r="BE186" s="658"/>
      <c r="BF186" s="658"/>
      <c r="BG186" s="1011"/>
      <c r="BH186" s="247"/>
      <c r="BI186" s="247"/>
      <c r="BJ186" s="247"/>
      <c r="BK186" s="247"/>
      <c r="BL186" s="247"/>
      <c r="BM186" s="247"/>
      <c r="BN186" s="247"/>
      <c r="BO186" s="1251"/>
      <c r="BP186" s="1251"/>
      <c r="BQ186" s="1251"/>
      <c r="BR186" s="1251"/>
      <c r="BS186" s="1251"/>
      <c r="BT186" s="1251"/>
      <c r="BU186" s="1251"/>
      <c r="BV186" s="658">
        <v>0</v>
      </c>
      <c r="BW186" s="1251"/>
      <c r="BX186" s="247"/>
      <c r="BY186" s="247"/>
    </row>
    <row r="187" spans="1:77" hidden="1" outlineLevel="1">
      <c r="A187" s="247"/>
      <c r="B187" s="247" t="str">
        <f>$B$14</f>
        <v>1Q</v>
      </c>
      <c r="C187" s="247" t="str">
        <f>$C$14</f>
        <v>Apr</v>
      </c>
      <c r="D187" s="247"/>
      <c r="E187" s="724">
        <v>374.7</v>
      </c>
      <c r="F187" s="802">
        <f>+(E187/E180-1)*100</f>
        <v>18.855033020573629</v>
      </c>
      <c r="G187" s="2063">
        <v>17</v>
      </c>
      <c r="H187" s="695">
        <v>74.412999999999997</v>
      </c>
      <c r="I187" s="671">
        <f>+H187/E187*100</f>
        <v>19.859354149986654</v>
      </c>
      <c r="J187" s="705"/>
      <c r="K187" s="1146"/>
      <c r="L187" s="798"/>
      <c r="M187" s="798"/>
      <c r="N187" s="798">
        <v>23</v>
      </c>
      <c r="O187" s="1103">
        <v>15</v>
      </c>
      <c r="P187" s="664"/>
      <c r="Q187" s="724">
        <v>167.2</v>
      </c>
      <c r="R187" s="802">
        <f>(Q187/Q180-1)*100</f>
        <v>36.672770075856654</v>
      </c>
      <c r="S187" s="2063">
        <v>26</v>
      </c>
      <c r="T187" s="695">
        <v>48.634</v>
      </c>
      <c r="U187" s="671">
        <f>+T187/Q187*100</f>
        <v>29.087320574162685</v>
      </c>
      <c r="V187" s="664"/>
      <c r="W187" s="724">
        <v>123.4</v>
      </c>
      <c r="X187" s="802">
        <f>(W187/W180-1)*100</f>
        <v>7.2586463159175718</v>
      </c>
      <c r="Y187" s="2063">
        <v>-3</v>
      </c>
      <c r="Z187" s="695">
        <v>31.690999999999999</v>
      </c>
      <c r="AA187" s="671">
        <f>+Z187/W187*100</f>
        <v>25.681523500810371</v>
      </c>
      <c r="AB187" s="723"/>
      <c r="AC187" s="1104"/>
      <c r="AD187" s="1163"/>
      <c r="AE187" s="964"/>
      <c r="AF187" s="964"/>
      <c r="AG187" s="724">
        <v>85.6</v>
      </c>
      <c r="AH187" s="802">
        <f>(AG187/AG180-1)*100</f>
        <v>24.730430727982757</v>
      </c>
      <c r="AI187" s="2063">
        <v>15</v>
      </c>
      <c r="AJ187" s="695">
        <v>19.768000000000001</v>
      </c>
      <c r="AK187" s="671">
        <f>+AJ187/AG187*100</f>
        <v>23.093457943925237</v>
      </c>
      <c r="AL187" s="664"/>
      <c r="AM187" s="1287">
        <f>qtrSales!AN159</f>
        <v>39.138258000960001</v>
      </c>
      <c r="AN187" s="2075">
        <f>+(AM187/AM180-1)*100</f>
        <v>14.000000000000012</v>
      </c>
      <c r="AO187" s="667"/>
      <c r="AP187" s="705"/>
      <c r="AQ187" s="664"/>
      <c r="AR187" s="724">
        <v>10.1</v>
      </c>
      <c r="AS187" s="802">
        <f>+(AR187/AR180-1)*100</f>
        <v>-17.98619569630532</v>
      </c>
      <c r="AT187" s="695">
        <v>0.17799999999999999</v>
      </c>
      <c r="AU187" s="671">
        <f>+AT187/AR187*100</f>
        <v>1.7623762376237622</v>
      </c>
      <c r="AV187" s="664"/>
      <c r="AW187" s="1168">
        <f>AR187+AG187+Q187+E187+W187</f>
        <v>760.99999999999989</v>
      </c>
      <c r="AX187" s="912"/>
      <c r="AY187" s="1036"/>
      <c r="AZ187" s="804"/>
      <c r="BA187" s="912"/>
      <c r="BB187" s="664"/>
      <c r="BC187" s="1168">
        <f>+'qtrP&amp;L'!CL48</f>
        <v>144.18700000000007</v>
      </c>
      <c r="BD187" s="672"/>
      <c r="BE187" s="695">
        <f>-30.497-8.221</f>
        <v>-38.718000000000004</v>
      </c>
      <c r="BF187" s="1168">
        <f>H187+T187+AJ187+AT187+BE187+Z187+8.221</f>
        <v>144.18699999999998</v>
      </c>
      <c r="BG187" s="1011"/>
      <c r="BH187" s="672"/>
      <c r="BI187" s="247"/>
      <c r="BJ187" s="806"/>
      <c r="BK187" s="806"/>
      <c r="BL187" s="806"/>
      <c r="BM187" s="806"/>
      <c r="BN187" s="247"/>
      <c r="BO187" s="1251">
        <f>E187/$AW187</f>
        <v>0.49237844940867287</v>
      </c>
      <c r="BP187" s="1251">
        <f>K187/AW187</f>
        <v>0</v>
      </c>
      <c r="BQ187" s="1251">
        <f>Q187/AW187</f>
        <v>0.21971090670170829</v>
      </c>
      <c r="BR187" s="1251">
        <f>W187/AW187</f>
        <v>0.16215505913272013</v>
      </c>
      <c r="BS187" s="1251"/>
      <c r="BT187" s="1251">
        <f>AG187/AW187</f>
        <v>0.11248357424441525</v>
      </c>
      <c r="BU187" s="1251">
        <f>BQ187</f>
        <v>0.21971090670170829</v>
      </c>
      <c r="BV187" s="658">
        <v>0</v>
      </c>
      <c r="BW187" s="1252">
        <f>AR187/AW187</f>
        <v>1.3272010512483575E-2</v>
      </c>
      <c r="BX187" s="247"/>
      <c r="BY187" s="247"/>
    </row>
    <row r="188" spans="1:77" hidden="1" outlineLevel="1">
      <c r="A188" s="247"/>
      <c r="B188" s="247" t="str">
        <f>$B$15</f>
        <v>2Q</v>
      </c>
      <c r="C188" s="247" t="str">
        <f>$C$15</f>
        <v>Jul</v>
      </c>
      <c r="D188" s="247"/>
      <c r="E188" s="805">
        <v>438.22300000000001</v>
      </c>
      <c r="F188" s="802">
        <f>+(E188/E181-1)*100</f>
        <v>25.051864407747004</v>
      </c>
      <c r="G188" s="2063">
        <v>23</v>
      </c>
      <c r="H188" s="691">
        <v>94.683000000000007</v>
      </c>
      <c r="I188" s="671">
        <f>+H188/E188*100</f>
        <v>21.606122910025263</v>
      </c>
      <c r="J188" s="705"/>
      <c r="K188" s="1146"/>
      <c r="L188" s="798"/>
      <c r="M188" s="1162"/>
      <c r="N188" s="798">
        <v>41</v>
      </c>
      <c r="O188" s="1103">
        <v>19</v>
      </c>
      <c r="P188" s="664"/>
      <c r="Q188" s="805">
        <v>173.24100000000001</v>
      </c>
      <c r="R188" s="802">
        <f>(Q188/Q181-1)*100</f>
        <v>55.387030226926193</v>
      </c>
      <c r="S188" s="2063">
        <v>41</v>
      </c>
      <c r="T188" s="691">
        <v>46.706000000000003</v>
      </c>
      <c r="U188" s="671">
        <f>+T188/Q188*100</f>
        <v>26.960130684999513</v>
      </c>
      <c r="V188" s="664"/>
      <c r="W188" s="805">
        <v>142.50200000000001</v>
      </c>
      <c r="X188" s="802">
        <f>(W188/W181-1)*100</f>
        <v>20.732688869873162</v>
      </c>
      <c r="Y188" s="2063">
        <v>8</v>
      </c>
      <c r="Z188" s="691">
        <v>41.116</v>
      </c>
      <c r="AA188" s="671">
        <f>+Z188/W188*100</f>
        <v>28.852928379952559</v>
      </c>
      <c r="AB188" s="964"/>
      <c r="AC188" s="1104"/>
      <c r="AD188" s="1163"/>
      <c r="AE188" s="964"/>
      <c r="AF188" s="964"/>
      <c r="AG188" s="805">
        <v>101.349</v>
      </c>
      <c r="AH188" s="802">
        <f>(AG188/AG181-1)*100</f>
        <v>31.805235847216263</v>
      </c>
      <c r="AI188" s="2063">
        <v>11</v>
      </c>
      <c r="AJ188" s="691">
        <v>24.181999999999999</v>
      </c>
      <c r="AK188" s="671">
        <f>+AJ188/AG188*100</f>
        <v>23.86012688827714</v>
      </c>
      <c r="AL188" s="664"/>
      <c r="AM188" s="1288">
        <f>qtrSales!AN160</f>
        <v>37.140331522560011</v>
      </c>
      <c r="AN188" s="2075">
        <f>+(AM188/AM181-1)*100</f>
        <v>7.0000000000000062</v>
      </c>
      <c r="AO188" s="673"/>
      <c r="AP188" s="705"/>
      <c r="AQ188" s="664"/>
      <c r="AR188" s="805">
        <v>17.396999999999998</v>
      </c>
      <c r="AS188" s="802">
        <f>+(AR188/AR181-1)*100</f>
        <v>46.033744648703092</v>
      </c>
      <c r="AT188" s="1260">
        <v>1.4339999999999999</v>
      </c>
      <c r="AU188" s="671">
        <f>+AT188/AR188*100</f>
        <v>8.2428004828418686</v>
      </c>
      <c r="AV188" s="664"/>
      <c r="AW188" s="673">
        <f>AR188+AG188+Q188+E188+W188</f>
        <v>872.71199999999999</v>
      </c>
      <c r="AX188" s="912"/>
      <c r="AY188" s="673"/>
      <c r="AZ188" s="804"/>
      <c r="BA188" s="912"/>
      <c r="BB188" s="664"/>
      <c r="BC188" s="903">
        <f>+'qtrP&amp;L'!CL49</f>
        <v>175.03700000000003</v>
      </c>
      <c r="BD188" s="672"/>
      <c r="BE188" s="1260">
        <v>-33.084000000000003</v>
      </c>
      <c r="BF188" s="673">
        <f>H188+T188+AJ188+AT188+BE188+Z188</f>
        <v>175.03699999999998</v>
      </c>
      <c r="BG188" s="1011"/>
      <c r="BH188" s="672"/>
      <c r="BI188" s="247"/>
      <c r="BJ188" s="806"/>
      <c r="BK188" s="806"/>
      <c r="BL188" s="806"/>
      <c r="BM188" s="806"/>
      <c r="BN188" s="247"/>
      <c r="BO188" s="1251">
        <f>E188/$AW188</f>
        <v>0.5021393082712281</v>
      </c>
      <c r="BP188" s="1251">
        <f>K188/AW188</f>
        <v>0</v>
      </c>
      <c r="BQ188" s="1251">
        <f>Q188/AW188</f>
        <v>0.19850878640376207</v>
      </c>
      <c r="BR188" s="1251">
        <f>W188/AW188</f>
        <v>0.16328639917865231</v>
      </c>
      <c r="BS188" s="1251"/>
      <c r="BT188" s="1251">
        <f>AG188/AW188</f>
        <v>0.11613109479415891</v>
      </c>
      <c r="BU188" s="1251">
        <f>BQ188</f>
        <v>0.19850878640376207</v>
      </c>
      <c r="BV188" s="658">
        <v>0</v>
      </c>
      <c r="BW188" s="1251">
        <f>AR188/AW188</f>
        <v>1.9934411352198662E-2</v>
      </c>
      <c r="BX188" s="247"/>
      <c r="BY188" s="247"/>
    </row>
    <row r="189" spans="1:77" hidden="1" outlineLevel="1">
      <c r="A189" s="247"/>
      <c r="B189" s="247" t="str">
        <f>$B$16</f>
        <v>3Q</v>
      </c>
      <c r="C189" s="247" t="str">
        <f>$C$16</f>
        <v>Oct</v>
      </c>
      <c r="D189" s="247"/>
      <c r="E189" s="805">
        <v>387.71300000000002</v>
      </c>
      <c r="F189" s="802">
        <f>+(E189/E182-1)*100</f>
        <v>16.863039422245141</v>
      </c>
      <c r="G189" s="2063">
        <v>15</v>
      </c>
      <c r="H189" s="691">
        <v>64.715999999999994</v>
      </c>
      <c r="I189" s="671">
        <f>+H189/E189*100</f>
        <v>16.691728159747026</v>
      </c>
      <c r="J189" s="705"/>
      <c r="K189" s="1241"/>
      <c r="L189" s="798"/>
      <c r="M189" s="1162"/>
      <c r="N189" s="798">
        <v>24</v>
      </c>
      <c r="O189" s="1103">
        <v>13</v>
      </c>
      <c r="P189" s="664"/>
      <c r="Q189" s="805">
        <v>183.22</v>
      </c>
      <c r="R189" s="802">
        <f>(Q189/Q182-1)*100</f>
        <v>44.202995505954014</v>
      </c>
      <c r="S189" s="2063">
        <v>36</v>
      </c>
      <c r="T189" s="691">
        <v>50.469000000000001</v>
      </c>
      <c r="U189" s="671">
        <f>+T189/Q189*100</f>
        <v>27.545573627333265</v>
      </c>
      <c r="V189" s="664"/>
      <c r="W189" s="805">
        <v>146.43700000000001</v>
      </c>
      <c r="X189" s="802">
        <f>(W189/W182-1)*100</f>
        <v>11.94034414487415</v>
      </c>
      <c r="Y189" s="2063">
        <v>4</v>
      </c>
      <c r="Z189" s="691">
        <v>43.137</v>
      </c>
      <c r="AA189" s="671">
        <f>+Z189/W189*100</f>
        <v>29.457719019100363</v>
      </c>
      <c r="AB189" s="723"/>
      <c r="AC189" s="1104"/>
      <c r="AD189" s="1163"/>
      <c r="AE189" s="964"/>
      <c r="AF189" s="964"/>
      <c r="AG189" s="805">
        <v>92.528000000000006</v>
      </c>
      <c r="AH189" s="802">
        <f>(AG189/AG182-1)*100</f>
        <v>19.458789506300356</v>
      </c>
      <c r="AI189" s="2063">
        <v>6</v>
      </c>
      <c r="AJ189" s="691">
        <v>19.285</v>
      </c>
      <c r="AK189" s="671">
        <f>+AJ189/AG189*100</f>
        <v>20.842339616116202</v>
      </c>
      <c r="AL189" s="664"/>
      <c r="AM189" s="1288">
        <f>qtrSales!AN161</f>
        <v>31.534586950230004</v>
      </c>
      <c r="AN189" s="2075">
        <f>+(AM189/AM182-1)*100</f>
        <v>11.000000000000011</v>
      </c>
      <c r="AO189" s="673"/>
      <c r="AP189" s="705"/>
      <c r="AQ189" s="664"/>
      <c r="AR189" s="805">
        <v>11.869</v>
      </c>
      <c r="AS189" s="802">
        <f>+(AR189/AR182-1)*100</f>
        <v>-18.883269546200111</v>
      </c>
      <c r="AT189" s="1260">
        <v>-1.986</v>
      </c>
      <c r="AU189" s="671">
        <f>+AT189/AR189*100</f>
        <v>-16.732664925436012</v>
      </c>
      <c r="AV189" s="664"/>
      <c r="AW189" s="673">
        <f>AR189+AG189+Q189+E189+W189</f>
        <v>821.76700000000005</v>
      </c>
      <c r="AX189" s="912"/>
      <c r="AY189" s="673"/>
      <c r="AZ189" s="804"/>
      <c r="BA189" s="912"/>
      <c r="BB189" s="664"/>
      <c r="BC189" s="903">
        <f>+'qtrP&amp;L'!CL50</f>
        <v>146.17700000000002</v>
      </c>
      <c r="BD189" s="672"/>
      <c r="BE189" s="1260">
        <v>-29.443999999999999</v>
      </c>
      <c r="BF189" s="673">
        <f>H189+T189+AJ189+AT189+BE189+Z189</f>
        <v>146.17700000000002</v>
      </c>
      <c r="BG189" s="1011"/>
      <c r="BH189" s="672"/>
      <c r="BI189" s="247"/>
      <c r="BJ189" s="806"/>
      <c r="BK189" s="806"/>
      <c r="BL189" s="806"/>
      <c r="BM189" s="806"/>
      <c r="BN189" s="247"/>
      <c r="BO189" s="1251">
        <f>E189/$AW189</f>
        <v>0.47180405151338517</v>
      </c>
      <c r="BP189" s="1251">
        <f>K189/AW189</f>
        <v>0</v>
      </c>
      <c r="BQ189" s="1251">
        <f>Q189/AW189</f>
        <v>0.22295857584935874</v>
      </c>
      <c r="BR189" s="1251">
        <f>W189/AW189</f>
        <v>0.17819771297703607</v>
      </c>
      <c r="BS189" s="1251"/>
      <c r="BT189" s="1251">
        <f>AG189/AW189</f>
        <v>0.11259639289482298</v>
      </c>
      <c r="BU189" s="1251">
        <f>BQ189</f>
        <v>0.22295857584935874</v>
      </c>
      <c r="BV189" s="658">
        <v>0</v>
      </c>
      <c r="BW189" s="1251">
        <f>AR189/AW189</f>
        <v>1.4443266765397002E-2</v>
      </c>
      <c r="BX189" s="247"/>
      <c r="BY189" s="247"/>
    </row>
    <row r="190" spans="1:77" hidden="1" outlineLevel="1">
      <c r="A190" s="247"/>
      <c r="B190" s="247" t="str">
        <f>$B$17</f>
        <v>4Q</v>
      </c>
      <c r="C190" s="247" t="str">
        <f>$C$17</f>
        <v>Jan</v>
      </c>
      <c r="D190" s="247"/>
      <c r="E190" s="807">
        <f>1805.783-E189-E188-E187</f>
        <v>605.14699999999993</v>
      </c>
      <c r="F190" s="802">
        <f>+(E190/E183-1)*100</f>
        <v>4.8576275356819298</v>
      </c>
      <c r="G190" s="2063">
        <v>3</v>
      </c>
      <c r="H190" s="801">
        <f>H191-SUM(H187:H189)</f>
        <v>154.13900000000001</v>
      </c>
      <c r="I190" s="671">
        <f>+H190/E190*100</f>
        <v>25.471331759060199</v>
      </c>
      <c r="J190" s="705"/>
      <c r="K190" s="1242"/>
      <c r="L190" s="798"/>
      <c r="M190" s="1162"/>
      <c r="N190" s="798">
        <v>2</v>
      </c>
      <c r="O190" s="1103">
        <v>3</v>
      </c>
      <c r="P190" s="664"/>
      <c r="Q190" s="807">
        <f>748.214-Q189-Q188-Q187</f>
        <v>224.55300000000005</v>
      </c>
      <c r="R190" s="802">
        <f>(Q190/Q183-1)*100</f>
        <v>19.24392238495285</v>
      </c>
      <c r="S190" s="2063">
        <v>13</v>
      </c>
      <c r="T190" s="801">
        <f>T191-SUM(T187:T189)</f>
        <v>59.902000000000015</v>
      </c>
      <c r="U190" s="671">
        <f>+T190/Q190*100</f>
        <v>26.676107644965775</v>
      </c>
      <c r="V190" s="664"/>
      <c r="W190" s="807">
        <f>616.505-W189-W188-W187</f>
        <v>204.16599999999997</v>
      </c>
      <c r="X190" s="802">
        <f>(W190/W183-1)*100</f>
        <v>11.78602715724919</v>
      </c>
      <c r="Y190" s="2063">
        <v>4</v>
      </c>
      <c r="Z190" s="801">
        <f>Z191-SUM(Z187:Z189)</f>
        <v>68.822999999999993</v>
      </c>
      <c r="AA190" s="671">
        <f>+Z190/W190*100</f>
        <v>33.709334561092447</v>
      </c>
      <c r="AB190" s="964"/>
      <c r="AC190" s="1152"/>
      <c r="AD190" s="1164"/>
      <c r="AE190" s="964"/>
      <c r="AF190" s="964"/>
      <c r="AG190" s="807">
        <f>421.141-AG189-AG188-AG187</f>
        <v>141.66400000000002</v>
      </c>
      <c r="AH190" s="802">
        <f>(AG190/AG183-1)*100</f>
        <v>2.7637935787137025</v>
      </c>
      <c r="AI190" s="2063">
        <v>-2</v>
      </c>
      <c r="AJ190" s="801">
        <f>AJ191-SUM(AJ187:AJ189)</f>
        <v>42.492999999999995</v>
      </c>
      <c r="AK190" s="671">
        <f>+AJ190/AG190*100</f>
        <v>29.995623447029583</v>
      </c>
      <c r="AL190" s="664"/>
      <c r="AM190" s="1289">
        <f>qtrSales!AN162</f>
        <v>74.427144192</v>
      </c>
      <c r="AN190" s="2075">
        <f>+(AM190/AM183-1)*100</f>
        <v>-4.0000000000000142</v>
      </c>
      <c r="AO190" s="1098"/>
      <c r="AP190" s="705"/>
      <c r="AQ190" s="664"/>
      <c r="AR190" s="1154">
        <f>51.294-AR189-AR188-AR187</f>
        <v>11.927999999999999</v>
      </c>
      <c r="AS190" s="802">
        <f>+(AR190/AR183-1)*100</f>
        <v>-22.008630835621844</v>
      </c>
      <c r="AT190" s="1617">
        <f>AT191-SUM(AT187:AT189)</f>
        <v>-4.8729999999999993</v>
      </c>
      <c r="AU190" s="671">
        <f>+AT190/AR190*100</f>
        <v>-40.853454057679407</v>
      </c>
      <c r="AV190" s="664"/>
      <c r="AW190" s="677">
        <f>'qtrP&amp;L'!CL13</f>
        <v>1187.44</v>
      </c>
      <c r="AX190" s="912"/>
      <c r="AY190" s="677"/>
      <c r="AZ190" s="804"/>
      <c r="BA190" s="912"/>
      <c r="BB190" s="664"/>
      <c r="BC190" s="677">
        <f>+'qtrP&amp;L'!CL51</f>
        <v>285.74300000000005</v>
      </c>
      <c r="BD190" s="685"/>
      <c r="BE190" s="1262">
        <v>-37</v>
      </c>
      <c r="BF190" s="677">
        <f>H190+T190+AJ190+AT190+BE190+Z190</f>
        <v>283.48399999999998</v>
      </c>
      <c r="BG190" s="1011"/>
      <c r="BH190" s="672"/>
      <c r="BI190" s="247"/>
      <c r="BJ190" s="806"/>
      <c r="BK190" s="806"/>
      <c r="BL190" s="806"/>
      <c r="BM190" s="806"/>
      <c r="BN190" s="247"/>
      <c r="BO190" s="1231">
        <f>E190/$AW190</f>
        <v>0.50962322306811281</v>
      </c>
      <c r="BP190" s="1231">
        <f>K190/AW190</f>
        <v>0</v>
      </c>
      <c r="BQ190" s="1231">
        <f>Q190/AW190</f>
        <v>0.18910681802870044</v>
      </c>
      <c r="BR190" s="1231">
        <f>W190/AW190</f>
        <v>0.17193795054908034</v>
      </c>
      <c r="BS190" s="1231"/>
      <c r="BT190" s="1231">
        <f>AG190/AW190</f>
        <v>0.1193020278919356</v>
      </c>
      <c r="BU190" s="1231">
        <f>BQ190</f>
        <v>0.18910681802870044</v>
      </c>
      <c r="BV190" s="658">
        <v>0</v>
      </c>
      <c r="BW190" s="1231">
        <f>AR190/AW190</f>
        <v>1.0045139122818837E-2</v>
      </c>
      <c r="BX190" s="247"/>
      <c r="BY190" s="247"/>
    </row>
    <row r="191" spans="1:77" hidden="1" outlineLevel="1">
      <c r="A191" s="658"/>
      <c r="B191" s="658"/>
      <c r="C191" s="658" t="str">
        <f>$C$18</f>
        <v>Year</v>
      </c>
      <c r="D191" s="658"/>
      <c r="E191" s="946">
        <f>+SUM(E187:E190)</f>
        <v>1805.7829999999999</v>
      </c>
      <c r="F191" s="802">
        <f>+(E191/E184-1)*100</f>
        <v>14.684126660531671</v>
      </c>
      <c r="G191" s="2068">
        <f>SeqQtrSales!H181</f>
        <v>12.782649369256768</v>
      </c>
      <c r="H191" s="695">
        <v>387.95100000000002</v>
      </c>
      <c r="I191" s="671">
        <f>+H191/E191*100</f>
        <v>21.483810623978631</v>
      </c>
      <c r="J191" s="701"/>
      <c r="K191" s="1241"/>
      <c r="L191" s="798"/>
      <c r="M191" s="798"/>
      <c r="N191" s="798"/>
      <c r="O191" s="1103"/>
      <c r="P191" s="700"/>
      <c r="Q191" s="799">
        <f>SeqQtrSales!V368</f>
        <v>748.21400000000017</v>
      </c>
      <c r="R191" s="802">
        <f>(Q191/Q184-1)*100</f>
        <v>36.237816302711103</v>
      </c>
      <c r="S191" s="2068">
        <f>SeqQtrSales!H368</f>
        <v>26.901020945125339</v>
      </c>
      <c r="T191" s="695">
        <v>205.71100000000001</v>
      </c>
      <c r="U191" s="671">
        <f>+T191/Q191*100</f>
        <v>27.493604770827595</v>
      </c>
      <c r="V191" s="700"/>
      <c r="W191" s="799">
        <f>+SUM(W187:W190)</f>
        <v>616.505</v>
      </c>
      <c r="X191" s="1302">
        <f>(W191/W184-1)*100</f>
        <v>12.802060976658481</v>
      </c>
      <c r="Y191" s="2068">
        <f>Y187*Q187/Q191+Y188*Q188/Q191+Y189*Q189/Q191+Y190*Q190/Q191</f>
        <v>3.3618991358087391</v>
      </c>
      <c r="Z191" s="695">
        <v>184.767</v>
      </c>
      <c r="AA191" s="671">
        <f>+Z191/W191*100</f>
        <v>29.970073235415772</v>
      </c>
      <c r="AB191" s="713"/>
      <c r="AC191" s="1739"/>
      <c r="AD191" s="1740"/>
      <c r="AE191" s="713"/>
      <c r="AF191" s="713"/>
      <c r="AG191" s="946">
        <f>SeqQtrSales!V462</f>
        <v>421.14100000000008</v>
      </c>
      <c r="AH191" s="802">
        <f>(AG191/AG184-1)*100</f>
        <v>16.71419584237497</v>
      </c>
      <c r="AI191" s="2068">
        <f>AI187*AG187/AG191+AI188*AG188/AG191+AI189*AG189/AG191+AI190*AG190/AG191</f>
        <v>6.3415316960352941</v>
      </c>
      <c r="AJ191" s="695">
        <v>105.72799999999999</v>
      </c>
      <c r="AK191" s="671">
        <f>+AJ191/AG191*100</f>
        <v>25.105131060618646</v>
      </c>
      <c r="AL191" s="700"/>
      <c r="AM191" s="799">
        <f>SUM(AM187:AM190)</f>
        <v>182.24032066575</v>
      </c>
      <c r="AN191" s="2075">
        <f>+(AM191/AM184-1)*100</f>
        <v>4.1491047841574424</v>
      </c>
      <c r="AO191" s="667"/>
      <c r="AP191" s="705"/>
      <c r="AQ191" s="700"/>
      <c r="AR191" s="799">
        <f>+SUM(AR187:AR190)</f>
        <v>51.293999999999997</v>
      </c>
      <c r="AS191" s="802">
        <f>+(AR191/AR184-1)*100</f>
        <v>-5.2812349964915022</v>
      </c>
      <c r="AT191" s="695">
        <v>-5.2469999999999999</v>
      </c>
      <c r="AU191" s="671">
        <f>+AT191/AR191*100</f>
        <v>-10.229266580886653</v>
      </c>
      <c r="AV191" s="700"/>
      <c r="AW191" s="667">
        <f>AR191+AG191+Q191+E191+W191</f>
        <v>3642.9370000000004</v>
      </c>
      <c r="AX191" s="912"/>
      <c r="AY191" s="1021"/>
      <c r="AZ191" s="804"/>
      <c r="BA191" s="912"/>
      <c r="BB191" s="700"/>
      <c r="BC191" s="667">
        <f>+'qtrP&amp;L'!CL52</f>
        <v>751.14400000000023</v>
      </c>
      <c r="BD191" s="701"/>
      <c r="BE191" s="1263">
        <f>SUM(BE187:BE190)</f>
        <v>-138.24600000000001</v>
      </c>
      <c r="BF191" s="667">
        <f>H191+T191+AJ191+AT191+BE191</f>
        <v>555.89700000000005</v>
      </c>
      <c r="BG191" s="1011"/>
      <c r="BH191" s="701"/>
      <c r="BI191" s="658"/>
      <c r="BJ191" s="203"/>
      <c r="BK191" s="203"/>
      <c r="BL191" s="203"/>
      <c r="BM191" s="203"/>
      <c r="BN191" s="658"/>
      <c r="BO191" s="322">
        <f>E191/$AW191</f>
        <v>0.49569427085892503</v>
      </c>
      <c r="BP191" s="322">
        <f>K191/AW191</f>
        <v>0</v>
      </c>
      <c r="BQ191" s="322">
        <f>Q191/AW191</f>
        <v>0.20538757601352978</v>
      </c>
      <c r="BR191" s="1251">
        <f>W191/AW191</f>
        <v>0.16923295681478981</v>
      </c>
      <c r="BS191" s="322"/>
      <c r="BT191" s="322">
        <f>AG191/AW191</f>
        <v>0.11560479909479632</v>
      </c>
      <c r="BU191" s="1251">
        <f>BQ191</f>
        <v>0.20538757601352978</v>
      </c>
      <c r="BV191" s="658">
        <v>0</v>
      </c>
      <c r="BW191" s="322">
        <f>AR191/AW191</f>
        <v>1.4080397217959024E-2</v>
      </c>
      <c r="BX191" s="658"/>
      <c r="BY191" s="658"/>
    </row>
    <row r="192" spans="1:77" hidden="1" outlineLevel="1">
      <c r="A192" s="658"/>
      <c r="B192" s="658"/>
      <c r="C192" s="658"/>
      <c r="D192" s="658"/>
      <c r="E192" s="946"/>
      <c r="F192" s="802"/>
      <c r="G192" s="2068"/>
      <c r="H192" s="667"/>
      <c r="I192" s="671"/>
      <c r="J192" s="1738"/>
      <c r="K192" s="1485"/>
      <c r="L192" s="798"/>
      <c r="M192" s="798"/>
      <c r="N192" s="798"/>
      <c r="O192" s="1103"/>
      <c r="P192" s="700"/>
      <c r="Q192" s="799"/>
      <c r="R192" s="802"/>
      <c r="S192" s="2068"/>
      <c r="T192" s="667"/>
      <c r="U192" s="671"/>
      <c r="V192" s="700"/>
      <c r="W192" s="799"/>
      <c r="X192" s="1302"/>
      <c r="Y192" s="2068"/>
      <c r="Z192" s="667"/>
      <c r="AA192" s="671"/>
      <c r="AB192" s="700"/>
      <c r="AC192" s="1106"/>
      <c r="AD192" s="1109"/>
      <c r="AE192" s="713"/>
      <c r="AF192" s="700"/>
      <c r="AG192" s="946"/>
      <c r="AH192" s="802"/>
      <c r="AI192" s="2068"/>
      <c r="AJ192" s="667"/>
      <c r="AK192" s="671"/>
      <c r="AL192" s="700"/>
      <c r="AM192" s="799"/>
      <c r="AN192" s="2075"/>
      <c r="AO192" s="667"/>
      <c r="AP192" s="705"/>
      <c r="AQ192" s="700"/>
      <c r="AR192" s="799"/>
      <c r="AS192" s="802"/>
      <c r="AT192" s="667"/>
      <c r="AU192" s="671"/>
      <c r="AV192" s="700"/>
      <c r="AW192" s="667"/>
      <c r="AX192" s="912"/>
      <c r="AY192" s="1021"/>
      <c r="AZ192" s="804"/>
      <c r="BA192" s="912"/>
      <c r="BB192" s="700"/>
      <c r="BC192" s="667"/>
      <c r="BD192" s="701"/>
      <c r="BE192" s="1263"/>
      <c r="BF192" s="667"/>
      <c r="BG192" s="1011"/>
      <c r="BH192" s="701"/>
      <c r="BI192" s="658"/>
      <c r="BJ192" s="203"/>
      <c r="BK192" s="203"/>
      <c r="BL192" s="203"/>
      <c r="BM192" s="203"/>
      <c r="BN192" s="658"/>
      <c r="BO192" s="322">
        <f>+BO191/0.98</f>
        <v>0.50581048046829091</v>
      </c>
      <c r="BP192" s="322"/>
      <c r="BQ192" s="322">
        <f>+BQ191/0.98</f>
        <v>0.20957915919747938</v>
      </c>
      <c r="BR192" s="322">
        <f>+BR191/0.98</f>
        <v>0.17268669062733655</v>
      </c>
      <c r="BS192" s="322"/>
      <c r="BT192" s="322">
        <f>+BT191/0.98</f>
        <v>0.11796408070897584</v>
      </c>
      <c r="BU192" s="1251"/>
      <c r="BV192" s="658"/>
      <c r="BW192" s="322"/>
      <c r="BX192" s="658"/>
      <c r="BY192" s="658"/>
    </row>
    <row r="193" spans="1:77" hidden="1" outlineLevel="1">
      <c r="A193" s="247"/>
      <c r="B193" s="2507">
        <f>+B186+1</f>
        <v>2012</v>
      </c>
      <c r="C193" s="2507"/>
      <c r="D193" s="247"/>
      <c r="E193" s="1230"/>
      <c r="F193" s="893"/>
      <c r="G193" s="2064"/>
      <c r="H193" s="658"/>
      <c r="I193" s="895"/>
      <c r="J193" s="709"/>
      <c r="K193" s="1102"/>
      <c r="L193" s="798"/>
      <c r="M193" s="709"/>
      <c r="N193" s="893"/>
      <c r="O193" s="1103"/>
      <c r="P193" s="643"/>
      <c r="Q193" s="1230"/>
      <c r="R193" s="893"/>
      <c r="S193" s="2064"/>
      <c r="T193" s="658"/>
      <c r="U193" s="895"/>
      <c r="V193" s="643"/>
      <c r="W193" s="1230"/>
      <c r="X193" s="893"/>
      <c r="Y193" s="2064"/>
      <c r="Z193" s="658"/>
      <c r="AA193" s="895"/>
      <c r="AB193" s="643"/>
      <c r="AC193" s="1277"/>
      <c r="AD193" s="1108"/>
      <c r="AE193" s="643"/>
      <c r="AF193" s="643"/>
      <c r="AG193" s="1230"/>
      <c r="AH193" s="893"/>
      <c r="AI193" s="2064"/>
      <c r="AJ193" s="658"/>
      <c r="AK193" s="895"/>
      <c r="AL193" s="643"/>
      <c r="AM193" s="1230"/>
      <c r="AN193" s="2077"/>
      <c r="AO193" s="658"/>
      <c r="AP193" s="1119"/>
      <c r="AQ193" s="643"/>
      <c r="AR193" s="1230"/>
      <c r="AS193" s="893"/>
      <c r="AT193" s="658"/>
      <c r="AU193" s="895"/>
      <c r="AV193" s="643"/>
      <c r="AW193" s="658"/>
      <c r="AX193" s="658"/>
      <c r="AY193" s="658"/>
      <c r="AZ193" s="659"/>
      <c r="BA193" s="256"/>
      <c r="BB193" s="256"/>
      <c r="BC193" s="658"/>
      <c r="BD193" s="658"/>
      <c r="BE193" s="658"/>
      <c r="BF193" s="658"/>
      <c r="BG193" s="1011"/>
      <c r="BH193" s="247"/>
      <c r="BI193" s="247"/>
      <c r="BJ193" s="247"/>
      <c r="BK193" s="247"/>
      <c r="BL193" s="247"/>
      <c r="BM193" s="247"/>
      <c r="BN193" s="247"/>
      <c r="BO193" s="1251"/>
      <c r="BP193" s="1251"/>
      <c r="BQ193" s="1251"/>
      <c r="BR193" s="1251"/>
      <c r="BS193" s="1251"/>
      <c r="BT193" s="1251"/>
      <c r="BU193" s="1251"/>
      <c r="BV193" s="658">
        <v>0</v>
      </c>
      <c r="BW193" s="1251"/>
      <c r="BX193" s="247"/>
      <c r="BY193" s="247"/>
    </row>
    <row r="194" spans="1:77" hidden="1" outlineLevel="1">
      <c r="A194" s="247"/>
      <c r="B194" s="247" t="str">
        <f>$B$14</f>
        <v>1Q</v>
      </c>
      <c r="C194" s="247" t="str">
        <f>$C$14</f>
        <v>Apr</v>
      </c>
      <c r="D194" s="247"/>
      <c r="E194" s="724">
        <v>385.67399999999998</v>
      </c>
      <c r="F194" s="802">
        <f>+(E194/E187-1)*100</f>
        <v>2.9287429943955168</v>
      </c>
      <c r="G194" s="2063">
        <v>0</v>
      </c>
      <c r="H194" s="695">
        <v>55.941000000000003</v>
      </c>
      <c r="I194" s="671">
        <f>+H194/E194*100</f>
        <v>14.504737161436863</v>
      </c>
      <c r="J194" s="705"/>
      <c r="K194" s="1146"/>
      <c r="L194" s="798"/>
      <c r="M194" s="798"/>
      <c r="N194" s="798"/>
      <c r="O194" s="1103"/>
      <c r="P194" s="664"/>
      <c r="Q194" s="724">
        <v>195.07</v>
      </c>
      <c r="R194" s="802">
        <f>(Q194/Q187-1)*100</f>
        <v>16.668660287081337</v>
      </c>
      <c r="S194" s="2063">
        <v>10</v>
      </c>
      <c r="T194" s="695">
        <v>51.06</v>
      </c>
      <c r="U194" s="671">
        <f>+T194/Q194*100</f>
        <v>26.175219152099249</v>
      </c>
      <c r="V194" s="664"/>
      <c r="W194" s="724">
        <v>141.78899999999999</v>
      </c>
      <c r="X194" s="802">
        <f>(W194/W187-1)*100</f>
        <v>14.901944894651532</v>
      </c>
      <c r="Y194" s="2063">
        <v>12</v>
      </c>
      <c r="Z194" s="695">
        <v>42.56</v>
      </c>
      <c r="AA194" s="671">
        <f>+Z194/W194*100</f>
        <v>30.016432868558212</v>
      </c>
      <c r="AB194" s="723"/>
      <c r="AC194" s="1104"/>
      <c r="AD194" s="1163"/>
      <c r="AE194" s="964"/>
      <c r="AF194" s="964"/>
      <c r="AG194" s="724">
        <v>87.906999999999996</v>
      </c>
      <c r="AH194" s="802">
        <f>(AG194/AG187-1)*100</f>
        <v>2.6950934579439201</v>
      </c>
      <c r="AI194" s="2063">
        <v>0</v>
      </c>
      <c r="AJ194" s="695">
        <v>16.655000000000001</v>
      </c>
      <c r="AK194" s="671">
        <f>+AJ194/AG194*100</f>
        <v>18.946159008952645</v>
      </c>
      <c r="AL194" s="664"/>
      <c r="AM194" s="1287">
        <f>+qtrSales!AN166</f>
        <v>39.529640580969598</v>
      </c>
      <c r="AN194" s="2075">
        <f>+(AM194/AM187-1)*100</f>
        <v>1.0000000000000009</v>
      </c>
      <c r="AO194" s="667"/>
      <c r="AP194" s="705"/>
      <c r="AQ194" s="664"/>
      <c r="AR194" s="724">
        <v>8.73</v>
      </c>
      <c r="AS194" s="802">
        <f>+(AR194/AR187-1)*100</f>
        <v>-13.564356435643553</v>
      </c>
      <c r="AT194" s="1616">
        <v>-1.7809999999999999</v>
      </c>
      <c r="AU194" s="671">
        <f>+AT194/AR194*100</f>
        <v>-20.400916380297822</v>
      </c>
      <c r="AV194" s="664"/>
      <c r="AW194" s="1168">
        <f>AR194+AG194+Q194+E194+W194</f>
        <v>819.17</v>
      </c>
      <c r="AX194" s="912"/>
      <c r="AY194" s="1036"/>
      <c r="AZ194" s="804"/>
      <c r="BA194" s="912"/>
      <c r="BB194" s="664"/>
      <c r="BC194" s="1168">
        <f>+'qtrP&amp;L'!CP48</f>
        <v>134.98499999999996</v>
      </c>
      <c r="BD194" s="672"/>
      <c r="BE194" s="691">
        <v>-29.45</v>
      </c>
      <c r="BF194" s="1168">
        <f>H194+T194+AJ194+AT194+BE194+Z194+8.221</f>
        <v>143.20600000000002</v>
      </c>
      <c r="BG194" s="1011"/>
      <c r="BH194" s="672"/>
      <c r="BI194" s="247"/>
      <c r="BJ194" s="806"/>
      <c r="BK194" s="806"/>
      <c r="BL194" s="806"/>
      <c r="BM194" s="806"/>
      <c r="BN194" s="247"/>
      <c r="BO194" s="1251">
        <f>E194/$AW194</f>
        <v>0.47081069863398317</v>
      </c>
      <c r="BP194" s="1251">
        <f t="shared" ref="BP194:BP199" si="5">K194/AW194</f>
        <v>0</v>
      </c>
      <c r="BQ194" s="1251">
        <f>Q194/AW194</f>
        <v>0.2381312792216512</v>
      </c>
      <c r="BR194" s="1251">
        <f>W194/AW194</f>
        <v>0.17308861408498846</v>
      </c>
      <c r="BS194" s="1251"/>
      <c r="BT194" s="1251">
        <f>AG194/AW194</f>
        <v>0.10731227950242318</v>
      </c>
      <c r="BU194" s="1251">
        <f>BQ194</f>
        <v>0.2381312792216512</v>
      </c>
      <c r="BV194" s="658">
        <v>0</v>
      </c>
      <c r="BW194" s="1252">
        <f>AR194/AW194</f>
        <v>1.0657128556953992E-2</v>
      </c>
      <c r="BX194" s="247"/>
      <c r="BY194" s="247"/>
    </row>
    <row r="195" spans="1:77" hidden="1" outlineLevel="1">
      <c r="A195" s="247"/>
      <c r="B195" s="247" t="str">
        <f>$B$15</f>
        <v>2Q</v>
      </c>
      <c r="C195" s="247" t="str">
        <f>$C$15</f>
        <v>Jul</v>
      </c>
      <c r="D195" s="247"/>
      <c r="E195" s="805">
        <v>433.98899999999998</v>
      </c>
      <c r="F195" s="802">
        <f>+(E195/E188-1)*100</f>
        <v>-0.96617475577503997</v>
      </c>
      <c r="G195" s="2063">
        <v>-5</v>
      </c>
      <c r="H195" s="691">
        <v>83.866</v>
      </c>
      <c r="I195" s="671">
        <f>+H195/E195*100</f>
        <v>19.324452923922035</v>
      </c>
      <c r="J195" s="705"/>
      <c r="K195" s="1146"/>
      <c r="L195" s="798"/>
      <c r="M195" s="1162"/>
      <c r="N195" s="798"/>
      <c r="O195" s="1103"/>
      <c r="P195" s="664"/>
      <c r="Q195" s="805">
        <v>174.13800000000001</v>
      </c>
      <c r="R195" s="802">
        <f>(Q195/Q188-1)*100</f>
        <v>0.51777581519385496</v>
      </c>
      <c r="S195" s="2063">
        <v>-5</v>
      </c>
      <c r="T195" s="691">
        <v>35.026000000000003</v>
      </c>
      <c r="U195" s="671">
        <f>+T195/Q195*100</f>
        <v>20.113932628145495</v>
      </c>
      <c r="V195" s="664"/>
      <c r="W195" s="805">
        <v>158.66300000000001</v>
      </c>
      <c r="X195" s="802">
        <f>(W195/W188-1)*100</f>
        <v>11.340893461144397</v>
      </c>
      <c r="Y195" s="2063">
        <v>10</v>
      </c>
      <c r="Z195" s="691">
        <v>50.265999999999998</v>
      </c>
      <c r="AA195" s="671">
        <f>+Z195/W195*100</f>
        <v>31.680984224425352</v>
      </c>
      <c r="AB195" s="964"/>
      <c r="AC195" s="1104"/>
      <c r="AD195" s="1163"/>
      <c r="AE195" s="964"/>
      <c r="AF195" s="964"/>
      <c r="AG195" s="805">
        <v>100.214</v>
      </c>
      <c r="AH195" s="802">
        <f>(AG195/AG188-1)*100</f>
        <v>-1.1198926481761129</v>
      </c>
      <c r="AI195" s="2063">
        <v>2</v>
      </c>
      <c r="AJ195" s="691">
        <v>20.597000000000001</v>
      </c>
      <c r="AK195" s="671">
        <f>+AJ195/AG195*100</f>
        <v>20.55301654459457</v>
      </c>
      <c r="AL195" s="664"/>
      <c r="AM195" s="1288">
        <f>+qtrSales!AN167</f>
        <v>38.254541468236809</v>
      </c>
      <c r="AN195" s="2075">
        <f>+(AM195/AM188-1)*100</f>
        <v>3.0000000000000027</v>
      </c>
      <c r="AO195" s="673"/>
      <c r="AP195" s="705"/>
      <c r="AQ195" s="664"/>
      <c r="AR195" s="805">
        <v>19.565000000000001</v>
      </c>
      <c r="AS195" s="802">
        <f>+(AR195/AR188-1)*100</f>
        <v>12.46191872161868</v>
      </c>
      <c r="AT195" s="1260">
        <v>-2.1579999999999999</v>
      </c>
      <c r="AU195" s="671">
        <f>+AT195/AR195*100</f>
        <v>-11.029900332225912</v>
      </c>
      <c r="AV195" s="664"/>
      <c r="AW195" s="673">
        <f>AR195+AG195+Q195+E195+W195</f>
        <v>886.56899999999996</v>
      </c>
      <c r="AX195" s="912"/>
      <c r="AY195" s="673"/>
      <c r="AZ195" s="804"/>
      <c r="BA195" s="912"/>
      <c r="BB195" s="664"/>
      <c r="BC195" s="903">
        <f>+'qtrP&amp;L'!CP49</f>
        <v>154.57999999999998</v>
      </c>
      <c r="BD195" s="672"/>
      <c r="BE195" s="1260">
        <v>-33.017000000000003</v>
      </c>
      <c r="BF195" s="673">
        <f>H195+T195+AJ195+AT195+BE195+Z195</f>
        <v>154.58000000000001</v>
      </c>
      <c r="BG195" s="1011"/>
      <c r="BH195" s="672"/>
      <c r="BI195" s="247"/>
      <c r="BJ195" s="806"/>
      <c r="BK195" s="806"/>
      <c r="BL195" s="806"/>
      <c r="BM195" s="806"/>
      <c r="BN195" s="247"/>
      <c r="BO195" s="1251">
        <f>E195/$AW195</f>
        <v>0.4895151984786294</v>
      </c>
      <c r="BP195" s="1251">
        <f t="shared" si="5"/>
        <v>0</v>
      </c>
      <c r="BQ195" s="1251">
        <f>Q195/AW195</f>
        <v>0.19641787610439798</v>
      </c>
      <c r="BR195" s="1251">
        <f>W195/AW195</f>
        <v>0.178962945918479</v>
      </c>
      <c r="BS195" s="1251"/>
      <c r="BT195" s="1251">
        <f>AG195/AW195</f>
        <v>0.11303575920204745</v>
      </c>
      <c r="BU195" s="1251">
        <f>BQ195</f>
        <v>0.19641787610439798</v>
      </c>
      <c r="BV195" s="658">
        <v>0</v>
      </c>
      <c r="BW195" s="1251">
        <f>AR195/AW195</f>
        <v>2.206822029644619E-2</v>
      </c>
      <c r="BX195" s="247"/>
      <c r="BY195" s="247"/>
    </row>
    <row r="196" spans="1:77" hidden="1" outlineLevel="1">
      <c r="A196" s="247"/>
      <c r="B196" s="247" t="str">
        <f>$B$16</f>
        <v>3Q</v>
      </c>
      <c r="C196" s="247" t="str">
        <f>$C$16</f>
        <v>Oct</v>
      </c>
      <c r="D196" s="247"/>
      <c r="E196" s="805">
        <v>400.113</v>
      </c>
      <c r="F196" s="802">
        <f>+(E196/E189-1)*100</f>
        <v>3.1982419985917332</v>
      </c>
      <c r="G196" s="2063">
        <v>1</v>
      </c>
      <c r="H196" s="691">
        <v>51.89</v>
      </c>
      <c r="I196" s="671">
        <f>+H196/E196*100</f>
        <v>12.96883630374419</v>
      </c>
      <c r="J196" s="705"/>
      <c r="K196" s="1241"/>
      <c r="L196" s="798"/>
      <c r="M196" s="1162"/>
      <c r="N196" s="798"/>
      <c r="O196" s="1103"/>
      <c r="P196" s="664"/>
      <c r="Q196" s="805">
        <v>187.685</v>
      </c>
      <c r="R196" s="802">
        <f>(Q196/Q189-1)*100</f>
        <v>2.436961030455187</v>
      </c>
      <c r="S196" s="2063">
        <v>-4</v>
      </c>
      <c r="T196" s="691">
        <v>36.588999999999999</v>
      </c>
      <c r="U196" s="671">
        <f>+T196/Q196*100</f>
        <v>19.494898366944614</v>
      </c>
      <c r="V196" s="664"/>
      <c r="W196" s="805">
        <v>146.72300000000001</v>
      </c>
      <c r="X196" s="802">
        <f>(W196/W189-1)*100</f>
        <v>0.19530583117655098</v>
      </c>
      <c r="Y196" s="2063">
        <v>5</v>
      </c>
      <c r="Z196" s="691">
        <v>42.731999999999999</v>
      </c>
      <c r="AA196" s="671">
        <f>+Z196/W196*100</f>
        <v>29.124268178813136</v>
      </c>
      <c r="AB196" s="723"/>
      <c r="AC196" s="1104"/>
      <c r="AD196" s="1163"/>
      <c r="AE196" s="964"/>
      <c r="AF196" s="964"/>
      <c r="AG196" s="805">
        <v>97.644000000000005</v>
      </c>
      <c r="AH196" s="802">
        <f>(AG196/AG189-1)*100</f>
        <v>5.529137126059136</v>
      </c>
      <c r="AI196" s="2063">
        <v>8</v>
      </c>
      <c r="AJ196" s="691">
        <v>16.119</v>
      </c>
      <c r="AK196" s="671">
        <f>+AJ196/AG196*100</f>
        <v>16.507926754332061</v>
      </c>
      <c r="AL196" s="664"/>
      <c r="AM196" s="1288">
        <f>+qtrSales!AN168</f>
        <v>30.903895211225404</v>
      </c>
      <c r="AN196" s="2075">
        <f>+(AM196/AM189-1)*100</f>
        <v>-2.0000000000000018</v>
      </c>
      <c r="AO196" s="673"/>
      <c r="AP196" s="705"/>
      <c r="AQ196" s="664"/>
      <c r="AR196" s="805">
        <v>20.576000000000001</v>
      </c>
      <c r="AS196" s="802">
        <f>+(AR196/AR189-1)*100</f>
        <v>73.359170949532398</v>
      </c>
      <c r="AT196" s="1260">
        <v>0.58599999999999997</v>
      </c>
      <c r="AU196" s="671">
        <f>+AT196/AR196*100</f>
        <v>2.8479782270606528</v>
      </c>
      <c r="AV196" s="664"/>
      <c r="AW196" s="673">
        <f>AR196+AG196+Q196+E196+W196</f>
        <v>852.74099999999999</v>
      </c>
      <c r="AX196" s="912"/>
      <c r="AY196" s="673"/>
      <c r="AZ196" s="804"/>
      <c r="BA196" s="912"/>
      <c r="BB196" s="664"/>
      <c r="BC196" s="903">
        <f>+'qtrP&amp;L'!CP50</f>
        <v>117.29499999999996</v>
      </c>
      <c r="BD196" s="672"/>
      <c r="BE196" s="1260">
        <v>-30.620999999999999</v>
      </c>
      <c r="BF196" s="673">
        <f>H196+T196+AJ196+AT196+BE196+Z196</f>
        <v>117.295</v>
      </c>
      <c r="BG196" s="1011"/>
      <c r="BH196" s="672"/>
      <c r="BI196" s="247"/>
      <c r="BJ196" s="806"/>
      <c r="BK196" s="806"/>
      <c r="BL196" s="806"/>
      <c r="BM196" s="806"/>
      <c r="BN196" s="247"/>
      <c r="BO196" s="1251">
        <f>E196/$AW196</f>
        <v>0.46920811829148595</v>
      </c>
      <c r="BP196" s="1251">
        <f t="shared" si="5"/>
        <v>0</v>
      </c>
      <c r="BQ196" s="1251">
        <f>Q196/AW196</f>
        <v>0.22009613704512859</v>
      </c>
      <c r="BR196" s="1251">
        <f>W196/AW196</f>
        <v>0.17206044977314333</v>
      </c>
      <c r="BS196" s="1251"/>
      <c r="BT196" s="1251">
        <f>AG196/AW196</f>
        <v>0.11450604579819665</v>
      </c>
      <c r="BU196" s="1251">
        <f>BQ196</f>
        <v>0.22009613704512859</v>
      </c>
      <c r="BV196" s="658">
        <v>0</v>
      </c>
      <c r="BW196" s="1251">
        <f>AR196/AW196</f>
        <v>2.4129249092045533E-2</v>
      </c>
      <c r="BX196" s="247"/>
      <c r="BY196" s="247"/>
    </row>
    <row r="197" spans="1:77" hidden="1" outlineLevel="1">
      <c r="A197" s="247"/>
      <c r="B197" s="247" t="str">
        <f>$B$17</f>
        <v>4Q</v>
      </c>
      <c r="C197" s="247" t="str">
        <f>$C$17</f>
        <v>Jan</v>
      </c>
      <c r="D197" s="247"/>
      <c r="E197" s="807">
        <f>1839.969-E194-E195-E196</f>
        <v>620.19299999999998</v>
      </c>
      <c r="F197" s="802">
        <f>+(E197/E190-1)*100</f>
        <v>2.4863380302637239</v>
      </c>
      <c r="G197" s="2063">
        <v>-2</v>
      </c>
      <c r="H197" s="801">
        <f>H198-SUM(H194:H196)</f>
        <v>154.21999999999997</v>
      </c>
      <c r="I197" s="671">
        <f>+H197/E197*100</f>
        <v>24.866452862254164</v>
      </c>
      <c r="J197" s="705"/>
      <c r="K197" s="1242"/>
      <c r="L197" s="798"/>
      <c r="M197" s="1162"/>
      <c r="N197" s="798"/>
      <c r="O197" s="1103"/>
      <c r="P197" s="664"/>
      <c r="Q197" s="807">
        <f>810.42-Q194-Q195-Q196</f>
        <v>253.52699999999987</v>
      </c>
      <c r="R197" s="802">
        <f>(Q197/Q190-1)*100</f>
        <v>12.902967228226657</v>
      </c>
      <c r="S197" s="2063">
        <v>6</v>
      </c>
      <c r="T197" s="801">
        <f>T198-SUM(T194:T196)</f>
        <v>65.83499999999998</v>
      </c>
      <c r="U197" s="671">
        <f>+T197/Q197*100</f>
        <v>25.967648416145028</v>
      </c>
      <c r="V197" s="664"/>
      <c r="W197" s="807">
        <f>639.185-W194-W195-W196</f>
        <v>192.00999999999993</v>
      </c>
      <c r="X197" s="802">
        <f>(W197/W190-1)*100</f>
        <v>-5.9539786252363447</v>
      </c>
      <c r="Y197" s="2063">
        <v>2</v>
      </c>
      <c r="Z197" s="801">
        <f>Z198-SUM(Z194:Z196)</f>
        <v>68.951999999999998</v>
      </c>
      <c r="AA197" s="671">
        <f>+Z197/W197*100</f>
        <v>35.910629654705495</v>
      </c>
      <c r="AB197" s="964"/>
      <c r="AC197" s="1152"/>
      <c r="AD197" s="1164"/>
      <c r="AE197" s="964"/>
      <c r="AF197" s="964"/>
      <c r="AG197" s="807">
        <f>432.167-AG194-AG195-AG196</f>
        <v>146.40199999999999</v>
      </c>
      <c r="AH197" s="802">
        <f>(AG197/AG190-1)*100</f>
        <v>3.3445335441608215</v>
      </c>
      <c r="AI197" s="2063">
        <v>0</v>
      </c>
      <c r="AJ197" s="801">
        <f>AJ198-SUM(AJ194:AJ196)</f>
        <v>37.583999999999996</v>
      </c>
      <c r="AK197" s="671">
        <f>+AJ197/AG197*100</f>
        <v>25.671780440157921</v>
      </c>
      <c r="AL197" s="664"/>
      <c r="AM197" s="1289">
        <f>+qtrSales!AN169</f>
        <v>78.892772843520007</v>
      </c>
      <c r="AN197" s="2075">
        <f>+(AM197/AM190-1)*100</f>
        <v>6.0000000000000053</v>
      </c>
      <c r="AO197" s="1098"/>
      <c r="AP197" s="705"/>
      <c r="AQ197" s="664"/>
      <c r="AR197" s="807">
        <f>72.508-AR194-AR195-AR196</f>
        <v>23.636999999999993</v>
      </c>
      <c r="AS197" s="802">
        <f>+(AR197/AR190-1)*100</f>
        <v>98.163983903420487</v>
      </c>
      <c r="AT197" s="1617">
        <f>AT198-SUM(AT194:AT196)</f>
        <v>-2.9009999999999994</v>
      </c>
      <c r="AU197" s="671">
        <f>+AT197/AR197*100</f>
        <v>-12.273131108008631</v>
      </c>
      <c r="AV197" s="664"/>
      <c r="AW197" s="677">
        <f>AR197+AG197+Q197+E197+W197</f>
        <v>1235.7689999999998</v>
      </c>
      <c r="AX197" s="912"/>
      <c r="AY197" s="677"/>
      <c r="AZ197" s="804"/>
      <c r="BA197" s="912"/>
      <c r="BB197" s="664"/>
      <c r="BC197" s="677">
        <f>+'qtrP&amp;L'!CP51</f>
        <v>290.35700000000003</v>
      </c>
      <c r="BD197" s="685"/>
      <c r="BE197" s="1262">
        <f>BE198-(SUM(BE194:BE196))</f>
        <v>-33.333000000000013</v>
      </c>
      <c r="BF197" s="677">
        <f>H197+T197+AJ197+AT197+BE197+Z197</f>
        <v>290.35699999999991</v>
      </c>
      <c r="BG197" s="1011"/>
      <c r="BH197" s="672"/>
      <c r="BI197" s="247"/>
      <c r="BJ197" s="806"/>
      <c r="BK197" s="806"/>
      <c r="BL197" s="806"/>
      <c r="BM197" s="806"/>
      <c r="BN197" s="247"/>
      <c r="BO197" s="1231">
        <f>E197/$AW197</f>
        <v>0.50186806757573632</v>
      </c>
      <c r="BP197" s="1231">
        <f t="shared" si="5"/>
        <v>0</v>
      </c>
      <c r="BQ197" s="1231">
        <f>Q197/AW197</f>
        <v>0.20515727453917351</v>
      </c>
      <c r="BR197" s="1231">
        <f>W197/AW197</f>
        <v>0.15537693533338348</v>
      </c>
      <c r="BS197" s="1231"/>
      <c r="BT197" s="1231">
        <f>AG197/AW197</f>
        <v>0.11847036137012663</v>
      </c>
      <c r="BU197" s="1231">
        <f>BQ197</f>
        <v>0.20515727453917351</v>
      </c>
      <c r="BV197" s="658">
        <v>0</v>
      </c>
      <c r="BW197" s="1231">
        <f>AR197/AW197</f>
        <v>1.9127361181580052E-2</v>
      </c>
      <c r="BX197" s="247"/>
      <c r="BY197" s="247"/>
    </row>
    <row r="198" spans="1:77" hidden="1" outlineLevel="1">
      <c r="A198" s="658"/>
      <c r="B198" s="658"/>
      <c r="C198" s="658" t="str">
        <f>$C$18</f>
        <v>Year</v>
      </c>
      <c r="D198" s="658"/>
      <c r="E198" s="946">
        <f>+SUM(E194:E197)</f>
        <v>1839.9690000000001</v>
      </c>
      <c r="F198" s="802">
        <f>+(E198/E191-1)*100</f>
        <v>1.8931399841509267</v>
      </c>
      <c r="G198" s="2063">
        <v>-2</v>
      </c>
      <c r="H198" s="695">
        <v>345.91699999999997</v>
      </c>
      <c r="I198" s="671">
        <f>+H198/E198*100</f>
        <v>18.800153698241655</v>
      </c>
      <c r="J198" s="701"/>
      <c r="K198" s="1241"/>
      <c r="L198" s="798"/>
      <c r="M198" s="798"/>
      <c r="N198" s="798"/>
      <c r="O198" s="1103"/>
      <c r="P198" s="700"/>
      <c r="Q198" s="799">
        <f>SeqQtrSales!V375</f>
        <v>810.41999999999985</v>
      </c>
      <c r="R198" s="802">
        <f>(Q198/Q191-1)*100</f>
        <v>8.3139315757256185</v>
      </c>
      <c r="S198" s="2063">
        <v>2</v>
      </c>
      <c r="T198" s="695">
        <v>188.51</v>
      </c>
      <c r="U198" s="671">
        <f>+T198/Q198*100</f>
        <v>23.260778361837076</v>
      </c>
      <c r="V198" s="700"/>
      <c r="W198" s="799">
        <f>+SUM(W194:W197)</f>
        <v>639.18499999999995</v>
      </c>
      <c r="X198" s="1302">
        <f>(W198/W191-1)*100</f>
        <v>3.6788022805978704</v>
      </c>
      <c r="Y198" s="2063">
        <v>7</v>
      </c>
      <c r="Z198" s="695">
        <v>204.51</v>
      </c>
      <c r="AA198" s="671">
        <f>+Z198/W198*100</f>
        <v>31.995431682533226</v>
      </c>
      <c r="AB198" s="713"/>
      <c r="AC198" s="1739"/>
      <c r="AD198" s="1740"/>
      <c r="AE198" s="713"/>
      <c r="AF198" s="713"/>
      <c r="AG198" s="799">
        <f>+SUM(AG194:AG197)</f>
        <v>432.16699999999997</v>
      </c>
      <c r="AH198" s="802">
        <f>(AG198/AG191-1)*100</f>
        <v>2.6181255209062781</v>
      </c>
      <c r="AI198" s="2063">
        <v>2</v>
      </c>
      <c r="AJ198" s="695">
        <v>90.954999999999998</v>
      </c>
      <c r="AK198" s="671">
        <f>+AJ198/AG198*100</f>
        <v>21.046262208822053</v>
      </c>
      <c r="AL198" s="700"/>
      <c r="AM198" s="799">
        <f>SUM(AM194:AM197)</f>
        <v>187.58085010395183</v>
      </c>
      <c r="AN198" s="2075">
        <f>+(AM198/AM191-1)*100</f>
        <v>2.9304872921053438</v>
      </c>
      <c r="AO198" s="667"/>
      <c r="AP198" s="705"/>
      <c r="AQ198" s="700"/>
      <c r="AR198" s="799">
        <f>+SUM(AR194:AR197)</f>
        <v>72.507999999999996</v>
      </c>
      <c r="AS198" s="802">
        <f>+(AR198/AR191-1)*100</f>
        <v>41.357663664366193</v>
      </c>
      <c r="AT198" s="695">
        <v>-6.2539999999999996</v>
      </c>
      <c r="AU198" s="671">
        <f>+AT198/AR198*100</f>
        <v>-8.6252551442599437</v>
      </c>
      <c r="AV198" s="700"/>
      <c r="AW198" s="667">
        <f>AR198+AG198+Q198+E198+W198</f>
        <v>3794.2489999999998</v>
      </c>
      <c r="AX198" s="912"/>
      <c r="AY198" s="1021"/>
      <c r="AZ198" s="804"/>
      <c r="BA198" s="912"/>
      <c r="BB198" s="700"/>
      <c r="BC198" s="667">
        <f>+'qtrP&amp;L'!CP52</f>
        <v>697.21699999999987</v>
      </c>
      <c r="BD198" s="701"/>
      <c r="BE198" s="691">
        <v>-126.42100000000001</v>
      </c>
      <c r="BF198" s="667">
        <f>H198+T198+AJ198+AT198+BE198</f>
        <v>492.70699999999994</v>
      </c>
      <c r="BG198" s="1011"/>
      <c r="BH198" s="701"/>
      <c r="BI198" s="658"/>
      <c r="BJ198" s="203"/>
      <c r="BK198" s="203"/>
      <c r="BL198" s="203"/>
      <c r="BM198" s="203"/>
      <c r="BN198" s="658"/>
      <c r="BO198" s="322">
        <f>E198/$AW198</f>
        <v>0.48493628119820292</v>
      </c>
      <c r="BP198" s="322">
        <f t="shared" si="5"/>
        <v>0</v>
      </c>
      <c r="BQ198" s="322">
        <f>Q198/AW198</f>
        <v>0.21359167519053174</v>
      </c>
      <c r="BR198" s="1251">
        <f>W198/AW198</f>
        <v>0.16846153217672324</v>
      </c>
      <c r="BS198" s="322"/>
      <c r="BT198" s="322">
        <f>AG198/AW198</f>
        <v>0.11390053736589244</v>
      </c>
      <c r="BU198" s="1251">
        <f>BQ198</f>
        <v>0.21359167519053174</v>
      </c>
      <c r="BV198" s="658">
        <v>0</v>
      </c>
      <c r="BW198" s="322">
        <f>AR198/AW198</f>
        <v>1.9109974068649685E-2</v>
      </c>
      <c r="BX198" s="658"/>
      <c r="BY198" s="658"/>
    </row>
    <row r="199" spans="1:77" hidden="1" outlineLevel="1">
      <c r="A199" s="658"/>
      <c r="B199" s="658"/>
      <c r="C199" s="658"/>
      <c r="D199" s="658"/>
      <c r="E199" s="946"/>
      <c r="F199" s="802"/>
      <c r="G199" s="2068"/>
      <c r="H199" s="667"/>
      <c r="I199" s="671"/>
      <c r="J199" s="1738"/>
      <c r="K199" s="1485"/>
      <c r="L199" s="798"/>
      <c r="M199" s="798"/>
      <c r="N199" s="798"/>
      <c r="O199" s="1103"/>
      <c r="P199" s="700"/>
      <c r="Q199" s="1170"/>
      <c r="R199" s="802"/>
      <c r="S199" s="2068"/>
      <c r="T199" s="667"/>
      <c r="U199" s="671"/>
      <c r="V199" s="700"/>
      <c r="W199" s="799"/>
      <c r="X199" s="1302"/>
      <c r="Y199" s="2068"/>
      <c r="Z199" s="667"/>
      <c r="AA199" s="671"/>
      <c r="AB199" s="700"/>
      <c r="AC199" s="1106"/>
      <c r="AD199" s="1109"/>
      <c r="AE199" s="713"/>
      <c r="AF199" s="700"/>
      <c r="AG199" s="946"/>
      <c r="AH199" s="802"/>
      <c r="AI199" s="2068"/>
      <c r="AJ199" s="667"/>
      <c r="AK199" s="671"/>
      <c r="AL199" s="700"/>
      <c r="AM199" s="799"/>
      <c r="AN199" s="2075"/>
      <c r="AO199" s="667"/>
      <c r="AP199" s="705"/>
      <c r="AQ199" s="700"/>
      <c r="AR199" s="799"/>
      <c r="AS199" s="802"/>
      <c r="AT199" s="667"/>
      <c r="AU199" s="671"/>
      <c r="AV199" s="700"/>
      <c r="AW199" s="667">
        <f>AW197-AR197</f>
        <v>1212.1319999999998</v>
      </c>
      <c r="AX199" s="912"/>
      <c r="AY199" s="1021"/>
      <c r="AZ199" s="804"/>
      <c r="BA199" s="912"/>
      <c r="BB199" s="700"/>
      <c r="BC199" s="667"/>
      <c r="BD199" s="701"/>
      <c r="BE199" s="1263"/>
      <c r="BF199" s="667"/>
      <c r="BG199" s="1011"/>
      <c r="BH199" s="701"/>
      <c r="BI199" s="658"/>
      <c r="BJ199" s="203"/>
      <c r="BK199" s="203"/>
      <c r="BL199" s="203"/>
      <c r="BM199" s="203"/>
      <c r="BN199" s="658"/>
      <c r="BO199" s="322">
        <f>+BO198/0.98</f>
        <v>0.49483293999816624</v>
      </c>
      <c r="BP199" s="322">
        <f t="shared" si="5"/>
        <v>0</v>
      </c>
      <c r="BQ199" s="322">
        <f>+BQ198/0.98</f>
        <v>0.21795068896993036</v>
      </c>
      <c r="BR199" s="322">
        <f>+BR198/0.98</f>
        <v>0.17189952262930944</v>
      </c>
      <c r="BS199" s="322"/>
      <c r="BT199" s="322">
        <f>+BT198/0.98</f>
        <v>0.11622503812846167</v>
      </c>
      <c r="BU199" s="1251"/>
      <c r="BV199" s="658"/>
      <c r="BW199" s="322"/>
      <c r="BX199" s="658"/>
      <c r="BY199" s="658"/>
    </row>
    <row r="200" spans="1:77" collapsed="1">
      <c r="A200" s="247"/>
      <c r="B200" s="2507">
        <f>+B193+1</f>
        <v>2013</v>
      </c>
      <c r="C200" s="2507"/>
      <c r="D200" s="281"/>
      <c r="E200" s="1230"/>
      <c r="F200" s="893"/>
      <c r="G200" s="2064"/>
      <c r="H200" s="658"/>
      <c r="I200" s="895"/>
      <c r="J200" s="709"/>
      <c r="K200" s="1102"/>
      <c r="L200" s="798"/>
      <c r="M200" s="709"/>
      <c r="N200" s="893"/>
      <c r="O200" s="1103"/>
      <c r="P200" s="643"/>
      <c r="Q200" s="1230"/>
      <c r="R200" s="893"/>
      <c r="S200" s="2064"/>
      <c r="T200" s="658"/>
      <c r="U200" s="895"/>
      <c r="V200" s="643"/>
      <c r="W200" s="1230"/>
      <c r="X200" s="893"/>
      <c r="Y200" s="2064"/>
      <c r="Z200" s="658"/>
      <c r="AA200" s="895"/>
      <c r="AB200" s="643"/>
      <c r="AC200" s="1277"/>
      <c r="AD200" s="1108"/>
      <c r="AE200" s="643"/>
      <c r="AF200" s="643"/>
      <c r="AG200" s="1230"/>
      <c r="AH200" s="893"/>
      <c r="AI200" s="2064"/>
      <c r="AJ200" s="658"/>
      <c r="AK200" s="895"/>
      <c r="AL200" s="643"/>
      <c r="AM200" s="1230"/>
      <c r="AN200" s="2077"/>
      <c r="AO200" s="658"/>
      <c r="AP200" s="1119"/>
      <c r="AQ200" s="643"/>
      <c r="AR200" s="1230"/>
      <c r="AS200" s="893"/>
      <c r="AT200" s="658"/>
      <c r="AU200" s="895"/>
      <c r="AV200" s="643"/>
      <c r="AW200" s="658"/>
      <c r="AX200" s="658"/>
      <c r="AY200" s="658"/>
      <c r="AZ200" s="659"/>
      <c r="BA200" s="256"/>
      <c r="BB200" s="256"/>
      <c r="BC200" s="658"/>
      <c r="BD200" s="658"/>
      <c r="BE200" s="658"/>
      <c r="BF200" s="658"/>
      <c r="BG200" s="1011"/>
      <c r="BH200" s="247"/>
      <c r="BI200" s="247"/>
      <c r="BJ200" s="247"/>
      <c r="BK200" s="247"/>
      <c r="BL200" s="247"/>
      <c r="BM200" s="247"/>
      <c r="BN200" s="247"/>
      <c r="BO200" s="1251"/>
      <c r="BP200" s="1251"/>
      <c r="BQ200" s="1251"/>
      <c r="BR200" s="1251"/>
      <c r="BS200" s="1251"/>
      <c r="BT200" s="1251"/>
      <c r="BU200" s="1251"/>
      <c r="BV200" s="658">
        <v>0</v>
      </c>
      <c r="BW200" s="1251"/>
      <c r="BX200" s="247"/>
      <c r="BY200" s="247"/>
    </row>
    <row r="201" spans="1:77">
      <c r="A201" s="247"/>
      <c r="B201" s="247" t="str">
        <f>$B$14</f>
        <v>1Q</v>
      </c>
      <c r="C201" s="247" t="str">
        <f>$C$14</f>
        <v>Apr</v>
      </c>
      <c r="D201" s="247"/>
      <c r="E201" s="724">
        <v>407.697</v>
      </c>
      <c r="F201" s="802">
        <f>+(E201/E194-1)*100</f>
        <v>5.7102630719208625</v>
      </c>
      <c r="G201" s="2063">
        <v>3</v>
      </c>
      <c r="H201" s="695">
        <v>58.962000000000003</v>
      </c>
      <c r="I201" s="671">
        <f>+H201/E201*100</f>
        <v>14.462210906629188</v>
      </c>
      <c r="J201" s="705"/>
      <c r="K201" s="1146"/>
      <c r="L201" s="798"/>
      <c r="M201" s="798"/>
      <c r="N201" s="798"/>
      <c r="O201" s="1103"/>
      <c r="P201" s="664"/>
      <c r="Q201" s="724">
        <v>223.42699999999999</v>
      </c>
      <c r="R201" s="802">
        <f>(Q201/Q194-1)*100</f>
        <v>14.536832931768085</v>
      </c>
      <c r="S201" s="2063">
        <v>9</v>
      </c>
      <c r="T201" s="695">
        <v>55.459000000000003</v>
      </c>
      <c r="U201" s="671">
        <f>+T201/Q201*100</f>
        <v>24.821977648180393</v>
      </c>
      <c r="V201" s="664"/>
      <c r="W201" s="724">
        <v>144.52699999999999</v>
      </c>
      <c r="X201" s="802">
        <f>(W201/W194-1)*100</f>
        <v>1.9310383739218118</v>
      </c>
      <c r="Y201" s="2063">
        <v>21</v>
      </c>
      <c r="Z201" s="695">
        <v>53.418999999999997</v>
      </c>
      <c r="AA201" s="671">
        <f>+Z201/W201*100</f>
        <v>36.961259833802686</v>
      </c>
      <c r="AB201" s="723"/>
      <c r="AC201" s="1104"/>
      <c r="AD201" s="1163"/>
      <c r="AE201" s="964"/>
      <c r="AF201" s="964"/>
      <c r="AG201" s="724">
        <v>92.986000000000004</v>
      </c>
      <c r="AH201" s="802">
        <f>(AG201/AG194-1)*100</f>
        <v>5.777696884207173</v>
      </c>
      <c r="AI201" s="2063">
        <v>6</v>
      </c>
      <c r="AJ201" s="695">
        <v>14.278</v>
      </c>
      <c r="AK201" s="671">
        <f>+AJ201/AG201*100</f>
        <v>15.354999677370786</v>
      </c>
      <c r="AL201" s="664"/>
      <c r="AM201" s="1287">
        <f>+qtrSales!AN173</f>
        <v>40.715529798398684</v>
      </c>
      <c r="AN201" s="2075">
        <f>+(AM201/AM194-1)*100</f>
        <v>3.0000000000000027</v>
      </c>
      <c r="AO201" s="667"/>
      <c r="AP201" s="705"/>
      <c r="AQ201" s="664"/>
      <c r="AR201" s="724">
        <v>26.847000000000001</v>
      </c>
      <c r="AS201" s="802">
        <f>+(AR201/AR194-1)*100</f>
        <v>207.5257731958763</v>
      </c>
      <c r="AT201" s="1616">
        <v>0.84399999999999997</v>
      </c>
      <c r="AU201" s="671">
        <f>+AT201/AR201*100</f>
        <v>3.1437404551718999</v>
      </c>
      <c r="AV201" s="664"/>
      <c r="AW201" s="1168">
        <f>AR201+AG201+Q201+E201+W201</f>
        <v>895.48399999999992</v>
      </c>
      <c r="AX201" s="912"/>
      <c r="AY201" s="1036"/>
      <c r="AZ201" s="804"/>
      <c r="BA201" s="912"/>
      <c r="BB201" s="664"/>
      <c r="BC201" s="1168">
        <f>+'qtrP&amp;L'!CT48</f>
        <v>150.55800000000005</v>
      </c>
      <c r="BD201" s="672"/>
      <c r="BE201" s="691">
        <v>-40</v>
      </c>
      <c r="BF201" s="1168">
        <f>H201+T201+AJ201+AT201+BE201+Z201+8.221</f>
        <v>151.18299999999999</v>
      </c>
      <c r="BG201" s="1011"/>
      <c r="BH201" s="672"/>
      <c r="BI201" s="247"/>
      <c r="BJ201" s="806"/>
      <c r="BK201" s="806"/>
      <c r="BL201" s="806"/>
      <c r="BM201" s="806"/>
      <c r="BN201" s="247"/>
      <c r="BO201" s="1251">
        <f>E201/$AW201</f>
        <v>0.45528116638599914</v>
      </c>
      <c r="BP201" s="1251">
        <f>K201/AW201</f>
        <v>0</v>
      </c>
      <c r="BQ201" s="1251">
        <f>Q201/AW201</f>
        <v>0.24950417874579559</v>
      </c>
      <c r="BR201" s="1251">
        <f>W201/AW201</f>
        <v>0.16139540181622453</v>
      </c>
      <c r="BS201" s="1251"/>
      <c r="BT201" s="1251">
        <f>AG201/AW201</f>
        <v>0.10383881789066025</v>
      </c>
      <c r="BU201" s="1251">
        <f>BQ201</f>
        <v>0.24950417874579559</v>
      </c>
      <c r="BV201" s="658">
        <v>0</v>
      </c>
      <c r="BW201" s="1252">
        <f>AR201/AW201</f>
        <v>2.9980435161320585E-2</v>
      </c>
      <c r="BX201" s="247"/>
      <c r="BY201" s="247"/>
    </row>
    <row r="202" spans="1:77">
      <c r="A202" s="247"/>
      <c r="B202" s="247" t="str">
        <f>$B$15</f>
        <v>2Q</v>
      </c>
      <c r="C202" s="247" t="str">
        <f>$C$15</f>
        <v>Jul</v>
      </c>
      <c r="D202" s="247"/>
      <c r="E202" s="1726">
        <v>443.85599999999999</v>
      </c>
      <c r="F202" s="802">
        <f>+(E202/E195-1)*100</f>
        <v>2.2735599289382957</v>
      </c>
      <c r="G202" s="2069">
        <v>0</v>
      </c>
      <c r="H202" s="1737">
        <v>87.730999999999995</v>
      </c>
      <c r="I202" s="671">
        <f>+H202/E202*100</f>
        <v>19.765644713600807</v>
      </c>
      <c r="J202" s="705"/>
      <c r="K202" s="1146"/>
      <c r="L202" s="798"/>
      <c r="M202" s="1162"/>
      <c r="N202" s="798"/>
      <c r="O202" s="1103"/>
      <c r="P202" s="664"/>
      <c r="Q202" s="1726">
        <v>208.32499999999999</v>
      </c>
      <c r="R202" s="802">
        <f>(Q202/Q195-1)*100</f>
        <v>19.632130838760055</v>
      </c>
      <c r="S202" s="2069">
        <v>13</v>
      </c>
      <c r="T202" s="1737">
        <v>49.881999999999998</v>
      </c>
      <c r="U202" s="671">
        <f>+T202/Q202*100</f>
        <v>23.944317772710907</v>
      </c>
      <c r="V202" s="664"/>
      <c r="W202" s="1726">
        <v>136.39500000000001</v>
      </c>
      <c r="X202" s="802">
        <f>(W202/W195-1)*100</f>
        <v>-14.034778114620295</v>
      </c>
      <c r="Y202" s="2069">
        <v>8</v>
      </c>
      <c r="Z202" s="1737">
        <v>48.234999999999999</v>
      </c>
      <c r="AA202" s="671">
        <f>+Z202/W202*100</f>
        <v>35.36419956743282</v>
      </c>
      <c r="AB202" s="964"/>
      <c r="AC202" s="1104"/>
      <c r="AD202" s="1163"/>
      <c r="AE202" s="964"/>
      <c r="AF202" s="964"/>
      <c r="AG202" s="1726">
        <v>111.247</v>
      </c>
      <c r="AH202" s="802">
        <f>(AG202/AG195-1)*100</f>
        <v>11.009439798830511</v>
      </c>
      <c r="AI202" s="2069">
        <v>7</v>
      </c>
      <c r="AJ202" s="1737">
        <v>22.338000000000001</v>
      </c>
      <c r="AK202" s="671">
        <f>+AJ202/AG202*100</f>
        <v>20.079642597103742</v>
      </c>
      <c r="AL202" s="664"/>
      <c r="AM202" s="1288">
        <f>+qtrSales!AN174</f>
        <v>39.402177712283915</v>
      </c>
      <c r="AN202" s="2075">
        <f>+(AM202/AM195-1)*100</f>
        <v>3.0000000000000027</v>
      </c>
      <c r="AO202" s="673"/>
      <c r="AP202" s="705"/>
      <c r="AQ202" s="664"/>
      <c r="AR202" s="1726">
        <v>26.061</v>
      </c>
      <c r="AS202" s="802">
        <f>+(AR202/AR195-1)*100</f>
        <v>33.202146690518774</v>
      </c>
      <c r="AT202" s="1741">
        <v>-1.1879999999999999</v>
      </c>
      <c r="AU202" s="671">
        <f>+AT202/AR202*100</f>
        <v>-4.5585357430643487</v>
      </c>
      <c r="AV202" s="664"/>
      <c r="AW202" s="673">
        <f>AR202+AG202+Q202+E202+W202</f>
        <v>925.88400000000001</v>
      </c>
      <c r="AX202" s="912"/>
      <c r="AY202" s="673"/>
      <c r="AZ202" s="804"/>
      <c r="BA202" s="912"/>
      <c r="BB202" s="664"/>
      <c r="BC202" s="903">
        <f>+'qtrP&amp;L'!CT49</f>
        <v>176.88600000000002</v>
      </c>
      <c r="BD202" s="672"/>
      <c r="BE202" s="1741">
        <v>-30.111999999999998</v>
      </c>
      <c r="BF202" s="673">
        <f>H202+T202+AJ202+AT202+BE202+Z202</f>
        <v>176.88600000000002</v>
      </c>
      <c r="BG202" s="1011"/>
      <c r="BH202" s="672"/>
      <c r="BI202" s="247"/>
      <c r="BJ202" s="806"/>
      <c r="BK202" s="806"/>
      <c r="BL202" s="806"/>
      <c r="BM202" s="806"/>
      <c r="BN202" s="247"/>
      <c r="BO202" s="1251">
        <f>E202/$AW202</f>
        <v>0.47938618660652954</v>
      </c>
      <c r="BP202" s="1251">
        <f>K202/AW202</f>
        <v>0</v>
      </c>
      <c r="BQ202" s="1251">
        <f>Q202/AW202</f>
        <v>0.22500118805379507</v>
      </c>
      <c r="BR202" s="1251">
        <f>W202/AW202</f>
        <v>0.14731327034488123</v>
      </c>
      <c r="BS202" s="1251"/>
      <c r="BT202" s="1251">
        <f>AG202/AW202</f>
        <v>0.12015220049163826</v>
      </c>
      <c r="BU202" s="1251">
        <f>BQ202</f>
        <v>0.22500118805379507</v>
      </c>
      <c r="BV202" s="658">
        <v>0</v>
      </c>
      <c r="BW202" s="1251">
        <f>AR202/AW202</f>
        <v>2.8147154503155903E-2</v>
      </c>
      <c r="BX202" s="247"/>
      <c r="BY202" s="247"/>
    </row>
    <row r="203" spans="1:77">
      <c r="A203" s="247"/>
      <c r="B203" s="247" t="str">
        <f>$B$16</f>
        <v>3Q</v>
      </c>
      <c r="C203" s="247" t="str">
        <f>$C$16</f>
        <v>Oct</v>
      </c>
      <c r="D203" s="247"/>
      <c r="E203" s="805">
        <v>416.74799999999999</v>
      </c>
      <c r="F203" s="802">
        <f>+(E203/E196-1)*100</f>
        <v>4.157575484925502</v>
      </c>
      <c r="G203" s="2063">
        <v>1</v>
      </c>
      <c r="H203" s="691">
        <v>61.661999999999999</v>
      </c>
      <c r="I203" s="671">
        <f>+H203/E203*100</f>
        <v>14.795991822396267</v>
      </c>
      <c r="J203" s="705"/>
      <c r="K203" s="1241"/>
      <c r="L203" s="798"/>
      <c r="M203" s="1162"/>
      <c r="N203" s="798"/>
      <c r="O203" s="1103"/>
      <c r="P203" s="664"/>
      <c r="Q203" s="805">
        <v>238.41200000000001</v>
      </c>
      <c r="R203" s="802">
        <f>(Q203/Q196-1)*100</f>
        <v>27.027732637131365</v>
      </c>
      <c r="S203" s="2063">
        <v>22</v>
      </c>
      <c r="T203" s="691">
        <v>59.975000000000001</v>
      </c>
      <c r="U203" s="671">
        <f>+T203/Q203*100</f>
        <v>25.156032414475781</v>
      </c>
      <c r="V203" s="664"/>
      <c r="W203" s="805">
        <v>128.30000000000001</v>
      </c>
      <c r="X203" s="802">
        <f>(W203/W196-1)*100</f>
        <v>-12.556313597731783</v>
      </c>
      <c r="Y203" s="2063">
        <v>5</v>
      </c>
      <c r="Z203" s="691">
        <v>46.527999999999999</v>
      </c>
      <c r="AA203" s="671">
        <f>+Z203/W203*100</f>
        <v>36.265003897116131</v>
      </c>
      <c r="AB203" s="723"/>
      <c r="AC203" s="1104"/>
      <c r="AD203" s="1163"/>
      <c r="AE203" s="964"/>
      <c r="AF203" s="964"/>
      <c r="AG203" s="805">
        <v>104.488</v>
      </c>
      <c r="AH203" s="802">
        <f>(AG203/AG196-1)*100</f>
        <v>7.0091352259227246</v>
      </c>
      <c r="AI203" s="2063">
        <v>2</v>
      </c>
      <c r="AJ203" s="691">
        <v>17.672000000000001</v>
      </c>
      <c r="AK203" s="671">
        <f>+AJ203/AG203*100</f>
        <v>16.912946941275553</v>
      </c>
      <c r="AL203" s="664"/>
      <c r="AM203" s="1288">
        <f>+qtrSales!AN175</f>
        <v>33.067167876011183</v>
      </c>
      <c r="AN203" s="2075">
        <f>+(AM203/AM196-1)*100</f>
        <v>7.0000000000000062</v>
      </c>
      <c r="AO203" s="673"/>
      <c r="AP203" s="705"/>
      <c r="AQ203" s="664"/>
      <c r="AR203" s="805">
        <v>23.53</v>
      </c>
      <c r="AS203" s="802">
        <f>+(AR203/AR196-1)*100</f>
        <v>14.356531881804035</v>
      </c>
      <c r="AT203" s="1741">
        <v>-1.722</v>
      </c>
      <c r="AU203" s="671">
        <f>+AT203/AR203*100</f>
        <v>-7.3183170420739474</v>
      </c>
      <c r="AV203" s="664"/>
      <c r="AW203" s="673">
        <f>AR203+AG203+Q203+E203+W203</f>
        <v>911.47800000000007</v>
      </c>
      <c r="AX203" s="912"/>
      <c r="AY203" s="673"/>
      <c r="AZ203" s="804"/>
      <c r="BA203" s="912"/>
      <c r="BB203" s="664"/>
      <c r="BC203" s="903">
        <f>+'qtrP&amp;L'!CT50</f>
        <v>153.61799999999999</v>
      </c>
      <c r="BD203" s="672"/>
      <c r="BE203" s="1260">
        <v>-30.497</v>
      </c>
      <c r="BF203" s="673">
        <f>H203+T203+AJ203+AT203+BE203+Z203</f>
        <v>153.61799999999999</v>
      </c>
      <c r="BG203" s="1011"/>
      <c r="BH203" s="672"/>
      <c r="BI203" s="247"/>
      <c r="BJ203" s="806"/>
      <c r="BK203" s="806"/>
      <c r="BL203" s="806"/>
      <c r="BM203" s="806"/>
      <c r="BN203" s="247"/>
      <c r="BO203" s="1251">
        <f>E203/$AW203</f>
        <v>0.45722222587928613</v>
      </c>
      <c r="BP203" s="1251">
        <f>K203/AW203</f>
        <v>0</v>
      </c>
      <c r="BQ203" s="1251">
        <f>Q203/AW203</f>
        <v>0.26156637900201651</v>
      </c>
      <c r="BR203" s="1251">
        <f>W203/AW203</f>
        <v>0.14076039136435547</v>
      </c>
      <c r="BS203" s="1251"/>
      <c r="BT203" s="1251">
        <f>AG203/AW203</f>
        <v>0.11463578934433963</v>
      </c>
      <c r="BU203" s="1251">
        <f>BQ203</f>
        <v>0.26156637900201651</v>
      </c>
      <c r="BV203" s="658">
        <v>0</v>
      </c>
      <c r="BW203" s="1251">
        <f>AR203/AW203</f>
        <v>2.5815214410002216E-2</v>
      </c>
      <c r="BX203" s="247"/>
      <c r="BY203" s="247"/>
    </row>
    <row r="204" spans="1:77">
      <c r="A204" s="247"/>
      <c r="B204" s="247" t="str">
        <f>$B$17</f>
        <v>4Q</v>
      </c>
      <c r="C204" s="247" t="str">
        <f>$C$17</f>
        <v>Jan</v>
      </c>
      <c r="D204" s="247"/>
      <c r="E204" s="807">
        <f>1926.864-E201-E202-E203</f>
        <v>658.56299999999987</v>
      </c>
      <c r="F204" s="802">
        <f>+(E204/E197-1)*100</f>
        <v>6.1867837914971524</v>
      </c>
      <c r="G204" s="2063">
        <v>7</v>
      </c>
      <c r="H204" s="801">
        <f>H205-SUM(H201:H203)</f>
        <v>165.98699999999999</v>
      </c>
      <c r="I204" s="671">
        <f>+H204/E204*100</f>
        <v>25.204422355947724</v>
      </c>
      <c r="J204" s="705"/>
      <c r="K204" s="1242"/>
      <c r="L204" s="798"/>
      <c r="M204" s="1162"/>
      <c r="N204" s="798"/>
      <c r="O204" s="1103"/>
      <c r="P204" s="664"/>
      <c r="Q204" s="807">
        <f>944.676-Q201-Q202-Q203</f>
        <v>274.51199999999994</v>
      </c>
      <c r="R204" s="802">
        <f>(Q204/Q197-1)*100</f>
        <v>8.2772249109562601</v>
      </c>
      <c r="S204" s="2063">
        <v>4</v>
      </c>
      <c r="T204" s="801">
        <f>T205-SUM(T201:T203)</f>
        <v>78.825999999999993</v>
      </c>
      <c r="U204" s="671">
        <f>+T204/Q204*100</f>
        <v>28.714955994637759</v>
      </c>
      <c r="V204" s="664"/>
      <c r="W204" s="807">
        <f>578.571-W201-W202-W203</f>
        <v>169.34899999999999</v>
      </c>
      <c r="X204" s="802">
        <f>(W204/W197-1)*100</f>
        <v>-11.801989479714569</v>
      </c>
      <c r="Y204" s="2063">
        <v>8</v>
      </c>
      <c r="Z204" s="801">
        <f>Z205-SUM(Z201:Z203)</f>
        <v>67.400000000000006</v>
      </c>
      <c r="AA204" s="671">
        <f>+Z204/W204*100</f>
        <v>39.79946737211322</v>
      </c>
      <c r="AB204" s="964"/>
      <c r="AC204" s="1152"/>
      <c r="AD204" s="1164"/>
      <c r="AE204" s="964"/>
      <c r="AF204" s="964"/>
      <c r="AG204" s="807">
        <f>469.784-AG201-AG202-AG203</f>
        <v>161.06299999999999</v>
      </c>
      <c r="AH204" s="802">
        <f>(AG204/AG197-1)*100</f>
        <v>10.014207456182289</v>
      </c>
      <c r="AI204" s="2063">
        <v>2</v>
      </c>
      <c r="AJ204" s="801">
        <f>AJ205-SUM(AJ201:AJ203)</f>
        <v>46.865000000000009</v>
      </c>
      <c r="AK204" s="671">
        <f>+AJ204/AG204*100</f>
        <v>29.097309748359347</v>
      </c>
      <c r="AL204" s="664"/>
      <c r="AM204" s="1289">
        <f>+qtrSales!AN176</f>
        <v>81.259556028825614</v>
      </c>
      <c r="AN204" s="2075">
        <f>+(AM204/AM197-1)*100</f>
        <v>3.0000000000000027</v>
      </c>
      <c r="AO204" s="1098"/>
      <c r="AP204" s="705"/>
      <c r="AQ204" s="664"/>
      <c r="AR204" s="807">
        <f>111.235-AR201-AR202-AR203</f>
        <v>34.797000000000004</v>
      </c>
      <c r="AS204" s="802">
        <f>+(AR204/AR197-1)*100</f>
        <v>47.214113466175966</v>
      </c>
      <c r="AT204" s="801">
        <f>AT205-SUM(AT201:AT203)</f>
        <v>1.4169999999999998</v>
      </c>
      <c r="AU204" s="671">
        <f>+AT204/AR204*100</f>
        <v>4.0721901313331603</v>
      </c>
      <c r="AV204" s="664"/>
      <c r="AW204" s="677">
        <f>AR204+AG204+Q204+E204+W204</f>
        <v>1298.2839999999999</v>
      </c>
      <c r="AX204" s="912"/>
      <c r="AY204" s="677"/>
      <c r="AZ204" s="804"/>
      <c r="BA204" s="912"/>
      <c r="BB204" s="664"/>
      <c r="BC204" s="677">
        <f>+'qtrP&amp;L'!CT51</f>
        <v>312.87800000000016</v>
      </c>
      <c r="BD204" s="685"/>
      <c r="BE204" s="2228">
        <v>-34</v>
      </c>
      <c r="BF204" s="677">
        <f>H204+T204+AJ204+AT204+BE204+Z204</f>
        <v>326.495</v>
      </c>
      <c r="BG204" s="1011"/>
      <c r="BH204" s="672"/>
      <c r="BI204" s="247"/>
      <c r="BJ204" s="806"/>
      <c r="BK204" s="806"/>
      <c r="BL204" s="806"/>
      <c r="BM204" s="806"/>
      <c r="BN204" s="247"/>
      <c r="BO204" s="1231">
        <f>E204/$AW204</f>
        <v>0.50725650165911307</v>
      </c>
      <c r="BP204" s="1231">
        <f>K204/AW204</f>
        <v>0</v>
      </c>
      <c r="BQ204" s="1231">
        <f>Q204/AW204</f>
        <v>0.21144218060147085</v>
      </c>
      <c r="BR204" s="1231">
        <f>W204/AW204</f>
        <v>0.13044064318746901</v>
      </c>
      <c r="BS204" s="1231"/>
      <c r="BT204" s="1231">
        <f>AG204/AW204</f>
        <v>0.12405837243623122</v>
      </c>
      <c r="BU204" s="1231">
        <f>BQ204</f>
        <v>0.21144218060147085</v>
      </c>
      <c r="BV204" s="658">
        <v>0</v>
      </c>
      <c r="BW204" s="1231">
        <f>AR204/AW204</f>
        <v>2.6802302115715826E-2</v>
      </c>
      <c r="BX204" s="247"/>
      <c r="BY204" s="247"/>
    </row>
    <row r="205" spans="1:77">
      <c r="A205" s="658"/>
      <c r="B205" s="658"/>
      <c r="C205" s="658" t="str">
        <f>$C$18</f>
        <v>Year</v>
      </c>
      <c r="D205" s="658"/>
      <c r="E205" s="946">
        <f>+SUM(E201:E204)</f>
        <v>1926.8639999999998</v>
      </c>
      <c r="F205" s="802">
        <f>+(E205/E198-1)*100</f>
        <v>4.7226339139409212</v>
      </c>
      <c r="G205" s="2063">
        <v>3</v>
      </c>
      <c r="H205" s="695">
        <v>374.34199999999998</v>
      </c>
      <c r="I205" s="671">
        <f>+H205/E205*100</f>
        <v>19.427525762067276</v>
      </c>
      <c r="J205" s="701"/>
      <c r="K205" s="1241"/>
      <c r="L205" s="798"/>
      <c r="M205" s="798"/>
      <c r="N205" s="798"/>
      <c r="O205" s="1103"/>
      <c r="P205" s="700"/>
      <c r="Q205" s="799">
        <f>SeqQtrSales!V382</f>
        <v>944.67599999999993</v>
      </c>
      <c r="R205" s="802">
        <f>(Q205/Q198-1)*100</f>
        <v>16.566224920411642</v>
      </c>
      <c r="S205" s="2063">
        <v>11</v>
      </c>
      <c r="T205" s="695">
        <v>244.142</v>
      </c>
      <c r="U205" s="671">
        <f>+T205/Q205*100</f>
        <v>25.843993072757222</v>
      </c>
      <c r="V205" s="700"/>
      <c r="W205" s="799">
        <f>+SUM(W201:W204)</f>
        <v>578.57100000000003</v>
      </c>
      <c r="X205" s="1302">
        <f>(W205/W198-1)*100</f>
        <v>-9.4830135250357763</v>
      </c>
      <c r="Y205" s="2063">
        <v>10</v>
      </c>
      <c r="Z205" s="695">
        <v>215.58199999999999</v>
      </c>
      <c r="AA205" s="671">
        <f>+Z205/W205*100</f>
        <v>37.261114020578283</v>
      </c>
      <c r="AB205" s="713"/>
      <c r="AC205" s="1106"/>
      <c r="AD205" s="1109"/>
      <c r="AE205" s="713"/>
      <c r="AF205" s="713"/>
      <c r="AG205" s="799">
        <f>+SUM(AG201:AG204)</f>
        <v>469.78399999999999</v>
      </c>
      <c r="AH205" s="802">
        <f>(AG205/AG198-1)*100</f>
        <v>8.704274042210546</v>
      </c>
      <c r="AI205" s="2063">
        <v>4</v>
      </c>
      <c r="AJ205" s="695">
        <v>101.15300000000001</v>
      </c>
      <c r="AK205" s="671">
        <f>+AJ205/AG205*100</f>
        <v>21.531810363911926</v>
      </c>
      <c r="AL205" s="700"/>
      <c r="AM205" s="799">
        <f>SUM(AM201:AM204)</f>
        <v>194.4444314155194</v>
      </c>
      <c r="AN205" s="2075">
        <f>+(AM205/AM198-1)*100</f>
        <v>3.6589989371324183</v>
      </c>
      <c r="AO205" s="667"/>
      <c r="AP205" s="705"/>
      <c r="AQ205" s="700"/>
      <c r="AR205" s="799">
        <f>+SUM(AR201:AR204)</f>
        <v>111.23500000000001</v>
      </c>
      <c r="AS205" s="802">
        <f>+(AR205/AR198-1)*100</f>
        <v>53.410658134274854</v>
      </c>
      <c r="AT205" s="695">
        <v>-0.64900000000000002</v>
      </c>
      <c r="AU205" s="671">
        <f>+AT205/AR205*100</f>
        <v>-0.5834494538589472</v>
      </c>
      <c r="AV205" s="700"/>
      <c r="AW205" s="667">
        <f>AR205+AG205+Q205+E205+W205</f>
        <v>4031.1299999999997</v>
      </c>
      <c r="AX205" s="912"/>
      <c r="AY205" s="1021"/>
      <c r="AZ205" s="804"/>
      <c r="BA205" s="912"/>
      <c r="BB205" s="700"/>
      <c r="BC205" s="667">
        <f>+'qtrP&amp;L'!CT52</f>
        <v>793.94000000000028</v>
      </c>
      <c r="BD205" s="701"/>
      <c r="BE205" s="2131">
        <v>-140.69999999999999</v>
      </c>
      <c r="BF205" s="667">
        <f>H205+T205+AJ205+AT205+BE205</f>
        <v>578.28800000000001</v>
      </c>
      <c r="BG205" s="1011"/>
      <c r="BH205" s="701"/>
      <c r="BI205" s="658"/>
      <c r="BJ205" s="203"/>
      <c r="BK205" s="203"/>
      <c r="BL205" s="203"/>
      <c r="BM205" s="203"/>
      <c r="BN205" s="658"/>
      <c r="BO205" s="322">
        <f>E205/$AW205</f>
        <v>0.47799599615988569</v>
      </c>
      <c r="BP205" s="322">
        <f>K205/AW205</f>
        <v>0</v>
      </c>
      <c r="BQ205" s="322">
        <f>Q205/AW205</f>
        <v>0.23434520841550632</v>
      </c>
      <c r="BR205" s="1251">
        <f>W205/AW205</f>
        <v>0.14352576076683216</v>
      </c>
      <c r="BS205" s="322"/>
      <c r="BT205" s="322">
        <f>AG205/AW205</f>
        <v>0.11653903496042053</v>
      </c>
      <c r="BU205" s="1251">
        <f>BQ205</f>
        <v>0.23434520841550632</v>
      </c>
      <c r="BV205" s="658">
        <v>0</v>
      </c>
      <c r="BW205" s="322">
        <f>AR205/AW205</f>
        <v>2.7593999697355338E-2</v>
      </c>
      <c r="BX205" s="658"/>
      <c r="BY205" s="658"/>
    </row>
    <row r="206" spans="1:77">
      <c r="E206" s="1778"/>
      <c r="F206" s="216"/>
      <c r="G206" s="2070"/>
      <c r="H206" s="216"/>
      <c r="I206" s="1779"/>
      <c r="L206">
        <f>3700/4</f>
        <v>925</v>
      </c>
      <c r="Q206" s="2018"/>
      <c r="R206" s="216"/>
      <c r="S206" s="2070"/>
      <c r="T206" s="1803"/>
      <c r="U206" s="1779"/>
      <c r="W206" s="1982"/>
      <c r="X206" s="1983"/>
      <c r="Y206" s="2070"/>
      <c r="Z206" s="1803"/>
      <c r="AA206" s="1779"/>
      <c r="AC206" s="1778"/>
      <c r="AD206" s="1779"/>
      <c r="AG206" s="1778"/>
      <c r="AH206" s="216"/>
      <c r="AI206" s="2070"/>
      <c r="AJ206" s="216"/>
      <c r="AK206" s="1779"/>
      <c r="AM206" s="1778"/>
      <c r="AN206" s="2078"/>
      <c r="AR206" s="1778"/>
      <c r="AS206" s="216"/>
      <c r="AT206" s="216"/>
      <c r="AU206" s="1779"/>
    </row>
    <row r="207" spans="1:77">
      <c r="A207" s="247"/>
      <c r="B207" s="2507">
        <f>+B200+1</f>
        <v>2014</v>
      </c>
      <c r="C207" s="2507"/>
      <c r="D207" s="247"/>
      <c r="E207" s="2017"/>
      <c r="F207" s="893"/>
      <c r="G207" s="2064"/>
      <c r="H207" s="658"/>
      <c r="I207" s="895"/>
      <c r="J207" s="709"/>
      <c r="K207" s="1102"/>
      <c r="L207" s="798"/>
      <c r="M207" s="709"/>
      <c r="N207" s="893"/>
      <c r="O207" s="1103"/>
      <c r="P207" s="643"/>
      <c r="Q207" s="2017"/>
      <c r="R207" s="893"/>
      <c r="S207" s="2064"/>
      <c r="T207" s="658"/>
      <c r="U207" s="895"/>
      <c r="V207" s="643"/>
      <c r="W207" s="1230"/>
      <c r="X207" s="1984"/>
      <c r="Y207" s="2064"/>
      <c r="Z207" s="658"/>
      <c r="AA207" s="895"/>
      <c r="AB207" s="643"/>
      <c r="AC207" s="1277"/>
      <c r="AD207" s="1108"/>
      <c r="AE207" s="643"/>
      <c r="AF207" s="643"/>
      <c r="AG207" s="1230"/>
      <c r="AH207" s="893"/>
      <c r="AI207" s="2064"/>
      <c r="AJ207" s="658"/>
      <c r="AK207" s="895"/>
      <c r="AL207" s="643"/>
      <c r="AM207" s="1230"/>
      <c r="AN207" s="2077"/>
      <c r="AO207" s="658"/>
      <c r="AP207" s="1119"/>
      <c r="AQ207" s="643"/>
      <c r="AR207" s="1230"/>
      <c r="AS207" s="893"/>
      <c r="AT207" s="658"/>
      <c r="AU207" s="895"/>
      <c r="AV207" s="643"/>
      <c r="AW207" s="658"/>
      <c r="AX207" s="658"/>
      <c r="AY207" s="658"/>
      <c r="AZ207" s="659"/>
      <c r="BA207" s="256"/>
      <c r="BB207" s="256"/>
      <c r="BC207" s="658"/>
      <c r="BD207" s="658"/>
      <c r="BE207" s="658"/>
      <c r="BF207" s="658"/>
      <c r="BG207" s="1011"/>
      <c r="BH207" s="247"/>
      <c r="BI207" s="247"/>
      <c r="BJ207" s="247"/>
      <c r="BK207" s="247"/>
      <c r="BL207" s="247"/>
      <c r="BM207" s="247"/>
      <c r="BN207" s="247"/>
      <c r="BO207" s="1251"/>
      <c r="BP207" s="1251"/>
      <c r="BQ207" s="1251"/>
      <c r="BR207" s="1251"/>
      <c r="BS207" s="1251"/>
      <c r="BT207" s="1251"/>
      <c r="BU207" s="1251"/>
      <c r="BV207" s="658">
        <v>0</v>
      </c>
      <c r="BW207" s="1251"/>
      <c r="BX207" s="247"/>
      <c r="BY207" s="247"/>
    </row>
    <row r="208" spans="1:77">
      <c r="A208" s="247"/>
      <c r="B208" s="247" t="str">
        <f>$B$14</f>
        <v>1Q</v>
      </c>
      <c r="C208" s="247" t="str">
        <f>$C$14</f>
        <v>Apr</v>
      </c>
      <c r="D208" s="247"/>
      <c r="E208" s="724">
        <v>438.68799999999999</v>
      </c>
      <c r="F208" s="802">
        <f>+(E208/E201-1)*100</f>
        <v>7.6014785490204684</v>
      </c>
      <c r="G208" s="2063">
        <v>8</v>
      </c>
      <c r="H208" s="695">
        <v>81.483999999999995</v>
      </c>
      <c r="I208" s="671">
        <f>+H208/E208*100</f>
        <v>18.574476621197753</v>
      </c>
      <c r="J208" s="705"/>
      <c r="K208" s="1146"/>
      <c r="L208" s="798"/>
      <c r="M208" s="798"/>
      <c r="N208" s="798"/>
      <c r="O208" s="1103"/>
      <c r="P208" s="664"/>
      <c r="Q208" s="724">
        <v>260.94400000000002</v>
      </c>
      <c r="R208" s="802">
        <f>(Q208/Q201-1)*100</f>
        <v>16.791614263271693</v>
      </c>
      <c r="S208" s="2063">
        <v>10</v>
      </c>
      <c r="T208" s="695">
        <v>71.840999999999994</v>
      </c>
      <c r="U208" s="671">
        <f>+T208/Q208*100</f>
        <v>27.531194432521914</v>
      </c>
      <c r="V208" s="664"/>
      <c r="W208" s="724">
        <v>173.89400000000001</v>
      </c>
      <c r="X208" s="802">
        <f>(W208/W201-1)*100</f>
        <v>20.319386688992381</v>
      </c>
      <c r="Y208" s="2063">
        <v>30</v>
      </c>
      <c r="Z208" s="695">
        <v>71.495999999999995</v>
      </c>
      <c r="AA208" s="671">
        <f>+Z208/W208*100</f>
        <v>41.114702059875555</v>
      </c>
      <c r="AB208" s="723"/>
      <c r="AC208" s="1104"/>
      <c r="AD208" s="1163"/>
      <c r="AE208" s="964"/>
      <c r="AF208" s="964"/>
      <c r="AG208" s="724">
        <v>101.285</v>
      </c>
      <c r="AH208" s="802">
        <f>(AG208/AG201-1)*100</f>
        <v>8.924999462284644</v>
      </c>
      <c r="AI208" s="2063">
        <v>-3</v>
      </c>
      <c r="AJ208" s="695">
        <v>16.972000000000001</v>
      </c>
      <c r="AK208" s="671">
        <f>+AJ208/AG208*100</f>
        <v>16.756676704349115</v>
      </c>
      <c r="AL208" s="664"/>
      <c r="AM208" s="1287">
        <f>+qtrSales!AN180</f>
        <v>42.751306288318624</v>
      </c>
      <c r="AN208" s="2075">
        <f>+(AM208/AM201-1)*100</f>
        <v>5.0000000000000044</v>
      </c>
      <c r="AO208" s="667"/>
      <c r="AP208" s="705"/>
      <c r="AQ208" s="664"/>
      <c r="AR208" s="724">
        <v>37.320999999999998</v>
      </c>
      <c r="AS208" s="2108">
        <f>+(AR208/AR201-1)*100</f>
        <v>39.013670056244635</v>
      </c>
      <c r="AT208" s="1616">
        <v>2.2639999999999998</v>
      </c>
      <c r="AU208" s="671">
        <f>+AT208/AR208*100</f>
        <v>6.0662897564373948</v>
      </c>
      <c r="AV208" s="664"/>
      <c r="AW208" s="1168">
        <f>AR208+AG208+Q208+E208+W208</f>
        <v>1012.1320000000001</v>
      </c>
      <c r="AX208" s="912"/>
      <c r="AY208" s="1036"/>
      <c r="AZ208" s="804"/>
      <c r="BA208" s="912"/>
      <c r="BB208" s="664"/>
      <c r="BC208" s="1168">
        <f>'qtrP&amp;L'!CX48</f>
        <v>209.79299999999995</v>
      </c>
      <c r="BD208" s="672"/>
      <c r="BE208" s="691">
        <v>-34.299999999999997</v>
      </c>
      <c r="BF208" s="1168">
        <f>H208+T208+AJ208+AT208+BE208+Z208</f>
        <v>209.75700000000001</v>
      </c>
      <c r="BG208" s="1011"/>
      <c r="BH208" s="672"/>
      <c r="BI208" s="247"/>
      <c r="BJ208" s="806"/>
      <c r="BK208" s="806"/>
      <c r="BL208" s="806"/>
      <c r="BM208" s="806"/>
      <c r="BN208" s="247"/>
      <c r="BO208" s="1251">
        <f>E208/$AW208</f>
        <v>0.4334296317081171</v>
      </c>
      <c r="BP208" s="1251">
        <f t="shared" ref="BP208:BP213" si="6">K208/AW208</f>
        <v>0</v>
      </c>
      <c r="BQ208" s="1251">
        <f>Q208/AW208</f>
        <v>0.25781617417490998</v>
      </c>
      <c r="BR208" s="1251">
        <f>W208/AW208</f>
        <v>0.17180960586168603</v>
      </c>
      <c r="BS208" s="1251"/>
      <c r="BT208" s="1251">
        <f>AG208/AW208</f>
        <v>0.10007093936364031</v>
      </c>
      <c r="BU208" s="1251">
        <f>BQ208</f>
        <v>0.25781617417490998</v>
      </c>
      <c r="BV208" s="658">
        <v>0</v>
      </c>
      <c r="BW208" s="1252">
        <f>AR208/AW208</f>
        <v>3.6873648891646543E-2</v>
      </c>
      <c r="BX208" s="247"/>
      <c r="BY208" s="247"/>
    </row>
    <row r="209" spans="1:77">
      <c r="A209" s="247"/>
      <c r="B209" s="247" t="str">
        <f>$B$15</f>
        <v>2Q</v>
      </c>
      <c r="C209" s="247" t="str">
        <f>$C$15</f>
        <v>Jul</v>
      </c>
      <c r="D209" s="247"/>
      <c r="E209" s="1726">
        <v>483.59500000000003</v>
      </c>
      <c r="F209" s="802">
        <f>+(E209/E202-1)*100</f>
        <v>8.9531289427201788</v>
      </c>
      <c r="G209" s="2069">
        <v>8</v>
      </c>
      <c r="H209" s="1737">
        <v>109.80500000000001</v>
      </c>
      <c r="I209" s="671">
        <f>+H209/E209*100</f>
        <v>22.705983312482552</v>
      </c>
      <c r="J209" s="705"/>
      <c r="K209" s="1146"/>
      <c r="L209" s="798"/>
      <c r="M209" s="1162"/>
      <c r="N209" s="798"/>
      <c r="O209" s="1103"/>
      <c r="P209" s="664"/>
      <c r="Q209" s="1726">
        <v>236.80500000000001</v>
      </c>
      <c r="R209" s="802">
        <f>(Q209/Q202-1)*100</f>
        <v>13.670946837873533</v>
      </c>
      <c r="S209" s="2069">
        <v>7</v>
      </c>
      <c r="T209" s="1737">
        <v>65.492000000000004</v>
      </c>
      <c r="U209" s="671">
        <f>+T209/Q209*100</f>
        <v>27.656510631109988</v>
      </c>
      <c r="V209" s="664"/>
      <c r="W209" s="1726">
        <v>119.08499999999999</v>
      </c>
      <c r="X209" s="802">
        <f>(W209/W202-1)*100</f>
        <v>-12.6910810513582</v>
      </c>
      <c r="Y209" s="2069">
        <v>-13</v>
      </c>
      <c r="Z209" s="1737">
        <v>39.173000000000002</v>
      </c>
      <c r="AA209" s="671">
        <f>+Z209/W209*100</f>
        <v>32.894990972834535</v>
      </c>
      <c r="AB209" s="964"/>
      <c r="AC209" s="1104"/>
      <c r="AD209" s="1163"/>
      <c r="AE209" s="964"/>
      <c r="AF209" s="964"/>
      <c r="AG209" s="1726">
        <v>120.033</v>
      </c>
      <c r="AH209" s="802">
        <f>(AG209/AG202-1)*100</f>
        <v>7.8977410626803524</v>
      </c>
      <c r="AI209" s="2069">
        <v>-8</v>
      </c>
      <c r="AJ209" s="1737">
        <v>25.114000000000001</v>
      </c>
      <c r="AK209" s="671">
        <f>+AJ209/AG209*100</f>
        <v>20.922579623936752</v>
      </c>
      <c r="AL209" s="664"/>
      <c r="AM209" s="1288">
        <f>+qtrSales!AN181</f>
        <v>41.37228659789811</v>
      </c>
      <c r="AN209" s="2075">
        <f>+(AM209/AM202-1)*100</f>
        <v>5.0000000000000044</v>
      </c>
      <c r="AO209" s="673"/>
      <c r="AP209" s="705"/>
      <c r="AQ209" s="664"/>
      <c r="AR209" s="1726">
        <v>33.411999999999999</v>
      </c>
      <c r="AS209" s="2108">
        <f>+(AR209/AR202-1)*100</f>
        <v>28.206899198035384</v>
      </c>
      <c r="AT209" s="1741">
        <v>2.399</v>
      </c>
      <c r="AU209" s="671">
        <f>+AT209/AR209*100</f>
        <v>7.1800550700347188</v>
      </c>
      <c r="AV209" s="664"/>
      <c r="AW209" s="673">
        <f>AR209+AG209+Q209+E209+W209</f>
        <v>992.93000000000006</v>
      </c>
      <c r="AX209" s="912"/>
      <c r="AY209" s="673"/>
      <c r="AZ209" s="804"/>
      <c r="BA209" s="912"/>
      <c r="BB209" s="664"/>
      <c r="BC209" s="903">
        <f>'qtrP&amp;L'!CX49</f>
        <v>208.52100000000002</v>
      </c>
      <c r="BD209" s="672"/>
      <c r="BE209" s="1741">
        <v>-33.462000000000003</v>
      </c>
      <c r="BF209" s="673">
        <f>H209+T209+AJ209+AT209+BE209+Z209</f>
        <v>208.52100000000002</v>
      </c>
      <c r="BG209" s="1011"/>
      <c r="BH209" s="672"/>
      <c r="BI209" s="247"/>
      <c r="BJ209" s="806"/>
      <c r="BK209" s="806"/>
      <c r="BL209" s="806"/>
      <c r="BM209" s="806"/>
      <c r="BN209" s="247"/>
      <c r="BO209" s="1251">
        <f>E209/$AW209</f>
        <v>0.48703836121378141</v>
      </c>
      <c r="BP209" s="1251">
        <f t="shared" si="6"/>
        <v>0</v>
      </c>
      <c r="BQ209" s="1251">
        <f>Q209/AW209</f>
        <v>0.23849113230539917</v>
      </c>
      <c r="BR209" s="1251">
        <f>W209/AW209</f>
        <v>0.11993292578530207</v>
      </c>
      <c r="BS209" s="1251"/>
      <c r="BT209" s="1251">
        <f>AG209/AW209</f>
        <v>0.12088767586838951</v>
      </c>
      <c r="BU209" s="1251">
        <f>BQ209</f>
        <v>0.23849113230539917</v>
      </c>
      <c r="BV209" s="658">
        <v>0</v>
      </c>
      <c r="BW209" s="1251">
        <f>AR209/AW209</f>
        <v>3.3649904827127791E-2</v>
      </c>
      <c r="BX209" s="247"/>
      <c r="BY209" s="247"/>
    </row>
    <row r="210" spans="1:77">
      <c r="A210" s="247"/>
      <c r="B210" s="247" t="str">
        <f>$B$16</f>
        <v>3Q</v>
      </c>
      <c r="C210" s="247" t="str">
        <f>$C$16</f>
        <v>Oct</v>
      </c>
      <c r="D210" s="247"/>
      <c r="E210" s="805">
        <v>458.6</v>
      </c>
      <c r="F210" s="802">
        <f>+(E210/E203-1)*100</f>
        <v>10.042519700154529</v>
      </c>
      <c r="G210" s="2063">
        <v>11</v>
      </c>
      <c r="H210" s="1737">
        <v>82.738</v>
      </c>
      <c r="I210" s="671">
        <f>+H210/E210*100</f>
        <v>18.041430440471</v>
      </c>
      <c r="J210" s="705"/>
      <c r="K210" s="1241"/>
      <c r="L210" s="798"/>
      <c r="M210" s="1162"/>
      <c r="N210" s="798"/>
      <c r="O210" s="1103"/>
      <c r="P210" s="664"/>
      <c r="Q210" s="805">
        <v>243.2</v>
      </c>
      <c r="R210" s="802">
        <f>(Q210/Q203-1)*100</f>
        <v>2.0082881734140745</v>
      </c>
      <c r="S210" s="2063">
        <v>-3</v>
      </c>
      <c r="T210" s="1737">
        <v>65.143000000000001</v>
      </c>
      <c r="U210" s="671">
        <f>+T210/Q210*100</f>
        <v>26.785773026315791</v>
      </c>
      <c r="V210" s="664"/>
      <c r="W210" s="805">
        <v>113.3</v>
      </c>
      <c r="X210" s="802">
        <f>(W210/W203-1)*100</f>
        <v>-11.691348402182399</v>
      </c>
      <c r="Y210" s="2063">
        <v>-6</v>
      </c>
      <c r="Z210" s="1737">
        <v>34.292999999999999</v>
      </c>
      <c r="AA210" s="671">
        <f>+Z210/W210*100</f>
        <v>30.267431597528681</v>
      </c>
      <c r="AB210" s="723"/>
      <c r="AC210" s="1986"/>
      <c r="AD210" s="1163"/>
      <c r="AE210" s="964"/>
      <c r="AF210" s="964"/>
      <c r="AG210" s="805">
        <v>114.4</v>
      </c>
      <c r="AH210" s="802">
        <f>(AG210/AG203-1)*100</f>
        <v>9.4862567950386723</v>
      </c>
      <c r="AI210" s="2063">
        <v>2</v>
      </c>
      <c r="AJ210" s="1737">
        <v>19.367000000000001</v>
      </c>
      <c r="AK210" s="671">
        <f>+AJ210/AG210*100</f>
        <v>16.929195804195803</v>
      </c>
      <c r="AL210" s="664"/>
      <c r="AM210" s="1288">
        <f>+qtrSales!AN182</f>
        <v>34.720526269811742</v>
      </c>
      <c r="AN210" s="2075">
        <f>+(AM210/AM203-1)*100</f>
        <v>5.0000000000000044</v>
      </c>
      <c r="AO210" s="673"/>
      <c r="AP210" s="705"/>
      <c r="AQ210" s="664"/>
      <c r="AR210" s="805">
        <v>30.1</v>
      </c>
      <c r="AS210" s="2108">
        <f>+(AR210/AR203-1)*100</f>
        <v>27.921801954951132</v>
      </c>
      <c r="AT210" s="1741">
        <v>1.6950000000000001</v>
      </c>
      <c r="AU210" s="671">
        <f>+AT210/AR210*100</f>
        <v>5.631229235880399</v>
      </c>
      <c r="AV210" s="664"/>
      <c r="AW210" s="673">
        <f>AR210+AG210+Q210+E210+W210</f>
        <v>959.59999999999991</v>
      </c>
      <c r="AX210" s="912"/>
      <c r="AY210" s="673"/>
      <c r="AZ210" s="804"/>
      <c r="BA210" s="912"/>
      <c r="BB210" s="664"/>
      <c r="BC210" s="903">
        <f>'qtrP&amp;L'!CX50</f>
        <v>168.4910000000001</v>
      </c>
      <c r="BD210" s="672"/>
      <c r="BE210" s="1260">
        <v>-34.700000000000003</v>
      </c>
      <c r="BF210" s="673">
        <f>H210+T210+AJ210+AT210+BE210+Z210</f>
        <v>168.536</v>
      </c>
      <c r="BG210" s="1011"/>
      <c r="BH210" s="672"/>
      <c r="BI210" s="247"/>
      <c r="BJ210" s="806"/>
      <c r="BK210" s="806"/>
      <c r="BL210" s="806"/>
      <c r="BM210" s="806"/>
      <c r="BN210" s="247"/>
      <c r="BO210" s="1251">
        <f>E210/$AW210</f>
        <v>0.4779074614422677</v>
      </c>
      <c r="BP210" s="1251">
        <f t="shared" si="6"/>
        <v>0</v>
      </c>
      <c r="BQ210" s="1251">
        <f>Q210/AW210</f>
        <v>0.25343893288870362</v>
      </c>
      <c r="BR210" s="1251">
        <f>W210/AW210</f>
        <v>0.11807002917882452</v>
      </c>
      <c r="BS210" s="1251"/>
      <c r="BT210" s="1251">
        <f>AG210/AW210</f>
        <v>0.11921634014172573</v>
      </c>
      <c r="BU210" s="1251">
        <f>BQ210</f>
        <v>0.25343893288870362</v>
      </c>
      <c r="BV210" s="658">
        <v>0</v>
      </c>
      <c r="BW210" s="1251">
        <f>AR210/AW210</f>
        <v>3.1367236348478537E-2</v>
      </c>
      <c r="BX210" s="247"/>
      <c r="BY210" s="247"/>
    </row>
    <row r="211" spans="1:77">
      <c r="A211" s="247"/>
      <c r="B211" s="247" t="str">
        <f>$B$17</f>
        <v>4Q</v>
      </c>
      <c r="C211" s="247" t="str">
        <f>$C$17</f>
        <v>Jan</v>
      </c>
      <c r="D211" s="247"/>
      <c r="E211" s="807">
        <v>653</v>
      </c>
      <c r="F211" s="802">
        <f>+(E211/E204-1)*100</f>
        <v>-0.84471796927551024</v>
      </c>
      <c r="G211" s="2063">
        <v>0</v>
      </c>
      <c r="H211" s="801">
        <f>H212-SUM(H208:H210)</f>
        <v>161.48000000000002</v>
      </c>
      <c r="I211" s="671">
        <f>+H211/E211*100</f>
        <v>24.728943338437979</v>
      </c>
      <c r="J211" s="705"/>
      <c r="K211" s="1242"/>
      <c r="L211" s="798"/>
      <c r="M211" s="1162"/>
      <c r="N211" s="798"/>
      <c r="O211" s="1103"/>
      <c r="P211" s="664"/>
      <c r="Q211" s="807">
        <v>284</v>
      </c>
      <c r="R211" s="802">
        <f>(Q211/Q204-1)*100</f>
        <v>3.4563152066212188</v>
      </c>
      <c r="S211" s="2063">
        <v>3</v>
      </c>
      <c r="T211" s="801">
        <f>T212-SUM(T208:T210)</f>
        <v>79.110000000000014</v>
      </c>
      <c r="U211" s="671">
        <f>+T211/Q211*100</f>
        <v>27.855633802816904</v>
      </c>
      <c r="V211" s="664"/>
      <c r="W211" s="807">
        <v>148</v>
      </c>
      <c r="X211" s="802">
        <f>(W211/W204-1)*100</f>
        <v>-12.606510814944283</v>
      </c>
      <c r="Y211" s="2063">
        <v>-5</v>
      </c>
      <c r="Z211" s="801">
        <f>Z212-SUM(Z208:Z210)</f>
        <v>51.023000000000025</v>
      </c>
      <c r="AA211" s="671">
        <f>+Z211/W211*100</f>
        <v>34.475000000000016</v>
      </c>
      <c r="AB211" s="964"/>
      <c r="AC211" s="1152"/>
      <c r="AD211" s="1164"/>
      <c r="AE211" s="964"/>
      <c r="AF211" s="964"/>
      <c r="AG211" s="807">
        <v>162</v>
      </c>
      <c r="AH211" s="802">
        <f>(AG211/AG204-1)*100</f>
        <v>0.58175993244879987</v>
      </c>
      <c r="AI211" s="2063">
        <v>4</v>
      </c>
      <c r="AJ211" s="801">
        <f>AJ212-SUM(AJ208:AJ210)</f>
        <v>46.352999999999994</v>
      </c>
      <c r="AK211" s="671">
        <f>+AJ211/AG211*100</f>
        <v>28.61296296296296</v>
      </c>
      <c r="AL211" s="664"/>
      <c r="AM211" s="1289">
        <f>+qtrSales!AN183</f>
        <v>85.322533830266892</v>
      </c>
      <c r="AN211" s="2075">
        <f>+(AM211/AM204-1)*100</f>
        <v>5.0000000000000044</v>
      </c>
      <c r="AO211" s="1098"/>
      <c r="AP211" s="705"/>
      <c r="AQ211" s="664"/>
      <c r="AR211" s="807">
        <v>39</v>
      </c>
      <c r="AS211" s="2108">
        <f>+(AR211/AR204-1)*100</f>
        <v>12.07862746788515</v>
      </c>
      <c r="AT211" s="801">
        <f>AT212-SUM(AT208:AT210)</f>
        <v>1.2519999999999998</v>
      </c>
      <c r="AU211" s="671">
        <f>+AT211/AR211*100</f>
        <v>3.2102564102564095</v>
      </c>
      <c r="AV211" s="664"/>
      <c r="AW211" s="677">
        <f>AR211+AG211+Q211+E211+W211</f>
        <v>1286</v>
      </c>
      <c r="AX211" s="912"/>
      <c r="AY211" s="677"/>
      <c r="AZ211" s="804"/>
      <c r="BA211" s="912"/>
      <c r="BB211" s="664"/>
      <c r="BC211" s="677">
        <f>'qtrP&amp;L'!CX51</f>
        <v>304.62400000000002</v>
      </c>
      <c r="BD211" s="685"/>
      <c r="BE211" s="2228">
        <f>BE212-SUM(BE208:BE210)</f>
        <v>-34.637999999999991</v>
      </c>
      <c r="BF211" s="677">
        <f>H211+T211+AJ211+AT211+BE211+Z211</f>
        <v>304.5800000000001</v>
      </c>
      <c r="BG211" s="1011"/>
      <c r="BH211" s="672"/>
      <c r="BI211" s="247"/>
      <c r="BJ211" s="806"/>
      <c r="BK211" s="806"/>
      <c r="BL211" s="806"/>
      <c r="BM211" s="806"/>
      <c r="BN211" s="247"/>
      <c r="BO211" s="1231">
        <f>E211/$AW211</f>
        <v>0.50777604976671853</v>
      </c>
      <c r="BP211" s="1231">
        <f t="shared" si="6"/>
        <v>0</v>
      </c>
      <c r="BQ211" s="1231">
        <f>Q211/AW211</f>
        <v>0.2208398133748056</v>
      </c>
      <c r="BR211" s="1231">
        <f>W211/AW211</f>
        <v>0.11508553654743391</v>
      </c>
      <c r="BS211" s="1231"/>
      <c r="BT211" s="1231">
        <f>AG211/AW211</f>
        <v>0.12597200622083982</v>
      </c>
      <c r="BU211" s="1231">
        <f>BQ211</f>
        <v>0.2208398133748056</v>
      </c>
      <c r="BV211" s="658">
        <v>0</v>
      </c>
      <c r="BW211" s="1231">
        <f>AR211/AW211</f>
        <v>3.0326594090202177E-2</v>
      </c>
      <c r="BX211" s="247"/>
      <c r="BY211" s="247"/>
    </row>
    <row r="212" spans="1:77">
      <c r="A212" s="658"/>
      <c r="B212" s="658"/>
      <c r="C212" s="658" t="str">
        <f>$C$18</f>
        <v>Year</v>
      </c>
      <c r="D212" s="658"/>
      <c r="E212" s="946">
        <f>+SUM(E208:E211)</f>
        <v>2033.883</v>
      </c>
      <c r="F212" s="802">
        <f>+(E212/E205-1)*100</f>
        <v>5.5540505193931722</v>
      </c>
      <c r="G212" s="2063">
        <v>6</v>
      </c>
      <c r="H212" s="695">
        <v>435.50700000000001</v>
      </c>
      <c r="I212" s="671">
        <f>+H212/E212*100</f>
        <v>21.412588629729441</v>
      </c>
      <c r="J212" s="701"/>
      <c r="K212" s="1241"/>
      <c r="L212" s="798"/>
      <c r="M212" s="798"/>
      <c r="N212" s="798"/>
      <c r="O212" s="1103"/>
      <c r="P212" s="700"/>
      <c r="Q212" s="946">
        <f>SeqQtrSales!V389</f>
        <v>1024.9490000000001</v>
      </c>
      <c r="R212" s="802">
        <f>(Q212/Q205-1)*100</f>
        <v>8.4974107524696372</v>
      </c>
      <c r="S212" s="2063">
        <v>4</v>
      </c>
      <c r="T212" s="695">
        <v>281.58600000000001</v>
      </c>
      <c r="U212" s="671">
        <f>+T212/Q212*100</f>
        <v>27.473171835866957</v>
      </c>
      <c r="V212" s="700"/>
      <c r="W212" s="946">
        <f>+SUM(W208:W211)</f>
        <v>554.279</v>
      </c>
      <c r="X212" s="1302">
        <f>(W212/W205-1)*100</f>
        <v>-4.1986203940397981</v>
      </c>
      <c r="Y212" s="2063">
        <v>1</v>
      </c>
      <c r="Z212" s="695">
        <v>195.98500000000001</v>
      </c>
      <c r="AA212" s="671">
        <f>+Z212/W212*100</f>
        <v>35.358546868995582</v>
      </c>
      <c r="AB212" s="713"/>
      <c r="AC212" s="1106"/>
      <c r="AD212" s="1109"/>
      <c r="AE212" s="713"/>
      <c r="AF212" s="713"/>
      <c r="AG212" s="946">
        <f>+SUM(AG208:AG211)</f>
        <v>497.71799999999996</v>
      </c>
      <c r="AH212" s="802">
        <f>(AG212/AG205-1)*100</f>
        <v>5.9461369480442006</v>
      </c>
      <c r="AI212" s="2063">
        <v>-1</v>
      </c>
      <c r="AJ212" s="695">
        <v>107.806</v>
      </c>
      <c r="AK212" s="671">
        <f>+AJ212/AG212*100</f>
        <v>21.660056497856218</v>
      </c>
      <c r="AL212" s="700"/>
      <c r="AM212" s="799">
        <f>SUM(AM208:AM211)</f>
        <v>204.16665298629536</v>
      </c>
      <c r="AN212" s="2075">
        <f>+(AM212/AM205-1)*100</f>
        <v>5.0000000000000044</v>
      </c>
      <c r="AO212" s="667"/>
      <c r="AP212" s="705"/>
      <c r="AQ212" s="700"/>
      <c r="AR212" s="946">
        <f>+SUM(AR208:AR211)</f>
        <v>139.833</v>
      </c>
      <c r="AS212" s="802">
        <f>+(AR212/AR205-1)*100</f>
        <v>25.709533869735225</v>
      </c>
      <c r="AT212" s="695">
        <v>7.61</v>
      </c>
      <c r="AU212" s="671">
        <f>+AT212/AR212*100</f>
        <v>5.4422060600859599</v>
      </c>
      <c r="AV212" s="700"/>
      <c r="AW212" s="667">
        <f>AR212+AG212+Q212+E212+W212</f>
        <v>4250.6620000000003</v>
      </c>
      <c r="AX212" s="912"/>
      <c r="AY212" s="1021"/>
      <c r="AZ212" s="804"/>
      <c r="BA212" s="912"/>
      <c r="BB212" s="700"/>
      <c r="BC212" s="667">
        <f>'qtrP&amp;L'!CX52</f>
        <v>891.42900000000009</v>
      </c>
      <c r="BD212" s="701"/>
      <c r="BE212" s="2131">
        <v>-137.1</v>
      </c>
      <c r="BF212" s="667">
        <f>H212+T212+AJ212+AT212+BE212</f>
        <v>695.40900000000011</v>
      </c>
      <c r="BG212" s="1011"/>
      <c r="BH212" s="701"/>
      <c r="BI212" s="658"/>
      <c r="BJ212" s="203"/>
      <c r="BK212" s="203"/>
      <c r="BL212" s="203"/>
      <c r="BM212" s="203"/>
      <c r="BN212" s="658"/>
      <c r="BO212" s="322">
        <f>E212/$AW212</f>
        <v>0.47848617462409382</v>
      </c>
      <c r="BP212" s="322">
        <f t="shared" si="6"/>
        <v>0</v>
      </c>
      <c r="BQ212" s="322">
        <f>Q212/AW212</f>
        <v>0.24112691152578117</v>
      </c>
      <c r="BR212" s="1251">
        <f>W212/AW212</f>
        <v>0.13039827678606297</v>
      </c>
      <c r="BS212" s="322"/>
      <c r="BT212" s="322">
        <f>AG212/AW212</f>
        <v>0.11709187886498619</v>
      </c>
      <c r="BU212" s="1251">
        <f>BQ212</f>
        <v>0.24112691152578117</v>
      </c>
      <c r="BV212" s="658">
        <v>0</v>
      </c>
      <c r="BW212" s="322">
        <f>AR212/AW212</f>
        <v>3.289675819907581E-2</v>
      </c>
      <c r="BX212" s="658"/>
      <c r="BY212" s="658"/>
    </row>
    <row r="213" spans="1:77">
      <c r="E213" s="2041"/>
      <c r="F213" s="2021"/>
      <c r="G213" s="2071"/>
      <c r="H213" s="2021">
        <f>E211*0.249</f>
        <v>162.59700000000001</v>
      </c>
      <c r="I213" s="1779"/>
      <c r="L213">
        <f>3700/4</f>
        <v>925</v>
      </c>
      <c r="Q213" s="2102"/>
      <c r="R213" s="2021"/>
      <c r="S213" s="2071"/>
      <c r="T213" s="2026">
        <f>Q211*0.287</f>
        <v>81.507999999999996</v>
      </c>
      <c r="U213" s="2027"/>
      <c r="W213" s="2025">
        <v>113</v>
      </c>
      <c r="X213" s="2030"/>
      <c r="Y213" s="2071"/>
      <c r="Z213" s="2026">
        <f>W211*0.339</f>
        <v>50.172000000000004</v>
      </c>
      <c r="AA213" s="1779"/>
      <c r="AC213" s="1778"/>
      <c r="AD213" s="1779"/>
      <c r="AG213" s="2020">
        <v>133</v>
      </c>
      <c r="AH213" s="2021"/>
      <c r="AI213" s="2071"/>
      <c r="AJ213" s="2021">
        <f>AG211*0.301</f>
        <v>48.762</v>
      </c>
      <c r="AK213" s="2027"/>
      <c r="AM213" s="1778"/>
      <c r="AN213" s="2078"/>
      <c r="AR213" s="1778"/>
      <c r="AS213" s="216"/>
      <c r="AT213" s="2021">
        <f>AR211*0.057</f>
        <v>2.2229999999999999</v>
      </c>
      <c r="AU213" s="1779"/>
      <c r="AW213" s="2032">
        <f>SUM(H213,T213,Z213,AJ213,AT213)</f>
        <v>345.26200000000006</v>
      </c>
      <c r="BP213" s="322">
        <f t="shared" si="6"/>
        <v>0</v>
      </c>
    </row>
    <row r="214" spans="1:77">
      <c r="A214" s="247"/>
      <c r="B214" s="2507">
        <f>+B207+1</f>
        <v>2015</v>
      </c>
      <c r="C214" s="2507"/>
      <c r="D214" s="247"/>
      <c r="E214" s="2022">
        <f>544/0.83</f>
        <v>655.42168674698803</v>
      </c>
      <c r="F214" s="2023"/>
      <c r="G214" s="2072"/>
      <c r="H214" s="2024"/>
      <c r="I214" s="895"/>
      <c r="J214" s="709"/>
      <c r="K214" s="1102"/>
      <c r="L214" s="798"/>
      <c r="M214" s="709"/>
      <c r="N214" s="893"/>
      <c r="O214" s="1103"/>
      <c r="P214" s="643"/>
      <c r="Q214" s="1230"/>
      <c r="R214" s="2023"/>
      <c r="S214" s="2072"/>
      <c r="T214" s="2024"/>
      <c r="U214" s="2029"/>
      <c r="V214" s="643"/>
      <c r="W214" s="2028">
        <f>W213/0.8</f>
        <v>141.25</v>
      </c>
      <c r="X214" s="2031"/>
      <c r="Y214" s="2072"/>
      <c r="Z214" s="2024"/>
      <c r="AA214" s="895"/>
      <c r="AB214" s="643"/>
      <c r="AC214" s="1277"/>
      <c r="AD214" s="1108"/>
      <c r="AE214" s="643"/>
      <c r="AF214" s="643"/>
      <c r="AG214" s="2028">
        <f>AG213/0.81</f>
        <v>164.19753086419752</v>
      </c>
      <c r="AH214" s="2023"/>
      <c r="AI214" s="2072"/>
      <c r="AJ214" s="2024"/>
      <c r="AK214" s="2029"/>
      <c r="AL214" s="643"/>
      <c r="AM214" s="1230"/>
      <c r="AN214" s="2077"/>
      <c r="AO214" s="658"/>
      <c r="AP214" s="1119"/>
      <c r="AQ214" s="643"/>
      <c r="AR214" s="1230"/>
      <c r="AS214" s="893"/>
      <c r="AT214" s="658"/>
      <c r="AU214" s="895"/>
      <c r="AV214" s="643"/>
      <c r="AW214" s="658"/>
      <c r="AX214" s="658"/>
      <c r="AY214" s="658"/>
      <c r="AZ214" s="659"/>
      <c r="BA214" s="256"/>
      <c r="BB214" s="256"/>
      <c r="BC214" s="658"/>
      <c r="BD214" s="658"/>
      <c r="BE214" s="658"/>
      <c r="BF214" s="658"/>
      <c r="BG214" s="1011"/>
      <c r="BH214" s="247"/>
      <c r="BI214" s="247"/>
      <c r="BJ214" s="247"/>
      <c r="BK214" s="247"/>
      <c r="BL214" s="247"/>
      <c r="BM214" s="247"/>
      <c r="BN214" s="247"/>
      <c r="BO214" s="1251"/>
      <c r="BP214" s="1251"/>
      <c r="BQ214" s="1251"/>
      <c r="BR214" s="1251"/>
      <c r="BS214" s="1251"/>
      <c r="BT214" s="1251"/>
      <c r="BU214" s="1251"/>
      <c r="BV214" s="658">
        <v>0</v>
      </c>
      <c r="BW214" s="1251"/>
      <c r="BX214" s="247"/>
      <c r="BY214" s="247"/>
    </row>
    <row r="215" spans="1:77">
      <c r="A215" s="247"/>
      <c r="B215" s="247" t="str">
        <f>$B$14</f>
        <v>1Q</v>
      </c>
      <c r="C215" s="247" t="str">
        <f>$C$14</f>
        <v>Apr</v>
      </c>
      <c r="D215" s="247"/>
      <c r="E215" s="724">
        <v>443.7</v>
      </c>
      <c r="F215" s="802">
        <f>+(E215/E208-1)*100</f>
        <v>1.1424976292946143</v>
      </c>
      <c r="G215" s="2063">
        <v>1</v>
      </c>
      <c r="H215" s="695">
        <v>72.3</v>
      </c>
      <c r="I215" s="671">
        <f>+H215/E215*100</f>
        <v>16.2947937795808</v>
      </c>
      <c r="J215" s="705"/>
      <c r="K215" s="1146"/>
      <c r="L215" s="798"/>
      <c r="M215" s="798"/>
      <c r="N215" s="798"/>
      <c r="O215" s="1103"/>
      <c r="P215" s="664"/>
      <c r="Q215" s="724">
        <v>259</v>
      </c>
      <c r="R215" s="802">
        <f>(Q215/Q208-1)*100</f>
        <v>-0.7449874302532411</v>
      </c>
      <c r="S215" s="2063">
        <v>2</v>
      </c>
      <c r="T215" s="695">
        <v>72.7</v>
      </c>
      <c r="U215" s="671">
        <f>+T215/Q215*100</f>
        <v>28.069498069498071</v>
      </c>
      <c r="V215" s="664"/>
      <c r="W215" s="724">
        <v>121.8</v>
      </c>
      <c r="X215" s="802">
        <f>(W215/W208-1)*100</f>
        <v>-29.957330327670885</v>
      </c>
      <c r="Y215" s="2063">
        <v>-24</v>
      </c>
      <c r="Z215" s="695">
        <v>43.8</v>
      </c>
      <c r="AA215" s="671">
        <f>+Z215/W215*100</f>
        <v>35.960591133004925</v>
      </c>
      <c r="AB215" s="723"/>
      <c r="AC215" s="1104"/>
      <c r="AD215" s="1163"/>
      <c r="AE215" s="964"/>
      <c r="AF215" s="964"/>
      <c r="AG215" s="724">
        <v>106.7</v>
      </c>
      <c r="AH215" s="802">
        <f>(AG215/AG208-1)*100</f>
        <v>5.3463000444290865</v>
      </c>
      <c r="AI215" s="2063">
        <v>17</v>
      </c>
      <c r="AJ215" s="695">
        <v>14</v>
      </c>
      <c r="AK215" s="671">
        <f>+AJ215/AG215*100</f>
        <v>13.120899718837864</v>
      </c>
      <c r="AL215" s="664"/>
      <c r="AM215" s="1287">
        <f>+qtrSales!AN187</f>
        <v>44.888871602734554</v>
      </c>
      <c r="AN215" s="2075">
        <f>+(AM215/AM208-1)*100</f>
        <v>5.0000000000000044</v>
      </c>
      <c r="AO215" s="667"/>
      <c r="AP215" s="705"/>
      <c r="AQ215" s="664"/>
      <c r="AR215" s="724">
        <v>31.2</v>
      </c>
      <c r="AS215" s="2111">
        <f>+(AR215/AR208-1)*100</f>
        <v>-16.400953886551804</v>
      </c>
      <c r="AT215" s="1616">
        <v>2</v>
      </c>
      <c r="AU215" s="671">
        <f>+AT215/AR215*100</f>
        <v>6.4102564102564115</v>
      </c>
      <c r="AV215" s="664"/>
      <c r="AW215" s="1168">
        <f>AR215+AG215+Q215+E215+W215</f>
        <v>962.39999999999986</v>
      </c>
      <c r="AX215" s="912"/>
      <c r="AY215" s="1036">
        <f>'qtrP&amp;L'!DB10</f>
        <v>962.4</v>
      </c>
      <c r="AZ215" s="804"/>
      <c r="BA215" s="912"/>
      <c r="BB215" s="664"/>
      <c r="BC215" s="1168">
        <f>'qtrP&amp;L'!DB48</f>
        <v>170</v>
      </c>
      <c r="BD215" s="672"/>
      <c r="BE215" s="691">
        <v>-36.200000000000003</v>
      </c>
      <c r="BF215" s="1168">
        <f>H215+T215+AJ215+AT215+BE215+Z215</f>
        <v>168.6</v>
      </c>
      <c r="BG215" s="1011"/>
      <c r="BH215" s="672"/>
      <c r="BI215" s="247"/>
      <c r="BJ215" s="806"/>
      <c r="BK215" s="806"/>
      <c r="BL215" s="806"/>
      <c r="BM215" s="806"/>
      <c r="BN215" s="247"/>
      <c r="BO215" s="1251">
        <f>E215/$AW215</f>
        <v>0.46103491271820451</v>
      </c>
      <c r="BP215" s="1251">
        <f>K215/AW215</f>
        <v>0</v>
      </c>
      <c r="BQ215" s="1251">
        <f>Q215/AW215</f>
        <v>0.26911886949293434</v>
      </c>
      <c r="BR215" s="1251">
        <f>W215/AW215</f>
        <v>0.12655860349127185</v>
      </c>
      <c r="BS215" s="1251"/>
      <c r="BT215" s="1251">
        <f>AG215/AW215</f>
        <v>0.11086866167913552</v>
      </c>
      <c r="BU215" s="1251">
        <f>BQ215</f>
        <v>0.26911886949293434</v>
      </c>
      <c r="BV215" s="658">
        <v>0</v>
      </c>
      <c r="BW215" s="1252">
        <f>AR215/AW215</f>
        <v>3.2418952618453872E-2</v>
      </c>
      <c r="BX215" s="247"/>
      <c r="BY215" s="247"/>
    </row>
    <row r="216" spans="1:77">
      <c r="A216" s="247"/>
      <c r="B216" s="247" t="str">
        <f>$B$15</f>
        <v>2Q</v>
      </c>
      <c r="C216" s="247" t="str">
        <f>$C$15</f>
        <v>Jul</v>
      </c>
      <c r="D216" s="247"/>
      <c r="E216" s="1726">
        <v>474.6</v>
      </c>
      <c r="F216" s="802">
        <f>+(E216/E209-1)*100</f>
        <v>-1.8600275023521795</v>
      </c>
      <c r="G216" s="2106">
        <v>0</v>
      </c>
      <c r="H216" s="1737">
        <v>94.8</v>
      </c>
      <c r="I216" s="671">
        <f>+H216/E216*100</f>
        <v>19.974715549936786</v>
      </c>
      <c r="J216" s="705"/>
      <c r="K216" s="1146"/>
      <c r="L216" s="798"/>
      <c r="M216" s="1162"/>
      <c r="N216" s="798"/>
      <c r="O216" s="1103"/>
      <c r="P216" s="664"/>
      <c r="Q216" s="2107">
        <v>245.3</v>
      </c>
      <c r="R216" s="802">
        <f>(Q216/Q209-1)*100</f>
        <v>3.5873397943455565</v>
      </c>
      <c r="S216" s="2106">
        <v>6</v>
      </c>
      <c r="T216" s="1737">
        <v>56.8</v>
      </c>
      <c r="U216" s="671">
        <f>+T216/Q216*100</f>
        <v>23.155320016306561</v>
      </c>
      <c r="V216" s="664"/>
      <c r="W216" s="2107">
        <v>125.5</v>
      </c>
      <c r="X216" s="802">
        <f>(W216/W209-1)*100</f>
        <v>5.3869085107276282</v>
      </c>
      <c r="Y216" s="2106">
        <v>21</v>
      </c>
      <c r="Z216" s="1737">
        <v>46.1</v>
      </c>
      <c r="AA216" s="671">
        <f>+Z216/W216*100</f>
        <v>36.733067729083672</v>
      </c>
      <c r="AB216" s="964"/>
      <c r="AC216" s="1104"/>
      <c r="AD216" s="1163"/>
      <c r="AE216" s="964"/>
      <c r="AF216" s="964"/>
      <c r="AG216" s="805">
        <v>126.1</v>
      </c>
      <c r="AH216" s="802">
        <f>(AG216/AG209-1)*100</f>
        <v>5.0544433614089446</v>
      </c>
      <c r="AI216" s="2106">
        <v>19</v>
      </c>
      <c r="AJ216" s="1737">
        <v>24</v>
      </c>
      <c r="AK216" s="671">
        <f>+AJ216/AG216*100</f>
        <v>19.032513877874706</v>
      </c>
      <c r="AL216" s="664"/>
      <c r="AM216" s="1288">
        <f>+qtrSales!AN188</f>
        <v>43.440900927793017</v>
      </c>
      <c r="AN216" s="2075">
        <f>+(AM216/AM209-1)*100</f>
        <v>5.0000000000000044</v>
      </c>
      <c r="AO216" s="673"/>
      <c r="AP216" s="705"/>
      <c r="AQ216" s="664"/>
      <c r="AR216" s="805">
        <v>19</v>
      </c>
      <c r="AS216" s="2111">
        <f>+(AR216/AR209-1)*100</f>
        <v>-43.134203280258589</v>
      </c>
      <c r="AT216" s="1741">
        <v>0.8</v>
      </c>
      <c r="AU216" s="671">
        <f>+AT216/AR216*100</f>
        <v>4.2105263157894735</v>
      </c>
      <c r="AV216" s="664"/>
      <c r="AW216" s="673">
        <f>AR216+AG216+Q216+E216+W216</f>
        <v>990.5</v>
      </c>
      <c r="AX216" s="912"/>
      <c r="AY216" s="1036">
        <f>'qtrP&amp;L'!DB11</f>
        <v>990.5</v>
      </c>
      <c r="AZ216" s="804"/>
      <c r="BA216" s="912"/>
      <c r="BB216" s="664"/>
      <c r="BC216" s="903">
        <f>'qtrP&amp;L'!DB49</f>
        <v>182.40000000000003</v>
      </c>
      <c r="BD216" s="672"/>
      <c r="BE216" s="1741">
        <v>-40.1</v>
      </c>
      <c r="BF216" s="673">
        <f>H216+T216+AJ216+AT216+BE216+Z216</f>
        <v>182.4</v>
      </c>
      <c r="BG216" s="1011"/>
      <c r="BH216" s="672"/>
      <c r="BI216" s="247"/>
      <c r="BJ216" s="806"/>
      <c r="BK216" s="806"/>
      <c r="BL216" s="806"/>
      <c r="BM216" s="806"/>
      <c r="BN216" s="247"/>
      <c r="BO216" s="1251">
        <f>E216/$AW216</f>
        <v>0.47915194346289752</v>
      </c>
      <c r="BP216" s="1251">
        <f>K216/AW216</f>
        <v>0</v>
      </c>
      <c r="BQ216" s="1251">
        <f>Q216/AW216</f>
        <v>0.24765270065623424</v>
      </c>
      <c r="BR216" s="1251">
        <f>W216/AW216</f>
        <v>0.12670368500757193</v>
      </c>
      <c r="BS216" s="1251"/>
      <c r="BT216" s="1251">
        <f>AG216/AW216</f>
        <v>0.12730943967693084</v>
      </c>
      <c r="BU216" s="1251">
        <f>BQ216</f>
        <v>0.24765270065623424</v>
      </c>
      <c r="BV216" s="658">
        <v>0</v>
      </c>
      <c r="BW216" s="1251">
        <f>AR216/AW216</f>
        <v>1.9182231196365473E-2</v>
      </c>
      <c r="BX216" s="247"/>
      <c r="BY216" s="247"/>
    </row>
    <row r="217" spans="1:77">
      <c r="A217" s="247"/>
      <c r="B217" s="247" t="str">
        <f>$B$16</f>
        <v>3Q</v>
      </c>
      <c r="C217" s="247" t="str">
        <f>$C$16</f>
        <v>Oct</v>
      </c>
      <c r="D217" s="247"/>
      <c r="E217" s="2130">
        <v>425.1</v>
      </c>
      <c r="F217" s="802">
        <f>+(E217/E210-1)*100</f>
        <v>-7.3048408198866159</v>
      </c>
      <c r="G217" s="2129">
        <v>-6</v>
      </c>
      <c r="H217" s="2131">
        <v>61.9</v>
      </c>
      <c r="I217" s="671">
        <f>+H217/E217*100</f>
        <v>14.561279698894378</v>
      </c>
      <c r="J217" s="705"/>
      <c r="K217" s="1241"/>
      <c r="L217" s="798"/>
      <c r="M217" s="1162"/>
      <c r="N217" s="798"/>
      <c r="O217" s="1103"/>
      <c r="P217" s="664"/>
      <c r="Q217" s="2130">
        <v>238.4</v>
      </c>
      <c r="R217" s="802">
        <f>(Q217/Q210-1)*100</f>
        <v>-1.9736842105263053</v>
      </c>
      <c r="S217" s="2129">
        <v>2</v>
      </c>
      <c r="T217" s="2131">
        <v>63.9</v>
      </c>
      <c r="U217" s="671">
        <f>+T217/Q217*100</f>
        <v>26.803691275167786</v>
      </c>
      <c r="V217" s="664"/>
      <c r="W217" s="2130">
        <v>132.69999999999999</v>
      </c>
      <c r="X217" s="802">
        <f>(W217/W210-1)*100</f>
        <v>17.122683142100612</v>
      </c>
      <c r="Y217" s="2129">
        <v>24</v>
      </c>
      <c r="Z217" s="2131">
        <v>50.8</v>
      </c>
      <c r="AA217" s="671">
        <f>+Z217/W217*100</f>
        <v>38.281838733986433</v>
      </c>
      <c r="AB217" s="723"/>
      <c r="AC217" s="1986"/>
      <c r="AD217" s="1163"/>
      <c r="AE217" s="964"/>
      <c r="AF217" s="964"/>
      <c r="AG217" s="2130">
        <v>115.7</v>
      </c>
      <c r="AH217" s="802">
        <f>(AG217/AG210-1)*100</f>
        <v>1.1363636363636243</v>
      </c>
      <c r="AI217" s="2129">
        <v>6</v>
      </c>
      <c r="AJ217" s="2131">
        <v>17.600000000000001</v>
      </c>
      <c r="AK217" s="671">
        <f>+AJ217/AG217*100</f>
        <v>15.211754537597235</v>
      </c>
      <c r="AL217" s="664"/>
      <c r="AM217" s="1288">
        <f>+qtrSales!AN189</f>
        <v>36.456552583302333</v>
      </c>
      <c r="AN217" s="2075">
        <f>+(AM217/AM210-1)*100</f>
        <v>5.0000000000000044</v>
      </c>
      <c r="AO217" s="673"/>
      <c r="AP217" s="705"/>
      <c r="AQ217" s="664"/>
      <c r="AR217" s="2130">
        <v>26.3</v>
      </c>
      <c r="AS217" s="2111">
        <f>+(AR217/AR210-1)*100</f>
        <v>-12.624584717607979</v>
      </c>
      <c r="AT217" s="2131">
        <v>-0.4</v>
      </c>
      <c r="AU217" s="671">
        <f>+AT217/AR217*100</f>
        <v>-1.520912547528517</v>
      </c>
      <c r="AV217" s="664"/>
      <c r="AW217" s="673">
        <f>AR217+AG217+Q217+E217+W217</f>
        <v>938.2</v>
      </c>
      <c r="AX217" s="912"/>
      <c r="AY217" s="1036">
        <f>'qtrP&amp;L'!DB12</f>
        <v>938.2</v>
      </c>
      <c r="AZ217" s="804"/>
      <c r="BA217" s="912"/>
      <c r="BB217" s="664"/>
      <c r="BC217" s="903">
        <f>'qtrP&amp;L'!DB50</f>
        <v>156.39999999999998</v>
      </c>
      <c r="BD217" s="672"/>
      <c r="BE217" s="1260">
        <v>-37.4</v>
      </c>
      <c r="BF217" s="673">
        <f>H217+T217+AJ217+AT217+BE217+Z217</f>
        <v>156.39999999999998</v>
      </c>
      <c r="BG217" s="1011"/>
      <c r="BH217" s="672"/>
      <c r="BI217" s="247"/>
      <c r="BJ217" s="806"/>
      <c r="BK217" s="806"/>
      <c r="BL217" s="806"/>
      <c r="BM217" s="806"/>
      <c r="BN217" s="247"/>
      <c r="BO217" s="1251">
        <f>E217/$AW217</f>
        <v>0.45310168407589002</v>
      </c>
      <c r="BP217" s="1251">
        <f>K217/AW217</f>
        <v>0</v>
      </c>
      <c r="BQ217" s="1251">
        <f>Q217/AW217</f>
        <v>0.25410360264335963</v>
      </c>
      <c r="BR217" s="1251">
        <f>W217/AW217</f>
        <v>0.1414410573438499</v>
      </c>
      <c r="BS217" s="1251"/>
      <c r="BT217" s="1251">
        <f>AG217/AW217</f>
        <v>0.12332125346408015</v>
      </c>
      <c r="BU217" s="1251">
        <f>BQ217</f>
        <v>0.25410360264335963</v>
      </c>
      <c r="BV217" s="658">
        <v>0</v>
      </c>
      <c r="BW217" s="1251">
        <f>AR217/AW217</f>
        <v>2.8032402472820295E-2</v>
      </c>
      <c r="BX217" s="247"/>
      <c r="BY217" s="247"/>
    </row>
    <row r="218" spans="1:77">
      <c r="A218" s="247"/>
      <c r="B218" s="247" t="str">
        <f>$B$17</f>
        <v>4Q</v>
      </c>
      <c r="C218" s="247" t="str">
        <f>$C$17</f>
        <v>Jan</v>
      </c>
      <c r="D218" s="247"/>
      <c r="E218" s="2150">
        <v>603.6</v>
      </c>
      <c r="F218" s="802">
        <f>+(E218/E211-1)*100</f>
        <v>-7.5650842266462455</v>
      </c>
      <c r="G218" s="2129">
        <v>-8</v>
      </c>
      <c r="H218" s="801">
        <f>H219-SUM(H215:H217)</f>
        <v>161.80000000000001</v>
      </c>
      <c r="I218" s="671">
        <f>+H218/E218*100</f>
        <v>26.805831676607028</v>
      </c>
      <c r="J218" s="705"/>
      <c r="K218" s="1242"/>
      <c r="L218" s="798"/>
      <c r="M218" s="1162"/>
      <c r="N218" s="798"/>
      <c r="O218" s="1103"/>
      <c r="P218" s="664"/>
      <c r="Q218" s="2150">
        <v>260.39999999999998</v>
      </c>
      <c r="R218" s="802">
        <f>(Q218/Q211-1)*100</f>
        <v>-8.3098591549295886</v>
      </c>
      <c r="S218" s="2129">
        <v>-8</v>
      </c>
      <c r="T218" s="801">
        <f>T219-SUM(T215:T217)</f>
        <v>70.999999999999972</v>
      </c>
      <c r="U218" s="671">
        <f>+T218/Q218*100</f>
        <v>27.265745007680479</v>
      </c>
      <c r="V218" s="664"/>
      <c r="W218" s="2150">
        <v>161.30000000000001</v>
      </c>
      <c r="X218" s="802">
        <f>(W218/W211-1)*100</f>
        <v>8.9864864864865002</v>
      </c>
      <c r="Y218" s="2129">
        <v>10</v>
      </c>
      <c r="Z218" s="801">
        <f>Z219-SUM(Z215:Z217)</f>
        <v>59.200000000000017</v>
      </c>
      <c r="AA218" s="671">
        <f>+Z218/W218*100</f>
        <v>36.701797892126478</v>
      </c>
      <c r="AB218" s="964"/>
      <c r="AC218" s="1152"/>
      <c r="AD218" s="1164"/>
      <c r="AE218" s="964"/>
      <c r="AF218" s="964"/>
      <c r="AG218" s="2150">
        <v>157</v>
      </c>
      <c r="AH218" s="802">
        <f>(AG218/AG211-1)*100</f>
        <v>-3.0864197530864224</v>
      </c>
      <c r="AI218" s="2129">
        <v>-3</v>
      </c>
      <c r="AJ218" s="801">
        <f>AJ219-SUM(AJ215:AJ217)</f>
        <v>41.800000000000004</v>
      </c>
      <c r="AK218" s="671">
        <f>+AJ218/AG218*100</f>
        <v>26.624203821656057</v>
      </c>
      <c r="AL218" s="664"/>
      <c r="AM218" s="1289">
        <f>+qtrSales!AN190</f>
        <v>89.588660521780241</v>
      </c>
      <c r="AN218" s="2075">
        <f>+(AM218/AM211-1)*100</f>
        <v>5.0000000000000044</v>
      </c>
      <c r="AO218" s="1098"/>
      <c r="AP218" s="705"/>
      <c r="AQ218" s="664"/>
      <c r="AR218" s="2150">
        <v>31</v>
      </c>
      <c r="AS218" s="2111">
        <f>+(AR218/AR211-1)*100</f>
        <v>-20.512820512820518</v>
      </c>
      <c r="AT218" s="801">
        <f>AT219-SUM(AT215:AT217)</f>
        <v>4</v>
      </c>
      <c r="AU218" s="671">
        <f>+AT218/AR218*100</f>
        <v>12.903225806451612</v>
      </c>
      <c r="AV218" s="664"/>
      <c r="AW218" s="677">
        <f>AR218+AG218+Q218+E218+W218</f>
        <v>1213.3</v>
      </c>
      <c r="AX218" s="912"/>
      <c r="AY218" s="1012">
        <f>'qtrP&amp;L'!DB13</f>
        <v>1213.5999999999999</v>
      </c>
      <c r="AZ218" s="804"/>
      <c r="BA218" s="912"/>
      <c r="BB218" s="664"/>
      <c r="BC218" s="677">
        <f>'qtrP&amp;L'!DB51</f>
        <v>298</v>
      </c>
      <c r="BD218" s="685"/>
      <c r="BE218" s="2228">
        <f>BE219-SUM(BE215:BE217)</f>
        <v>-38.399999999999977</v>
      </c>
      <c r="BF218" s="677">
        <f>H218+T218+AJ218+AT218+BE218+Z218</f>
        <v>299.39999999999998</v>
      </c>
      <c r="BG218" s="1011"/>
      <c r="BH218" s="672"/>
      <c r="BI218" s="247"/>
      <c r="BJ218" s="806"/>
      <c r="BK218" s="806"/>
      <c r="BL218" s="806"/>
      <c r="BM218" s="806"/>
      <c r="BN218" s="247"/>
      <c r="BO218" s="1231">
        <f>E218/$AW218</f>
        <v>0.49748619467567795</v>
      </c>
      <c r="BP218" s="1231">
        <f>K218/AW218</f>
        <v>0</v>
      </c>
      <c r="BQ218" s="1231">
        <f>Q218/AW218</f>
        <v>0.2146212808044177</v>
      </c>
      <c r="BR218" s="1231">
        <f>W218/AW218</f>
        <v>0.13294321272562434</v>
      </c>
      <c r="BS218" s="1231"/>
      <c r="BT218" s="1231">
        <f>AG218/AW218</f>
        <v>0.12939915931756368</v>
      </c>
      <c r="BU218" s="1231">
        <f>BQ218</f>
        <v>0.2146212808044177</v>
      </c>
      <c r="BV218" s="658">
        <v>0</v>
      </c>
      <c r="BW218" s="1231">
        <f>AR218/AW218</f>
        <v>2.5550152476716395E-2</v>
      </c>
      <c r="BX218" s="247"/>
      <c r="BY218" s="247"/>
    </row>
    <row r="219" spans="1:77">
      <c r="A219" s="658"/>
      <c r="B219" s="658"/>
      <c r="C219" s="658" t="str">
        <f>$C$18</f>
        <v>Year</v>
      </c>
      <c r="D219" s="658"/>
      <c r="E219" s="946">
        <f>+SUM(E215:E218)</f>
        <v>1947</v>
      </c>
      <c r="F219" s="802">
        <f>+(E219/E212-1)*100</f>
        <v>-4.2717796451418266</v>
      </c>
      <c r="G219" s="2129">
        <v>-4</v>
      </c>
      <c r="H219" s="2174">
        <v>390.8</v>
      </c>
      <c r="I219" s="671">
        <f>+H219/E219*100</f>
        <v>20.071905495634308</v>
      </c>
      <c r="J219" s="701"/>
      <c r="K219" s="1241"/>
      <c r="L219" s="798"/>
      <c r="M219" s="798"/>
      <c r="N219" s="798"/>
      <c r="O219" s="1103"/>
      <c r="P219" s="700"/>
      <c r="Q219" s="946">
        <f>SeqQtrSales!V396</f>
        <v>1003.1</v>
      </c>
      <c r="R219" s="802">
        <f>(Q219/Q212-1)*100</f>
        <v>-2.1317158219579802</v>
      </c>
      <c r="S219" s="2129">
        <v>0</v>
      </c>
      <c r="T219" s="2175">
        <v>264.39999999999998</v>
      </c>
      <c r="U219" s="671">
        <f>+T219/Q219*100</f>
        <v>26.358289303160198</v>
      </c>
      <c r="V219" s="700"/>
      <c r="W219" s="946">
        <f>+SUM(W215:W218)</f>
        <v>541.29999999999995</v>
      </c>
      <c r="X219" s="1302">
        <f>(W219/W212-1)*100</f>
        <v>-2.3416005296971409</v>
      </c>
      <c r="Y219" s="2129">
        <v>5</v>
      </c>
      <c r="Z219" s="2175">
        <v>199.9</v>
      </c>
      <c r="AA219" s="671">
        <f>+Z219/W219*100</f>
        <v>36.929613892481065</v>
      </c>
      <c r="AB219" s="713"/>
      <c r="AC219" s="1106"/>
      <c r="AD219" s="1109"/>
      <c r="AE219" s="713"/>
      <c r="AF219" s="713"/>
      <c r="AG219" s="946">
        <f>+SUM(AG215:AG218)</f>
        <v>505.5</v>
      </c>
      <c r="AH219" s="802">
        <f>(AG219/AG212-1)*100</f>
        <v>1.5635359782045333</v>
      </c>
      <c r="AI219" s="2129">
        <v>9</v>
      </c>
      <c r="AJ219" s="2175">
        <v>97.4</v>
      </c>
      <c r="AK219" s="671">
        <f>+AJ219/AG219*100</f>
        <v>19.268051434223544</v>
      </c>
      <c r="AL219" s="700"/>
      <c r="AM219" s="799">
        <f>SUM(AM215:AM218)</f>
        <v>214.37498563561016</v>
      </c>
      <c r="AN219" s="2075">
        <f>+(AM219/AM212-1)*100</f>
        <v>5.0000000000000044</v>
      </c>
      <c r="AO219" s="667"/>
      <c r="AP219" s="705"/>
      <c r="AQ219" s="700"/>
      <c r="AR219" s="946">
        <f>+SUM(AR215:AR218)</f>
        <v>107.5</v>
      </c>
      <c r="AS219" s="2112">
        <f>+(AR219/AR212-1)*100</f>
        <v>-23.122581937024876</v>
      </c>
      <c r="AT219" s="2131">
        <v>6.4</v>
      </c>
      <c r="AU219" s="671">
        <f>+AT219/AR219*100</f>
        <v>5.9534883720930232</v>
      </c>
      <c r="AV219" s="700"/>
      <c r="AW219" s="667">
        <f>AR219+AG219+Q219+E219+W219</f>
        <v>4104.3999999999996</v>
      </c>
      <c r="AX219" s="912"/>
      <c r="AY219" s="1036">
        <f>'qtrP&amp;L'!DB14</f>
        <v>4104.7000000000007</v>
      </c>
      <c r="AZ219" s="804"/>
      <c r="BA219" s="912"/>
      <c r="BB219" s="700"/>
      <c r="BC219" s="667">
        <f>'qtrP&amp;L'!DB52</f>
        <v>806.8</v>
      </c>
      <c r="BD219" s="701"/>
      <c r="BE219" s="2131">
        <v>-152.1</v>
      </c>
      <c r="BF219" s="667">
        <f>H219+T219+AJ219+AT219+BE219</f>
        <v>606.9</v>
      </c>
      <c r="BG219" s="1011"/>
      <c r="BH219" s="701"/>
      <c r="BI219" s="658"/>
      <c r="BJ219" s="203"/>
      <c r="BK219" s="203"/>
      <c r="BL219" s="203"/>
      <c r="BM219" s="203"/>
      <c r="BN219" s="658"/>
      <c r="BO219" s="322">
        <f>E219/$AW219</f>
        <v>0.47436896988597604</v>
      </c>
      <c r="BP219" s="322">
        <f>K219/AW219</f>
        <v>0</v>
      </c>
      <c r="BQ219" s="322">
        <f>Q219/AW219</f>
        <v>0.24439625767469061</v>
      </c>
      <c r="BR219" s="1251">
        <f>W219/AW219</f>
        <v>0.13188285742130396</v>
      </c>
      <c r="BS219" s="322"/>
      <c r="BT219" s="322">
        <f>AG219/AW219</f>
        <v>0.12316051067147453</v>
      </c>
      <c r="BU219" s="1251">
        <f>BQ219</f>
        <v>0.24439625767469061</v>
      </c>
      <c r="BV219" s="658">
        <v>0</v>
      </c>
      <c r="BW219" s="322">
        <f>AR219/AW219</f>
        <v>2.6191404346554918E-2</v>
      </c>
      <c r="BX219" s="658"/>
      <c r="BY219" s="658"/>
    </row>
    <row r="220" spans="1:77">
      <c r="E220" s="2041"/>
      <c r="F220" s="2021"/>
      <c r="G220" s="2071"/>
      <c r="H220" s="2021"/>
      <c r="I220" s="1779"/>
      <c r="Q220" s="2102"/>
      <c r="R220" s="2021"/>
      <c r="S220" s="2071"/>
      <c r="T220" s="2026"/>
      <c r="U220" s="2027"/>
      <c r="W220" s="2025"/>
      <c r="X220" s="2030"/>
      <c r="Y220" s="2071"/>
      <c r="Z220" s="2026"/>
      <c r="AA220" s="1779"/>
      <c r="AC220" s="1778"/>
      <c r="AD220" s="1779"/>
      <c r="AG220" s="2173"/>
      <c r="AH220" s="2021"/>
      <c r="AI220" s="2071"/>
      <c r="AJ220" s="2021"/>
      <c r="AK220" s="2027"/>
      <c r="AM220" s="1778"/>
      <c r="AN220" s="2078"/>
      <c r="AR220" s="1778"/>
      <c r="AS220" s="216"/>
      <c r="AT220" s="2021"/>
      <c r="AU220" s="1779"/>
      <c r="AW220" s="2032"/>
      <c r="BP220" s="322"/>
    </row>
    <row r="221" spans="1:77">
      <c r="A221" s="247"/>
      <c r="B221" s="2507">
        <f>+B214+1</f>
        <v>2016</v>
      </c>
      <c r="C221" s="2507"/>
      <c r="D221" s="247"/>
      <c r="E221" s="2022"/>
      <c r="F221" s="2023"/>
      <c r="G221" s="2072"/>
      <c r="H221" s="2024"/>
      <c r="I221" s="895"/>
      <c r="J221" s="709"/>
      <c r="K221" s="1102"/>
      <c r="L221" s="798"/>
      <c r="M221" s="709"/>
      <c r="N221" s="893"/>
      <c r="O221" s="1103"/>
      <c r="P221" s="643"/>
      <c r="Q221" s="1230"/>
      <c r="R221" s="2023"/>
      <c r="S221" s="2072"/>
      <c r="T221" s="2024"/>
      <c r="U221" s="2029"/>
      <c r="V221" s="643"/>
      <c r="W221" s="2028"/>
      <c r="X221" s="2031"/>
      <c r="Y221" s="2072"/>
      <c r="Z221" s="2024"/>
      <c r="AA221" s="895"/>
      <c r="AB221" s="643"/>
      <c r="AC221" s="1277"/>
      <c r="AD221" s="1108"/>
      <c r="AE221" s="643"/>
      <c r="AF221" s="643"/>
      <c r="AG221" s="2028"/>
      <c r="AH221" s="2023"/>
      <c r="AI221" s="2072"/>
      <c r="AJ221" s="2024"/>
      <c r="AK221" s="2029"/>
      <c r="AL221" s="643"/>
      <c r="AM221" s="1230"/>
      <c r="AN221" s="2077"/>
      <c r="AO221" s="658"/>
      <c r="AP221" s="1119"/>
      <c r="AQ221" s="643"/>
      <c r="AR221" s="1230"/>
      <c r="AS221" s="893"/>
      <c r="AT221" s="658"/>
      <c r="AU221" s="895"/>
      <c r="AV221" s="643"/>
      <c r="AW221" s="658"/>
      <c r="AX221" s="658"/>
      <c r="AY221" s="658"/>
      <c r="AZ221" s="659"/>
      <c r="BA221" s="256"/>
      <c r="BB221" s="256"/>
      <c r="BC221" s="658"/>
      <c r="BD221" s="658"/>
      <c r="BE221" s="658"/>
      <c r="BF221" s="658"/>
      <c r="BG221" s="1011"/>
      <c r="BH221" s="247"/>
      <c r="BI221" s="247"/>
      <c r="BJ221" s="247"/>
      <c r="BK221" s="247"/>
      <c r="BL221" s="247"/>
      <c r="BM221" s="247"/>
      <c r="BN221" s="247"/>
      <c r="BO221" s="1251"/>
      <c r="BP221" s="1251"/>
      <c r="BQ221" s="1251"/>
      <c r="BR221" s="1251"/>
      <c r="BS221" s="1251"/>
      <c r="BT221" s="1251"/>
      <c r="BU221" s="1251"/>
      <c r="BV221" s="658">
        <v>0</v>
      </c>
      <c r="BW221" s="1251"/>
      <c r="BX221" s="247"/>
      <c r="BY221" s="247"/>
    </row>
    <row r="222" spans="1:77">
      <c r="A222" s="247"/>
      <c r="B222" s="247" t="str">
        <f>$B$14</f>
        <v>1Q</v>
      </c>
      <c r="C222" s="247" t="str">
        <f>$C$14</f>
        <v>Apr</v>
      </c>
      <c r="D222" s="247"/>
      <c r="E222" s="724">
        <v>403.4</v>
      </c>
      <c r="F222" s="802">
        <f>+(E222/E215-1)*100</f>
        <v>-9.0827135451881915</v>
      </c>
      <c r="G222" s="2129">
        <v>-9</v>
      </c>
      <c r="H222" s="695">
        <v>58.7</v>
      </c>
      <c r="I222" s="671">
        <f>+H222/E222*100</f>
        <v>14.551313832424395</v>
      </c>
      <c r="J222" s="705"/>
      <c r="K222" s="1146"/>
      <c r="L222" s="798"/>
      <c r="M222" s="798"/>
      <c r="N222" s="798"/>
      <c r="O222" s="1103"/>
      <c r="P222" s="664"/>
      <c r="Q222" s="724">
        <v>238.2</v>
      </c>
      <c r="R222" s="802">
        <f>(Q222/Q215-1)*100</f>
        <v>-8.0308880308880397</v>
      </c>
      <c r="S222" s="2129">
        <v>-12</v>
      </c>
      <c r="T222" s="695">
        <v>60</v>
      </c>
      <c r="U222" s="671">
        <f>+T222/Q222*100</f>
        <v>25.188916876574307</v>
      </c>
      <c r="V222" s="664"/>
      <c r="W222" s="724">
        <v>131.1</v>
      </c>
      <c r="X222" s="802">
        <f>(W222/W215-1)*100</f>
        <v>7.6354679802955738</v>
      </c>
      <c r="Y222" s="2129">
        <v>5</v>
      </c>
      <c r="Z222" s="695">
        <v>44.4</v>
      </c>
      <c r="AA222" s="671">
        <f>+Z222/W222*100</f>
        <v>33.867276887871853</v>
      </c>
      <c r="AB222" s="723"/>
      <c r="AC222" s="1104"/>
      <c r="AD222" s="1163"/>
      <c r="AE222" s="964"/>
      <c r="AF222" s="964"/>
      <c r="AG222" s="724">
        <v>97.1</v>
      </c>
      <c r="AH222" s="802">
        <f>(AG222/AG215-1)*100</f>
        <v>-8.997188378631682</v>
      </c>
      <c r="AI222" s="2129">
        <v>-14</v>
      </c>
      <c r="AJ222" s="695">
        <v>10.3</v>
      </c>
      <c r="AK222" s="671">
        <f>+AJ222/AG222*100</f>
        <v>10.607621009268795</v>
      </c>
      <c r="AL222" s="664"/>
      <c r="AM222" s="1287">
        <f>+qtrSales!AN194</f>
        <v>47.133315182871286</v>
      </c>
      <c r="AN222" s="2075">
        <f>+(AM222/AM215-1)*100</f>
        <v>5.0000000000000044</v>
      </c>
      <c r="AO222" s="667"/>
      <c r="AP222" s="705"/>
      <c r="AQ222" s="664"/>
      <c r="AR222" s="724">
        <v>21.5</v>
      </c>
      <c r="AS222" s="2111">
        <f>+(AR222/AR215-1)*100</f>
        <v>-31.089743589743591</v>
      </c>
      <c r="AT222" s="1616">
        <v>1.8</v>
      </c>
      <c r="AU222" s="671">
        <f>+AT222/AR222*100</f>
        <v>8.3720930232558146</v>
      </c>
      <c r="AV222" s="664"/>
      <c r="AW222" s="1168">
        <f>AR222+AG222+Q222+E222+W222</f>
        <v>891.3</v>
      </c>
      <c r="AX222" s="912"/>
      <c r="AY222" s="1036">
        <f>'qtrP&amp;L'!DF10</f>
        <v>891.3</v>
      </c>
      <c r="AZ222" s="804"/>
      <c r="BA222" s="912"/>
      <c r="BB222" s="664"/>
      <c r="BC222" s="1168">
        <f>'qtrP&amp;L'!DF48</f>
        <v>134.59999999999991</v>
      </c>
      <c r="BD222" s="672"/>
      <c r="BE222" s="691">
        <v>-40.6</v>
      </c>
      <c r="BF222" s="1168">
        <f>H222+T222+AJ222+AT222+BE222+Z222</f>
        <v>134.60000000000002</v>
      </c>
      <c r="BG222" s="1011"/>
      <c r="BH222" s="672"/>
      <c r="BI222" s="247"/>
      <c r="BJ222" s="806"/>
      <c r="BK222" s="806"/>
      <c r="BL222" s="806"/>
      <c r="BM222" s="806"/>
      <c r="BN222" s="247"/>
      <c r="BO222" s="1251">
        <f>E222/$AW222</f>
        <v>0.45259732974307193</v>
      </c>
      <c r="BP222" s="1251">
        <f>K222/AW222</f>
        <v>0</v>
      </c>
      <c r="BQ222" s="1251">
        <f>Q222/AW222</f>
        <v>0.26725008414675194</v>
      </c>
      <c r="BR222" s="1251">
        <f>W222/AW222</f>
        <v>0.14708852238303602</v>
      </c>
      <c r="BS222" s="1251"/>
      <c r="BT222" s="1251">
        <f>AG222/AW222</f>
        <v>0.10894199483899922</v>
      </c>
      <c r="BU222" s="1251">
        <f>BQ222</f>
        <v>0.26725008414675194</v>
      </c>
      <c r="BV222" s="658">
        <v>0</v>
      </c>
      <c r="BW222" s="1252">
        <f>AR222/AW222</f>
        <v>2.4122068888140918E-2</v>
      </c>
      <c r="BX222" s="247"/>
      <c r="BY222" s="247"/>
    </row>
    <row r="223" spans="1:77">
      <c r="A223" s="247"/>
      <c r="B223" s="247" t="str">
        <f>$B$15</f>
        <v>2Q</v>
      </c>
      <c r="C223" s="247" t="str">
        <f>$C$15</f>
        <v>Jul</v>
      </c>
      <c r="D223" s="247"/>
      <c r="E223" s="2130">
        <v>434.1</v>
      </c>
      <c r="F223" s="802">
        <f>+(E223/E216-1)*100</f>
        <v>-8.5335018963337497</v>
      </c>
      <c r="G223" s="2129">
        <v>-9</v>
      </c>
      <c r="H223" s="2131">
        <v>92.2</v>
      </c>
      <c r="I223" s="671">
        <f>+H223/E223*100</f>
        <v>21.239345772863395</v>
      </c>
      <c r="J223" s="705"/>
      <c r="K223" s="1146"/>
      <c r="L223" s="798"/>
      <c r="M223" s="1162"/>
      <c r="N223" s="798"/>
      <c r="O223" s="1103"/>
      <c r="P223" s="664"/>
      <c r="Q223" s="2130">
        <v>230.3</v>
      </c>
      <c r="R223" s="802">
        <f>(Q223/Q216-1)*100</f>
        <v>-6.1149612719119446</v>
      </c>
      <c r="S223" s="2129">
        <v>-9</v>
      </c>
      <c r="T223" s="2131">
        <v>55.6</v>
      </c>
      <c r="U223" s="671">
        <f>+T223/Q223*100</f>
        <v>24.142422926617453</v>
      </c>
      <c r="V223" s="664"/>
      <c r="W223" s="2130">
        <v>138</v>
      </c>
      <c r="X223" s="802">
        <f>(W223/W216-1)*100</f>
        <v>9.960159362549792</v>
      </c>
      <c r="Y223" s="2129">
        <v>-3</v>
      </c>
      <c r="Z223" s="2131">
        <v>45.2</v>
      </c>
      <c r="AA223" s="671">
        <f>+Z223/W223*100</f>
        <v>32.753623188405797</v>
      </c>
      <c r="AB223" s="964"/>
      <c r="AC223" s="1104"/>
      <c r="AD223" s="1163"/>
      <c r="AE223" s="964"/>
      <c r="AF223" s="964"/>
      <c r="AG223" s="2130">
        <v>110.7</v>
      </c>
      <c r="AH223" s="802">
        <f>(AG223/AG216-1)*100</f>
        <v>-12.212529738302925</v>
      </c>
      <c r="AI223" s="2129">
        <v>-13</v>
      </c>
      <c r="AJ223" s="2131">
        <v>18.5</v>
      </c>
      <c r="AK223" s="671">
        <f>+AJ223/AG223*100</f>
        <v>16.711833785004515</v>
      </c>
      <c r="AL223" s="664"/>
      <c r="AM223" s="1288">
        <f>+qtrSales!AN195</f>
        <v>45.612945974182672</v>
      </c>
      <c r="AN223" s="2075">
        <f>+(AM223/AM216-1)*100</f>
        <v>5.0000000000000044</v>
      </c>
      <c r="AO223" s="673"/>
      <c r="AP223" s="705"/>
      <c r="AQ223" s="664"/>
      <c r="AR223" s="2130">
        <v>18.5</v>
      </c>
      <c r="AS223" s="2111">
        <f>+(AR223/AR216-1)*100</f>
        <v>-2.6315789473684181</v>
      </c>
      <c r="AT223" s="1741">
        <v>1.3</v>
      </c>
      <c r="AU223" s="671">
        <f>+AT223/AR223*100</f>
        <v>7.0270270270270272</v>
      </c>
      <c r="AV223" s="664"/>
      <c r="AW223" s="673">
        <f>AR223+AG223+Q223+E223+W223</f>
        <v>931.6</v>
      </c>
      <c r="AX223" s="912"/>
      <c r="AY223" s="1036">
        <f>'qtrP&amp;L'!DF11</f>
        <v>931.6</v>
      </c>
      <c r="AZ223" s="804"/>
      <c r="BA223" s="912"/>
      <c r="BB223" s="664"/>
      <c r="BC223" s="903">
        <f>'qtrP&amp;L'!DF49</f>
        <v>174.90000000000003</v>
      </c>
      <c r="BD223" s="672"/>
      <c r="BE223" s="1741">
        <v>-37.9</v>
      </c>
      <c r="BF223" s="673">
        <f>H223+T223+AJ223+AT223+BE223+Z223</f>
        <v>174.90000000000003</v>
      </c>
      <c r="BG223" s="1011"/>
      <c r="BH223" s="672"/>
      <c r="BI223" s="247"/>
      <c r="BJ223" s="806"/>
      <c r="BK223" s="806"/>
      <c r="BL223" s="806"/>
      <c r="BM223" s="806"/>
      <c r="BN223" s="247"/>
      <c r="BO223" s="1251">
        <f>E223/$AW223</f>
        <v>0.46597252039501935</v>
      </c>
      <c r="BP223" s="1251">
        <f>K223/AW223</f>
        <v>0</v>
      </c>
      <c r="BQ223" s="1251">
        <f>Q223/AW223</f>
        <v>0.24720910261914986</v>
      </c>
      <c r="BR223" s="1251">
        <f>W223/AW223</f>
        <v>0.14813224559896951</v>
      </c>
      <c r="BS223" s="1251"/>
      <c r="BT223" s="1251">
        <f>AG223/AW223</f>
        <v>0.11882782310004293</v>
      </c>
      <c r="BU223" s="1251">
        <f>BQ223</f>
        <v>0.24720910261914986</v>
      </c>
      <c r="BV223" s="658">
        <v>0</v>
      </c>
      <c r="BW223" s="1251">
        <f>AR223/AW223</f>
        <v>1.9858308286818376E-2</v>
      </c>
      <c r="BX223" s="247"/>
      <c r="BY223" s="247"/>
    </row>
    <row r="224" spans="1:77">
      <c r="A224" s="247"/>
      <c r="B224" s="247" t="str">
        <f>$B$16</f>
        <v>3Q</v>
      </c>
      <c r="C224" s="247" t="str">
        <f>$C$16</f>
        <v>Oct</v>
      </c>
      <c r="D224" s="247"/>
      <c r="E224" s="2130">
        <v>417.1</v>
      </c>
      <c r="F224" s="802">
        <f>+(E224/E217-1)*100</f>
        <v>-1.8819101387908765</v>
      </c>
      <c r="G224" s="2129">
        <v>-2</v>
      </c>
      <c r="H224" s="2131">
        <v>65</v>
      </c>
      <c r="I224" s="671">
        <f>+H224/E224*100</f>
        <v>15.583792855430351</v>
      </c>
      <c r="J224" s="705"/>
      <c r="K224" s="1241"/>
      <c r="L224" s="798"/>
      <c r="M224" s="1162"/>
      <c r="N224" s="798"/>
      <c r="O224" s="1103"/>
      <c r="P224" s="664"/>
      <c r="Q224" s="2130">
        <v>246.7</v>
      </c>
      <c r="R224" s="802">
        <f>(Q224/Q217-1)*100</f>
        <v>3.4815436241610653</v>
      </c>
      <c r="S224" s="2129">
        <v>-7</v>
      </c>
      <c r="T224" s="2131">
        <v>63</v>
      </c>
      <c r="U224" s="671">
        <f>+T224/Q224*100</f>
        <v>25.537089582488854</v>
      </c>
      <c r="V224" s="664"/>
      <c r="W224" s="2130">
        <v>150.1</v>
      </c>
      <c r="X224" s="802">
        <f>(W224/W217-1)*100</f>
        <v>13.112283345893005</v>
      </c>
      <c r="Y224" s="2129">
        <v>2</v>
      </c>
      <c r="Z224" s="2131">
        <v>47.8</v>
      </c>
      <c r="AA224" s="671">
        <f>+Z224/W224*100</f>
        <v>31.845436375749497</v>
      </c>
      <c r="AB224" s="723"/>
      <c r="AC224" s="1986"/>
      <c r="AD224" s="1163"/>
      <c r="AE224" s="964"/>
      <c r="AF224" s="964"/>
      <c r="AG224" s="2130">
        <v>104.3</v>
      </c>
      <c r="AH224" s="802">
        <f>(AG224/AG217-1)*100</f>
        <v>-9.8530682800345719</v>
      </c>
      <c r="AI224" s="2129">
        <v>-7</v>
      </c>
      <c r="AJ224" s="2131">
        <v>14.8</v>
      </c>
      <c r="AK224" s="671">
        <f>+AJ224/AG224*100</f>
        <v>14.189837008628956</v>
      </c>
      <c r="AL224" s="664"/>
      <c r="AM224" s="1288">
        <f>+qtrSales!AN196</f>
        <v>38.279380212467451</v>
      </c>
      <c r="AN224" s="2075">
        <f>+(AM224/AM217-1)*100</f>
        <v>5.0000000000000044</v>
      </c>
      <c r="AO224" s="673"/>
      <c r="AP224" s="705"/>
      <c r="AQ224" s="664"/>
      <c r="AR224" s="2130">
        <v>31.1</v>
      </c>
      <c r="AS224" s="2111">
        <f>+(AR224/AR217-1)*100</f>
        <v>18.250950570342205</v>
      </c>
      <c r="AT224" s="2131">
        <v>1.5</v>
      </c>
      <c r="AU224" s="671">
        <f>+AT224/AR224*100</f>
        <v>4.823151125401929</v>
      </c>
      <c r="AV224" s="664"/>
      <c r="AW224" s="673">
        <f>AR224+AG224+Q224+E224+W224</f>
        <v>949.30000000000007</v>
      </c>
      <c r="AX224" s="912"/>
      <c r="AY224" s="1036">
        <f>'qtrP&amp;L'!DF12</f>
        <v>949.3</v>
      </c>
      <c r="AZ224" s="804"/>
      <c r="BA224" s="912"/>
      <c r="BB224" s="664"/>
      <c r="BC224" s="903">
        <f>'qtrP&amp;L'!DF50</f>
        <v>155.19999999999999</v>
      </c>
      <c r="BD224" s="672"/>
      <c r="BE224" s="1260">
        <v>-36.9</v>
      </c>
      <c r="BF224" s="673">
        <f>H224+T224+AJ224+AT224+BE224+Z224</f>
        <v>155.19999999999999</v>
      </c>
      <c r="BG224" s="1011"/>
      <c r="BH224" s="672"/>
      <c r="BI224" s="247"/>
      <c r="BJ224" s="806"/>
      <c r="BK224" s="806"/>
      <c r="BL224" s="806"/>
      <c r="BM224" s="806"/>
      <c r="BN224" s="247"/>
      <c r="BO224" s="1251">
        <f>E224/$AW224</f>
        <v>0.43937638259770356</v>
      </c>
      <c r="BP224" s="1251">
        <f>K224/AW224</f>
        <v>0</v>
      </c>
      <c r="BQ224" s="1251">
        <f>Q224/AW224</f>
        <v>0.25987569788265036</v>
      </c>
      <c r="BR224" s="1251">
        <f>W224/AW224</f>
        <v>0.1581165068998209</v>
      </c>
      <c r="BS224" s="1251"/>
      <c r="BT224" s="1251">
        <f>AG224/AW224</f>
        <v>0.10987043084377962</v>
      </c>
      <c r="BU224" s="1251">
        <f>BQ224</f>
        <v>0.25987569788265036</v>
      </c>
      <c r="BV224" s="658">
        <v>0</v>
      </c>
      <c r="BW224" s="1251">
        <f>AR224/AW224</f>
        <v>3.2760981776045507E-2</v>
      </c>
      <c r="BX224" s="247"/>
      <c r="BY224" s="247"/>
    </row>
    <row r="225" spans="1:77">
      <c r="A225" s="247"/>
      <c r="B225" s="247" t="str">
        <f>$B$17</f>
        <v>4Q</v>
      </c>
      <c r="C225" s="247" t="str">
        <f>$C$17</f>
        <v>Jan</v>
      </c>
      <c r="D225" s="247"/>
      <c r="E225" s="2206">
        <v>587.29999999999995</v>
      </c>
      <c r="F225" s="802">
        <f>+(E225/E218-1)*100</f>
        <v>-2.7004638833664774</v>
      </c>
      <c r="G225" s="2205">
        <v>-2</v>
      </c>
      <c r="H225" s="801">
        <f>H226-SUM(H222:H224)</f>
        <v>157.1</v>
      </c>
      <c r="I225" s="671">
        <f>+H225/E225*100</f>
        <v>26.749531755491233</v>
      </c>
      <c r="J225" s="705"/>
      <c r="K225" s="1242"/>
      <c r="L225" s="798"/>
      <c r="M225" s="1162"/>
      <c r="N225" s="798"/>
      <c r="O225" s="1103"/>
      <c r="P225" s="664"/>
      <c r="Q225" s="2206">
        <v>283.89999999999998</v>
      </c>
      <c r="R225" s="802">
        <f>(Q225/Q218-1)*100</f>
        <v>9.0245775729646649</v>
      </c>
      <c r="S225" s="2205">
        <v>-1</v>
      </c>
      <c r="T225" s="801">
        <f>T226-SUM(T222:T224)</f>
        <v>77.400000000000006</v>
      </c>
      <c r="U225" s="671">
        <f>+T225/Q225*100</f>
        <v>27.263120817189158</v>
      </c>
      <c r="V225" s="664"/>
      <c r="W225" s="2206">
        <v>185.2</v>
      </c>
      <c r="X225" s="802">
        <f>(W225/W218-1)*100</f>
        <v>14.817110973341574</v>
      </c>
      <c r="Y225" s="2205">
        <v>12</v>
      </c>
      <c r="Z225" s="801">
        <f>Z226-SUM(Z222:Z224)</f>
        <v>67.200000000000017</v>
      </c>
      <c r="AA225" s="671">
        <f>+Z225/W225*100</f>
        <v>36.285097192224633</v>
      </c>
      <c r="AB225" s="964"/>
      <c r="AC225" s="1152"/>
      <c r="AD225" s="1164"/>
      <c r="AE225" s="964"/>
      <c r="AF225" s="964"/>
      <c r="AG225" s="2206">
        <v>145.5</v>
      </c>
      <c r="AH225" s="802">
        <f>(AG225/AG218-1)*100</f>
        <v>-7.3248407643312081</v>
      </c>
      <c r="AI225" s="2205">
        <v>-2</v>
      </c>
      <c r="AJ225" s="801">
        <f>AJ226-SUM(AJ222:AJ224)</f>
        <v>37.999999999999993</v>
      </c>
      <c r="AK225" s="671">
        <f>+AJ225/AG225*100</f>
        <v>26.116838487972505</v>
      </c>
      <c r="AL225" s="664"/>
      <c r="AM225" s="1289">
        <f>+qtrSales!AN197</f>
        <v>94.068093547869253</v>
      </c>
      <c r="AN225" s="2075">
        <f>+(AM225/AM218-1)*100</f>
        <v>5.0000000000000044</v>
      </c>
      <c r="AO225" s="1098"/>
      <c r="AP225" s="705"/>
      <c r="AQ225" s="664"/>
      <c r="AR225" s="2206">
        <v>27.7</v>
      </c>
      <c r="AS225" s="2111">
        <f>+(AR225/AR218-1)*100</f>
        <v>-10.64516129032258</v>
      </c>
      <c r="AT225" s="801">
        <f>AT226-SUM(AT222:AT224)</f>
        <v>1.3000000000000007</v>
      </c>
      <c r="AU225" s="671">
        <f>+AT225/AR225*100</f>
        <v>4.6931407942238295</v>
      </c>
      <c r="AV225" s="664"/>
      <c r="AW225" s="677">
        <f>AR225+AG225+Q225+E225+W225</f>
        <v>1229.5999999999999</v>
      </c>
      <c r="AX225" s="912"/>
      <c r="AY225" s="1012">
        <f>'qtrP&amp;L'!DF13</f>
        <v>1229.5999999999999</v>
      </c>
      <c r="AZ225" s="804"/>
      <c r="BA225" s="912"/>
      <c r="BB225" s="664"/>
      <c r="BC225" s="677">
        <f>'qtrP&amp;L'!DF51</f>
        <v>294.49999999999989</v>
      </c>
      <c r="BD225" s="685"/>
      <c r="BE225" s="2228">
        <f>BE226-SUM(BE222:BE224)</f>
        <v>-46.5</v>
      </c>
      <c r="BF225" s="677">
        <f>H225+T225+AJ225+AT225+BE225+Z225</f>
        <v>294.5</v>
      </c>
      <c r="BG225" s="1011"/>
      <c r="BH225" s="672"/>
      <c r="BI225" s="247"/>
      <c r="BJ225" s="806"/>
      <c r="BK225" s="806"/>
      <c r="BL225" s="806"/>
      <c r="BM225" s="806"/>
      <c r="BN225" s="247"/>
      <c r="BO225" s="1231">
        <f>E225/$AW225</f>
        <v>0.47763500325309044</v>
      </c>
      <c r="BP225" s="1231">
        <f>K225/AW225</f>
        <v>0</v>
      </c>
      <c r="BQ225" s="1231">
        <f>Q225/AW225</f>
        <v>0.23088809368900456</v>
      </c>
      <c r="BR225" s="1231">
        <f>W225/AW225</f>
        <v>0.15061808718282368</v>
      </c>
      <c r="BS225" s="1231"/>
      <c r="BT225" s="1231">
        <f>AG225/AW225</f>
        <v>0.11833116460637606</v>
      </c>
      <c r="BU225" s="1231">
        <f>BQ225</f>
        <v>0.23088809368900456</v>
      </c>
      <c r="BV225" s="658">
        <v>0</v>
      </c>
      <c r="BW225" s="1231">
        <f>AR225/AW225</f>
        <v>2.2527651268705273E-2</v>
      </c>
      <c r="BX225" s="247"/>
      <c r="BY225" s="247"/>
    </row>
    <row r="226" spans="1:77">
      <c r="A226" s="658"/>
      <c r="B226" s="658"/>
      <c r="C226" s="658" t="str">
        <f>$C$18</f>
        <v>Year</v>
      </c>
      <c r="D226" s="658"/>
      <c r="E226" s="799">
        <f>SUM(E222:E225)</f>
        <v>1841.8999999999999</v>
      </c>
      <c r="F226" s="802">
        <f>+(E226/E219-1)*100</f>
        <v>-5.3980482794042217</v>
      </c>
      <c r="G226" s="2205">
        <v>-5</v>
      </c>
      <c r="H226" s="2174">
        <v>373</v>
      </c>
      <c r="I226" s="671">
        <f>+H226/E226*100</f>
        <v>20.250827949400076</v>
      </c>
      <c r="J226" s="701"/>
      <c r="K226" s="1241"/>
      <c r="L226" s="798"/>
      <c r="M226" s="798"/>
      <c r="N226" s="798"/>
      <c r="O226" s="1103"/>
      <c r="P226" s="700"/>
      <c r="Q226" s="799">
        <f>SUM(Q222:Q225)</f>
        <v>999.1</v>
      </c>
      <c r="R226" s="802">
        <f>(Q226/Q219-1)*100</f>
        <v>-0.3987638321204301</v>
      </c>
      <c r="S226" s="2205">
        <v>-7</v>
      </c>
      <c r="T226" s="2174">
        <v>256</v>
      </c>
      <c r="U226" s="671">
        <f>+T226/Q226*100</f>
        <v>25.623060754679212</v>
      </c>
      <c r="V226" s="700"/>
      <c r="W226" s="799">
        <f>SUM(W222:W225)</f>
        <v>604.40000000000009</v>
      </c>
      <c r="X226" s="1302">
        <f>(W226/W219-1)*100</f>
        <v>11.657121743949773</v>
      </c>
      <c r="Y226" s="2205">
        <v>5</v>
      </c>
      <c r="Z226" s="2174">
        <v>204.6</v>
      </c>
      <c r="AA226" s="671">
        <f>+Z226/W226*100</f>
        <v>33.851753805426867</v>
      </c>
      <c r="AB226" s="713"/>
      <c r="AC226" s="1106"/>
      <c r="AD226" s="1109"/>
      <c r="AE226" s="713"/>
      <c r="AF226" s="713"/>
      <c r="AG226" s="1037">
        <f>SUM(AG222:AG225)</f>
        <v>457.6</v>
      </c>
      <c r="AH226" s="802">
        <f>(AG226/AG219-1)*100</f>
        <v>-9.4757665677546949</v>
      </c>
      <c r="AI226" s="2205">
        <v>-9</v>
      </c>
      <c r="AJ226" s="2174">
        <v>81.599999999999994</v>
      </c>
      <c r="AK226" s="671">
        <f>+AJ226/AG226*100</f>
        <v>17.83216783216783</v>
      </c>
      <c r="AL226" s="700"/>
      <c r="AM226" s="799">
        <f>SUM(AM222:AM225)</f>
        <v>225.09373491739069</v>
      </c>
      <c r="AN226" s="2075">
        <f>+(AM226/AM219-1)*100</f>
        <v>5.0000000000000044</v>
      </c>
      <c r="AO226" s="667"/>
      <c r="AP226" s="705"/>
      <c r="AQ226" s="700"/>
      <c r="AR226" s="799">
        <f>+SUM(AR222:AR225)</f>
        <v>98.8</v>
      </c>
      <c r="AS226" s="2112">
        <f>+(AR226/AR219-1)*100</f>
        <v>-8.0930232558139572</v>
      </c>
      <c r="AT226" s="2131">
        <v>5.9</v>
      </c>
      <c r="AU226" s="671">
        <f>+AT226/AR226*100</f>
        <v>5.9716599190283413</v>
      </c>
      <c r="AV226" s="700"/>
      <c r="AW226" s="667">
        <f>AR226+AG226+Q226+E226+W226</f>
        <v>4001.7999999999997</v>
      </c>
      <c r="AX226" s="912"/>
      <c r="AY226" s="1036">
        <f>'qtrP&amp;L'!DF14</f>
        <v>4001.7999999999997</v>
      </c>
      <c r="AZ226" s="804"/>
      <c r="BA226" s="912"/>
      <c r="BB226" s="700"/>
      <c r="BC226" s="667">
        <f>'qtrP&amp;L'!DF52</f>
        <v>759.19999999999982</v>
      </c>
      <c r="BD226" s="701"/>
      <c r="BE226" s="2435">
        <v>-161.9</v>
      </c>
      <c r="BF226" s="667">
        <f>H226+T226+AJ226+AT226+BE226</f>
        <v>554.6</v>
      </c>
      <c r="BG226" s="1011"/>
      <c r="BH226" s="701"/>
      <c r="BI226" s="658"/>
      <c r="BJ226" s="203"/>
      <c r="BK226" s="203"/>
      <c r="BL226" s="203"/>
      <c r="BM226" s="203"/>
      <c r="BN226" s="658"/>
      <c r="BO226" s="322">
        <f>E226/$AW226</f>
        <v>0.46026787945424558</v>
      </c>
      <c r="BP226" s="322">
        <f>K226/AW226</f>
        <v>0</v>
      </c>
      <c r="BQ226" s="322">
        <f>Q226/AW226</f>
        <v>0.24966265180668701</v>
      </c>
      <c r="BR226" s="1251">
        <f>W226/AW226</f>
        <v>0.15103203558398723</v>
      </c>
      <c r="BS226" s="322"/>
      <c r="BT226" s="322">
        <f>AG226/AW226</f>
        <v>0.11434854315558</v>
      </c>
      <c r="BU226" s="1251">
        <f>BQ226</f>
        <v>0.24966265180668701</v>
      </c>
      <c r="BV226" s="658">
        <v>0</v>
      </c>
      <c r="BW226" s="322">
        <f>AR226/AW226</f>
        <v>2.4688889999500224E-2</v>
      </c>
      <c r="BX226" s="658"/>
      <c r="BY226" s="658"/>
    </row>
    <row r="227" spans="1:77">
      <c r="F227" s="2021"/>
      <c r="G227" s="2071"/>
      <c r="H227" s="2021"/>
      <c r="I227" s="1779"/>
      <c r="Q227" s="2207"/>
      <c r="R227" s="2021"/>
      <c r="S227" s="2071"/>
      <c r="T227" s="2026"/>
      <c r="U227" s="2027"/>
      <c r="W227" s="2025"/>
      <c r="X227" s="2030"/>
      <c r="Y227" s="2071"/>
      <c r="Z227" s="2026"/>
      <c r="AA227" s="1779"/>
      <c r="AC227" s="1778"/>
      <c r="AD227" s="1779"/>
      <c r="AG227" s="2173"/>
      <c r="AH227" s="2021"/>
      <c r="AI227" s="2071"/>
      <c r="AJ227" s="2021"/>
      <c r="AK227" s="2027"/>
      <c r="AM227" s="1778"/>
      <c r="AN227" s="2078"/>
      <c r="AR227" s="1778"/>
      <c r="AS227" s="216"/>
      <c r="AT227" s="2021"/>
      <c r="AU227" s="1779"/>
      <c r="AW227" s="2032"/>
      <c r="BP227" s="322"/>
    </row>
    <row r="228" spans="1:77">
      <c r="A228" s="247"/>
      <c r="B228" s="2507">
        <f>+B221+1</f>
        <v>2017</v>
      </c>
      <c r="C228" s="2507"/>
      <c r="D228" s="247"/>
      <c r="F228" s="2023"/>
      <c r="G228" s="2072"/>
      <c r="H228" s="2024"/>
      <c r="I228" s="895"/>
      <c r="J228" s="709"/>
      <c r="K228" s="1102"/>
      <c r="L228" s="798"/>
      <c r="M228" s="709"/>
      <c r="N228" s="893"/>
      <c r="O228" s="1103"/>
      <c r="P228" s="643"/>
      <c r="Q228" s="1230"/>
      <c r="R228" s="2023"/>
      <c r="S228" s="2072"/>
      <c r="T228" s="2024"/>
      <c r="U228" s="2029"/>
      <c r="V228" s="643"/>
      <c r="W228" s="2028"/>
      <c r="X228" s="2031"/>
      <c r="Y228" s="2072"/>
      <c r="Z228" s="2024"/>
      <c r="AA228" s="895"/>
      <c r="AB228" s="643"/>
      <c r="AC228" s="1277"/>
      <c r="AD228" s="1108"/>
      <c r="AE228" s="643"/>
      <c r="AF228" s="643"/>
      <c r="AG228" s="2028"/>
      <c r="AH228" s="2023"/>
      <c r="AI228" s="2072"/>
      <c r="AJ228" s="2024"/>
      <c r="AK228" s="2029"/>
      <c r="AL228" s="643"/>
      <c r="AM228" s="1230"/>
      <c r="AN228" s="2077"/>
      <c r="AO228" s="658"/>
      <c r="AP228" s="1119"/>
      <c r="AQ228" s="643"/>
      <c r="AR228" s="1230"/>
      <c r="AS228" s="893"/>
      <c r="AT228" s="658"/>
      <c r="AU228" s="895"/>
      <c r="AV228" s="643"/>
      <c r="AW228" s="658"/>
      <c r="AX228" s="658"/>
      <c r="AY228" s="658"/>
      <c r="AZ228" s="659"/>
      <c r="BA228" s="256"/>
      <c r="BB228" s="256"/>
      <c r="BC228" s="658"/>
      <c r="BD228" s="658"/>
      <c r="BE228" s="658"/>
      <c r="BF228" s="658"/>
      <c r="BG228" s="1011"/>
      <c r="BH228" s="247"/>
      <c r="BI228" s="247"/>
      <c r="BJ228" s="247"/>
      <c r="BK228" s="247"/>
      <c r="BL228" s="247"/>
      <c r="BM228" s="247"/>
      <c r="BN228" s="247"/>
      <c r="BO228" s="1251"/>
      <c r="BP228" s="1251"/>
      <c r="BQ228" s="1251"/>
      <c r="BR228" s="1251"/>
      <c r="BS228" s="1251"/>
      <c r="BT228" s="1251"/>
      <c r="BU228" s="1251"/>
      <c r="BV228" s="658">
        <v>0</v>
      </c>
      <c r="BW228" s="1251"/>
      <c r="BX228" s="247"/>
      <c r="BY228" s="247"/>
    </row>
    <row r="229" spans="1:77">
      <c r="A229" s="247"/>
      <c r="B229" s="247" t="str">
        <f>$B$14</f>
        <v>1Q</v>
      </c>
      <c r="C229" s="247" t="str">
        <f>$C$14</f>
        <v>Apr</v>
      </c>
      <c r="D229" s="247"/>
      <c r="E229" s="724">
        <v>391.7</v>
      </c>
      <c r="F229" s="802">
        <f>+(E229/E222-1)*100</f>
        <v>-2.90034705007437</v>
      </c>
      <c r="G229" s="2129">
        <v>-4</v>
      </c>
      <c r="H229" s="695">
        <v>59.9</v>
      </c>
      <c r="I229" s="671">
        <f>+H229/E229*100</f>
        <v>15.29231554761297</v>
      </c>
      <c r="J229" s="705"/>
      <c r="K229" s="1146"/>
      <c r="L229" s="798"/>
      <c r="M229" s="798"/>
      <c r="N229" s="798"/>
      <c r="O229" s="1103"/>
      <c r="P229" s="664"/>
      <c r="Q229" s="724">
        <v>257.3</v>
      </c>
      <c r="R229" s="802">
        <f>(Q229/Q222-1)*100</f>
        <v>8.0184718723761641</v>
      </c>
      <c r="S229" s="2129">
        <v>-2</v>
      </c>
      <c r="T229" s="695">
        <v>72.7</v>
      </c>
      <c r="U229" s="671">
        <f>+T229/Q229*100</f>
        <v>28.254955305091332</v>
      </c>
      <c r="V229" s="664"/>
      <c r="W229" s="724">
        <v>128.4</v>
      </c>
      <c r="X229" s="802">
        <f>(W229/W222-1)*100</f>
        <v>-2.0594965675057142</v>
      </c>
      <c r="Y229" s="2129">
        <v>-1</v>
      </c>
      <c r="Z229" s="695">
        <v>42.3</v>
      </c>
      <c r="AA229" s="671">
        <f>+Z229/W229*100</f>
        <v>32.943925233644855</v>
      </c>
      <c r="AB229" s="723"/>
      <c r="AC229" s="1104"/>
      <c r="AD229" s="1163"/>
      <c r="AE229" s="964"/>
      <c r="AF229" s="964"/>
      <c r="AG229" s="724">
        <v>93.8</v>
      </c>
      <c r="AH229" s="802">
        <f>(AG229/AG222-1)*100</f>
        <v>-3.3985581874356297</v>
      </c>
      <c r="AI229" s="2129">
        <v>3</v>
      </c>
      <c r="AJ229" s="695">
        <v>12.5</v>
      </c>
      <c r="AK229" s="671">
        <f>+AJ229/AG229*100</f>
        <v>13.326226012793176</v>
      </c>
      <c r="AL229" s="664"/>
      <c r="AM229" s="1287">
        <f>+qtrSales!AN201</f>
        <v>49.489980942014853</v>
      </c>
      <c r="AN229" s="2075">
        <f>+(AM229/AM222-1)*100</f>
        <v>5.0000000000000044</v>
      </c>
      <c r="AO229" s="667"/>
      <c r="AP229" s="705"/>
      <c r="AQ229" s="664"/>
      <c r="AR229" s="724">
        <v>28.4</v>
      </c>
      <c r="AS229" s="2111">
        <f>+(AR229/AR222-1)*100</f>
        <v>32.093023255813961</v>
      </c>
      <c r="AT229" s="1616">
        <v>4</v>
      </c>
      <c r="AU229" s="671">
        <f>+AT229/AR229*100</f>
        <v>14.084507042253522</v>
      </c>
      <c r="AV229" s="664"/>
      <c r="AW229" s="1168">
        <f>AR229+AG229+Q229+E229+W229</f>
        <v>899.6</v>
      </c>
      <c r="AX229" s="912"/>
      <c r="AY229" s="1036">
        <f>'qtrP&amp;L'!DF17</f>
        <v>0</v>
      </c>
      <c r="AZ229" s="804"/>
      <c r="BA229" s="912"/>
      <c r="BB229" s="664"/>
      <c r="BC229" s="1168">
        <f>'qtrP&amp;L'!DJ48</f>
        <v>145.60000000000002</v>
      </c>
      <c r="BD229" s="672"/>
      <c r="BE229" s="691">
        <v>-45.8</v>
      </c>
      <c r="BF229" s="1168">
        <f>H229+T229+AJ229+AT229+BE229+Z229</f>
        <v>145.6</v>
      </c>
      <c r="BG229" s="1011"/>
      <c r="BH229" s="672"/>
      <c r="BI229" s="247"/>
      <c r="BJ229" s="806"/>
      <c r="BK229" s="806"/>
      <c r="BL229" s="806"/>
      <c r="BM229" s="806"/>
      <c r="BN229" s="247"/>
      <c r="BO229" s="1251">
        <f>E229/$AW229</f>
        <v>0.43541574032903513</v>
      </c>
      <c r="BP229" s="1251">
        <f>K229/AW229</f>
        <v>0</v>
      </c>
      <c r="BQ229" s="1251">
        <f>Q229/AW229</f>
        <v>0.286016007114273</v>
      </c>
      <c r="BR229" s="1251">
        <f>W229/AW229</f>
        <v>0.14273010226767452</v>
      </c>
      <c r="BS229" s="1251"/>
      <c r="BT229" s="1251">
        <f>AG229/AW229</f>
        <v>0.10426856380613606</v>
      </c>
      <c r="BU229" s="1251">
        <f>BQ229</f>
        <v>0.286016007114273</v>
      </c>
      <c r="BV229" s="658">
        <v>0</v>
      </c>
      <c r="BW229" s="1252">
        <f>AR229/AW229</f>
        <v>3.156958648288128E-2</v>
      </c>
      <c r="BX229" s="247"/>
      <c r="BY229" s="247"/>
    </row>
    <row r="230" spans="1:77">
      <c r="A230" s="247"/>
      <c r="B230" s="247" t="str">
        <f>$B$15</f>
        <v>2Q</v>
      </c>
      <c r="C230" s="247" t="str">
        <f>$C$15</f>
        <v>Jul</v>
      </c>
      <c r="D230" s="247"/>
      <c r="E230" s="2130">
        <v>438.6</v>
      </c>
      <c r="F230" s="802">
        <f>+(E230/E223-1)*100</f>
        <v>1.0366275051831408</v>
      </c>
      <c r="G230" s="2129">
        <v>-1</v>
      </c>
      <c r="H230" s="2131">
        <v>95.5</v>
      </c>
      <c r="I230" s="671">
        <f>+H230/E230*100</f>
        <v>21.773825809393525</v>
      </c>
      <c r="J230" s="705"/>
      <c r="K230" s="1146"/>
      <c r="L230" s="798"/>
      <c r="M230" s="1162"/>
      <c r="N230" s="798"/>
      <c r="O230" s="1103"/>
      <c r="P230" s="664"/>
      <c r="Q230" s="2130">
        <v>234.7</v>
      </c>
      <c r="R230" s="802">
        <f>(Q230/Q223-1)*100</f>
        <v>1.9105514546243985</v>
      </c>
      <c r="S230" s="2129">
        <v>-7</v>
      </c>
      <c r="T230" s="2131">
        <v>57.2</v>
      </c>
      <c r="U230" s="671">
        <f>+T230/Q230*100</f>
        <v>24.371538133787819</v>
      </c>
      <c r="V230" s="664"/>
      <c r="W230" s="2130">
        <v>139.80000000000001</v>
      </c>
      <c r="X230" s="802">
        <f>(W230/W223-1)*100</f>
        <v>1.3043478260869712</v>
      </c>
      <c r="Y230" s="2129">
        <v>9</v>
      </c>
      <c r="Z230" s="2131">
        <v>46.2</v>
      </c>
      <c r="AA230" s="671">
        <f>+Z230/W230*100</f>
        <v>33.047210300429185</v>
      </c>
      <c r="AB230" s="964"/>
      <c r="AC230" s="1104"/>
      <c r="AD230" s="1163"/>
      <c r="AE230" s="964"/>
      <c r="AF230" s="964"/>
      <c r="AG230" s="2130">
        <v>114.4</v>
      </c>
      <c r="AH230" s="802">
        <f>(AG230/AG223-1)*100</f>
        <v>3.342366757000903</v>
      </c>
      <c r="AI230" s="2129">
        <v>0</v>
      </c>
      <c r="AJ230" s="2131">
        <v>21.6</v>
      </c>
      <c r="AK230" s="671">
        <f>+AJ230/AG230*100</f>
        <v>18.88111888111888</v>
      </c>
      <c r="AL230" s="664"/>
      <c r="AM230" s="1288">
        <f>+qtrSales!AN202</f>
        <v>47.893593272891806</v>
      </c>
      <c r="AN230" s="2075">
        <f>+(AM230/AM223-1)*100</f>
        <v>5.0000000000000044</v>
      </c>
      <c r="AO230" s="673"/>
      <c r="AP230" s="705"/>
      <c r="AQ230" s="664"/>
      <c r="AR230" s="2130">
        <v>32.200000000000003</v>
      </c>
      <c r="AS230" s="2111">
        <f>+(AR230/AR223-1)*100</f>
        <v>74.054054054054077</v>
      </c>
      <c r="AT230" s="1741">
        <v>1.1000000000000001</v>
      </c>
      <c r="AU230" s="671">
        <f>+AT230/AR230*100</f>
        <v>3.4161490683229814</v>
      </c>
      <c r="AV230" s="664"/>
      <c r="AW230" s="673">
        <f>AR230+AG230+Q230+E230+W230</f>
        <v>959.7</v>
      </c>
      <c r="AX230" s="912"/>
      <c r="AY230" s="1036">
        <f>'qtrP&amp;L'!DF18</f>
        <v>0</v>
      </c>
      <c r="AZ230" s="804"/>
      <c r="BA230" s="912"/>
      <c r="BB230" s="664"/>
      <c r="BC230" s="903">
        <f>'qtrP&amp;L'!DJ49</f>
        <v>181.30000000000007</v>
      </c>
      <c r="BD230" s="672"/>
      <c r="BE230" s="1741">
        <v>-40.299999999999997</v>
      </c>
      <c r="BF230" s="673">
        <f>H230+T230+AJ230+AT230+BE230+Z230</f>
        <v>181.29999999999995</v>
      </c>
      <c r="BG230" s="1011"/>
      <c r="BH230" s="672"/>
      <c r="BI230" s="247"/>
      <c r="BJ230" s="806"/>
      <c r="BK230" s="806"/>
      <c r="BL230" s="806"/>
      <c r="BM230" s="806"/>
      <c r="BN230" s="247"/>
      <c r="BO230" s="1251">
        <f>E230/$AW230</f>
        <v>0.45701781806814629</v>
      </c>
      <c r="BP230" s="1251">
        <f>K230/AW230</f>
        <v>0</v>
      </c>
      <c r="BQ230" s="1251">
        <f>Q230/AW230</f>
        <v>0.24455559028863183</v>
      </c>
      <c r="BR230" s="1251">
        <f>W230/AW230</f>
        <v>0.14567052203813693</v>
      </c>
      <c r="BS230" s="1251"/>
      <c r="BT230" s="1251">
        <f>AG230/AW230</f>
        <v>0.11920391789100761</v>
      </c>
      <c r="BU230" s="1251">
        <f>BQ230</f>
        <v>0.24455559028863183</v>
      </c>
      <c r="BV230" s="658">
        <v>0</v>
      </c>
      <c r="BW230" s="1251">
        <f>AR230/AW230</f>
        <v>3.355215171407732E-2</v>
      </c>
      <c r="BX230" s="247"/>
      <c r="BY230" s="247"/>
    </row>
    <row r="231" spans="1:77">
      <c r="A231" s="247"/>
      <c r="B231" s="247" t="str">
        <f>$B$16</f>
        <v>3Q</v>
      </c>
      <c r="C231" s="247" t="str">
        <f>$C$16</f>
        <v>Oct</v>
      </c>
      <c r="D231" s="247"/>
      <c r="E231" s="2435">
        <v>421.4</v>
      </c>
      <c r="F231" s="802">
        <f>+(E231/E224-1)*100</f>
        <v>1.0309278350515427</v>
      </c>
      <c r="G231" s="2436">
        <v>0</v>
      </c>
      <c r="H231" s="2438">
        <v>67.7</v>
      </c>
      <c r="I231" s="671">
        <f>+H231/E231*100</f>
        <v>16.065495965828195</v>
      </c>
      <c r="J231" s="705"/>
      <c r="K231" s="1241"/>
      <c r="L231" s="798"/>
      <c r="M231" s="1162"/>
      <c r="N231" s="798"/>
      <c r="O231" s="1103"/>
      <c r="P231" s="664"/>
      <c r="Q231" s="2437">
        <v>283.2</v>
      </c>
      <c r="R231" s="802">
        <f>(Q231/Q224-1)*100</f>
        <v>14.795297932711794</v>
      </c>
      <c r="S231" s="2436">
        <v>2</v>
      </c>
      <c r="T231" s="2438">
        <v>74.900000000000006</v>
      </c>
      <c r="U231" s="671">
        <f>+T231/Q231*100</f>
        <v>26.447740112994357</v>
      </c>
      <c r="V231" s="664"/>
      <c r="W231" s="2437">
        <v>138.69999999999999</v>
      </c>
      <c r="X231" s="802">
        <f>(W231/W224-1)*100</f>
        <v>-7.5949367088607662</v>
      </c>
      <c r="Y231" s="2436">
        <v>0</v>
      </c>
      <c r="Z231" s="2438">
        <v>46</v>
      </c>
      <c r="AA231" s="671">
        <f>+Z231/W231*100</f>
        <v>33.165104542177367</v>
      </c>
      <c r="AB231" s="723"/>
      <c r="AC231" s="1986"/>
      <c r="AD231" s="1163"/>
      <c r="AE231" s="964"/>
      <c r="AF231" s="964"/>
      <c r="AG231" s="2437">
        <v>109.7</v>
      </c>
      <c r="AH231" s="802">
        <f>(AG231/AG224-1)*100</f>
        <v>5.1773729626078735</v>
      </c>
      <c r="AI231" s="2436">
        <v>-8</v>
      </c>
      <c r="AJ231" s="2438">
        <v>13.7</v>
      </c>
      <c r="AK231" s="671">
        <f>+AJ231/AG231*100</f>
        <v>12.488605287146763</v>
      </c>
      <c r="AL231" s="664"/>
      <c r="AM231" s="1288">
        <f>+qtrSales!AN203</f>
        <v>40.193349223090827</v>
      </c>
      <c r="AN231" s="2075">
        <f>+(AM231/AM224-1)*100</f>
        <v>5.0000000000000044</v>
      </c>
      <c r="AO231" s="673"/>
      <c r="AP231" s="705"/>
      <c r="AQ231" s="664"/>
      <c r="AR231" s="2437">
        <v>23.2</v>
      </c>
      <c r="AS231" s="2111">
        <f>+(AR231/AR224-1)*100</f>
        <v>-25.401929260450164</v>
      </c>
      <c r="AT231" s="2131">
        <v>1.4</v>
      </c>
      <c r="AU231" s="671">
        <f>+AT231/AR231*100</f>
        <v>6.0344827586206895</v>
      </c>
      <c r="AV231" s="664"/>
      <c r="AW231" s="673">
        <f>AR231+AG231+Q231+E231+W231</f>
        <v>976.2</v>
      </c>
      <c r="AX231" s="912"/>
      <c r="AY231" s="1036">
        <f>'qtrP&amp;L'!DF19</f>
        <v>0</v>
      </c>
      <c r="AZ231" s="804"/>
      <c r="BA231" s="912"/>
      <c r="BB231" s="664"/>
      <c r="BC231" s="903">
        <f>'qtrP&amp;L'!DJ50</f>
        <v>160.30000000000007</v>
      </c>
      <c r="BD231" s="672"/>
      <c r="BE231" s="1260">
        <v>-43.4</v>
      </c>
      <c r="BF231" s="673">
        <f>H231+T231+AJ231+AT231+BE231+Z231</f>
        <v>160.30000000000001</v>
      </c>
      <c r="BG231" s="1011"/>
      <c r="BH231" s="672"/>
      <c r="BI231" s="247"/>
      <c r="BJ231" s="806"/>
      <c r="BK231" s="806"/>
      <c r="BL231" s="806"/>
      <c r="BM231" s="806"/>
      <c r="BN231" s="247"/>
      <c r="BO231" s="1251">
        <f>E231/$AW231</f>
        <v>0.43167383732841624</v>
      </c>
      <c r="BP231" s="1251">
        <f>K231/AW231</f>
        <v>0</v>
      </c>
      <c r="BQ231" s="1251">
        <f>Q231/AW231</f>
        <v>0.29010448678549478</v>
      </c>
      <c r="BR231" s="1251">
        <f>W231/AW231</f>
        <v>0.14208154066789591</v>
      </c>
      <c r="BS231" s="1251"/>
      <c r="BT231" s="1251">
        <f>AG231/AW231</f>
        <v>0.11237451341938128</v>
      </c>
      <c r="BU231" s="1251">
        <f>BQ231</f>
        <v>0.29010448678549478</v>
      </c>
      <c r="BV231" s="658">
        <v>0</v>
      </c>
      <c r="BW231" s="1251">
        <f>AR231/AW231</f>
        <v>2.3765621798811715E-2</v>
      </c>
      <c r="BX231" s="247"/>
      <c r="BY231" s="247"/>
    </row>
    <row r="232" spans="1:77">
      <c r="A232" s="247"/>
      <c r="B232" s="247" t="str">
        <f>$B$17</f>
        <v>4Q</v>
      </c>
      <c r="C232" s="247" t="str">
        <f>$C$17</f>
        <v>Jan</v>
      </c>
      <c r="D232" s="247"/>
      <c r="E232" s="2451">
        <v>619.20000000000005</v>
      </c>
      <c r="F232" s="802">
        <f>+(E232/E225-1)*100</f>
        <v>5.4316363017197444</v>
      </c>
      <c r="G232" s="2436">
        <v>4</v>
      </c>
      <c r="H232" s="801">
        <f>H233-SUM(H229:H231)</f>
        <v>167.2</v>
      </c>
      <c r="I232" s="671">
        <f>+H232/E232*100</f>
        <v>27.002583979328161</v>
      </c>
      <c r="J232" s="705"/>
      <c r="K232" s="1242"/>
      <c r="L232" s="798"/>
      <c r="M232" s="1162"/>
      <c r="N232" s="798"/>
      <c r="O232" s="1103"/>
      <c r="P232" s="664"/>
      <c r="Q232" s="2451">
        <v>319.8</v>
      </c>
      <c r="R232" s="802">
        <f>(Q232/Q225-1)*100</f>
        <v>12.645297640014096</v>
      </c>
      <c r="S232" s="2436">
        <v>-1</v>
      </c>
      <c r="T232" s="801">
        <f>T233-SUM(T229:T231)</f>
        <v>81.300000000000011</v>
      </c>
      <c r="U232" s="671">
        <f>+T232/Q232*100</f>
        <v>25.422138836772984</v>
      </c>
      <c r="V232" s="664"/>
      <c r="W232" s="2451">
        <v>189.4</v>
      </c>
      <c r="X232" s="802">
        <f>(W232/W225-1)*100</f>
        <v>2.2678185745140578</v>
      </c>
      <c r="Y232" s="2436">
        <v>0</v>
      </c>
      <c r="Z232" s="801">
        <f>Z233-SUM(Z229:Z231)</f>
        <v>72.800000000000011</v>
      </c>
      <c r="AA232" s="671">
        <f>+Z232/W232*100</f>
        <v>38.437170010559669</v>
      </c>
      <c r="AB232" s="964"/>
      <c r="AC232" s="1152"/>
      <c r="AD232" s="1164"/>
      <c r="AE232" s="964"/>
      <c r="AF232" s="964"/>
      <c r="AG232" s="2451">
        <v>165</v>
      </c>
      <c r="AH232" s="802">
        <f>(AG232/AG225-1)*100</f>
        <v>13.4020618556701</v>
      </c>
      <c r="AI232" s="2436">
        <v>-8</v>
      </c>
      <c r="AJ232" s="801">
        <f>AJ233-SUM(AJ229:AJ231)</f>
        <v>38.5</v>
      </c>
      <c r="AK232" s="671">
        <f>+AJ232/AG232*100</f>
        <v>23.333333333333332</v>
      </c>
      <c r="AL232" s="664"/>
      <c r="AM232" s="1289">
        <f>+qtrSales!AN204</f>
        <v>98.771498225262718</v>
      </c>
      <c r="AN232" s="2075">
        <f>+(AM232/AM225-1)*100</f>
        <v>5.0000000000000044</v>
      </c>
      <c r="AO232" s="1098"/>
      <c r="AP232" s="705"/>
      <c r="AQ232" s="664"/>
      <c r="AR232" s="2451">
        <v>40.9</v>
      </c>
      <c r="AS232" s="2111">
        <f>+(AR232/AR225-1)*100</f>
        <v>47.653429602888075</v>
      </c>
      <c r="AT232" s="801">
        <f>AT233-SUM(AT229:AT231)</f>
        <v>-0.20000000000000018</v>
      </c>
      <c r="AU232" s="671">
        <f>+AT232/AR232*100</f>
        <v>-0.48899755501222536</v>
      </c>
      <c r="AV232" s="664"/>
      <c r="AW232" s="677">
        <f>AR232+AG232+Q232+E232+W232</f>
        <v>1334.3000000000002</v>
      </c>
      <c r="AX232" s="912"/>
      <c r="AY232" s="1012">
        <f>'qtrP&amp;L'!DF20</f>
        <v>345.7</v>
      </c>
      <c r="AZ232" s="804"/>
      <c r="BA232" s="912"/>
      <c r="BB232" s="664"/>
      <c r="BC232" s="677">
        <f>'qtrP&amp;L'!DJ51</f>
        <v>307.19999999999993</v>
      </c>
      <c r="BD232" s="685"/>
      <c r="BE232" s="2228">
        <f>BE233-SUM(BE229:BE231)</f>
        <v>-52.300000000000011</v>
      </c>
      <c r="BF232" s="677">
        <f>H232+T232+AJ232+AT232+BE232+Z232</f>
        <v>307.3</v>
      </c>
      <c r="BG232" s="1011"/>
      <c r="BH232" s="672"/>
      <c r="BI232" s="247"/>
      <c r="BJ232" s="806"/>
      <c r="BK232" s="806"/>
      <c r="BL232" s="806"/>
      <c r="BM232" s="806"/>
      <c r="BN232" s="247"/>
      <c r="BO232" s="1231">
        <f>E232/$AW232</f>
        <v>0.46406355392340548</v>
      </c>
      <c r="BP232" s="1231">
        <f>K232/AW232</f>
        <v>0</v>
      </c>
      <c r="BQ232" s="1231">
        <f>Q232/AW232</f>
        <v>0.23967623472982086</v>
      </c>
      <c r="BR232" s="1231">
        <f>W232/AW232</f>
        <v>0.14194708836093831</v>
      </c>
      <c r="BS232" s="1231"/>
      <c r="BT232" s="1231">
        <f>AG232/AW232</f>
        <v>0.12366034624896947</v>
      </c>
      <c r="BU232" s="1231">
        <f>BQ232</f>
        <v>0.23967623472982086</v>
      </c>
      <c r="BV232" s="658">
        <v>0</v>
      </c>
      <c r="BW232" s="1231">
        <f>AR232/AW232</f>
        <v>3.0652776736865766E-2</v>
      </c>
      <c r="BX232" s="247"/>
      <c r="BY232" s="247"/>
    </row>
    <row r="233" spans="1:77">
      <c r="A233" s="658"/>
      <c r="B233" s="658"/>
      <c r="C233" s="658" t="str">
        <f>$C$18</f>
        <v>Year</v>
      </c>
      <c r="D233" s="658"/>
      <c r="E233" s="1037">
        <f>SeqQtrSales!V223</f>
        <v>1870.8999999999999</v>
      </c>
      <c r="F233" s="802">
        <f>+(E233/E226-1)*100</f>
        <v>1.5744611542429121</v>
      </c>
      <c r="G233" s="2450">
        <v>0</v>
      </c>
      <c r="H233" s="2468">
        <v>390.3</v>
      </c>
      <c r="I233" s="671">
        <f>+H233/E233*100</f>
        <v>20.861617403388745</v>
      </c>
      <c r="J233" s="701"/>
      <c r="K233" s="1241"/>
      <c r="L233" s="798"/>
      <c r="M233" s="798"/>
      <c r="N233" s="798"/>
      <c r="O233" s="1103"/>
      <c r="P233" s="700"/>
      <c r="Q233" s="1037">
        <f>SeqQtrSales!V410</f>
        <v>1095</v>
      </c>
      <c r="R233" s="802">
        <f>(Q233/Q226-1)*100</f>
        <v>9.5986387748973954</v>
      </c>
      <c r="S233" s="2450">
        <v>-2</v>
      </c>
      <c r="T233" s="2468">
        <v>286.10000000000002</v>
      </c>
      <c r="U233" s="671">
        <f>+T233/Q233*100</f>
        <v>26.12785388127854</v>
      </c>
      <c r="V233" s="700"/>
      <c r="W233" s="1037">
        <f>SeqQtrSales!V584</f>
        <v>596.30000000000007</v>
      </c>
      <c r="X233" s="1302">
        <f>(W233/W226-1)*100</f>
        <v>-1.3401720714758425</v>
      </c>
      <c r="Y233" s="2450">
        <v>2</v>
      </c>
      <c r="Z233" s="2468">
        <v>207.3</v>
      </c>
      <c r="AA233" s="671">
        <f>+Z233/W233*100</f>
        <v>34.764380345463692</v>
      </c>
      <c r="AB233" s="713"/>
      <c r="AC233" s="1106"/>
      <c r="AD233" s="1109"/>
      <c r="AE233" s="713"/>
      <c r="AF233" s="713"/>
      <c r="AG233" s="1037">
        <f>SeqQtrSales!V504</f>
        <v>482.9</v>
      </c>
      <c r="AH233" s="802">
        <f>(AG233/AG226-1)*100</f>
        <v>5.5288461538461453</v>
      </c>
      <c r="AI233" s="2450">
        <v>-4</v>
      </c>
      <c r="AJ233" s="2468">
        <v>86.3</v>
      </c>
      <c r="AK233" s="671">
        <f>+AJ233/AG233*100</f>
        <v>17.871194864361151</v>
      </c>
      <c r="AL233" s="700"/>
      <c r="AM233" s="799">
        <f>SUM(AM229:AM232)</f>
        <v>236.34842166326021</v>
      </c>
      <c r="AN233" s="2075">
        <f>+(AM233/AM226-1)*100</f>
        <v>5.0000000000000044</v>
      </c>
      <c r="AO233" s="667"/>
      <c r="AP233" s="705"/>
      <c r="AQ233" s="700"/>
      <c r="AR233" s="799">
        <f>+SUM(AR229:AR232)</f>
        <v>124.69999999999999</v>
      </c>
      <c r="AS233" s="2112">
        <f>+(AR233/AR226-1)*100</f>
        <v>26.214574898785425</v>
      </c>
      <c r="AT233" s="2435">
        <v>6.3</v>
      </c>
      <c r="AU233" s="671">
        <f>+AT233/AR233*100</f>
        <v>5.0521251002405778</v>
      </c>
      <c r="AV233" s="700"/>
      <c r="AW233" s="667">
        <f>AR233+AG233+Q233+E233+W233</f>
        <v>4169.8</v>
      </c>
      <c r="AX233" s="912"/>
      <c r="AY233" s="1036">
        <f>'qtrP&amp;L'!DF21</f>
        <v>354.5</v>
      </c>
      <c r="AZ233" s="804"/>
      <c r="BA233" s="912"/>
      <c r="BB233" s="700"/>
      <c r="BC233" s="667">
        <f>'qtrP&amp;L'!DJ52</f>
        <v>794.40000000000009</v>
      </c>
      <c r="BD233" s="701"/>
      <c r="BE233" s="2435">
        <v>-181.8</v>
      </c>
      <c r="BF233" s="667">
        <f>H233+T233+AJ233+AT233+BE233</f>
        <v>587.20000000000005</v>
      </c>
      <c r="BG233" s="1011"/>
      <c r="BH233" s="701"/>
      <c r="BI233" s="658"/>
      <c r="BJ233" s="203"/>
      <c r="BK233" s="203"/>
      <c r="BL233" s="203"/>
      <c r="BM233" s="203"/>
      <c r="BN233" s="658"/>
      <c r="BO233" s="322">
        <f>E233/$AW233</f>
        <v>0.44867859369753937</v>
      </c>
      <c r="BP233" s="322">
        <f>K233/AW233</f>
        <v>0</v>
      </c>
      <c r="BQ233" s="322">
        <f>Q233/AW233</f>
        <v>0.26260252290277708</v>
      </c>
      <c r="BR233" s="1251">
        <f>W233/AW233</f>
        <v>0.14300446064559452</v>
      </c>
      <c r="BS233" s="322"/>
      <c r="BT233" s="322">
        <f>AG233/AW233</f>
        <v>0.11580891169840279</v>
      </c>
      <c r="BU233" s="1251">
        <f>BQ233</f>
        <v>0.26260252290277708</v>
      </c>
      <c r="BV233" s="658">
        <v>0</v>
      </c>
      <c r="BW233" s="322">
        <f>AR233/AW233</f>
        <v>2.9905511055686122E-2</v>
      </c>
      <c r="BX233" s="658"/>
      <c r="BY233" s="658"/>
    </row>
    <row r="234" spans="1:77">
      <c r="A234" s="658"/>
      <c r="B234" s="658"/>
      <c r="C234" s="658"/>
      <c r="D234" s="658"/>
      <c r="E234" s="673"/>
      <c r="F234" s="802"/>
      <c r="G234" s="2068"/>
      <c r="H234" s="667"/>
      <c r="I234" s="701"/>
      <c r="J234" s="701"/>
      <c r="K234" s="1485"/>
      <c r="L234" s="798"/>
      <c r="M234" s="798"/>
      <c r="N234" s="798"/>
      <c r="O234" s="798"/>
      <c r="P234" s="2417"/>
      <c r="Q234" s="673"/>
      <c r="R234" s="802"/>
      <c r="S234" s="2068"/>
      <c r="T234" s="1486"/>
      <c r="U234" s="701"/>
      <c r="V234" s="2417"/>
      <c r="W234" s="673"/>
      <c r="X234" s="1302"/>
      <c r="Y234" s="2068"/>
      <c r="Z234" s="1486"/>
      <c r="AA234" s="701"/>
      <c r="AB234" s="2417"/>
      <c r="AC234" s="713"/>
      <c r="AD234" s="713"/>
      <c r="AE234" s="713"/>
      <c r="AF234" s="713"/>
      <c r="AG234" s="673">
        <f>+AG231/46</f>
        <v>2.3847826086956521</v>
      </c>
      <c r="AH234" s="802"/>
      <c r="AI234" s="2068"/>
      <c r="AJ234" s="1486"/>
      <c r="AK234" s="701"/>
      <c r="AL234" s="2417"/>
      <c r="AM234" s="667"/>
      <c r="AN234" s="2243"/>
      <c r="AO234" s="667"/>
      <c r="AP234" s="705"/>
      <c r="AQ234" s="2417"/>
      <c r="AR234" s="667"/>
      <c r="AS234" s="2112"/>
      <c r="AT234" s="673"/>
      <c r="AU234" s="701"/>
      <c r="AV234" s="2415"/>
      <c r="AW234" s="667"/>
      <c r="AX234" s="912"/>
      <c r="AY234" s="1036"/>
      <c r="AZ234" s="804"/>
      <c r="BA234" s="912"/>
      <c r="BB234" s="700"/>
      <c r="BC234" s="2440"/>
      <c r="BD234" s="701"/>
      <c r="BE234" s="1263"/>
      <c r="BF234" s="667"/>
      <c r="BG234" s="1011"/>
      <c r="BH234" s="701"/>
      <c r="BI234" s="658"/>
      <c r="BJ234" s="203"/>
      <c r="BK234" s="203"/>
      <c r="BL234" s="203"/>
      <c r="BM234" s="203"/>
      <c r="BN234" s="658"/>
      <c r="BO234" s="322"/>
      <c r="BP234" s="322"/>
      <c r="BQ234" s="322"/>
      <c r="BR234" s="1251"/>
      <c r="BS234" s="322"/>
      <c r="BT234" s="322"/>
      <c r="BU234" s="1251"/>
      <c r="BV234" s="658"/>
      <c r="BW234" s="322"/>
      <c r="BX234" s="658"/>
      <c r="BY234" s="658"/>
    </row>
    <row r="235" spans="1:77">
      <c r="A235" s="247"/>
      <c r="B235" s="2505">
        <f>+B228+1</f>
        <v>2018</v>
      </c>
      <c r="C235" s="2505"/>
      <c r="D235" s="247"/>
      <c r="E235" s="621"/>
      <c r="F235" s="2023"/>
      <c r="G235" s="2072"/>
      <c r="H235" s="2024"/>
      <c r="I235" s="895"/>
      <c r="J235" s="2244"/>
      <c r="K235" s="2245"/>
      <c r="L235" s="2246"/>
      <c r="M235" s="2244"/>
      <c r="N235" s="2247"/>
      <c r="O235" s="2246"/>
      <c r="P235" s="2418"/>
      <c r="Q235" s="2416"/>
      <c r="R235" s="2023"/>
      <c r="S235" s="2072"/>
      <c r="T235" s="2024"/>
      <c r="U235" s="2029"/>
      <c r="V235" s="2418"/>
      <c r="W235" s="2028"/>
      <c r="X235" s="2031"/>
      <c r="Y235" s="2072"/>
      <c r="Z235" s="2024"/>
      <c r="AA235" s="895"/>
      <c r="AB235" s="2418"/>
      <c r="AC235" s="1277"/>
      <c r="AD235" s="1108"/>
      <c r="AE235" s="643"/>
      <c r="AF235" s="643"/>
      <c r="AG235" s="2028"/>
      <c r="AH235" s="2023"/>
      <c r="AI235" s="2072"/>
      <c r="AJ235" s="2024"/>
      <c r="AK235" s="2029"/>
      <c r="AL235" s="2418"/>
      <c r="AM235" s="1230"/>
      <c r="AN235" s="2077"/>
      <c r="AO235" s="658"/>
      <c r="AP235" s="1119"/>
      <c r="AQ235" s="2418"/>
      <c r="AR235" s="1230"/>
      <c r="AS235" s="893"/>
      <c r="AT235" s="658"/>
      <c r="AU235" s="895"/>
      <c r="AV235" s="643"/>
      <c r="AW235" s="658"/>
      <c r="AX235" s="658"/>
      <c r="AY235" s="658"/>
      <c r="AZ235" s="659"/>
      <c r="BA235" s="256"/>
      <c r="BB235" s="256"/>
      <c r="BC235" s="658"/>
      <c r="BD235" s="658"/>
      <c r="BE235" s="658"/>
      <c r="BF235" s="658"/>
      <c r="BG235" s="1011"/>
      <c r="BH235" s="247"/>
      <c r="BI235" s="247"/>
      <c r="BJ235" s="247"/>
      <c r="BK235" s="247"/>
      <c r="BL235" s="247"/>
      <c r="BM235" s="247"/>
      <c r="BN235" s="247"/>
      <c r="BO235" s="1251"/>
      <c r="BP235" s="1251"/>
      <c r="BQ235" s="1251"/>
      <c r="BR235" s="1251"/>
      <c r="BS235" s="1251"/>
      <c r="BT235" s="1251"/>
      <c r="BU235" s="1251"/>
      <c r="BV235" s="658"/>
      <c r="BW235" s="1251"/>
      <c r="BX235" s="247"/>
      <c r="BY235" s="247"/>
    </row>
    <row r="236" spans="1:77">
      <c r="A236" s="247"/>
      <c r="B236" s="247" t="str">
        <f>$B$14</f>
        <v>1Q</v>
      </c>
      <c r="C236" s="247" t="str">
        <f>$C$14</f>
        <v>Apr</v>
      </c>
      <c r="D236" s="247"/>
      <c r="E236" s="2411">
        <f>SeqQtrSales!V226</f>
        <v>409.32649999999995</v>
      </c>
      <c r="F236" s="802">
        <f>+(E236/E229-1)*100</f>
        <v>4.4999999999999929</v>
      </c>
      <c r="G236" s="2129">
        <v>4</v>
      </c>
      <c r="H236" s="2413">
        <f>E236*(I236/100)</f>
        <v>0</v>
      </c>
      <c r="I236" s="698">
        <v>0</v>
      </c>
      <c r="J236" s="2248"/>
      <c r="K236" s="2249"/>
      <c r="L236" s="2246"/>
      <c r="M236" s="2246"/>
      <c r="N236" s="2246"/>
      <c r="O236" s="2246"/>
      <c r="P236" s="2417"/>
      <c r="Q236" s="2413">
        <f>SeqQtrSales!V413</f>
        <v>288.069426035503</v>
      </c>
      <c r="R236" s="802">
        <f>(Q236/Q229-1)*100</f>
        <v>11.958579881656807</v>
      </c>
      <c r="S236" s="2129">
        <v>5</v>
      </c>
      <c r="T236" s="2413">
        <f>Q236*(U236/100)</f>
        <v>0</v>
      </c>
      <c r="U236" s="698">
        <v>0</v>
      </c>
      <c r="V236" s="2417"/>
      <c r="W236" s="2411">
        <f>SeqQtrSales!V587</f>
        <v>133.536</v>
      </c>
      <c r="X236" s="802">
        <f>(W236/W229-1)*100</f>
        <v>4.0000000000000036</v>
      </c>
      <c r="Y236" s="2129">
        <v>4</v>
      </c>
      <c r="Z236" s="2413">
        <f>W236*(AA236/100)</f>
        <v>0</v>
      </c>
      <c r="AA236" s="698">
        <v>0</v>
      </c>
      <c r="AB236" s="2417"/>
      <c r="AC236" s="1104"/>
      <c r="AD236" s="1163"/>
      <c r="AE236" s="964"/>
      <c r="AF236" s="964"/>
      <c r="AG236" s="2411">
        <f>SeqQtrSales!V507</f>
        <v>101.43488372093022</v>
      </c>
      <c r="AH236" s="802">
        <f>(AG236/AG229-1)*100</f>
        <v>8.1395348837209234</v>
      </c>
      <c r="AI236" s="2129">
        <v>-5</v>
      </c>
      <c r="AJ236" s="2413">
        <f>AG236*(AK236/100)</f>
        <v>0</v>
      </c>
      <c r="AK236" s="698">
        <v>0</v>
      </c>
      <c r="AL236" s="2417"/>
      <c r="AM236" s="1287">
        <f>+qtrSales!AN208</f>
        <v>51.964479989115596</v>
      </c>
      <c r="AN236" s="2075">
        <f>+(AM236/AM229-1)*100</f>
        <v>5.0000000000000044</v>
      </c>
      <c r="AO236" s="667"/>
      <c r="AP236" s="705"/>
      <c r="AQ236" s="2417"/>
      <c r="AR236" s="2411">
        <f>AR229*(1+AS236/100)</f>
        <v>29.82</v>
      </c>
      <c r="AS236" s="2397">
        <v>5</v>
      </c>
      <c r="AT236" s="1616"/>
      <c r="AU236" s="671">
        <v>0</v>
      </c>
      <c r="AV236" s="664"/>
      <c r="AW236" s="1168">
        <f>AR236+AG236+Q236+E236+W236</f>
        <v>962.18680975643315</v>
      </c>
      <c r="AX236" s="912"/>
      <c r="AY236" s="1036">
        <f>'qtrP&amp;L'!DF24</f>
        <v>1511.4</v>
      </c>
      <c r="AZ236" s="804"/>
      <c r="BA236" s="912"/>
      <c r="BB236" s="664"/>
      <c r="BC236" s="1168">
        <f>'qtrP&amp;L'!DN48</f>
        <v>165.49613127810642</v>
      </c>
      <c r="BD236" s="672"/>
      <c r="BE236" s="691"/>
      <c r="BF236" s="1168">
        <v>0</v>
      </c>
      <c r="BG236" s="1011"/>
      <c r="BH236" s="672"/>
      <c r="BI236" s="247"/>
      <c r="BJ236" s="806"/>
      <c r="BK236" s="806"/>
      <c r="BL236" s="806"/>
      <c r="BM236" s="806"/>
      <c r="BN236" s="247"/>
      <c r="BO236" s="1251">
        <f>E236/$AW236</f>
        <v>0.42541271180345569</v>
      </c>
      <c r="BP236" s="1251">
        <f>K236/AW236</f>
        <v>0</v>
      </c>
      <c r="BQ236" s="1251">
        <f>Q236/AW236</f>
        <v>0.29939032952283412</v>
      </c>
      <c r="BR236" s="1251">
        <f>W236/AW236</f>
        <v>0.13878386052060218</v>
      </c>
      <c r="BS236" s="1251"/>
      <c r="BT236" s="1251">
        <f>AG236/AW236</f>
        <v>0.10542119543979959</v>
      </c>
      <c r="BU236" s="1251">
        <f>BQ236</f>
        <v>0.29939032952283412</v>
      </c>
      <c r="BV236" s="658">
        <v>0</v>
      </c>
      <c r="BW236" s="1252">
        <f>AR236/AW236</f>
        <v>3.0991902713308449E-2</v>
      </c>
      <c r="BX236" s="247"/>
      <c r="BY236" s="247"/>
    </row>
    <row r="237" spans="1:77">
      <c r="A237" s="247"/>
      <c r="B237" s="247" t="str">
        <f>$B$15</f>
        <v>2Q</v>
      </c>
      <c r="C237" s="247" t="str">
        <f>$C$15</f>
        <v>Jul</v>
      </c>
      <c r="D237" s="247"/>
      <c r="E237" s="2412">
        <f>SeqQtrSales!V227</f>
        <v>458.33699999999999</v>
      </c>
      <c r="F237" s="802">
        <f>+(E237/E230-1)*100</f>
        <v>4.4999999999999929</v>
      </c>
      <c r="G237" s="2129">
        <v>4</v>
      </c>
      <c r="H237" s="2414">
        <f>E237*(I237/100)</f>
        <v>0</v>
      </c>
      <c r="I237" s="698">
        <v>0</v>
      </c>
      <c r="J237" s="2248"/>
      <c r="K237" s="2249"/>
      <c r="L237" s="2246"/>
      <c r="M237" s="2250"/>
      <c r="N237" s="2246"/>
      <c r="O237" s="2246"/>
      <c r="P237" s="2417"/>
      <c r="Q237" s="2414">
        <f>SeqQtrSales!V414</f>
        <v>261.80854437869823</v>
      </c>
      <c r="R237" s="802">
        <f>(Q237/Q230-1)*100</f>
        <v>11.550295857988168</v>
      </c>
      <c r="S237" s="2129">
        <v>6</v>
      </c>
      <c r="T237" s="2414">
        <f>Q237*(U237/100)</f>
        <v>0</v>
      </c>
      <c r="U237" s="698">
        <v>0</v>
      </c>
      <c r="V237" s="2417"/>
      <c r="W237" s="2412">
        <f>SeqQtrSales!V588</f>
        <v>131.41200000000001</v>
      </c>
      <c r="X237" s="802">
        <f>(W237/W230-1)*100</f>
        <v>-6.0000000000000053</v>
      </c>
      <c r="Y237" s="2129">
        <v>-5</v>
      </c>
      <c r="Z237" s="2414">
        <f>W237*(AA237/100)</f>
        <v>0</v>
      </c>
      <c r="AA237" s="698">
        <v>0</v>
      </c>
      <c r="AB237" s="2417"/>
      <c r="AC237" s="1104"/>
      <c r="AD237" s="1163"/>
      <c r="AE237" s="964"/>
      <c r="AF237" s="964"/>
      <c r="AG237" s="2412">
        <f>SeqQtrSales!V508</f>
        <v>128.5224827586207</v>
      </c>
      <c r="AH237" s="802">
        <f>(AG237/AG230-1)*100</f>
        <v>12.344827586206897</v>
      </c>
      <c r="AI237" s="2129">
        <v>-1</v>
      </c>
      <c r="AJ237" s="2414">
        <f>AG237*(AK237/100)</f>
        <v>0</v>
      </c>
      <c r="AK237" s="698">
        <v>0</v>
      </c>
      <c r="AL237" s="2417"/>
      <c r="AM237" s="1288">
        <f>+qtrSales!AN209</f>
        <v>50.288272936536401</v>
      </c>
      <c r="AN237" s="2075">
        <f>+(AM237/AM230-1)*100</f>
        <v>5.0000000000000044</v>
      </c>
      <c r="AO237" s="673"/>
      <c r="AP237" s="705"/>
      <c r="AQ237" s="2417"/>
      <c r="AR237" s="2412">
        <f>AR230*(1+AS237/100)</f>
        <v>33.81</v>
      </c>
      <c r="AS237" s="2397">
        <v>5</v>
      </c>
      <c r="AT237" s="1260"/>
      <c r="AU237" s="671">
        <v>0</v>
      </c>
      <c r="AV237" s="664"/>
      <c r="AW237" s="673">
        <f>AR237+AG237+Q237+E237+W237</f>
        <v>1013.890027137319</v>
      </c>
      <c r="AX237" s="912"/>
      <c r="AY237" s="1036">
        <f>'qtrP&amp;L'!DF25</f>
        <v>700.2</v>
      </c>
      <c r="AZ237" s="804"/>
      <c r="BA237" s="912"/>
      <c r="BB237" s="664"/>
      <c r="BC237" s="903">
        <f>'qtrP&amp;L'!DN49</f>
        <v>177.43075474903077</v>
      </c>
      <c r="BD237" s="672"/>
      <c r="BE237" s="1260"/>
      <c r="BF237" s="673">
        <v>0</v>
      </c>
      <c r="BG237" s="1011"/>
      <c r="BH237" s="672"/>
      <c r="BI237" s="247"/>
      <c r="BJ237" s="806"/>
      <c r="BK237" s="806"/>
      <c r="BL237" s="806"/>
      <c r="BM237" s="806"/>
      <c r="BN237" s="247"/>
      <c r="BO237" s="1251">
        <f>E237/$AW237</f>
        <v>0.45205790345339286</v>
      </c>
      <c r="BP237" s="1251">
        <f>K237/AW237</f>
        <v>0</v>
      </c>
      <c r="BQ237" s="1251">
        <f>Q237/AW237</f>
        <v>0.25822183606826177</v>
      </c>
      <c r="BR237" s="1251">
        <f>W237/AW237</f>
        <v>0.12961169010709864</v>
      </c>
      <c r="BS237" s="1251"/>
      <c r="BT237" s="1251">
        <f>AG237/AW237</f>
        <v>0.1267617584931762</v>
      </c>
      <c r="BU237" s="1251">
        <f>BQ237</f>
        <v>0.25822183606826177</v>
      </c>
      <c r="BV237" s="658">
        <v>0</v>
      </c>
      <c r="BW237" s="1251">
        <f>AR237/AW237</f>
        <v>3.334681187807053E-2</v>
      </c>
      <c r="BX237" s="247"/>
      <c r="BY237" s="247"/>
    </row>
    <row r="238" spans="1:77">
      <c r="A238" s="247"/>
      <c r="B238" s="247" t="str">
        <f>$B$16</f>
        <v>3Q</v>
      </c>
      <c r="C238" s="247" t="str">
        <f>$C$16</f>
        <v>Oct</v>
      </c>
      <c r="D238" s="247"/>
      <c r="E238" s="673">
        <f>SeqQtrSales!V228</f>
        <v>440.36299999999994</v>
      </c>
      <c r="F238" s="802">
        <f>+(E238/E231-1)*100</f>
        <v>4.4999999999999929</v>
      </c>
      <c r="G238" s="2129">
        <v>4</v>
      </c>
      <c r="H238" s="1098">
        <f>E238*(I238/100)</f>
        <v>0</v>
      </c>
      <c r="I238" s="698">
        <v>0</v>
      </c>
      <c r="J238" s="2248"/>
      <c r="K238" s="2251"/>
      <c r="L238" s="2246"/>
      <c r="M238" s="2250"/>
      <c r="N238" s="2246"/>
      <c r="O238" s="2246"/>
      <c r="P238" s="2417"/>
      <c r="Q238" s="673">
        <f>SeqQtrSales!V415</f>
        <v>290.30484210526316</v>
      </c>
      <c r="R238" s="802">
        <f>(Q238/Q231-1)*100</f>
        <v>2.5087719298245714</v>
      </c>
      <c r="S238" s="2129">
        <v>-2</v>
      </c>
      <c r="T238" s="1098">
        <f>Q238*(U238/100)</f>
        <v>0</v>
      </c>
      <c r="U238" s="698">
        <v>0</v>
      </c>
      <c r="V238" s="2417"/>
      <c r="W238" s="673">
        <f>SeqQtrSales!V589</f>
        <v>142.86099999999999</v>
      </c>
      <c r="X238" s="802">
        <f>(W238/W231-1)*100</f>
        <v>3.0000000000000027</v>
      </c>
      <c r="Y238" s="2129">
        <v>4</v>
      </c>
      <c r="Z238" s="1098">
        <f>W238*(AA238/100)</f>
        <v>0</v>
      </c>
      <c r="AA238" s="698">
        <v>0</v>
      </c>
      <c r="AB238" s="2417"/>
      <c r="AC238" s="1986"/>
      <c r="AD238" s="1163"/>
      <c r="AE238" s="964"/>
      <c r="AF238" s="964"/>
      <c r="AG238" s="673">
        <f>SeqQtrSales!V509</f>
        <v>126.03311111111111</v>
      </c>
      <c r="AH238" s="802">
        <f>(AG238/AG231-1)*100</f>
        <v>14.888888888888886</v>
      </c>
      <c r="AI238" s="2129">
        <v>5</v>
      </c>
      <c r="AJ238" s="1098">
        <f>AG238*(AK238/100)</f>
        <v>0</v>
      </c>
      <c r="AK238" s="698">
        <v>0</v>
      </c>
      <c r="AL238" s="2417"/>
      <c r="AM238" s="1288">
        <f>+qtrSales!AN210</f>
        <v>42.20301668424537</v>
      </c>
      <c r="AN238" s="2075">
        <f>+(AM238/AM231-1)*100</f>
        <v>5.0000000000000044</v>
      </c>
      <c r="AO238" s="673"/>
      <c r="AP238" s="705"/>
      <c r="AQ238" s="2417"/>
      <c r="AR238" s="673">
        <f>AR231*(1+AS238/100)</f>
        <v>24.36</v>
      </c>
      <c r="AS238" s="2397">
        <v>5</v>
      </c>
      <c r="AT238" s="2131"/>
      <c r="AU238" s="671">
        <v>0</v>
      </c>
      <c r="AV238" s="664"/>
      <c r="AW238" s="673">
        <f>AR238+AG238+Q238+E238+W238</f>
        <v>1023.9219532163742</v>
      </c>
      <c r="AX238" s="912"/>
      <c r="AY238" s="1036">
        <f>'qtrP&amp;L'!DF26</f>
        <v>1070</v>
      </c>
      <c r="AZ238" s="804"/>
      <c r="BA238" s="912"/>
      <c r="BB238" s="664"/>
      <c r="BC238" s="903">
        <f>'qtrP&amp;L'!DN50</f>
        <v>151.54044907602344</v>
      </c>
      <c r="BD238" s="672"/>
      <c r="BE238" s="1260"/>
      <c r="BF238" s="673">
        <f>H238+T238+AJ238+AT238+BE238+Z238</f>
        <v>0</v>
      </c>
      <c r="BG238" s="1011"/>
      <c r="BH238" s="672"/>
      <c r="BI238" s="247"/>
      <c r="BJ238" s="806"/>
      <c r="BK238" s="806"/>
      <c r="BL238" s="806"/>
      <c r="BM238" s="806"/>
      <c r="BN238" s="247"/>
      <c r="BO238" s="1251">
        <f>E238/$AW238</f>
        <v>0.43007477143811457</v>
      </c>
      <c r="BP238" s="1251">
        <f>K238/AW238</f>
        <v>0</v>
      </c>
      <c r="BQ238" s="1251">
        <f>Q238/AW238</f>
        <v>0.28352243175698005</v>
      </c>
      <c r="BR238" s="1251">
        <f>W238/AW238</f>
        <v>0.13952332944053086</v>
      </c>
      <c r="BS238" s="1251"/>
      <c r="BT238" s="1251">
        <f>AG238/AW238</f>
        <v>0.12308859158182139</v>
      </c>
      <c r="BU238" s="1251">
        <f>BQ238</f>
        <v>0.28352243175698005</v>
      </c>
      <c r="BV238" s="658">
        <v>0</v>
      </c>
      <c r="BW238" s="1251">
        <f>AR238/AW238</f>
        <v>2.3790875782553192E-2</v>
      </c>
      <c r="BX238" s="247"/>
      <c r="BY238" s="247"/>
    </row>
    <row r="239" spans="1:77">
      <c r="A239" s="247"/>
      <c r="B239" s="247" t="str">
        <f>$B$17</f>
        <v>4Q</v>
      </c>
      <c r="C239" s="247" t="str">
        <f>$C$17</f>
        <v>Jan</v>
      </c>
      <c r="D239" s="247"/>
      <c r="E239" s="1154">
        <f>SeqQtrSales!V229</f>
        <v>622.29599999999994</v>
      </c>
      <c r="F239" s="802">
        <f>+(E239/E232-1)*100</f>
        <v>0.49999999999998934</v>
      </c>
      <c r="G239" s="2129">
        <v>0</v>
      </c>
      <c r="H239" s="801">
        <f>E239*(I239/100)</f>
        <v>0</v>
      </c>
      <c r="I239" s="698">
        <v>0</v>
      </c>
      <c r="J239" s="2248"/>
      <c r="K239" s="2252"/>
      <c r="L239" s="2246"/>
      <c r="M239" s="2250"/>
      <c r="N239" s="2246"/>
      <c r="O239" s="2246"/>
      <c r="P239" s="2417"/>
      <c r="Q239" s="677">
        <f>SeqQtrSales!V416</f>
        <v>338.636774566474</v>
      </c>
      <c r="R239" s="802">
        <f>(Q239/Q232-1)*100</f>
        <v>5.890173410404631</v>
      </c>
      <c r="S239" s="2129">
        <v>2</v>
      </c>
      <c r="T239" s="801">
        <f>Q239*(U239/100)</f>
        <v>0</v>
      </c>
      <c r="U239" s="698">
        <v>0</v>
      </c>
      <c r="V239" s="2417"/>
      <c r="W239" s="1154">
        <f>SeqQtrSales!V590</f>
        <v>195.08200000000002</v>
      </c>
      <c r="X239" s="802">
        <f>(W239/W232-1)*100</f>
        <v>3.0000000000000027</v>
      </c>
      <c r="Y239" s="2129">
        <v>4</v>
      </c>
      <c r="Z239" s="801">
        <f>W239*(AA239/100)</f>
        <v>0</v>
      </c>
      <c r="AA239" s="698">
        <v>0</v>
      </c>
      <c r="AB239" s="2417"/>
      <c r="AC239" s="1152"/>
      <c r="AD239" s="1164"/>
      <c r="AE239" s="964"/>
      <c r="AF239" s="964"/>
      <c r="AG239" s="1154">
        <f>SeqQtrSales!V510</f>
        <v>185.66086956521741</v>
      </c>
      <c r="AH239" s="802">
        <f>(AG239/AG232-1)*100</f>
        <v>12.521739130434796</v>
      </c>
      <c r="AI239" s="2129">
        <v>5</v>
      </c>
      <c r="AJ239" s="801">
        <f>AG239*(AK239/100)</f>
        <v>0</v>
      </c>
      <c r="AK239" s="698">
        <v>0</v>
      </c>
      <c r="AL239" s="2417"/>
      <c r="AM239" s="1289">
        <f>+qtrSales!AN211</f>
        <v>103.71007313652586</v>
      </c>
      <c r="AN239" s="2075">
        <f>+(AM239/AM232-1)*100</f>
        <v>5.0000000000000044</v>
      </c>
      <c r="AO239" s="1098"/>
      <c r="AP239" s="705"/>
      <c r="AQ239" s="2417"/>
      <c r="AR239" s="1154">
        <f>AR232*(1+AS239/100)</f>
        <v>42.945</v>
      </c>
      <c r="AS239" s="2397">
        <v>5</v>
      </c>
      <c r="AT239" s="2110"/>
      <c r="AU239" s="671">
        <v>0</v>
      </c>
      <c r="AV239" s="664"/>
      <c r="AW239" s="677">
        <f>AR239+AG239+Q239+E239+W239</f>
        <v>1384.6206441316915</v>
      </c>
      <c r="AX239" s="912"/>
      <c r="AY239" s="1012">
        <f>'qtrP&amp;L'!DF27</f>
        <v>0</v>
      </c>
      <c r="AZ239" s="804"/>
      <c r="BA239" s="912"/>
      <c r="BB239" s="664"/>
      <c r="BC239" s="677">
        <f>'qtrP&amp;L'!DN51</f>
        <v>297.69343848831363</v>
      </c>
      <c r="BD239" s="685"/>
      <c r="BE239" s="1262"/>
      <c r="BF239" s="677">
        <f>H239+T239+AJ239+AT239+BE239+Z239</f>
        <v>0</v>
      </c>
      <c r="BG239" s="1011"/>
      <c r="BH239" s="672"/>
      <c r="BI239" s="247"/>
      <c r="BJ239" s="806"/>
      <c r="BK239" s="806"/>
      <c r="BL239" s="806"/>
      <c r="BM239" s="806"/>
      <c r="BN239" s="247"/>
      <c r="BO239" s="1231">
        <f>E239/$AW239</f>
        <v>0.44943429280606134</v>
      </c>
      <c r="BP239" s="1231">
        <f>K239/AW239</f>
        <v>0</v>
      </c>
      <c r="BQ239" s="1231">
        <f>Q239/AW239</f>
        <v>0.2445700748444613</v>
      </c>
      <c r="BR239" s="1231">
        <f>W239/AW239</f>
        <v>0.14089202037164322</v>
      </c>
      <c r="BS239" s="1231"/>
      <c r="BT239" s="1231">
        <f>AG239/AW239</f>
        <v>0.13408789645892291</v>
      </c>
      <c r="BU239" s="1231">
        <f>BQ239</f>
        <v>0.2445700748444613</v>
      </c>
      <c r="BV239" s="658">
        <v>0</v>
      </c>
      <c r="BW239" s="1231">
        <f>AR239/AW239</f>
        <v>3.1015715518911108E-2</v>
      </c>
      <c r="BX239" s="247"/>
      <c r="BY239" s="247"/>
    </row>
    <row r="240" spans="1:77">
      <c r="A240" s="658"/>
      <c r="B240" s="658"/>
      <c r="C240" s="658" t="str">
        <f>$C$18</f>
        <v>Year</v>
      </c>
      <c r="D240" s="658"/>
      <c r="E240" s="1037">
        <f>SeqQtrSales!V230</f>
        <v>1930.3224999999998</v>
      </c>
      <c r="F240" s="802">
        <f>+(E240/E233-1)*100</f>
        <v>3.1761451707734256</v>
      </c>
      <c r="G240" s="2068">
        <f>SeqQtrSales!H230</f>
        <v>2.6761451707734247</v>
      </c>
      <c r="H240" s="667">
        <f>SUM(H236:H239)</f>
        <v>0</v>
      </c>
      <c r="I240" s="671">
        <f>+H240/E240*100</f>
        <v>0</v>
      </c>
      <c r="J240" s="2253"/>
      <c r="K240" s="2251"/>
      <c r="L240" s="2246"/>
      <c r="M240" s="2246"/>
      <c r="N240" s="2246"/>
      <c r="O240" s="2246"/>
      <c r="P240" s="2417"/>
      <c r="Q240" s="673">
        <f>SeqQtrSales!V417</f>
        <v>1178.8195870859383</v>
      </c>
      <c r="R240" s="802">
        <f>(Q240/Q233-1)*100</f>
        <v>7.6547568115012288</v>
      </c>
      <c r="S240" s="2068">
        <f>SeqQtrSales!H417</f>
        <v>2.5277625570776259</v>
      </c>
      <c r="T240" s="667">
        <f>SUM(T236:T239)</f>
        <v>0</v>
      </c>
      <c r="U240" s="671">
        <f>+T240/Q240*100</f>
        <v>0</v>
      </c>
      <c r="V240" s="2417"/>
      <c r="W240" s="1037">
        <f>SeqQtrSales!V591</f>
        <v>602.89099999999996</v>
      </c>
      <c r="X240" s="1302">
        <f>(W240/W233-1)*100</f>
        <v>1.10531611604896</v>
      </c>
      <c r="Y240" s="2068">
        <f>SeqQtrSales!H591</f>
        <v>2.0382722581693873</v>
      </c>
      <c r="Z240" s="667">
        <f>SUM(Z236:Z239)</f>
        <v>0</v>
      </c>
      <c r="AA240" s="671">
        <f>+Z240/W240*100</f>
        <v>0</v>
      </c>
      <c r="AB240" s="2417"/>
      <c r="AC240" s="1106"/>
      <c r="AD240" s="1109"/>
      <c r="AE240" s="713"/>
      <c r="AF240" s="713"/>
      <c r="AG240" s="1037">
        <f>SeqQtrSales!V511</f>
        <v>541.65134715587942</v>
      </c>
      <c r="AH240" s="802">
        <f>(AG240/AG233-1)*100</f>
        <v>12.166358905752638</v>
      </c>
      <c r="AI240" s="2068">
        <f>SeqQtrSales!H511</f>
        <v>1.703629109137635</v>
      </c>
      <c r="AJ240" s="667">
        <f>SUM(AJ236:AJ239)</f>
        <v>0</v>
      </c>
      <c r="AK240" s="671">
        <f>+AJ240/AG240*100</f>
        <v>0</v>
      </c>
      <c r="AL240" s="2417"/>
      <c r="AM240" s="799">
        <f>SUM(AM236:AM239)</f>
        <v>248.16584274642324</v>
      </c>
      <c r="AN240" s="2075">
        <f>+(AM240/AM233-1)*100</f>
        <v>5.0000000000000044</v>
      </c>
      <c r="AO240" s="667"/>
      <c r="AP240" s="705"/>
      <c r="AQ240" s="2417"/>
      <c r="AR240" s="1037">
        <f>+SUM(AR236:AR239)</f>
        <v>130.935</v>
      </c>
      <c r="AS240" s="2112">
        <f>+(AR240/AR233-1)*100</f>
        <v>5.0000000000000044</v>
      </c>
      <c r="AT240" s="673">
        <f>SUM(AT236:AT239)</f>
        <v>0</v>
      </c>
      <c r="AU240" s="671">
        <f>+AT240/AR240*100</f>
        <v>0</v>
      </c>
      <c r="AV240" s="700"/>
      <c r="AW240" s="667">
        <f>AR240+AG240+Q240+E240+W240</f>
        <v>4384.6194342418175</v>
      </c>
      <c r="AX240" s="912"/>
      <c r="AY240" s="1036">
        <f>'qtrP&amp;L'!DF28</f>
        <v>0</v>
      </c>
      <c r="AZ240" s="804"/>
      <c r="BA240" s="912"/>
      <c r="BB240" s="700"/>
      <c r="BC240" s="667">
        <f>'qtrP&amp;L'!DN52</f>
        <v>792.16077359147425</v>
      </c>
      <c r="BD240" s="701"/>
      <c r="BE240" s="1263">
        <f>SUM(BE236:BE239)</f>
        <v>0</v>
      </c>
      <c r="BF240" s="667">
        <f>H240+T240+AJ240+AT240+BE240</f>
        <v>0</v>
      </c>
      <c r="BG240" s="1011"/>
      <c r="BH240" s="701"/>
      <c r="BI240" s="658"/>
      <c r="BJ240" s="203"/>
      <c r="BK240" s="203"/>
      <c r="BL240" s="203"/>
      <c r="BM240" s="203"/>
      <c r="BN240" s="658"/>
      <c r="BO240" s="322">
        <f>E240/$AW240</f>
        <v>0.44024858461491279</v>
      </c>
      <c r="BP240" s="322">
        <f>K240/AW240</f>
        <v>0</v>
      </c>
      <c r="BQ240" s="322">
        <f>Q240/AW240</f>
        <v>0.26885334172446329</v>
      </c>
      <c r="BR240" s="1251">
        <f>W240/AW240</f>
        <v>0.13750132914425925</v>
      </c>
      <c r="BS240" s="322"/>
      <c r="BT240" s="322">
        <f>AG240/AW240</f>
        <v>0.12353440367614049</v>
      </c>
      <c r="BU240" s="1251">
        <f>BQ240</f>
        <v>0.26885334172446329</v>
      </c>
      <c r="BV240" s="658">
        <v>0</v>
      </c>
      <c r="BW240" s="322">
        <f>AR240/AW240</f>
        <v>2.9862340840224166E-2</v>
      </c>
      <c r="BX240" s="658"/>
      <c r="BY240" s="658"/>
    </row>
    <row r="241" spans="1:77">
      <c r="A241" s="658"/>
      <c r="B241" s="658"/>
      <c r="C241" s="658"/>
      <c r="D241" s="658"/>
      <c r="E241" s="1486"/>
      <c r="F241" s="802"/>
      <c r="G241" s="2068"/>
      <c r="H241" s="667"/>
      <c r="I241" s="701"/>
      <c r="J241" s="701"/>
      <c r="K241" s="1485"/>
      <c r="L241" s="798"/>
      <c r="M241" s="798"/>
      <c r="N241" s="798"/>
      <c r="O241" s="798"/>
      <c r="P241" s="700"/>
      <c r="Q241" s="1486"/>
      <c r="R241" s="802"/>
      <c r="S241" s="2068"/>
      <c r="T241" s="2176"/>
      <c r="U241" s="701"/>
      <c r="V241" s="700"/>
      <c r="W241" s="1486"/>
      <c r="X241" s="621"/>
      <c r="Y241" s="2068"/>
      <c r="Z241" s="1486"/>
      <c r="AA241" s="701"/>
      <c r="AB241" s="713"/>
      <c r="AC241" s="713"/>
      <c r="AD241" s="713"/>
      <c r="AE241" s="713"/>
      <c r="AF241" s="713"/>
      <c r="AG241" s="1486"/>
      <c r="AH241" s="802"/>
      <c r="AI241" s="2068"/>
      <c r="AJ241" s="1486"/>
      <c r="AK241" s="701"/>
      <c r="AL241" s="700"/>
      <c r="AM241" s="667"/>
      <c r="AN241" s="802"/>
      <c r="AO241" s="667"/>
      <c r="AP241" s="705"/>
      <c r="AQ241" s="700"/>
      <c r="AR241" s="1486"/>
      <c r="AS241" s="802"/>
      <c r="AT241" s="673"/>
      <c r="AU241" s="701"/>
      <c r="AV241" s="700"/>
      <c r="AW241" s="667"/>
      <c r="AX241" s="912"/>
      <c r="AY241" s="1021"/>
      <c r="AZ241" s="804"/>
      <c r="BA241" s="912"/>
      <c r="BB241" s="700"/>
      <c r="BC241" s="667"/>
      <c r="BD241" s="701"/>
      <c r="BE241" s="1263"/>
      <c r="BF241" s="667"/>
      <c r="BG241" s="1011"/>
      <c r="BH241" s="701"/>
      <c r="BI241" s="658"/>
      <c r="BJ241" s="203"/>
      <c r="BK241" s="203"/>
      <c r="BL241" s="203"/>
      <c r="BM241" s="203"/>
      <c r="BN241" s="658"/>
      <c r="BO241" s="322"/>
      <c r="BP241" s="322"/>
      <c r="BQ241" s="322"/>
      <c r="BR241" s="1251"/>
      <c r="BS241" s="322"/>
      <c r="BT241" s="322"/>
      <c r="BU241" s="1251"/>
      <c r="BV241" s="658"/>
      <c r="BW241" s="322"/>
      <c r="BX241" s="658"/>
      <c r="BY241" s="658"/>
    </row>
    <row r="242" spans="1:77" hidden="1" outlineLevel="1">
      <c r="A242" s="658"/>
      <c r="B242" s="658"/>
      <c r="C242" s="658"/>
      <c r="D242" s="658"/>
      <c r="E242" s="1486">
        <f>E208*F242</f>
        <v>254.43903999999998</v>
      </c>
      <c r="F242" s="1265">
        <v>0.57999999999999996</v>
      </c>
      <c r="G242" s="2068"/>
      <c r="H242" s="667">
        <f>E242-H208</f>
        <v>172.95504</v>
      </c>
      <c r="I242" s="701"/>
      <c r="J242" s="701"/>
      <c r="K242" s="1485"/>
      <c r="L242" s="798"/>
      <c r="M242" s="798"/>
      <c r="N242" s="798"/>
      <c r="O242" s="798"/>
      <c r="P242" s="700"/>
      <c r="Q242" s="1486">
        <f>Q208*R242</f>
        <v>161.78528</v>
      </c>
      <c r="R242" s="2045">
        <v>0.62</v>
      </c>
      <c r="S242" s="2068"/>
      <c r="T242" s="2176">
        <f t="shared" ref="T242:T251" si="7">1*(1+(S198/100))*(1+(S205/100))*(1+(S212/100))-1</f>
        <v>0.17748800000000009</v>
      </c>
      <c r="U242" s="701"/>
      <c r="V242" s="700"/>
      <c r="W242" s="1486">
        <f>W208*X242</f>
        <v>113.03110000000001</v>
      </c>
      <c r="X242" s="2046">
        <v>0.65</v>
      </c>
      <c r="Y242" s="2068"/>
      <c r="Z242" s="667">
        <f>W242-Z208</f>
        <v>41.535100000000014</v>
      </c>
      <c r="AA242" s="701"/>
      <c r="AB242" s="713"/>
      <c r="AC242" s="713"/>
      <c r="AD242" s="713"/>
      <c r="AE242" s="713"/>
      <c r="AF242" s="713"/>
      <c r="AG242" s="1486">
        <f>AG208*AH242</f>
        <v>59.758149999999993</v>
      </c>
      <c r="AH242" s="2045">
        <v>0.59</v>
      </c>
      <c r="AI242" s="2068"/>
      <c r="AJ242" s="667">
        <f>AG242-AJ208</f>
        <v>42.786149999999992</v>
      </c>
      <c r="AK242" s="701"/>
      <c r="AL242" s="700"/>
      <c r="AM242" s="667">
        <f>SUM(E242,Q242,W242,AG242)</f>
        <v>589.01356999999996</v>
      </c>
      <c r="AN242" s="1265">
        <f>AM242/AW208</f>
        <v>0.58195331241379578</v>
      </c>
      <c r="AO242" s="667"/>
      <c r="AP242" s="705"/>
      <c r="AQ242" s="700"/>
      <c r="AR242" s="2047">
        <f>'qtrP&amp;L'!CX10-'qtrP&amp;L'!CX20</f>
        <v>589.52599999999995</v>
      </c>
      <c r="AS242" s="1265">
        <f>AR242/AW208</f>
        <v>0.58245960013120812</v>
      </c>
      <c r="AT242" s="673">
        <f>SUM(H242,T242,Z242,AJ242)+(AR208-AT208)</f>
        <v>292.51077800000007</v>
      </c>
      <c r="AU242" s="701"/>
      <c r="AV242" s="2048">
        <f>'qtrP&amp;L'!CX30</f>
        <v>379.733</v>
      </c>
      <c r="AW242" s="667"/>
      <c r="AX242" s="912"/>
      <c r="AY242" s="1021"/>
      <c r="AZ242" s="804"/>
      <c r="BA242" s="912"/>
      <c r="BB242" s="700"/>
      <c r="BC242" s="667"/>
      <c r="BD242" s="701"/>
      <c r="BE242" s="1263"/>
      <c r="BF242" s="667"/>
      <c r="BG242" s="1011"/>
      <c r="BH242" s="701"/>
      <c r="BI242" s="658"/>
      <c r="BJ242" s="203"/>
      <c r="BK242" s="203"/>
      <c r="BL242" s="203"/>
      <c r="BM242" s="203"/>
      <c r="BN242" s="658"/>
      <c r="BO242" s="322"/>
      <c r="BP242" s="322"/>
      <c r="BQ242" s="322"/>
      <c r="BR242" s="1251"/>
      <c r="BS242" s="322"/>
      <c r="BT242" s="322"/>
      <c r="BU242" s="1251"/>
      <c r="BV242" s="658"/>
      <c r="BW242" s="322"/>
      <c r="BX242" s="658"/>
      <c r="BY242" s="658"/>
    </row>
    <row r="243" spans="1:77" hidden="1" outlineLevel="1">
      <c r="A243" s="658"/>
      <c r="B243" s="658"/>
      <c r="C243" s="658"/>
      <c r="D243" s="658"/>
      <c r="E243" s="1486">
        <f>E209*F243</f>
        <v>290.15699999999998</v>
      </c>
      <c r="F243" s="1265">
        <v>0.6</v>
      </c>
      <c r="G243" s="2068"/>
      <c r="H243" s="667">
        <f>E243-H209</f>
        <v>180.35199999999998</v>
      </c>
      <c r="I243" s="701"/>
      <c r="J243" s="701"/>
      <c r="K243" s="1485"/>
      <c r="L243" s="798"/>
      <c r="M243" s="798"/>
      <c r="N243" s="798"/>
      <c r="O243" s="798"/>
      <c r="P243" s="700"/>
      <c r="Q243" s="1486">
        <f>Q209*R243</f>
        <v>149.18715</v>
      </c>
      <c r="R243" s="2045">
        <v>0.63</v>
      </c>
      <c r="S243" s="2068"/>
      <c r="T243" s="2176">
        <f t="shared" si="7"/>
        <v>0</v>
      </c>
      <c r="U243" s="701"/>
      <c r="V243" s="700"/>
      <c r="W243" s="1486">
        <f>W209*X243</f>
        <v>79.786950000000004</v>
      </c>
      <c r="X243" s="2046">
        <v>0.67</v>
      </c>
      <c r="Y243" s="2068"/>
      <c r="Z243" s="667">
        <f>W243-Z209</f>
        <v>40.613950000000003</v>
      </c>
      <c r="AA243" s="701"/>
      <c r="AB243" s="713"/>
      <c r="AC243" s="713"/>
      <c r="AD243" s="713"/>
      <c r="AE243" s="713"/>
      <c r="AF243" s="713"/>
      <c r="AG243" s="1486">
        <f>AG209*AH243</f>
        <v>73.220129999999997</v>
      </c>
      <c r="AH243" s="2045">
        <v>0.61</v>
      </c>
      <c r="AI243" s="2068"/>
      <c r="AJ243" s="667">
        <f>AG243-AJ209</f>
        <v>48.106129999999993</v>
      </c>
      <c r="AK243" s="701"/>
      <c r="AL243" s="700"/>
      <c r="AM243" s="667">
        <f>SUM(E243,Q243,W243,AG243)</f>
        <v>592.3512300000001</v>
      </c>
      <c r="AN243" s="1265">
        <f>AM243/AW209</f>
        <v>0.59656897263654041</v>
      </c>
      <c r="AO243" s="667"/>
      <c r="AP243" s="705"/>
      <c r="AQ243" s="700"/>
      <c r="AR243" s="2047">
        <f>'qtrP&amp;L'!CX11-'qtrP&amp;L'!CX21</f>
        <v>595.16300000000001</v>
      </c>
      <c r="AS243" s="1265">
        <f>AR243/AW209</f>
        <v>0.59940076339721826</v>
      </c>
      <c r="AT243" s="673">
        <f>SUM(H243,T243,Z243,AJ243)+(AR209-AT209)</f>
        <v>300.08507999999995</v>
      </c>
      <c r="AU243" s="701"/>
      <c r="AV243" s="2048">
        <f>'qtrP&amp;L'!CX31</f>
        <v>386.642</v>
      </c>
      <c r="AW243" s="667"/>
      <c r="AX243" s="912"/>
      <c r="AY243" s="1021"/>
      <c r="AZ243" s="804"/>
      <c r="BA243" s="912"/>
      <c r="BB243" s="700"/>
      <c r="BC243" s="667"/>
      <c r="BD243" s="701"/>
      <c r="BE243" s="1263"/>
      <c r="BF243" s="667"/>
      <c r="BG243" s="1011"/>
      <c r="BH243" s="701"/>
      <c r="BI243" s="658"/>
      <c r="BJ243" s="203"/>
      <c r="BK243" s="203"/>
      <c r="BL243" s="203"/>
      <c r="BM243" s="203"/>
      <c r="BN243" s="658"/>
      <c r="BO243" s="322"/>
      <c r="BP243" s="322"/>
      <c r="BQ243" s="322"/>
      <c r="BR243" s="1251"/>
      <c r="BS243" s="322"/>
      <c r="BT243" s="322"/>
      <c r="BU243" s="1251"/>
      <c r="BV243" s="658"/>
      <c r="BW243" s="322"/>
      <c r="BX243" s="658"/>
      <c r="BY243" s="658"/>
    </row>
    <row r="244" spans="1:77" hidden="1" outlineLevel="1">
      <c r="A244" s="658"/>
      <c r="B244" s="658"/>
      <c r="C244" s="658"/>
      <c r="D244" s="658"/>
      <c r="E244" s="1486">
        <f>'segSales&amp;comps'!E210*F244</f>
        <v>275.16000000000003</v>
      </c>
      <c r="F244" s="1265">
        <v>0.6</v>
      </c>
      <c r="G244" s="2068"/>
      <c r="H244" s="667">
        <f>E244-H210</f>
        <v>192.42200000000003</v>
      </c>
      <c r="I244" s="701"/>
      <c r="J244" s="701"/>
      <c r="K244" s="1485"/>
      <c r="L244" s="798"/>
      <c r="M244" s="798"/>
      <c r="N244" s="798"/>
      <c r="O244" s="798"/>
      <c r="P244" s="700"/>
      <c r="Q244" s="1486">
        <f>Q210*R244</f>
        <v>155.648</v>
      </c>
      <c r="R244" s="2045">
        <v>0.64</v>
      </c>
      <c r="S244" s="2068"/>
      <c r="T244" s="2176">
        <f t="shared" si="7"/>
        <v>0</v>
      </c>
      <c r="U244" s="701"/>
      <c r="V244" s="700"/>
      <c r="W244" s="1486">
        <f>W210*X244</f>
        <v>75.911000000000001</v>
      </c>
      <c r="X244" s="2046">
        <v>0.67</v>
      </c>
      <c r="Y244" s="2068"/>
      <c r="Z244" s="667">
        <f>W244-Z210</f>
        <v>41.618000000000002</v>
      </c>
      <c r="AA244" s="701"/>
      <c r="AB244" s="713"/>
      <c r="AC244" s="713"/>
      <c r="AD244" s="713"/>
      <c r="AE244" s="713"/>
      <c r="AF244" s="713"/>
      <c r="AG244" s="1486">
        <f>AG210*AH244</f>
        <v>69.784000000000006</v>
      </c>
      <c r="AH244" s="2045">
        <v>0.61</v>
      </c>
      <c r="AI244" s="2068"/>
      <c r="AJ244" s="667">
        <f>AG244-AJ210</f>
        <v>50.417000000000002</v>
      </c>
      <c r="AK244" s="701"/>
      <c r="AL244" s="700"/>
      <c r="AM244" s="667">
        <f>SUM(E244,Q244,W244,AG244)</f>
        <v>576.50300000000004</v>
      </c>
      <c r="AN244" s="1265">
        <f>AM244/AW210</f>
        <v>0.60077428095039609</v>
      </c>
      <c r="AO244" s="667"/>
      <c r="AP244" s="705"/>
      <c r="AQ244" s="700"/>
      <c r="AR244" s="2047">
        <f>'qtrP&amp;L'!CX12-'qtrP&amp;L'!CX22</f>
        <v>570.87100000000009</v>
      </c>
      <c r="AS244" s="1265">
        <f>AR244/AW210</f>
        <v>0.59490516882034195</v>
      </c>
      <c r="AT244" s="673">
        <f>SUM(H244,T244,Z244,AJ244)+(AR210-AT210)</f>
        <v>312.86199999999997</v>
      </c>
      <c r="AU244" s="701"/>
      <c r="AV244" s="2048">
        <f>'qtrP&amp;L'!CX32</f>
        <v>402.38</v>
      </c>
      <c r="AW244" s="667"/>
      <c r="AX244" s="912"/>
      <c r="AY244" s="1021"/>
      <c r="AZ244" s="804"/>
      <c r="BA244" s="912"/>
      <c r="BB244" s="700"/>
      <c r="BC244" s="667"/>
      <c r="BD244" s="701"/>
      <c r="BE244" s="1263"/>
      <c r="BF244" s="667"/>
      <c r="BG244" s="1011"/>
      <c r="BH244" s="701"/>
      <c r="BI244" s="658"/>
      <c r="BJ244" s="203"/>
      <c r="BK244" s="203"/>
      <c r="BL244" s="203"/>
      <c r="BM244" s="203"/>
      <c r="BN244" s="658"/>
      <c r="BO244" s="322"/>
      <c r="BP244" s="322"/>
      <c r="BQ244" s="322"/>
      <c r="BR244" s="1251"/>
      <c r="BS244" s="322"/>
      <c r="BT244" s="322"/>
      <c r="BU244" s="1251"/>
      <c r="BV244" s="658"/>
      <c r="BW244" s="322"/>
      <c r="BX244" s="658"/>
      <c r="BY244" s="658"/>
    </row>
    <row r="245" spans="1:77" hidden="1" outlineLevel="1">
      <c r="A245" s="658"/>
      <c r="B245" s="658"/>
      <c r="C245" s="658"/>
      <c r="D245" s="658"/>
      <c r="E245" s="1486">
        <f>'segSales&amp;comps'!E211*F245</f>
        <v>397.024</v>
      </c>
      <c r="F245" s="1265">
        <v>0.60799999999999998</v>
      </c>
      <c r="G245" s="2068"/>
      <c r="H245" s="667">
        <f>E245-H211</f>
        <v>235.54399999999998</v>
      </c>
      <c r="I245" s="701"/>
      <c r="J245" s="701"/>
      <c r="K245" s="1485"/>
      <c r="L245" s="798"/>
      <c r="M245" s="798"/>
      <c r="N245" s="798"/>
      <c r="O245" s="798"/>
      <c r="P245" s="700"/>
      <c r="Q245" s="1486">
        <f>Q211*R245</f>
        <v>181.76</v>
      </c>
      <c r="R245" s="2045">
        <v>0.64</v>
      </c>
      <c r="S245" s="2068"/>
      <c r="T245" s="2176">
        <f t="shared" si="7"/>
        <v>0.2229800000000004</v>
      </c>
      <c r="U245" s="701"/>
      <c r="V245" s="700"/>
      <c r="W245" s="1486">
        <f>W211*X245</f>
        <v>99.160000000000011</v>
      </c>
      <c r="X245" s="2046">
        <v>0.67</v>
      </c>
      <c r="Y245" s="2068"/>
      <c r="Z245" s="667">
        <f>W245-Z211</f>
        <v>48.136999999999986</v>
      </c>
      <c r="AA245" s="701"/>
      <c r="AB245" s="713"/>
      <c r="AC245" s="713"/>
      <c r="AD245" s="713"/>
      <c r="AE245" s="713"/>
      <c r="AF245" s="713"/>
      <c r="AG245" s="1486">
        <f>AG211*AH245</f>
        <v>98.82</v>
      </c>
      <c r="AH245" s="2045">
        <v>0.61</v>
      </c>
      <c r="AI245" s="2068"/>
      <c r="AJ245" s="667">
        <f>AG245-AJ211</f>
        <v>52.466999999999999</v>
      </c>
      <c r="AK245" s="701"/>
      <c r="AL245" s="700"/>
      <c r="AM245" s="667">
        <f>SUM(E245,Q245,W245,AG245)</f>
        <v>776.7639999999999</v>
      </c>
      <c r="AN245" s="1265">
        <f>AM245/AW211</f>
        <v>0.60401555209953339</v>
      </c>
      <c r="AO245" s="667"/>
      <c r="AP245" s="705"/>
      <c r="AQ245" s="700"/>
      <c r="AR245" s="2047">
        <f>'qtrP&amp;L'!CX13-'qtrP&amp;L'!CX23</f>
        <v>781.61500000000001</v>
      </c>
      <c r="AS245" s="1265">
        <f>AR245/AW211</f>
        <v>0.60778771384136854</v>
      </c>
      <c r="AT245" s="673">
        <f>SUM(H245,T245,Z245,AJ245)+(AR211-AT211)</f>
        <v>374.11897999999997</v>
      </c>
      <c r="AU245" s="701"/>
      <c r="AV245" s="2048">
        <f>'qtrP&amp;L'!CX33</f>
        <v>476.99099999999999</v>
      </c>
      <c r="AW245" s="667"/>
      <c r="AX245" s="912"/>
      <c r="AY245" s="1021"/>
      <c r="AZ245" s="804"/>
      <c r="BA245" s="912"/>
      <c r="BB245" s="700"/>
      <c r="BC245" s="667"/>
      <c r="BD245" s="701"/>
      <c r="BE245" s="1263"/>
      <c r="BF245" s="667"/>
      <c r="BG245" s="1011"/>
      <c r="BH245" s="701"/>
      <c r="BI245" s="658"/>
      <c r="BJ245" s="203"/>
      <c r="BK245" s="203"/>
      <c r="BL245" s="203"/>
      <c r="BM245" s="203"/>
      <c r="BN245" s="658"/>
      <c r="BO245" s="322"/>
      <c r="BP245" s="322"/>
      <c r="BQ245" s="322"/>
      <c r="BR245" s="1251"/>
      <c r="BS245" s="322"/>
      <c r="BT245" s="322"/>
      <c r="BU245" s="1251"/>
      <c r="BV245" s="658"/>
      <c r="BW245" s="322"/>
      <c r="BX245" s="658"/>
      <c r="BY245" s="658"/>
    </row>
    <row r="246" spans="1:77" hidden="1" outlineLevel="1">
      <c r="A246" s="658"/>
      <c r="B246" s="658"/>
      <c r="C246" s="658"/>
      <c r="D246" s="658"/>
      <c r="E246" s="1486"/>
      <c r="F246" s="802"/>
      <c r="G246" s="2068"/>
      <c r="H246" s="2038">
        <f>H242/$AT242</f>
        <v>0.59127749473901425</v>
      </c>
      <c r="I246" s="701"/>
      <c r="J246" s="701"/>
      <c r="K246" s="1485"/>
      <c r="L246" s="798"/>
      <c r="M246" s="798"/>
      <c r="N246" s="798"/>
      <c r="O246" s="798"/>
      <c r="P246" s="700"/>
      <c r="Q246" s="1486"/>
      <c r="R246" s="802"/>
      <c r="S246" s="2068"/>
      <c r="T246" s="2176">
        <f t="shared" si="7"/>
        <v>0.28164600000000006</v>
      </c>
      <c r="U246" s="701"/>
      <c r="V246" s="700"/>
      <c r="W246" s="1486"/>
      <c r="X246" s="1302"/>
      <c r="Y246" s="2068"/>
      <c r="Z246" s="2038">
        <f>Z242/$AT242</f>
        <v>0.14199510966395912</v>
      </c>
      <c r="AA246" s="701"/>
      <c r="AB246" s="713"/>
      <c r="AC246" s="713"/>
      <c r="AD246" s="713"/>
      <c r="AE246" s="713"/>
      <c r="AF246" s="713"/>
      <c r="AG246" s="1486"/>
      <c r="AH246" s="802"/>
      <c r="AI246" s="2068"/>
      <c r="AJ246" s="2038">
        <f>AJ242/$AT242</f>
        <v>0.14627204608508471</v>
      </c>
      <c r="AK246" s="701"/>
      <c r="AL246" s="700"/>
      <c r="AM246" s="667"/>
      <c r="AN246" s="802"/>
      <c r="AO246" s="667"/>
      <c r="AP246" s="705"/>
      <c r="AQ246" s="700"/>
      <c r="AR246" s="667">
        <f>0.27*AR209</f>
        <v>9.0212400000000006</v>
      </c>
      <c r="AS246" s="802"/>
      <c r="AT246" s="673"/>
      <c r="AU246" s="701"/>
      <c r="AV246" s="700"/>
      <c r="AW246" s="667"/>
      <c r="AX246" s="912"/>
      <c r="AY246" s="1021"/>
      <c r="AZ246" s="804"/>
      <c r="BA246" s="912"/>
      <c r="BB246" s="700"/>
      <c r="BC246" s="667"/>
      <c r="BD246" s="701"/>
      <c r="BE246" s="1263"/>
      <c r="BF246" s="667"/>
      <c r="BG246" s="1011"/>
      <c r="BH246" s="701"/>
      <c r="BI246" s="658"/>
      <c r="BJ246" s="203"/>
      <c r="BK246" s="203"/>
      <c r="BL246" s="203"/>
      <c r="BM246" s="203"/>
      <c r="BN246" s="658"/>
      <c r="BO246" s="322"/>
      <c r="BP246" s="322"/>
      <c r="BQ246" s="322"/>
      <c r="BR246" s="1251"/>
      <c r="BS246" s="322"/>
      <c r="BT246" s="322"/>
      <c r="BU246" s="1251"/>
      <c r="BV246" s="658"/>
      <c r="BW246" s="322"/>
      <c r="BX246" s="658"/>
      <c r="BY246" s="658"/>
    </row>
    <row r="247" spans="1:77" hidden="1" outlineLevel="1">
      <c r="A247" s="658"/>
      <c r="B247" s="658"/>
      <c r="C247" s="658"/>
      <c r="D247" s="658"/>
      <c r="E247" s="1486"/>
      <c r="F247" s="802"/>
      <c r="G247" s="2068"/>
      <c r="H247" s="2038">
        <f>H243/$AT243</f>
        <v>0.6010028889140373</v>
      </c>
      <c r="I247" s="701"/>
      <c r="J247" s="701"/>
      <c r="K247" s="1485"/>
      <c r="L247" s="798"/>
      <c r="M247" s="798"/>
      <c r="N247" s="798"/>
      <c r="O247" s="798"/>
      <c r="P247" s="700"/>
      <c r="Q247" s="1486"/>
      <c r="R247" s="802"/>
      <c r="S247" s="2068"/>
      <c r="T247" s="2176">
        <f t="shared" si="7"/>
        <v>0.20706800000000003</v>
      </c>
      <c r="U247" s="701"/>
      <c r="V247" s="700"/>
      <c r="W247" s="1486"/>
      <c r="X247" s="1302"/>
      <c r="Y247" s="2068"/>
      <c r="Z247" s="2038">
        <f>Z243/$AT243</f>
        <v>0.13534145049797214</v>
      </c>
      <c r="AA247" s="701"/>
      <c r="AB247" s="713"/>
      <c r="AC247" s="713"/>
      <c r="AD247" s="713"/>
      <c r="AE247" s="713"/>
      <c r="AF247" s="713"/>
      <c r="AG247" s="1486"/>
      <c r="AH247" s="802"/>
      <c r="AI247" s="2068"/>
      <c r="AJ247" s="2038">
        <f>AJ243/$AT243</f>
        <v>0.16030830323187012</v>
      </c>
      <c r="AK247" s="701"/>
      <c r="AL247" s="700"/>
      <c r="AM247" s="667"/>
      <c r="AN247" s="802"/>
      <c r="AO247" s="667"/>
      <c r="AP247" s="705"/>
      <c r="AQ247" s="700"/>
      <c r="AR247" s="1486"/>
      <c r="AS247" s="802"/>
      <c r="AT247" s="673"/>
      <c r="AU247" s="701"/>
      <c r="AV247" s="700"/>
      <c r="AW247" s="667"/>
      <c r="AX247" s="912"/>
      <c r="AY247" s="1021"/>
      <c r="AZ247" s="804"/>
      <c r="BA247" s="912"/>
      <c r="BB247" s="700"/>
      <c r="BC247" s="667"/>
      <c r="BD247" s="701"/>
      <c r="BE247" s="1263"/>
      <c r="BF247" s="667"/>
      <c r="BG247" s="1011"/>
      <c r="BH247" s="701"/>
      <c r="BI247" s="658"/>
      <c r="BJ247" s="203"/>
      <c r="BK247" s="203"/>
      <c r="BL247" s="203"/>
      <c r="BM247" s="203"/>
      <c r="BN247" s="658"/>
      <c r="BO247" s="322"/>
      <c r="BP247" s="322"/>
      <c r="BQ247" s="322"/>
      <c r="BR247" s="1251"/>
      <c r="BS247" s="322"/>
      <c r="BT247" s="322"/>
      <c r="BU247" s="1251"/>
      <c r="BV247" s="658"/>
      <c r="BW247" s="322"/>
      <c r="BX247" s="658"/>
      <c r="BY247" s="658"/>
    </row>
    <row r="248" spans="1:77" hidden="1" outlineLevel="1">
      <c r="A248" s="658"/>
      <c r="B248" s="658"/>
      <c r="C248" s="658"/>
      <c r="D248" s="658"/>
      <c r="E248" s="1486"/>
      <c r="F248" s="802"/>
      <c r="G248" s="2068"/>
      <c r="H248" s="2038">
        <f>H244/$AT244</f>
        <v>0.61503794005024592</v>
      </c>
      <c r="I248" s="701"/>
      <c r="J248" s="701"/>
      <c r="K248" s="1485"/>
      <c r="L248" s="798"/>
      <c r="M248" s="798"/>
      <c r="N248" s="798"/>
      <c r="O248" s="798"/>
      <c r="P248" s="700"/>
      <c r="Q248" s="1486"/>
      <c r="R248" s="802"/>
      <c r="S248" s="2068"/>
      <c r="T248" s="2176">
        <f t="shared" si="7"/>
        <v>-1.4495999999999842E-2</v>
      </c>
      <c r="U248" s="701"/>
      <c r="V248" s="700"/>
      <c r="W248" s="1486"/>
      <c r="X248" s="1302"/>
      <c r="Y248" s="2068"/>
      <c r="Z248" s="2038">
        <f>Z244/$AT244</f>
        <v>0.13302350557114639</v>
      </c>
      <c r="AA248" s="701"/>
      <c r="AB248" s="713"/>
      <c r="AC248" s="713"/>
      <c r="AD248" s="713"/>
      <c r="AE248" s="713"/>
      <c r="AF248" s="713"/>
      <c r="AG248" s="1486"/>
      <c r="AH248" s="802"/>
      <c r="AI248" s="2068"/>
      <c r="AJ248" s="2038">
        <f>AJ244/$AT244</f>
        <v>0.16114772647365294</v>
      </c>
      <c r="AK248" s="701"/>
      <c r="AL248" s="700"/>
      <c r="AM248" s="667"/>
      <c r="AN248" s="802"/>
      <c r="AO248" s="667"/>
      <c r="AP248" s="705"/>
      <c r="AQ248" s="700"/>
      <c r="AR248" s="1486"/>
      <c r="AS248" s="802"/>
      <c r="AT248" s="673"/>
      <c r="AU248" s="701"/>
      <c r="AV248" s="700"/>
      <c r="AW248" s="667"/>
      <c r="AX248" s="912"/>
      <c r="AY248" s="1021"/>
      <c r="AZ248" s="804"/>
      <c r="BA248" s="912"/>
      <c r="BB248" s="700"/>
      <c r="BC248" s="667"/>
      <c r="BD248" s="701"/>
      <c r="BE248" s="1263"/>
      <c r="BF248" s="667"/>
      <c r="BG248" s="1011"/>
      <c r="BH248" s="701"/>
      <c r="BI248" s="658"/>
      <c r="BJ248" s="203"/>
      <c r="BK248" s="203"/>
      <c r="BL248" s="203"/>
      <c r="BM248" s="203"/>
      <c r="BN248" s="658"/>
      <c r="BO248" s="322"/>
      <c r="BP248" s="322"/>
      <c r="BQ248" s="322"/>
      <c r="BR248" s="1251"/>
      <c r="BS248" s="322"/>
      <c r="BT248" s="322"/>
      <c r="BU248" s="1251"/>
      <c r="BV248" s="658"/>
      <c r="BW248" s="322"/>
      <c r="BX248" s="658"/>
      <c r="BY248" s="658"/>
    </row>
    <row r="249" spans="1:77" hidden="1" outlineLevel="1">
      <c r="A249" s="658"/>
      <c r="B249" s="658"/>
      <c r="C249" s="658"/>
      <c r="D249" s="658"/>
      <c r="E249" s="1486"/>
      <c r="F249" s="802"/>
      <c r="G249" s="2068"/>
      <c r="H249" s="2038">
        <f>H245/$AT245</f>
        <v>0.62959649895335434</v>
      </c>
      <c r="I249" s="701"/>
      <c r="J249" s="701"/>
      <c r="K249" s="1485"/>
      <c r="L249" s="798"/>
      <c r="M249" s="798"/>
      <c r="N249" s="798"/>
      <c r="O249" s="798"/>
      <c r="P249" s="700"/>
      <c r="Q249" s="1486"/>
      <c r="R249" s="802"/>
      <c r="S249" s="2068"/>
      <c r="T249" s="2176">
        <f t="shared" si="7"/>
        <v>0.15440000000000009</v>
      </c>
      <c r="U249" s="701"/>
      <c r="V249" s="700"/>
      <c r="W249" s="1486"/>
      <c r="X249" s="1302"/>
      <c r="Y249" s="2068"/>
      <c r="Z249" s="2038">
        <f>Z245/$AT245</f>
        <v>0.12866762333202125</v>
      </c>
      <c r="AA249" s="701"/>
      <c r="AB249" s="713"/>
      <c r="AC249" s="713"/>
      <c r="AD249" s="713"/>
      <c r="AE249" s="713"/>
      <c r="AF249" s="713"/>
      <c r="AG249" s="1486"/>
      <c r="AH249" s="802"/>
      <c r="AI249" s="2068"/>
      <c r="AJ249" s="2038">
        <f>AJ245/$AT245</f>
        <v>0.1402414814666714</v>
      </c>
      <c r="AK249" s="701"/>
      <c r="AL249" s="700"/>
      <c r="AM249" s="667"/>
      <c r="AN249" s="802"/>
      <c r="AO249" s="667"/>
      <c r="AP249" s="705"/>
      <c r="AQ249" s="700"/>
      <c r="AR249" s="1486"/>
      <c r="AS249" s="802"/>
      <c r="AT249" s="673"/>
      <c r="AU249" s="701"/>
      <c r="AV249" s="700"/>
      <c r="AW249" s="667"/>
      <c r="AX249" s="912"/>
      <c r="AY249" s="1021"/>
      <c r="AZ249" s="804"/>
      <c r="BA249" s="912"/>
      <c r="BB249" s="700"/>
      <c r="BC249" s="667"/>
      <c r="BD249" s="701"/>
      <c r="BE249" s="1263"/>
      <c r="BF249" s="667"/>
      <c r="BG249" s="1011"/>
      <c r="BH249" s="701"/>
      <c r="BI249" s="658"/>
      <c r="BJ249" s="203"/>
      <c r="BK249" s="203"/>
      <c r="BL249" s="203"/>
      <c r="BM249" s="203"/>
      <c r="BN249" s="658"/>
      <c r="BO249" s="322"/>
      <c r="BP249" s="322"/>
      <c r="BQ249" s="322"/>
      <c r="BR249" s="1251"/>
      <c r="BS249" s="322"/>
      <c r="BT249" s="322"/>
      <c r="BU249" s="1251"/>
      <c r="BV249" s="658"/>
      <c r="BW249" s="322"/>
      <c r="BX249" s="658"/>
      <c r="BY249" s="658"/>
    </row>
    <row r="250" spans="1:77" hidden="1" outlineLevel="1">
      <c r="A250" s="658"/>
      <c r="B250" s="658"/>
      <c r="C250" s="658"/>
      <c r="D250" s="658"/>
      <c r="E250" s="1486"/>
      <c r="F250" s="802"/>
      <c r="G250" s="2068"/>
      <c r="H250" s="667"/>
      <c r="I250" s="701"/>
      <c r="J250" s="701"/>
      <c r="K250" s="1485"/>
      <c r="L250" s="798"/>
      <c r="M250" s="798"/>
      <c r="N250" s="798"/>
      <c r="O250" s="798"/>
      <c r="P250" s="700"/>
      <c r="Q250" s="1486"/>
      <c r="R250" s="802"/>
      <c r="S250" s="2068"/>
      <c r="T250" s="2176">
        <f t="shared" si="7"/>
        <v>0</v>
      </c>
      <c r="U250" s="701"/>
      <c r="V250" s="700"/>
      <c r="W250" s="1486"/>
      <c r="X250" s="1302"/>
      <c r="Y250" s="2068"/>
      <c r="Z250" s="1486"/>
      <c r="AA250" s="701"/>
      <c r="AB250" s="713"/>
      <c r="AC250" s="713"/>
      <c r="AD250" s="713"/>
      <c r="AE250" s="713"/>
      <c r="AF250" s="713"/>
      <c r="AG250" s="1486"/>
      <c r="AH250" s="802"/>
      <c r="AI250" s="2068"/>
      <c r="AJ250" s="1486"/>
      <c r="AK250" s="701"/>
      <c r="AL250" s="700"/>
      <c r="AM250" s="667"/>
      <c r="AN250" s="802"/>
      <c r="AO250" s="667"/>
      <c r="AP250" s="705"/>
      <c r="AQ250" s="700"/>
      <c r="AR250" s="1486"/>
      <c r="AS250" s="802"/>
      <c r="AT250" s="673"/>
      <c r="AU250" s="701"/>
      <c r="AV250" s="700"/>
      <c r="AW250" s="667"/>
      <c r="AX250" s="912"/>
      <c r="AY250" s="1021"/>
      <c r="AZ250" s="804"/>
      <c r="BA250" s="912"/>
      <c r="BB250" s="700"/>
      <c r="BC250" s="667"/>
      <c r="BD250" s="701"/>
      <c r="BE250" s="1263"/>
      <c r="BF250" s="667"/>
      <c r="BG250" s="1011"/>
      <c r="BH250" s="701"/>
      <c r="BI250" s="658"/>
      <c r="BJ250" s="203"/>
      <c r="BK250" s="203"/>
      <c r="BL250" s="203"/>
      <c r="BM250" s="203"/>
      <c r="BN250" s="658"/>
      <c r="BO250" s="322"/>
      <c r="BP250" s="322"/>
      <c r="BQ250" s="322"/>
      <c r="BR250" s="1251"/>
      <c r="BS250" s="322"/>
      <c r="BT250" s="322"/>
      <c r="BU250" s="1251"/>
      <c r="BV250" s="658"/>
      <c r="BW250" s="322"/>
      <c r="BX250" s="658"/>
      <c r="BY250" s="658"/>
    </row>
    <row r="251" spans="1:77" hidden="1" outlineLevel="1">
      <c r="A251" s="658"/>
      <c r="B251" s="658"/>
      <c r="C251" s="658"/>
      <c r="D251" s="658"/>
      <c r="E251" s="1486"/>
      <c r="F251" s="802"/>
      <c r="G251" s="2068"/>
      <c r="H251" s="667"/>
      <c r="I251" s="701"/>
      <c r="J251" s="701"/>
      <c r="K251" s="1485"/>
      <c r="L251" s="798"/>
      <c r="M251" s="798"/>
      <c r="N251" s="798"/>
      <c r="O251" s="798"/>
      <c r="P251" s="700"/>
      <c r="Q251" s="1486"/>
      <c r="R251" s="802"/>
      <c r="S251" s="2068"/>
      <c r="T251" s="2176">
        <f t="shared" si="7"/>
        <v>0</v>
      </c>
      <c r="U251" s="701"/>
      <c r="V251" s="700"/>
      <c r="W251" s="1486"/>
      <c r="X251" s="1302"/>
      <c r="Y251" s="2068"/>
      <c r="Z251" s="1486"/>
      <c r="AA251" s="701"/>
      <c r="AB251" s="713"/>
      <c r="AC251" s="713"/>
      <c r="AD251" s="713"/>
      <c r="AE251" s="713"/>
      <c r="AF251" s="713"/>
      <c r="AG251" s="1486"/>
      <c r="AH251" s="802"/>
      <c r="AI251" s="2068"/>
      <c r="AJ251" s="1486"/>
      <c r="AK251" s="701"/>
      <c r="AL251" s="700"/>
      <c r="AM251" s="667"/>
      <c r="AN251" s="802"/>
      <c r="AO251" s="667"/>
      <c r="AP251" s="705"/>
      <c r="AQ251" s="700"/>
      <c r="AR251" s="1486"/>
      <c r="AS251" s="802"/>
      <c r="AT251" s="673"/>
      <c r="AU251" s="701"/>
      <c r="AV251" s="700"/>
      <c r="AW251" s="667"/>
      <c r="AX251" s="912"/>
      <c r="AY251" s="1021"/>
      <c r="AZ251" s="804"/>
      <c r="BA251" s="912"/>
      <c r="BB251" s="700"/>
      <c r="BC251" s="667"/>
      <c r="BD251" s="701"/>
      <c r="BE251" s="1263"/>
      <c r="BF251" s="667"/>
      <c r="BG251" s="1011"/>
      <c r="BH251" s="701"/>
      <c r="BI251" s="658"/>
      <c r="BJ251" s="203"/>
      <c r="BK251" s="203"/>
      <c r="BL251" s="203"/>
      <c r="BM251" s="203"/>
      <c r="BN251" s="658"/>
      <c r="BO251" s="322"/>
      <c r="BP251" s="322"/>
      <c r="BQ251" s="322"/>
      <c r="BR251" s="1251"/>
      <c r="BS251" s="322"/>
      <c r="BT251" s="322"/>
      <c r="BU251" s="1251"/>
      <c r="BV251" s="658"/>
      <c r="BW251" s="322"/>
      <c r="BX251" s="658"/>
      <c r="BY251" s="658"/>
    </row>
    <row r="252" spans="1:77" collapsed="1">
      <c r="A252" s="658"/>
      <c r="B252" s="658"/>
      <c r="C252" s="658"/>
      <c r="D252" s="658"/>
      <c r="E252" s="1486"/>
      <c r="F252" s="802"/>
      <c r="G252" s="2068">
        <f>G229+G222</f>
        <v>-13</v>
      </c>
      <c r="H252" s="2176">
        <f>1*(1+(G215/100))*(1+(G222/100))*(1+(G229/100))-1</f>
        <v>-0.11766399999999999</v>
      </c>
      <c r="I252" s="701"/>
      <c r="J252" s="701"/>
      <c r="K252" s="1485"/>
      <c r="L252" s="798"/>
      <c r="M252" s="798"/>
      <c r="N252" s="798"/>
      <c r="O252" s="798"/>
      <c r="P252" s="700"/>
      <c r="Q252" s="1486"/>
      <c r="R252" s="2068"/>
      <c r="S252" s="2068">
        <f>S229+S222</f>
        <v>-14</v>
      </c>
      <c r="T252" s="2176">
        <f>1*(1+(S215/100))*(1+(S222/100))*(1+(S229/100))-1</f>
        <v>-0.1203519999999999</v>
      </c>
      <c r="U252" s="701"/>
      <c r="V252" s="700"/>
      <c r="W252" s="1486"/>
      <c r="X252" s="1302">
        <f>+Y215+Y222</f>
        <v>-19</v>
      </c>
      <c r="Y252" s="2068">
        <f>Y229+Y222</f>
        <v>4</v>
      </c>
      <c r="Z252" s="2176">
        <f>1*(1+(Y215/100))*(1+(Y222/100))*(1+(Y229/100))-1</f>
        <v>-0.20997999999999994</v>
      </c>
      <c r="AA252" s="701"/>
      <c r="AB252" s="713"/>
      <c r="AC252" s="713"/>
      <c r="AD252" s="713"/>
      <c r="AE252" s="713"/>
      <c r="AF252" s="713"/>
      <c r="AG252" s="1486"/>
      <c r="AH252" s="802"/>
      <c r="AI252" s="2068">
        <f>AI229+AI222</f>
        <v>-11</v>
      </c>
      <c r="AJ252" s="2176">
        <f>1*(1+(AI215/100))*(1+(AI222/100))*(1+(AI229/100))-1</f>
        <v>3.6386000000000029E-2</v>
      </c>
      <c r="AK252" s="701"/>
      <c r="AL252" s="700"/>
      <c r="AM252" s="667"/>
      <c r="AN252" s="802"/>
      <c r="AO252" s="667"/>
      <c r="AP252" s="705"/>
      <c r="AQ252" s="700"/>
      <c r="AR252" s="1486"/>
      <c r="AS252" s="802">
        <f>AS208+AS229+AS222</f>
        <v>40.016949722315005</v>
      </c>
      <c r="AT252" s="673"/>
      <c r="AU252" s="701"/>
      <c r="AV252" s="700"/>
      <c r="AW252" s="667"/>
      <c r="AX252" s="912"/>
      <c r="AY252" s="1021"/>
      <c r="AZ252" s="804"/>
      <c r="BA252" s="912"/>
      <c r="BB252" s="700"/>
      <c r="BC252" s="667"/>
      <c r="BD252" s="701"/>
      <c r="BE252" s="1263"/>
      <c r="BF252" s="667"/>
      <c r="BG252" s="1011"/>
      <c r="BH252" s="701"/>
      <c r="BI252" s="658"/>
      <c r="BJ252" s="203"/>
      <c r="BK252" s="203"/>
      <c r="BL252" s="203"/>
      <c r="BM252" s="203"/>
      <c r="BN252" s="658"/>
      <c r="BO252" s="322"/>
      <c r="BP252" s="322"/>
      <c r="BQ252" s="322"/>
      <c r="BR252" s="1251"/>
      <c r="BS252" s="322"/>
      <c r="BT252" s="322"/>
      <c r="BU252" s="1251"/>
      <c r="BV252" s="658"/>
      <c r="BW252" s="322"/>
      <c r="BX252" s="658"/>
      <c r="BY252" s="658"/>
    </row>
    <row r="253" spans="1:77">
      <c r="A253" s="658"/>
      <c r="B253" s="658"/>
      <c r="C253" s="658"/>
      <c r="D253" s="658"/>
      <c r="E253" s="1486"/>
      <c r="F253" s="802"/>
      <c r="G253" s="2068">
        <f t="shared" ref="G253:G254" si="8">G230+G223</f>
        <v>-10</v>
      </c>
      <c r="H253" s="2176">
        <f>1*(1+(G216/100))*(1+(G223/100))*(1+(G230/100))-1</f>
        <v>-9.9099999999999966E-2</v>
      </c>
      <c r="I253" s="701"/>
      <c r="J253" s="701"/>
      <c r="K253" s="1485"/>
      <c r="L253" s="798"/>
      <c r="M253" s="798"/>
      <c r="N253" s="798"/>
      <c r="O253" s="798"/>
      <c r="P253" s="700"/>
      <c r="Q253" s="1486"/>
      <c r="R253" s="2068"/>
      <c r="S253" s="2068">
        <f t="shared" ref="S253:S255" si="9">S230+S223</f>
        <v>-16</v>
      </c>
      <c r="T253" s="2176">
        <f>1*(1+(S216/100))*(1+(S223/100))*(1+(S230/100))-1</f>
        <v>-0.10292199999999996</v>
      </c>
      <c r="U253" s="701"/>
      <c r="V253" s="700"/>
      <c r="W253" s="1486"/>
      <c r="X253" s="1302">
        <f>+Y216+Y223</f>
        <v>18</v>
      </c>
      <c r="Y253" s="2068">
        <f t="shared" ref="Y253:Y254" si="10">Y230+Y223</f>
        <v>6</v>
      </c>
      <c r="Z253" s="2176">
        <f>1*(1+(Y216/100))*(1+(Y223/100))*(1+(Y230/100))-1</f>
        <v>0.27933300000000005</v>
      </c>
      <c r="AA253" s="701"/>
      <c r="AB253" s="713"/>
      <c r="AC253" s="713"/>
      <c r="AD253" s="713"/>
      <c r="AE253" s="713"/>
      <c r="AF253" s="713"/>
      <c r="AG253" s="1486"/>
      <c r="AH253" s="802"/>
      <c r="AI253" s="2068">
        <f t="shared" ref="AI253:AI255" si="11">AI230+AI223</f>
        <v>-13</v>
      </c>
      <c r="AJ253" s="2176">
        <f>1*(1+(AI216/100))*(1+(AI223/100))*(1+(AI230/100))-1</f>
        <v>3.5299999999999887E-2</v>
      </c>
      <c r="AK253" s="701"/>
      <c r="AL253" s="700"/>
      <c r="AM253" s="667"/>
      <c r="AN253" s="802"/>
      <c r="AO253" s="667"/>
      <c r="AP253" s="705"/>
      <c r="AQ253" s="700"/>
      <c r="AR253" s="1486"/>
      <c r="AS253" s="802">
        <f t="shared" ref="AS253:AS255" si="12">AS209+AS230+AS223</f>
        <v>99.62937430472104</v>
      </c>
      <c r="AT253" s="673"/>
      <c r="AU253" s="701"/>
      <c r="AV253" s="700"/>
      <c r="AW253" s="667"/>
      <c r="AX253" s="912"/>
      <c r="AY253" s="1021"/>
      <c r="AZ253" s="804"/>
      <c r="BA253" s="912"/>
      <c r="BB253" s="700"/>
      <c r="BC253" s="667"/>
      <c r="BD253" s="701"/>
      <c r="BE253" s="1263"/>
      <c r="BF253" s="667"/>
      <c r="BG253" s="1011"/>
      <c r="BH253" s="701"/>
      <c r="BI253" s="658"/>
      <c r="BJ253" s="203"/>
      <c r="BK253" s="203"/>
      <c r="BL253" s="203"/>
      <c r="BM253" s="203"/>
      <c r="BN253" s="658"/>
      <c r="BO253" s="322"/>
      <c r="BP253" s="322"/>
      <c r="BQ253" s="322"/>
      <c r="BR253" s="1251"/>
      <c r="BS253" s="322"/>
      <c r="BT253" s="322"/>
      <c r="BU253" s="1251"/>
      <c r="BV253" s="658"/>
      <c r="BW253" s="322"/>
      <c r="BX253" s="658"/>
      <c r="BY253" s="658"/>
    </row>
    <row r="254" spans="1:77">
      <c r="A254" s="658"/>
      <c r="B254" s="658"/>
      <c r="C254" s="658"/>
      <c r="D254" s="658"/>
      <c r="E254" s="1486"/>
      <c r="F254" s="802"/>
      <c r="G254" s="2068">
        <f t="shared" si="8"/>
        <v>-2</v>
      </c>
      <c r="H254" s="2176">
        <f>1*(1+(G217/100))*(1+(G224/100))*(1+(G231/100))-1</f>
        <v>-7.8800000000000092E-2</v>
      </c>
      <c r="I254" s="701"/>
      <c r="J254" s="701"/>
      <c r="K254" s="1485"/>
      <c r="L254" s="798"/>
      <c r="M254" s="798"/>
      <c r="N254" s="798"/>
      <c r="O254" s="798"/>
      <c r="P254" s="700"/>
      <c r="Q254" s="1486"/>
      <c r="R254" s="2068"/>
      <c r="S254" s="2068">
        <f t="shared" si="9"/>
        <v>-5</v>
      </c>
      <c r="T254" s="2176">
        <f>1*(1+(S217/100))*(1+(S224/100))*(1+(S231/100))-1</f>
        <v>-3.2428000000000012E-2</v>
      </c>
      <c r="U254" s="701"/>
      <c r="V254" s="700"/>
      <c r="W254" s="1486"/>
      <c r="X254" s="1302">
        <f>+Y217+Y224</f>
        <v>26</v>
      </c>
      <c r="Y254" s="2068">
        <f t="shared" si="10"/>
        <v>2</v>
      </c>
      <c r="Z254" s="2176">
        <f>1*(1+(Y217/100))*(1+(Y224/100))*(1+(Y231/100))-1</f>
        <v>0.26479999999999992</v>
      </c>
      <c r="AA254" s="701"/>
      <c r="AB254" s="713"/>
      <c r="AC254" s="713"/>
      <c r="AD254" s="713"/>
      <c r="AE254" s="713"/>
      <c r="AF254" s="713"/>
      <c r="AG254" s="1486"/>
      <c r="AH254" s="802"/>
      <c r="AI254" s="2068">
        <f t="shared" si="11"/>
        <v>-15</v>
      </c>
      <c r="AJ254" s="2176">
        <f>1*(1+(AI217/100))*(1+(AI224/100))*(1+(AI231/100))-1</f>
        <v>-9.3063999999999925E-2</v>
      </c>
      <c r="AK254" s="701"/>
      <c r="AL254" s="700"/>
      <c r="AM254" s="667"/>
      <c r="AN254" s="802"/>
      <c r="AO254" s="667"/>
      <c r="AP254" s="705"/>
      <c r="AQ254" s="700"/>
      <c r="AR254" s="1486"/>
      <c r="AS254" s="802">
        <f t="shared" si="12"/>
        <v>20.770823264843173</v>
      </c>
      <c r="AT254" s="673"/>
      <c r="AU254" s="701"/>
      <c r="AV254" s="700"/>
      <c r="AW254" s="667"/>
      <c r="AX254" s="912"/>
      <c r="AY254" s="1021"/>
      <c r="AZ254" s="804"/>
      <c r="BA254" s="912"/>
      <c r="BB254" s="700"/>
      <c r="BC254" s="667"/>
      <c r="BD254" s="701"/>
      <c r="BE254" s="1263"/>
      <c r="BF254" s="667"/>
      <c r="BG254" s="1011"/>
      <c r="BH254" s="701"/>
      <c r="BI254" s="658"/>
      <c r="BJ254" s="203"/>
      <c r="BK254" s="203"/>
      <c r="BL254" s="203"/>
      <c r="BM254" s="203"/>
      <c r="BN254" s="658"/>
      <c r="BO254" s="322"/>
      <c r="BP254" s="322"/>
      <c r="BQ254" s="322"/>
      <c r="BR254" s="1251"/>
      <c r="BS254" s="322"/>
      <c r="BT254" s="322"/>
      <c r="BU254" s="1251"/>
      <c r="BV254" s="658"/>
      <c r="BW254" s="322"/>
      <c r="BX254" s="658"/>
      <c r="BY254" s="658"/>
    </row>
    <row r="255" spans="1:77">
      <c r="A255" s="658"/>
      <c r="B255" s="658"/>
      <c r="C255" s="658"/>
      <c r="D255" s="658"/>
      <c r="E255" s="1486"/>
      <c r="F255" s="802"/>
      <c r="G255" s="2068">
        <f>G232+G225</f>
        <v>2</v>
      </c>
      <c r="H255" s="2176">
        <f>1*(1+(G218/100))*(1+(G225/100))*(1+(G232/100))-1</f>
        <v>-6.2335999999999947E-2</v>
      </c>
      <c r="I255" s="701"/>
      <c r="J255" s="701"/>
      <c r="K255" s="1485"/>
      <c r="L255" s="798"/>
      <c r="M255" s="798"/>
      <c r="N255" s="798"/>
      <c r="O255" s="798"/>
      <c r="P255" s="700"/>
      <c r="Q255" s="1486"/>
      <c r="R255" s="802"/>
      <c r="S255" s="2068">
        <f t="shared" si="9"/>
        <v>-2</v>
      </c>
      <c r="T255" s="2176">
        <f>1*(1+(S218/100))*(1+(S225/100))*(1+(S232/100))-1</f>
        <v>-9.8307999999999951E-2</v>
      </c>
      <c r="U255" s="701"/>
      <c r="V255" s="700"/>
      <c r="W255" s="1486"/>
      <c r="X255" s="1302">
        <f>+Y218+Y225</f>
        <v>22</v>
      </c>
      <c r="Y255" s="2068">
        <f>Y232+Y225</f>
        <v>12</v>
      </c>
      <c r="Z255" s="2176">
        <f>1*(1+(Y218/100))*(1+(Y225/100))*(1+(Y232/100))-1</f>
        <v>0.23200000000000021</v>
      </c>
      <c r="AA255" s="701"/>
      <c r="AB255" s="713"/>
      <c r="AC255" s="713"/>
      <c r="AD255" s="713"/>
      <c r="AE255" s="713"/>
      <c r="AF255" s="713"/>
      <c r="AG255" s="1486"/>
      <c r="AH255" s="802"/>
      <c r="AI255" s="2068">
        <f t="shared" si="11"/>
        <v>-10</v>
      </c>
      <c r="AJ255" s="2176">
        <f>1*(1+(AI218/100))*(1+(AI225/100))*(1+(AI232/100))-1</f>
        <v>-0.125448</v>
      </c>
      <c r="AK255" s="701"/>
      <c r="AL255" s="700"/>
      <c r="AM255" s="667"/>
      <c r="AN255" s="802"/>
      <c r="AO255" s="667"/>
      <c r="AP255" s="705"/>
      <c r="AQ255" s="700"/>
      <c r="AR255" s="1486"/>
      <c r="AS255" s="802">
        <f t="shared" si="12"/>
        <v>49.086895780450646</v>
      </c>
      <c r="AT255" s="673"/>
      <c r="AU255" s="701"/>
      <c r="AV255" s="700"/>
      <c r="AW255" s="667"/>
      <c r="AX255" s="912"/>
      <c r="AY255" s="1021"/>
      <c r="AZ255" s="804"/>
      <c r="BA255" s="912"/>
      <c r="BB255" s="700"/>
      <c r="BC255" s="667"/>
      <c r="BD255" s="701"/>
      <c r="BE255" s="1263"/>
      <c r="BF255" s="667"/>
      <c r="BG255" s="1011"/>
      <c r="BH255" s="701"/>
      <c r="BI255" s="658"/>
      <c r="BJ255" s="203"/>
      <c r="BK255" s="203"/>
      <c r="BL255" s="203"/>
      <c r="BM255" s="203"/>
      <c r="BN255" s="658"/>
      <c r="BO255" s="322"/>
      <c r="BP255" s="322"/>
      <c r="BQ255" s="322"/>
      <c r="BR255" s="1251"/>
      <c r="BS255" s="322"/>
      <c r="BT255" s="322"/>
      <c r="BU255" s="1251"/>
      <c r="BV255" s="658"/>
      <c r="BW255" s="322"/>
      <c r="BX255" s="658"/>
      <c r="BY255" s="658"/>
    </row>
    <row r="256" spans="1:77">
      <c r="A256" s="658"/>
      <c r="B256" s="658"/>
      <c r="C256" s="658"/>
      <c r="D256" s="658"/>
      <c r="E256" s="1486"/>
      <c r="F256" s="802"/>
      <c r="G256" s="2068"/>
      <c r="H256" s="667"/>
      <c r="I256" s="701"/>
      <c r="J256" s="701"/>
      <c r="K256" s="1485"/>
      <c r="L256" s="798"/>
      <c r="M256" s="798"/>
      <c r="N256" s="798"/>
      <c r="O256" s="798"/>
      <c r="P256" s="700"/>
      <c r="Q256" s="1486"/>
      <c r="R256" s="802"/>
      <c r="S256" s="2068"/>
      <c r="T256" s="1486"/>
      <c r="U256" s="701"/>
      <c r="V256" s="700"/>
      <c r="W256" s="1486"/>
      <c r="X256" s="1302"/>
      <c r="Y256" s="2068"/>
      <c r="Z256" s="1486"/>
      <c r="AA256" s="701"/>
      <c r="AB256" s="713"/>
      <c r="AC256" s="713"/>
      <c r="AD256" s="713"/>
      <c r="AE256" s="713"/>
      <c r="AF256" s="713"/>
      <c r="AG256" s="1486"/>
      <c r="AH256" s="802"/>
      <c r="AI256" s="2068"/>
      <c r="AJ256" s="1486"/>
      <c r="AK256" s="701"/>
      <c r="AL256" s="700"/>
      <c r="AM256" s="667"/>
      <c r="AN256" s="802"/>
      <c r="AO256" s="667"/>
      <c r="AP256" s="705"/>
      <c r="AQ256" s="700"/>
      <c r="AR256" s="1486"/>
      <c r="AS256" s="802"/>
      <c r="AT256" s="673"/>
      <c r="AU256" s="701"/>
      <c r="AV256" s="700"/>
      <c r="AW256" s="667"/>
      <c r="AX256" s="912"/>
      <c r="AY256" s="1021"/>
      <c r="AZ256" s="804"/>
      <c r="BA256" s="912"/>
      <c r="BB256" s="700"/>
      <c r="BC256" s="667"/>
      <c r="BD256" s="701"/>
      <c r="BE256" s="1263"/>
      <c r="BF256" s="667"/>
      <c r="BG256" s="1011"/>
      <c r="BH256" s="701"/>
      <c r="BI256" s="658"/>
      <c r="BJ256" s="203"/>
      <c r="BK256" s="203"/>
      <c r="BL256" s="203"/>
      <c r="BM256" s="203"/>
      <c r="BN256" s="658"/>
      <c r="BO256" s="322"/>
      <c r="BP256" s="322"/>
      <c r="BQ256" s="322"/>
      <c r="BR256" s="1251"/>
      <c r="BS256" s="322"/>
      <c r="BT256" s="322"/>
      <c r="BU256" s="1251"/>
      <c r="BV256" s="658"/>
      <c r="BW256" s="322"/>
      <c r="BX256" s="658"/>
      <c r="BY256" s="658"/>
    </row>
    <row r="257" spans="1:77" collapsed="1">
      <c r="A257" s="658"/>
      <c r="B257" s="658"/>
      <c r="C257" s="658"/>
      <c r="D257" s="658"/>
      <c r="E257" s="1486"/>
      <c r="F257" s="802"/>
      <c r="G257" s="2068">
        <f>G236+G229</f>
        <v>0</v>
      </c>
      <c r="H257" s="2176">
        <f>1*(1+(G222/100))*(1+(G229/100))*(1+(G236/100))-1</f>
        <v>-9.1455999999999871E-2</v>
      </c>
      <c r="I257" s="701"/>
      <c r="J257" s="701"/>
      <c r="K257" s="1485"/>
      <c r="L257" s="798"/>
      <c r="M257" s="798"/>
      <c r="N257" s="798"/>
      <c r="O257" s="798"/>
      <c r="P257" s="700"/>
      <c r="Q257" s="1486"/>
      <c r="R257" s="2068"/>
      <c r="S257" s="2068">
        <f>S236+S229</f>
        <v>3</v>
      </c>
      <c r="T257" s="2176">
        <f>1*(1+(S222/100))*(1+(S229/100))*(1+(S236/100))-1</f>
        <v>-9.4480000000000008E-2</v>
      </c>
      <c r="U257" s="701"/>
      <c r="V257" s="700"/>
      <c r="W257" s="1486"/>
      <c r="X257" s="1302">
        <f>+Y222+Y229</f>
        <v>4</v>
      </c>
      <c r="Y257" s="2068">
        <f>Y236+Y229</f>
        <v>3</v>
      </c>
      <c r="Z257" s="2176">
        <f>1*(1+(Y222/100))*(1+(Y229/100))*(1+(Y236/100))-1</f>
        <v>8.1080000000000041E-2</v>
      </c>
      <c r="AA257" s="701"/>
      <c r="AB257" s="713"/>
      <c r="AC257" s="713"/>
      <c r="AD257" s="713"/>
      <c r="AE257" s="713"/>
      <c r="AF257" s="713"/>
      <c r="AG257" s="1486"/>
      <c r="AH257" s="802"/>
      <c r="AI257" s="2068">
        <f>AI236+AI229</f>
        <v>-2</v>
      </c>
      <c r="AJ257" s="2176">
        <f>1*(1+(AI222/100))*(1+(AI229/100))*(1+(AI236/100))-1</f>
        <v>-0.15849000000000002</v>
      </c>
      <c r="AK257" s="701"/>
      <c r="AL257" s="700"/>
      <c r="AM257" s="667"/>
      <c r="AN257" s="802"/>
      <c r="AO257" s="667"/>
      <c r="AP257" s="705"/>
      <c r="AQ257" s="700"/>
      <c r="AR257" s="1486"/>
      <c r="AS257" s="802">
        <f>AS213+AS220+AS227</f>
        <v>0</v>
      </c>
      <c r="AT257" s="673"/>
      <c r="AU257" s="701"/>
      <c r="AV257" s="700"/>
      <c r="AW257" s="667"/>
      <c r="AX257" s="912"/>
      <c r="AY257" s="1021"/>
      <c r="AZ257" s="804"/>
      <c r="BA257" s="912"/>
      <c r="BB257" s="700"/>
      <c r="BC257" s="667"/>
      <c r="BD257" s="701"/>
      <c r="BE257" s="1263"/>
      <c r="BF257" s="667"/>
      <c r="BG257" s="1011"/>
      <c r="BH257" s="701"/>
      <c r="BI257" s="658"/>
      <c r="BJ257" s="203"/>
      <c r="BK257" s="203"/>
      <c r="BL257" s="203"/>
      <c r="BM257" s="203"/>
      <c r="BN257" s="658"/>
      <c r="BO257" s="322"/>
      <c r="BP257" s="322"/>
      <c r="BQ257" s="322"/>
      <c r="BR257" s="1251"/>
      <c r="BS257" s="322"/>
      <c r="BT257" s="322"/>
      <c r="BU257" s="1251"/>
      <c r="BV257" s="658"/>
      <c r="BW257" s="322"/>
      <c r="BX257" s="658"/>
      <c r="BY257" s="658"/>
    </row>
    <row r="258" spans="1:77">
      <c r="A258" s="658"/>
      <c r="B258" s="658"/>
      <c r="C258" s="658"/>
      <c r="D258" s="658"/>
      <c r="E258" s="1486"/>
      <c r="F258" s="802"/>
      <c r="G258" s="2068">
        <f t="shared" ref="G258:G259" si="13">G237+G230</f>
        <v>3</v>
      </c>
      <c r="H258" s="2176">
        <f t="shared" ref="H258:H260" si="14">1*(1+(G223/100))*(1+(G230/100))*(1+(G237/100))-1</f>
        <v>-6.3063999999999898E-2</v>
      </c>
      <c r="I258" s="701"/>
      <c r="J258" s="701"/>
      <c r="K258" s="1485"/>
      <c r="L258" s="798"/>
      <c r="M258" s="798"/>
      <c r="N258" s="798"/>
      <c r="O258" s="798"/>
      <c r="P258" s="700"/>
      <c r="Q258" s="1486"/>
      <c r="R258" s="2068"/>
      <c r="S258" s="2068">
        <f t="shared" ref="S258:S259" si="15">S237+S230</f>
        <v>-1</v>
      </c>
      <c r="T258" s="2176">
        <f t="shared" ref="T258:T260" si="16">1*(1+(S223/100))*(1+(S230/100))*(1+(S237/100))-1</f>
        <v>-0.10292200000000007</v>
      </c>
      <c r="U258" s="701"/>
      <c r="V258" s="700"/>
      <c r="W258" s="1486"/>
      <c r="X258" s="1302">
        <f>+Y223+Y230</f>
        <v>6</v>
      </c>
      <c r="Y258" s="2068">
        <f t="shared" ref="Y258:Y260" si="17">Y237+Y230</f>
        <v>4</v>
      </c>
      <c r="Z258" s="2176">
        <f t="shared" ref="Z258:Z260" si="18">1*(1+(Y223/100))*(1+(Y230/100))*(1+(Y237/100))-1</f>
        <v>4.4349999999999667E-3</v>
      </c>
      <c r="AA258" s="701"/>
      <c r="AB258" s="713"/>
      <c r="AC258" s="713"/>
      <c r="AD258" s="713"/>
      <c r="AE258" s="713"/>
      <c r="AF258" s="713"/>
      <c r="AG258" s="1486"/>
      <c r="AH258" s="802"/>
      <c r="AI258" s="2068">
        <f t="shared" ref="AI258:AI259" si="19">AI237+AI230</f>
        <v>-1</v>
      </c>
      <c r="AJ258" s="2176">
        <f t="shared" ref="AJ258:AJ260" si="20">1*(1+(AI223/100))*(1+(AI230/100))*(1+(AI237/100))-1</f>
        <v>-0.13870000000000005</v>
      </c>
      <c r="AK258" s="701"/>
      <c r="AL258" s="700"/>
      <c r="AM258" s="667"/>
      <c r="AN258" s="802"/>
      <c r="AO258" s="667"/>
      <c r="AP258" s="705"/>
      <c r="AQ258" s="700"/>
      <c r="AR258" s="1486"/>
      <c r="AS258" s="802">
        <f>AS214+AS221+AS228</f>
        <v>0</v>
      </c>
      <c r="AT258" s="673"/>
      <c r="AU258" s="701"/>
      <c r="AV258" s="700"/>
      <c r="AW258" s="667"/>
      <c r="AX258" s="912"/>
      <c r="AY258" s="1021"/>
      <c r="AZ258" s="804"/>
      <c r="BA258" s="912"/>
      <c r="BB258" s="700"/>
      <c r="BC258" s="667"/>
      <c r="BD258" s="701"/>
      <c r="BE258" s="1263"/>
      <c r="BF258" s="667"/>
      <c r="BG258" s="1011"/>
      <c r="BH258" s="701"/>
      <c r="BI258" s="658"/>
      <c r="BJ258" s="203"/>
      <c r="BK258" s="203"/>
      <c r="BL258" s="203"/>
      <c r="BM258" s="203"/>
      <c r="BN258" s="658"/>
      <c r="BO258" s="322"/>
      <c r="BP258" s="322"/>
      <c r="BQ258" s="322"/>
      <c r="BR258" s="1251"/>
      <c r="BS258" s="322"/>
      <c r="BT258" s="322"/>
      <c r="BU258" s="1251"/>
      <c r="BV258" s="658"/>
      <c r="BW258" s="322"/>
      <c r="BX258" s="658"/>
      <c r="BY258" s="658"/>
    </row>
    <row r="259" spans="1:77">
      <c r="A259" s="658"/>
      <c r="B259" s="658"/>
      <c r="C259" s="658"/>
      <c r="D259" s="658"/>
      <c r="E259" s="1486"/>
      <c r="F259" s="802"/>
      <c r="G259" s="2068">
        <f t="shared" si="13"/>
        <v>4</v>
      </c>
      <c r="H259" s="2176">
        <f t="shared" si="14"/>
        <v>1.9200000000000106E-2</v>
      </c>
      <c r="I259" s="701"/>
      <c r="J259" s="701"/>
      <c r="K259" s="1485"/>
      <c r="L259" s="798"/>
      <c r="M259" s="798"/>
      <c r="N259" s="798"/>
      <c r="O259" s="798"/>
      <c r="P259" s="700"/>
      <c r="Q259" s="1486"/>
      <c r="R259" s="2068"/>
      <c r="S259" s="2068">
        <f t="shared" si="15"/>
        <v>0</v>
      </c>
      <c r="T259" s="2176">
        <f t="shared" si="16"/>
        <v>-7.037199999999999E-2</v>
      </c>
      <c r="U259" s="701"/>
      <c r="V259" s="700"/>
      <c r="W259" s="1486"/>
      <c r="X259" s="1302">
        <f>+Y224+Y231</f>
        <v>2</v>
      </c>
      <c r="Y259" s="2068">
        <f t="shared" si="17"/>
        <v>4</v>
      </c>
      <c r="Z259" s="2176">
        <f t="shared" si="18"/>
        <v>6.0799999999999965E-2</v>
      </c>
      <c r="AA259" s="701"/>
      <c r="AB259" s="713"/>
      <c r="AC259" s="713"/>
      <c r="AD259" s="713"/>
      <c r="AE259" s="713"/>
      <c r="AF259" s="713"/>
      <c r="AG259" s="1486"/>
      <c r="AH259" s="802"/>
      <c r="AI259" s="2068">
        <f t="shared" si="19"/>
        <v>-3</v>
      </c>
      <c r="AJ259" s="2176">
        <f t="shared" si="20"/>
        <v>-0.10161999999999993</v>
      </c>
      <c r="AK259" s="701"/>
      <c r="AL259" s="700"/>
      <c r="AM259" s="667"/>
      <c r="AN259" s="802"/>
      <c r="AO259" s="667"/>
      <c r="AP259" s="705"/>
      <c r="AQ259" s="700"/>
      <c r="AR259" s="1486"/>
      <c r="AS259" s="802">
        <f>AS215+AS222+AS229</f>
        <v>-15.397674220481434</v>
      </c>
      <c r="AT259" s="673"/>
      <c r="AU259" s="701"/>
      <c r="AV259" s="700"/>
      <c r="AW259" s="667"/>
      <c r="AX259" s="912"/>
      <c r="AY259" s="1021"/>
      <c r="AZ259" s="804"/>
      <c r="BA259" s="912"/>
      <c r="BB259" s="700"/>
      <c r="BC259" s="667"/>
      <c r="BD259" s="701"/>
      <c r="BE259" s="1263"/>
      <c r="BF259" s="667"/>
      <c r="BG259" s="1011"/>
      <c r="BH259" s="701"/>
      <c r="BI259" s="658"/>
      <c r="BJ259" s="203"/>
      <c r="BK259" s="203"/>
      <c r="BL259" s="203"/>
      <c r="BM259" s="203"/>
      <c r="BN259" s="658"/>
      <c r="BO259" s="322"/>
      <c r="BP259" s="322"/>
      <c r="BQ259" s="322"/>
      <c r="BR259" s="1251"/>
      <c r="BS259" s="322"/>
      <c r="BT259" s="322"/>
      <c r="BU259" s="1251"/>
      <c r="BV259" s="658"/>
      <c r="BW259" s="322"/>
      <c r="BX259" s="658"/>
      <c r="BY259" s="658"/>
    </row>
    <row r="260" spans="1:77">
      <c r="A260" s="658"/>
      <c r="B260" s="658"/>
      <c r="C260" s="658"/>
      <c r="D260" s="658"/>
      <c r="E260" s="1486"/>
      <c r="F260" s="802"/>
      <c r="G260" s="2068">
        <f>G239+G232</f>
        <v>4</v>
      </c>
      <c r="H260" s="2176">
        <f t="shared" si="14"/>
        <v>1.9200000000000106E-2</v>
      </c>
      <c r="I260" s="701"/>
      <c r="J260" s="701"/>
      <c r="K260" s="1485"/>
      <c r="L260" s="798"/>
      <c r="M260" s="798"/>
      <c r="N260" s="798"/>
      <c r="O260" s="798"/>
      <c r="P260" s="700"/>
      <c r="Q260" s="1486"/>
      <c r="R260" s="802"/>
      <c r="S260" s="2068">
        <f>S239+S232</f>
        <v>1</v>
      </c>
      <c r="T260" s="2176">
        <f t="shared" si="16"/>
        <v>-2.9800000000002047E-4</v>
      </c>
      <c r="U260" s="701"/>
      <c r="V260" s="700"/>
      <c r="W260" s="1486"/>
      <c r="X260" s="1302">
        <f>+Y225+Y232</f>
        <v>12</v>
      </c>
      <c r="Y260" s="2068">
        <f t="shared" si="17"/>
        <v>4</v>
      </c>
      <c r="Z260" s="2176">
        <f t="shared" si="18"/>
        <v>0.16480000000000006</v>
      </c>
      <c r="AA260" s="701"/>
      <c r="AB260" s="713"/>
      <c r="AC260" s="713"/>
      <c r="AD260" s="713"/>
      <c r="AE260" s="713"/>
      <c r="AF260" s="713"/>
      <c r="AG260" s="1486"/>
      <c r="AH260" s="802"/>
      <c r="AI260" s="2068">
        <f>AI239+AI232</f>
        <v>-3</v>
      </c>
      <c r="AJ260" s="2176">
        <f t="shared" si="20"/>
        <v>-5.3319999999999923E-2</v>
      </c>
      <c r="AK260" s="701"/>
      <c r="AL260" s="700"/>
      <c r="AM260" s="667"/>
      <c r="AN260" s="802"/>
      <c r="AO260" s="667"/>
      <c r="AP260" s="705"/>
      <c r="AQ260" s="700"/>
      <c r="AR260" s="1486"/>
      <c r="AS260" s="802">
        <f>AS216+AS223+AS230</f>
        <v>28.288271826427071</v>
      </c>
      <c r="AT260" s="673"/>
      <c r="AU260" s="701"/>
      <c r="AV260" s="700"/>
      <c r="AW260" s="667"/>
      <c r="AX260" s="912"/>
      <c r="AY260" s="1021"/>
      <c r="AZ260" s="804"/>
      <c r="BA260" s="912"/>
      <c r="BB260" s="700"/>
      <c r="BC260" s="667"/>
      <c r="BD260" s="701"/>
      <c r="BE260" s="1263"/>
      <c r="BF260" s="667"/>
      <c r="BG260" s="1011"/>
      <c r="BH260" s="701"/>
      <c r="BI260" s="658"/>
      <c r="BJ260" s="203"/>
      <c r="BK260" s="203"/>
      <c r="BL260" s="203"/>
      <c r="BM260" s="203"/>
      <c r="BN260" s="658"/>
      <c r="BO260" s="322"/>
      <c r="BP260" s="322"/>
      <c r="BQ260" s="322"/>
      <c r="BR260" s="1251"/>
      <c r="BS260" s="322"/>
      <c r="BT260" s="322"/>
      <c r="BU260" s="1251"/>
      <c r="BV260" s="658"/>
      <c r="BW260" s="322"/>
      <c r="BX260" s="658"/>
      <c r="BY260" s="658"/>
    </row>
    <row r="261" spans="1:77">
      <c r="E261" s="216">
        <f>E210/AW210</f>
        <v>0.4779074614422677</v>
      </c>
      <c r="F261" s="216"/>
      <c r="G261" s="2070"/>
      <c r="H261" s="216"/>
      <c r="I261" s="216"/>
      <c r="J261" s="216"/>
      <c r="K261" s="216"/>
      <c r="L261" s="216"/>
      <c r="M261" s="216"/>
      <c r="N261" s="216"/>
      <c r="O261" s="216"/>
      <c r="P261" s="216"/>
      <c r="Q261" s="216"/>
      <c r="R261" s="216"/>
      <c r="S261" s="2070"/>
      <c r="T261" s="1803"/>
      <c r="U261" s="216"/>
      <c r="V261" s="216"/>
      <c r="W261" s="216"/>
      <c r="X261" s="216"/>
      <c r="Y261" s="2068"/>
      <c r="Z261" s="216"/>
      <c r="AA261" s="216"/>
      <c r="AB261" s="216"/>
      <c r="AC261" s="216"/>
      <c r="AD261" s="216"/>
      <c r="AE261" s="216"/>
      <c r="AF261" s="216"/>
      <c r="AG261" s="216">
        <f>AG210/AW210</f>
        <v>0.11921634014172573</v>
      </c>
      <c r="AH261" s="216"/>
      <c r="AI261" s="2070"/>
      <c r="AJ261" s="216"/>
      <c r="AK261" s="216"/>
      <c r="AL261" s="216"/>
      <c r="AM261" s="216"/>
      <c r="AN261" s="216"/>
      <c r="AO261" s="216"/>
      <c r="AP261" s="216"/>
      <c r="AQ261" s="216"/>
      <c r="AR261" s="216"/>
      <c r="AS261" s="216"/>
      <c r="AT261" s="673"/>
      <c r="AU261" s="216"/>
    </row>
    <row r="262" spans="1:77">
      <c r="A262" s="1631"/>
      <c r="B262" s="1631"/>
      <c r="C262" s="1631"/>
      <c r="D262" s="1631"/>
      <c r="E262" s="1631"/>
      <c r="F262" s="1631"/>
      <c r="G262" s="2073"/>
      <c r="H262" s="1631"/>
      <c r="I262" s="1631"/>
      <c r="J262" s="1631"/>
      <c r="K262" s="1631"/>
      <c r="L262" s="1631"/>
      <c r="M262" s="1631"/>
      <c r="N262" s="1631"/>
      <c r="O262" s="1631"/>
      <c r="P262" s="1631"/>
      <c r="Q262" s="1631"/>
      <c r="R262" s="1631"/>
      <c r="S262" s="2073"/>
      <c r="T262" s="1631"/>
      <c r="U262" s="1631"/>
      <c r="V262" s="1631"/>
      <c r="W262" s="1631"/>
      <c r="X262" s="1631"/>
      <c r="Y262" s="2073"/>
      <c r="Z262" s="1631"/>
      <c r="AA262" s="1631"/>
      <c r="AB262" s="1631"/>
      <c r="AC262" s="1631"/>
      <c r="AD262" s="1631"/>
      <c r="AE262" s="1631"/>
      <c r="AF262" s="1631"/>
      <c r="AG262" s="1631"/>
      <c r="AH262" s="1631"/>
      <c r="AI262" s="2073"/>
      <c r="AJ262" s="1631"/>
      <c r="AK262" s="1631"/>
      <c r="AL262" s="1631"/>
      <c r="AM262" s="1631"/>
      <c r="AN262" s="1631"/>
      <c r="AO262" s="1631"/>
      <c r="AP262" s="1631"/>
      <c r="AQ262" s="1631"/>
      <c r="AR262" s="1631"/>
      <c r="AS262" s="1631"/>
      <c r="AT262" s="1631"/>
      <c r="AU262" s="1631"/>
      <c r="AV262" s="1631"/>
      <c r="AW262" s="1631"/>
      <c r="AX262" s="1631"/>
      <c r="AY262" s="1631"/>
      <c r="AZ262" s="1631"/>
      <c r="BA262" s="1631"/>
      <c r="BB262" s="1631"/>
      <c r="BC262" s="1631"/>
      <c r="BD262" s="1631"/>
      <c r="BE262" s="1631"/>
      <c r="BF262" s="1631"/>
      <c r="BG262" s="1631"/>
      <c r="BH262" s="1631"/>
      <c r="BI262" s="1631"/>
      <c r="BJ262" s="1631"/>
      <c r="BK262" s="1631"/>
      <c r="BL262" s="1631"/>
      <c r="BM262" s="1631"/>
      <c r="BN262" s="1631"/>
      <c r="BO262" s="1631"/>
      <c r="BP262" s="1631"/>
      <c r="BQ262" s="1631"/>
      <c r="BR262" s="1631"/>
      <c r="BS262" s="1631"/>
      <c r="BT262" s="1631"/>
      <c r="BU262" s="1631"/>
      <c r="BV262" s="1631"/>
      <c r="BW262" s="1631"/>
      <c r="BX262" s="1631"/>
      <c r="BY262" s="1631"/>
    </row>
    <row r="263" spans="1:77">
      <c r="A263" s="1521"/>
      <c r="B263" s="1521"/>
      <c r="C263" s="1521"/>
      <c r="D263" s="1521"/>
      <c r="E263" s="1636" t="s">
        <v>1920</v>
      </c>
      <c r="F263" s="1636"/>
      <c r="G263" s="2052" t="s">
        <v>658</v>
      </c>
      <c r="H263" s="1521"/>
      <c r="I263" s="1521"/>
      <c r="J263" s="1521"/>
      <c r="K263" s="1521"/>
      <c r="L263" s="1521"/>
      <c r="M263" s="1521"/>
      <c r="N263" s="1521"/>
      <c r="O263" s="1521"/>
      <c r="P263" s="1521"/>
      <c r="Q263" s="1636" t="s">
        <v>1920</v>
      </c>
      <c r="R263" s="1636"/>
      <c r="S263" s="2052" t="s">
        <v>658</v>
      </c>
      <c r="T263" s="1521"/>
      <c r="U263" s="1521"/>
      <c r="V263" s="1521"/>
      <c r="W263" s="1636" t="s">
        <v>1920</v>
      </c>
      <c r="X263" s="1636"/>
      <c r="Y263" s="2052" t="s">
        <v>658</v>
      </c>
      <c r="Z263" s="1521"/>
      <c r="AA263" s="1521"/>
      <c r="AB263" s="1521"/>
      <c r="AC263" s="1521"/>
      <c r="AD263" s="1521"/>
      <c r="AE263" s="1521"/>
      <c r="AF263" s="1521"/>
      <c r="AG263" s="1636" t="s">
        <v>1920</v>
      </c>
      <c r="AH263" s="1636"/>
      <c r="AI263" s="2052" t="s">
        <v>658</v>
      </c>
      <c r="AJ263" s="1521"/>
      <c r="AK263" s="1521"/>
      <c r="AL263" s="1521"/>
      <c r="AM263" s="1521"/>
      <c r="AN263" s="1521"/>
      <c r="AO263" s="1521"/>
      <c r="AP263" s="1521"/>
      <c r="AQ263" s="1521"/>
      <c r="AR263" s="1521"/>
      <c r="AS263" s="1521"/>
      <c r="AT263" s="1521"/>
      <c r="AU263" s="1521"/>
      <c r="AV263" s="1521"/>
      <c r="AW263" s="1521"/>
      <c r="AX263" s="1521"/>
      <c r="AY263" s="1521"/>
      <c r="AZ263" s="1521"/>
      <c r="BA263" s="1521"/>
      <c r="BB263" s="1521"/>
      <c r="BC263" s="1521"/>
      <c r="BD263" s="1521"/>
      <c r="BE263" s="1521"/>
      <c r="BF263" s="1521"/>
      <c r="BG263" s="1521"/>
      <c r="BH263" s="1521"/>
      <c r="BI263" s="1521"/>
      <c r="BJ263" s="1521"/>
      <c r="BK263" s="1521"/>
      <c r="BL263" s="1521"/>
      <c r="BM263" s="1521"/>
      <c r="BN263" s="1521"/>
      <c r="BO263" s="1521"/>
      <c r="BP263" s="1521"/>
      <c r="BQ263" s="1521"/>
      <c r="BR263" s="1521"/>
      <c r="BS263" s="1521"/>
      <c r="BT263" s="1521"/>
      <c r="BU263" s="1521"/>
      <c r="BV263" s="1521"/>
      <c r="BW263" s="1521"/>
      <c r="BX263" s="1521"/>
      <c r="BY263" s="1521"/>
    </row>
    <row r="264" spans="1:77">
      <c r="A264" s="1521"/>
      <c r="B264" s="1521"/>
      <c r="C264" s="1521"/>
      <c r="D264" s="1521"/>
      <c r="E264" s="1632">
        <f>E201/AW201</f>
        <v>0.45528116638599914</v>
      </c>
      <c r="F264" s="1521"/>
      <c r="G264" s="2056">
        <f>G201+G194+G187+G180+G173</f>
        <v>3</v>
      </c>
      <c r="H264" s="1635"/>
      <c r="I264" s="1521"/>
      <c r="J264" s="1521"/>
      <c r="K264" s="1521"/>
      <c r="L264" s="1521"/>
      <c r="M264" s="1521"/>
      <c r="N264" s="1521"/>
      <c r="O264" s="1521"/>
      <c r="P264" s="1521"/>
      <c r="Q264" s="1632">
        <f>Q194/$AW194</f>
        <v>0.2381312792216512</v>
      </c>
      <c r="R264" s="1521"/>
      <c r="S264" s="2056">
        <f>S201+S194+S187+S180+S173</f>
        <v>61</v>
      </c>
      <c r="T264" s="1635">
        <f>S187+S180+S173+S166+S159</f>
        <v>48</v>
      </c>
      <c r="U264" s="1635">
        <f>T208+T201+T194+T187+T180</f>
        <v>259.16800000000001</v>
      </c>
      <c r="V264" s="1521"/>
      <c r="W264" s="1632">
        <f>W194/$AW194</f>
        <v>0.17308861408498846</v>
      </c>
      <c r="X264" s="1521"/>
      <c r="Y264" s="2056">
        <f>Y201+Y194+Y187+Y180+Y173</f>
        <v>7</v>
      </c>
      <c r="Z264" s="1635">
        <f>Y208+Y201+Y194+Y187+Y180</f>
        <v>50</v>
      </c>
      <c r="AA264" s="1521"/>
      <c r="AB264" s="1521"/>
      <c r="AC264" s="1521"/>
      <c r="AD264" s="1521"/>
      <c r="AE264" s="1521"/>
      <c r="AF264" s="1521"/>
      <c r="AG264" s="1632">
        <f>AG194/$AW194</f>
        <v>0.10731227950242318</v>
      </c>
      <c r="AH264" s="1521"/>
      <c r="AI264" s="2056">
        <f>AI201+AI194+AI187+AI180+AI173</f>
        <v>38</v>
      </c>
      <c r="AJ264" s="1635">
        <f>AI208+AI201+AI194+AI187+AI180</f>
        <v>32</v>
      </c>
      <c r="AK264" s="1635"/>
      <c r="AL264" s="1521"/>
      <c r="AM264" s="1521"/>
      <c r="AN264" s="1521"/>
      <c r="AO264" s="1521"/>
      <c r="AP264" s="1521"/>
      <c r="AQ264" s="1521"/>
      <c r="AR264" s="1521"/>
      <c r="AS264" s="1634"/>
      <c r="AT264" s="1521"/>
      <c r="AU264" s="1521"/>
      <c r="AV264" s="1521"/>
      <c r="AW264" s="1521"/>
      <c r="AX264" s="1521"/>
      <c r="AY264" s="1521"/>
      <c r="AZ264" s="1521"/>
      <c r="BA264" s="1521"/>
      <c r="BB264" s="1521"/>
      <c r="BC264" s="1521"/>
      <c r="BD264" s="1521"/>
      <c r="BE264" s="1521"/>
      <c r="BF264" s="1521"/>
      <c r="BG264" s="1521"/>
      <c r="BH264" s="1521"/>
      <c r="BI264" s="1521"/>
      <c r="BJ264" s="1521"/>
      <c r="BK264" s="1521"/>
      <c r="BL264" s="1521"/>
      <c r="BM264" s="1521"/>
      <c r="BN264" s="1521"/>
      <c r="BO264" s="1521"/>
      <c r="BP264" s="1521"/>
      <c r="BQ264" s="1521"/>
      <c r="BR264" s="1521"/>
      <c r="BS264" s="1521"/>
      <c r="BT264" s="1521"/>
      <c r="BU264" s="1521"/>
      <c r="BV264" s="1521"/>
      <c r="BW264" s="1521"/>
      <c r="BX264" s="1521"/>
      <c r="BY264" s="1521"/>
    </row>
    <row r="265" spans="1:77">
      <c r="A265" s="1521"/>
      <c r="B265" s="1521"/>
      <c r="C265" s="1521"/>
      <c r="D265" s="1521"/>
      <c r="E265" s="1632">
        <f>E202/AW202</f>
        <v>0.47938618660652954</v>
      </c>
      <c r="F265" s="1521"/>
      <c r="G265" s="2056">
        <f>G202+G195+G188+G181+G174</f>
        <v>-2</v>
      </c>
      <c r="H265" s="1635"/>
      <c r="I265" s="1735"/>
      <c r="J265" s="1521"/>
      <c r="K265" s="1521"/>
      <c r="L265" s="1521"/>
      <c r="M265" s="1521"/>
      <c r="N265" s="1521"/>
      <c r="O265" s="1521"/>
      <c r="P265" s="1521"/>
      <c r="Q265" s="1632">
        <f>Q195/$AW195</f>
        <v>0.19641787610439798</v>
      </c>
      <c r="R265" s="1521"/>
      <c r="S265" s="2056">
        <f>S202+S195+S188+S181+S174</f>
        <v>61</v>
      </c>
      <c r="T265" s="1635">
        <f>S188+S181+S174+S167+S160</f>
        <v>57</v>
      </c>
      <c r="U265" s="1635">
        <f>T209+T202+T195+T188+T181</f>
        <v>221.47199999999998</v>
      </c>
      <c r="V265" s="1521"/>
      <c r="W265" s="1632">
        <f>W195/$AW195</f>
        <v>0.178962945918479</v>
      </c>
      <c r="X265" s="1521"/>
      <c r="Y265" s="2056">
        <f>Y202+Y195+Y188+Y181+Y174</f>
        <v>8</v>
      </c>
      <c r="Z265" s="1635">
        <f>Y209+Y202+Y195+Y188+Y181</f>
        <v>6</v>
      </c>
      <c r="AA265" s="1521"/>
      <c r="AB265" s="1521"/>
      <c r="AC265" s="1521"/>
      <c r="AD265" s="1521"/>
      <c r="AE265" s="1521"/>
      <c r="AF265" s="1521"/>
      <c r="AG265" s="1632">
        <f>AG195/$AW195</f>
        <v>0.11303575920204745</v>
      </c>
      <c r="AH265" s="1521"/>
      <c r="AI265" s="2056">
        <f>AI202+AI195+AI188+AI181+AI174</f>
        <v>46</v>
      </c>
      <c r="AJ265" s="1635">
        <f>AI209+AI202+AI195+AI188+AI181</f>
        <v>33</v>
      </c>
      <c r="AK265" s="1521"/>
      <c r="AL265" s="1521"/>
      <c r="AM265" s="1521"/>
      <c r="AN265" s="1521"/>
      <c r="AO265" s="1521"/>
      <c r="AP265" s="1521"/>
      <c r="AQ265" s="1521"/>
      <c r="AR265" s="1521"/>
      <c r="AS265" s="1634"/>
      <c r="AT265" s="1521"/>
      <c r="AU265" s="1521"/>
      <c r="AV265" s="1521"/>
      <c r="AW265" s="1521"/>
      <c r="AX265" s="1521"/>
      <c r="AY265" s="1521"/>
      <c r="AZ265" s="1521"/>
      <c r="BA265" s="1521"/>
      <c r="BB265" s="1521"/>
      <c r="BC265" s="1521"/>
      <c r="BD265" s="1521"/>
      <c r="BE265" s="1521"/>
      <c r="BF265" s="1521"/>
      <c r="BG265" s="1521"/>
      <c r="BH265" s="1521"/>
      <c r="BI265" s="1521"/>
      <c r="BJ265" s="1521"/>
      <c r="BK265" s="1521"/>
      <c r="BL265" s="1521"/>
      <c r="BM265" s="1521"/>
      <c r="BN265" s="1521"/>
      <c r="BO265" s="1521"/>
      <c r="BP265" s="1521"/>
      <c r="BQ265" s="1521"/>
      <c r="BR265" s="1521"/>
      <c r="BS265" s="1521"/>
      <c r="BT265" s="1521"/>
      <c r="BU265" s="1521"/>
      <c r="BV265" s="1521"/>
      <c r="BW265" s="1521"/>
      <c r="BX265" s="1521"/>
      <c r="BY265" s="1521"/>
    </row>
    <row r="266" spans="1:77">
      <c r="A266" s="1521"/>
      <c r="B266" s="1521"/>
      <c r="C266" s="1521"/>
      <c r="D266" s="1521"/>
      <c r="E266" s="1632">
        <f>E203/AW203</f>
        <v>0.45722222587928613</v>
      </c>
      <c r="F266" s="1521"/>
      <c r="G266" s="2056">
        <f>G203+G196+G189+G182+G175</f>
        <v>12</v>
      </c>
      <c r="H266" s="1635"/>
      <c r="I266" s="1521"/>
      <c r="J266" s="1521"/>
      <c r="K266" s="1521"/>
      <c r="L266" s="1521"/>
      <c r="M266" s="1521"/>
      <c r="N266" s="1521"/>
      <c r="O266" s="1521"/>
      <c r="P266" s="1521"/>
      <c r="Q266" s="1632">
        <f>Q196/$AW196</f>
        <v>0.22009613704512859</v>
      </c>
      <c r="R266" s="1521"/>
      <c r="S266" s="2056">
        <f>S203+S196+S189+S182+S175</f>
        <v>74</v>
      </c>
      <c r="T266" s="1635">
        <f>S189+S182+S175+S168+S161</f>
        <v>62</v>
      </c>
      <c r="U266" s="1635">
        <f>T210+T203+T196+T189+T182</f>
        <v>237.60999999999999</v>
      </c>
      <c r="V266" s="1521"/>
      <c r="W266" s="1632">
        <f>W196/$AW196</f>
        <v>0.17206044977314333</v>
      </c>
      <c r="X266" s="1521"/>
      <c r="Y266" s="2056">
        <f>Y203+Y196+Y189+Y182+Y175</f>
        <v>-1</v>
      </c>
      <c r="Z266" s="1635">
        <f>Y210+Y203+Y196+Y189+Y182</f>
        <v>6</v>
      </c>
      <c r="AA266" s="1633"/>
      <c r="AB266" s="1521"/>
      <c r="AC266" s="1633"/>
      <c r="AD266" s="1521"/>
      <c r="AE266" s="1521"/>
      <c r="AF266" s="1521"/>
      <c r="AG266" s="1632">
        <f>AG196/$AW196</f>
        <v>0.11450604579819665</v>
      </c>
      <c r="AH266" s="1521"/>
      <c r="AI266" s="2056">
        <f>AI203+AI196+AI189+AI182+AI175</f>
        <v>49</v>
      </c>
      <c r="AJ266" s="1635">
        <f>AI210+AI203+AI196+AI189+AI182</f>
        <v>42</v>
      </c>
      <c r="AK266" s="1521"/>
      <c r="AL266" s="1521"/>
      <c r="AM266" s="1521"/>
      <c r="AN266" s="1521"/>
      <c r="AO266" s="1521"/>
      <c r="AP266" s="1521"/>
      <c r="AQ266" s="1521"/>
      <c r="AR266" s="1521"/>
      <c r="AS266" s="1634"/>
      <c r="AT266" s="1521"/>
      <c r="AU266" s="1521"/>
      <c r="AV266" s="1521"/>
      <c r="AW266" s="1521"/>
      <c r="AX266" s="1521"/>
      <c r="AY266" s="1521"/>
      <c r="AZ266" s="1521"/>
      <c r="BA266" s="1521"/>
      <c r="BB266" s="1521"/>
      <c r="BC266" s="1521"/>
      <c r="BD266" s="1521"/>
      <c r="BE266" s="1521"/>
      <c r="BF266" s="1521"/>
      <c r="BG266" s="1521"/>
      <c r="BH266" s="1521"/>
      <c r="BI266" s="1521"/>
      <c r="BJ266" s="1521"/>
      <c r="BK266" s="1521"/>
      <c r="BL266" s="1521"/>
      <c r="BM266" s="1521"/>
      <c r="BN266" s="1521"/>
      <c r="BO266" s="1521"/>
      <c r="BP266" s="1521"/>
      <c r="BQ266" s="1521"/>
      <c r="BR266" s="1521"/>
      <c r="BS266" s="1521"/>
      <c r="BT266" s="1521"/>
      <c r="BU266" s="1521"/>
      <c r="BV266" s="1521"/>
      <c r="BW266" s="1521"/>
      <c r="BX266" s="1521"/>
      <c r="BY266" s="1521"/>
    </row>
    <row r="267" spans="1:77">
      <c r="A267" s="1521"/>
      <c r="B267" s="1521"/>
      <c r="C267" s="1521"/>
      <c r="D267" s="1521"/>
      <c r="E267" s="1632">
        <f>E204/AW204</f>
        <v>0.50725650165911307</v>
      </c>
      <c r="F267" s="1521"/>
      <c r="G267" s="2056">
        <f>G204+G197+G190+G183+G176</f>
        <v>26</v>
      </c>
      <c r="H267" s="1635"/>
      <c r="I267" s="1521"/>
      <c r="J267" s="1521"/>
      <c r="K267" s="1521"/>
      <c r="L267" s="1521"/>
      <c r="M267" s="1521"/>
      <c r="N267" s="1521"/>
      <c r="O267" s="1521"/>
      <c r="P267" s="1521"/>
      <c r="Q267" s="1632">
        <f>Q197/$AW197</f>
        <v>0.20515727453917351</v>
      </c>
      <c r="R267" s="1521"/>
      <c r="S267" s="2056">
        <f>S204+S197+S190+S183+S176</f>
        <v>63</v>
      </c>
      <c r="T267" s="1635">
        <f>S190+S183+S176+S169+S162</f>
        <v>45</v>
      </c>
      <c r="U267" s="1635">
        <f>T211+T204+T197+T190+T183</f>
        <v>335.14699999999999</v>
      </c>
      <c r="V267" s="1521"/>
      <c r="W267" s="1632">
        <f>W197/$AW197</f>
        <v>0.15537693533338348</v>
      </c>
      <c r="X267" s="1521"/>
      <c r="Y267" s="2056">
        <f>Y204+Y197+Y190+Y183+Y176</f>
        <v>6</v>
      </c>
      <c r="Z267" s="1635">
        <f>Y211+Y204+Y197+Y190+Y183</f>
        <v>10</v>
      </c>
      <c r="AA267" s="1521"/>
      <c r="AB267" s="1521"/>
      <c r="AC267" s="1521"/>
      <c r="AD267" s="1521"/>
      <c r="AE267" s="1521"/>
      <c r="AF267" s="1521"/>
      <c r="AG267" s="1632">
        <f>AG197/$AW197</f>
        <v>0.11847036137012663</v>
      </c>
      <c r="AH267" s="1521"/>
      <c r="AI267" s="2056">
        <f>AI204+AI197+AI190+AI183+AI176</f>
        <v>30</v>
      </c>
      <c r="AJ267" s="1635">
        <f>AI211+AI204+AI197+AI190+AI183</f>
        <v>20</v>
      </c>
      <c r="AK267" s="1521"/>
      <c r="AL267" s="1521"/>
      <c r="AM267" s="1521"/>
      <c r="AN267" s="1521"/>
      <c r="AO267" s="1521"/>
      <c r="AP267" s="1521"/>
      <c r="AQ267" s="1521"/>
      <c r="AR267" s="1521"/>
      <c r="AS267" s="1634"/>
      <c r="AT267" s="1521"/>
      <c r="AU267" s="1521"/>
      <c r="AV267" s="1521"/>
      <c r="AW267" s="1521"/>
      <c r="AX267" s="1521"/>
      <c r="AY267" s="1521"/>
      <c r="AZ267" s="1521"/>
      <c r="BA267" s="1521"/>
      <c r="BB267" s="1521"/>
      <c r="BC267" s="1521"/>
      <c r="BD267" s="1521"/>
      <c r="BE267" s="1521"/>
      <c r="BF267" s="1521"/>
      <c r="BG267" s="1521"/>
      <c r="BH267" s="1521"/>
      <c r="BI267" s="1521"/>
      <c r="BJ267" s="1521"/>
      <c r="BK267" s="1521"/>
      <c r="BL267" s="1521"/>
      <c r="BM267" s="1521"/>
      <c r="BN267" s="1521"/>
      <c r="BO267" s="1521"/>
      <c r="BP267" s="1521"/>
      <c r="BQ267" s="1521"/>
      <c r="BR267" s="1521"/>
      <c r="BS267" s="1521"/>
      <c r="BT267" s="1521"/>
      <c r="BU267" s="1521"/>
      <c r="BV267" s="1521"/>
      <c r="BW267" s="1521"/>
      <c r="BX267" s="1521"/>
      <c r="BY267" s="1521"/>
    </row>
    <row r="268" spans="1:77">
      <c r="A268" s="1521"/>
      <c r="B268" s="1521"/>
      <c r="C268" s="1521"/>
      <c r="D268" s="1521"/>
      <c r="E268" s="1521"/>
      <c r="F268" s="1521"/>
      <c r="G268" s="2056"/>
      <c r="H268" s="1521"/>
      <c r="I268" s="1736"/>
      <c r="J268" s="1521"/>
      <c r="K268" s="1521"/>
      <c r="L268" s="1521"/>
      <c r="M268" s="1521"/>
      <c r="N268" s="1521"/>
      <c r="O268" s="1521"/>
      <c r="P268" s="1521"/>
      <c r="Q268" s="1521"/>
      <c r="R268" s="1521"/>
      <c r="S268" s="2056"/>
      <c r="T268" s="1521"/>
      <c r="U268" s="1521"/>
      <c r="V268" s="1521"/>
      <c r="W268" s="1521"/>
      <c r="X268" s="1521"/>
      <c r="Y268" s="2056"/>
      <c r="Z268" s="1521"/>
      <c r="AA268" s="1521"/>
      <c r="AB268" s="1521"/>
      <c r="AC268" s="1521"/>
      <c r="AD268" s="1521"/>
      <c r="AE268" s="1521"/>
      <c r="AF268" s="1521"/>
      <c r="AG268" s="1521"/>
      <c r="AH268" s="1521"/>
      <c r="AI268" s="2056"/>
      <c r="AJ268" s="1521"/>
      <c r="AK268" s="1521"/>
      <c r="AL268" s="1521"/>
      <c r="AM268" s="1521"/>
      <c r="AN268" s="1521"/>
      <c r="AO268" s="1521"/>
      <c r="AP268" s="1521"/>
      <c r="AQ268" s="1521"/>
      <c r="AR268" s="1521"/>
      <c r="AS268" s="1521"/>
      <c r="AT268" s="1521"/>
      <c r="AU268" s="1521"/>
      <c r="AV268" s="1521"/>
      <c r="AW268" s="1521"/>
      <c r="AX268" s="1521"/>
      <c r="AY268" s="1521"/>
      <c r="AZ268" s="1521"/>
      <c r="BA268" s="1521"/>
      <c r="BB268" s="1521"/>
      <c r="BC268" s="1521"/>
      <c r="BD268" s="1521"/>
      <c r="BE268" s="1521"/>
      <c r="BF268" s="1521"/>
      <c r="BG268" s="1521"/>
      <c r="BH268" s="1521"/>
      <c r="BI268" s="1521"/>
      <c r="BJ268" s="1521"/>
      <c r="BK268" s="1521"/>
      <c r="BL268" s="1521"/>
      <c r="BM268" s="1521"/>
      <c r="BN268" s="1521"/>
      <c r="BO268" s="1521"/>
      <c r="BP268" s="1521"/>
      <c r="BQ268" s="1521"/>
      <c r="BR268" s="1521"/>
      <c r="BS268" s="1521"/>
      <c r="BT268" s="1521"/>
      <c r="BU268" s="1521"/>
      <c r="BV268" s="1521"/>
      <c r="BW268" s="1521"/>
      <c r="BX268" s="1521"/>
      <c r="BY268" s="1521"/>
    </row>
    <row r="269" spans="1:77">
      <c r="A269" s="1521"/>
      <c r="B269" s="1521"/>
      <c r="C269" s="1521"/>
      <c r="D269" s="1521"/>
      <c r="E269" s="1636" t="s">
        <v>657</v>
      </c>
      <c r="F269" s="1636"/>
      <c r="G269" s="2052" t="s">
        <v>656</v>
      </c>
      <c r="H269" s="1521"/>
      <c r="I269" s="1521"/>
      <c r="J269" s="1521"/>
      <c r="K269" s="1521"/>
      <c r="L269" s="1521"/>
      <c r="M269" s="1521"/>
      <c r="N269" s="1521"/>
      <c r="O269" s="1521"/>
      <c r="P269" s="1521"/>
      <c r="Q269" s="1636" t="s">
        <v>657</v>
      </c>
      <c r="R269" s="1636"/>
      <c r="S269" s="2052" t="s">
        <v>656</v>
      </c>
      <c r="T269" s="1521"/>
      <c r="U269" s="1521"/>
      <c r="V269" s="1521"/>
      <c r="W269" s="1636" t="s">
        <v>657</v>
      </c>
      <c r="X269" s="1636"/>
      <c r="Y269" s="2052" t="s">
        <v>656</v>
      </c>
      <c r="Z269" s="1521"/>
      <c r="AA269" s="1521"/>
      <c r="AB269" s="1521"/>
      <c r="AC269" s="1521"/>
      <c r="AD269" s="1521"/>
      <c r="AE269" s="1521"/>
      <c r="AF269" s="1521"/>
      <c r="AG269" s="1636" t="s">
        <v>657</v>
      </c>
      <c r="AH269" s="1636"/>
      <c r="AI269" s="2052" t="s">
        <v>656</v>
      </c>
      <c r="AJ269" s="1521"/>
      <c r="AK269" s="1521"/>
      <c r="AL269" s="1521"/>
      <c r="AM269" s="1521"/>
      <c r="AN269" s="1521"/>
      <c r="AO269" s="1521"/>
      <c r="AP269" s="1521"/>
      <c r="AQ269" s="1521"/>
      <c r="AR269" s="1521"/>
      <c r="AS269" s="1521"/>
      <c r="AT269" s="1521"/>
      <c r="AU269" s="1521"/>
      <c r="AV269" s="1521"/>
      <c r="AW269" s="1521"/>
      <c r="AX269" s="1521"/>
      <c r="AY269" s="1521"/>
      <c r="AZ269" s="1521"/>
      <c r="BA269" s="1521"/>
      <c r="BB269" s="1521"/>
      <c r="BC269" s="1521"/>
      <c r="BD269" s="1521"/>
      <c r="BE269" s="1521"/>
      <c r="BF269" s="1521"/>
      <c r="BG269" s="1521"/>
      <c r="BH269" s="1521"/>
      <c r="BI269" s="1521"/>
      <c r="BJ269" s="1521"/>
      <c r="BK269" s="1521"/>
      <c r="BL269" s="1521"/>
      <c r="BM269" s="1521"/>
      <c r="BN269" s="1521"/>
      <c r="BO269" s="1521"/>
      <c r="BP269" s="1521"/>
      <c r="BQ269" s="1521"/>
      <c r="BR269" s="1521"/>
      <c r="BS269" s="1521"/>
      <c r="BT269" s="1521"/>
      <c r="BU269" s="1521"/>
      <c r="BV269" s="1521"/>
      <c r="BW269" s="1521"/>
      <c r="BX269" s="1521"/>
      <c r="BY269" s="1521"/>
    </row>
    <row r="270" spans="1:77">
      <c r="A270" s="1521"/>
      <c r="B270" s="1521"/>
      <c r="C270" s="1521"/>
      <c r="D270" s="1521"/>
      <c r="E270" s="1632">
        <f>E201/$E$205</f>
        <v>0.21158576837804849</v>
      </c>
      <c r="F270" s="1521"/>
      <c r="G270" s="2056">
        <f>G201+G194+G187</f>
        <v>20</v>
      </c>
      <c r="H270" s="1633"/>
      <c r="I270" s="1521"/>
      <c r="J270" s="1521"/>
      <c r="K270" s="1521"/>
      <c r="L270" s="1521"/>
      <c r="M270" s="1521"/>
      <c r="N270" s="1521"/>
      <c r="O270" s="1521"/>
      <c r="P270" s="1521"/>
      <c r="Q270" s="1632">
        <f>Q194/Q$198</f>
        <v>0.24070235186693323</v>
      </c>
      <c r="R270" s="1521"/>
      <c r="S270" s="2056">
        <f>S194+S187+S180</f>
        <v>57</v>
      </c>
      <c r="T270" s="1633">
        <f>S208+S201+S194</f>
        <v>29</v>
      </c>
      <c r="U270" s="1521"/>
      <c r="V270" s="1521"/>
      <c r="W270" s="1632">
        <f>W194/W$198</f>
        <v>0.22182779633439459</v>
      </c>
      <c r="X270" s="1521"/>
      <c r="Y270" s="2056">
        <f>Y194+Y187+Y180</f>
        <v>-1</v>
      </c>
      <c r="Z270" s="1521"/>
      <c r="AA270" s="1521"/>
      <c r="AB270" s="1521"/>
      <c r="AC270" s="1521"/>
      <c r="AD270" s="1521"/>
      <c r="AE270" s="1521"/>
      <c r="AF270" s="1521"/>
      <c r="AG270" s="1632">
        <f>AG194/AG$198</f>
        <v>0.20340979297354958</v>
      </c>
      <c r="AH270" s="1521"/>
      <c r="AI270" s="2056">
        <f>AI194+AI187+AI180</f>
        <v>29</v>
      </c>
      <c r="AJ270" s="1521"/>
      <c r="AK270" s="1521"/>
      <c r="AL270" s="1521"/>
      <c r="AM270" s="1521"/>
      <c r="AN270" s="1521"/>
      <c r="AO270" s="1521"/>
      <c r="AP270" s="1521"/>
      <c r="AQ270" s="1521"/>
      <c r="AR270" s="1521"/>
      <c r="AS270" s="1634"/>
      <c r="AT270" s="1521"/>
      <c r="AU270" s="1521"/>
      <c r="AV270" s="1521"/>
      <c r="AW270" s="1521"/>
      <c r="AX270" s="1521"/>
      <c r="AY270" s="1521"/>
      <c r="AZ270" s="1521"/>
      <c r="BA270" s="1521"/>
      <c r="BB270" s="1521"/>
      <c r="BC270" s="1521"/>
      <c r="BD270" s="1521"/>
      <c r="BE270" s="1521"/>
      <c r="BF270" s="1521"/>
      <c r="BG270" s="1521"/>
      <c r="BH270" s="1521"/>
      <c r="BI270" s="1521"/>
      <c r="BJ270" s="1521"/>
      <c r="BK270" s="1521"/>
      <c r="BL270" s="1521"/>
      <c r="BM270" s="1521"/>
      <c r="BN270" s="1521"/>
      <c r="BO270" s="1521"/>
      <c r="BP270" s="1521"/>
      <c r="BQ270" s="1521"/>
      <c r="BR270" s="1521"/>
      <c r="BS270" s="1521"/>
      <c r="BT270" s="1521"/>
      <c r="BU270" s="1521"/>
      <c r="BV270" s="1521"/>
      <c r="BW270" s="1521"/>
      <c r="BX270" s="1521"/>
      <c r="BY270" s="1521"/>
    </row>
    <row r="271" spans="1:77">
      <c r="A271" s="1521"/>
      <c r="B271" s="1521"/>
      <c r="C271" s="1521"/>
      <c r="D271" s="1521"/>
      <c r="E271" s="1632">
        <f>E202/$E$205</f>
        <v>0.23035149341105549</v>
      </c>
      <c r="F271" s="1521"/>
      <c r="G271" s="2056">
        <f>G202+G195+G188</f>
        <v>18</v>
      </c>
      <c r="H271" s="1633"/>
      <c r="I271" s="1521"/>
      <c r="J271" s="1521"/>
      <c r="K271" s="1521"/>
      <c r="L271" s="1521"/>
      <c r="M271" s="1521"/>
      <c r="N271" s="1521"/>
      <c r="O271" s="1521"/>
      <c r="P271" s="1521"/>
      <c r="Q271" s="1632">
        <f>Q195/Q$198</f>
        <v>0.21487376915673359</v>
      </c>
      <c r="R271" s="1521"/>
      <c r="S271" s="2056">
        <f>S195+S188+S181</f>
        <v>43</v>
      </c>
      <c r="T271" s="1633">
        <f>S209+S202+S195</f>
        <v>15</v>
      </c>
      <c r="U271" s="1521"/>
      <c r="V271" s="1521"/>
      <c r="W271" s="1632">
        <f>W195/W$198</f>
        <v>0.24822703912012958</v>
      </c>
      <c r="X271" s="1521"/>
      <c r="Y271" s="2056">
        <f>Y195+Y188+Y181</f>
        <v>11</v>
      </c>
      <c r="Z271" s="1521"/>
      <c r="AA271" s="1521"/>
      <c r="AB271" s="1521"/>
      <c r="AC271" s="1521"/>
      <c r="AD271" s="1521"/>
      <c r="AE271" s="1521"/>
      <c r="AF271" s="1521"/>
      <c r="AG271" s="1632">
        <f>AG195/AG$198</f>
        <v>0.23188721026825279</v>
      </c>
      <c r="AH271" s="1521"/>
      <c r="AI271" s="2056">
        <f>AI195+AI188+AI181</f>
        <v>34</v>
      </c>
      <c r="AJ271" s="1521"/>
      <c r="AK271" s="1521"/>
      <c r="AL271" s="1521"/>
      <c r="AM271" s="1521"/>
      <c r="AN271" s="1521"/>
      <c r="AO271" s="1521"/>
      <c r="AP271" s="1521"/>
      <c r="AQ271" s="1521"/>
      <c r="AR271" s="1521"/>
      <c r="AS271" s="1634"/>
      <c r="AT271" s="1521"/>
      <c r="AU271" s="1521"/>
      <c r="AV271" s="1521"/>
      <c r="AW271" s="1521"/>
      <c r="AX271" s="1521"/>
      <c r="AY271" s="1521"/>
      <c r="AZ271" s="1521"/>
      <c r="BA271" s="1521"/>
      <c r="BB271" s="1521"/>
      <c r="BC271" s="1521"/>
      <c r="BD271" s="1521"/>
      <c r="BE271" s="1521"/>
      <c r="BF271" s="1521"/>
      <c r="BG271" s="1521"/>
      <c r="BH271" s="1521"/>
      <c r="BI271" s="1521"/>
      <c r="BJ271" s="1521"/>
      <c r="BK271" s="1521"/>
      <c r="BL271" s="1521"/>
      <c r="BM271" s="1521"/>
      <c r="BN271" s="1521"/>
      <c r="BO271" s="1521"/>
      <c r="BP271" s="1521"/>
      <c r="BQ271" s="1521"/>
      <c r="BR271" s="1521"/>
      <c r="BS271" s="1521"/>
      <c r="BT271" s="1521"/>
      <c r="BU271" s="1521"/>
      <c r="BV271" s="1521"/>
      <c r="BW271" s="1521"/>
      <c r="BX271" s="1521"/>
      <c r="BY271" s="1521"/>
    </row>
    <row r="272" spans="1:77">
      <c r="A272" s="1521"/>
      <c r="B272" s="1521"/>
      <c r="C272" s="1521"/>
      <c r="D272" s="1521"/>
      <c r="E272" s="1632">
        <f>E203/$E$205</f>
        <v>0.21628303813865432</v>
      </c>
      <c r="F272" s="1521"/>
      <c r="G272" s="2056">
        <f>G203+G196+G189</f>
        <v>17</v>
      </c>
      <c r="H272" s="1633"/>
      <c r="I272" s="1521"/>
      <c r="J272" s="1521"/>
      <c r="K272" s="1521"/>
      <c r="L272" s="1521"/>
      <c r="M272" s="1521"/>
      <c r="N272" s="1521"/>
      <c r="O272" s="1521"/>
      <c r="P272" s="1521"/>
      <c r="Q272" s="1632">
        <f>Q196/Q$198</f>
        <v>0.2315897929468671</v>
      </c>
      <c r="R272" s="1521"/>
      <c r="S272" s="2056">
        <f>S196+S189+S182</f>
        <v>43</v>
      </c>
      <c r="T272" s="1633">
        <f>S210+S203+S196</f>
        <v>15</v>
      </c>
      <c r="U272" s="1521"/>
      <c r="V272" s="1521"/>
      <c r="W272" s="1632">
        <f>W196/W$198</f>
        <v>0.22954700125941632</v>
      </c>
      <c r="X272" s="1521"/>
      <c r="Y272" s="2056">
        <f>Y196+Y189+Y182</f>
        <v>7</v>
      </c>
      <c r="Z272" s="1521"/>
      <c r="AA272" s="1521"/>
      <c r="AB272" s="1521"/>
      <c r="AC272" s="1521"/>
      <c r="AD272" s="1521"/>
      <c r="AE272" s="1521"/>
      <c r="AF272" s="1521"/>
      <c r="AG272" s="1632">
        <f>AG196/AG$198</f>
        <v>0.22594043506329731</v>
      </c>
      <c r="AH272" s="1521"/>
      <c r="AI272" s="2056">
        <f>AI196+AI189+AI182</f>
        <v>38</v>
      </c>
      <c r="AJ272" s="1521"/>
      <c r="AK272" s="1521"/>
      <c r="AL272" s="1521"/>
      <c r="AM272" s="1521"/>
      <c r="AN272" s="1521"/>
      <c r="AO272" s="1521"/>
      <c r="AP272" s="1521"/>
      <c r="AQ272" s="1521"/>
      <c r="AR272" s="1521"/>
      <c r="AS272" s="1634"/>
      <c r="AT272" s="1521"/>
      <c r="AU272" s="1521"/>
      <c r="AV272" s="1521"/>
      <c r="AW272" s="1521"/>
      <c r="AX272" s="1521"/>
      <c r="AY272" s="1521"/>
      <c r="AZ272" s="1521"/>
      <c r="BA272" s="1521"/>
      <c r="BB272" s="1521"/>
      <c r="BC272" s="1521"/>
      <c r="BD272" s="1521"/>
      <c r="BE272" s="1521"/>
      <c r="BF272" s="1521"/>
      <c r="BG272" s="1521"/>
      <c r="BH272" s="1521"/>
      <c r="BI272" s="1521"/>
      <c r="BJ272" s="1521"/>
      <c r="BK272" s="1521"/>
      <c r="BL272" s="1521"/>
      <c r="BM272" s="1521"/>
      <c r="BN272" s="1521"/>
      <c r="BO272" s="1521"/>
      <c r="BP272" s="1521"/>
      <c r="BQ272" s="1521"/>
      <c r="BR272" s="1521"/>
      <c r="BS272" s="1521"/>
      <c r="BT272" s="1521"/>
      <c r="BU272" s="1521"/>
      <c r="BV272" s="1521"/>
      <c r="BW272" s="1521"/>
      <c r="BX272" s="1521"/>
      <c r="BY272" s="1521"/>
    </row>
    <row r="273" spans="1:77">
      <c r="A273" s="1521"/>
      <c r="B273" s="1521"/>
      <c r="C273" s="1521"/>
      <c r="D273" s="1521"/>
      <c r="E273" s="1632">
        <f>E204/$E$205</f>
        <v>0.34177970007224173</v>
      </c>
      <c r="F273" s="1521"/>
      <c r="G273" s="2056">
        <f>G204+G197+G190</f>
        <v>8</v>
      </c>
      <c r="H273" s="1633"/>
      <c r="I273" s="1521"/>
      <c r="J273" s="1521"/>
      <c r="K273" s="1521"/>
      <c r="L273" s="1521"/>
      <c r="M273" s="1521"/>
      <c r="N273" s="1521"/>
      <c r="O273" s="1521"/>
      <c r="P273" s="1521"/>
      <c r="Q273" s="1632">
        <f>Q197/Q$198</f>
        <v>0.31283408602946611</v>
      </c>
      <c r="R273" s="1521"/>
      <c r="S273" s="2056">
        <f>S197+S190+S183</f>
        <v>35</v>
      </c>
      <c r="T273" s="1633">
        <f>S211+S204+S197</f>
        <v>13</v>
      </c>
      <c r="U273" s="1521"/>
      <c r="V273" s="1521"/>
      <c r="W273" s="1632">
        <f>W197/W$198</f>
        <v>0.30039816328605951</v>
      </c>
      <c r="X273" s="1521"/>
      <c r="Y273" s="2056">
        <f>Y197+Y190+Y183</f>
        <v>7</v>
      </c>
      <c r="Z273" s="1521"/>
      <c r="AA273" s="1521"/>
      <c r="AB273" s="1521"/>
      <c r="AC273" s="1521"/>
      <c r="AD273" s="1521"/>
      <c r="AE273" s="1521"/>
      <c r="AF273" s="1521"/>
      <c r="AG273" s="1632">
        <f>AG197/AG$198</f>
        <v>0.33876256169490032</v>
      </c>
      <c r="AH273" s="1521"/>
      <c r="AI273" s="2056">
        <f>AI197+AI190+AI183</f>
        <v>14</v>
      </c>
      <c r="AJ273" s="1521"/>
      <c r="AK273" s="1521"/>
      <c r="AL273" s="1521"/>
      <c r="AM273" s="1521"/>
      <c r="AN273" s="1521"/>
      <c r="AO273" s="1521"/>
      <c r="AP273" s="1521"/>
      <c r="AQ273" s="1521"/>
      <c r="AR273" s="1521"/>
      <c r="AS273" s="1634"/>
      <c r="AT273" s="1521"/>
      <c r="AU273" s="1521"/>
      <c r="AV273" s="1521"/>
      <c r="AW273" s="1521"/>
      <c r="AX273" s="1521"/>
      <c r="AY273" s="1521"/>
      <c r="AZ273" s="1521"/>
      <c r="BA273" s="1521"/>
      <c r="BB273" s="1521"/>
      <c r="BC273" s="1521"/>
      <c r="BD273" s="1521"/>
      <c r="BE273" s="1521"/>
      <c r="BF273" s="1521"/>
      <c r="BG273" s="1521"/>
      <c r="BH273" s="1521"/>
      <c r="BI273" s="1521"/>
      <c r="BJ273" s="1521"/>
      <c r="BK273" s="1521"/>
      <c r="BL273" s="1521"/>
      <c r="BM273" s="1521"/>
      <c r="BN273" s="1521"/>
      <c r="BO273" s="1521"/>
      <c r="BP273" s="1521"/>
      <c r="BQ273" s="1521"/>
      <c r="BR273" s="1521"/>
      <c r="BS273" s="1521"/>
      <c r="BT273" s="1521"/>
      <c r="BU273" s="1521"/>
      <c r="BV273" s="1521"/>
      <c r="BW273" s="1521"/>
      <c r="BX273" s="1521"/>
      <c r="BY273" s="1521"/>
    </row>
    <row r="274" spans="1:77">
      <c r="A274" s="1521"/>
      <c r="B274" s="1521"/>
      <c r="C274" s="1521"/>
      <c r="D274" s="1521"/>
      <c r="E274" s="1632"/>
      <c r="F274" s="1521"/>
      <c r="G274" s="2056"/>
      <c r="H274" s="1633"/>
      <c r="I274" s="1521"/>
      <c r="J274" s="1521"/>
      <c r="K274" s="1521"/>
      <c r="L274" s="1521"/>
      <c r="M274" s="1521"/>
      <c r="N274" s="1521"/>
      <c r="O274" s="1521"/>
      <c r="P274" s="1521"/>
      <c r="Q274" s="1632"/>
      <c r="R274" s="1521"/>
      <c r="S274" s="2056"/>
      <c r="T274" s="1633"/>
      <c r="U274" s="1521"/>
      <c r="V274" s="1521"/>
      <c r="W274" s="1632"/>
      <c r="X274" s="1521"/>
      <c r="Y274" s="2056"/>
      <c r="Z274" s="1521"/>
      <c r="AA274" s="1521"/>
      <c r="AB274" s="1521"/>
      <c r="AC274" s="1521"/>
      <c r="AD274" s="1521"/>
      <c r="AE274" s="1521"/>
      <c r="AF274" s="1521"/>
      <c r="AG274" s="1632"/>
      <c r="AH274" s="1521"/>
      <c r="AI274" s="2056"/>
      <c r="AJ274" s="1521"/>
      <c r="AK274" s="1521"/>
      <c r="AL274" s="1521"/>
      <c r="AM274" s="1521"/>
      <c r="AN274" s="1521"/>
      <c r="AO274" s="1521"/>
      <c r="AP274" s="1521"/>
      <c r="AQ274" s="1521"/>
      <c r="AR274" s="1521"/>
      <c r="AS274" s="1634"/>
      <c r="AT274" s="1521"/>
      <c r="AU274" s="1521"/>
      <c r="AV274" s="1521"/>
      <c r="AW274" s="1521"/>
      <c r="AX274" s="1521"/>
      <c r="AY274" s="1521"/>
      <c r="AZ274" s="1521"/>
      <c r="BA274" s="1521"/>
      <c r="BB274" s="1521"/>
      <c r="BC274" s="1521"/>
      <c r="BD274" s="1521"/>
      <c r="BE274" s="1521"/>
      <c r="BF274" s="1521"/>
      <c r="BG274" s="1521"/>
      <c r="BH274" s="1521"/>
      <c r="BI274" s="1521"/>
      <c r="BJ274" s="1521"/>
      <c r="BK274" s="1521"/>
      <c r="BL274" s="1521"/>
      <c r="BM274" s="1521"/>
      <c r="BN274" s="1521"/>
      <c r="BO274" s="1521"/>
      <c r="BP274" s="1521"/>
      <c r="BQ274" s="1521"/>
      <c r="BR274" s="1521"/>
      <c r="BS274" s="1521"/>
      <c r="BT274" s="1521"/>
      <c r="BU274" s="1521"/>
      <c r="BV274" s="1521"/>
      <c r="BW274" s="1521"/>
      <c r="BX274" s="1521"/>
      <c r="BY274" s="1521"/>
    </row>
    <row r="275" spans="1:77">
      <c r="A275" s="1521"/>
      <c r="B275" s="1521"/>
      <c r="C275" s="1521"/>
      <c r="D275" s="1521"/>
      <c r="E275" s="1632"/>
      <c r="G275" s="2052" t="s">
        <v>2093</v>
      </c>
      <c r="H275" s="1633"/>
      <c r="I275" s="1521"/>
      <c r="J275" s="1521"/>
      <c r="K275" s="1521"/>
      <c r="L275" s="1521"/>
      <c r="M275" s="1521"/>
      <c r="N275" s="1521"/>
      <c r="O275" s="1521"/>
      <c r="P275" s="1521"/>
      <c r="Q275" s="1632"/>
      <c r="S275" s="2052" t="s">
        <v>2093</v>
      </c>
      <c r="T275" s="1633"/>
      <c r="U275" s="1521"/>
      <c r="V275" s="1521"/>
      <c r="W275" s="1632"/>
      <c r="Y275" s="2052" t="s">
        <v>2093</v>
      </c>
      <c r="Z275" s="1521"/>
      <c r="AA275" s="1521"/>
      <c r="AB275" s="1521"/>
      <c r="AC275" s="1521"/>
      <c r="AD275" s="1521"/>
      <c r="AE275" s="1521"/>
      <c r="AF275" s="1521"/>
      <c r="AG275" s="1632"/>
      <c r="AI275" s="2052" t="s">
        <v>2093</v>
      </c>
      <c r="AJ275" s="1521"/>
      <c r="AK275" s="1521"/>
      <c r="AL275" s="1521"/>
      <c r="AM275" s="1521"/>
      <c r="AN275" s="1521"/>
      <c r="AO275" s="1521"/>
      <c r="AP275" s="1521"/>
      <c r="AQ275" s="1521"/>
      <c r="AR275" s="1521"/>
      <c r="AS275" s="1634"/>
      <c r="AT275" s="1521"/>
      <c r="AU275" s="1521"/>
      <c r="AV275" s="1521"/>
      <c r="AW275" s="1521"/>
      <c r="AX275" s="1521"/>
      <c r="AY275" s="1521"/>
      <c r="AZ275" s="1521"/>
      <c r="BA275" s="1521"/>
      <c r="BB275" s="1521"/>
      <c r="BC275" s="1521"/>
      <c r="BD275" s="1521"/>
      <c r="BE275" s="1521"/>
      <c r="BF275" s="1521"/>
      <c r="BG275" s="1521"/>
      <c r="BH275" s="1521"/>
      <c r="BI275" s="1521"/>
      <c r="BJ275" s="1521"/>
      <c r="BK275" s="1521"/>
      <c r="BL275" s="1521"/>
      <c r="BM275" s="1521"/>
      <c r="BN275" s="1521"/>
      <c r="BO275" s="1521"/>
      <c r="BP275" s="1521"/>
      <c r="BQ275" s="1521"/>
      <c r="BR275" s="1521"/>
      <c r="BS275" s="1521"/>
      <c r="BT275" s="1521"/>
      <c r="BU275" s="1521"/>
      <c r="BV275" s="1521"/>
      <c r="BW275" s="1521"/>
      <c r="BX275" s="1521"/>
      <c r="BY275" s="1521"/>
    </row>
    <row r="276" spans="1:77">
      <c r="A276" s="1521"/>
      <c r="B276" s="1521"/>
      <c r="C276" s="1521"/>
      <c r="D276" s="1521"/>
      <c r="E276" s="1632"/>
      <c r="G276" s="2056">
        <f>G201+G194</f>
        <v>3</v>
      </c>
      <c r="H276" s="1633"/>
      <c r="I276" s="1521"/>
      <c r="J276" s="1521"/>
      <c r="K276" s="1521"/>
      <c r="L276" s="1521"/>
      <c r="M276" s="1521"/>
      <c r="N276" s="1521"/>
      <c r="O276" s="1521"/>
      <c r="P276" s="1521"/>
      <c r="Q276" s="1632"/>
      <c r="S276" s="2056">
        <f>S201+S194</f>
        <v>19</v>
      </c>
      <c r="T276" s="1633"/>
      <c r="U276" s="1521"/>
      <c r="V276" s="1521"/>
      <c r="W276" s="1632"/>
      <c r="Y276" s="2056">
        <f>Y201+Y194</f>
        <v>33</v>
      </c>
      <c r="Z276" s="1521"/>
      <c r="AA276" s="1521"/>
      <c r="AB276" s="1521"/>
      <c r="AC276" s="1521"/>
      <c r="AD276" s="1521"/>
      <c r="AE276" s="1521"/>
      <c r="AF276" s="1521"/>
      <c r="AG276" s="1632"/>
      <c r="AI276" s="2056">
        <f>AI201+AI194</f>
        <v>6</v>
      </c>
      <c r="AJ276" s="1521"/>
      <c r="AK276" s="1521"/>
      <c r="AL276" s="1521"/>
      <c r="AM276" s="1521"/>
      <c r="AN276" s="1521"/>
      <c r="AO276" s="1521"/>
      <c r="AP276" s="1521"/>
      <c r="AQ276" s="1521"/>
      <c r="AR276" s="1521"/>
      <c r="AS276" s="1634"/>
      <c r="AT276" s="1521"/>
      <c r="AU276" s="1521"/>
      <c r="AV276" s="1521"/>
      <c r="AW276" s="1521"/>
      <c r="AX276" s="1521"/>
      <c r="AY276" s="1521"/>
      <c r="AZ276" s="1521"/>
      <c r="BA276" s="1521"/>
      <c r="BB276" s="1521"/>
      <c r="BC276" s="1521"/>
      <c r="BD276" s="1521"/>
      <c r="BE276" s="1521"/>
      <c r="BF276" s="1521"/>
      <c r="BG276" s="1521"/>
      <c r="BH276" s="1521"/>
      <c r="BI276" s="1521"/>
      <c r="BJ276" s="1521"/>
      <c r="BK276" s="1521"/>
      <c r="BL276" s="1521"/>
      <c r="BM276" s="1521"/>
      <c r="BN276" s="1521"/>
      <c r="BO276" s="1521"/>
      <c r="BP276" s="1521"/>
      <c r="BQ276" s="1521"/>
      <c r="BR276" s="1521"/>
      <c r="BS276" s="1521"/>
      <c r="BT276" s="1521"/>
      <c r="BU276" s="1521"/>
      <c r="BV276" s="1521"/>
      <c r="BW276" s="1521"/>
      <c r="BX276" s="1521"/>
      <c r="BY276" s="1521"/>
    </row>
    <row r="277" spans="1:77">
      <c r="A277" s="1521"/>
      <c r="B277" s="1521"/>
      <c r="C277" s="1521"/>
      <c r="D277" s="1521"/>
      <c r="E277" s="1632"/>
      <c r="G277" s="2056">
        <f>G202+G195</f>
        <v>-5</v>
      </c>
      <c r="H277" s="1633"/>
      <c r="I277" s="1521"/>
      <c r="J277" s="1521"/>
      <c r="K277" s="1521"/>
      <c r="L277" s="1521"/>
      <c r="M277" s="1521"/>
      <c r="N277" s="1521"/>
      <c r="O277" s="1521"/>
      <c r="P277" s="1521"/>
      <c r="Q277" s="1632"/>
      <c r="S277" s="2056">
        <f>S202+S195</f>
        <v>8</v>
      </c>
      <c r="T277" s="1633"/>
      <c r="U277" s="1521"/>
      <c r="V277" s="1521"/>
      <c r="W277" s="1632"/>
      <c r="Y277" s="2056">
        <f>Y202+Y195</f>
        <v>18</v>
      </c>
      <c r="Z277" s="1521"/>
      <c r="AA277" s="1521"/>
      <c r="AB277" s="1521"/>
      <c r="AC277" s="1521"/>
      <c r="AD277" s="1521"/>
      <c r="AE277" s="1521"/>
      <c r="AF277" s="1521"/>
      <c r="AG277" s="1632"/>
      <c r="AI277" s="2056">
        <f>AI202+AI195</f>
        <v>9</v>
      </c>
      <c r="AJ277" s="1521"/>
      <c r="AK277" s="1521"/>
      <c r="AL277" s="1521"/>
      <c r="AM277" s="1521"/>
      <c r="AN277" s="1521"/>
      <c r="AO277" s="1521"/>
      <c r="AP277" s="1521"/>
      <c r="AQ277" s="1521"/>
      <c r="AR277" s="1521"/>
      <c r="AS277" s="1634"/>
      <c r="AT277" s="1521"/>
      <c r="AU277" s="1521"/>
      <c r="AV277" s="1521"/>
      <c r="AW277" s="1521"/>
      <c r="AX277" s="1521"/>
      <c r="AY277" s="1521"/>
      <c r="AZ277" s="1521"/>
      <c r="BA277" s="1521"/>
      <c r="BB277" s="1521"/>
      <c r="BC277" s="1521"/>
      <c r="BD277" s="1521"/>
      <c r="BE277" s="1521"/>
      <c r="BF277" s="1521"/>
      <c r="BG277" s="1521"/>
      <c r="BH277" s="1521"/>
      <c r="BI277" s="1521"/>
      <c r="BJ277" s="1521"/>
      <c r="BK277" s="1521"/>
      <c r="BL277" s="1521"/>
      <c r="BM277" s="1521"/>
      <c r="BN277" s="1521"/>
      <c r="BO277" s="1521"/>
      <c r="BP277" s="1521"/>
      <c r="BQ277" s="1521"/>
      <c r="BR277" s="1521"/>
      <c r="BS277" s="1521"/>
      <c r="BT277" s="1521"/>
      <c r="BU277" s="1521"/>
      <c r="BV277" s="1521"/>
      <c r="BW277" s="1521"/>
      <c r="BX277" s="1521"/>
      <c r="BY277" s="1521"/>
    </row>
    <row r="278" spans="1:77">
      <c r="A278" s="1521"/>
      <c r="B278" s="1521"/>
      <c r="C278" s="1521"/>
      <c r="D278" s="1521"/>
      <c r="E278" s="1632"/>
      <c r="G278" s="2056">
        <f>G203+G196</f>
        <v>2</v>
      </c>
      <c r="H278" s="1633"/>
      <c r="I278" s="1521"/>
      <c r="J278" s="1521"/>
      <c r="K278" s="1521"/>
      <c r="L278" s="1521"/>
      <c r="M278" s="1521"/>
      <c r="N278" s="1521"/>
      <c r="O278" s="1521"/>
      <c r="P278" s="1521"/>
      <c r="Q278" s="1632"/>
      <c r="S278" s="2056">
        <f>S203+S196</f>
        <v>18</v>
      </c>
      <c r="T278" s="1633"/>
      <c r="U278" s="1521"/>
      <c r="V278" s="1521"/>
      <c r="W278" s="1632"/>
      <c r="Y278" s="2056">
        <f>Y203+Y196</f>
        <v>10</v>
      </c>
      <c r="Z278" s="1521"/>
      <c r="AA278" s="1521"/>
      <c r="AB278" s="1521"/>
      <c r="AC278" s="1521"/>
      <c r="AD278" s="1521"/>
      <c r="AE278" s="1521"/>
      <c r="AF278" s="1521"/>
      <c r="AG278" s="1632"/>
      <c r="AI278" s="2056">
        <f>AI203+AI196</f>
        <v>10</v>
      </c>
      <c r="AJ278" s="1521"/>
      <c r="AK278" s="1521"/>
      <c r="AL278" s="1521"/>
      <c r="AM278" s="1521"/>
      <c r="AN278" s="1521"/>
      <c r="AO278" s="1521"/>
      <c r="AP278" s="1521"/>
      <c r="AQ278" s="1521"/>
      <c r="AR278" s="1521"/>
      <c r="AS278" s="1634"/>
      <c r="AT278" s="1521"/>
      <c r="AU278" s="1521"/>
      <c r="AV278" s="1521"/>
      <c r="AW278" s="1521"/>
      <c r="AX278" s="1521"/>
      <c r="AY278" s="1521"/>
      <c r="AZ278" s="1521"/>
      <c r="BA278" s="1521"/>
      <c r="BB278" s="1521"/>
      <c r="BC278" s="1521"/>
      <c r="BD278" s="1521"/>
      <c r="BE278" s="1521"/>
      <c r="BF278" s="1521"/>
      <c r="BG278" s="1521"/>
      <c r="BH278" s="1521"/>
      <c r="BI278" s="1521"/>
      <c r="BJ278" s="1521"/>
      <c r="BK278" s="1521"/>
      <c r="BL278" s="1521"/>
      <c r="BM278" s="1521"/>
      <c r="BN278" s="1521"/>
      <c r="BO278" s="1521"/>
      <c r="BP278" s="1521"/>
      <c r="BQ278" s="1521"/>
      <c r="BR278" s="1521"/>
      <c r="BS278" s="1521"/>
      <c r="BT278" s="1521"/>
      <c r="BU278" s="1521"/>
      <c r="BV278" s="1521"/>
      <c r="BW278" s="1521"/>
      <c r="BX278" s="1521"/>
      <c r="BY278" s="1521"/>
    </row>
    <row r="279" spans="1:77">
      <c r="A279" s="1521"/>
      <c r="B279" s="1521"/>
      <c r="C279" s="1521"/>
      <c r="D279" s="1521"/>
      <c r="E279" s="1632"/>
      <c r="G279" s="2056">
        <f>G204+G197</f>
        <v>5</v>
      </c>
      <c r="H279" s="1633"/>
      <c r="I279" s="1521"/>
      <c r="J279" s="1521"/>
      <c r="K279" s="1521"/>
      <c r="L279" s="1521"/>
      <c r="M279" s="1521"/>
      <c r="N279" s="1521"/>
      <c r="O279" s="1521"/>
      <c r="P279" s="1521"/>
      <c r="Q279" s="1632"/>
      <c r="S279" s="2056">
        <f>S204+S197</f>
        <v>10</v>
      </c>
      <c r="T279" s="1633"/>
      <c r="U279" s="1521"/>
      <c r="V279" s="1521"/>
      <c r="W279" s="1632"/>
      <c r="Y279" s="2056">
        <f>Y204+Y197</f>
        <v>10</v>
      </c>
      <c r="Z279" s="1521"/>
      <c r="AA279" s="1521"/>
      <c r="AB279" s="1521"/>
      <c r="AC279" s="1521"/>
      <c r="AD279" s="1521"/>
      <c r="AE279" s="1521"/>
      <c r="AF279" s="1521"/>
      <c r="AG279" s="1632"/>
      <c r="AI279" s="2056">
        <f>AI204+AI197</f>
        <v>2</v>
      </c>
      <c r="AJ279" s="1521"/>
      <c r="AK279" s="1521"/>
      <c r="AL279" s="1521"/>
      <c r="AM279" s="1521"/>
      <c r="AN279" s="1521"/>
      <c r="AO279" s="1521"/>
      <c r="AP279" s="1521"/>
      <c r="AQ279" s="1521"/>
      <c r="AR279" s="1521"/>
      <c r="AS279" s="1634"/>
      <c r="AT279" s="1521"/>
      <c r="AU279" s="1521"/>
      <c r="AV279" s="1521"/>
      <c r="AW279" s="1521"/>
      <c r="AX279" s="1521"/>
      <c r="AY279" s="1521"/>
      <c r="AZ279" s="1521"/>
      <c r="BA279" s="1521"/>
      <c r="BB279" s="1521"/>
      <c r="BC279" s="1521"/>
      <c r="BD279" s="1521"/>
      <c r="BE279" s="1521"/>
      <c r="BF279" s="1521"/>
      <c r="BG279" s="1521"/>
      <c r="BH279" s="1521"/>
      <c r="BI279" s="1521"/>
      <c r="BJ279" s="1521"/>
      <c r="BK279" s="1521"/>
      <c r="BL279" s="1521"/>
      <c r="BM279" s="1521"/>
      <c r="BN279" s="1521"/>
      <c r="BO279" s="1521"/>
      <c r="BP279" s="1521"/>
      <c r="BQ279" s="1521"/>
      <c r="BR279" s="1521"/>
      <c r="BS279" s="1521"/>
      <c r="BT279" s="1521"/>
      <c r="BU279" s="1521"/>
      <c r="BV279" s="1521"/>
      <c r="BW279" s="1521"/>
      <c r="BX279" s="1521"/>
      <c r="BY279" s="1521"/>
    </row>
    <row r="280" spans="1:77">
      <c r="A280" s="1521"/>
      <c r="B280" s="1521"/>
      <c r="C280" s="1521"/>
      <c r="D280" s="1521"/>
      <c r="E280" s="1632"/>
      <c r="F280" s="1521"/>
      <c r="G280" s="2056"/>
      <c r="H280" s="1633"/>
      <c r="I280" s="1521"/>
      <c r="J280" s="1521"/>
      <c r="K280" s="1521"/>
      <c r="L280" s="1521"/>
      <c r="M280" s="1521"/>
      <c r="N280" s="1521"/>
      <c r="O280" s="1521"/>
      <c r="P280" s="1521"/>
      <c r="Q280" s="1632"/>
      <c r="R280" s="1521"/>
      <c r="S280" s="2056"/>
      <c r="T280" s="1633"/>
      <c r="U280" s="1521"/>
      <c r="V280" s="1521"/>
      <c r="W280" s="1632"/>
      <c r="X280" s="1521"/>
      <c r="Y280" s="2056"/>
      <c r="Z280" s="1521"/>
      <c r="AA280" s="1521"/>
      <c r="AB280" s="1521"/>
      <c r="AC280" s="1521"/>
      <c r="AD280" s="1521"/>
      <c r="AE280" s="1521"/>
      <c r="AF280" s="1521"/>
      <c r="AG280" s="1632"/>
      <c r="AH280" s="1521"/>
      <c r="AI280" s="2056"/>
      <c r="AJ280" s="1521"/>
      <c r="AK280" s="1521"/>
      <c r="AL280" s="1521"/>
      <c r="AM280" s="1521"/>
      <c r="AN280" s="1521"/>
      <c r="AO280" s="1521"/>
      <c r="AP280" s="1521"/>
      <c r="AQ280" s="1521"/>
      <c r="AR280" s="1521"/>
      <c r="AS280" s="1634"/>
      <c r="AT280" s="1521"/>
      <c r="AU280" s="1521"/>
      <c r="AV280" s="1521"/>
      <c r="AW280" s="1521"/>
      <c r="AX280" s="1521"/>
      <c r="AY280" s="1521"/>
      <c r="AZ280" s="1521"/>
      <c r="BA280" s="1521"/>
      <c r="BB280" s="1521"/>
      <c r="BC280" s="1521"/>
      <c r="BD280" s="1521"/>
      <c r="BE280" s="1521"/>
      <c r="BF280" s="1521"/>
      <c r="BG280" s="1521"/>
      <c r="BH280" s="1521"/>
      <c r="BI280" s="1521"/>
      <c r="BJ280" s="1521"/>
      <c r="BK280" s="1521"/>
      <c r="BL280" s="1521"/>
      <c r="BM280" s="1521"/>
      <c r="BN280" s="1521"/>
      <c r="BO280" s="1521"/>
      <c r="BP280" s="1521"/>
      <c r="BQ280" s="1521"/>
      <c r="BR280" s="1521"/>
      <c r="BS280" s="1521"/>
      <c r="BT280" s="1521"/>
      <c r="BU280" s="1521"/>
      <c r="BV280" s="1521"/>
      <c r="BW280" s="1521"/>
      <c r="BX280" s="1521"/>
      <c r="BY280" s="1521"/>
    </row>
    <row r="281" spans="1:77">
      <c r="A281" s="1521"/>
      <c r="B281" s="1521"/>
      <c r="C281" s="1521"/>
      <c r="D281" s="1521"/>
      <c r="E281" s="1632"/>
      <c r="F281" s="1521"/>
      <c r="G281" s="2056"/>
      <c r="H281" s="1633"/>
      <c r="I281" s="1521"/>
      <c r="J281" s="1521"/>
      <c r="K281" s="1521"/>
      <c r="L281" s="1521"/>
      <c r="M281" s="1521"/>
      <c r="N281" s="1521"/>
      <c r="O281" s="1521"/>
      <c r="P281" s="1521"/>
      <c r="Q281" s="1632"/>
      <c r="R281" s="1521"/>
      <c r="S281" s="2056"/>
      <c r="T281" s="1633"/>
      <c r="U281" s="1521"/>
      <c r="V281" s="1521"/>
      <c r="W281" s="1632"/>
      <c r="X281" s="1521"/>
      <c r="Y281" s="2056"/>
      <c r="Z281" s="1521"/>
      <c r="AA281" s="1521"/>
      <c r="AB281" s="1521"/>
      <c r="AC281" s="1521"/>
      <c r="AD281" s="1521"/>
      <c r="AE281" s="1521"/>
      <c r="AF281" s="1521"/>
      <c r="AG281" s="1632"/>
      <c r="AH281" s="1521"/>
      <c r="AI281" s="2056"/>
      <c r="AJ281" s="1521"/>
      <c r="AK281" s="1521"/>
      <c r="AL281" s="1521"/>
      <c r="AM281" s="1521"/>
      <c r="AN281" s="1521"/>
      <c r="AO281" s="1521"/>
      <c r="AP281" s="1521"/>
      <c r="AQ281" s="1521"/>
      <c r="AR281" s="1521"/>
      <c r="AS281" s="1634"/>
      <c r="AT281" s="1521"/>
      <c r="AU281" s="1521"/>
      <c r="AV281" s="1521"/>
      <c r="AW281" s="1521"/>
      <c r="AX281" s="1521"/>
      <c r="AY281" s="1521"/>
      <c r="AZ281" s="1521"/>
      <c r="BA281" s="1521"/>
      <c r="BB281" s="1521"/>
      <c r="BC281" s="1521"/>
      <c r="BD281" s="1521"/>
      <c r="BE281" s="1521"/>
      <c r="BF281" s="1521"/>
      <c r="BG281" s="1521"/>
      <c r="BH281" s="1521"/>
      <c r="BI281" s="1521"/>
      <c r="BJ281" s="1521"/>
      <c r="BK281" s="1521"/>
      <c r="BL281" s="1521"/>
      <c r="BM281" s="1521"/>
      <c r="BN281" s="1521"/>
      <c r="BO281" s="1521"/>
      <c r="BP281" s="1521"/>
      <c r="BQ281" s="1521"/>
      <c r="BR281" s="1521"/>
      <c r="BS281" s="1521"/>
      <c r="BT281" s="1521"/>
      <c r="BU281" s="1521"/>
      <c r="BV281" s="1521"/>
      <c r="BW281" s="1521"/>
      <c r="BX281" s="1521"/>
      <c r="BY281" s="1521"/>
    </row>
    <row r="282" spans="1:77">
      <c r="E282" s="1632"/>
      <c r="G282" s="2056"/>
      <c r="S282" s="2056"/>
      <c r="Y282" s="2056"/>
      <c r="AI282" s="2056"/>
    </row>
    <row r="283" spans="1:77">
      <c r="E283" s="1816">
        <v>2014</v>
      </c>
      <c r="F283" s="1817"/>
      <c r="G283" s="2053"/>
      <c r="Q283" s="1816">
        <v>2014</v>
      </c>
      <c r="R283" s="1817"/>
      <c r="S283" s="2053"/>
      <c r="W283" s="1816">
        <v>2014</v>
      </c>
      <c r="X283" s="1817"/>
      <c r="Y283" s="2053"/>
      <c r="AG283" s="1816">
        <v>2014</v>
      </c>
      <c r="AH283" s="1817"/>
      <c r="AI283" s="2053"/>
    </row>
    <row r="284" spans="1:77">
      <c r="E284" s="1636" t="s">
        <v>1920</v>
      </c>
      <c r="F284" s="1636"/>
      <c r="G284" s="2052" t="s">
        <v>658</v>
      </c>
      <c r="Q284" s="1636" t="s">
        <v>1920</v>
      </c>
      <c r="R284" s="1636"/>
      <c r="S284" s="2052" t="s">
        <v>658</v>
      </c>
      <c r="W284" s="1636" t="s">
        <v>1920</v>
      </c>
      <c r="X284" s="1636"/>
      <c r="Y284" s="2052" t="s">
        <v>658</v>
      </c>
      <c r="AG284" s="1636" t="s">
        <v>1920</v>
      </c>
      <c r="AH284" s="1636"/>
      <c r="AI284" s="2052" t="s">
        <v>658</v>
      </c>
    </row>
    <row r="285" spans="1:77">
      <c r="E285" s="1632">
        <f>E208/AW208</f>
        <v>0.4334296317081171</v>
      </c>
      <c r="F285" s="1521"/>
      <c r="G285" s="2056">
        <f>G208+G201+G194+G187+G180</f>
        <v>43</v>
      </c>
      <c r="Q285" s="1632">
        <f>Q208/AW208</f>
        <v>0.25781617417490998</v>
      </c>
      <c r="R285" s="1521"/>
      <c r="S285" s="2056">
        <f>S208+S201+S194+S187+S180</f>
        <v>76</v>
      </c>
      <c r="W285" s="1632">
        <f>W208/AW208</f>
        <v>0.17180960586168603</v>
      </c>
      <c r="X285" s="1521"/>
      <c r="Y285" s="2056">
        <f>Y208+Y201+Y194+Y187+Y180</f>
        <v>50</v>
      </c>
      <c r="AG285" s="1632">
        <f>AG208/AW208</f>
        <v>0.10007093936364031</v>
      </c>
      <c r="AH285" s="1521"/>
      <c r="AI285" s="2056">
        <f>AI208+AI201+AI194+AI187+AI180</f>
        <v>32</v>
      </c>
    </row>
    <row r="286" spans="1:77">
      <c r="E286" s="1632">
        <f>E209/AW209</f>
        <v>0.48703836121378141</v>
      </c>
      <c r="F286" s="1521"/>
      <c r="G286" s="2056">
        <f>G209+G202+G195+G188+G181</f>
        <v>31</v>
      </c>
      <c r="Q286" s="1632">
        <f>Q209/AW209</f>
        <v>0.23849113230539917</v>
      </c>
      <c r="R286" s="1521"/>
      <c r="S286" s="2056">
        <f>S209+S202+S195+S188+S181</f>
        <v>63</v>
      </c>
      <c r="W286" s="1632">
        <f>W209/AW209</f>
        <v>0.11993292578530207</v>
      </c>
      <c r="X286" s="1521"/>
      <c r="Y286" s="2056">
        <f>Y209+Y202+Y195+Y188+Y181</f>
        <v>6</v>
      </c>
      <c r="AG286" s="1632">
        <f>AG209/AW209</f>
        <v>0.12088767586838951</v>
      </c>
      <c r="AH286" s="1521"/>
      <c r="AI286" s="2056">
        <f>AI209+AI202+AI195+AI188+AI181</f>
        <v>33</v>
      </c>
    </row>
    <row r="287" spans="1:77">
      <c r="E287" s="1632">
        <f>E210/AW210</f>
        <v>0.4779074614422677</v>
      </c>
      <c r="F287" s="1521"/>
      <c r="G287" s="2056">
        <f>G210+G203+G196+G189+G182</f>
        <v>33</v>
      </c>
      <c r="Q287" s="1632">
        <f>Q210/AW210</f>
        <v>0.25343893288870362</v>
      </c>
      <c r="R287" s="1521"/>
      <c r="S287" s="2056">
        <f>S210+S203+S196+S189+S182</f>
        <v>62</v>
      </c>
      <c r="W287" s="1632">
        <f>W210/AW210</f>
        <v>0.11807002917882452</v>
      </c>
      <c r="X287" s="1521"/>
      <c r="Y287" s="2056">
        <f>Y210+Y203+Y196+Y189+Y182</f>
        <v>6</v>
      </c>
      <c r="AG287" s="1632">
        <f>AG210/AW210</f>
        <v>0.11921634014172573</v>
      </c>
      <c r="AH287" s="1521"/>
      <c r="AI287" s="2056">
        <f>AI210+AI203+AI196+AI189+AI182</f>
        <v>42</v>
      </c>
    </row>
    <row r="288" spans="1:77">
      <c r="E288" s="1632">
        <f>E211/AW211</f>
        <v>0.50777604976671853</v>
      </c>
      <c r="F288" s="1521"/>
      <c r="G288" s="2056">
        <f>G211+G204+G197+G190+G183</f>
        <v>16</v>
      </c>
      <c r="Q288" s="1632">
        <f>Q211/AW211</f>
        <v>0.2208398133748056</v>
      </c>
      <c r="R288" s="1521"/>
      <c r="S288" s="2056">
        <f>S211+S204+S197+S190+S183</f>
        <v>42</v>
      </c>
      <c r="W288" s="1632">
        <f>W211/AW211</f>
        <v>0.11508553654743391</v>
      </c>
      <c r="X288" s="1521"/>
      <c r="Y288" s="2056">
        <f>Y211+Y204+Y197+Y190+Y183</f>
        <v>10</v>
      </c>
      <c r="AG288" s="1632">
        <f>AG211/AW211</f>
        <v>0.12597200622083982</v>
      </c>
      <c r="AH288" s="1521"/>
      <c r="AI288" s="2056">
        <f>AI211+AI204+AI197+AI190+AI183</f>
        <v>20</v>
      </c>
    </row>
    <row r="289" spans="5:35">
      <c r="E289" s="1521"/>
      <c r="F289" s="1521"/>
      <c r="G289" s="2056"/>
      <c r="Q289" s="1521"/>
      <c r="R289" s="1521"/>
      <c r="S289" s="2056"/>
      <c r="W289" s="1521"/>
      <c r="X289" s="1521"/>
      <c r="Y289" s="2056"/>
      <c r="AG289" s="1521"/>
      <c r="AH289" s="1521"/>
      <c r="AI289" s="2056"/>
    </row>
    <row r="290" spans="5:35">
      <c r="E290" s="1636" t="s">
        <v>657</v>
      </c>
      <c r="F290" s="1636"/>
      <c r="G290" s="2052" t="s">
        <v>656</v>
      </c>
      <c r="Q290" s="1636" t="s">
        <v>657</v>
      </c>
      <c r="R290" s="1636"/>
      <c r="S290" s="2052" t="s">
        <v>656</v>
      </c>
      <c r="W290" s="1636" t="s">
        <v>657</v>
      </c>
      <c r="X290" s="1636"/>
      <c r="Y290" s="2052" t="s">
        <v>656</v>
      </c>
      <c r="AG290" s="1636" t="s">
        <v>657</v>
      </c>
      <c r="AH290" s="1636"/>
      <c r="AI290" s="2052" t="s">
        <v>656</v>
      </c>
    </row>
    <row r="291" spans="5:35">
      <c r="E291" s="1632">
        <f>E208/$E$212</f>
        <v>0.21568988973308689</v>
      </c>
      <c r="F291" s="1521"/>
      <c r="G291" s="2056">
        <f>G208+G201+G194</f>
        <v>11</v>
      </c>
      <c r="Q291" s="1632">
        <f>Q208/$Q$212</f>
        <v>0.25459217970845377</v>
      </c>
      <c r="R291" s="1521"/>
      <c r="S291" s="2056">
        <f>S208+S201+S194</f>
        <v>29</v>
      </c>
      <c r="W291" s="1632">
        <f>W208/$W$212</f>
        <v>0.31373008899850074</v>
      </c>
      <c r="X291" s="1521"/>
      <c r="Y291" s="2056">
        <f>Y208+Y201+Y194</f>
        <v>63</v>
      </c>
      <c r="AG291" s="1632">
        <f>AG208/$AG$212</f>
        <v>0.20349876837888123</v>
      </c>
      <c r="AH291" s="1521"/>
      <c r="AI291" s="2056">
        <f>AI208+AI201+AI194</f>
        <v>3</v>
      </c>
    </row>
    <row r="292" spans="5:35">
      <c r="E292" s="1632">
        <f>E209/$E$212</f>
        <v>0.23776933088088156</v>
      </c>
      <c r="F292" s="1521"/>
      <c r="G292" s="2056">
        <f>G209+G202+G195</f>
        <v>3</v>
      </c>
      <c r="Q292" s="1632">
        <f>Q209/$Q$212</f>
        <v>0.23104076397947604</v>
      </c>
      <c r="R292" s="1521"/>
      <c r="S292" s="2056">
        <f>S209+S202+S195</f>
        <v>15</v>
      </c>
      <c r="W292" s="1632">
        <f>W209/$W$212</f>
        <v>0.2148466746891006</v>
      </c>
      <c r="X292" s="1521"/>
      <c r="Y292" s="2056">
        <f>Y209+Y202+Y195</f>
        <v>5</v>
      </c>
      <c r="AG292" s="1632">
        <f>AG209/$AG$212</f>
        <v>0.24116668474919534</v>
      </c>
      <c r="AH292" s="1521"/>
      <c r="AI292" s="2056">
        <f>AI209+AI202+AI195</f>
        <v>1</v>
      </c>
    </row>
    <row r="293" spans="5:35">
      <c r="E293" s="1632">
        <f>E210/$E$212</f>
        <v>0.22548003007055961</v>
      </c>
      <c r="F293" s="1521"/>
      <c r="G293" s="2056">
        <f>G210+G203+G196</f>
        <v>13</v>
      </c>
      <c r="Q293" s="1632">
        <f>Q210/$Q$212</f>
        <v>0.23728009881467271</v>
      </c>
      <c r="R293" s="1521"/>
      <c r="S293" s="2056">
        <f>S210+S203+S196</f>
        <v>15</v>
      </c>
      <c r="W293" s="1632">
        <f>W210/$W$212</f>
        <v>0.20440969259163705</v>
      </c>
      <c r="X293" s="1521"/>
      <c r="Y293" s="2056">
        <f>Y210+Y203+Y196</f>
        <v>4</v>
      </c>
      <c r="AG293" s="1632">
        <f>AG210/$AG$212</f>
        <v>0.2298490309773808</v>
      </c>
      <c r="AH293" s="1521"/>
      <c r="AI293" s="2056">
        <f>AI210+AI203+AI196</f>
        <v>12</v>
      </c>
    </row>
    <row r="294" spans="5:35">
      <c r="E294" s="1632">
        <f>E211/$E$212</f>
        <v>0.3210607493154719</v>
      </c>
      <c r="F294" s="1521"/>
      <c r="G294" s="2056">
        <f>G211+G204+G197</f>
        <v>5</v>
      </c>
      <c r="Q294" s="1632">
        <f>Q211/$Q$212</f>
        <v>0.27708695749739742</v>
      </c>
      <c r="R294" s="1521"/>
      <c r="S294" s="2056">
        <f>S211+S204+S197</f>
        <v>13</v>
      </c>
      <c r="W294" s="1632">
        <f>W211/$W$212</f>
        <v>0.26701354372076158</v>
      </c>
      <c r="X294" s="1521"/>
      <c r="Y294" s="2056">
        <f>Y211+Y204+Y197</f>
        <v>5</v>
      </c>
      <c r="AG294" s="1632">
        <f>AG211/$AG$212</f>
        <v>0.32548551589454272</v>
      </c>
      <c r="AH294" s="1521"/>
      <c r="AI294" s="2056">
        <f>AI211+AI204+AI197</f>
        <v>6</v>
      </c>
    </row>
    <row r="295" spans="5:35">
      <c r="G295" s="2056"/>
      <c r="S295" s="2056"/>
      <c r="Y295" s="2056"/>
      <c r="AI295" s="2056"/>
    </row>
    <row r="296" spans="5:35">
      <c r="G296" s="2052" t="s">
        <v>2093</v>
      </c>
      <c r="S296" s="2052" t="s">
        <v>2093</v>
      </c>
      <c r="Y296" s="2052" t="s">
        <v>2093</v>
      </c>
      <c r="AI296" s="2052" t="s">
        <v>2093</v>
      </c>
    </row>
    <row r="297" spans="5:35">
      <c r="G297" s="2056">
        <f>G208+G201</f>
        <v>11</v>
      </c>
      <c r="S297" s="2056">
        <f>S208+S201</f>
        <v>19</v>
      </c>
      <c r="Y297" s="2056">
        <f>Y208+Y201</f>
        <v>51</v>
      </c>
      <c r="AI297" s="2056">
        <f>AI208+AI201</f>
        <v>3</v>
      </c>
    </row>
    <row r="298" spans="5:35">
      <c r="G298" s="2056">
        <f>G209+G202</f>
        <v>8</v>
      </c>
      <c r="S298" s="2056">
        <f>S209+S202</f>
        <v>20</v>
      </c>
      <c r="Y298" s="2056">
        <f>Y209+Y202</f>
        <v>-5</v>
      </c>
      <c r="AI298" s="2056">
        <f>AI209+AI202</f>
        <v>-1</v>
      </c>
    </row>
    <row r="299" spans="5:35">
      <c r="G299" s="2056">
        <f>G210+G203</f>
        <v>12</v>
      </c>
      <c r="S299" s="2056">
        <f>S210+S203</f>
        <v>19</v>
      </c>
      <c r="Y299" s="2056">
        <f>Y210+Y203</f>
        <v>-1</v>
      </c>
      <c r="AI299" s="2056">
        <f>AI210+AI203</f>
        <v>4</v>
      </c>
    </row>
    <row r="300" spans="5:35">
      <c r="G300" s="2056">
        <f>G211+G204</f>
        <v>7</v>
      </c>
      <c r="S300" s="2056">
        <f>S211+S204</f>
        <v>7</v>
      </c>
      <c r="Y300" s="2056">
        <f>Y211+Y204</f>
        <v>3</v>
      </c>
      <c r="AI300" s="2056">
        <f>AI211+AI204</f>
        <v>6</v>
      </c>
    </row>
  </sheetData>
  <mergeCells count="32">
    <mergeCell ref="B207:C207"/>
    <mergeCell ref="B186:C186"/>
    <mergeCell ref="B200:C200"/>
    <mergeCell ref="B193:C193"/>
    <mergeCell ref="B13:C13"/>
    <mergeCell ref="B111:C111"/>
    <mergeCell ref="B55:C55"/>
    <mergeCell ref="B48:C48"/>
    <mergeCell ref="B90:C90"/>
    <mergeCell ref="B34:C34"/>
    <mergeCell ref="B76:C76"/>
    <mergeCell ref="B41:C41"/>
    <mergeCell ref="B20:C20"/>
    <mergeCell ref="B27:C27"/>
    <mergeCell ref="B69:C69"/>
    <mergeCell ref="B62:C62"/>
    <mergeCell ref="B235:C235"/>
    <mergeCell ref="B179:C179"/>
    <mergeCell ref="B151:C151"/>
    <mergeCell ref="B83:C83"/>
    <mergeCell ref="B104:C104"/>
    <mergeCell ref="B118:C118"/>
    <mergeCell ref="B97:C97"/>
    <mergeCell ref="B125:C125"/>
    <mergeCell ref="B172:C172"/>
    <mergeCell ref="B158:C158"/>
    <mergeCell ref="B132:C132"/>
    <mergeCell ref="B165:C165"/>
    <mergeCell ref="B139:C139"/>
    <mergeCell ref="B228:C228"/>
    <mergeCell ref="B221:C221"/>
    <mergeCell ref="B214:C214"/>
  </mergeCells>
  <phoneticPr fontId="0" type="noConversion"/>
  <pageMargins left="0" right="0" top="0.2" bottom="0.1" header="0.5" footer="0"/>
  <pageSetup scale="50"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pageSetUpPr fitToPage="1"/>
  </sheetPr>
  <dimension ref="A1:EE221"/>
  <sheetViews>
    <sheetView showGridLines="0" topLeftCell="CW1" zoomScaleNormal="100" zoomScaleSheetLayoutView="65" workbookViewId="0">
      <pane ySplit="8715" topLeftCell="A158" activePane="bottomLeft"/>
      <selection activeCell="DV11" sqref="DV11"/>
      <selection pane="bottomLeft" activeCell="DP169" sqref="DP169"/>
    </sheetView>
  </sheetViews>
  <sheetFormatPr defaultRowHeight="12.75" outlineLevelRow="3" outlineLevelCol="1"/>
  <cols>
    <col min="1" max="1" width="3" customWidth="1"/>
    <col min="2" max="2" width="5.140625" hidden="1" customWidth="1" outlineLevel="1"/>
    <col min="3" max="3" width="2.5703125" hidden="1" customWidth="1" outlineLevel="1"/>
    <col min="4" max="4" width="9.140625" hidden="1" customWidth="1" outlineLevel="1"/>
    <col min="5" max="5" width="5.7109375" hidden="1" customWidth="1" outlineLevel="1"/>
    <col min="6" max="6" width="9.140625" hidden="1" customWidth="1" outlineLevel="1" collapsed="1"/>
    <col min="7" max="8" width="5.7109375" hidden="1" customWidth="1" outlineLevel="1"/>
    <col min="9" max="9" width="2.42578125" hidden="1" customWidth="1" outlineLevel="1"/>
    <col min="10" max="10" width="9.140625" hidden="1" customWidth="1" outlineLevel="1"/>
    <col min="11" max="12" width="5.7109375" hidden="1" customWidth="1" outlineLevel="1"/>
    <col min="13" max="13" width="2.42578125" hidden="1" customWidth="1" outlineLevel="1"/>
    <col min="14" max="14" width="9.140625" hidden="1" customWidth="1" outlineLevel="1"/>
    <col min="15" max="16" width="5.7109375" hidden="1" customWidth="1" outlineLevel="1"/>
    <col min="17" max="17" width="2.42578125" hidden="1" customWidth="1" outlineLevel="1"/>
    <col min="18" max="18" width="9.140625" hidden="1" customWidth="1" outlineLevel="1"/>
    <col min="19" max="19" width="6.28515625" hidden="1" customWidth="1" outlineLevel="1"/>
    <col min="20" max="20" width="5.7109375" hidden="1" customWidth="1" outlineLevel="1"/>
    <col min="21" max="21" width="2.42578125" hidden="1" customWidth="1" outlineLevel="1"/>
    <col min="22" max="22" width="9.140625" hidden="1" customWidth="1" outlineLevel="1"/>
    <col min="23" max="23" width="7.28515625" hidden="1" customWidth="1" outlineLevel="1"/>
    <col min="24" max="24" width="5.7109375" hidden="1" customWidth="1" outlineLevel="1"/>
    <col min="25" max="25" width="2.42578125" hidden="1" customWidth="1" outlineLevel="1"/>
    <col min="26" max="26" width="9.140625" hidden="1" customWidth="1" outlineLevel="1"/>
    <col min="27" max="28" width="5.7109375" hidden="1" customWidth="1" outlineLevel="1"/>
    <col min="29" max="29" width="2.42578125" hidden="1" customWidth="1" outlineLevel="1"/>
    <col min="30" max="30" width="9.85546875" hidden="1" customWidth="1" outlineLevel="1"/>
    <col min="31" max="32" width="5.7109375" hidden="1" customWidth="1" outlineLevel="1"/>
    <col min="33" max="33" width="2.42578125" hidden="1" customWidth="1" outlineLevel="1"/>
    <col min="34" max="34" width="9.140625" hidden="1" customWidth="1" outlineLevel="1"/>
    <col min="35" max="36" width="5.7109375" hidden="1" customWidth="1" outlineLevel="1"/>
    <col min="37" max="37" width="2.42578125" hidden="1" customWidth="1" outlineLevel="1"/>
    <col min="38" max="38" width="9.140625" hidden="1" customWidth="1" outlineLevel="1" collapsed="1"/>
    <col min="39" max="39" width="6" hidden="1" customWidth="1" outlineLevel="1"/>
    <col min="40" max="40" width="7.28515625" hidden="1" customWidth="1" outlineLevel="1"/>
    <col min="41" max="41" width="1.85546875" hidden="1" customWidth="1" outlineLevel="1"/>
    <col min="42" max="42" width="9.140625" hidden="1" customWidth="1" outlineLevel="1"/>
    <col min="43" max="43" width="6.28515625" hidden="1" customWidth="1" outlineLevel="1"/>
    <col min="44" max="44" width="6.42578125" hidden="1" customWidth="1" outlineLevel="1"/>
    <col min="45" max="45" width="1.85546875" hidden="1" customWidth="1" outlineLevel="1"/>
    <col min="46" max="46" width="9.140625" hidden="1" customWidth="1" outlineLevel="1"/>
    <col min="47" max="48" width="5.7109375" hidden="1" customWidth="1" outlineLevel="1"/>
    <col min="49" max="49" width="1.85546875" hidden="1" customWidth="1" outlineLevel="1"/>
    <col min="50" max="50" width="9.140625" hidden="1" customWidth="1" outlineLevel="1" collapsed="1"/>
    <col min="51" max="51" width="6.140625" hidden="1" customWidth="1" outlineLevel="1"/>
    <col min="52" max="52" width="5.7109375" hidden="1" customWidth="1" outlineLevel="1"/>
    <col min="53" max="53" width="1.85546875" hidden="1" customWidth="1" outlineLevel="1"/>
    <col min="54" max="54" width="9.28515625" hidden="1" customWidth="1" outlineLevel="1"/>
    <col min="55" max="55" width="6.28515625" hidden="1" customWidth="1" outlineLevel="1"/>
    <col min="56" max="56" width="5.7109375" hidden="1" customWidth="1" outlineLevel="1"/>
    <col min="57" max="57" width="1.85546875" hidden="1" customWidth="1" outlineLevel="1"/>
    <col min="58" max="58" width="10.140625" hidden="1" customWidth="1" outlineLevel="1"/>
    <col min="59" max="59" width="6.28515625" hidden="1" customWidth="1" outlineLevel="1"/>
    <col min="60" max="60" width="5.7109375" hidden="1" customWidth="1" outlineLevel="1"/>
    <col min="61" max="61" width="1.85546875" hidden="1" customWidth="1" outlineLevel="1"/>
    <col min="62" max="62" width="10.5703125" hidden="1" customWidth="1" outlineLevel="1" collapsed="1"/>
    <col min="63" max="63" width="6.28515625" hidden="1" customWidth="1" outlineLevel="1"/>
    <col min="64" max="64" width="5.7109375" hidden="1" customWidth="1" outlineLevel="1"/>
    <col min="65" max="65" width="1.85546875" hidden="1" customWidth="1" outlineLevel="1"/>
    <col min="66" max="66" width="9.28515625" hidden="1" customWidth="1" outlineLevel="1"/>
    <col min="67" max="67" width="6.28515625" hidden="1" customWidth="1" outlineLevel="1"/>
    <col min="68" max="68" width="5.7109375" hidden="1" customWidth="1" outlineLevel="1"/>
    <col min="69" max="69" width="1.85546875" hidden="1" customWidth="1" outlineLevel="1"/>
    <col min="70" max="70" width="9.28515625" hidden="1" customWidth="1" outlineLevel="1"/>
    <col min="71" max="71" width="6.28515625" hidden="1" customWidth="1" outlineLevel="1"/>
    <col min="72" max="72" width="5.7109375" hidden="1" customWidth="1" outlineLevel="1"/>
    <col min="73" max="73" width="1.85546875" hidden="1" customWidth="1" outlineLevel="1"/>
    <col min="74" max="74" width="9.28515625" hidden="1" customWidth="1" outlineLevel="1"/>
    <col min="75" max="75" width="5.85546875" hidden="1" customWidth="1" outlineLevel="1"/>
    <col min="76" max="76" width="5.7109375" hidden="1" customWidth="1" outlineLevel="1"/>
    <col min="77" max="77" width="1.85546875" hidden="1" customWidth="1" outlineLevel="1"/>
    <col min="78" max="78" width="9.28515625" hidden="1" customWidth="1" outlineLevel="1"/>
    <col min="79" max="79" width="5.85546875" hidden="1" customWidth="1" outlineLevel="1"/>
    <col min="80" max="80" width="5.7109375" hidden="1" customWidth="1" outlineLevel="1"/>
    <col min="81" max="81" width="1.85546875" hidden="1" customWidth="1" outlineLevel="1"/>
    <col min="82" max="82" width="9.28515625" hidden="1" customWidth="1" outlineLevel="1"/>
    <col min="83" max="83" width="6.28515625" hidden="1" customWidth="1" outlineLevel="1"/>
    <col min="84" max="84" width="5.7109375" hidden="1" customWidth="1" outlineLevel="1"/>
    <col min="85" max="85" width="3.7109375" hidden="1" customWidth="1" outlineLevel="1"/>
    <col min="86" max="86" width="9.28515625" hidden="1" customWidth="1" outlineLevel="1"/>
    <col min="87" max="87" width="6.28515625" hidden="1" customWidth="1" outlineLevel="1"/>
    <col min="88" max="88" width="5.7109375" hidden="1" customWidth="1" outlineLevel="1"/>
    <col min="89" max="89" width="3.7109375" hidden="1" customWidth="1" outlineLevel="1"/>
    <col min="90" max="90" width="9.28515625" hidden="1" customWidth="1" outlineLevel="1"/>
    <col min="91" max="91" width="6.28515625" hidden="1" customWidth="1" outlineLevel="1"/>
    <col min="92" max="92" width="5.7109375" hidden="1" customWidth="1" outlineLevel="1"/>
    <col min="93" max="93" width="3.7109375" hidden="1" customWidth="1" outlineLevel="1"/>
    <col min="94" max="94" width="9.28515625" hidden="1" customWidth="1" outlineLevel="1"/>
    <col min="95" max="95" width="6.28515625" hidden="1" customWidth="1" outlineLevel="1"/>
    <col min="96" max="96" width="5.7109375" hidden="1" customWidth="1" outlineLevel="1"/>
    <col min="97" max="97" width="2.28515625" customWidth="1" collapsed="1"/>
    <col min="98" max="98" width="9.28515625" customWidth="1"/>
    <col min="99" max="99" width="6.28515625" customWidth="1"/>
    <col min="100" max="100" width="5.7109375" customWidth="1"/>
    <col min="101" max="101" width="2.28515625" customWidth="1"/>
    <col min="102" max="102" width="9.28515625" customWidth="1"/>
    <col min="103" max="103" width="7.42578125" bestFit="1" customWidth="1"/>
    <col min="104" max="104" width="5.7109375" customWidth="1"/>
    <col min="105" max="105" width="2.28515625" customWidth="1"/>
    <col min="106" max="106" width="9.28515625" customWidth="1"/>
    <col min="107" max="107" width="7.42578125" bestFit="1" customWidth="1"/>
    <col min="108" max="108" width="5.28515625" customWidth="1"/>
    <col min="109" max="109" width="2.28515625" customWidth="1"/>
    <col min="110" max="110" width="9.28515625" customWidth="1"/>
    <col min="111" max="111" width="7.42578125" bestFit="1" customWidth="1"/>
    <col min="112" max="112" width="5.5703125" customWidth="1"/>
    <col min="113" max="113" width="2.28515625" customWidth="1"/>
    <col min="114" max="114" width="9.28515625" customWidth="1"/>
    <col min="115" max="115" width="7.42578125" bestFit="1" customWidth="1"/>
    <col min="116" max="116" width="5.5703125" customWidth="1"/>
    <col min="117" max="117" width="2.28515625" customWidth="1"/>
    <col min="118" max="118" width="9.28515625" customWidth="1"/>
    <col min="119" max="119" width="7.42578125" bestFit="1" customWidth="1"/>
    <col min="120" max="120" width="5.5703125" customWidth="1"/>
    <col min="121" max="121" width="4.7109375" customWidth="1"/>
    <col min="122" max="122" width="6.42578125" bestFit="1" customWidth="1"/>
    <col min="123" max="123" width="8" bestFit="1" customWidth="1"/>
    <col min="124" max="125" width="5.42578125" bestFit="1" customWidth="1"/>
    <col min="126" max="127" width="5.140625" customWidth="1"/>
    <col min="128" max="128" width="1.7109375" customWidth="1"/>
    <col min="129" max="129" width="5.140625" customWidth="1"/>
    <col min="130" max="130" width="5" customWidth="1"/>
    <col min="131" max="131" width="9.28515625" bestFit="1" customWidth="1"/>
    <col min="133" max="135" width="9.140625" outlineLevel="1"/>
  </cols>
  <sheetData>
    <row r="1" spans="1:133">
      <c r="A1" s="281" t="s">
        <v>136</v>
      </c>
      <c r="B1" s="281"/>
      <c r="C1" s="281"/>
      <c r="D1" s="310"/>
      <c r="E1" s="281"/>
      <c r="F1" s="310"/>
      <c r="G1" s="281"/>
      <c r="H1" s="281"/>
      <c r="I1" s="281"/>
      <c r="J1" s="310"/>
      <c r="K1" s="281"/>
      <c r="L1" s="281"/>
      <c r="M1" s="281"/>
      <c r="N1" s="310"/>
      <c r="O1" s="281"/>
      <c r="P1" s="281"/>
      <c r="Q1" s="281"/>
      <c r="R1" s="310"/>
      <c r="S1" s="281"/>
      <c r="T1" s="281"/>
      <c r="U1" s="281"/>
      <c r="V1" s="310"/>
      <c r="W1" s="281"/>
      <c r="X1" s="281"/>
      <c r="Y1" s="281"/>
      <c r="Z1" s="310"/>
      <c r="AA1" s="281"/>
      <c r="AB1" s="281"/>
      <c r="AC1" s="281"/>
      <c r="AD1" s="310"/>
      <c r="AE1" s="281"/>
      <c r="AF1" s="281"/>
      <c r="AG1" s="281"/>
      <c r="AH1" s="310"/>
      <c r="AI1" s="281"/>
      <c r="AJ1" s="281"/>
      <c r="AK1" s="310"/>
      <c r="AL1" s="310"/>
      <c r="AM1" s="281"/>
      <c r="AN1" s="281"/>
      <c r="AO1" s="281"/>
      <c r="AP1" s="281"/>
      <c r="AQ1" s="281"/>
      <c r="AR1" s="281"/>
      <c r="AS1" s="281"/>
      <c r="AT1" s="281"/>
      <c r="AU1" s="281"/>
      <c r="AV1" s="281"/>
      <c r="AW1" s="281"/>
      <c r="AX1" s="281"/>
      <c r="AY1" s="281"/>
      <c r="AZ1" s="281"/>
      <c r="BA1" s="281"/>
      <c r="BB1" s="281"/>
      <c r="BC1" s="281"/>
      <c r="BD1" s="281"/>
      <c r="BE1" s="281"/>
      <c r="BF1" s="281"/>
      <c r="BG1" s="281"/>
      <c r="BH1" s="281"/>
      <c r="BI1" s="281"/>
      <c r="BJ1" s="281"/>
      <c r="BK1" s="281"/>
      <c r="BL1" s="281"/>
      <c r="BM1" s="283"/>
      <c r="BN1" s="281"/>
      <c r="BO1" s="281"/>
      <c r="BP1" s="281"/>
      <c r="BQ1" s="846"/>
      <c r="BR1" s="281"/>
      <c r="BS1" s="281"/>
      <c r="BT1" s="281"/>
      <c r="BU1" s="281"/>
      <c r="BV1" s="281"/>
      <c r="BW1" s="281"/>
      <c r="BX1" s="281"/>
      <c r="BY1" s="281"/>
      <c r="BZ1" s="281"/>
      <c r="CA1" s="281"/>
      <c r="CB1" s="281"/>
      <c r="CC1" s="281"/>
      <c r="CD1" s="281"/>
      <c r="CE1" s="281"/>
      <c r="CF1" s="281"/>
      <c r="CG1" s="281"/>
      <c r="CH1" s="281"/>
      <c r="CI1" s="281"/>
      <c r="CJ1" s="281"/>
      <c r="CK1" s="281"/>
      <c r="CL1" s="281"/>
      <c r="CM1" s="281"/>
      <c r="CN1" s="281"/>
      <c r="CO1" s="281"/>
      <c r="CP1" s="281"/>
      <c r="CQ1" s="281"/>
      <c r="CR1" s="281"/>
      <c r="CS1" s="281"/>
      <c r="CT1" s="281"/>
      <c r="CU1" s="281"/>
      <c r="CV1" s="281"/>
      <c r="CW1" s="281"/>
      <c r="CX1" s="281"/>
      <c r="CY1" s="281"/>
      <c r="CZ1" s="281"/>
      <c r="DA1" s="281"/>
      <c r="DB1" s="281"/>
      <c r="DC1" s="281"/>
      <c r="DD1" s="281"/>
      <c r="DE1" s="281"/>
      <c r="DF1" s="281"/>
      <c r="DG1" s="281"/>
      <c r="DH1" s="281"/>
      <c r="DI1" s="281"/>
      <c r="DJ1" s="281"/>
      <c r="DK1" s="281"/>
      <c r="DL1" s="281"/>
      <c r="DM1" s="281"/>
      <c r="DN1" s="281"/>
      <c r="DO1" s="281"/>
      <c r="DP1" s="281"/>
      <c r="DQ1" s="281"/>
      <c r="DR1" s="281"/>
      <c r="DS1" s="281"/>
      <c r="DT1" s="281"/>
      <c r="DU1" s="281"/>
      <c r="DV1" s="281"/>
      <c r="DW1" s="2318"/>
      <c r="DX1" s="281"/>
      <c r="DY1" s="281"/>
      <c r="DZ1" s="281"/>
      <c r="EA1" s="281"/>
    </row>
    <row r="2" spans="1:133">
      <c r="A2" s="284" t="s">
        <v>1996</v>
      </c>
      <c r="B2" s="284"/>
      <c r="C2" s="284"/>
      <c r="D2" s="595"/>
      <c r="E2" s="284"/>
      <c r="F2" s="595"/>
      <c r="G2" s="284"/>
      <c r="H2" s="284"/>
      <c r="I2" s="284"/>
      <c r="J2" s="595"/>
      <c r="K2" s="284"/>
      <c r="L2" s="284"/>
      <c r="M2" s="284"/>
      <c r="N2" s="595"/>
      <c r="O2" s="284"/>
      <c r="P2" s="284"/>
      <c r="Q2" s="284"/>
      <c r="R2" s="595"/>
      <c r="S2" s="284"/>
      <c r="T2" s="284"/>
      <c r="U2" s="284"/>
      <c r="V2" s="595"/>
      <c r="W2" s="284"/>
      <c r="X2" s="284"/>
      <c r="Y2" s="284"/>
      <c r="Z2" s="595"/>
      <c r="AA2" s="284"/>
      <c r="AB2" s="284"/>
      <c r="AC2" s="284"/>
      <c r="AD2" s="595"/>
      <c r="AE2" s="284"/>
      <c r="AF2" s="284"/>
      <c r="AG2" s="284"/>
      <c r="AH2" s="595"/>
      <c r="AI2" s="284"/>
      <c r="AJ2" s="284"/>
      <c r="AK2" s="595"/>
      <c r="AL2" s="595"/>
      <c r="AM2" s="284"/>
      <c r="AN2" s="284"/>
      <c r="AO2" s="284"/>
      <c r="AP2" s="284"/>
      <c r="AQ2" s="284"/>
      <c r="AR2" s="284"/>
      <c r="AS2" s="284"/>
      <c r="AT2" s="284"/>
      <c r="AU2" s="284"/>
      <c r="AV2" s="284"/>
      <c r="AW2" s="284"/>
      <c r="AX2" s="284"/>
      <c r="AY2" s="284"/>
      <c r="AZ2" s="284"/>
      <c r="BA2" s="284"/>
      <c r="BB2" s="284"/>
      <c r="BC2" s="284"/>
      <c r="BD2" s="284"/>
      <c r="BE2" s="284"/>
      <c r="BF2" s="284"/>
      <c r="BG2" s="284"/>
      <c r="BH2" s="284"/>
      <c r="BI2" s="284"/>
      <c r="BJ2" s="284"/>
      <c r="BK2" s="284"/>
      <c r="BL2" s="284"/>
      <c r="BM2" s="284"/>
      <c r="BN2" s="284"/>
      <c r="BO2" s="284"/>
      <c r="BP2" s="284"/>
      <c r="BQ2" s="1240"/>
      <c r="BR2" s="284"/>
      <c r="BS2" s="284"/>
      <c r="BT2" s="284"/>
      <c r="BU2" s="284"/>
      <c r="BV2" s="284"/>
      <c r="BW2" s="284"/>
      <c r="BX2" s="284"/>
      <c r="BY2" s="284"/>
      <c r="BZ2" s="284"/>
      <c r="CA2" s="284"/>
      <c r="CB2" s="284"/>
      <c r="CC2" s="284"/>
      <c r="CD2" s="284"/>
      <c r="CE2" s="284"/>
      <c r="CF2" s="284"/>
      <c r="CG2" s="284"/>
      <c r="CH2" s="284"/>
      <c r="CI2" s="284"/>
      <c r="CJ2" s="284"/>
      <c r="CK2" s="284"/>
      <c r="CL2" s="284"/>
      <c r="CM2" s="284"/>
      <c r="CN2" s="284"/>
      <c r="CO2" s="284"/>
      <c r="CP2" s="284"/>
      <c r="CQ2" s="284"/>
      <c r="CR2" s="284"/>
      <c r="CS2" s="284"/>
      <c r="CT2" s="284"/>
      <c r="CU2" s="284"/>
      <c r="CV2" s="284"/>
      <c r="CW2" s="284"/>
      <c r="CX2" s="284"/>
      <c r="CY2" s="284"/>
      <c r="CZ2" s="284"/>
      <c r="DA2" s="284"/>
      <c r="DB2" s="284"/>
      <c r="DC2" s="284"/>
      <c r="DD2" s="284"/>
      <c r="DE2" s="284"/>
      <c r="DF2" s="284"/>
      <c r="DG2" s="284"/>
      <c r="DH2" s="284"/>
      <c r="DI2" s="284"/>
      <c r="DJ2" s="284"/>
      <c r="DK2" s="284"/>
      <c r="DL2" s="284"/>
      <c r="DM2" s="284"/>
      <c r="DN2" s="284"/>
      <c r="DO2" s="284"/>
      <c r="DP2" s="284"/>
      <c r="DQ2" s="284"/>
      <c r="DR2" s="284"/>
      <c r="DS2" s="284"/>
      <c r="DT2" s="284"/>
      <c r="DU2" s="284"/>
      <c r="DV2" s="284"/>
      <c r="DW2" s="284"/>
      <c r="DX2" s="284"/>
      <c r="DY2" s="284"/>
      <c r="DZ2" s="284"/>
      <c r="EA2" s="284"/>
    </row>
    <row r="3" spans="1:133">
      <c r="A3" s="596" t="s">
        <v>815</v>
      </c>
      <c r="B3" s="256"/>
      <c r="C3" s="256"/>
      <c r="D3" s="256"/>
      <c r="E3" s="256"/>
      <c r="F3" s="256"/>
      <c r="G3" s="256"/>
      <c r="H3" s="256"/>
      <c r="I3" s="256"/>
      <c r="J3" s="256"/>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587"/>
      <c r="BN3" s="256"/>
      <c r="BO3" s="256"/>
      <c r="BP3" s="256"/>
      <c r="BQ3" s="599"/>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row>
    <row r="4" spans="1:133">
      <c r="A4" s="596" t="s">
        <v>1997</v>
      </c>
      <c r="B4" s="256"/>
      <c r="C4" s="256"/>
      <c r="D4" s="256"/>
      <c r="E4" s="256"/>
      <c r="F4" s="256"/>
      <c r="G4" s="256"/>
      <c r="H4" s="256"/>
      <c r="I4" s="256"/>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587"/>
      <c r="BN4" s="256"/>
      <c r="BO4" s="256"/>
      <c r="BP4" s="256"/>
      <c r="BQ4" s="599"/>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row>
    <row r="5" spans="1:133">
      <c r="A5" s="596"/>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587"/>
      <c r="BN5" s="256"/>
      <c r="BO5" s="256"/>
      <c r="BP5" s="256"/>
      <c r="BQ5" s="599"/>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C5" s="2212"/>
    </row>
    <row r="6" spans="1:133">
      <c r="A6" s="596"/>
      <c r="B6" s="256"/>
      <c r="C6" s="256"/>
      <c r="D6" s="275">
        <v>1989</v>
      </c>
      <c r="E6" s="256"/>
      <c r="F6" s="275">
        <v>1990</v>
      </c>
      <c r="G6" s="597"/>
      <c r="H6" s="276"/>
      <c r="I6" s="256"/>
      <c r="J6" s="275">
        <v>1991</v>
      </c>
      <c r="K6" s="597"/>
      <c r="L6" s="276"/>
      <c r="M6" s="256"/>
      <c r="N6" s="275">
        <v>1992</v>
      </c>
      <c r="O6" s="597"/>
      <c r="P6" s="276"/>
      <c r="Q6" s="256"/>
      <c r="R6" s="275">
        <v>1993</v>
      </c>
      <c r="S6" s="597"/>
      <c r="T6" s="276"/>
      <c r="U6" s="256"/>
      <c r="V6" s="275">
        <v>1994</v>
      </c>
      <c r="W6" s="597"/>
      <c r="X6" s="276"/>
      <c r="Y6" s="256"/>
      <c r="Z6" s="275">
        <v>1995</v>
      </c>
      <c r="AA6" s="597"/>
      <c r="AB6" s="276"/>
      <c r="AC6" s="256"/>
      <c r="AD6" s="276">
        <f>Z6+1</f>
        <v>1996</v>
      </c>
      <c r="AE6" s="597"/>
      <c r="AF6" s="276"/>
      <c r="AG6" s="256"/>
      <c r="AH6" s="276">
        <f>AD6+1</f>
        <v>1997</v>
      </c>
      <c r="AI6" s="597"/>
      <c r="AJ6" s="276"/>
      <c r="AK6" s="256"/>
      <c r="AL6" s="276">
        <f>AH6+1</f>
        <v>1998</v>
      </c>
      <c r="AM6" s="597"/>
      <c r="AN6" s="276"/>
      <c r="AO6" s="256"/>
      <c r="AP6" s="722">
        <f>AL6+1</f>
        <v>1999</v>
      </c>
      <c r="AQ6" s="644"/>
      <c r="AR6" s="721"/>
      <c r="AS6" s="256"/>
      <c r="AT6" s="276">
        <f>AP6+1</f>
        <v>2000</v>
      </c>
      <c r="AU6" s="597"/>
      <c r="AV6" s="276"/>
      <c r="AW6" s="256"/>
      <c r="AX6" s="276">
        <f>AT6+1</f>
        <v>2001</v>
      </c>
      <c r="AY6" s="597"/>
      <c r="AZ6" s="276"/>
      <c r="BA6" s="256"/>
      <c r="BB6" s="276">
        <v>2002</v>
      </c>
      <c r="BC6" s="597"/>
      <c r="BD6" s="276"/>
      <c r="BE6" s="256"/>
      <c r="BF6" s="276">
        <v>2003</v>
      </c>
      <c r="BG6" s="597"/>
      <c r="BH6" s="276"/>
      <c r="BI6" s="256"/>
      <c r="BJ6" s="276">
        <v>2004</v>
      </c>
      <c r="BK6" s="597"/>
      <c r="BL6" s="276"/>
      <c r="BM6" s="585"/>
      <c r="BN6" s="276">
        <v>2005</v>
      </c>
      <c r="BO6" s="597"/>
      <c r="BP6" s="276"/>
      <c r="BQ6" s="847"/>
      <c r="BR6" s="276">
        <v>2006</v>
      </c>
      <c r="BS6" s="597"/>
      <c r="BT6" s="276"/>
      <c r="BU6" s="256"/>
      <c r="BV6" s="276">
        <v>2007</v>
      </c>
      <c r="BW6" s="597"/>
      <c r="BX6" s="276"/>
      <c r="BY6" s="256"/>
      <c r="BZ6" s="276">
        <v>2008</v>
      </c>
      <c r="CA6" s="597"/>
      <c r="CB6" s="276"/>
      <c r="CC6" s="256"/>
      <c r="CD6" s="276">
        <v>2009</v>
      </c>
      <c r="CE6" s="597"/>
      <c r="CF6" s="276"/>
      <c r="CG6" s="256"/>
      <c r="CH6" s="276">
        <v>2010</v>
      </c>
      <c r="CI6" s="597"/>
      <c r="CJ6" s="276"/>
      <c r="CK6" s="256"/>
      <c r="CL6" s="276">
        <v>2011</v>
      </c>
      <c r="CM6" s="597"/>
      <c r="CN6" s="276"/>
      <c r="CO6" s="256"/>
      <c r="CP6" s="276">
        <v>2012</v>
      </c>
      <c r="CQ6" s="597"/>
      <c r="CR6" s="276"/>
      <c r="CS6" s="256"/>
      <c r="CT6" s="276">
        <v>2013</v>
      </c>
      <c r="CU6" s="597"/>
      <c r="CV6" s="276"/>
      <c r="CW6" s="256"/>
      <c r="CX6" s="276">
        <v>2014</v>
      </c>
      <c r="CY6" s="597"/>
      <c r="CZ6" s="276"/>
      <c r="DA6" s="256"/>
      <c r="DB6" s="276">
        <v>2015</v>
      </c>
      <c r="DC6" s="597"/>
      <c r="DD6" s="276"/>
      <c r="DE6" s="256"/>
      <c r="DF6" s="276">
        <v>2016</v>
      </c>
      <c r="DG6" s="597"/>
      <c r="DH6" s="276"/>
      <c r="DI6" s="256"/>
      <c r="DJ6" s="276">
        <v>2017</v>
      </c>
      <c r="DK6" s="597"/>
      <c r="DL6" s="276"/>
      <c r="DM6" s="256"/>
      <c r="DN6" s="1157">
        <v>2018</v>
      </c>
      <c r="DO6" s="597"/>
      <c r="DP6" s="276"/>
      <c r="DQ6" s="256"/>
      <c r="DR6" s="256"/>
      <c r="DV6" s="256"/>
      <c r="DW6" s="256"/>
      <c r="DX6" s="256"/>
    </row>
    <row r="7" spans="1:133" outlineLevel="1">
      <c r="A7" s="256"/>
      <c r="B7" s="256"/>
      <c r="C7" s="256"/>
      <c r="D7" s="256"/>
      <c r="E7" s="256"/>
      <c r="F7" s="256"/>
      <c r="G7" s="256"/>
      <c r="H7" s="256"/>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587"/>
      <c r="BN7" s="256"/>
      <c r="BO7" s="256"/>
      <c r="BP7" s="256"/>
      <c r="BQ7" s="599"/>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row>
    <row r="8" spans="1:133" ht="12.75" customHeight="1" outlineLevel="1">
      <c r="A8" s="256"/>
      <c r="B8" s="256"/>
      <c r="C8" s="268"/>
      <c r="D8" s="598"/>
      <c r="E8" s="268" t="str">
        <f>Z8</f>
        <v>1. Net Sales    (% Increase -- Total/Comparable Stores)</v>
      </c>
      <c r="F8" s="598"/>
      <c r="G8" s="256"/>
      <c r="H8" s="256"/>
      <c r="I8" s="256"/>
      <c r="J8" s="598"/>
      <c r="K8" s="256"/>
      <c r="L8" s="256"/>
      <c r="M8" s="256"/>
      <c r="N8" s="598"/>
      <c r="O8" s="256"/>
      <c r="P8" s="256"/>
      <c r="Q8" s="256"/>
      <c r="R8" s="598"/>
      <c r="S8" s="256"/>
      <c r="T8" s="256"/>
      <c r="U8" s="256"/>
      <c r="V8" s="598"/>
      <c r="W8" s="256"/>
      <c r="X8" s="256"/>
      <c r="Y8" s="256"/>
      <c r="Z8" s="599" t="s">
        <v>1374</v>
      </c>
      <c r="AA8" s="312"/>
      <c r="AB8" s="312"/>
      <c r="AC8" s="312"/>
      <c r="AD8" s="600"/>
      <c r="AE8" s="312"/>
      <c r="AF8" s="312"/>
      <c r="AG8" s="312"/>
      <c r="AH8" s="600"/>
      <c r="AI8" s="312"/>
      <c r="AJ8" s="312"/>
      <c r="AK8" s="312"/>
      <c r="AL8" s="600"/>
      <c r="AM8" s="312"/>
      <c r="AN8" s="312"/>
      <c r="AO8" s="312"/>
      <c r="AP8" s="256"/>
      <c r="AQ8" s="256"/>
      <c r="AR8" s="256"/>
      <c r="AS8" s="256"/>
      <c r="AT8" s="256"/>
      <c r="AU8" s="256"/>
      <c r="AV8" s="256"/>
      <c r="AW8" s="256"/>
      <c r="AX8" s="312"/>
      <c r="AY8" s="312"/>
      <c r="AZ8" s="312"/>
      <c r="BA8" s="312"/>
      <c r="BB8" s="600"/>
      <c r="BC8" s="600"/>
      <c r="BD8" s="600"/>
      <c r="BE8" s="600"/>
      <c r="BF8" s="600"/>
      <c r="BG8" s="600"/>
      <c r="BH8" s="600"/>
      <c r="BI8" s="600"/>
      <c r="BJ8" s="600" t="s">
        <v>1374</v>
      </c>
      <c r="BK8" s="600"/>
      <c r="BL8" s="600"/>
      <c r="BM8" s="600"/>
      <c r="BN8" s="600"/>
      <c r="BO8" s="600"/>
      <c r="BP8" s="600"/>
      <c r="BQ8" s="600"/>
      <c r="BR8" s="600"/>
      <c r="BS8" s="600"/>
      <c r="BT8" s="600"/>
      <c r="BU8" s="600"/>
      <c r="BV8" s="600" t="s">
        <v>1374</v>
      </c>
      <c r="BW8" s="600"/>
      <c r="BX8" s="600"/>
      <c r="BY8" s="600"/>
      <c r="BZ8" s="600"/>
      <c r="CA8" s="600"/>
      <c r="CB8" s="600"/>
      <c r="CC8" s="600"/>
      <c r="CE8" s="600"/>
      <c r="CF8" s="600"/>
      <c r="CG8" s="600"/>
      <c r="CH8" s="600"/>
      <c r="CI8" s="600"/>
      <c r="CJ8" s="600"/>
      <c r="CK8" s="600"/>
      <c r="CL8" s="600"/>
      <c r="CM8" s="600"/>
      <c r="CN8" s="600"/>
      <c r="CO8" s="600"/>
      <c r="CP8" s="600"/>
      <c r="CQ8" s="600"/>
      <c r="CS8" s="880"/>
      <c r="CT8" s="600"/>
      <c r="CU8" s="600"/>
      <c r="CV8" s="600"/>
      <c r="CW8" s="880"/>
      <c r="CX8" s="600"/>
      <c r="CY8" s="600"/>
      <c r="CZ8" s="600"/>
      <c r="DA8" s="880"/>
      <c r="DB8" s="600" t="s">
        <v>1374</v>
      </c>
      <c r="DC8" s="600"/>
      <c r="DD8" s="600"/>
      <c r="DE8" s="880"/>
      <c r="DF8" s="600"/>
      <c r="DG8" s="600"/>
      <c r="DH8" s="600"/>
      <c r="DI8" s="880"/>
      <c r="DJ8" s="600"/>
      <c r="DK8" s="600"/>
      <c r="DL8" s="600"/>
      <c r="DM8" s="880"/>
      <c r="DN8" s="600"/>
      <c r="DO8" s="600"/>
      <c r="DP8" s="600"/>
      <c r="DQ8" s="880"/>
      <c r="DR8" s="880"/>
      <c r="DS8" s="2506"/>
      <c r="DT8" s="2506"/>
      <c r="DU8" s="2506"/>
      <c r="DV8" s="880"/>
      <c r="DW8" s="880"/>
      <c r="DX8" s="880"/>
      <c r="DY8" s="2178" t="s">
        <v>2462</v>
      </c>
      <c r="DZ8" s="2178" t="s">
        <v>2462</v>
      </c>
      <c r="EA8" s="2506"/>
      <c r="EB8" s="2506"/>
      <c r="EC8" s="2506"/>
    </row>
    <row r="9" spans="1:133" outlineLevel="1">
      <c r="A9" s="256"/>
      <c r="B9" s="256"/>
      <c r="C9" s="256"/>
      <c r="D9" s="256"/>
      <c r="E9" s="256"/>
      <c r="F9" s="256"/>
      <c r="G9" s="256"/>
      <c r="H9" s="256"/>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587"/>
      <c r="BN9" s="256"/>
      <c r="BO9" s="256"/>
      <c r="BP9" s="256"/>
      <c r="BQ9" s="599"/>
      <c r="BR9" s="256"/>
      <c r="BS9" s="256"/>
      <c r="BT9" s="256"/>
      <c r="BU9" s="256"/>
      <c r="BV9" s="256"/>
      <c r="BW9" s="256"/>
      <c r="BX9" s="256"/>
      <c r="BY9" s="256"/>
      <c r="BZ9" s="614"/>
      <c r="CA9" s="256"/>
      <c r="CB9" s="256"/>
      <c r="CC9" s="256"/>
      <c r="CD9" s="256"/>
      <c r="CE9" s="256"/>
      <c r="CF9" s="256"/>
      <c r="CG9" s="256"/>
      <c r="CH9" s="256"/>
      <c r="CI9" s="288"/>
      <c r="CJ9" s="288"/>
      <c r="CK9" s="256"/>
      <c r="CL9" s="256"/>
      <c r="CM9" s="256"/>
      <c r="CN9" s="256"/>
      <c r="CO9" s="256"/>
      <c r="CP9" s="256"/>
      <c r="CQ9" s="256"/>
      <c r="CR9" s="256"/>
      <c r="CS9" s="256"/>
      <c r="CT9" s="256"/>
      <c r="CU9" s="256"/>
      <c r="CV9" s="256"/>
      <c r="CW9" s="256"/>
      <c r="CX9" s="256"/>
      <c r="CY9" s="256"/>
      <c r="CZ9" s="256"/>
      <c r="DA9" s="256"/>
      <c r="DB9" s="256"/>
      <c r="DC9" s="256"/>
      <c r="DD9" s="1282"/>
      <c r="DE9" s="256"/>
      <c r="DF9" s="256"/>
      <c r="DG9" s="256"/>
      <c r="DH9" s="1282"/>
      <c r="DI9" s="256"/>
      <c r="DJ9" s="256"/>
      <c r="DK9" s="256"/>
      <c r="DL9" s="1282"/>
      <c r="DM9" s="256"/>
      <c r="DN9" s="256"/>
      <c r="DO9" s="256"/>
      <c r="DP9" s="1282"/>
      <c r="DQ9" s="256"/>
      <c r="DR9" s="256"/>
      <c r="DS9" s="268">
        <v>2014</v>
      </c>
      <c r="DT9" s="268">
        <v>2015</v>
      </c>
      <c r="DU9" s="268">
        <v>2016</v>
      </c>
      <c r="DV9" s="268">
        <v>2017</v>
      </c>
      <c r="DW9" s="268">
        <v>2018</v>
      </c>
      <c r="DX9" s="268"/>
      <c r="DY9" s="268">
        <v>2017</v>
      </c>
      <c r="DZ9" s="268">
        <v>2018</v>
      </c>
      <c r="EB9" s="268"/>
    </row>
    <row r="10" spans="1:133" outlineLevel="1">
      <c r="A10" s="238" t="s">
        <v>1998</v>
      </c>
      <c r="B10" s="238" t="s">
        <v>1985</v>
      </c>
      <c r="C10" s="256"/>
      <c r="D10" s="294"/>
      <c r="E10" s="256"/>
      <c r="F10" s="618"/>
      <c r="G10" s="306"/>
      <c r="H10" s="307"/>
      <c r="I10" s="256"/>
      <c r="J10" s="601">
        <f>216.477-J11</f>
        <v>97.105000000000004</v>
      </c>
      <c r="K10" s="306"/>
      <c r="L10" s="307"/>
      <c r="M10" s="256"/>
      <c r="N10" s="601">
        <f>228.068-N11</f>
        <v>107.23800000000001</v>
      </c>
      <c r="O10" s="306">
        <f t="shared" ref="O10:O16" si="0">(N10/J10-1)*100</f>
        <v>10.435096030070557</v>
      </c>
      <c r="P10" s="307"/>
      <c r="Q10" s="256"/>
      <c r="R10" s="294">
        <v>109.48099999999999</v>
      </c>
      <c r="S10" s="306">
        <f t="shared" ref="S10:S16" si="1">(R10/N10-1)*100</f>
        <v>2.0916093175926243</v>
      </c>
      <c r="T10" s="307"/>
      <c r="U10" s="256"/>
      <c r="V10" s="618">
        <v>131.20699999999999</v>
      </c>
      <c r="W10" s="306">
        <f t="shared" ref="W10:W16" si="2">(V10/R10-1)*100</f>
        <v>19.844539235118418</v>
      </c>
      <c r="X10" s="307"/>
      <c r="Y10" s="256"/>
      <c r="Z10" s="618">
        <v>150.14400000000001</v>
      </c>
      <c r="AA10" s="306">
        <f t="shared" ref="AA10:AA16" si="3">(Z10/V10-1)*100</f>
        <v>14.432918975359566</v>
      </c>
      <c r="AB10" s="307"/>
      <c r="AC10" s="256"/>
      <c r="AD10" s="618">
        <v>180.74100000000001</v>
      </c>
      <c r="AE10" s="306">
        <f>(AD10/Z10-1)*100</f>
        <v>20.378436700767267</v>
      </c>
      <c r="AF10" s="307"/>
      <c r="AG10" s="256"/>
      <c r="AH10" s="618">
        <v>199.69900000000001</v>
      </c>
      <c r="AI10" s="306">
        <f>(AH10/AD10-1)*100</f>
        <v>10.489042331291731</v>
      </c>
      <c r="AJ10" s="307"/>
      <c r="AK10" s="256"/>
      <c r="AL10" s="618">
        <v>226.15899999999999</v>
      </c>
      <c r="AM10" s="306">
        <f>(AL10/AH10-1)*100</f>
        <v>13.249941161447975</v>
      </c>
      <c r="AN10" s="307"/>
      <c r="AO10" s="256"/>
      <c r="AP10" s="294">
        <v>272.27699999999999</v>
      </c>
      <c r="AQ10" s="306">
        <f>(AP10/AL10-1)*100</f>
        <v>20.3918482129829</v>
      </c>
      <c r="AR10" s="307"/>
      <c r="AS10" s="256"/>
      <c r="AT10" s="618">
        <v>345.14299999999997</v>
      </c>
      <c r="AU10" s="306">
        <f>(AT10/AP10-1)*100</f>
        <v>26.761716927981418</v>
      </c>
      <c r="AV10" s="1009">
        <f>((AV15)-(AT11/AT15)*AV11)/(AT10/AT15)</f>
        <v>24.254720507152104</v>
      </c>
      <c r="AW10" s="256"/>
      <c r="AX10" s="618">
        <v>336.40100000000001</v>
      </c>
      <c r="AY10" s="883">
        <f>(AX10/AT10-1)*100</f>
        <v>-2.5328631900400578</v>
      </c>
      <c r="AZ10" s="885">
        <v>-2</v>
      </c>
      <c r="BA10" s="256"/>
      <c r="BB10" s="877">
        <v>347.12900000000002</v>
      </c>
      <c r="BC10" s="883">
        <f t="shared" ref="BC10:BC16" si="4">(BB10/AX10-1)*100</f>
        <v>3.189051162154688</v>
      </c>
      <c r="BD10" s="885">
        <v>1</v>
      </c>
      <c r="BE10" s="256"/>
      <c r="BF10" s="877">
        <v>395.839</v>
      </c>
      <c r="BG10" s="883">
        <f>(BF10/BB10-1)*100</f>
        <v>14.032247377775974</v>
      </c>
      <c r="BH10" s="885">
        <v>0.4</v>
      </c>
      <c r="BI10" s="256"/>
      <c r="BJ10" s="877">
        <v>456.96</v>
      </c>
      <c r="BK10" s="883">
        <f>(BJ10/BF10-1)*100</f>
        <v>15.440873688545075</v>
      </c>
      <c r="BL10" s="885">
        <v>9</v>
      </c>
      <c r="BM10" s="589"/>
      <c r="BN10" s="877">
        <v>509.90100000000001</v>
      </c>
      <c r="BO10" s="883">
        <f>(BN10/BJ10-1)*100</f>
        <v>11.585477941176482</v>
      </c>
      <c r="BP10" s="885">
        <v>4</v>
      </c>
      <c r="BQ10" s="848"/>
      <c r="BR10" s="877">
        <f>1070.013-BR11</f>
        <v>515.35599999999988</v>
      </c>
      <c r="BS10" s="883">
        <f>(BR10/BN10-1)*100</f>
        <v>1.0698155132074394</v>
      </c>
      <c r="BT10" s="885">
        <v>5</v>
      </c>
      <c r="BU10" s="256"/>
      <c r="BV10" s="877">
        <v>595.72900000000004</v>
      </c>
      <c r="BW10" s="883">
        <f>(BV10/BR10-1)*100</f>
        <v>15.595627100489784</v>
      </c>
      <c r="BX10" s="885">
        <v>9</v>
      </c>
      <c r="BY10" s="256"/>
      <c r="BZ10" s="877">
        <f>668.149-2.669</f>
        <v>665.48</v>
      </c>
      <c r="CA10" s="883">
        <f>(BZ10/BV10-1)*100</f>
        <v>11.708511756184436</v>
      </c>
      <c r="CB10" s="885">
        <v>3</v>
      </c>
      <c r="CC10" s="256"/>
      <c r="CD10" s="877">
        <f>523.059-5.444</f>
        <v>517.61500000000001</v>
      </c>
      <c r="CE10" s="883">
        <f>(CD10/BZ10-1)*100</f>
        <v>-22.219300354631244</v>
      </c>
      <c r="CF10" s="885">
        <v>-21</v>
      </c>
      <c r="CG10" s="256"/>
      <c r="CH10" s="877">
        <v>633.58600000000001</v>
      </c>
      <c r="CI10" s="883">
        <f>(CH10/CD10-1)*100</f>
        <v>22.404876211083536</v>
      </c>
      <c r="CJ10" s="2138">
        <v>10</v>
      </c>
      <c r="CK10" s="256"/>
      <c r="CL10" s="877">
        <v>761.01800000000003</v>
      </c>
      <c r="CM10" s="883">
        <f>(CL10/CH10-1)*100</f>
        <v>20.112818149390922</v>
      </c>
      <c r="CN10" s="2138">
        <v>15</v>
      </c>
      <c r="CO10" s="256"/>
      <c r="CP10" s="877">
        <v>819.17</v>
      </c>
      <c r="CQ10" s="883">
        <f>(CP10/CL10-1)*100</f>
        <v>7.6413435687460618</v>
      </c>
      <c r="CR10" s="2138">
        <v>4</v>
      </c>
      <c r="CS10" s="256"/>
      <c r="CT10" s="877">
        <v>895.48400000000004</v>
      </c>
      <c r="CU10" s="883">
        <f t="shared" ref="CU10:CU16" si="5">(CT10/CP10-1)*100</f>
        <v>9.316014990783362</v>
      </c>
      <c r="CV10" s="2138">
        <v>8</v>
      </c>
      <c r="CW10" s="256"/>
      <c r="CX10" s="877">
        <v>1012.1319999999999</v>
      </c>
      <c r="CY10" s="883">
        <f t="shared" ref="CY10:CY16" si="6">(CX10/CT10-1)*100</f>
        <v>13.026251725323945</v>
      </c>
      <c r="CZ10" s="2138">
        <v>11</v>
      </c>
      <c r="DA10" s="256"/>
      <c r="DB10" s="877">
        <v>962.4</v>
      </c>
      <c r="DC10" s="883">
        <f>(DB10/CX10-1)*100</f>
        <v>-4.9135883461840946</v>
      </c>
      <c r="DD10" s="2138">
        <v>-1</v>
      </c>
      <c r="DE10" s="256"/>
      <c r="DF10" s="2169">
        <v>891.3</v>
      </c>
      <c r="DG10" s="883">
        <f>(DF10/DB10-1)*100</f>
        <v>-7.3877805486284309</v>
      </c>
      <c r="DH10" s="2140">
        <v>-9</v>
      </c>
      <c r="DI10" s="256"/>
      <c r="DJ10" s="2211">
        <v>899.6</v>
      </c>
      <c r="DK10" s="883">
        <f>(DJ10/DF10-1)*100</f>
        <v>0.9312240547515005</v>
      </c>
      <c r="DL10" s="2213">
        <v>-2</v>
      </c>
      <c r="DM10" s="1283"/>
      <c r="DN10" s="882">
        <f>'segSales&amp;comps'!E236+'segSales&amp;comps'!Q236+'segSales&amp;comps'!W236+'segSales&amp;comps'!AG236+'segSales&amp;comps'!AR236</f>
        <v>962.18680975643326</v>
      </c>
      <c r="DO10" s="883">
        <f>(DN10/DJ10-1)*100</f>
        <v>6.957182053849853</v>
      </c>
      <c r="DP10" s="2141">
        <f>qtrSales!F208</f>
        <v>3.3298297183958097</v>
      </c>
      <c r="DQ10" s="1283"/>
      <c r="DR10" s="1283"/>
      <c r="DS10" s="1158">
        <f>CZ10+CV10</f>
        <v>19</v>
      </c>
      <c r="DT10" s="1158">
        <f>DD10+CZ10</f>
        <v>10</v>
      </c>
      <c r="DU10" s="1158">
        <f>DH10+DD10</f>
        <v>-10</v>
      </c>
      <c r="DV10" s="1158">
        <f>DL10+DH10</f>
        <v>-11</v>
      </c>
      <c r="DW10" s="1158">
        <f>DL10+DP10</f>
        <v>1.3298297183958097</v>
      </c>
      <c r="DX10" s="1158"/>
      <c r="DY10" s="1158">
        <f>DH10+DD10+DL10</f>
        <v>-12</v>
      </c>
      <c r="DZ10" s="1158">
        <f>DH10+DP10+DL10</f>
        <v>-7.6701702816041903</v>
      </c>
      <c r="EB10" s="1158"/>
      <c r="EC10" s="1509"/>
    </row>
    <row r="11" spans="1:133" outlineLevel="1">
      <c r="A11" s="238" t="s">
        <v>1999</v>
      </c>
      <c r="B11" s="238" t="s">
        <v>1986</v>
      </c>
      <c r="C11" s="256"/>
      <c r="D11" s="295"/>
      <c r="E11" s="256"/>
      <c r="F11" s="619"/>
      <c r="G11" s="306"/>
      <c r="H11" s="307"/>
      <c r="I11" s="256"/>
      <c r="J11" s="295">
        <v>119.372</v>
      </c>
      <c r="K11" s="306"/>
      <c r="L11" s="307"/>
      <c r="M11" s="256"/>
      <c r="N11" s="295">
        <v>120.83</v>
      </c>
      <c r="O11" s="306">
        <f t="shared" si="0"/>
        <v>1.2213919512113369</v>
      </c>
      <c r="P11" s="307"/>
      <c r="Q11" s="256"/>
      <c r="R11" s="295">
        <f>114.233</f>
        <v>114.233</v>
      </c>
      <c r="S11" s="306">
        <f t="shared" si="1"/>
        <v>-5.4597368203260777</v>
      </c>
      <c r="T11" s="307"/>
      <c r="U11" s="256"/>
      <c r="V11" s="619">
        <v>152.25700000000001</v>
      </c>
      <c r="W11" s="306">
        <f t="shared" si="2"/>
        <v>33.286353330473673</v>
      </c>
      <c r="X11" s="307"/>
      <c r="Y11" s="256"/>
      <c r="Z11" s="619">
        <v>184.68199999999999</v>
      </c>
      <c r="AA11" s="306">
        <f t="shared" si="3"/>
        <v>21.296229401603849</v>
      </c>
      <c r="AB11" s="307"/>
      <c r="AC11" s="256"/>
      <c r="AD11" s="619">
        <v>202.76300000000001</v>
      </c>
      <c r="AE11" s="306">
        <f t="shared" ref="AE11:AE16" si="7">(AD11/Z11-1)*100</f>
        <v>9.7903423181468838</v>
      </c>
      <c r="AF11" s="307"/>
      <c r="AG11" s="256"/>
      <c r="AH11" s="619">
        <v>217.149</v>
      </c>
      <c r="AI11" s="306">
        <f t="shared" ref="AI11:AI16" si="8">(AH11/AD11-1)*100</f>
        <v>7.094982812446049</v>
      </c>
      <c r="AJ11" s="307"/>
      <c r="AK11" s="256"/>
      <c r="AL11" s="619">
        <v>247.72200000000001</v>
      </c>
      <c r="AM11" s="306">
        <f t="shared" ref="AM11:AM16" si="9">(AL11/AH11-1)*100</f>
        <v>14.079272757415428</v>
      </c>
      <c r="AN11" s="307"/>
      <c r="AO11" s="256"/>
      <c r="AP11" s="295">
        <v>307.06700000000001</v>
      </c>
      <c r="AQ11" s="306">
        <f t="shared" ref="AQ11:AQ16" si="10">(AP11/AL11-1)*100</f>
        <v>23.956289711854417</v>
      </c>
      <c r="AR11" s="307"/>
      <c r="AS11" s="256"/>
      <c r="AT11" s="619">
        <v>374.44799999999998</v>
      </c>
      <c r="AU11" s="306">
        <f t="shared" ref="AU11:AU16" si="11">(AT11/AP11-1)*100</f>
        <v>21.943419514307937</v>
      </c>
      <c r="AV11" s="307">
        <v>18</v>
      </c>
      <c r="AW11" s="256"/>
      <c r="AX11" s="619">
        <v>371.30099999999999</v>
      </c>
      <c r="AY11" s="883">
        <f t="shared" ref="AY11:AY16" si="12">(AX11/AT11-1)*100</f>
        <v>-0.8404371234457142</v>
      </c>
      <c r="AZ11" s="885">
        <v>0</v>
      </c>
      <c r="BA11" s="256"/>
      <c r="BB11" s="878">
        <v>374.42700000000002</v>
      </c>
      <c r="BC11" s="883">
        <f t="shared" si="4"/>
        <v>0.84190454644614832</v>
      </c>
      <c r="BD11" s="885">
        <v>-5</v>
      </c>
      <c r="BE11" s="256"/>
      <c r="BF11" s="878">
        <v>442.495</v>
      </c>
      <c r="BG11" s="883">
        <f t="shared" ref="BG11:BG16" si="13">(BF11/BB11-1)*100</f>
        <v>18.179244552342631</v>
      </c>
      <c r="BH11" s="885">
        <v>8</v>
      </c>
      <c r="BI11" s="256"/>
      <c r="BJ11" s="878">
        <v>476.59699999999998</v>
      </c>
      <c r="BK11" s="883">
        <f t="shared" ref="BK11:BK16" si="14">(BJ11/BF11-1)*100</f>
        <v>7.7067537486299242</v>
      </c>
      <c r="BL11" s="885">
        <v>5</v>
      </c>
      <c r="BM11" s="590"/>
      <c r="BN11" s="878">
        <v>526.70100000000002</v>
      </c>
      <c r="BO11" s="883">
        <f t="shared" ref="BO11:BO16" si="15">(BN11/BJ11-1)*100</f>
        <v>10.512865167006936</v>
      </c>
      <c r="BP11" s="885">
        <v>4</v>
      </c>
      <c r="BQ11" s="848"/>
      <c r="BR11" s="878">
        <v>554.65700000000004</v>
      </c>
      <c r="BS11" s="883">
        <f t="shared" ref="BS11:BS16" si="16">(BR11/BN11-1)*100</f>
        <v>5.307755253929658</v>
      </c>
      <c r="BT11" s="885">
        <v>6</v>
      </c>
      <c r="BU11" s="256"/>
      <c r="BV11" s="878">
        <v>662.56200000000001</v>
      </c>
      <c r="BW11" s="883">
        <f t="shared" ref="BW11:BW16" si="17">(BV11/BR11-1)*100</f>
        <v>19.454365490744728</v>
      </c>
      <c r="BX11" s="885">
        <v>13</v>
      </c>
      <c r="BY11" s="256"/>
      <c r="BZ11" s="878">
        <f>732.403-2.769</f>
        <v>729.63400000000001</v>
      </c>
      <c r="CA11" s="883">
        <f t="shared" ref="CA11:CA16" si="18">(BZ11/BV11-1)*100</f>
        <v>10.123128099709922</v>
      </c>
      <c r="CB11" s="885">
        <v>-1</v>
      </c>
      <c r="CC11" s="256"/>
      <c r="CD11" s="878">
        <v>612.49300000000005</v>
      </c>
      <c r="CE11" s="883">
        <f t="shared" ref="CE11:CE16" si="19">(CD11/BZ11-1)*100</f>
        <v>-16.054761702442587</v>
      </c>
      <c r="CF11" s="885">
        <v>-16</v>
      </c>
      <c r="CG11" s="256"/>
      <c r="CH11" s="878">
        <v>668.76</v>
      </c>
      <c r="CI11" s="883">
        <f t="shared" ref="CI11:CI16" si="20">(CH11/CD11-1)*100</f>
        <v>9.1865539687800322</v>
      </c>
      <c r="CJ11" s="2138">
        <v>5</v>
      </c>
      <c r="CK11" s="256"/>
      <c r="CL11" s="878">
        <v>872.71199999999999</v>
      </c>
      <c r="CM11" s="883">
        <f t="shared" ref="CM11:CM16" si="21">(CL11/CH11-1)*100</f>
        <v>30.497039296608651</v>
      </c>
      <c r="CN11" s="2138">
        <v>22</v>
      </c>
      <c r="CO11" s="256"/>
      <c r="CP11" s="878">
        <v>886.56899999999996</v>
      </c>
      <c r="CQ11" s="883">
        <f t="shared" ref="CQ11:CQ16" si="22">(CP11/CL11-1)*100</f>
        <v>1.5878090366581388</v>
      </c>
      <c r="CR11" s="2138">
        <v>-1</v>
      </c>
      <c r="CS11" s="256"/>
      <c r="CT11" s="1728">
        <v>925.88400000000001</v>
      </c>
      <c r="CU11" s="883">
        <f t="shared" si="5"/>
        <v>4.4345110194468962</v>
      </c>
      <c r="CV11" s="2139">
        <v>5</v>
      </c>
      <c r="CW11" s="256"/>
      <c r="CX11" s="1728">
        <v>992.93</v>
      </c>
      <c r="CY11" s="883">
        <f t="shared" si="6"/>
        <v>7.2412958858776966</v>
      </c>
      <c r="CZ11" s="2139">
        <v>3</v>
      </c>
      <c r="DA11" s="256"/>
      <c r="DB11" s="2103">
        <v>990.5</v>
      </c>
      <c r="DC11" s="883">
        <f>(DB11/CX11-1)*100</f>
        <v>-0.24473024281670419</v>
      </c>
      <c r="DD11" s="2140">
        <v>7</v>
      </c>
      <c r="DE11" s="256"/>
      <c r="DF11" s="2103">
        <v>931.6</v>
      </c>
      <c r="DG11" s="883">
        <f>(DF11/DB11-1)*100</f>
        <v>-5.9464916708733</v>
      </c>
      <c r="DH11" s="2140">
        <v>-9</v>
      </c>
      <c r="DI11" s="256"/>
      <c r="DJ11" s="2103">
        <v>959.7</v>
      </c>
      <c r="DK11" s="883">
        <f>(DJ11/DF11-1)*100</f>
        <v>3.0163160154572877</v>
      </c>
      <c r="DL11" s="2213">
        <v>-1</v>
      </c>
      <c r="DM11" s="1283"/>
      <c r="DN11" s="1158">
        <f>'segSales&amp;comps'!E237+'segSales&amp;comps'!Q237+'segSales&amp;comps'!W237+'segSales&amp;comps'!AG237+'segSales&amp;comps'!AR237</f>
        <v>1013.8900271373188</v>
      </c>
      <c r="DO11" s="883">
        <f>(DN11/DJ11-1)*100</f>
        <v>5.6465590431717061</v>
      </c>
      <c r="DP11" s="2141">
        <f>qtrSales!F209</f>
        <v>2.6718397590064087</v>
      </c>
      <c r="DQ11" s="1283"/>
      <c r="DR11" s="1283"/>
      <c r="DS11" s="1158">
        <f>CZ11+CV11</f>
        <v>8</v>
      </c>
      <c r="DT11" s="1158">
        <f>DD11+CZ11</f>
        <v>10</v>
      </c>
      <c r="DU11" s="1158">
        <f>DH11+DD11</f>
        <v>-2</v>
      </c>
      <c r="DV11" s="1158">
        <f>DL11+DH11</f>
        <v>-10</v>
      </c>
      <c r="DW11" s="1158">
        <f>DL11+DP11</f>
        <v>1.6718397590064087</v>
      </c>
      <c r="DX11" s="1158"/>
      <c r="DY11" s="1158">
        <f>DH11+DD11+DL11</f>
        <v>-3</v>
      </c>
      <c r="DZ11" s="1158">
        <f>DH11+DP11+DL11</f>
        <v>-7.3281602409935918</v>
      </c>
      <c r="EB11" s="1158"/>
      <c r="EC11" s="1510"/>
    </row>
    <row r="12" spans="1:133" outlineLevel="1">
      <c r="A12" s="238" t="s">
        <v>2000</v>
      </c>
      <c r="B12" s="238" t="s">
        <v>1987</v>
      </c>
      <c r="C12" s="256"/>
      <c r="D12" s="295"/>
      <c r="E12" s="256"/>
      <c r="F12" s="619"/>
      <c r="G12" s="306"/>
      <c r="H12" s="307"/>
      <c r="I12" s="256"/>
      <c r="J12" s="295">
        <v>126.401</v>
      </c>
      <c r="K12" s="306"/>
      <c r="L12" s="307"/>
      <c r="M12" s="256"/>
      <c r="N12" s="295">
        <v>105.89700000000001</v>
      </c>
      <c r="O12" s="306">
        <f t="shared" si="0"/>
        <v>-16.221390653554945</v>
      </c>
      <c r="P12" s="307"/>
      <c r="Q12" s="256"/>
      <c r="R12" s="295">
        <v>134.75</v>
      </c>
      <c r="S12" s="306">
        <f t="shared" si="1"/>
        <v>27.246286485924998</v>
      </c>
      <c r="T12" s="307"/>
      <c r="U12" s="256"/>
      <c r="V12" s="619">
        <v>160.09100000000001</v>
      </c>
      <c r="W12" s="306">
        <f t="shared" si="2"/>
        <v>18.805936920222631</v>
      </c>
      <c r="X12" s="307"/>
      <c r="Y12" s="256"/>
      <c r="Z12" s="619">
        <v>187.76599999999999</v>
      </c>
      <c r="AA12" s="306">
        <f t="shared" si="3"/>
        <v>17.287042994296975</v>
      </c>
      <c r="AB12" s="307"/>
      <c r="AC12" s="256"/>
      <c r="AD12" s="619">
        <v>210.98500000000001</v>
      </c>
      <c r="AE12" s="306">
        <f t="shared" si="7"/>
        <v>12.365923543133484</v>
      </c>
      <c r="AF12" s="307"/>
      <c r="AG12" s="256"/>
      <c r="AH12" s="619">
        <v>233.07400000000001</v>
      </c>
      <c r="AI12" s="306">
        <f t="shared" si="8"/>
        <v>10.469464653885341</v>
      </c>
      <c r="AJ12" s="307"/>
      <c r="AK12" s="256"/>
      <c r="AL12" s="619">
        <v>252.56</v>
      </c>
      <c r="AM12" s="306">
        <f t="shared" si="9"/>
        <v>8.360434883341771</v>
      </c>
      <c r="AN12" s="307"/>
      <c r="AO12" s="256"/>
      <c r="AP12" s="295">
        <v>322.70600000000002</v>
      </c>
      <c r="AQ12" s="306">
        <f t="shared" si="10"/>
        <v>27.77399429838454</v>
      </c>
      <c r="AR12" s="307"/>
      <c r="AS12" s="256"/>
      <c r="AT12" s="619">
        <v>372.07400000000001</v>
      </c>
      <c r="AU12" s="306">
        <f t="shared" si="11"/>
        <v>15.298135144682767</v>
      </c>
      <c r="AV12" s="307">
        <v>17</v>
      </c>
      <c r="AW12" s="256"/>
      <c r="AX12" s="619">
        <v>333.07400000000001</v>
      </c>
      <c r="AY12" s="883">
        <f t="shared" si="12"/>
        <v>-10.481785881303185</v>
      </c>
      <c r="AZ12" s="885">
        <v>-11</v>
      </c>
      <c r="BA12" s="256"/>
      <c r="BB12" s="878">
        <v>366.03300000000002</v>
      </c>
      <c r="BC12" s="883">
        <f t="shared" si="4"/>
        <v>9.8953986201264499</v>
      </c>
      <c r="BD12" s="885">
        <v>3</v>
      </c>
      <c r="BE12" s="256"/>
      <c r="BF12" s="878">
        <v>430.12299999999999</v>
      </c>
      <c r="BG12" s="883">
        <f t="shared" si="13"/>
        <v>17.50935024984086</v>
      </c>
      <c r="BH12" s="885">
        <v>10</v>
      </c>
      <c r="BI12" s="256"/>
      <c r="BJ12" s="878">
        <v>461.15199999999999</v>
      </c>
      <c r="BK12" s="883">
        <f t="shared" si="14"/>
        <v>7.2139829769624075</v>
      </c>
      <c r="BL12" s="885">
        <v>1</v>
      </c>
      <c r="BM12" s="590"/>
      <c r="BN12" s="878">
        <v>500.10500000000002</v>
      </c>
      <c r="BO12" s="883">
        <f t="shared" si="15"/>
        <v>8.4468895288321466</v>
      </c>
      <c r="BP12" s="885">
        <v>5</v>
      </c>
      <c r="BQ12" s="848"/>
      <c r="BR12" s="878">
        <v>531.83399999999995</v>
      </c>
      <c r="BS12" s="883">
        <f t="shared" si="16"/>
        <v>6.3444676617910201</v>
      </c>
      <c r="BT12" s="885">
        <v>4</v>
      </c>
      <c r="BU12" s="256"/>
      <c r="BV12" s="878">
        <v>627.32299999999998</v>
      </c>
      <c r="BW12" s="883">
        <f t="shared" si="17"/>
        <v>17.95466254507987</v>
      </c>
      <c r="BX12" s="885">
        <v>9</v>
      </c>
      <c r="BY12" s="256"/>
      <c r="BZ12" s="878">
        <f>618.23-2.078</f>
        <v>616.15200000000004</v>
      </c>
      <c r="CA12" s="883">
        <f t="shared" si="18"/>
        <v>-1.7807413405853012</v>
      </c>
      <c r="CB12" s="885">
        <v>-7</v>
      </c>
      <c r="CC12" s="256"/>
      <c r="CD12" s="878">
        <f>598.212</f>
        <v>598.21199999999999</v>
      </c>
      <c r="CE12" s="883">
        <f t="shared" si="19"/>
        <v>-2.9116192108440853</v>
      </c>
      <c r="CF12" s="885">
        <v>-6</v>
      </c>
      <c r="CG12" s="256"/>
      <c r="CH12" s="878">
        <v>681.72900000000004</v>
      </c>
      <c r="CI12" s="883">
        <f t="shared" si="20"/>
        <v>13.96110409018878</v>
      </c>
      <c r="CJ12" s="2138">
        <v>7</v>
      </c>
      <c r="CK12" s="1475"/>
      <c r="CL12" s="878">
        <v>821.76700000000005</v>
      </c>
      <c r="CM12" s="883">
        <f t="shared" si="21"/>
        <v>20.541593507097389</v>
      </c>
      <c r="CN12" s="2138">
        <v>16</v>
      </c>
      <c r="CO12" s="1475"/>
      <c r="CP12" s="878">
        <v>852.74099999999999</v>
      </c>
      <c r="CQ12" s="883">
        <f>(CP12/CL12-1)*100</f>
        <v>3.769194917780827</v>
      </c>
      <c r="CR12" s="2138">
        <v>1</v>
      </c>
      <c r="CS12" s="256"/>
      <c r="CT12" s="878">
        <v>911.47799999999995</v>
      </c>
      <c r="CU12" s="883">
        <f t="shared" si="5"/>
        <v>6.8880234443987165</v>
      </c>
      <c r="CV12" s="2138">
        <v>7</v>
      </c>
      <c r="CW12" s="256"/>
      <c r="CX12" s="878">
        <v>959.58900000000006</v>
      </c>
      <c r="CY12" s="883">
        <f t="shared" si="6"/>
        <v>5.2783501082856787</v>
      </c>
      <c r="CZ12" s="2138">
        <v>4</v>
      </c>
      <c r="DA12" s="256"/>
      <c r="DB12" s="2126">
        <v>938.2</v>
      </c>
      <c r="DC12" s="883">
        <f>(DB12/CX12-1)*100</f>
        <v>-2.2289751133037217</v>
      </c>
      <c r="DD12" s="2140">
        <v>1</v>
      </c>
      <c r="DE12" s="256"/>
      <c r="DF12" s="2126">
        <v>949.3</v>
      </c>
      <c r="DG12" s="883">
        <f>(DF12/DB12-1)*100</f>
        <v>1.1831166062673093</v>
      </c>
      <c r="DH12" s="2140">
        <v>-3</v>
      </c>
      <c r="DI12" s="256"/>
      <c r="DJ12" s="2427">
        <v>976.2</v>
      </c>
      <c r="DK12" s="883">
        <f>(DJ12/DF12-1)*100</f>
        <v>2.8336669124618297</v>
      </c>
      <c r="DL12" s="2428">
        <v>0</v>
      </c>
      <c r="DM12" s="1283"/>
      <c r="DN12" s="1158">
        <f>'segSales&amp;comps'!E238+'segSales&amp;comps'!Q238+'segSales&amp;comps'!W238+'segSales&amp;comps'!AG238+'segSales&amp;comps'!AR238</f>
        <v>1023.9219532163743</v>
      </c>
      <c r="DO12" s="883">
        <f>(DN12/DJ12-1)*100</f>
        <v>4.8885426363833417</v>
      </c>
      <c r="DP12" s="2141">
        <f>qtrSales!F210</f>
        <v>2.3834959540814991</v>
      </c>
      <c r="DQ12" s="1283"/>
      <c r="DR12" s="1283"/>
      <c r="DS12" s="1158">
        <f>CZ12+CV12</f>
        <v>11</v>
      </c>
      <c r="DT12" s="1158">
        <f>DD12+CZ12</f>
        <v>5</v>
      </c>
      <c r="DU12" s="1158">
        <f>DH12+DD12</f>
        <v>-2</v>
      </c>
      <c r="DV12" s="1158">
        <f>DL12+DH12</f>
        <v>-3</v>
      </c>
      <c r="DW12" s="1158">
        <f>DL12+DP12</f>
        <v>2.3834959540814991</v>
      </c>
      <c r="DX12" s="1158"/>
      <c r="DY12" s="1158">
        <f>DH12+DD12+DL12</f>
        <v>-2</v>
      </c>
      <c r="DZ12" s="1158">
        <f>DH12+DP12+DL12</f>
        <v>-0.61650404591850094</v>
      </c>
      <c r="EB12" s="1158"/>
      <c r="EC12" s="727"/>
    </row>
    <row r="13" spans="1:133" outlineLevel="1">
      <c r="A13" s="238" t="s">
        <v>2001</v>
      </c>
      <c r="B13" s="238" t="s">
        <v>1988</v>
      </c>
      <c r="C13" s="587"/>
      <c r="D13" s="292"/>
      <c r="E13" s="256"/>
      <c r="F13" s="620"/>
      <c r="G13" s="306"/>
      <c r="H13" s="307"/>
      <c r="I13" s="256"/>
      <c r="J13" s="292">
        <v>149.02799999999999</v>
      </c>
      <c r="K13" s="306"/>
      <c r="L13" s="307"/>
      <c r="M13" s="256"/>
      <c r="N13" s="292">
        <v>152.43100000000001</v>
      </c>
      <c r="O13" s="306">
        <f t="shared" si="0"/>
        <v>2.2834635102128686</v>
      </c>
      <c r="P13" s="307"/>
      <c r="Q13" s="256"/>
      <c r="R13" s="292">
        <v>208.03700000000001</v>
      </c>
      <c r="S13" s="306">
        <f t="shared" si="1"/>
        <v>36.479456278578496</v>
      </c>
      <c r="T13" s="307"/>
      <c r="U13" s="256"/>
      <c r="V13" s="292">
        <v>239.27600000000001</v>
      </c>
      <c r="W13" s="306">
        <f t="shared" si="2"/>
        <v>15.016078870585513</v>
      </c>
      <c r="X13" s="307"/>
      <c r="Y13" s="256"/>
      <c r="Z13" s="292">
        <v>280.7</v>
      </c>
      <c r="AA13" s="306">
        <f t="shared" si="3"/>
        <v>17.312225212725039</v>
      </c>
      <c r="AB13" s="307"/>
      <c r="AC13" s="256"/>
      <c r="AD13" s="292">
        <v>327.61900000000003</v>
      </c>
      <c r="AE13" s="306">
        <f t="shared" si="7"/>
        <v>16.714998218738874</v>
      </c>
      <c r="AF13" s="307"/>
      <c r="AG13" s="256"/>
      <c r="AH13" s="620">
        <v>367.69400000000002</v>
      </c>
      <c r="AI13" s="306">
        <f t="shared" si="8"/>
        <v>12.232196545377395</v>
      </c>
      <c r="AJ13" s="307"/>
      <c r="AK13" s="256"/>
      <c r="AL13" s="1010">
        <f>AL14-SUM(AL10:AL12)</f>
        <v>451.48800000000006</v>
      </c>
      <c r="AM13" s="306">
        <f t="shared" si="9"/>
        <v>22.789058293037144</v>
      </c>
      <c r="AN13" s="307"/>
      <c r="AO13" s="256"/>
      <c r="AP13" s="273">
        <f>AP14-SUM(AP10:AP12)</f>
        <v>569.64</v>
      </c>
      <c r="AQ13" s="306">
        <f t="shared" si="10"/>
        <v>26.169466298107569</v>
      </c>
      <c r="AR13" s="307"/>
      <c r="AS13" s="256"/>
      <c r="AT13" s="1010">
        <f>1668.056-SUM(AT10:AT12)</f>
        <v>576.39100000000008</v>
      </c>
      <c r="AU13" s="306">
        <f t="shared" si="11"/>
        <v>1.1851344708939227</v>
      </c>
      <c r="AV13" s="1009"/>
      <c r="AW13" s="256"/>
      <c r="AX13" s="620">
        <v>565.75900000000001</v>
      </c>
      <c r="AY13" s="883">
        <f t="shared" si="12"/>
        <v>-1.8445811957508162</v>
      </c>
      <c r="AZ13" s="885">
        <v>-2</v>
      </c>
      <c r="BA13" s="256"/>
      <c r="BB13" s="879">
        <v>619.01300000000003</v>
      </c>
      <c r="BC13" s="883">
        <f t="shared" si="4"/>
        <v>9.4128418637617894</v>
      </c>
      <c r="BD13" s="885">
        <v>-1</v>
      </c>
      <c r="BE13" s="256"/>
      <c r="BF13" s="879">
        <v>731.58799999999997</v>
      </c>
      <c r="BG13" s="883">
        <f t="shared" si="13"/>
        <v>18.186209336475969</v>
      </c>
      <c r="BH13" s="885">
        <v>10</v>
      </c>
      <c r="BI13" s="256"/>
      <c r="BJ13" s="879">
        <v>810.12199999999996</v>
      </c>
      <c r="BK13" s="883">
        <f>(BJ13/BF13-1)*100</f>
        <v>10.734730476716404</v>
      </c>
      <c r="BL13" s="885">
        <v>3</v>
      </c>
      <c r="BM13" s="590"/>
      <c r="BN13" s="879">
        <v>858.44600000000003</v>
      </c>
      <c r="BO13" s="883">
        <f t="shared" si="15"/>
        <v>5.9650274896867472</v>
      </c>
      <c r="BP13" s="885">
        <v>6</v>
      </c>
      <c r="BQ13" s="848"/>
      <c r="BR13" s="879">
        <v>958.88699999999994</v>
      </c>
      <c r="BS13" s="883">
        <f t="shared" si="16"/>
        <v>11.700328267590487</v>
      </c>
      <c r="BT13" s="885">
        <v>8</v>
      </c>
      <c r="BU13" s="256"/>
      <c r="BV13" s="879">
        <v>1053.1569999999999</v>
      </c>
      <c r="BW13" s="883">
        <f t="shared" si="17"/>
        <v>9.8311897022276931</v>
      </c>
      <c r="BX13" s="885">
        <v>1</v>
      </c>
      <c r="BY13" s="256"/>
      <c r="BZ13" s="879">
        <v>837.59299999999996</v>
      </c>
      <c r="CA13" s="883">
        <f t="shared" si="18"/>
        <v>-20.468363216500485</v>
      </c>
      <c r="CB13" s="885">
        <v>-23</v>
      </c>
      <c r="CC13" s="256"/>
      <c r="CD13" s="879">
        <v>981.38400000000001</v>
      </c>
      <c r="CE13" s="883">
        <f t="shared" si="19"/>
        <v>17.167168302504933</v>
      </c>
      <c r="CF13" s="885">
        <v>8</v>
      </c>
      <c r="CG13" s="256"/>
      <c r="CH13" s="879">
        <v>1101.2149999999999</v>
      </c>
      <c r="CI13" s="883">
        <f t="shared" si="20"/>
        <v>12.210408973449738</v>
      </c>
      <c r="CJ13" s="2138">
        <v>9</v>
      </c>
      <c r="CK13" s="256"/>
      <c r="CL13" s="879">
        <v>1187.44</v>
      </c>
      <c r="CM13" s="883">
        <f t="shared" si="21"/>
        <v>7.8299877862179734</v>
      </c>
      <c r="CN13" s="2138">
        <v>5</v>
      </c>
      <c r="CO13" s="256"/>
      <c r="CP13" s="879">
        <v>1235.769</v>
      </c>
      <c r="CQ13" s="883">
        <f t="shared" si="22"/>
        <v>4.070016169238011</v>
      </c>
      <c r="CR13" s="2138">
        <v>0</v>
      </c>
      <c r="CS13" s="256"/>
      <c r="CT13" s="879">
        <v>1298.2840000000001</v>
      </c>
      <c r="CU13" s="883">
        <f t="shared" si="5"/>
        <v>5.0587933505372051</v>
      </c>
      <c r="CV13" s="2138">
        <v>6</v>
      </c>
      <c r="CW13" s="256"/>
      <c r="CX13" s="879">
        <v>1285.2619999999999</v>
      </c>
      <c r="CY13" s="883">
        <f t="shared" si="6"/>
        <v>-1.0030162891940586</v>
      </c>
      <c r="CZ13" s="2138">
        <v>0</v>
      </c>
      <c r="DA13" s="256"/>
      <c r="DB13" s="2145">
        <v>1213.5999999999999</v>
      </c>
      <c r="DC13" s="883">
        <f>(DB13/CX13-1)*100</f>
        <v>-5.5756725087958703</v>
      </c>
      <c r="DD13" s="2140">
        <v>-5</v>
      </c>
      <c r="DE13" s="256"/>
      <c r="DF13" s="2199">
        <v>1229.5999999999999</v>
      </c>
      <c r="DG13" s="883">
        <f>(DF13/DB13-1)*100</f>
        <v>1.3183915622940079</v>
      </c>
      <c r="DH13" s="2204">
        <v>0</v>
      </c>
      <c r="DI13" s="256"/>
      <c r="DJ13" s="2444">
        <v>1334.3</v>
      </c>
      <c r="DK13" s="883">
        <f>(DJ13/DF13-1)*100</f>
        <v>8.5149642160052164</v>
      </c>
      <c r="DL13" s="2428">
        <v>1</v>
      </c>
      <c r="DM13" s="1283"/>
      <c r="DN13" s="1159">
        <f>'segSales&amp;comps'!E239+'segSales&amp;comps'!Q239+'segSales&amp;comps'!W239+'segSales&amp;comps'!AG239+'segSales&amp;comps'!AR239</f>
        <v>1384.6206441316913</v>
      </c>
      <c r="DO13" s="883">
        <f>(DN13/DJ13-1)*100</f>
        <v>3.7713141071491707</v>
      </c>
      <c r="DP13" s="2141">
        <f>qtrSales!F211</f>
        <v>1.7783030551345747</v>
      </c>
      <c r="DQ13" s="1283"/>
      <c r="DR13" s="1283"/>
      <c r="DS13" s="1159">
        <f>CZ13+CV13</f>
        <v>6</v>
      </c>
      <c r="DT13" s="1159">
        <f>DD13+CZ13</f>
        <v>-5</v>
      </c>
      <c r="DU13" s="1159">
        <f>DH13+DD13</f>
        <v>-5</v>
      </c>
      <c r="DV13" s="1159">
        <f>DL13+DH13</f>
        <v>1</v>
      </c>
      <c r="DW13" s="1159">
        <f>DL13+DP13</f>
        <v>2.7783030551345744</v>
      </c>
      <c r="DX13" s="1158"/>
      <c r="DY13" s="1159">
        <f>DH13+DD13+DL13</f>
        <v>-4</v>
      </c>
      <c r="DZ13" s="1159">
        <f>DH13+DP13+DL13</f>
        <v>2.7783030551345744</v>
      </c>
      <c r="EB13" s="1158"/>
    </row>
    <row r="14" spans="1:133" outlineLevel="1">
      <c r="A14" s="238"/>
      <c r="B14" s="238" t="s">
        <v>999</v>
      </c>
      <c r="C14" s="256"/>
      <c r="D14" s="305">
        <f>SUM(D10:D13)</f>
        <v>0</v>
      </c>
      <c r="E14" s="256"/>
      <c r="F14" s="305">
        <f>SUM(F10:F13)</f>
        <v>0</v>
      </c>
      <c r="G14" s="306"/>
      <c r="H14" s="307"/>
      <c r="I14" s="256"/>
      <c r="J14" s="305">
        <f>SUM(J10:J13)</f>
        <v>491.90599999999995</v>
      </c>
      <c r="K14" s="306"/>
      <c r="L14" s="307"/>
      <c r="M14" s="256"/>
      <c r="N14" s="305">
        <f>SUM(N10:N13)</f>
        <v>486.39600000000007</v>
      </c>
      <c r="O14" s="306">
        <f t="shared" si="0"/>
        <v>-1.1201327082816404</v>
      </c>
      <c r="P14" s="307"/>
      <c r="Q14" s="256"/>
      <c r="R14" s="305">
        <f>SUM(R10:R13)</f>
        <v>566.50099999999998</v>
      </c>
      <c r="S14" s="306">
        <f t="shared" si="1"/>
        <v>16.469091028709105</v>
      </c>
      <c r="T14" s="307"/>
      <c r="U14" s="256"/>
      <c r="V14" s="305">
        <f>SUM(V10:V13)</f>
        <v>682.83100000000002</v>
      </c>
      <c r="W14" s="306">
        <f t="shared" si="2"/>
        <v>20.534826946466112</v>
      </c>
      <c r="X14" s="307"/>
      <c r="Y14" s="256"/>
      <c r="Z14" s="305">
        <f>SUM(Z10:Z13)</f>
        <v>803.29199999999992</v>
      </c>
      <c r="AA14" s="306">
        <f t="shared" si="3"/>
        <v>17.641407610375026</v>
      </c>
      <c r="AB14" s="307"/>
      <c r="AC14" s="256"/>
      <c r="AD14" s="305">
        <f>SUM(AD10:AD13)</f>
        <v>922.10800000000006</v>
      </c>
      <c r="AE14" s="306">
        <f t="shared" si="7"/>
        <v>14.791134481608204</v>
      </c>
      <c r="AF14" s="307"/>
      <c r="AG14" s="256"/>
      <c r="AH14" s="305">
        <f>SUM(AH10:AH13)</f>
        <v>1017.616</v>
      </c>
      <c r="AI14" s="306">
        <f t="shared" si="8"/>
        <v>10.357571998073967</v>
      </c>
      <c r="AJ14" s="307"/>
      <c r="AK14" s="256"/>
      <c r="AL14" s="607">
        <v>1177.9290000000001</v>
      </c>
      <c r="AM14" s="306">
        <f t="shared" si="9"/>
        <v>15.75378138708512</v>
      </c>
      <c r="AN14" s="307"/>
      <c r="AO14" s="256"/>
      <c r="AP14" s="607">
        <v>1471.69</v>
      </c>
      <c r="AQ14" s="306">
        <f t="shared" si="10"/>
        <v>24.938769654198168</v>
      </c>
      <c r="AR14" s="307">
        <v>18</v>
      </c>
      <c r="AS14" s="256"/>
      <c r="AT14" s="305">
        <f>SUM(AT10:AT13)</f>
        <v>1668.056</v>
      </c>
      <c r="AU14" s="306">
        <f t="shared" si="11"/>
        <v>13.34289150568393</v>
      </c>
      <c r="AV14" s="307">
        <v>13</v>
      </c>
      <c r="AW14" s="256"/>
      <c r="AX14" s="305">
        <f>SUM(AX10:AX13)</f>
        <v>1606.5350000000001</v>
      </c>
      <c r="AY14" s="883">
        <f t="shared" si="12"/>
        <v>-3.6881855285434084</v>
      </c>
      <c r="AZ14" s="885">
        <v>-4</v>
      </c>
      <c r="BA14" s="256"/>
      <c r="BB14" s="305">
        <f>SUM(BB10:BB13)</f>
        <v>1706.6019999999999</v>
      </c>
      <c r="BC14" s="883">
        <f t="shared" si="4"/>
        <v>6.228746961628584</v>
      </c>
      <c r="BD14" s="885">
        <v>-1</v>
      </c>
      <c r="BE14" s="256"/>
      <c r="BF14" s="601">
        <f>SUM(BF10:BF13)</f>
        <v>2000.0450000000001</v>
      </c>
      <c r="BG14" s="883">
        <f t="shared" si="13"/>
        <v>17.194577294530312</v>
      </c>
      <c r="BH14" s="885">
        <v>8</v>
      </c>
      <c r="BI14" s="256"/>
      <c r="BJ14" s="305">
        <f>SUM(BJ10:BJ13)</f>
        <v>2204.8310000000001</v>
      </c>
      <c r="BK14" s="883">
        <f t="shared" si="14"/>
        <v>10.239069620933527</v>
      </c>
      <c r="BL14" s="885">
        <v>4</v>
      </c>
      <c r="BM14" s="590"/>
      <c r="BN14" s="305">
        <f>SUM(BN10:BN13)</f>
        <v>2395.1530000000002</v>
      </c>
      <c r="BO14" s="883">
        <f t="shared" si="15"/>
        <v>8.6320448143191175</v>
      </c>
      <c r="BP14" s="885">
        <v>5</v>
      </c>
      <c r="BQ14" s="848"/>
      <c r="BR14" s="305">
        <f>SUM(BR10:BR13)</f>
        <v>2560.7339999999995</v>
      </c>
      <c r="BS14" s="883">
        <f t="shared" si="16"/>
        <v>6.9131700563596299</v>
      </c>
      <c r="BT14" s="885">
        <v>6</v>
      </c>
      <c r="BU14" s="832"/>
      <c r="BV14" s="882">
        <f>SUM(BV10:BV13)</f>
        <v>2938.7709999999997</v>
      </c>
      <c r="BW14" s="883">
        <f t="shared" si="17"/>
        <v>14.76283753017691</v>
      </c>
      <c r="BX14" s="885">
        <v>7</v>
      </c>
      <c r="BY14" s="832"/>
      <c r="BZ14" s="882">
        <f>SUM(BZ10:BZ13)</f>
        <v>2848.8589999999999</v>
      </c>
      <c r="CA14" s="883">
        <f t="shared" si="18"/>
        <v>-3.0595102510539207</v>
      </c>
      <c r="CB14" s="885">
        <v>-9</v>
      </c>
      <c r="CC14" s="832"/>
      <c r="CD14" s="882">
        <f>SUM(CD10:CD13)</f>
        <v>2709.7040000000002</v>
      </c>
      <c r="CE14" s="883">
        <f t="shared" si="19"/>
        <v>-4.8845871276886559</v>
      </c>
      <c r="CF14" s="885">
        <v>-8</v>
      </c>
      <c r="CG14" s="832"/>
      <c r="CH14" s="882">
        <f>SUM(CH10:CH13)</f>
        <v>3085.29</v>
      </c>
      <c r="CI14" s="883">
        <f t="shared" si="20"/>
        <v>13.860775937150315</v>
      </c>
      <c r="CJ14" s="2138">
        <v>8</v>
      </c>
      <c r="CK14" s="832"/>
      <c r="CL14" s="882">
        <f>SUM(CL10:CL13)</f>
        <v>3642.9370000000004</v>
      </c>
      <c r="CM14" s="883">
        <f t="shared" si="21"/>
        <v>18.074378745596054</v>
      </c>
      <c r="CN14" s="2141">
        <f>qtrSales!F163</f>
        <v>13.678577190955956</v>
      </c>
      <c r="CO14" s="832"/>
      <c r="CP14" s="882">
        <f>SUM(CP10:CP13)</f>
        <v>3794.2489999999998</v>
      </c>
      <c r="CQ14" s="883">
        <f>(CP14/CL14-1)*100</f>
        <v>4.1535716922911137</v>
      </c>
      <c r="CR14" s="2138">
        <v>1</v>
      </c>
      <c r="CS14" s="256"/>
      <c r="CT14" s="882">
        <f>SUM(CT10:CT13)</f>
        <v>4031.13</v>
      </c>
      <c r="CU14" s="883">
        <f t="shared" si="5"/>
        <v>6.2431590546640603</v>
      </c>
      <c r="CV14" s="2140">
        <v>6</v>
      </c>
      <c r="CW14" s="256"/>
      <c r="CX14" s="882">
        <f>SUM(CX10:CX13)</f>
        <v>4249.9129999999996</v>
      </c>
      <c r="CY14" s="883">
        <f t="shared" si="6"/>
        <v>5.4273367517296389</v>
      </c>
      <c r="CZ14" s="2140">
        <v>4</v>
      </c>
      <c r="DA14" s="256"/>
      <c r="DB14" s="882">
        <f>SUM(DB10:DB13)</f>
        <v>4104.7000000000007</v>
      </c>
      <c r="DC14" s="883">
        <f>(DB14/CX14-1)*100</f>
        <v>-3.4168464154442413</v>
      </c>
      <c r="DD14" s="2140">
        <v>0</v>
      </c>
      <c r="DE14" s="256"/>
      <c r="DF14" s="882">
        <f>SUM(DF10:DF13)</f>
        <v>4001.7999999999997</v>
      </c>
      <c r="DG14" s="883">
        <f>(DF14/DB14-1)*100</f>
        <v>-2.5068823543742735</v>
      </c>
      <c r="DH14" s="2204">
        <v>-5</v>
      </c>
      <c r="DI14" s="256"/>
      <c r="DJ14" s="882">
        <f>SUM(DJ10:DJ13)</f>
        <v>4169.8</v>
      </c>
      <c r="DK14" s="883">
        <f>(DJ14/DF14-1)*100</f>
        <v>4.1981108501174536</v>
      </c>
      <c r="DL14" s="2428">
        <v>0</v>
      </c>
      <c r="DM14" s="256"/>
      <c r="DN14" s="882">
        <f>SUM(DN10:DN13)</f>
        <v>4384.6194342418175</v>
      </c>
      <c r="DO14" s="883">
        <f>(DN14/DJ14-1)*100</f>
        <v>5.1517922740135669</v>
      </c>
      <c r="DP14" s="2141">
        <f>qtrSales!F212</f>
        <v>2.4713862390184556</v>
      </c>
      <c r="DQ14" s="256"/>
      <c r="DR14" s="256"/>
      <c r="DS14" s="1158">
        <f>CZ14+CV14</f>
        <v>10</v>
      </c>
      <c r="DT14" s="1158">
        <f>DA14+CW14</f>
        <v>0</v>
      </c>
      <c r="DU14" s="1158">
        <f>DH14+DD14</f>
        <v>-5</v>
      </c>
      <c r="DV14" s="1158">
        <f>DL14+DH14</f>
        <v>-5</v>
      </c>
      <c r="DW14" s="1158">
        <f>DL14+DP14</f>
        <v>2.4713862390184556</v>
      </c>
      <c r="DX14" s="1158"/>
      <c r="DY14" s="1158">
        <f>DH14+DD14+DL14</f>
        <v>-5</v>
      </c>
      <c r="DZ14" s="1158">
        <f>DH14+DP14+DL14</f>
        <v>-2.5286137609815444</v>
      </c>
    </row>
    <row r="15" spans="1:133" hidden="1" outlineLevel="2">
      <c r="A15" s="238" t="s">
        <v>1000</v>
      </c>
      <c r="B15" s="238"/>
      <c r="C15" s="256"/>
      <c r="D15" s="289">
        <f>SUM(D10:D11)</f>
        <v>0</v>
      </c>
      <c r="E15" s="256"/>
      <c r="F15" s="289">
        <f>SUM(F10:F11)</f>
        <v>0</v>
      </c>
      <c r="G15" s="306"/>
      <c r="H15" s="308" t="e">
        <f>((F10/F15)*H10)+((F11/F15)*H11)</f>
        <v>#DIV/0!</v>
      </c>
      <c r="I15" s="256"/>
      <c r="J15" s="289">
        <f>SUM(J10:J11)</f>
        <v>216.477</v>
      </c>
      <c r="K15" s="306" t="e">
        <f>(J15/F15-1)*100</f>
        <v>#DIV/0!</v>
      </c>
      <c r="L15" s="308"/>
      <c r="M15" s="256"/>
      <c r="N15" s="289">
        <f>SUM(N10:N11)</f>
        <v>228.06800000000001</v>
      </c>
      <c r="O15" s="306">
        <f t="shared" si="0"/>
        <v>5.3543794490869656</v>
      </c>
      <c r="P15" s="308">
        <f>((N10/N15)*P10)+((N11/N15)*P11)</f>
        <v>0</v>
      </c>
      <c r="Q15" s="256"/>
      <c r="R15" s="289">
        <f>SUM(R10:R11)</f>
        <v>223.714</v>
      </c>
      <c r="S15" s="306">
        <f t="shared" si="1"/>
        <v>-1.9090797481452926</v>
      </c>
      <c r="T15" s="308">
        <f>((R10/R15)*T10)+((R11/R15)*T11)</f>
        <v>0</v>
      </c>
      <c r="U15" s="256"/>
      <c r="V15" s="289">
        <f>SUM(V10:V11)</f>
        <v>283.464</v>
      </c>
      <c r="W15" s="306">
        <f t="shared" si="2"/>
        <v>26.708207801031669</v>
      </c>
      <c r="X15" s="308">
        <f>((V10/V15)*X10)+((V11/V15)*X11)</f>
        <v>0</v>
      </c>
      <c r="Y15" s="256"/>
      <c r="Z15" s="289">
        <f>SUM(Z10:Z11)</f>
        <v>334.82600000000002</v>
      </c>
      <c r="AA15" s="306">
        <f t="shared" si="3"/>
        <v>18.119408461039143</v>
      </c>
      <c r="AB15" s="308">
        <f>((Z10/Z15)*AB10)+((Z11/Z15)*AB11)</f>
        <v>0</v>
      </c>
      <c r="AC15" s="256"/>
      <c r="AD15" s="289">
        <f>SUM(AD10:AD11)</f>
        <v>383.50400000000002</v>
      </c>
      <c r="AE15" s="306">
        <f t="shared" si="7"/>
        <v>14.538297503778086</v>
      </c>
      <c r="AF15" s="308">
        <f>((AD10/AD15)*AF10)+((AD11/AD15)*AF11)</f>
        <v>0</v>
      </c>
      <c r="AG15" s="256"/>
      <c r="AH15" s="289">
        <f>SUM(AH10:AH11)</f>
        <v>416.84800000000001</v>
      </c>
      <c r="AI15" s="306">
        <f t="shared" si="8"/>
        <v>8.6945638115899726</v>
      </c>
      <c r="AJ15" s="308">
        <f>((AH10/AH15)*AJ10)+((AH11/AH15)*AJ11)</f>
        <v>0</v>
      </c>
      <c r="AK15" s="256"/>
      <c r="AL15" s="289">
        <f>SUM(AL10:AL11)</f>
        <v>473.88099999999997</v>
      </c>
      <c r="AM15" s="306">
        <f t="shared" si="9"/>
        <v>13.681965608567136</v>
      </c>
      <c r="AN15" s="308">
        <f>((AL10/AL15)*AN10)+((AL11/AL15)*AN11)</f>
        <v>0</v>
      </c>
      <c r="AO15" s="256"/>
      <c r="AP15" s="289">
        <f>SUM(AP10:AP11)</f>
        <v>579.34400000000005</v>
      </c>
      <c r="AQ15" s="306">
        <f t="shared" si="10"/>
        <v>22.255165326316128</v>
      </c>
      <c r="AR15" s="308">
        <f>((AP10/AP15)*AR10)+((AP11/AP15)*AR11)</f>
        <v>0</v>
      </c>
      <c r="AS15" s="256"/>
      <c r="AT15" s="289">
        <f>SUM(AT10:AT11)</f>
        <v>719.59099999999989</v>
      </c>
      <c r="AU15" s="306">
        <f t="shared" si="11"/>
        <v>24.20789720787646</v>
      </c>
      <c r="AV15" s="307">
        <v>21</v>
      </c>
      <c r="AW15" s="256"/>
      <c r="AX15" s="289">
        <f>SUM(AX10:AX11)</f>
        <v>707.702</v>
      </c>
      <c r="AY15" s="883">
        <f t="shared" si="12"/>
        <v>-1.6521885348760423</v>
      </c>
      <c r="AZ15" s="884">
        <f>((AX10/AX15)*AZ10)+((AX11/AX15)*AZ11)</f>
        <v>-0.95068545800351001</v>
      </c>
      <c r="BA15" s="256"/>
      <c r="BB15" s="289">
        <f>SUM(BB10:BB11)</f>
        <v>721.55600000000004</v>
      </c>
      <c r="BC15" s="883">
        <f t="shared" si="4"/>
        <v>1.9576036241242933</v>
      </c>
      <c r="BD15" s="884">
        <f>((BB10/BB15)*BD10)+((BB11/BB15)*BD11)</f>
        <v>-2.113496388360709</v>
      </c>
      <c r="BE15" s="256"/>
      <c r="BF15" s="289">
        <f>SUM(BF10:BF11)</f>
        <v>838.33400000000006</v>
      </c>
      <c r="BG15" s="883">
        <f t="shared" si="13"/>
        <v>16.184190832035217</v>
      </c>
      <c r="BH15" s="884">
        <f>((BF10/BF15)*BH10)+((BF11/BF15)*BH11)</f>
        <v>4.4114822970319709</v>
      </c>
      <c r="BI15" s="256"/>
      <c r="BJ15" s="289">
        <f>SUM(BJ10:BJ11)</f>
        <v>933.55700000000002</v>
      </c>
      <c r="BK15" s="883">
        <f t="shared" si="14"/>
        <v>11.358599317217234</v>
      </c>
      <c r="BL15" s="884">
        <f>((BJ10/BJ15)*BL10)+((BJ11/BJ15)*BL11)</f>
        <v>6.9579307958699896</v>
      </c>
      <c r="BM15" s="590"/>
      <c r="BN15" s="289">
        <f>SUM(BN10:BN11)</f>
        <v>1036.6020000000001</v>
      </c>
      <c r="BO15" s="883">
        <f t="shared" si="15"/>
        <v>11.03789056265445</v>
      </c>
      <c r="BP15" s="884">
        <f>((BN10/BN15)*BP10)+((BN11/BN15)*BP11)</f>
        <v>4</v>
      </c>
      <c r="BQ15" s="848"/>
      <c r="BR15" s="289">
        <f>SUM(BR10:BR11)</f>
        <v>1070.0129999999999</v>
      </c>
      <c r="BS15" s="883">
        <f t="shared" si="16"/>
        <v>3.2231271018192009</v>
      </c>
      <c r="BT15" s="884">
        <f>((BR10/BR15)*BT10)+((BR11/BR15)*BT11)</f>
        <v>5.5183647301481384</v>
      </c>
      <c r="BU15" s="256"/>
      <c r="BV15" s="289">
        <f>SUM(BV10:BV11)</f>
        <v>1258.2910000000002</v>
      </c>
      <c r="BW15" s="883">
        <f t="shared" si="17"/>
        <v>17.595860984866562</v>
      </c>
      <c r="BX15" s="884">
        <f>((BV10/BV15)*BX10)+((BV11/BV15)*BX11)</f>
        <v>11.106228209531816</v>
      </c>
      <c r="BY15" s="256"/>
      <c r="BZ15" s="289">
        <f>SUM(BZ10:BZ11)</f>
        <v>1395.114</v>
      </c>
      <c r="CA15" s="883">
        <f t="shared" si="18"/>
        <v>10.873716811135093</v>
      </c>
      <c r="CB15" s="884">
        <f>((BZ10/BZ15)*CB10)+((BZ11/BZ15)*CB11)</f>
        <v>0.90803045485888612</v>
      </c>
      <c r="CC15" s="256"/>
      <c r="CD15" s="289">
        <f>SUM(CD10:CD11)</f>
        <v>1130.1080000000002</v>
      </c>
      <c r="CE15" s="883">
        <f t="shared" si="19"/>
        <v>-18.995293574575257</v>
      </c>
      <c r="CF15" s="884">
        <f>((CD10/CD15)*CF10)+((CD11/CD15)*CF11)</f>
        <v>-18.290112980352319</v>
      </c>
      <c r="CG15" s="256"/>
      <c r="CH15" s="289">
        <f>SUM(CH10:CH11)</f>
        <v>1302.346</v>
      </c>
      <c r="CI15" s="883">
        <f t="shared" si="20"/>
        <v>15.240844237895823</v>
      </c>
      <c r="CJ15" s="884">
        <f>((CH10/CH15)*CJ10)+((CH11/CH15)*CJ11)</f>
        <v>7.4324795407672006</v>
      </c>
      <c r="CK15" s="256"/>
      <c r="CL15" s="289">
        <f>SUM(CL10:CL11)</f>
        <v>1633.73</v>
      </c>
      <c r="CM15" s="883">
        <f t="shared" si="21"/>
        <v>25.445158199126805</v>
      </c>
      <c r="CN15" s="884">
        <f>((CL10/CL15)*CN10)+((CL11/CL15)*CN11)</f>
        <v>18.739286173357897</v>
      </c>
      <c r="CO15" s="256"/>
      <c r="CP15" s="289">
        <f>SUM(CP10:CP11)</f>
        <v>1705.739</v>
      </c>
      <c r="CQ15" s="883">
        <f t="shared" si="22"/>
        <v>4.4076438579202293</v>
      </c>
      <c r="CR15" s="884">
        <f>((CP10/CP15)*CR10)+((CP11/CP15)*CR11)</f>
        <v>1.4012173022953687</v>
      </c>
      <c r="CS15" s="256"/>
      <c r="CT15" s="289">
        <f>SUM(CT10:CT11)</f>
        <v>1821.3679999999999</v>
      </c>
      <c r="CU15" s="883">
        <f t="shared" si="5"/>
        <v>6.7788213788862128</v>
      </c>
      <c r="CV15" s="884">
        <f>((CT10/CT15)*CV10)+((CT11/CT15)*CV11)</f>
        <v>6.4749638733084147</v>
      </c>
      <c r="CW15" s="256"/>
      <c r="CX15" s="289">
        <f>SUM(CX10:CX11)</f>
        <v>2005.0619999999999</v>
      </c>
      <c r="CY15" s="883">
        <f t="shared" si="6"/>
        <v>10.085496176500296</v>
      </c>
      <c r="CZ15" s="884">
        <f>((CX10/CX15)*CZ10)+((CX11/CX15)*CZ11)</f>
        <v>7.0383070448694358</v>
      </c>
      <c r="DA15" s="256"/>
      <c r="DB15" s="289">
        <f>SUM(DB10:DB11)</f>
        <v>1952.9</v>
      </c>
      <c r="DC15" s="883">
        <f>(DB15/CY15-1)*100</f>
        <v>19263.449906910417</v>
      </c>
      <c r="DD15" s="884">
        <f>((DB10/DB15)*DD10)+((DB11/DB15)*DD11)</f>
        <v>3.0575554303855803</v>
      </c>
      <c r="DE15" s="256"/>
      <c r="DF15" s="289">
        <f>SUM(DF10:DF11)</f>
        <v>1822.9</v>
      </c>
      <c r="DG15" s="883">
        <f>(DF15/DC15-1)*100</f>
        <v>-90.53700137405778</v>
      </c>
      <c r="DH15" s="884">
        <f>((DF10/DF15)*DH10)+((DF11/DF15)*DH11)</f>
        <v>-9</v>
      </c>
      <c r="DI15" s="256"/>
      <c r="DJ15" s="289">
        <f>SUM(DJ10:DJ11)</f>
        <v>1859.3000000000002</v>
      </c>
      <c r="DK15" s="883">
        <f>(DJ15/DG15-1)*100</f>
        <v>-2153.635499057691</v>
      </c>
      <c r="DL15" s="884">
        <f>((DJ10/DJ15)*DL10)+((DJ11/DJ15)*DL11)</f>
        <v>-1.483838003549723</v>
      </c>
      <c r="DM15" s="256"/>
      <c r="DN15" s="289">
        <f>SUM(DN10:DN11)</f>
        <v>1976.076836893752</v>
      </c>
      <c r="DO15" s="883">
        <f>(DN15/DK15-1)*100</f>
        <v>-191.7553986158926</v>
      </c>
      <c r="DP15" s="884">
        <f>((DN10/DN15)*DP10)+((DN11/DN15)*DP11)</f>
        <v>2.9922267237520987</v>
      </c>
      <c r="DQ15" s="256"/>
      <c r="DR15" s="256"/>
      <c r="DS15" s="256"/>
      <c r="DT15" s="256"/>
      <c r="DU15" s="256"/>
      <c r="DV15" s="256"/>
      <c r="DW15" s="256"/>
      <c r="DX15" s="256"/>
      <c r="DY15" s="2051"/>
      <c r="DZ15" s="256"/>
      <c r="EA15" s="256"/>
    </row>
    <row r="16" spans="1:133" hidden="1" outlineLevel="2">
      <c r="A16" s="238" t="s">
        <v>1001</v>
      </c>
      <c r="B16" s="238"/>
      <c r="C16" s="256"/>
      <c r="D16" s="289">
        <f>SUM(D10:D12)</f>
        <v>0</v>
      </c>
      <c r="E16" s="256"/>
      <c r="F16" s="289">
        <f>SUM(F10:F12)</f>
        <v>0</v>
      </c>
      <c r="G16" s="306"/>
      <c r="H16" s="308" t="e">
        <f>((F12/F16)*H12)+((F15/F16)*H15)</f>
        <v>#DIV/0!</v>
      </c>
      <c r="I16" s="256"/>
      <c r="J16" s="289">
        <f>SUM(J10:J12)</f>
        <v>342.87799999999999</v>
      </c>
      <c r="K16" s="306" t="e">
        <f>(J16/F16-1)*100</f>
        <v>#DIV/0!</v>
      </c>
      <c r="L16" s="308"/>
      <c r="M16" s="256"/>
      <c r="N16" s="289">
        <f>SUM(N10:N12)</f>
        <v>333.96500000000003</v>
      </c>
      <c r="O16" s="306">
        <f t="shared" si="0"/>
        <v>-2.5994668657656539</v>
      </c>
      <c r="P16" s="308">
        <f>((N12/N16)*P12)+((N15/N16)*P15)</f>
        <v>0</v>
      </c>
      <c r="Q16" s="256"/>
      <c r="R16" s="289">
        <f>SUM(R10:R12)</f>
        <v>358.464</v>
      </c>
      <c r="S16" s="306">
        <f t="shared" si="1"/>
        <v>7.3357986615363746</v>
      </c>
      <c r="T16" s="308">
        <f>((R12/R16)*T12)+((R15/R16)*T15)</f>
        <v>0</v>
      </c>
      <c r="U16" s="256"/>
      <c r="V16" s="289">
        <f>SUM(V10:V12)</f>
        <v>443.55500000000001</v>
      </c>
      <c r="W16" s="306">
        <f t="shared" si="2"/>
        <v>23.737669612569178</v>
      </c>
      <c r="X16" s="308">
        <f>((V12/V16)*X12)+((V15/V16)*X15)</f>
        <v>0</v>
      </c>
      <c r="Y16" s="256"/>
      <c r="Z16" s="289">
        <f>SUM(Z10:Z12)</f>
        <v>522.59199999999998</v>
      </c>
      <c r="AA16" s="306">
        <f t="shared" si="3"/>
        <v>17.818985244219988</v>
      </c>
      <c r="AB16" s="308">
        <f>((Z12/Z16)*AB12)+((Z15/Z16)*AB15)</f>
        <v>0</v>
      </c>
      <c r="AC16" s="256"/>
      <c r="AD16" s="289">
        <f>SUM(AD10:AD12)</f>
        <v>594.48900000000003</v>
      </c>
      <c r="AE16" s="306">
        <f t="shared" si="7"/>
        <v>13.757768966995298</v>
      </c>
      <c r="AF16" s="308">
        <f>((AD12/AD16)*AF12)+((AD15/AD16)*AF15)</f>
        <v>0</v>
      </c>
      <c r="AG16" s="256"/>
      <c r="AH16" s="289">
        <f>SUM(AH10:AH12)</f>
        <v>649.92200000000003</v>
      </c>
      <c r="AI16" s="306">
        <f t="shared" si="8"/>
        <v>9.324478669916525</v>
      </c>
      <c r="AJ16" s="308">
        <f>((AH12/AH16)*AJ12)+((AH15/AH16)*AJ15)</f>
        <v>0</v>
      </c>
      <c r="AK16" s="256"/>
      <c r="AL16" s="289">
        <f>SUM(AL10:AL12)</f>
        <v>726.44100000000003</v>
      </c>
      <c r="AM16" s="306">
        <f t="shared" si="9"/>
        <v>11.773566674154745</v>
      </c>
      <c r="AN16" s="308">
        <f>((AL12/AL16)*AN12)+((AL15/AL16)*AN15)</f>
        <v>0</v>
      </c>
      <c r="AO16" s="256"/>
      <c r="AP16" s="289">
        <f>SUM(AP10:AP12)</f>
        <v>902.05000000000007</v>
      </c>
      <c r="AQ16" s="306">
        <f t="shared" si="10"/>
        <v>24.173883357354555</v>
      </c>
      <c r="AR16" s="308">
        <f>((AP12/AP16)*AR12)+((AP15/AP16)*AR15)</f>
        <v>0</v>
      </c>
      <c r="AS16" s="256"/>
      <c r="AT16" s="289">
        <f>SUM(AT10:AT12)</f>
        <v>1091.665</v>
      </c>
      <c r="AU16" s="306">
        <f t="shared" si="11"/>
        <v>21.020453411673401</v>
      </c>
      <c r="AV16" s="308"/>
      <c r="AW16" s="256"/>
      <c r="AX16" s="289">
        <f>SUM(AX10:AX12)</f>
        <v>1040.7760000000001</v>
      </c>
      <c r="AY16" s="883">
        <f t="shared" si="12"/>
        <v>-4.6615949031983188</v>
      </c>
      <c r="AZ16" s="884">
        <f>((AX12/AX16)*AZ12)+((AX15/AX16)*AZ15)</f>
        <v>-4.1667140671960148</v>
      </c>
      <c r="BA16" s="256"/>
      <c r="BB16" s="289">
        <f>SUM(BB10:BB12)</f>
        <v>1087.5889999999999</v>
      </c>
      <c r="BC16" s="883">
        <f t="shared" si="4"/>
        <v>4.4978938791824463</v>
      </c>
      <c r="BD16" s="884">
        <f>((BB12/BB16)*BD12)+((BB15/BB16)*BD15)</f>
        <v>-0.39252603694961929</v>
      </c>
      <c r="BE16" s="256"/>
      <c r="BF16" s="289">
        <f>SUM(BF10:BF12)</f>
        <v>1268.4570000000001</v>
      </c>
      <c r="BG16" s="883">
        <f t="shared" si="13"/>
        <v>16.630179231308894</v>
      </c>
      <c r="BH16" s="884">
        <f>((BF12/BF16)*BH12)+((BF15/BF16)*BH15)</f>
        <v>6.3065012057957031</v>
      </c>
      <c r="BI16" s="256"/>
      <c r="BJ16" s="289">
        <f>SUM(BJ10:BJ12)</f>
        <v>1394.7090000000001</v>
      </c>
      <c r="BK16" s="883">
        <f t="shared" si="14"/>
        <v>9.9531951023960517</v>
      </c>
      <c r="BL16" s="884">
        <f>((BJ12/BJ16)*BL12)+((BJ15/BJ16)*BL15)</f>
        <v>4.9879774203794485</v>
      </c>
      <c r="BM16" s="590"/>
      <c r="BN16" s="289">
        <f>SUM(BN10:BN12)</f>
        <v>1536.7070000000001</v>
      </c>
      <c r="BO16" s="883">
        <f t="shared" si="15"/>
        <v>10.181191918887734</v>
      </c>
      <c r="BP16" s="884">
        <f>((BN12/BN16)*BP12)+((BN15/BN16)*BP15)</f>
        <v>4.3254393973607197</v>
      </c>
      <c r="BQ16" s="848"/>
      <c r="BR16" s="289">
        <f>SUM(BR10:BR12)</f>
        <v>1601.8469999999998</v>
      </c>
      <c r="BS16" s="883">
        <f t="shared" si="16"/>
        <v>4.2389342926139939</v>
      </c>
      <c r="BT16" s="884">
        <f>((BR12/BR16)*BT12)+((BR15/BR16)*BT15)</f>
        <v>5.0142479275486362</v>
      </c>
      <c r="BU16" s="256"/>
      <c r="BV16" s="289">
        <f>SUM(BV10:BV12)</f>
        <v>1885.614</v>
      </c>
      <c r="BW16" s="883">
        <f t="shared" si="17"/>
        <v>17.714987761003421</v>
      </c>
      <c r="BX16" s="884">
        <f>((BV12/BV16)*BX12)+((BV15/BV16)*BX15)</f>
        <v>10.405509292994218</v>
      </c>
      <c r="BY16" s="256"/>
      <c r="BZ16" s="289">
        <f>SUM(BZ10:BZ12)</f>
        <v>2011.2660000000001</v>
      </c>
      <c r="CA16" s="883">
        <f t="shared" si="18"/>
        <v>6.6637180250040506</v>
      </c>
      <c r="CB16" s="884">
        <f>((BZ12/BZ16)*CB12)+((BZ15/BZ16)*CB15)</f>
        <v>-1.5145972735580475</v>
      </c>
      <c r="CC16" s="256"/>
      <c r="CD16" s="289">
        <f>SUM(CD10:CD12)</f>
        <v>1728.3200000000002</v>
      </c>
      <c r="CE16" s="883">
        <f t="shared" si="19"/>
        <v>-14.068054648166871</v>
      </c>
      <c r="CF16" s="884">
        <f>((CD12/CD16)*CF12)+((CD15/CD16)*CF15)</f>
        <v>-14.03621725143492</v>
      </c>
      <c r="CG16" s="256"/>
      <c r="CH16" s="289">
        <f>SUM(CH10:CH12)</f>
        <v>1984.075</v>
      </c>
      <c r="CI16" s="883">
        <f t="shared" si="20"/>
        <v>14.797896222921668</v>
      </c>
      <c r="CJ16" s="884">
        <f>((CH12/CH16)*CJ12)+((CH15/CH16)*CJ15)</f>
        <v>7.283879389640008</v>
      </c>
      <c r="CK16" s="256"/>
      <c r="CL16" s="289">
        <f>SUM(CL10:CL12)</f>
        <v>2455.4970000000003</v>
      </c>
      <c r="CM16" s="883">
        <f t="shared" si="21"/>
        <v>23.760291319632575</v>
      </c>
      <c r="CN16" s="884">
        <f>((CL12/CL16)*CN12)+((CL15/CL16)*CN15)</f>
        <v>17.822545089649871</v>
      </c>
      <c r="CO16" s="256"/>
      <c r="CP16" s="289">
        <f>SUM(CP10:CP12)</f>
        <v>2558.48</v>
      </c>
      <c r="CQ16" s="883">
        <f t="shared" si="22"/>
        <v>4.1939778382950488</v>
      </c>
      <c r="CR16" s="884">
        <f>((CP12/CP16)*CR12)+((CP15/CP16)*CR15)</f>
        <v>1.2674916356586723</v>
      </c>
      <c r="CS16" s="256"/>
      <c r="CT16" s="289">
        <f>SUM(CT10:CT12)</f>
        <v>2732.846</v>
      </c>
      <c r="CU16" s="883">
        <f t="shared" si="5"/>
        <v>6.8152184109314895</v>
      </c>
      <c r="CV16" s="884">
        <f>((CT12/CT16)*CV12)+((CT15/CT16)*CV15)</f>
        <v>6.6500776113985198</v>
      </c>
      <c r="CW16" s="256"/>
      <c r="CX16" s="289">
        <f>SUM(CX10:CX12)</f>
        <v>2964.6509999999998</v>
      </c>
      <c r="CY16" s="883">
        <f t="shared" si="6"/>
        <v>8.482183042879111</v>
      </c>
      <c r="CZ16" s="884">
        <f>((CX12/CX16)*CZ12)+((CX15/CX16)*CZ15)</f>
        <v>6.0548772857243573</v>
      </c>
      <c r="DA16" s="256"/>
      <c r="DB16" s="289">
        <f>SUM(DB10:DB12)</f>
        <v>2891.1000000000004</v>
      </c>
      <c r="DC16" s="883">
        <f>(DB16/CY16-1)*100</f>
        <v>33984.385887275937</v>
      </c>
      <c r="DD16" s="884">
        <f>((DB12/DB16)*DD12)+((DB15/DB16)*DD15)</f>
        <v>2.3898516135726884</v>
      </c>
      <c r="DE16" s="256"/>
      <c r="DF16" s="289">
        <f>SUM(DF10:DF12)</f>
        <v>2772.2</v>
      </c>
      <c r="DG16" s="883">
        <f>(DF16/DC16-1)*100</f>
        <v>-91.842724452355228</v>
      </c>
      <c r="DH16" s="884">
        <f>((DF12/DF16)*DH12)+((DF15/DF16)*DH15)</f>
        <v>-6.9453863357622119</v>
      </c>
      <c r="DI16" s="256"/>
      <c r="DJ16" s="289">
        <f>SUM(DJ10:DJ12)</f>
        <v>2835.5</v>
      </c>
      <c r="DK16" s="883">
        <f>(DJ16/DG16-1)*100</f>
        <v>-3187.3430823265239</v>
      </c>
      <c r="DL16" s="884">
        <f>((DJ12/DJ16)*DL12)+((DJ15/DJ16)*DL15)</f>
        <v>-0.97298536413330994</v>
      </c>
      <c r="DM16" s="256"/>
      <c r="DN16" s="289">
        <f>SUM(DN10:DN12)</f>
        <v>2999.9987901101263</v>
      </c>
      <c r="DO16" s="883">
        <f>(DN16/DK16-1)*100</f>
        <v>-194.12224265234573</v>
      </c>
      <c r="DP16" s="884">
        <f>((DN12/DN16)*DP12)+((DN15/DN16)*DP15)</f>
        <v>2.7844623737400953</v>
      </c>
      <c r="DQ16" s="256"/>
      <c r="DR16" s="256"/>
      <c r="DS16" s="256"/>
      <c r="DT16" s="256"/>
      <c r="DU16" s="256"/>
      <c r="DV16" s="256"/>
      <c r="DW16" s="256"/>
      <c r="DX16" s="256"/>
      <c r="DY16" s="2051"/>
      <c r="DZ16" s="256"/>
      <c r="EA16" s="256"/>
    </row>
    <row r="17" spans="1:133" outlineLevel="1" collapsed="1">
      <c r="A17" s="256"/>
      <c r="B17" s="256"/>
      <c r="C17" s="256"/>
      <c r="D17" s="256"/>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587"/>
      <c r="BN17" s="256"/>
      <c r="BO17" s="256"/>
      <c r="BP17" s="1475"/>
      <c r="BQ17" s="599"/>
      <c r="BR17" s="256"/>
      <c r="BS17" s="256"/>
      <c r="BT17" s="1475"/>
      <c r="BU17" s="256"/>
      <c r="BV17" s="1020"/>
      <c r="BW17" s="256"/>
      <c r="BX17" s="1475"/>
      <c r="BY17" s="256"/>
      <c r="BZ17" s="1173"/>
      <c r="CA17" s="256"/>
      <c r="CB17" s="1475"/>
      <c r="CC17" s="256"/>
      <c r="CD17" s="1024"/>
      <c r="CE17" s="256"/>
      <c r="CF17" s="1475"/>
      <c r="CG17" s="256"/>
      <c r="CH17" s="1024"/>
      <c r="CI17" s="256"/>
      <c r="CJ17" s="1475"/>
      <c r="CK17" s="256"/>
      <c r="CL17" s="1024"/>
      <c r="CM17" s="256"/>
      <c r="CN17" s="1475"/>
      <c r="CO17" s="256"/>
      <c r="CP17" s="1024"/>
      <c r="CQ17" s="256"/>
      <c r="CR17" s="1475"/>
      <c r="CS17" s="256"/>
      <c r="CT17" s="1024"/>
      <c r="CU17" s="1981"/>
      <c r="CV17" s="1475"/>
      <c r="CW17" s="256"/>
      <c r="CX17" s="2101"/>
      <c r="CY17" s="1981"/>
      <c r="CZ17" s="1475"/>
      <c r="DA17" s="256"/>
      <c r="DB17" s="2015"/>
      <c r="DC17" s="256"/>
      <c r="DD17" s="1475"/>
      <c r="DE17" s="256"/>
      <c r="DF17" s="2015"/>
      <c r="DG17" s="256"/>
      <c r="DH17" s="1475"/>
      <c r="DI17" s="256"/>
      <c r="DJ17" s="387"/>
      <c r="DK17" s="256"/>
      <c r="DL17" s="1475"/>
      <c r="DM17" s="256"/>
      <c r="DN17" s="2184"/>
      <c r="DO17" s="256"/>
      <c r="DP17" s="1475"/>
      <c r="DQ17" s="256"/>
      <c r="DR17" s="256"/>
      <c r="DS17" s="256"/>
      <c r="DT17" s="256"/>
      <c r="DU17" s="256"/>
      <c r="DV17" s="256"/>
      <c r="DW17" s="256"/>
      <c r="DX17" s="256"/>
      <c r="DY17" s="2051"/>
      <c r="DZ17" s="1019"/>
      <c r="EA17" s="1019"/>
    </row>
    <row r="18" spans="1:133" outlineLevel="1">
      <c r="A18" s="256"/>
      <c r="B18" s="256"/>
      <c r="C18" s="268"/>
      <c r="D18" s="598"/>
      <c r="E18" s="268" t="str">
        <f>Z18</f>
        <v>2.  Cost of Goods Sold   (% Gross Margin)</v>
      </c>
      <c r="F18" s="598"/>
      <c r="G18" s="256"/>
      <c r="H18" s="256"/>
      <c r="I18" s="256"/>
      <c r="J18" s="598"/>
      <c r="K18" s="256"/>
      <c r="L18" s="256"/>
      <c r="M18" s="256"/>
      <c r="N18" s="598"/>
      <c r="O18" s="256"/>
      <c r="P18" s="256"/>
      <c r="Q18" s="256"/>
      <c r="R18" s="598"/>
      <c r="S18" s="256"/>
      <c r="T18" s="256"/>
      <c r="U18" s="256"/>
      <c r="V18" s="598"/>
      <c r="W18" s="256"/>
      <c r="X18" s="256"/>
      <c r="Y18" s="256"/>
      <c r="Z18" s="599" t="s">
        <v>1002</v>
      </c>
      <c r="AA18" s="312"/>
      <c r="AB18" s="312"/>
      <c r="AC18" s="312"/>
      <c r="AD18" s="600"/>
      <c r="AE18" s="312"/>
      <c r="AF18" s="312"/>
      <c r="AG18" s="312"/>
      <c r="AH18" s="600"/>
      <c r="AI18" s="312"/>
      <c r="AJ18" s="312"/>
      <c r="AK18" s="312"/>
      <c r="AL18" s="600"/>
      <c r="AM18" s="312"/>
      <c r="AN18" s="312"/>
      <c r="AO18" s="312"/>
      <c r="AP18" s="256"/>
      <c r="AQ18" s="256"/>
      <c r="AR18" s="256"/>
      <c r="AS18" s="256"/>
      <c r="AT18" s="256"/>
      <c r="AU18" s="256"/>
      <c r="AV18" s="256"/>
      <c r="AW18" s="256"/>
      <c r="AX18" s="256"/>
      <c r="AY18" s="256"/>
      <c r="AZ18" s="256"/>
      <c r="BA18" s="256"/>
      <c r="BB18" s="600"/>
      <c r="BC18" s="600"/>
      <c r="BD18" s="600"/>
      <c r="BE18" s="600"/>
      <c r="BF18" s="600"/>
      <c r="BG18" s="600"/>
      <c r="BH18" s="600"/>
      <c r="BI18" s="600"/>
      <c r="BJ18" s="600" t="s">
        <v>1002</v>
      </c>
      <c r="BK18" s="600"/>
      <c r="BL18" s="600"/>
      <c r="BM18" s="600"/>
      <c r="BN18" s="600"/>
      <c r="BO18" s="600"/>
      <c r="BP18" s="600"/>
      <c r="BQ18" s="600"/>
      <c r="BR18" s="600"/>
      <c r="BS18" s="600"/>
      <c r="BT18" s="600"/>
      <c r="BU18" s="600"/>
      <c r="BV18" s="600" t="s">
        <v>1002</v>
      </c>
      <c r="BW18" s="600"/>
      <c r="BX18" s="600"/>
      <c r="BY18" s="600"/>
      <c r="BZ18" s="600"/>
      <c r="CA18" s="600"/>
      <c r="CB18" s="600"/>
      <c r="CC18" s="600"/>
      <c r="CE18" s="600"/>
      <c r="CF18" s="600"/>
      <c r="CG18" s="600"/>
      <c r="CH18" s="600"/>
      <c r="CI18" s="600"/>
      <c r="CJ18" s="600"/>
      <c r="CK18" s="600"/>
      <c r="CL18" s="600"/>
      <c r="CM18" s="600"/>
      <c r="CN18" s="600"/>
      <c r="CO18" s="600"/>
      <c r="CR18" s="600"/>
      <c r="CS18" s="880"/>
      <c r="CT18" s="2019"/>
      <c r="CU18" s="600"/>
      <c r="CV18" s="600"/>
      <c r="CW18" s="880"/>
      <c r="CX18" s="599"/>
      <c r="CY18" s="600"/>
      <c r="CZ18" s="600"/>
      <c r="DA18" s="880"/>
      <c r="DB18" s="600" t="s">
        <v>1002</v>
      </c>
      <c r="DC18" s="600"/>
      <c r="DD18" s="1475"/>
      <c r="DE18" s="880"/>
      <c r="DF18" s="600"/>
      <c r="DG18" s="600"/>
      <c r="DH18" s="600"/>
      <c r="DI18" s="880"/>
      <c r="DJ18" s="600"/>
      <c r="DK18" s="600"/>
      <c r="DL18" s="600"/>
      <c r="DM18" s="880"/>
      <c r="DN18" s="600"/>
      <c r="DO18" s="600"/>
      <c r="DP18" s="600"/>
      <c r="DQ18" s="880"/>
      <c r="DR18" s="880"/>
      <c r="DS18" s="880"/>
      <c r="DT18" s="880"/>
      <c r="DU18" s="880"/>
      <c r="DV18" s="880"/>
      <c r="DW18" s="880"/>
      <c r="DX18" s="880"/>
      <c r="DY18" s="880"/>
      <c r="DZ18" s="880"/>
      <c r="EA18" s="880"/>
    </row>
    <row r="19" spans="1:133" outlineLevel="1">
      <c r="A19" s="256"/>
      <c r="B19" s="256"/>
      <c r="C19" s="256"/>
      <c r="D19" s="256"/>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587"/>
      <c r="BN19" s="256"/>
      <c r="BO19" s="256"/>
      <c r="BP19" s="256"/>
      <c r="BQ19" s="599"/>
      <c r="BR19" s="256"/>
      <c r="BS19" s="256"/>
      <c r="BT19" s="256"/>
      <c r="BU19" s="256"/>
      <c r="BV19" s="256"/>
      <c r="BW19" s="256"/>
      <c r="BX19" s="256"/>
      <c r="BY19" s="256"/>
      <c r="BZ19" s="256"/>
      <c r="CA19" s="256"/>
      <c r="CB19" s="256"/>
      <c r="CC19" s="256"/>
      <c r="CD19" s="256"/>
      <c r="CE19" s="256"/>
      <c r="CF19" s="1283"/>
      <c r="CG19" s="256"/>
      <c r="CH19" s="256"/>
      <c r="CI19" s="256"/>
      <c r="CJ19" s="256"/>
      <c r="CK19" s="256"/>
      <c r="CL19" s="256"/>
      <c r="CM19" s="256"/>
      <c r="CN19" s="256"/>
      <c r="CO19" s="256"/>
      <c r="CP19" s="256"/>
      <c r="CQ19" s="256"/>
      <c r="CR19" s="256"/>
      <c r="CS19" s="256"/>
      <c r="CT19" s="256"/>
      <c r="CU19" s="256"/>
      <c r="CV19" s="256"/>
      <c r="CW19" s="256"/>
      <c r="CX19" s="256"/>
      <c r="CY19" s="256"/>
      <c r="CZ19" s="256"/>
      <c r="DA19" s="256"/>
      <c r="DB19" s="256"/>
      <c r="DC19" s="256"/>
      <c r="DD19" s="256"/>
      <c r="DE19" s="256"/>
      <c r="DF19" s="256"/>
      <c r="DG19" s="256"/>
      <c r="DH19" s="256"/>
      <c r="DI19" s="256"/>
      <c r="DJ19" s="256"/>
      <c r="DK19" s="256"/>
      <c r="DL19" s="256"/>
      <c r="DM19" s="256"/>
      <c r="DN19" s="256"/>
      <c r="DO19" s="256"/>
      <c r="DP19" s="256"/>
      <c r="DQ19" s="256"/>
      <c r="DR19" s="256"/>
      <c r="DS19" s="256"/>
      <c r="DT19" s="256"/>
      <c r="DU19" s="256"/>
      <c r="DV19" s="256"/>
      <c r="DW19" s="256"/>
      <c r="DX19" s="256"/>
      <c r="DY19" s="256"/>
      <c r="DZ19" s="256"/>
      <c r="EA19" s="256"/>
    </row>
    <row r="20" spans="1:133" outlineLevel="1">
      <c r="A20" s="256" t="str">
        <f>$A$10</f>
        <v>1Q</v>
      </c>
      <c r="B20" s="256" t="str">
        <f>$B$10</f>
        <v>Apr</v>
      </c>
      <c r="C20" s="256"/>
      <c r="D20" s="294"/>
      <c r="E20" s="256"/>
      <c r="F20" s="294"/>
      <c r="G20" s="309"/>
      <c r="H20" s="256"/>
      <c r="I20" s="256"/>
      <c r="J20" s="601">
        <f>112.009-J21</f>
        <v>51.661999999999999</v>
      </c>
      <c r="K20" s="309">
        <f t="shared" ref="K20:K26" si="23">((J10-J20)/J10)*100</f>
        <v>46.797796199989705</v>
      </c>
      <c r="L20" s="310"/>
      <c r="M20" s="256"/>
      <c r="N20" s="601">
        <f>119.481-N21</f>
        <v>57.643999999999991</v>
      </c>
      <c r="O20" s="309">
        <f t="shared" ref="O20:O26" si="24">((N10-N20)/N10)*100</f>
        <v>46.246666293664575</v>
      </c>
      <c r="P20" s="310">
        <f>(N20/J20-1)*100</f>
        <v>11.579110371259315</v>
      </c>
      <c r="Q20" s="256"/>
      <c r="R20" s="294">
        <v>58.7</v>
      </c>
      <c r="S20" s="309">
        <f t="shared" ref="S20:S26" si="25">((R10-R20)/R10)*100</f>
        <v>46.383390725331331</v>
      </c>
      <c r="T20" s="310">
        <f>(R20/N20-1)*100</f>
        <v>1.8319339393519041</v>
      </c>
      <c r="U20" s="256"/>
      <c r="V20" s="294">
        <v>64.007000000000005</v>
      </c>
      <c r="W20" s="309">
        <f t="shared" ref="W20:W26" si="26">((V10-V20)/V10)*100</f>
        <v>51.216779592552221</v>
      </c>
      <c r="X20" s="310">
        <f>(V20/R20-1)*100</f>
        <v>9.0408858603066466</v>
      </c>
      <c r="Y20" s="256"/>
      <c r="Z20" s="294">
        <v>72.781000000000006</v>
      </c>
      <c r="AA20" s="309">
        <f t="shared" ref="AA20:AA26" si="27">((Z10-Z20)/Z10)*100</f>
        <v>51.525868499573733</v>
      </c>
      <c r="AB20" s="310">
        <f>(Z20/V20-1)*100</f>
        <v>13.707875701095196</v>
      </c>
      <c r="AC20" s="256"/>
      <c r="AD20" s="294">
        <v>87.375</v>
      </c>
      <c r="AE20" s="309">
        <f t="shared" ref="AE20:AE26" si="28">((AD10-AD20)/AD10)*100</f>
        <v>51.657343934137799</v>
      </c>
      <c r="AF20" s="310">
        <f>(AD20/Z20-1)*100</f>
        <v>20.051936631813238</v>
      </c>
      <c r="AG20" s="256"/>
      <c r="AH20" s="294">
        <v>93.444999999999993</v>
      </c>
      <c r="AI20" s="309">
        <f t="shared" ref="AI20:AI26" si="29">((AH10-AH20)/AH10)*100</f>
        <v>53.2070766503588</v>
      </c>
      <c r="AJ20" s="310">
        <f>(AH20/AD20-1)*100</f>
        <v>6.9470672389127186</v>
      </c>
      <c r="AK20" s="256"/>
      <c r="AL20" s="294">
        <v>105.151</v>
      </c>
      <c r="AM20" s="309">
        <f t="shared" ref="AM20:AM26" si="30">((AL10-AL20)/AL10)*100</f>
        <v>53.505719427482433</v>
      </c>
      <c r="AN20" s="310">
        <f>(AL20/AH20-1)*100</f>
        <v>12.527155010969015</v>
      </c>
      <c r="AO20" s="256"/>
      <c r="AP20" s="294">
        <v>123.98099999999999</v>
      </c>
      <c r="AQ20" s="309">
        <f t="shared" ref="AQ20:AQ26" si="31">((AP10-AP20)/AP10)*100</f>
        <v>54.465121916283785</v>
      </c>
      <c r="AR20" s="310">
        <f>(AP20/AL20-1)*100</f>
        <v>17.907580527051572</v>
      </c>
      <c r="AS20" s="256"/>
      <c r="AT20" s="294">
        <v>156.434</v>
      </c>
      <c r="AU20" s="309">
        <f t="shared" ref="AU20:AU26" si="32">((AT10-AT20)/AT10)*100</f>
        <v>54.675598230298739</v>
      </c>
      <c r="AV20" s="310">
        <f>(AT20/AP20-1)*100</f>
        <v>26.175784999314409</v>
      </c>
      <c r="AW20" s="256"/>
      <c r="AX20" s="294">
        <v>146.261</v>
      </c>
      <c r="AY20" s="309">
        <f t="shared" ref="AY20:AY26" si="33">((AX10-AX20)/AX10)*100</f>
        <v>56.521829602171223</v>
      </c>
      <c r="AZ20" s="886">
        <f>AY20-AU20</f>
        <v>1.8462313718724843</v>
      </c>
      <c r="BA20" s="256"/>
      <c r="BB20" s="294">
        <v>140.714</v>
      </c>
      <c r="BC20" s="309">
        <f t="shared" ref="BC20:BC26" si="34">((BB10-BB20)/BB10)*100</f>
        <v>59.463484756387395</v>
      </c>
      <c r="BD20" s="886">
        <f>BC20-AY20</f>
        <v>2.9416551542161713</v>
      </c>
      <c r="BE20" s="256"/>
      <c r="BF20" s="294">
        <v>166.19499999999999</v>
      </c>
      <c r="BG20" s="309">
        <f t="shared" ref="BG20:BG26" si="35">((BF10-BF20)/BF10)*100</f>
        <v>58.014495792481291</v>
      </c>
      <c r="BH20" s="886">
        <f>BG20-BC20</f>
        <v>-1.4489889639061033</v>
      </c>
      <c r="BI20" s="256"/>
      <c r="BJ20" s="294">
        <v>198.084</v>
      </c>
      <c r="BK20" s="309">
        <f t="shared" ref="BK20:BK26" si="36">((BJ10-BJ20)/BJ10)*100</f>
        <v>56.651785714285708</v>
      </c>
      <c r="BL20" s="886">
        <f>BK20-BG20</f>
        <v>-1.3627100781955832</v>
      </c>
      <c r="BM20" s="587"/>
      <c r="BN20" s="877">
        <v>235.08</v>
      </c>
      <c r="BO20" s="309">
        <f t="shared" ref="BO20:BO26" si="37">((BN10-BN20)/BN10)*100</f>
        <v>53.896932934040144</v>
      </c>
      <c r="BP20" s="886">
        <f>BO20-BK20</f>
        <v>-2.7548527802455638</v>
      </c>
      <c r="BQ20" s="599"/>
      <c r="BR20" s="877">
        <f>468.443-BR21</f>
        <v>224.22899999999998</v>
      </c>
      <c r="BS20" s="309">
        <f t="shared" ref="BS20:BS26" si="38">((BR10-BR20)/BR10)*100</f>
        <v>56.490464843719678</v>
      </c>
      <c r="BT20" s="886">
        <f>BS20-BO20</f>
        <v>2.593531909679534</v>
      </c>
      <c r="BU20" s="256"/>
      <c r="BV20" s="877">
        <v>261.77100000000002</v>
      </c>
      <c r="BW20" s="309">
        <f t="shared" ref="BW20:BW26" si="39">((BV10-BV20)/BV10)*100</f>
        <v>56.05871125964994</v>
      </c>
      <c r="BX20" s="886">
        <f>BW20-BS20</f>
        <v>-0.43175358406973885</v>
      </c>
      <c r="BY20" s="256"/>
      <c r="BZ20" s="877">
        <f>286.895-1.433</f>
        <v>285.46199999999999</v>
      </c>
      <c r="CA20" s="309">
        <f t="shared" ref="CA20:CA26" si="40">((BZ10-BZ20)/BZ10)*100</f>
        <v>57.104345735409034</v>
      </c>
      <c r="CB20" s="886">
        <f>CA20-BW20</f>
        <v>1.0456344757590941</v>
      </c>
      <c r="CC20" s="256"/>
      <c r="CD20" s="877">
        <f>232.032-3.636</f>
        <v>228.39600000000002</v>
      </c>
      <c r="CE20" s="309">
        <f t="shared" ref="CE20:CE26" si="41">((CD10-CD20)/CD10)*100</f>
        <v>55.875312732436264</v>
      </c>
      <c r="CF20" s="886">
        <f>CE20-CA20</f>
        <v>-1.2290330029727699</v>
      </c>
      <c r="CG20" s="256"/>
      <c r="CH20" s="877">
        <f>267.608-0.072</f>
        <v>267.536</v>
      </c>
      <c r="CI20" s="309">
        <f t="shared" ref="CI20:CI26" si="42">((CH10-CH20)/CH10)*100</f>
        <v>57.774319508322471</v>
      </c>
      <c r="CJ20" s="886">
        <f>CI20-CE20</f>
        <v>1.8990067758862068</v>
      </c>
      <c r="CK20" s="256"/>
      <c r="CL20" s="877">
        <f>317.325-0.213</f>
        <v>317.11199999999997</v>
      </c>
      <c r="CM20" s="309">
        <f t="shared" ref="CM20:CM26" si="43">((CL10-CL20)/CL10)*100</f>
        <v>58.33055197117546</v>
      </c>
      <c r="CN20" s="886">
        <f>CM20-CI20</f>
        <v>0.55623246285298933</v>
      </c>
      <c r="CO20" s="256"/>
      <c r="CP20" s="877">
        <v>350.15199999999999</v>
      </c>
      <c r="CQ20" s="309">
        <f t="shared" ref="CQ20:CQ26" si="44">((CP10-CP20)/CP10)*100</f>
        <v>57.255270578756544</v>
      </c>
      <c r="CR20" s="886">
        <f>CQ20-CM20</f>
        <v>-1.0752813924189155</v>
      </c>
      <c r="CS20" s="256"/>
      <c r="CT20" s="877">
        <v>392.26</v>
      </c>
      <c r="CU20" s="309">
        <f t="shared" ref="CU20:CU26" si="45">((CT10-CT20)/CT10)*100</f>
        <v>56.195755591389684</v>
      </c>
      <c r="CV20" s="886">
        <f>CU20-CQ20</f>
        <v>-1.0595149873668603</v>
      </c>
      <c r="CW20" s="256"/>
      <c r="CX20" s="877">
        <v>422.60599999999999</v>
      </c>
      <c r="CY20" s="309">
        <f t="shared" ref="CY20:CY26" si="46">((CX10-CX20)/CX10)*100</f>
        <v>58.245960013120815</v>
      </c>
      <c r="CZ20" s="886">
        <f>CY20-CU20</f>
        <v>2.0502044217311308</v>
      </c>
      <c r="DA20" s="256"/>
      <c r="DB20" s="877">
        <v>393.4</v>
      </c>
      <c r="DC20" s="309">
        <f t="shared" ref="DC20:DC26" si="47">((DB10-DB20)/DB10)*100</f>
        <v>59.123025768911056</v>
      </c>
      <c r="DD20" s="886">
        <f>DC20-CY20</f>
        <v>0.87706575579024104</v>
      </c>
      <c r="DE20" s="256"/>
      <c r="DF20" s="877">
        <v>345.7</v>
      </c>
      <c r="DG20" s="309">
        <f t="shared" ref="DG20:DG26" si="48">((DF10-DF20)/DF10)*100</f>
        <v>61.21395714125434</v>
      </c>
      <c r="DH20" s="886">
        <f>DG20-DC20</f>
        <v>2.0909313723432845</v>
      </c>
      <c r="DI20" s="256"/>
      <c r="DJ20" s="2211">
        <v>342</v>
      </c>
      <c r="DK20" s="309">
        <f t="shared" ref="DK20:DK26" si="49">((DJ10-DJ20)/DJ10)*100</f>
        <v>61.98310360160071</v>
      </c>
      <c r="DL20" s="886">
        <f>DK20-DG20</f>
        <v>0.76914646034637002</v>
      </c>
      <c r="DM20" s="256"/>
      <c r="DN20" s="882">
        <f>DN10*(1-DO20/100)</f>
        <v>363.70661408793177</v>
      </c>
      <c r="DO20" s="2116">
        <v>62.2</v>
      </c>
      <c r="DP20" s="886">
        <f>DO20-DK20</f>
        <v>0.21689639839929242</v>
      </c>
      <c r="DQ20" s="256"/>
      <c r="DR20" s="256"/>
      <c r="DS20" s="1996"/>
      <c r="DT20" s="256"/>
      <c r="DU20" s="612">
        <f>DD20+DH20</f>
        <v>2.9679971281335256</v>
      </c>
      <c r="DV20" s="612">
        <f>DL20+DD20+DH20</f>
        <v>3.7371435884798956</v>
      </c>
      <c r="DW20" s="612"/>
      <c r="DX20" s="612"/>
      <c r="DY20" s="886"/>
      <c r="DZ20" s="256"/>
      <c r="EA20" s="256"/>
    </row>
    <row r="21" spans="1:133" outlineLevel="1">
      <c r="A21" s="256" t="str">
        <f>$A$11</f>
        <v>2Q</v>
      </c>
      <c r="B21" s="256" t="str">
        <f>$B$11</f>
        <v>Jul</v>
      </c>
      <c r="C21" s="256"/>
      <c r="D21" s="295"/>
      <c r="E21" s="256"/>
      <c r="F21" s="295"/>
      <c r="G21" s="309"/>
      <c r="H21" s="256"/>
      <c r="I21" s="256"/>
      <c r="J21" s="295">
        <v>60.347000000000001</v>
      </c>
      <c r="K21" s="309">
        <f t="shared" si="23"/>
        <v>49.446268806755349</v>
      </c>
      <c r="L21" s="310"/>
      <c r="M21" s="256"/>
      <c r="N21" s="295">
        <v>61.837000000000003</v>
      </c>
      <c r="O21" s="309">
        <f t="shared" si="24"/>
        <v>48.823139948688237</v>
      </c>
      <c r="P21" s="310">
        <f>(N21/J21-1)*100</f>
        <v>2.4690539711998971</v>
      </c>
      <c r="Q21" s="256"/>
      <c r="R21" s="295">
        <f>58.786</f>
        <v>58.786000000000001</v>
      </c>
      <c r="S21" s="309">
        <f t="shared" si="25"/>
        <v>48.53851338930081</v>
      </c>
      <c r="T21" s="310">
        <f>(R21/N21-1)*100</f>
        <v>-4.9339392273234477</v>
      </c>
      <c r="U21" s="256"/>
      <c r="V21" s="295">
        <v>73.335999999999999</v>
      </c>
      <c r="W21" s="309">
        <f t="shared" si="26"/>
        <v>51.834070026337052</v>
      </c>
      <c r="X21" s="310">
        <f>(V21/R21-1)*100</f>
        <v>24.750791004660975</v>
      </c>
      <c r="Y21" s="256"/>
      <c r="Z21" s="295">
        <v>88.263999999999996</v>
      </c>
      <c r="AA21" s="309">
        <f t="shared" si="27"/>
        <v>52.207578432115739</v>
      </c>
      <c r="AB21" s="310">
        <f>(Z21/V21-1)*100</f>
        <v>20.355623431875202</v>
      </c>
      <c r="AC21" s="256"/>
      <c r="AD21" s="295">
        <v>95.881</v>
      </c>
      <c r="AE21" s="309">
        <f t="shared" si="28"/>
        <v>52.712773040446237</v>
      </c>
      <c r="AF21" s="310">
        <f>(AD21/Z21-1)*100</f>
        <v>8.6297924408592408</v>
      </c>
      <c r="AG21" s="256"/>
      <c r="AH21" s="295">
        <v>100.52200000000001</v>
      </c>
      <c r="AI21" s="309">
        <f t="shared" si="29"/>
        <v>53.708283252513247</v>
      </c>
      <c r="AJ21" s="310">
        <f>(AH21/AD21-1)*100</f>
        <v>4.840375048236889</v>
      </c>
      <c r="AK21" s="256"/>
      <c r="AL21" s="295">
        <v>112.036</v>
      </c>
      <c r="AM21" s="309">
        <f t="shared" si="30"/>
        <v>54.773496096430677</v>
      </c>
      <c r="AN21" s="310">
        <f>(AL21/AH21-1)*100</f>
        <v>11.45420902886929</v>
      </c>
      <c r="AO21" s="256"/>
      <c r="AP21" s="295">
        <v>132.03</v>
      </c>
      <c r="AQ21" s="309">
        <f t="shared" si="31"/>
        <v>57.002869080689237</v>
      </c>
      <c r="AR21" s="310">
        <f>(AP21/AL21-1)*100</f>
        <v>17.846049484094408</v>
      </c>
      <c r="AS21" s="256"/>
      <c r="AT21" s="295">
        <v>161.994</v>
      </c>
      <c r="AU21" s="309">
        <f t="shared" si="32"/>
        <v>56.737918215613384</v>
      </c>
      <c r="AV21" s="310">
        <f>(AT21/AP21-1)*100</f>
        <v>22.694842081345158</v>
      </c>
      <c r="AW21" s="256"/>
      <c r="AX21" s="295">
        <v>155.43</v>
      </c>
      <c r="AY21" s="309">
        <f t="shared" si="33"/>
        <v>58.139083923824607</v>
      </c>
      <c r="AZ21" s="886">
        <f>AY21-AU21</f>
        <v>1.4011657082112237</v>
      </c>
      <c r="BA21" s="256"/>
      <c r="BB21" s="295">
        <v>154.62</v>
      </c>
      <c r="BC21" s="309">
        <f t="shared" si="34"/>
        <v>58.704901088863778</v>
      </c>
      <c r="BD21" s="886">
        <f>BC21-AY21</f>
        <v>0.56581716503917079</v>
      </c>
      <c r="BE21" s="256"/>
      <c r="BF21" s="295">
        <v>187.523</v>
      </c>
      <c r="BG21" s="309">
        <f t="shared" si="35"/>
        <v>57.621442050192663</v>
      </c>
      <c r="BH21" s="886">
        <f>BG21-BC21</f>
        <v>-1.0834590386711156</v>
      </c>
      <c r="BI21" s="256"/>
      <c r="BJ21" s="314">
        <v>212.10900000000001</v>
      </c>
      <c r="BK21" s="309">
        <f t="shared" si="36"/>
        <v>55.49510382986044</v>
      </c>
      <c r="BL21" s="886">
        <f>BK21-BG21</f>
        <v>-2.1263382203322223</v>
      </c>
      <c r="BM21" s="587"/>
      <c r="BN21" s="878">
        <v>234.61699999999999</v>
      </c>
      <c r="BO21" s="309">
        <f t="shared" si="37"/>
        <v>55.455372213077261</v>
      </c>
      <c r="BP21" s="886">
        <f>BO21-BK21</f>
        <v>-3.9731616783178936E-2</v>
      </c>
      <c r="BQ21" s="599"/>
      <c r="BR21" s="878">
        <v>244.214</v>
      </c>
      <c r="BS21" s="309">
        <f t="shared" si="38"/>
        <v>55.970266308727737</v>
      </c>
      <c r="BT21" s="886">
        <f>BS21-BO21</f>
        <v>0.51489409565047595</v>
      </c>
      <c r="BU21" s="256"/>
      <c r="BV21" s="878">
        <v>290.65600000000001</v>
      </c>
      <c r="BW21" s="309">
        <f t="shared" si="39"/>
        <v>56.131501655694102</v>
      </c>
      <c r="BX21" s="886">
        <f>BW21-BS21</f>
        <v>0.16123534696636455</v>
      </c>
      <c r="BY21" s="256"/>
      <c r="BZ21" s="878">
        <v>307.75799999999998</v>
      </c>
      <c r="CA21" s="309">
        <f t="shared" si="40"/>
        <v>57.820222193592954</v>
      </c>
      <c r="CB21" s="886">
        <f>CA21-BW21</f>
        <v>1.6887205378988526</v>
      </c>
      <c r="CC21" s="256"/>
      <c r="CD21" s="878">
        <v>275.041</v>
      </c>
      <c r="CE21" s="309">
        <f t="shared" si="41"/>
        <v>55.094833736875358</v>
      </c>
      <c r="CF21" s="886">
        <f>CE21-CA21</f>
        <v>-2.7253884567175959</v>
      </c>
      <c r="CG21" s="256"/>
      <c r="CH21" s="878">
        <f>282.008-0.289</f>
        <v>281.71899999999999</v>
      </c>
      <c r="CI21" s="309">
        <f t="shared" si="42"/>
        <v>57.874424307673898</v>
      </c>
      <c r="CJ21" s="886">
        <f>CI21-CE21</f>
        <v>2.7795905707985398</v>
      </c>
      <c r="CK21" s="256"/>
      <c r="CL21" s="878">
        <v>358.01499999999999</v>
      </c>
      <c r="CM21" s="309">
        <f t="shared" si="43"/>
        <v>58.976730009441837</v>
      </c>
      <c r="CN21" s="886">
        <f>CM21-CI21</f>
        <v>1.1023057017679392</v>
      </c>
      <c r="CO21" s="256"/>
      <c r="CP21" s="878">
        <v>387.40699999999998</v>
      </c>
      <c r="CQ21" s="309">
        <f t="shared" si="44"/>
        <v>56.302667925451942</v>
      </c>
      <c r="CR21" s="886">
        <f>CQ21-CM21</f>
        <v>-2.6740620839898952</v>
      </c>
      <c r="CS21" s="256"/>
      <c r="CT21" s="1728">
        <v>393.755</v>
      </c>
      <c r="CU21" s="309">
        <f t="shared" si="45"/>
        <v>57.472534356355652</v>
      </c>
      <c r="CV21" s="886">
        <f>CU21-CQ21</f>
        <v>1.1698664309037099</v>
      </c>
      <c r="CW21" s="256"/>
      <c r="CX21" s="1728">
        <v>397.767</v>
      </c>
      <c r="CY21" s="309">
        <f t="shared" si="46"/>
        <v>59.940076339721834</v>
      </c>
      <c r="CZ21" s="886">
        <f>CY21-CU21</f>
        <v>2.467541983366182</v>
      </c>
      <c r="DA21" s="256"/>
      <c r="DB21" s="2103">
        <v>397.5</v>
      </c>
      <c r="DC21" s="309">
        <f t="shared" si="47"/>
        <v>59.868753154972232</v>
      </c>
      <c r="DD21" s="886">
        <f>DC21-CY21</f>
        <v>-7.1323184749601864E-2</v>
      </c>
      <c r="DE21" s="256"/>
      <c r="DF21" s="2126">
        <v>354.5</v>
      </c>
      <c r="DG21" s="309">
        <f t="shared" si="48"/>
        <v>61.947187634177759</v>
      </c>
      <c r="DH21" s="886">
        <f>DG21-DC21</f>
        <v>2.0784344792055265</v>
      </c>
      <c r="DI21" s="256"/>
      <c r="DJ21" s="2126">
        <v>361.5</v>
      </c>
      <c r="DK21" s="309">
        <f t="shared" si="49"/>
        <v>62.331978743357297</v>
      </c>
      <c r="DL21" s="886">
        <f>DK21-DG21</f>
        <v>0.38479110917953818</v>
      </c>
      <c r="DM21" s="256"/>
      <c r="DN21" s="1158">
        <f>DN11*(1-DO21/100)</f>
        <v>380.20876017649459</v>
      </c>
      <c r="DO21" s="2116">
        <v>62.5</v>
      </c>
      <c r="DP21" s="886">
        <f>DO21-DK21</f>
        <v>0.16802125664270307</v>
      </c>
      <c r="DQ21" s="256"/>
      <c r="DR21" s="256"/>
      <c r="DS21" s="1996"/>
      <c r="DT21" s="256"/>
      <c r="DU21" s="612">
        <f>DD21+DH21</f>
        <v>2.0071112944559246</v>
      </c>
      <c r="DV21" s="612">
        <f>DL21+DD21+DH21</f>
        <v>2.3919024036354628</v>
      </c>
      <c r="DW21" s="612"/>
      <c r="DX21" s="612"/>
      <c r="DY21" s="886"/>
      <c r="DZ21" s="256"/>
      <c r="EA21" s="256"/>
    </row>
    <row r="22" spans="1:133" outlineLevel="1">
      <c r="A22" s="256" t="str">
        <f>$A$12</f>
        <v>3Q</v>
      </c>
      <c r="B22" s="256" t="str">
        <f>$B$12</f>
        <v>Oct</v>
      </c>
      <c r="C22" s="256"/>
      <c r="D22" s="295"/>
      <c r="E22" s="256"/>
      <c r="F22" s="295"/>
      <c r="G22" s="309"/>
      <c r="H22" s="256"/>
      <c r="I22" s="256"/>
      <c r="J22" s="602">
        <f>248.894-J23-J21-J20</f>
        <v>61.433</v>
      </c>
      <c r="K22" s="309">
        <f t="shared" si="23"/>
        <v>51.398327544877006</v>
      </c>
      <c r="L22" s="310"/>
      <c r="M22" s="256"/>
      <c r="N22" s="602">
        <f>249.363-N23-N21-N20</f>
        <v>51.593000000000018</v>
      </c>
      <c r="O22" s="309">
        <f t="shared" si="24"/>
        <v>51.280017375374165</v>
      </c>
      <c r="P22" s="310">
        <f>(N22/J22-1)*100</f>
        <v>-16.017449904774274</v>
      </c>
      <c r="Q22" s="256"/>
      <c r="R22" s="295">
        <v>62.917999999999999</v>
      </c>
      <c r="S22" s="309">
        <f t="shared" si="25"/>
        <v>53.307606679035246</v>
      </c>
      <c r="T22" s="310">
        <f>(R22/N22-1)*100</f>
        <v>21.950652220262402</v>
      </c>
      <c r="U22" s="256"/>
      <c r="V22" s="295">
        <v>75.674000000000007</v>
      </c>
      <c r="W22" s="309">
        <f t="shared" si="26"/>
        <v>52.730634451655625</v>
      </c>
      <c r="X22" s="310">
        <f>(V22/R22-1)*100</f>
        <v>20.274007438252983</v>
      </c>
      <c r="Y22" s="256"/>
      <c r="Z22" s="295">
        <v>87.061999999999998</v>
      </c>
      <c r="AA22" s="309">
        <f t="shared" si="27"/>
        <v>53.632713057742087</v>
      </c>
      <c r="AB22" s="310">
        <f>(Z22/V22-1)*100</f>
        <v>15.048761794011135</v>
      </c>
      <c r="AC22" s="256"/>
      <c r="AD22" s="295">
        <v>96.700999999999993</v>
      </c>
      <c r="AE22" s="309">
        <f t="shared" si="28"/>
        <v>54.16688390169918</v>
      </c>
      <c r="AF22" s="310">
        <f>(AD22/Z22-1)*100</f>
        <v>11.071420367094721</v>
      </c>
      <c r="AG22" s="256"/>
      <c r="AH22" s="295">
        <v>106.19499999999999</v>
      </c>
      <c r="AI22" s="309">
        <f t="shared" si="29"/>
        <v>54.437217364442205</v>
      </c>
      <c r="AJ22" s="310">
        <f>(AH22/AD22-1)*100</f>
        <v>9.8178922658504142</v>
      </c>
      <c r="AK22" s="256"/>
      <c r="AL22" s="295">
        <v>113.968</v>
      </c>
      <c r="AM22" s="309">
        <f t="shared" si="30"/>
        <v>54.874881216344626</v>
      </c>
      <c r="AN22" s="310">
        <f>(AL22/AH22-1)*100</f>
        <v>7.3195536513018578</v>
      </c>
      <c r="AO22" s="256"/>
      <c r="AP22" s="295">
        <v>141.21600000000001</v>
      </c>
      <c r="AQ22" s="309">
        <f t="shared" si="31"/>
        <v>56.240045118466966</v>
      </c>
      <c r="AR22" s="310">
        <f>(AP22/AL22-1)*100</f>
        <v>23.908465534185041</v>
      </c>
      <c r="AS22" s="256"/>
      <c r="AT22" s="295">
        <v>165.709</v>
      </c>
      <c r="AU22" s="309">
        <f t="shared" si="32"/>
        <v>55.463429317823874</v>
      </c>
      <c r="AV22" s="310">
        <f>(AT22/AP22-1)*100</f>
        <v>17.344351914797194</v>
      </c>
      <c r="AW22" s="256"/>
      <c r="AX22" s="295">
        <v>140.23500000000001</v>
      </c>
      <c r="AY22" s="309">
        <f t="shared" si="33"/>
        <v>57.89674366657259</v>
      </c>
      <c r="AZ22" s="886">
        <f>AY22-AU22</f>
        <v>2.4333143487487163</v>
      </c>
      <c r="BA22" s="256"/>
      <c r="BB22" s="295">
        <v>150.22</v>
      </c>
      <c r="BC22" s="309">
        <f t="shared" si="34"/>
        <v>58.959984482273455</v>
      </c>
      <c r="BD22" s="886">
        <f>BC22-AY22</f>
        <v>1.0632408157008655</v>
      </c>
      <c r="BE22" s="256"/>
      <c r="BF22" s="295">
        <v>192.40199999999999</v>
      </c>
      <c r="BG22" s="309">
        <f t="shared" si="35"/>
        <v>55.268144228511382</v>
      </c>
      <c r="BH22" s="886">
        <f>BG22-BC22</f>
        <v>-3.6918402537620736</v>
      </c>
      <c r="BI22" s="256"/>
      <c r="BJ22" s="603">
        <v>215.624</v>
      </c>
      <c r="BK22" s="309">
        <f t="shared" si="36"/>
        <v>53.242314898341547</v>
      </c>
      <c r="BL22" s="886">
        <f>BK22-BG22</f>
        <v>-2.0258293301698345</v>
      </c>
      <c r="BM22" s="587"/>
      <c r="BN22" s="878">
        <v>229.57499999999999</v>
      </c>
      <c r="BO22" s="309">
        <f t="shared" si="37"/>
        <v>54.094640125573633</v>
      </c>
      <c r="BP22" s="886">
        <f>BO22-BK22</f>
        <v>0.85232522723208604</v>
      </c>
      <c r="BQ22" s="599"/>
      <c r="BR22" s="878">
        <v>244.483</v>
      </c>
      <c r="BS22" s="309">
        <f t="shared" si="38"/>
        <v>54.030204913563253</v>
      </c>
      <c r="BT22" s="886">
        <f>BS22-BO22</f>
        <v>-6.4435212010380383E-2</v>
      </c>
      <c r="BU22" s="256"/>
      <c r="BV22" s="878">
        <v>285.77600000000001</v>
      </c>
      <c r="BW22" s="309">
        <f t="shared" si="39"/>
        <v>54.445158235868917</v>
      </c>
      <c r="BX22" s="886">
        <f>BW22-BS22</f>
        <v>0.41495332230566362</v>
      </c>
      <c r="BY22" s="256"/>
      <c r="BZ22" s="878">
        <f>269.027</f>
        <v>269.02699999999999</v>
      </c>
      <c r="CA22" s="309">
        <f t="shared" si="40"/>
        <v>56.337559563224659</v>
      </c>
      <c r="CB22" s="886">
        <f>CA22-BW22</f>
        <v>1.8924013273557421</v>
      </c>
      <c r="CC22" s="256"/>
      <c r="CD22" s="878">
        <f>270.409</f>
        <v>270.40899999999999</v>
      </c>
      <c r="CE22" s="309">
        <f t="shared" si="41"/>
        <v>54.797128777089057</v>
      </c>
      <c r="CF22" s="886">
        <f>CE22-CA22</f>
        <v>-1.5404307861356017</v>
      </c>
      <c r="CG22" s="256"/>
      <c r="CH22" s="878">
        <f>283.158-0.326</f>
        <v>282.83199999999999</v>
      </c>
      <c r="CI22" s="309">
        <f t="shared" si="42"/>
        <v>58.512546774451437</v>
      </c>
      <c r="CJ22" s="886">
        <f>CI22-CE22</f>
        <v>3.7154179973623798</v>
      </c>
      <c r="CK22" s="256"/>
      <c r="CL22" s="878">
        <v>345.91800000000001</v>
      </c>
      <c r="CM22" s="309">
        <f t="shared" si="43"/>
        <v>57.905586376673682</v>
      </c>
      <c r="CN22" s="886">
        <f>CM22-CI22</f>
        <v>-0.60696039777775468</v>
      </c>
      <c r="CO22" s="256"/>
      <c r="CP22" s="878">
        <v>388.452</v>
      </c>
      <c r="CQ22" s="309">
        <f t="shared" si="44"/>
        <v>54.446660826675384</v>
      </c>
      <c r="CR22" s="886">
        <f>CQ22-CM22</f>
        <v>-3.4589255499982983</v>
      </c>
      <c r="CS22" s="256"/>
      <c r="CT22" s="878">
        <v>391.99700000000001</v>
      </c>
      <c r="CU22" s="309">
        <f t="shared" si="45"/>
        <v>56.993257105492404</v>
      </c>
      <c r="CV22" s="886">
        <f>CU22-CQ22</f>
        <v>2.5465962788170202</v>
      </c>
      <c r="CW22" s="256"/>
      <c r="CX22" s="878">
        <v>388.71800000000002</v>
      </c>
      <c r="CY22" s="309">
        <f t="shared" si="46"/>
        <v>59.491198836168415</v>
      </c>
      <c r="CZ22" s="886">
        <f>CY22-CU22</f>
        <v>2.4979417306760112</v>
      </c>
      <c r="DA22" s="256"/>
      <c r="DB22" s="2126">
        <v>373.7</v>
      </c>
      <c r="DC22" s="309">
        <f t="shared" si="47"/>
        <v>60.168407589000203</v>
      </c>
      <c r="DD22" s="886">
        <f>DC22-CY22</f>
        <v>0.67720875283178827</v>
      </c>
      <c r="DE22" s="256"/>
      <c r="DF22" s="2126">
        <v>369.8</v>
      </c>
      <c r="DG22" s="309">
        <f t="shared" si="48"/>
        <v>61.044980511956183</v>
      </c>
      <c r="DH22" s="886">
        <f>DG22-DC22</f>
        <v>0.87657292295597955</v>
      </c>
      <c r="DI22" s="256"/>
      <c r="DJ22" s="2427">
        <v>377.8</v>
      </c>
      <c r="DK22" s="309">
        <f t="shared" si="49"/>
        <v>61.298914156935055</v>
      </c>
      <c r="DL22" s="886">
        <f>DK22-DG22</f>
        <v>0.25393364497887205</v>
      </c>
      <c r="DM22" s="256"/>
      <c r="DN22" s="1158">
        <f>DN12*(1-DO22/100)</f>
        <v>394.20995198830411</v>
      </c>
      <c r="DO22" s="2116">
        <v>61.5</v>
      </c>
      <c r="DP22" s="886">
        <f>DO22-DK22</f>
        <v>0.20108584306494492</v>
      </c>
      <c r="DQ22" s="256"/>
      <c r="DR22" s="256"/>
      <c r="DS22" s="1996"/>
      <c r="DT22" s="256"/>
      <c r="DU22" s="612">
        <f>DD22+DH22</f>
        <v>1.5537816757877678</v>
      </c>
      <c r="DV22" s="612">
        <f>DL22+DD22+DH22</f>
        <v>1.8077153207666399</v>
      </c>
      <c r="DW22" s="612"/>
      <c r="DX22" s="612"/>
      <c r="DY22" s="886"/>
      <c r="DZ22" s="256"/>
      <c r="EA22" s="256"/>
    </row>
    <row r="23" spans="1:133" outlineLevel="1">
      <c r="A23" s="256" t="str">
        <f>$A$13</f>
        <v>4Q</v>
      </c>
      <c r="B23" s="256" t="str">
        <f>$B$13</f>
        <v>Jan</v>
      </c>
      <c r="C23" s="587"/>
      <c r="D23" s="292"/>
      <c r="E23" s="256"/>
      <c r="F23" s="292"/>
      <c r="G23" s="309"/>
      <c r="H23" s="256"/>
      <c r="I23" s="256"/>
      <c r="J23" s="292">
        <v>75.451999999999998</v>
      </c>
      <c r="K23" s="309">
        <f t="shared" si="23"/>
        <v>49.370588077408271</v>
      </c>
      <c r="L23" s="310"/>
      <c r="M23" s="256"/>
      <c r="N23" s="292">
        <v>78.289000000000001</v>
      </c>
      <c r="O23" s="309">
        <f t="shared" si="24"/>
        <v>48.639712394460446</v>
      </c>
      <c r="P23" s="310">
        <f>(N23/J23-1)*100</f>
        <v>3.7600063616604062</v>
      </c>
      <c r="Q23" s="256"/>
      <c r="R23" s="292">
        <v>95.715000000000003</v>
      </c>
      <c r="S23" s="309">
        <f t="shared" si="25"/>
        <v>53.991357306632956</v>
      </c>
      <c r="T23" s="310">
        <f>(R23/N23-1)*100</f>
        <v>22.258554841676357</v>
      </c>
      <c r="U23" s="256"/>
      <c r="V23" s="292">
        <v>111.61199999999999</v>
      </c>
      <c r="W23" s="309">
        <f t="shared" si="26"/>
        <v>53.354285427706913</v>
      </c>
      <c r="X23" s="310">
        <f>(V23/R23-1)*100</f>
        <v>16.608682024761002</v>
      </c>
      <c r="Y23" s="256"/>
      <c r="Z23" s="292">
        <v>127.815</v>
      </c>
      <c r="AA23" s="309">
        <f t="shared" si="27"/>
        <v>54.465621660135376</v>
      </c>
      <c r="AB23" s="310">
        <f>(Z23/V23-1)*100</f>
        <v>14.517256209009787</v>
      </c>
      <c r="AC23" s="256"/>
      <c r="AD23" s="292">
        <v>142.45699999999999</v>
      </c>
      <c r="AE23" s="309">
        <f t="shared" si="28"/>
        <v>56.517479144982438</v>
      </c>
      <c r="AF23" s="310">
        <f>(AD23/Z23-1)*100</f>
        <v>11.455619449986298</v>
      </c>
      <c r="AG23" s="256"/>
      <c r="AH23" s="292">
        <v>153.24600000000001</v>
      </c>
      <c r="AI23" s="309">
        <f t="shared" si="29"/>
        <v>58.322409394768471</v>
      </c>
      <c r="AJ23" s="310">
        <f>(AH23/AD23-1)*100</f>
        <v>7.5735134110644031</v>
      </c>
      <c r="AK23" s="256"/>
      <c r="AL23" s="273">
        <f>AL24-SUM(AL20:AL22)</f>
        <v>221.17500000000001</v>
      </c>
      <c r="AM23" s="309">
        <f t="shared" si="30"/>
        <v>51.011987029555605</v>
      </c>
      <c r="AN23" s="310">
        <f>(AL23/AH23-1)*100</f>
        <v>44.326768724795414</v>
      </c>
      <c r="AO23" s="256"/>
      <c r="AP23" s="273">
        <f>AP24-SUM(AP20:AP22)</f>
        <v>252.78300000000002</v>
      </c>
      <c r="AQ23" s="309">
        <f t="shared" si="31"/>
        <v>55.624078365283339</v>
      </c>
      <c r="AR23" s="310">
        <f>(AP23/AL23-1)*100</f>
        <v>14.290946083418099</v>
      </c>
      <c r="AS23" s="256"/>
      <c r="AT23" s="273">
        <f>719.642-SUM(AT20:AT22)</f>
        <v>235.50500000000005</v>
      </c>
      <c r="AU23" s="309">
        <f t="shared" si="32"/>
        <v>59.14145085540892</v>
      </c>
      <c r="AV23" s="310">
        <f>(AT23/AP23-1)*100</f>
        <v>-6.8351115383550205</v>
      </c>
      <c r="AW23" s="256"/>
      <c r="AX23" s="292">
        <v>221.13200000000001</v>
      </c>
      <c r="AY23" s="309">
        <f t="shared" si="33"/>
        <v>60.91409946638057</v>
      </c>
      <c r="AZ23" s="886">
        <f>AY23-AU23</f>
        <v>1.7726486109716504</v>
      </c>
      <c r="BA23" s="256"/>
      <c r="BB23" s="292">
        <v>249.6</v>
      </c>
      <c r="BC23" s="309">
        <f t="shared" si="34"/>
        <v>59.677745055435018</v>
      </c>
      <c r="BD23" s="886">
        <f>BC23-AY23</f>
        <v>-1.2363544109455518</v>
      </c>
      <c r="BE23" s="256"/>
      <c r="BF23" s="292">
        <v>296.54300000000001</v>
      </c>
      <c r="BG23" s="309">
        <f t="shared" si="35"/>
        <v>59.465846897434069</v>
      </c>
      <c r="BH23" s="886">
        <f>BG23-BC23</f>
        <v>-0.21189815800094891</v>
      </c>
      <c r="BI23" s="256"/>
      <c r="BJ23" s="731">
        <v>348.44099999999997</v>
      </c>
      <c r="BK23" s="309">
        <f t="shared" si="36"/>
        <v>56.989070781931616</v>
      </c>
      <c r="BL23" s="886">
        <f>BK23-BG23</f>
        <v>-2.476776115502453</v>
      </c>
      <c r="BM23" s="587"/>
      <c r="BN23" s="879">
        <v>353.541</v>
      </c>
      <c r="BO23" s="309">
        <f t="shared" si="37"/>
        <v>58.816163159942505</v>
      </c>
      <c r="BP23" s="886">
        <f>BO23-BK23</f>
        <v>1.8270923780108888</v>
      </c>
      <c r="BQ23" s="599"/>
      <c r="BR23" s="879">
        <v>406.25799999999998</v>
      </c>
      <c r="BS23" s="309">
        <f t="shared" si="38"/>
        <v>57.632338325579546</v>
      </c>
      <c r="BT23" s="886">
        <f>BS23-BO23</f>
        <v>-1.1838248343629587</v>
      </c>
      <c r="BU23" s="256"/>
      <c r="BV23" s="879">
        <f>443.303-19.212</f>
        <v>424.09100000000001</v>
      </c>
      <c r="BW23" s="309">
        <f t="shared" si="39"/>
        <v>59.731455044214677</v>
      </c>
      <c r="BX23" s="886">
        <f>BW23-BS23</f>
        <v>2.0991167186351305</v>
      </c>
      <c r="BY23" s="256"/>
      <c r="BZ23" s="879">
        <v>340.17</v>
      </c>
      <c r="CA23" s="309">
        <f t="shared" si="40"/>
        <v>59.387196406846755</v>
      </c>
      <c r="CB23" s="886">
        <f>CA23-BW23</f>
        <v>-0.34425863736792195</v>
      </c>
      <c r="CC23" s="256"/>
      <c r="CD23" s="879">
        <v>405.63900000000001</v>
      </c>
      <c r="CE23" s="309">
        <f t="shared" si="41"/>
        <v>58.666638135531045</v>
      </c>
      <c r="CF23" s="886">
        <f>CE23-CA23</f>
        <v>-0.72055827131570993</v>
      </c>
      <c r="CG23" s="256"/>
      <c r="CH23" s="879">
        <f>430.238-0.323</f>
        <v>429.91500000000002</v>
      </c>
      <c r="CI23" s="309">
        <f t="shared" si="42"/>
        <v>60.959939702964448</v>
      </c>
      <c r="CJ23" s="886">
        <f>CI23-CE23</f>
        <v>2.293301567433403</v>
      </c>
      <c r="CK23" s="256"/>
      <c r="CL23" s="879">
        <f>470.525</f>
        <v>470.52499999999998</v>
      </c>
      <c r="CM23" s="309">
        <f t="shared" si="43"/>
        <v>60.374839991915387</v>
      </c>
      <c r="CN23" s="886">
        <f>CM23-CI23</f>
        <v>-0.585099711049061</v>
      </c>
      <c r="CO23" s="256"/>
      <c r="CP23" s="879">
        <v>504.95400000000001</v>
      </c>
      <c r="CQ23" s="309">
        <f t="shared" si="44"/>
        <v>59.138479764421994</v>
      </c>
      <c r="CR23" s="886">
        <f>CQ23-CM23</f>
        <v>-1.2363602274933925</v>
      </c>
      <c r="CS23" s="256"/>
      <c r="CT23" s="879">
        <v>512.67499999999995</v>
      </c>
      <c r="CU23" s="309">
        <f t="shared" si="45"/>
        <v>60.511336502645044</v>
      </c>
      <c r="CV23" s="886">
        <f>CU23-CQ23</f>
        <v>1.3728567382230494</v>
      </c>
      <c r="CW23" s="256"/>
      <c r="CX23" s="879">
        <v>503.64699999999999</v>
      </c>
      <c r="CY23" s="309">
        <f t="shared" si="46"/>
        <v>60.813670675706589</v>
      </c>
      <c r="CZ23" s="886">
        <f>CY23-CU23</f>
        <v>0.30233417306154564</v>
      </c>
      <c r="DA23" s="256"/>
      <c r="DB23" s="2145">
        <v>448.8</v>
      </c>
      <c r="DC23" s="309">
        <f t="shared" si="47"/>
        <v>63.019116677653265</v>
      </c>
      <c r="DD23" s="886">
        <f>DC23-CY23</f>
        <v>2.2054460019466759</v>
      </c>
      <c r="DE23" s="256"/>
      <c r="DF23" s="2199">
        <v>441.4</v>
      </c>
      <c r="DG23" s="309">
        <f t="shared" si="48"/>
        <v>64.102147039687708</v>
      </c>
      <c r="DH23" s="886">
        <f>DG23-DC23</f>
        <v>1.0830303620344424</v>
      </c>
      <c r="DI23" s="256"/>
      <c r="DJ23" s="2444">
        <v>483.7</v>
      </c>
      <c r="DK23" s="309">
        <f t="shared" si="49"/>
        <v>63.748782132953608</v>
      </c>
      <c r="DL23" s="886">
        <f>DK23-DG23</f>
        <v>-0.35336490673410026</v>
      </c>
      <c r="DM23" s="256"/>
      <c r="DN23" s="1159">
        <f>DN13*(1-DO23/100)</f>
        <v>498.46343188740883</v>
      </c>
      <c r="DO23" s="2116">
        <v>64</v>
      </c>
      <c r="DP23" s="886">
        <f>DO23-DK23</f>
        <v>0.25121786704639248</v>
      </c>
      <c r="DQ23" s="256"/>
      <c r="DR23" s="256"/>
      <c r="DS23" s="1996"/>
      <c r="DT23" s="387"/>
      <c r="DU23" s="612">
        <f>DD23+DH23</f>
        <v>3.2884763639811183</v>
      </c>
      <c r="DV23" s="612">
        <f>DL23+DD23+DH23</f>
        <v>2.9351114572470181</v>
      </c>
      <c r="DW23" s="612"/>
      <c r="DX23" s="612"/>
      <c r="DY23" s="886"/>
      <c r="DZ23" s="256"/>
      <c r="EA23" s="256"/>
    </row>
    <row r="24" spans="1:133" outlineLevel="1">
      <c r="A24" s="256"/>
      <c r="B24" s="256" t="str">
        <f>$B$14</f>
        <v>Year</v>
      </c>
      <c r="C24" s="256"/>
      <c r="D24" s="305">
        <f>SUM(D20:D23)</f>
        <v>0</v>
      </c>
      <c r="E24" s="256"/>
      <c r="F24" s="305">
        <f>SUM(F20:F23)</f>
        <v>0</v>
      </c>
      <c r="G24" s="309"/>
      <c r="H24" s="256"/>
      <c r="I24" s="256"/>
      <c r="J24" s="305">
        <f>SUM(J20:J23)</f>
        <v>248.89400000000001</v>
      </c>
      <c r="K24" s="309">
        <f t="shared" si="23"/>
        <v>49.402121543546933</v>
      </c>
      <c r="L24" s="886"/>
      <c r="M24" s="256"/>
      <c r="N24" s="305">
        <f>SUM(N20:N23)</f>
        <v>249.363</v>
      </c>
      <c r="O24" s="309">
        <f t="shared" si="24"/>
        <v>48.732514247650073</v>
      </c>
      <c r="P24" s="886">
        <f>O24-K24</f>
        <v>-0.66960729589685997</v>
      </c>
      <c r="Q24" s="256"/>
      <c r="R24" s="305">
        <f>SUM(R20:R23)</f>
        <v>276.11900000000003</v>
      </c>
      <c r="S24" s="309">
        <f t="shared" si="25"/>
        <v>51.258868033772217</v>
      </c>
      <c r="T24" s="886">
        <f>S24-O24</f>
        <v>2.5263537861221437</v>
      </c>
      <c r="U24" s="256"/>
      <c r="V24" s="305">
        <f>SUM(V20:V23)</f>
        <v>324.62900000000002</v>
      </c>
      <c r="W24" s="309">
        <f t="shared" si="26"/>
        <v>52.45836817602013</v>
      </c>
      <c r="X24" s="886">
        <f>W24-S24</f>
        <v>1.1995001422479135</v>
      </c>
      <c r="Y24" s="256"/>
      <c r="Z24" s="305">
        <f>SUM(Z20:Z23)</f>
        <v>375.92200000000003</v>
      </c>
      <c r="AA24" s="309">
        <f t="shared" si="27"/>
        <v>53.202322443146443</v>
      </c>
      <c r="AB24" s="886">
        <f>AA24-W24</f>
        <v>0.74395426712631263</v>
      </c>
      <c r="AC24" s="256"/>
      <c r="AD24" s="305">
        <f>SUM(AD20:AD23)</f>
        <v>422.41399999999999</v>
      </c>
      <c r="AE24" s="309">
        <f t="shared" si="28"/>
        <v>54.190398521648234</v>
      </c>
      <c r="AF24" s="886">
        <f>AE24-AA24</f>
        <v>0.98807607850179124</v>
      </c>
      <c r="AG24" s="256"/>
      <c r="AH24" s="305">
        <f>SUM(AH20:AH23)</f>
        <v>453.40800000000002</v>
      </c>
      <c r="AI24" s="309">
        <f t="shared" si="29"/>
        <v>55.444096790930963</v>
      </c>
      <c r="AJ24" s="886">
        <f>AI24-AE24</f>
        <v>1.2536982692827294</v>
      </c>
      <c r="AK24" s="256"/>
      <c r="AL24" s="607">
        <v>552.33000000000004</v>
      </c>
      <c r="AM24" s="309">
        <f t="shared" si="30"/>
        <v>53.110077092931753</v>
      </c>
      <c r="AN24" s="886">
        <f>AM24-AI24</f>
        <v>-2.3340196979992101</v>
      </c>
      <c r="AO24" s="256"/>
      <c r="AP24" s="607">
        <v>650.01</v>
      </c>
      <c r="AQ24" s="309">
        <f t="shared" si="31"/>
        <v>55.83241035815967</v>
      </c>
      <c r="AR24" s="886">
        <f>AQ24-AM24</f>
        <v>2.7223332652279169</v>
      </c>
      <c r="AS24" s="296"/>
      <c r="AT24" s="305">
        <f>SUM(AT20:AT23)</f>
        <v>719.64200000000005</v>
      </c>
      <c r="AU24" s="309">
        <f t="shared" si="32"/>
        <v>56.85744363498587</v>
      </c>
      <c r="AV24" s="886">
        <f>AU24-AQ24</f>
        <v>1.0250332768261998</v>
      </c>
      <c r="AW24" s="296"/>
      <c r="AX24" s="305">
        <f>SUM(AX20:AX23)</f>
        <v>663.05799999999999</v>
      </c>
      <c r="AY24" s="309">
        <f t="shared" si="33"/>
        <v>58.727447581285183</v>
      </c>
      <c r="AZ24" s="886">
        <f>AY24-AU24</f>
        <v>1.8700039462993132</v>
      </c>
      <c r="BA24" s="296"/>
      <c r="BB24" s="305">
        <f>SUM(BB20:BB23)</f>
        <v>695.154</v>
      </c>
      <c r="BC24" s="309">
        <f t="shared" si="34"/>
        <v>59.266776905218677</v>
      </c>
      <c r="BD24" s="886">
        <f>BC24-AY24</f>
        <v>0.53932932393349375</v>
      </c>
      <c r="BE24" s="296"/>
      <c r="BF24" s="305">
        <f>SUM(BF20:BF23)</f>
        <v>842.6629999999999</v>
      </c>
      <c r="BG24" s="309">
        <f t="shared" si="35"/>
        <v>57.867797974545574</v>
      </c>
      <c r="BH24" s="886">
        <f>BG24-BC24</f>
        <v>-1.3989789306731026</v>
      </c>
      <c r="BI24" s="256"/>
      <c r="BJ24" s="305">
        <f>SUM(BJ20:BJ23)</f>
        <v>974.25800000000004</v>
      </c>
      <c r="BK24" s="309">
        <f t="shared" si="36"/>
        <v>55.812577018374654</v>
      </c>
      <c r="BL24" s="886">
        <f>BK24-BG24</f>
        <v>-2.0552209561709205</v>
      </c>
      <c r="BM24" s="591"/>
      <c r="BN24" s="305">
        <f>SUM(BN20:BN23)</f>
        <v>1052.8129999999999</v>
      </c>
      <c r="BO24" s="309">
        <f t="shared" si="37"/>
        <v>56.044018899836466</v>
      </c>
      <c r="BP24" s="886">
        <f>BO24-BK24</f>
        <v>0.23144188146181222</v>
      </c>
      <c r="BQ24" s="599"/>
      <c r="BR24" s="305">
        <f>SUM(BR20:BR23)</f>
        <v>1119.184</v>
      </c>
      <c r="BS24" s="309">
        <f t="shared" si="38"/>
        <v>56.294406213218551</v>
      </c>
      <c r="BT24" s="886">
        <f>BS24-BO24</f>
        <v>0.25038731338208464</v>
      </c>
      <c r="BU24" s="256"/>
      <c r="BV24" s="305">
        <f>SUM(BV20:BV23)</f>
        <v>1262.2939999999999</v>
      </c>
      <c r="BW24" s="309">
        <f t="shared" si="39"/>
        <v>57.046874356661334</v>
      </c>
      <c r="BX24" s="886">
        <f>BW24-BS24</f>
        <v>0.75246814344278334</v>
      </c>
      <c r="BY24" s="256"/>
      <c r="BZ24" s="305">
        <f>SUM(BZ20:BZ23)</f>
        <v>1202.4170000000001</v>
      </c>
      <c r="CA24" s="309">
        <f t="shared" si="40"/>
        <v>57.793032227990217</v>
      </c>
      <c r="CB24" s="886">
        <f>CA24-BW24</f>
        <v>0.746157871328883</v>
      </c>
      <c r="CC24" s="256"/>
      <c r="CD24" s="305">
        <f>SUM(CD20:CD23)</f>
        <v>1179.4850000000001</v>
      </c>
      <c r="CE24" s="309">
        <f t="shared" si="41"/>
        <v>56.471813895539881</v>
      </c>
      <c r="CF24" s="886">
        <f>CE24-CA24</f>
        <v>-1.3212183324503357</v>
      </c>
      <c r="CG24" s="256"/>
      <c r="CH24" s="305">
        <f>SUM(CH20:CH23)</f>
        <v>1262.002</v>
      </c>
      <c r="CI24" s="309">
        <f t="shared" si="42"/>
        <v>59.096162759416458</v>
      </c>
      <c r="CJ24" s="886">
        <f>CI24-CE24</f>
        <v>2.6243488638765768</v>
      </c>
      <c r="CK24" s="256"/>
      <c r="CL24" s="305">
        <f>SUM(CL20:CL23)</f>
        <v>1491.57</v>
      </c>
      <c r="CM24" s="309">
        <f t="shared" si="43"/>
        <v>59.055838736711621</v>
      </c>
      <c r="CN24" s="886">
        <f>CM24-CI24</f>
        <v>-4.0324022704837148E-2</v>
      </c>
      <c r="CO24" s="256"/>
      <c r="CP24" s="305">
        <f>SUM(CP20:CP23)</f>
        <v>1630.9649999999999</v>
      </c>
      <c r="CQ24" s="309">
        <f t="shared" si="44"/>
        <v>57.0148137352082</v>
      </c>
      <c r="CR24" s="886">
        <f>CQ24-CM24</f>
        <v>-2.0410250015034208</v>
      </c>
      <c r="CS24" s="256"/>
      <c r="CT24" s="305">
        <f>SUM(CT20:CT23)</f>
        <v>1690.6869999999999</v>
      </c>
      <c r="CU24" s="309">
        <f t="shared" si="45"/>
        <v>58.059229049919011</v>
      </c>
      <c r="CV24" s="886">
        <f>CU24-CQ24</f>
        <v>1.0444153147108111</v>
      </c>
      <c r="CW24" s="256"/>
      <c r="CX24" s="305">
        <f>SUM(CX20:CX23)</f>
        <v>1712.7380000000001</v>
      </c>
      <c r="CY24" s="309">
        <f t="shared" si="46"/>
        <v>59.699457377127473</v>
      </c>
      <c r="CZ24" s="886">
        <f>CY24-CU24</f>
        <v>1.6402283272084617</v>
      </c>
      <c r="DA24" s="256"/>
      <c r="DB24" s="305">
        <f>SUM(DB20:DB23)</f>
        <v>1613.3999999999999</v>
      </c>
      <c r="DC24" s="309">
        <f t="shared" si="47"/>
        <v>60.69383877019029</v>
      </c>
      <c r="DD24" s="886">
        <f>DC24-CY24</f>
        <v>0.9943813930628167</v>
      </c>
      <c r="DE24" s="256"/>
      <c r="DF24" s="305">
        <f>SUM(DF20:DF23)</f>
        <v>1511.4</v>
      </c>
      <c r="DG24" s="309">
        <f t="shared" si="48"/>
        <v>62.231995601979108</v>
      </c>
      <c r="DH24" s="886">
        <f>DG24-DC24</f>
        <v>1.5381568317888181</v>
      </c>
      <c r="DI24" s="256"/>
      <c r="DJ24" s="305">
        <f>SUM(DJ20:DJ23)</f>
        <v>1565</v>
      </c>
      <c r="DK24" s="309">
        <f t="shared" si="49"/>
        <v>62.468223895630494</v>
      </c>
      <c r="DL24" s="886">
        <f>DK24-DG24</f>
        <v>0.23622829365138642</v>
      </c>
      <c r="DM24" s="256"/>
      <c r="DN24" s="305">
        <f>SUM(DN20:DN23)</f>
        <v>1636.5887581401394</v>
      </c>
      <c r="DO24" s="309">
        <f>((DN14-DN24)/DN14)*100</f>
        <v>62.674325954970001</v>
      </c>
      <c r="DP24" s="886">
        <f>DO24-DK24</f>
        <v>0.20610205933950709</v>
      </c>
      <c r="DQ24" s="256"/>
      <c r="DR24" s="256"/>
      <c r="DS24" s="256"/>
      <c r="DT24" s="256"/>
      <c r="DU24" s="256"/>
      <c r="DV24" s="387"/>
      <c r="DW24" s="387"/>
      <c r="DX24" s="387"/>
      <c r="DY24" s="256"/>
      <c r="DZ24" s="256"/>
      <c r="EA24" s="256"/>
    </row>
    <row r="25" spans="1:133" hidden="1" outlineLevel="2">
      <c r="A25" s="256" t="str">
        <f>$A$15</f>
        <v>6 Mos</v>
      </c>
      <c r="B25" s="256"/>
      <c r="C25" s="256"/>
      <c r="D25" s="289">
        <f>SUM(D20:D21)</f>
        <v>0</v>
      </c>
      <c r="E25" s="256"/>
      <c r="F25" s="289">
        <f>SUM(F20:F21)</f>
        <v>0</v>
      </c>
      <c r="G25" s="309"/>
      <c r="H25" s="256"/>
      <c r="I25" s="256"/>
      <c r="J25" s="289">
        <f>SUM(J20:J21)</f>
        <v>112.009</v>
      </c>
      <c r="K25" s="309">
        <f t="shared" si="23"/>
        <v>48.258244524822494</v>
      </c>
      <c r="L25" s="256"/>
      <c r="M25" s="256"/>
      <c r="N25" s="289">
        <f>SUM(N20:N21)</f>
        <v>119.48099999999999</v>
      </c>
      <c r="O25" s="309">
        <f t="shared" si="24"/>
        <v>47.611677219075013</v>
      </c>
      <c r="P25" s="256"/>
      <c r="Q25" s="256"/>
      <c r="R25" s="289">
        <f>SUM(R20:R21)</f>
        <v>117.486</v>
      </c>
      <c r="S25" s="309">
        <f t="shared" si="25"/>
        <v>47.483840975531258</v>
      </c>
      <c r="T25" s="256"/>
      <c r="U25" s="256"/>
      <c r="V25" s="289">
        <f>SUM(V20:V21)</f>
        <v>137.34300000000002</v>
      </c>
      <c r="W25" s="309">
        <f t="shared" si="26"/>
        <v>51.548344763356191</v>
      </c>
      <c r="X25" s="256"/>
      <c r="Y25" s="256"/>
      <c r="Z25" s="289">
        <f>SUM(Z20:Z21)</f>
        <v>161.04500000000002</v>
      </c>
      <c r="AA25" s="309">
        <f t="shared" si="27"/>
        <v>51.901883366285773</v>
      </c>
      <c r="AB25" s="256"/>
      <c r="AC25" s="256"/>
      <c r="AD25" s="289">
        <f>SUM(AD20:AD21)</f>
        <v>183.256</v>
      </c>
      <c r="AE25" s="309">
        <f t="shared" si="28"/>
        <v>52.215361508615302</v>
      </c>
      <c r="AF25" s="256"/>
      <c r="AG25" s="256"/>
      <c r="AH25" s="289">
        <f>SUM(AH20:AH21)</f>
        <v>193.96699999999998</v>
      </c>
      <c r="AI25" s="309">
        <f t="shared" si="29"/>
        <v>53.468170652132194</v>
      </c>
      <c r="AJ25" s="256"/>
      <c r="AK25" s="256"/>
      <c r="AL25" s="289">
        <f>SUM(AL20:AL21)</f>
        <v>217.18700000000001</v>
      </c>
      <c r="AM25" s="309">
        <f t="shared" si="30"/>
        <v>54.168451573285267</v>
      </c>
      <c r="AN25" s="256"/>
      <c r="AO25" s="256"/>
      <c r="AP25" s="289">
        <f>SUM(AP20:AP21)</f>
        <v>256.01099999999997</v>
      </c>
      <c r="AQ25" s="309">
        <f t="shared" si="31"/>
        <v>55.81019221740452</v>
      </c>
      <c r="AR25" s="256"/>
      <c r="AS25" s="256"/>
      <c r="AT25" s="289">
        <f>SUM(AT20:AT21)</f>
        <v>318.428</v>
      </c>
      <c r="AU25" s="309">
        <f t="shared" si="32"/>
        <v>55.748751721463996</v>
      </c>
      <c r="AV25" s="256"/>
      <c r="AW25" s="256"/>
      <c r="AX25" s="289">
        <f>SUM(AX20:AX21)</f>
        <v>301.69100000000003</v>
      </c>
      <c r="AY25" s="309">
        <f t="shared" si="33"/>
        <v>57.370333841080004</v>
      </c>
      <c r="AZ25" s="256"/>
      <c r="BA25" s="256"/>
      <c r="BB25" s="289">
        <f>SUM(BB20:BB21)</f>
        <v>295.334</v>
      </c>
      <c r="BC25" s="309">
        <f t="shared" si="34"/>
        <v>59.069843504870036</v>
      </c>
      <c r="BD25" s="256"/>
      <c r="BE25" s="256"/>
      <c r="BF25" s="289">
        <f>SUM(BF20:BF21)</f>
        <v>353.71799999999996</v>
      </c>
      <c r="BG25" s="309">
        <f t="shared" si="35"/>
        <v>57.807031564984847</v>
      </c>
      <c r="BH25" s="256"/>
      <c r="BI25" s="256"/>
      <c r="BJ25" s="289">
        <f>SUM(BJ20:BJ21)</f>
        <v>410.19299999999998</v>
      </c>
      <c r="BK25" s="309">
        <f t="shared" si="36"/>
        <v>56.061279600495737</v>
      </c>
      <c r="BL25" s="256"/>
      <c r="BM25" s="587"/>
      <c r="BN25" s="289">
        <f>SUM(BN20:BN21)</f>
        <v>469.697</v>
      </c>
      <c r="BO25" s="309">
        <f t="shared" si="37"/>
        <v>54.688781229440039</v>
      </c>
      <c r="BP25" s="256"/>
      <c r="BQ25" s="599"/>
      <c r="BR25" s="289">
        <f>SUM(BR20:BR21)</f>
        <v>468.44299999999998</v>
      </c>
      <c r="BS25" s="309">
        <f t="shared" si="38"/>
        <v>56.220812270505128</v>
      </c>
      <c r="BT25" s="256"/>
      <c r="BU25" s="256"/>
      <c r="BV25" s="289">
        <f>SUM(BV20:BV21)</f>
        <v>552.42700000000002</v>
      </c>
      <c r="BW25" s="309">
        <f t="shared" si="39"/>
        <v>56.097039556032747</v>
      </c>
      <c r="BX25" s="1019"/>
      <c r="BY25" s="256"/>
      <c r="BZ25" s="289">
        <f>SUM(BZ20:BZ21)</f>
        <v>593.22</v>
      </c>
      <c r="CA25" s="309">
        <f t="shared" si="40"/>
        <v>57.478743672560093</v>
      </c>
      <c r="CB25" s="1019"/>
      <c r="CC25" s="256"/>
      <c r="CD25" s="289">
        <f>SUM(CD20:CD21)</f>
        <v>503.43700000000001</v>
      </c>
      <c r="CE25" s="309">
        <f t="shared" si="41"/>
        <v>55.452310752600638</v>
      </c>
      <c r="CF25" s="1019"/>
      <c r="CG25" s="256"/>
      <c r="CH25" s="289">
        <f>SUM(CH20:CH21)</f>
        <v>549.255</v>
      </c>
      <c r="CI25" s="309">
        <f t="shared" si="42"/>
        <v>57.825723732402913</v>
      </c>
      <c r="CJ25" s="1019"/>
      <c r="CK25" s="256"/>
      <c r="CL25" s="289">
        <f>SUM(CL20:CL21)</f>
        <v>675.12699999999995</v>
      </c>
      <c r="CM25" s="309">
        <f t="shared" si="43"/>
        <v>58.675729771749317</v>
      </c>
      <c r="CN25" s="1019"/>
      <c r="CO25" s="256"/>
      <c r="CP25" s="289">
        <f>SUM(CP20:CP21)</f>
        <v>737.55899999999997</v>
      </c>
      <c r="CQ25" s="309">
        <f t="shared" si="44"/>
        <v>56.76014912011744</v>
      </c>
      <c r="CR25" s="1019"/>
      <c r="CS25" s="256"/>
      <c r="CT25" s="289">
        <f>SUM(CT20:CT21)</f>
        <v>786.01499999999999</v>
      </c>
      <c r="CU25" s="309">
        <f t="shared" si="45"/>
        <v>56.844800172178282</v>
      </c>
      <c r="CV25" s="1019"/>
      <c r="CW25" s="256"/>
      <c r="CX25" s="289">
        <f>SUM(CX20:CX21)</f>
        <v>820.37300000000005</v>
      </c>
      <c r="CY25" s="309">
        <f t="shared" si="46"/>
        <v>59.08490610265418</v>
      </c>
      <c r="CZ25" s="1019"/>
      <c r="DA25" s="256"/>
      <c r="DB25" s="289">
        <f>SUM(DB20:DB21)</f>
        <v>790.9</v>
      </c>
      <c r="DC25" s="309">
        <f t="shared" si="47"/>
        <v>59.501254544523533</v>
      </c>
      <c r="DD25" s="1019"/>
      <c r="DE25" s="256"/>
      <c r="DF25" s="289">
        <f>SUM(DF20:DF21)</f>
        <v>700.2</v>
      </c>
      <c r="DG25" s="309">
        <f t="shared" si="48"/>
        <v>61.588677382193211</v>
      </c>
      <c r="DH25" s="1019"/>
      <c r="DI25" s="256"/>
      <c r="DJ25" s="289">
        <f>SUM(DJ20:DJ21)</f>
        <v>703.5</v>
      </c>
      <c r="DK25" s="309">
        <f t="shared" si="49"/>
        <v>62.16317969128167</v>
      </c>
      <c r="DL25" s="1019"/>
      <c r="DM25" s="256"/>
      <c r="DN25" s="289">
        <f>SUM(DN20:DN21)</f>
        <v>743.91537426442642</v>
      </c>
      <c r="DO25" s="309">
        <f>((DN15-DN25)/DN15)*100</f>
        <v>62.353924686764358</v>
      </c>
      <c r="DP25" s="1019"/>
      <c r="DQ25" s="256"/>
      <c r="DR25" s="256"/>
      <c r="DS25" s="256"/>
      <c r="DT25" s="256"/>
      <c r="DU25" s="256"/>
      <c r="DV25" s="256"/>
      <c r="DW25" s="256"/>
      <c r="DX25" s="256"/>
      <c r="DY25" s="256"/>
      <c r="DZ25" s="256"/>
      <c r="EA25" s="256"/>
    </row>
    <row r="26" spans="1:133" hidden="1" outlineLevel="2">
      <c r="A26" s="256" t="str">
        <f>$A$16</f>
        <v>9 Mos</v>
      </c>
      <c r="B26" s="256"/>
      <c r="C26" s="256"/>
      <c r="D26" s="289">
        <f>SUM(D20:D22)</f>
        <v>0</v>
      </c>
      <c r="E26" s="256"/>
      <c r="F26" s="289">
        <f>SUM(F20:F22)</f>
        <v>0</v>
      </c>
      <c r="G26" s="309"/>
      <c r="H26" s="256"/>
      <c r="I26" s="256"/>
      <c r="J26" s="289">
        <f>SUM(J20:J22)</f>
        <v>173.44200000000001</v>
      </c>
      <c r="K26" s="309">
        <f t="shared" si="23"/>
        <v>49.415827203845097</v>
      </c>
      <c r="L26" s="256"/>
      <c r="M26" s="256"/>
      <c r="N26" s="289">
        <f>SUM(N20:N22)</f>
        <v>171.07400000000001</v>
      </c>
      <c r="O26" s="309">
        <f t="shared" si="24"/>
        <v>48.774871618283356</v>
      </c>
      <c r="P26" s="256"/>
      <c r="Q26" s="256"/>
      <c r="R26" s="289">
        <f>SUM(R20:R22)</f>
        <v>180.404</v>
      </c>
      <c r="S26" s="309">
        <f t="shared" si="25"/>
        <v>49.673049455454382</v>
      </c>
      <c r="T26" s="256"/>
      <c r="U26" s="256"/>
      <c r="V26" s="289">
        <f>SUM(V20:V22)</f>
        <v>213.01700000000002</v>
      </c>
      <c r="W26" s="309">
        <f t="shared" si="26"/>
        <v>51.975065099029429</v>
      </c>
      <c r="X26" s="256"/>
      <c r="Y26" s="256"/>
      <c r="Z26" s="289">
        <f>SUM(Z20:Z22)</f>
        <v>248.10700000000003</v>
      </c>
      <c r="AA26" s="309">
        <f t="shared" si="27"/>
        <v>52.523766150266361</v>
      </c>
      <c r="AB26" s="256"/>
      <c r="AC26" s="256"/>
      <c r="AD26" s="289">
        <f>SUM(AD20:AD22)</f>
        <v>279.95699999999999</v>
      </c>
      <c r="AE26" s="309">
        <f t="shared" si="28"/>
        <v>52.907959609008749</v>
      </c>
      <c r="AF26" s="256"/>
      <c r="AG26" s="256"/>
      <c r="AH26" s="289">
        <f>SUM(AH20:AH22)</f>
        <v>300.16199999999998</v>
      </c>
      <c r="AI26" s="309">
        <f t="shared" si="29"/>
        <v>53.815688651868996</v>
      </c>
      <c r="AJ26" s="256"/>
      <c r="AK26" s="256"/>
      <c r="AL26" s="289">
        <f>SUM(AL20:AL22)</f>
        <v>331.15500000000003</v>
      </c>
      <c r="AM26" s="309">
        <f t="shared" si="30"/>
        <v>54.414054272817744</v>
      </c>
      <c r="AN26" s="256"/>
      <c r="AO26" s="256"/>
      <c r="AP26" s="289">
        <f>SUM(AP20:AP22)</f>
        <v>397.22699999999998</v>
      </c>
      <c r="AQ26" s="309">
        <f t="shared" si="31"/>
        <v>55.963970955046847</v>
      </c>
      <c r="AR26" s="256"/>
      <c r="AS26" s="256"/>
      <c r="AT26" s="289">
        <f>SUM(AT20:AT22)</f>
        <v>484.137</v>
      </c>
      <c r="AU26" s="309">
        <f t="shared" si="32"/>
        <v>55.651504811457727</v>
      </c>
      <c r="AV26" s="256"/>
      <c r="AW26" s="256"/>
      <c r="AX26" s="289">
        <f>SUM(AX20:AX22)</f>
        <v>441.92600000000004</v>
      </c>
      <c r="AY26" s="309">
        <f t="shared" si="33"/>
        <v>57.538797973819534</v>
      </c>
      <c r="AZ26" s="256"/>
      <c r="BA26" s="256"/>
      <c r="BB26" s="289">
        <f>SUM(BB20:BB22)</f>
        <v>445.55399999999997</v>
      </c>
      <c r="BC26" s="309">
        <f t="shared" si="34"/>
        <v>59.032869953631383</v>
      </c>
      <c r="BD26" s="256"/>
      <c r="BE26" s="256"/>
      <c r="BF26" s="289">
        <f>SUM(BF20:BF22)</f>
        <v>546.11999999999989</v>
      </c>
      <c r="BG26" s="309">
        <f t="shared" si="35"/>
        <v>56.946116423339554</v>
      </c>
      <c r="BH26" s="256"/>
      <c r="BI26" s="256"/>
      <c r="BJ26" s="289">
        <f>SUM(BJ20:BJ22)</f>
        <v>625.81700000000001</v>
      </c>
      <c r="BK26" s="309">
        <f t="shared" si="36"/>
        <v>55.129206164153246</v>
      </c>
      <c r="BL26" s="256"/>
      <c r="BM26" s="587"/>
      <c r="BN26" s="289">
        <f>SUM(BN20:BN22)</f>
        <v>699.27199999999993</v>
      </c>
      <c r="BO26" s="309">
        <f t="shared" si="37"/>
        <v>54.495424306650534</v>
      </c>
      <c r="BP26" s="256"/>
      <c r="BQ26" s="599"/>
      <c r="BR26" s="289">
        <f>SUM(BR20:BR22)</f>
        <v>712.92599999999993</v>
      </c>
      <c r="BS26" s="309">
        <f t="shared" si="38"/>
        <v>55.493502188411249</v>
      </c>
      <c r="BT26" s="256"/>
      <c r="BU26" s="256"/>
      <c r="BV26" s="289">
        <f>SUM(BV20:BV22)</f>
        <v>838.20299999999997</v>
      </c>
      <c r="BW26" s="309">
        <f t="shared" si="39"/>
        <v>55.547476843086649</v>
      </c>
      <c r="BX26" s="256"/>
      <c r="BY26" s="256"/>
      <c r="BZ26" s="289">
        <f>SUM(BZ20:BZ22)</f>
        <v>862.24700000000007</v>
      </c>
      <c r="CA26" s="309">
        <f t="shared" si="40"/>
        <v>57.129141545673221</v>
      </c>
      <c r="CB26" s="256"/>
      <c r="CC26" s="256"/>
      <c r="CD26" s="289">
        <f>SUM(CD20:CD22)</f>
        <v>773.846</v>
      </c>
      <c r="CE26" s="309">
        <f t="shared" si="41"/>
        <v>55.225536937604147</v>
      </c>
      <c r="CF26" s="256"/>
      <c r="CG26" s="256"/>
      <c r="CH26" s="289">
        <f>SUM(CH20:CH22)</f>
        <v>832.08699999999999</v>
      </c>
      <c r="CI26" s="309">
        <f t="shared" si="42"/>
        <v>58.061716416970121</v>
      </c>
      <c r="CJ26" s="256"/>
      <c r="CK26" s="256"/>
      <c r="CL26" s="289">
        <f>SUM(CL20:CL22)</f>
        <v>1021.045</v>
      </c>
      <c r="CM26" s="309">
        <f t="shared" si="43"/>
        <v>58.41799032945265</v>
      </c>
      <c r="CN26" s="256"/>
      <c r="CO26" s="256"/>
      <c r="CP26" s="289">
        <f>SUM(CP20:CP22)</f>
        <v>1126.011</v>
      </c>
      <c r="CQ26" s="309">
        <f t="shared" si="44"/>
        <v>55.989063819142615</v>
      </c>
      <c r="CR26" s="256"/>
      <c r="CS26" s="256"/>
      <c r="CT26" s="289">
        <f>SUM(CT20:CT22)</f>
        <v>1178.0119999999999</v>
      </c>
      <c r="CU26" s="309">
        <f t="shared" si="45"/>
        <v>56.894314571695595</v>
      </c>
      <c r="CV26" s="256"/>
      <c r="CW26" s="256"/>
      <c r="CX26" s="289">
        <f>SUM(CX20:CX22)</f>
        <v>1209.0910000000001</v>
      </c>
      <c r="CY26" s="309">
        <f t="shared" si="46"/>
        <v>59.216413668927636</v>
      </c>
      <c r="CZ26" s="256"/>
      <c r="DA26" s="256"/>
      <c r="DB26" s="289">
        <f>SUM(DB20:DB22)</f>
        <v>1164.5999999999999</v>
      </c>
      <c r="DC26" s="309">
        <f t="shared" si="47"/>
        <v>59.717754487911179</v>
      </c>
      <c r="DD26" s="256"/>
      <c r="DE26" s="256"/>
      <c r="DF26" s="289">
        <f>SUM(DF20:DF22)</f>
        <v>1070</v>
      </c>
      <c r="DG26" s="309">
        <f t="shared" si="48"/>
        <v>61.402496212394489</v>
      </c>
      <c r="DH26" s="256"/>
      <c r="DI26" s="256"/>
      <c r="DJ26" s="289">
        <f>SUM(DJ20:DJ22)</f>
        <v>1081.3</v>
      </c>
      <c r="DK26" s="309">
        <f t="shared" si="49"/>
        <v>61.865632163639575</v>
      </c>
      <c r="DL26" s="256"/>
      <c r="DM26" s="256"/>
      <c r="DN26" s="289">
        <f>SUM(DN20:DN22)</f>
        <v>1138.1253262527305</v>
      </c>
      <c r="DO26" s="309">
        <f>((DN16-DN26)/DN16)*100</f>
        <v>62.062473824832729</v>
      </c>
      <c r="DP26" s="256"/>
      <c r="DQ26" s="256"/>
      <c r="DR26" s="256"/>
      <c r="DS26" s="256"/>
      <c r="DT26" s="256"/>
      <c r="DU26" s="256"/>
      <c r="DV26" s="256"/>
      <c r="DW26" s="256"/>
      <c r="DX26" s="256"/>
      <c r="DY26" s="256"/>
      <c r="DZ26" s="256"/>
      <c r="EA26" s="256"/>
    </row>
    <row r="27" spans="1:133" outlineLevel="1" collapsed="1">
      <c r="A27" s="256"/>
      <c r="B27" s="256"/>
      <c r="C27" s="256"/>
      <c r="D27" s="256"/>
      <c r="E27" s="256"/>
      <c r="F27" s="256"/>
      <c r="G27" s="256"/>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604"/>
      <c r="AQ27" s="256"/>
      <c r="AR27" s="256"/>
      <c r="AS27" s="256"/>
      <c r="AT27" s="256"/>
      <c r="AU27" s="256"/>
      <c r="AV27" s="256"/>
      <c r="AW27" s="256"/>
      <c r="AX27" s="256"/>
      <c r="AY27" s="256"/>
      <c r="AZ27" s="256"/>
      <c r="BA27" s="256"/>
      <c r="BB27" s="256"/>
      <c r="BC27" s="256"/>
      <c r="BD27" s="256"/>
      <c r="BE27" s="256"/>
      <c r="BF27" s="256"/>
      <c r="BG27" s="256"/>
      <c r="BH27" s="256"/>
      <c r="BI27" s="256"/>
      <c r="BJ27" s="616"/>
      <c r="BK27" s="256"/>
      <c r="BL27" s="256"/>
      <c r="BM27" s="587"/>
      <c r="BN27" s="616"/>
      <c r="BO27" s="256"/>
      <c r="BP27" s="256"/>
      <c r="BQ27" s="599"/>
      <c r="BR27" s="616"/>
      <c r="BS27" s="256"/>
      <c r="BT27" s="256"/>
      <c r="BU27" s="256"/>
      <c r="BV27" s="616"/>
      <c r="BW27" s="256"/>
      <c r="BX27" s="256"/>
      <c r="BY27" s="256"/>
      <c r="BZ27" s="616"/>
      <c r="CA27" s="256"/>
      <c r="CB27" s="1028"/>
      <c r="CC27" s="256"/>
      <c r="CD27" s="616"/>
      <c r="CE27" s="256"/>
      <c r="CF27" s="256"/>
      <c r="CG27" s="256"/>
      <c r="CH27" s="616"/>
      <c r="CI27" s="256"/>
      <c r="CJ27" s="256"/>
      <c r="CK27" s="616"/>
      <c r="CL27" s="616"/>
      <c r="CM27" s="256"/>
      <c r="CN27" s="256"/>
      <c r="CO27" s="616"/>
      <c r="CP27" s="616"/>
      <c r="CQ27" s="1028"/>
      <c r="CR27" s="256"/>
      <c r="CS27" s="256"/>
      <c r="CT27" s="616"/>
      <c r="CU27" s="1028"/>
      <c r="CV27" s="256"/>
      <c r="CW27" s="256"/>
      <c r="CX27" s="616"/>
      <c r="CY27" s="1028"/>
      <c r="CZ27" s="256"/>
      <c r="DA27" s="256"/>
      <c r="DB27" s="616"/>
      <c r="DC27" s="1028"/>
      <c r="DD27" s="256"/>
      <c r="DE27" s="256"/>
      <c r="DF27" s="616"/>
      <c r="DG27" s="1028"/>
      <c r="DH27" s="256"/>
      <c r="DI27" s="256"/>
      <c r="DJ27" s="387"/>
      <c r="DK27" s="1028"/>
      <c r="DL27" s="256"/>
      <c r="DM27" s="256"/>
      <c r="DN27" s="616"/>
      <c r="DO27" s="1017"/>
      <c r="DP27" s="256"/>
      <c r="DQ27" s="256"/>
      <c r="DR27" s="256"/>
      <c r="DS27" s="256"/>
      <c r="DT27" s="256"/>
      <c r="DU27" s="256"/>
      <c r="DV27" s="256"/>
      <c r="DW27" s="256"/>
      <c r="DX27" s="256"/>
      <c r="DY27" s="256"/>
      <c r="DZ27" s="256"/>
      <c r="EA27" s="256"/>
    </row>
    <row r="28" spans="1:133" ht="12.75" customHeight="1" outlineLevel="1">
      <c r="A28" s="256"/>
      <c r="B28" s="256"/>
      <c r="C28" s="268"/>
      <c r="D28" s="598"/>
      <c r="E28" s="268" t="str">
        <f>Z28</f>
        <v>3.  Operating Expenses - Selling, General &amp; Administrative Expenses   (% of Sales)</v>
      </c>
      <c r="F28" s="598"/>
      <c r="G28" s="256"/>
      <c r="H28" s="256"/>
      <c r="I28" s="256"/>
      <c r="J28" s="598"/>
      <c r="K28" s="256"/>
      <c r="L28" s="256"/>
      <c r="M28" s="256"/>
      <c r="N28" s="598"/>
      <c r="O28" s="256"/>
      <c r="P28" s="256"/>
      <c r="Q28" s="256"/>
      <c r="R28" s="598"/>
      <c r="S28" s="256"/>
      <c r="T28" s="256"/>
      <c r="U28" s="256"/>
      <c r="V28" s="598"/>
      <c r="W28" s="256"/>
      <c r="X28" s="256"/>
      <c r="Y28" s="256"/>
      <c r="Z28" s="599" t="s">
        <v>1538</v>
      </c>
      <c r="AA28" s="312"/>
      <c r="AB28" s="312"/>
      <c r="AC28" s="312"/>
      <c r="AD28" s="600"/>
      <c r="AE28" s="312"/>
      <c r="AF28" s="312"/>
      <c r="AG28" s="312"/>
      <c r="AH28" s="600"/>
      <c r="AI28" s="312"/>
      <c r="AJ28" s="312"/>
      <c r="AK28" s="312"/>
      <c r="AL28" s="600"/>
      <c r="AM28" s="312"/>
      <c r="AN28" s="312"/>
      <c r="AO28" s="312"/>
      <c r="AP28" s="256"/>
      <c r="AQ28" s="256"/>
      <c r="AR28" s="256"/>
      <c r="AS28" s="256"/>
      <c r="AT28" s="256"/>
      <c r="AU28" s="256"/>
      <c r="AV28" s="256"/>
      <c r="AW28" s="256"/>
      <c r="AX28" s="256"/>
      <c r="AY28" s="256"/>
      <c r="AZ28" s="256"/>
      <c r="BA28" s="256"/>
      <c r="BB28" s="600"/>
      <c r="BC28" s="600"/>
      <c r="BD28" s="600"/>
      <c r="BE28" s="600"/>
      <c r="BF28" s="600"/>
      <c r="BG28" s="600"/>
      <c r="BH28" s="600"/>
      <c r="BI28" s="600"/>
      <c r="BJ28" s="600" t="s">
        <v>1538</v>
      </c>
      <c r="BK28" s="600"/>
      <c r="BL28" s="600"/>
      <c r="BM28" s="600"/>
      <c r="BN28" s="600"/>
      <c r="BO28" s="600"/>
      <c r="BP28" s="600"/>
      <c r="BQ28" s="600"/>
      <c r="BR28" s="600"/>
      <c r="BS28" s="600"/>
      <c r="BT28" s="600"/>
      <c r="BU28" s="600"/>
      <c r="BV28" s="600" t="s">
        <v>1538</v>
      </c>
      <c r="BW28" s="600"/>
      <c r="BX28" s="600"/>
      <c r="BY28" s="600"/>
      <c r="BZ28" s="600"/>
      <c r="CA28" s="600"/>
      <c r="CB28" s="600"/>
      <c r="CC28" s="600"/>
      <c r="CE28" s="600"/>
      <c r="CF28" s="600"/>
      <c r="CG28" s="600"/>
      <c r="CH28" s="600"/>
      <c r="CI28" s="600"/>
      <c r="CJ28" s="600"/>
      <c r="CK28" s="600"/>
      <c r="CL28" s="600"/>
      <c r="CM28" s="600"/>
      <c r="CN28" s="600"/>
      <c r="CO28" s="600"/>
      <c r="CQ28" s="600"/>
      <c r="CR28" s="600"/>
      <c r="CT28" s="600"/>
      <c r="CU28" s="600"/>
      <c r="CV28" s="600"/>
      <c r="CW28" s="880"/>
      <c r="CX28" s="600"/>
      <c r="CY28" s="600"/>
      <c r="CZ28" s="600"/>
      <c r="DA28" s="880"/>
      <c r="DB28" s="600" t="s">
        <v>1538</v>
      </c>
      <c r="DC28" s="600"/>
      <c r="DD28" s="600"/>
      <c r="DE28" s="880"/>
      <c r="DF28" s="600"/>
      <c r="DG28" s="600"/>
      <c r="DH28" s="600"/>
      <c r="DI28" s="880"/>
      <c r="DJ28" s="600"/>
      <c r="DK28" s="600"/>
      <c r="DL28" s="600"/>
      <c r="DM28" s="880"/>
      <c r="DN28" s="600"/>
      <c r="DO28" s="600"/>
      <c r="DP28" s="600"/>
      <c r="DQ28" s="880"/>
      <c r="DR28" s="880"/>
      <c r="DS28" s="880"/>
      <c r="DT28" s="880"/>
      <c r="DU28" s="1233"/>
      <c r="DV28" s="880"/>
      <c r="DW28" s="880"/>
      <c r="DX28" s="880"/>
      <c r="DY28" s="880"/>
      <c r="DZ28" s="880"/>
      <c r="EA28" s="880"/>
    </row>
    <row r="29" spans="1:133" outlineLevel="1">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794"/>
      <c r="BK29" s="256"/>
      <c r="BL29" s="256"/>
      <c r="BM29" s="587"/>
      <c r="BN29" s="794"/>
      <c r="BO29" s="256"/>
      <c r="BP29" s="256"/>
      <c r="BQ29" s="599"/>
      <c r="BR29" s="794"/>
      <c r="BS29" s="256"/>
      <c r="BT29" s="256"/>
      <c r="BU29" s="256"/>
      <c r="BV29" s="794"/>
      <c r="BW29" s="1015"/>
      <c r="BX29" s="256"/>
      <c r="BY29" s="256"/>
      <c r="BZ29" s="794"/>
      <c r="CA29" s="1015"/>
      <c r="CB29" s="256"/>
      <c r="CC29" s="256"/>
      <c r="CD29" s="794"/>
      <c r="CE29" s="1015"/>
      <c r="CF29" s="256"/>
      <c r="CG29" s="256"/>
      <c r="CH29" s="794"/>
      <c r="CI29" s="1015"/>
      <c r="CJ29" s="256"/>
      <c r="CK29" s="256"/>
      <c r="CL29" s="794"/>
      <c r="CM29" s="1015"/>
      <c r="CN29" s="601"/>
      <c r="CO29" s="256"/>
      <c r="CP29" s="794"/>
      <c r="CQ29" s="1015"/>
      <c r="CR29" s="601"/>
      <c r="CS29" s="256"/>
      <c r="CT29" s="794"/>
      <c r="CU29" s="1015"/>
      <c r="CV29" s="601"/>
      <c r="CW29" s="256"/>
      <c r="CX29" s="794"/>
      <c r="CY29" s="1015"/>
      <c r="CZ29" s="601"/>
      <c r="DA29" s="256"/>
      <c r="DB29" s="794"/>
      <c r="DC29" s="1015"/>
      <c r="DD29" s="601"/>
      <c r="DE29" s="256"/>
      <c r="DF29" s="794"/>
      <c r="DG29" s="1015"/>
      <c r="DH29" s="601"/>
      <c r="DI29" s="256"/>
      <c r="DJ29" s="794"/>
      <c r="DK29" s="1015"/>
      <c r="DL29" s="601"/>
      <c r="DM29" s="256"/>
      <c r="DN29" s="794"/>
      <c r="DO29" s="1015"/>
      <c r="DP29" s="601"/>
      <c r="DQ29" s="256"/>
      <c r="DR29" s="256"/>
      <c r="DS29" s="256"/>
      <c r="DT29" s="256"/>
      <c r="DU29" s="387"/>
      <c r="DV29" s="256"/>
      <c r="DW29" s="256"/>
      <c r="DX29" s="256"/>
      <c r="DY29" s="256"/>
      <c r="DZ29" s="256"/>
      <c r="EA29" s="256"/>
    </row>
    <row r="30" spans="1:133" outlineLevel="1">
      <c r="A30" s="256" t="str">
        <f>$A$10</f>
        <v>1Q</v>
      </c>
      <c r="B30" s="256" t="str">
        <f>$B$10</f>
        <v>Apr</v>
      </c>
      <c r="C30" s="256"/>
      <c r="D30" s="294"/>
      <c r="E30" s="256"/>
      <c r="F30" s="294"/>
      <c r="G30" s="309"/>
      <c r="H30" s="310"/>
      <c r="I30" s="256"/>
      <c r="J30" s="601">
        <f>81.925-J31</f>
        <v>36.672999999999995</v>
      </c>
      <c r="K30" s="309">
        <f t="shared" ref="K30:K36" si="50">J30/J10*100</f>
        <v>37.766335410123055</v>
      </c>
      <c r="L30" s="310"/>
      <c r="M30" s="256"/>
      <c r="N30" s="601">
        <f>93.036-N31</f>
        <v>42.596000000000004</v>
      </c>
      <c r="O30" s="309">
        <f t="shared" ref="O30:O36" si="51">N30/N10*100</f>
        <v>39.720994423618492</v>
      </c>
      <c r="P30" s="310">
        <f>IF(J30&lt;0,"       NM",(N30/J30-1)*100)</f>
        <v>16.150846671938513</v>
      </c>
      <c r="Q30" s="256"/>
      <c r="R30" s="294">
        <f>46.523+0.553</f>
        <v>47.076000000000001</v>
      </c>
      <c r="S30" s="309">
        <f>R30/R10*100</f>
        <v>42.999241877586073</v>
      </c>
      <c r="T30" s="310">
        <f t="shared" ref="T30:T36" si="52">IF(N30&lt;0,"       NM",(R30/N30-1)*100)</f>
        <v>10.517419476007127</v>
      </c>
      <c r="U30" s="256"/>
      <c r="V30" s="294">
        <f>60.783+0.303</f>
        <v>61.085999999999999</v>
      </c>
      <c r="W30" s="309">
        <f t="shared" ref="W30:W36" si="53">V30/V10*100</f>
        <v>46.556967234979837</v>
      </c>
      <c r="X30" s="310">
        <f t="shared" ref="X30:X36" si="54">IF(R30&lt;0,"       NM",(V30/R30-1)*100)</f>
        <v>29.760387458577608</v>
      </c>
      <c r="Y30" s="256"/>
      <c r="Z30" s="294">
        <f>70.272+0.334</f>
        <v>70.606000000000009</v>
      </c>
      <c r="AA30" s="309">
        <f t="shared" ref="AA30:AA36" si="55">Z30/Z10*100</f>
        <v>47.025522165387898</v>
      </c>
      <c r="AB30" s="310">
        <f t="shared" ref="AB30:AB36" si="56">IF(V30&lt;0,"       NM",(Z30/V30-1)*100)</f>
        <v>15.584585666110096</v>
      </c>
      <c r="AC30" s="256"/>
      <c r="AD30" s="294">
        <f>80.74+0.348</f>
        <v>81.087999999999994</v>
      </c>
      <c r="AE30" s="309">
        <f t="shared" ref="AE30:AE36" si="57">AD30/AD10*100</f>
        <v>44.864197940699668</v>
      </c>
      <c r="AF30" s="310">
        <f t="shared" ref="AF30:AF36" si="58">IF(Z30&lt;0,"       NM",(AD30/Z30-1)*100)</f>
        <v>14.845763816106249</v>
      </c>
      <c r="AG30" s="256"/>
      <c r="AH30" s="294">
        <f>89.212+0.339</f>
        <v>89.551000000000002</v>
      </c>
      <c r="AI30" s="309">
        <f t="shared" ref="AI30:AI36" si="59">AH30/AH10*100</f>
        <v>44.842988697990471</v>
      </c>
      <c r="AJ30" s="310">
        <f t="shared" ref="AJ30:AJ36" si="60">(AH30/AD30-1)*100</f>
        <v>10.436809392265211</v>
      </c>
      <c r="AK30" s="256"/>
      <c r="AL30" s="294">
        <v>100.542</v>
      </c>
      <c r="AM30" s="309">
        <f t="shared" ref="AM30:AM36" si="61">AL30/AL10*100</f>
        <v>44.456333818242925</v>
      </c>
      <c r="AN30" s="310">
        <f t="shared" ref="AN30:AN36" si="62">(AL30/AH30-1)*100</f>
        <v>12.27345311610144</v>
      </c>
      <c r="AO30" s="238"/>
      <c r="AP30" s="294">
        <v>118.857</v>
      </c>
      <c r="AQ30" s="309">
        <f t="shared" ref="AQ30:AQ36" si="63">AP30/AP10*100</f>
        <v>43.652971055212156</v>
      </c>
      <c r="AR30" s="310">
        <f>(AP30/AL30-1)*100</f>
        <v>18.216267828370224</v>
      </c>
      <c r="AS30" s="256"/>
      <c r="AT30" s="294">
        <v>135.31399999999999</v>
      </c>
      <c r="AU30" s="309">
        <f t="shared" ref="AU30:AU36" si="64">AT30/AT10*100</f>
        <v>39.205199004470614</v>
      </c>
      <c r="AV30" s="310">
        <f t="shared" ref="AV30:AV36" si="65">(AT30/AP30-1)*100</f>
        <v>13.846050295733514</v>
      </c>
      <c r="AW30" s="256"/>
      <c r="AX30" s="294">
        <v>140.91900000000001</v>
      </c>
      <c r="AY30" s="309">
        <f t="shared" ref="AY30:AY36" si="66">AX30/AX10*100</f>
        <v>41.890184630842356</v>
      </c>
      <c r="AZ30" s="310">
        <f t="shared" ref="AZ30:AZ36" si="67">(AX30/AT30-1)*100</f>
        <v>4.1422173611008528</v>
      </c>
      <c r="BA30" s="256"/>
      <c r="BB30" s="294">
        <v>147.84899999999999</v>
      </c>
      <c r="BC30" s="309">
        <f t="shared" ref="BC30:BC36" si="68">BB30/BB10*100</f>
        <v>42.591947085953628</v>
      </c>
      <c r="BD30" s="310">
        <f t="shared" ref="BD30:BD36" si="69">(BB30/AX30-1)*100</f>
        <v>4.9177186894598934</v>
      </c>
      <c r="BE30" s="256"/>
      <c r="BF30" s="294">
        <v>170.67500000000001</v>
      </c>
      <c r="BG30" s="309">
        <f t="shared" ref="BG30:BG36" si="70">BF30/BF10*100</f>
        <v>43.117277478975041</v>
      </c>
      <c r="BH30" s="310">
        <f t="shared" ref="BH30:BH36" si="71">(BF30/BB30-1)*100</f>
        <v>15.438724644738899</v>
      </c>
      <c r="BI30" s="310"/>
      <c r="BJ30" s="294">
        <v>196.18100000000001</v>
      </c>
      <c r="BK30" s="309">
        <f t="shared" ref="BK30:BK36" si="72">BJ30/BJ10*100</f>
        <v>42.931766456582636</v>
      </c>
      <c r="BL30" s="310">
        <f t="shared" ref="BL30:BL36" si="73">(BJ30/BF30-1)*100</f>
        <v>14.94419217811631</v>
      </c>
      <c r="BM30" s="592"/>
      <c r="BN30" s="877">
        <v>208.51</v>
      </c>
      <c r="BO30" s="309">
        <f t="shared" ref="BO30:BO36" si="74">BN30/BN10*100</f>
        <v>40.892251633160157</v>
      </c>
      <c r="BP30" s="310">
        <f>(BN30/BJ30-1)*100</f>
        <v>6.2845025767021223</v>
      </c>
      <c r="BQ30" s="849"/>
      <c r="BR30" s="877">
        <v>216.19399999999999</v>
      </c>
      <c r="BS30" s="309">
        <f>BR30/BR10*100</f>
        <v>41.950418739667342</v>
      </c>
      <c r="BT30" s="310">
        <f>(BR30/BN30-1)*100</f>
        <v>3.6851949546784279</v>
      </c>
      <c r="BU30" s="256"/>
      <c r="BV30" s="1051">
        <v>246.041</v>
      </c>
      <c r="BW30" s="309">
        <f t="shared" ref="BW30:BW36" si="75">BV30/BV10*100</f>
        <v>41.30082638246585</v>
      </c>
      <c r="BX30" s="310">
        <f>(BV30/BR30-1)*100</f>
        <v>13.805656031157199</v>
      </c>
      <c r="BY30" s="256"/>
      <c r="BZ30" s="877">
        <f>277.945-4.613</f>
        <v>273.33199999999999</v>
      </c>
      <c r="CA30" s="309">
        <f t="shared" ref="CA30:CA36" si="76">BZ30/BZ10*100</f>
        <v>41.07290977940734</v>
      </c>
      <c r="CB30" s="310">
        <f>(BZ30/BV30-1)*100</f>
        <v>11.092053763397146</v>
      </c>
      <c r="CC30" s="256"/>
      <c r="CD30" s="877">
        <f>236.587-6.882</f>
        <v>229.70499999999998</v>
      </c>
      <c r="CE30" s="309">
        <f t="shared" ref="CE30:CE36" si="77">CD30/CD10*100</f>
        <v>44.37757792954222</v>
      </c>
      <c r="CF30" s="310">
        <f>(CD30/BZ30-1)*100</f>
        <v>-15.961175420367912</v>
      </c>
      <c r="CG30" s="256"/>
      <c r="CH30" s="877">
        <f>260.561-0.788</f>
        <v>259.77299999999997</v>
      </c>
      <c r="CI30" s="309">
        <f t="shared" ref="CI30:CI36" si="78">CH30/CH10*100</f>
        <v>41.000432459050543</v>
      </c>
      <c r="CJ30" s="310">
        <f>(CH30/CD30-1)*100</f>
        <v>13.089832611392872</v>
      </c>
      <c r="CK30" s="256"/>
      <c r="CL30" s="877">
        <f>307.727-8.008</f>
        <v>299.71899999999999</v>
      </c>
      <c r="CM30" s="309">
        <f t="shared" ref="CM30:CM36" si="79">CL30/CL10*100</f>
        <v>39.383956752665505</v>
      </c>
      <c r="CN30" s="310">
        <f>(CL30/CH30-1)*100</f>
        <v>15.377271694902861</v>
      </c>
      <c r="CO30" s="256"/>
      <c r="CP30" s="1618">
        <v>334.03300000000002</v>
      </c>
      <c r="CQ30" s="309">
        <f t="shared" ref="CQ30:CQ36" si="80">CP30/CP10*100</f>
        <v>40.777005993871853</v>
      </c>
      <c r="CR30" s="310">
        <f>(CP30/CL30-1)*100</f>
        <v>11.448723637807422</v>
      </c>
      <c r="CS30" s="256"/>
      <c r="CT30" s="1618">
        <f>362.066-9.4</f>
        <v>352.666</v>
      </c>
      <c r="CU30" s="309">
        <f t="shared" ref="CU30:CU36" si="81">CT30/CT10*100</f>
        <v>39.382724872806214</v>
      </c>
      <c r="CV30" s="310">
        <f t="shared" ref="CV30:CV36" si="82">(CT30/CP30-1)*100</f>
        <v>5.5781913763011337</v>
      </c>
      <c r="CW30" s="256"/>
      <c r="CX30" s="1618">
        <v>379.733</v>
      </c>
      <c r="CY30" s="309">
        <f t="shared" ref="CY30:CY36" si="83">CX30/CX10*100</f>
        <v>37.51813004627855</v>
      </c>
      <c r="CZ30" s="310">
        <f t="shared" ref="CZ30:CZ36" si="84">(CX30/CT30-1)*100</f>
        <v>7.674967249465503</v>
      </c>
      <c r="DA30" s="256"/>
      <c r="DB30" s="1618">
        <v>399</v>
      </c>
      <c r="DC30" s="309">
        <f t="shared" ref="DC30:DC36" si="85">DB30/DB10*100</f>
        <v>41.458852867830423</v>
      </c>
      <c r="DD30" s="310">
        <f>(DB30/CX30-1)*100</f>
        <v>5.0738281898070392</v>
      </c>
      <c r="DE30" s="256"/>
      <c r="DF30" s="1618">
        <v>411</v>
      </c>
      <c r="DG30" s="309">
        <f t="shared" ref="DG30:DG36" si="86">DF30/DF10*100</f>
        <v>46.112420060585663</v>
      </c>
      <c r="DH30" s="310">
        <f>(DF30/DB30-1)*100</f>
        <v>3.007518796992481</v>
      </c>
      <c r="DI30" s="256"/>
      <c r="DJ30" s="1618">
        <v>412</v>
      </c>
      <c r="DK30" s="309">
        <f t="shared" ref="DK30:DK36" si="87">DJ30/DJ10*100</f>
        <v>45.798132503334813</v>
      </c>
      <c r="DL30" s="310">
        <f>(DJ30/DF30-1)*100</f>
        <v>0.24330900243310083</v>
      </c>
      <c r="DM30" s="256"/>
      <c r="DN30" s="2394">
        <f>+DN10*DO30/100</f>
        <v>432.98406439039502</v>
      </c>
      <c r="DO30" s="2116">
        <v>45</v>
      </c>
      <c r="DP30" s="310">
        <f>(DN30/DJ30-1)*100</f>
        <v>5.0932195122318058</v>
      </c>
      <c r="DQ30" s="256"/>
      <c r="DR30" s="256"/>
      <c r="DS30" s="317">
        <f>(DF30*0.8*(1.035))+(DF30*0.2*(1+DK10/100))</f>
        <v>423.27346617300572</v>
      </c>
      <c r="DT30" s="256"/>
      <c r="DU30" s="288">
        <f>DN30-DJ30</f>
        <v>20.984064390395019</v>
      </c>
      <c r="DV30" s="601">
        <f>DF30-CX30</f>
        <v>31.266999999999996</v>
      </c>
      <c r="DW30" s="601"/>
      <c r="DX30" s="601"/>
      <c r="DY30" s="1024"/>
      <c r="DZ30" s="1948"/>
      <c r="EA30" s="256"/>
      <c r="EC30" s="1024">
        <f>(CX30*0.82*(1.04))+(CX30*0.18*(1+DC10/100))</f>
        <v>388.8297094417693</v>
      </c>
    </row>
    <row r="31" spans="1:133" outlineLevel="1">
      <c r="A31" s="256" t="str">
        <f>$A$11</f>
        <v>2Q</v>
      </c>
      <c r="B31" s="256" t="str">
        <f>$B$11</f>
        <v>Jul</v>
      </c>
      <c r="C31" s="256"/>
      <c r="D31" s="295"/>
      <c r="E31" s="256"/>
      <c r="F31" s="295"/>
      <c r="G31" s="309"/>
      <c r="H31" s="310"/>
      <c r="I31" s="256"/>
      <c r="J31" s="295">
        <v>45.252000000000002</v>
      </c>
      <c r="K31" s="309">
        <f t="shared" si="50"/>
        <v>37.908387226485274</v>
      </c>
      <c r="L31" s="310"/>
      <c r="M31" s="256"/>
      <c r="N31" s="295">
        <v>50.44</v>
      </c>
      <c r="O31" s="309">
        <f t="shared" si="51"/>
        <v>41.744599851030372</v>
      </c>
      <c r="P31" s="310">
        <f t="shared" ref="P31:P36" si="88">IF(J31&lt;0,"       NM",(N31/J31-1)*100)</f>
        <v>11.464686643684253</v>
      </c>
      <c r="Q31" s="256"/>
      <c r="R31" s="295">
        <f>53.269+0.353</f>
        <v>53.622</v>
      </c>
      <c r="S31" s="309">
        <f>R31/(R11+115)*100</f>
        <v>23.391920011516664</v>
      </c>
      <c r="T31" s="310">
        <f t="shared" si="52"/>
        <v>6.3084853291038856</v>
      </c>
      <c r="U31" s="256"/>
      <c r="V31" s="295">
        <f>69.52+0.383</f>
        <v>69.902999999999992</v>
      </c>
      <c r="W31" s="309">
        <f t="shared" si="53"/>
        <v>45.911189633317342</v>
      </c>
      <c r="X31" s="310">
        <f t="shared" si="54"/>
        <v>30.362537764350428</v>
      </c>
      <c r="Y31" s="256"/>
      <c r="Z31" s="295">
        <f>83.489+0.362</f>
        <v>83.850999999999999</v>
      </c>
      <c r="AA31" s="309">
        <f t="shared" si="55"/>
        <v>45.402908783747201</v>
      </c>
      <c r="AB31" s="310">
        <f t="shared" si="56"/>
        <v>19.953363947183966</v>
      </c>
      <c r="AC31" s="256"/>
      <c r="AD31" s="295">
        <f>89.561+0.443</f>
        <v>90.004000000000005</v>
      </c>
      <c r="AE31" s="309">
        <f t="shared" si="57"/>
        <v>44.388769154135616</v>
      </c>
      <c r="AF31" s="310">
        <f t="shared" si="58"/>
        <v>7.338016243097889</v>
      </c>
      <c r="AG31" s="256"/>
      <c r="AH31" s="295">
        <f>97.018+0.364</f>
        <v>97.382000000000005</v>
      </c>
      <c r="AI31" s="309">
        <f t="shared" si="59"/>
        <v>44.845705022818436</v>
      </c>
      <c r="AJ31" s="310">
        <f t="shared" si="60"/>
        <v>8.19741344829119</v>
      </c>
      <c r="AK31" s="256"/>
      <c r="AL31" s="295">
        <v>110.706</v>
      </c>
      <c r="AM31" s="309">
        <f t="shared" si="61"/>
        <v>44.689611742194877</v>
      </c>
      <c r="AN31" s="310">
        <f t="shared" si="62"/>
        <v>13.682199995892464</v>
      </c>
      <c r="AO31" s="256"/>
      <c r="AP31" s="295">
        <v>133.084</v>
      </c>
      <c r="AQ31" s="309">
        <f t="shared" si="63"/>
        <v>43.340378484174465</v>
      </c>
      <c r="AR31" s="310">
        <f t="shared" ref="AR31:AR36" si="89">(AP31/AL31-1)*100</f>
        <v>20.213899878958674</v>
      </c>
      <c r="AS31" s="256"/>
      <c r="AT31" s="295">
        <v>145.37700000000001</v>
      </c>
      <c r="AU31" s="309">
        <f t="shared" si="64"/>
        <v>38.824349442379187</v>
      </c>
      <c r="AV31" s="310">
        <f t="shared" si="65"/>
        <v>9.2370232334465499</v>
      </c>
      <c r="AW31" s="256"/>
      <c r="AX31" s="295">
        <v>150.20099999999999</v>
      </c>
      <c r="AY31" s="309">
        <f t="shared" si="66"/>
        <v>40.452624689941587</v>
      </c>
      <c r="AZ31" s="310">
        <f t="shared" si="67"/>
        <v>3.3182690521884384</v>
      </c>
      <c r="BA31" s="256"/>
      <c r="BB31" s="295">
        <v>160.72900000000001</v>
      </c>
      <c r="BC31" s="309">
        <f t="shared" si="68"/>
        <v>42.926658601009009</v>
      </c>
      <c r="BD31" s="310">
        <f t="shared" si="69"/>
        <v>7.0092742391861806</v>
      </c>
      <c r="BE31" s="256"/>
      <c r="BF31" s="295">
        <v>186.51900000000001</v>
      </c>
      <c r="BG31" s="309">
        <f t="shared" si="70"/>
        <v>42.151662730652326</v>
      </c>
      <c r="BH31" s="310">
        <f t="shared" si="71"/>
        <v>16.045642043439567</v>
      </c>
      <c r="BI31" s="310"/>
      <c r="BJ31" s="295">
        <v>206.31800000000001</v>
      </c>
      <c r="BK31" s="309">
        <f t="shared" si="72"/>
        <v>43.289823477697091</v>
      </c>
      <c r="BL31" s="310">
        <f t="shared" si="73"/>
        <v>10.615004369528048</v>
      </c>
      <c r="BM31" s="592"/>
      <c r="BN31" s="878">
        <v>218.01599999999999</v>
      </c>
      <c r="BO31" s="309">
        <f t="shared" si="74"/>
        <v>41.392744650190522</v>
      </c>
      <c r="BP31" s="310">
        <f t="shared" ref="BP31:BP36" si="90">(BN31/BJ31-1)*100</f>
        <v>5.669888230789355</v>
      </c>
      <c r="BQ31" s="849"/>
      <c r="BR31" s="878">
        <v>233.565</v>
      </c>
      <c r="BS31" s="309">
        <v>42</v>
      </c>
      <c r="BT31" s="310">
        <f t="shared" ref="BT31:BT36" si="91">(BR31/BN31-1)*100</f>
        <v>7.1320453544694073</v>
      </c>
      <c r="BU31" s="256"/>
      <c r="BV31" s="878">
        <v>259.11900000000003</v>
      </c>
      <c r="BW31" s="309">
        <f t="shared" si="75"/>
        <v>39.108641908228968</v>
      </c>
      <c r="BX31" s="310">
        <f t="shared" ref="BX31:BX36" si="92">(BV31/BR31-1)*100</f>
        <v>10.940851583071098</v>
      </c>
      <c r="BY31" s="256"/>
      <c r="BZ31" s="878">
        <v>287.54700000000003</v>
      </c>
      <c r="CA31" s="309">
        <f t="shared" si="76"/>
        <v>39.409758865403752</v>
      </c>
      <c r="CB31" s="310">
        <f t="shared" ref="CB31:CB36" si="93">(BZ31/BV31-1)*100</f>
        <v>10.971021036666539</v>
      </c>
      <c r="CC31" s="256"/>
      <c r="CD31" s="878">
        <f>247.898+4.442</f>
        <v>252.34</v>
      </c>
      <c r="CE31" s="309">
        <f t="shared" si="77"/>
        <v>41.198838190803812</v>
      </c>
      <c r="CF31" s="310">
        <f t="shared" ref="CF31:CF36" si="94">(CD31/BZ31-1)*100</f>
        <v>-12.243911430131426</v>
      </c>
      <c r="CG31" s="256"/>
      <c r="CH31" s="878">
        <f>273.146-3.656</f>
        <v>269.49</v>
      </c>
      <c r="CI31" s="309">
        <f t="shared" si="78"/>
        <v>40.296967521980982</v>
      </c>
      <c r="CJ31" s="310">
        <f t="shared" ref="CJ31:CJ36" si="95">(CH31/CD31-1)*100</f>
        <v>6.7963858286439027</v>
      </c>
      <c r="CK31" s="256"/>
      <c r="CL31" s="878">
        <f>374.157-34.497</f>
        <v>339.65999999999997</v>
      </c>
      <c r="CM31" s="309">
        <f t="shared" si="79"/>
        <v>38.920056100981768</v>
      </c>
      <c r="CN31" s="310">
        <f t="shared" ref="CN31:CN36" si="96">(CL31/CH31-1)*100</f>
        <v>26.03807191361458</v>
      </c>
      <c r="CO31" s="256"/>
      <c r="CP31" s="878">
        <v>344.58199999999999</v>
      </c>
      <c r="CQ31" s="309">
        <f t="shared" si="80"/>
        <v>38.866912784002153</v>
      </c>
      <c r="CR31" s="310">
        <f t="shared" ref="CR31:CR36" si="97">(CP31/CL31-1)*100</f>
        <v>1.4490961549785242</v>
      </c>
      <c r="CS31" s="256"/>
      <c r="CT31" s="1728">
        <v>355.24299999999999</v>
      </c>
      <c r="CU31" s="309">
        <f t="shared" si="81"/>
        <v>38.367981302193357</v>
      </c>
      <c r="CV31" s="310">
        <f t="shared" si="82"/>
        <v>3.093893470929987</v>
      </c>
      <c r="CW31" s="256"/>
      <c r="CX31" s="1728">
        <v>386.642</v>
      </c>
      <c r="CY31" s="309">
        <f t="shared" si="83"/>
        <v>38.939502281127574</v>
      </c>
      <c r="CZ31" s="310">
        <f t="shared" si="84"/>
        <v>8.8387385536097938</v>
      </c>
      <c r="DA31" s="256"/>
      <c r="DB31" s="1728">
        <f>420.2-9.6</f>
        <v>410.59999999999997</v>
      </c>
      <c r="DC31" s="309">
        <f t="shared" si="85"/>
        <v>41.453811206461374</v>
      </c>
      <c r="DD31" s="310">
        <f>(DB31/CX31-1)*100</f>
        <v>6.1964297722440831</v>
      </c>
      <c r="DE31" s="256"/>
      <c r="DF31" s="2103">
        <v>402.2</v>
      </c>
      <c r="DG31" s="309">
        <f t="shared" si="86"/>
        <v>43.173035637612706</v>
      </c>
      <c r="DH31" s="310">
        <f>(DF31/DB31-1)*100</f>
        <v>-2.0457866536775393</v>
      </c>
      <c r="DI31" s="256"/>
      <c r="DJ31" s="2103">
        <v>416.9</v>
      </c>
      <c r="DK31" s="309">
        <f t="shared" si="87"/>
        <v>43.440658539126808</v>
      </c>
      <c r="DL31" s="310">
        <f>(DJ31/DF31-1)*100</f>
        <v>3.6548980606663228</v>
      </c>
      <c r="DM31" s="256"/>
      <c r="DN31" s="1158">
        <f>+DN11*DO31/100</f>
        <v>456.25051221179348</v>
      </c>
      <c r="DO31" s="2116">
        <v>45</v>
      </c>
      <c r="DP31" s="310">
        <f>(DN31/DJ31-1)*100</f>
        <v>9.4388371820085091</v>
      </c>
      <c r="DQ31" s="256"/>
      <c r="DS31" s="317">
        <f>(DF31*0.8*(1.035))+(DF31*0.2*(1+DK11/100))</f>
        <v>415.88792460283383</v>
      </c>
      <c r="DT31" s="256"/>
      <c r="DU31" s="288">
        <f>DN31-DJ31</f>
        <v>39.3505122117935</v>
      </c>
      <c r="DV31" s="601">
        <f>DF31-CX31</f>
        <v>15.557999999999993</v>
      </c>
      <c r="DW31" s="601"/>
      <c r="DX31" s="601"/>
      <c r="DY31" s="1024"/>
      <c r="DZ31" s="1948"/>
      <c r="EA31" s="256"/>
      <c r="EC31" s="1024">
        <f>(CX31*0.82*(1.04))+(CX31*0.18*(1+DC11/100))</f>
        <v>399.15353621702229</v>
      </c>
    </row>
    <row r="32" spans="1:133" outlineLevel="1">
      <c r="A32" s="256" t="str">
        <f>$A$12</f>
        <v>3Q</v>
      </c>
      <c r="B32" s="256" t="str">
        <f>$B$12</f>
        <v>Oct</v>
      </c>
      <c r="C32" s="256"/>
      <c r="D32" s="295"/>
      <c r="E32" s="256"/>
      <c r="F32" s="295"/>
      <c r="G32" s="309"/>
      <c r="H32" s="310"/>
      <c r="I32" s="256"/>
      <c r="J32" s="602">
        <f>181.981-J33-J31-J30</f>
        <v>49.263999999999989</v>
      </c>
      <c r="K32" s="309">
        <f t="shared" si="50"/>
        <v>38.974375202727821</v>
      </c>
      <c r="L32" s="310"/>
      <c r="M32" s="256"/>
      <c r="N32" s="602">
        <f>210.292-N33-N31-N30</f>
        <v>53.697000000000003</v>
      </c>
      <c r="O32" s="309">
        <f t="shared" si="51"/>
        <v>50.70681889005354</v>
      </c>
      <c r="P32" s="310">
        <f t="shared" si="88"/>
        <v>8.9984572913283767</v>
      </c>
      <c r="Q32" s="256"/>
      <c r="R32" s="295">
        <f>63.392+0.524</f>
        <v>63.916000000000004</v>
      </c>
      <c r="S32" s="309">
        <f>R32/R12*100</f>
        <v>47.433024118738409</v>
      </c>
      <c r="T32" s="310">
        <f t="shared" si="52"/>
        <v>19.030858334730063</v>
      </c>
      <c r="U32" s="256"/>
      <c r="V32" s="295">
        <f>72.176+0.414</f>
        <v>72.59</v>
      </c>
      <c r="W32" s="309">
        <f t="shared" si="53"/>
        <v>45.34296119082272</v>
      </c>
      <c r="X32" s="310">
        <f t="shared" si="54"/>
        <v>13.570936854621696</v>
      </c>
      <c r="Y32" s="256"/>
      <c r="Z32" s="295">
        <f>88.776+0.11</f>
        <v>88.885999999999996</v>
      </c>
      <c r="AA32" s="309">
        <f t="shared" si="55"/>
        <v>47.33870881842293</v>
      </c>
      <c r="AB32" s="310">
        <f t="shared" si="56"/>
        <v>22.449373191899703</v>
      </c>
      <c r="AC32" s="256"/>
      <c r="AD32" s="295">
        <f>95.183+0.458</f>
        <v>95.641000000000005</v>
      </c>
      <c r="AE32" s="309">
        <f t="shared" si="57"/>
        <v>45.330710714031802</v>
      </c>
      <c r="AF32" s="310">
        <f t="shared" si="58"/>
        <v>7.5996219877146221</v>
      </c>
      <c r="AG32" s="256"/>
      <c r="AH32" s="295">
        <f>105.033+0.42</f>
        <v>105.453</v>
      </c>
      <c r="AI32" s="309">
        <f t="shared" si="59"/>
        <v>45.244428808018057</v>
      </c>
      <c r="AJ32" s="310">
        <f t="shared" si="60"/>
        <v>10.259198460911122</v>
      </c>
      <c r="AK32" s="256"/>
      <c r="AL32" s="295">
        <v>116.137</v>
      </c>
      <c r="AM32" s="309">
        <f t="shared" si="61"/>
        <v>45.983924611973393</v>
      </c>
      <c r="AN32" s="310">
        <f t="shared" si="62"/>
        <v>10.1315277896314</v>
      </c>
      <c r="AO32" s="256"/>
      <c r="AP32" s="295">
        <v>142.00800000000001</v>
      </c>
      <c r="AQ32" s="309">
        <f t="shared" si="63"/>
        <v>44.005379509522605</v>
      </c>
      <c r="AR32" s="310">
        <f t="shared" si="89"/>
        <v>22.276277155428502</v>
      </c>
      <c r="AS32" s="256"/>
      <c r="AT32" s="295">
        <v>143.31299999999999</v>
      </c>
      <c r="AU32" s="309">
        <f t="shared" si="64"/>
        <v>38.517337948902636</v>
      </c>
      <c r="AV32" s="310">
        <f t="shared" si="65"/>
        <v>0.91896231198240752</v>
      </c>
      <c r="AW32" s="256"/>
      <c r="AX32" s="295">
        <v>146.798</v>
      </c>
      <c r="AY32" s="309">
        <f t="shared" si="66"/>
        <v>44.073689330298969</v>
      </c>
      <c r="AZ32" s="310">
        <f t="shared" si="67"/>
        <v>2.4317403166495888</v>
      </c>
      <c r="BA32" s="256"/>
      <c r="BB32" s="295">
        <v>165.9</v>
      </c>
      <c r="BC32" s="309">
        <f t="shared" si="68"/>
        <v>45.323782281925403</v>
      </c>
      <c r="BD32" s="310">
        <f t="shared" si="69"/>
        <v>13.012438861564867</v>
      </c>
      <c r="BE32" s="256"/>
      <c r="BF32" s="295">
        <v>188.506</v>
      </c>
      <c r="BG32" s="309">
        <f t="shared" si="70"/>
        <v>43.826068357190849</v>
      </c>
      <c r="BH32" s="310">
        <f t="shared" si="71"/>
        <v>13.62628089210367</v>
      </c>
      <c r="BI32" s="310"/>
      <c r="BJ32" s="295">
        <v>212.16399999999999</v>
      </c>
      <c r="BK32" s="309">
        <f t="shared" si="72"/>
        <v>46.007390188050792</v>
      </c>
      <c r="BL32" s="310">
        <f t="shared" si="73"/>
        <v>12.550263652085336</v>
      </c>
      <c r="BM32" s="592"/>
      <c r="BN32" s="878">
        <v>230.73500000000001</v>
      </c>
      <c r="BO32" s="309">
        <f t="shared" si="74"/>
        <v>46.137311164655429</v>
      </c>
      <c r="BP32" s="310">
        <f t="shared" si="90"/>
        <v>8.7531343677532689</v>
      </c>
      <c r="BQ32" s="849"/>
      <c r="BR32" s="878">
        <v>239.696</v>
      </c>
      <c r="BS32" s="309">
        <v>44.5</v>
      </c>
      <c r="BT32" s="310">
        <f t="shared" si="91"/>
        <v>3.8836760786183255</v>
      </c>
      <c r="BU32" s="256"/>
      <c r="BV32" s="878">
        <f>288.403-10</f>
        <v>278.40300000000002</v>
      </c>
      <c r="BW32" s="309">
        <f t="shared" si="75"/>
        <v>44.379530162292795</v>
      </c>
      <c r="BX32" s="310">
        <f t="shared" si="92"/>
        <v>16.148371270275685</v>
      </c>
      <c r="BY32" s="256"/>
      <c r="BZ32" s="878">
        <v>265.62200000000001</v>
      </c>
      <c r="CA32" s="309">
        <f t="shared" si="76"/>
        <v>43.109817058128513</v>
      </c>
      <c r="CB32" s="310">
        <f t="shared" si="93"/>
        <v>-4.59082696666343</v>
      </c>
      <c r="CC32" s="256"/>
      <c r="CD32" s="878">
        <f>260.986-4</f>
        <v>256.98599999999999</v>
      </c>
      <c r="CE32" s="309">
        <f t="shared" si="77"/>
        <v>42.959017873262326</v>
      </c>
      <c r="CF32" s="310">
        <f t="shared" si="94"/>
        <v>-3.2512367198500258</v>
      </c>
      <c r="CG32" s="256"/>
      <c r="CH32" s="878">
        <f>300.993-6.095</f>
        <v>294.89799999999997</v>
      </c>
      <c r="CI32" s="309">
        <f t="shared" si="78"/>
        <v>43.257364729973339</v>
      </c>
      <c r="CJ32" s="310">
        <f t="shared" si="95"/>
        <v>14.752554613870018</v>
      </c>
      <c r="CK32" s="256"/>
      <c r="CL32" s="878">
        <v>329.67200000000003</v>
      </c>
      <c r="CM32" s="309">
        <f t="shared" si="79"/>
        <v>40.11745421755802</v>
      </c>
      <c r="CN32" s="310">
        <f t="shared" si="96"/>
        <v>11.791873800432718</v>
      </c>
      <c r="CO32" s="256"/>
      <c r="CP32" s="878">
        <v>346.99400000000003</v>
      </c>
      <c r="CQ32" s="309">
        <f t="shared" si="80"/>
        <v>40.691605071176362</v>
      </c>
      <c r="CR32" s="310">
        <f>(CP32/CL32-1)*100</f>
        <v>5.2543133781455476</v>
      </c>
      <c r="CS32" s="256"/>
      <c r="CT32" s="878">
        <v>365.863</v>
      </c>
      <c r="CU32" s="309">
        <f t="shared" si="81"/>
        <v>40.139531617877779</v>
      </c>
      <c r="CV32" s="310">
        <f t="shared" si="82"/>
        <v>5.437846187542128</v>
      </c>
      <c r="CW32" s="256"/>
      <c r="CX32" s="878">
        <v>402.38</v>
      </c>
      <c r="CY32" s="309">
        <f t="shared" si="83"/>
        <v>41.932535700179969</v>
      </c>
      <c r="CZ32" s="310">
        <f t="shared" si="84"/>
        <v>9.9810584836400587</v>
      </c>
      <c r="DA32" s="256"/>
      <c r="DB32" s="2126">
        <v>408.1</v>
      </c>
      <c r="DC32" s="309">
        <f t="shared" si="85"/>
        <v>43.498188019612023</v>
      </c>
      <c r="DD32" s="310">
        <f>(DB32/CX32-1)*100</f>
        <v>1.4215418261344981</v>
      </c>
      <c r="DE32" s="256"/>
      <c r="DF32" s="2126">
        <v>424.3</v>
      </c>
      <c r="DG32" s="309">
        <f t="shared" si="86"/>
        <v>44.69609185715791</v>
      </c>
      <c r="DH32" s="310">
        <f>(DF32/DB32-1)*100</f>
        <v>3.9696152903700099</v>
      </c>
      <c r="DI32" s="256"/>
      <c r="DJ32" s="2427">
        <v>438.1</v>
      </c>
      <c r="DK32" s="309">
        <f t="shared" si="87"/>
        <v>44.878098750256093</v>
      </c>
      <c r="DL32" s="310">
        <f>(DJ32/DF32-1)*100</f>
        <v>3.2524157435776635</v>
      </c>
      <c r="DM32" s="256"/>
      <c r="DN32" s="1158">
        <f>+DN12*DO32/100</f>
        <v>478.17155215204679</v>
      </c>
      <c r="DO32" s="2439">
        <v>46.7</v>
      </c>
      <c r="DP32" s="310">
        <f>(DN32/DJ32-1)*100</f>
        <v>9.1466679187506941</v>
      </c>
      <c r="DQ32" s="256"/>
      <c r="DR32" s="612"/>
      <c r="DS32" s="317">
        <f>(DF32*0.8*(1.035))+(DF32*0.2*(1+DK12/100))</f>
        <v>438.5850497419151</v>
      </c>
      <c r="DT32" s="256"/>
      <c r="DU32" s="288">
        <f t="shared" ref="DU32:DU36" si="98">DN32-DJ32</f>
        <v>40.071552152046763</v>
      </c>
      <c r="DV32" s="601">
        <f>DF32-CX32</f>
        <v>21.920000000000016</v>
      </c>
      <c r="DW32" s="601"/>
      <c r="DX32" s="601"/>
      <c r="DY32" s="1024"/>
      <c r="DZ32" s="1981"/>
      <c r="EA32" s="256"/>
      <c r="EC32" s="1024">
        <f>(CX32*0.82*(1.04))+(CX32*0.18*(1+DC12/100))</f>
        <v>413.96365298903589</v>
      </c>
    </row>
    <row r="33" spans="1:133" outlineLevel="1">
      <c r="A33" s="256" t="str">
        <f>$A$13</f>
        <v>4Q</v>
      </c>
      <c r="B33" s="256" t="str">
        <f>$B$13</f>
        <v>Jan</v>
      </c>
      <c r="C33" s="587"/>
      <c r="D33" s="292"/>
      <c r="E33" s="256"/>
      <c r="F33" s="292"/>
      <c r="G33" s="309"/>
      <c r="H33" s="310"/>
      <c r="I33" s="256"/>
      <c r="J33" s="292">
        <v>50.792000000000002</v>
      </c>
      <c r="K33" s="309">
        <f t="shared" si="50"/>
        <v>34.082185897952066</v>
      </c>
      <c r="L33" s="310"/>
      <c r="M33" s="256"/>
      <c r="N33" s="292">
        <v>63.558999999999997</v>
      </c>
      <c r="O33" s="309">
        <f t="shared" si="51"/>
        <v>41.696898924759395</v>
      </c>
      <c r="P33" s="310">
        <f t="shared" si="88"/>
        <v>25.135848165065354</v>
      </c>
      <c r="Q33" s="256"/>
      <c r="R33" s="292">
        <v>78.296999999999997</v>
      </c>
      <c r="S33" s="309">
        <f>R33/R13*100</f>
        <v>37.636093579507488</v>
      </c>
      <c r="T33" s="310">
        <f t="shared" si="52"/>
        <v>23.1879041520477</v>
      </c>
      <c r="U33" s="256"/>
      <c r="V33" s="292">
        <v>89.968000000000004</v>
      </c>
      <c r="W33" s="309">
        <f t="shared" si="53"/>
        <v>37.600093615740818</v>
      </c>
      <c r="X33" s="310">
        <f t="shared" si="54"/>
        <v>14.906062812112864</v>
      </c>
      <c r="Y33" s="256"/>
      <c r="Z33" s="292">
        <v>104.014</v>
      </c>
      <c r="AA33" s="309">
        <f t="shared" si="55"/>
        <v>37.055219095119348</v>
      </c>
      <c r="AB33" s="310">
        <f t="shared" si="56"/>
        <v>15.612217677396401</v>
      </c>
      <c r="AC33" s="256"/>
      <c r="AD33" s="292">
        <v>123.548</v>
      </c>
      <c r="AE33" s="309">
        <f t="shared" si="57"/>
        <v>37.710877574255456</v>
      </c>
      <c r="AF33" s="310">
        <f t="shared" si="58"/>
        <v>18.780164208664218</v>
      </c>
      <c r="AG33" s="256"/>
      <c r="AH33" s="292">
        <v>138.4</v>
      </c>
      <c r="AI33" s="309">
        <f t="shared" si="59"/>
        <v>37.639994125550047</v>
      </c>
      <c r="AJ33" s="310">
        <f t="shared" si="60"/>
        <v>12.021238708841908</v>
      </c>
      <c r="AK33" s="256"/>
      <c r="AL33" s="273">
        <f>AL34-SUM(AL30:AL32)</f>
        <v>137.09199999999998</v>
      </c>
      <c r="AM33" s="309">
        <f t="shared" si="61"/>
        <v>30.364483662910192</v>
      </c>
      <c r="AN33" s="310">
        <f t="shared" si="62"/>
        <v>-0.94508670520232485</v>
      </c>
      <c r="AO33" s="256"/>
      <c r="AP33" s="273">
        <f>AP34-SUM(AP30:AP32)</f>
        <v>170.84800000000001</v>
      </c>
      <c r="AQ33" s="309">
        <f t="shared" si="63"/>
        <v>29.99227582332702</v>
      </c>
      <c r="AR33" s="310">
        <f t="shared" si="89"/>
        <v>24.62288098503198</v>
      </c>
      <c r="AS33" s="256"/>
      <c r="AT33" s="292">
        <f>621.018-SUM(AT30:AT32)</f>
        <v>197.01400000000001</v>
      </c>
      <c r="AU33" s="309">
        <f t="shared" si="64"/>
        <v>34.180616977017337</v>
      </c>
      <c r="AV33" s="310">
        <f t="shared" si="65"/>
        <v>15.31536804645064</v>
      </c>
      <c r="AW33" s="256"/>
      <c r="AX33" s="292">
        <v>195.66200000000001</v>
      </c>
      <c r="AY33" s="309">
        <f t="shared" si="66"/>
        <v>34.583983639676966</v>
      </c>
      <c r="AZ33" s="310">
        <f t="shared" si="67"/>
        <v>-0.68624564751743611</v>
      </c>
      <c r="BA33" s="256"/>
      <c r="BB33" s="292">
        <v>217.773</v>
      </c>
      <c r="BC33" s="309">
        <f t="shared" si="68"/>
        <v>35.180682796645627</v>
      </c>
      <c r="BD33" s="310">
        <f t="shared" si="69"/>
        <v>11.300610236019249</v>
      </c>
      <c r="BE33" s="256"/>
      <c r="BF33" s="292">
        <v>256.16300000000001</v>
      </c>
      <c r="BG33" s="309">
        <f t="shared" si="70"/>
        <v>35.014653056091682</v>
      </c>
      <c r="BH33" s="310">
        <f t="shared" si="71"/>
        <v>17.628447971052431</v>
      </c>
      <c r="BI33" s="310"/>
      <c r="BJ33" s="292">
        <v>321.38099999999997</v>
      </c>
      <c r="BK33" s="309">
        <f t="shared" si="72"/>
        <v>39.670691574849222</v>
      </c>
      <c r="BL33" s="310">
        <f t="shared" si="73"/>
        <v>25.459570663991272</v>
      </c>
      <c r="BM33" s="592"/>
      <c r="BN33" s="879">
        <v>302.37400000000002</v>
      </c>
      <c r="BO33" s="309">
        <f t="shared" si="74"/>
        <v>35.223415334220206</v>
      </c>
      <c r="BP33" s="310">
        <f t="shared" si="90"/>
        <v>-5.9141641851882865</v>
      </c>
      <c r="BQ33" s="849"/>
      <c r="BR33" s="879">
        <v>321.29899999999998</v>
      </c>
      <c r="BS33" s="309">
        <v>35</v>
      </c>
      <c r="BT33" s="310">
        <f t="shared" si="91"/>
        <v>6.2588053205632654</v>
      </c>
      <c r="BU33" s="256"/>
      <c r="BV33" s="879">
        <f>411.427-15.532-47.981</f>
        <v>347.91400000000004</v>
      </c>
      <c r="BW33" s="309">
        <f t="shared" si="75"/>
        <v>33.035340409834433</v>
      </c>
      <c r="BX33" s="310">
        <f t="shared" si="92"/>
        <v>8.2835614178693682</v>
      </c>
      <c r="BY33" s="256"/>
      <c r="BZ33" s="879">
        <v>327.44299999999998</v>
      </c>
      <c r="CA33" s="309">
        <f t="shared" si="76"/>
        <v>39.093330531654395</v>
      </c>
      <c r="CB33" s="310">
        <f t="shared" si="93"/>
        <v>-5.8839253378708651</v>
      </c>
      <c r="CC33" s="256"/>
      <c r="CD33" s="879">
        <v>351.13799999999998</v>
      </c>
      <c r="CE33" s="309">
        <f t="shared" si="77"/>
        <v>35.779878212809663</v>
      </c>
      <c r="CF33" s="310">
        <f t="shared" si="94"/>
        <v>7.2363739643235503</v>
      </c>
      <c r="CG33" s="256"/>
      <c r="CH33" s="879">
        <f>392.797-6.086</f>
        <v>386.71100000000001</v>
      </c>
      <c r="CI33" s="309">
        <f t="shared" si="78"/>
        <v>35.116757399781157</v>
      </c>
      <c r="CJ33" s="310">
        <f t="shared" si="95"/>
        <v>10.13077479509481</v>
      </c>
      <c r="CK33" s="256"/>
      <c r="CL33" s="879">
        <f>431.172</f>
        <v>431.17200000000003</v>
      </c>
      <c r="CM33" s="309">
        <f t="shared" si="79"/>
        <v>36.311055716499361</v>
      </c>
      <c r="CN33" s="310">
        <f t="shared" si="96"/>
        <v>11.497216267445198</v>
      </c>
      <c r="CP33" s="879">
        <v>440.45800000000003</v>
      </c>
      <c r="CQ33" s="309">
        <f t="shared" si="80"/>
        <v>35.642421844211988</v>
      </c>
      <c r="CR33" s="310">
        <f t="shared" si="97"/>
        <v>2.1536648947519721</v>
      </c>
      <c r="CS33" s="256"/>
      <c r="CT33" s="879">
        <v>472.73099999999999</v>
      </c>
      <c r="CU33" s="309">
        <f t="shared" si="81"/>
        <v>36.411986899630591</v>
      </c>
      <c r="CV33" s="310">
        <f t="shared" si="82"/>
        <v>7.3271458345631091</v>
      </c>
      <c r="CW33" s="256"/>
      <c r="CX33" s="879">
        <v>476.99099999999999</v>
      </c>
      <c r="CY33" s="309">
        <f t="shared" si="83"/>
        <v>37.112355301876192</v>
      </c>
      <c r="CZ33" s="310">
        <f t="shared" si="84"/>
        <v>0.90114674095838065</v>
      </c>
      <c r="DA33" s="256"/>
      <c r="DB33" s="2145">
        <f>503.9-28.3-8.8</f>
        <v>466.79999999999995</v>
      </c>
      <c r="DC33" s="309">
        <f t="shared" si="85"/>
        <v>38.464073829927486</v>
      </c>
      <c r="DD33" s="310">
        <f>(DB33/CX33-1)*100</f>
        <v>-2.1365182990874088</v>
      </c>
      <c r="DE33" s="256"/>
      <c r="DF33" s="2199">
        <f>531.7-38</f>
        <v>493.70000000000005</v>
      </c>
      <c r="DG33" s="309">
        <f t="shared" si="86"/>
        <v>40.151268705270013</v>
      </c>
      <c r="DH33" s="310">
        <f>(DF33/DB33-1)*100</f>
        <v>5.762639245929746</v>
      </c>
      <c r="DI33" s="256"/>
      <c r="DJ33" s="2444">
        <v>543.4</v>
      </c>
      <c r="DK33" s="309">
        <f t="shared" si="87"/>
        <v>40.725474031327288</v>
      </c>
      <c r="DL33" s="310">
        <f>(DJ33/DF33-1)*100</f>
        <v>10.066842211869531</v>
      </c>
      <c r="DM33" s="256"/>
      <c r="DN33" s="1159">
        <f>+DN13*DO33/100</f>
        <v>588.46377375596876</v>
      </c>
      <c r="DO33" s="2116">
        <v>42.5</v>
      </c>
      <c r="DP33" s="310">
        <f>(DN33/DJ33-1)*100</f>
        <v>8.2929285528098529</v>
      </c>
      <c r="DQ33" s="256"/>
      <c r="DR33" s="612"/>
      <c r="DS33" s="317">
        <f>(DF33*0.8*(1.035))+(DF33*0.2*(1+DK13/100))</f>
        <v>515.93127566688349</v>
      </c>
      <c r="DT33" s="256"/>
      <c r="DU33" s="288">
        <f t="shared" si="98"/>
        <v>45.063773755968782</v>
      </c>
      <c r="DV33" s="601">
        <f>DF33-CX33</f>
        <v>16.70900000000006</v>
      </c>
      <c r="DW33" s="601"/>
      <c r="DX33" s="601"/>
      <c r="DY33" s="1024"/>
      <c r="DZ33" s="1981"/>
      <c r="EA33" s="256"/>
      <c r="EC33" s="1024">
        <f>(CX33*0.82*(1.04))+(CX33*0.18*(1+DC13/100))</f>
        <v>487.8491227098425</v>
      </c>
    </row>
    <row r="34" spans="1:133" outlineLevel="1">
      <c r="A34" s="256"/>
      <c r="B34" s="256" t="str">
        <f>$B$14</f>
        <v>Year</v>
      </c>
      <c r="C34" s="256"/>
      <c r="D34" s="305">
        <f>SUM(D30:D33)</f>
        <v>0</v>
      </c>
      <c r="E34" s="256"/>
      <c r="F34" s="305">
        <f>SUM(F30:F33)</f>
        <v>0</v>
      </c>
      <c r="G34" s="309"/>
      <c r="H34" s="310"/>
      <c r="I34" s="256"/>
      <c r="J34" s="305">
        <f>SUM(J30:J33)</f>
        <v>181.98099999999999</v>
      </c>
      <c r="K34" s="309">
        <f t="shared" si="50"/>
        <v>36.995076295064507</v>
      </c>
      <c r="L34" s="310"/>
      <c r="M34" s="256"/>
      <c r="N34" s="305">
        <f>SUM(N30:N33)</f>
        <v>210.292</v>
      </c>
      <c r="O34" s="309">
        <f t="shared" si="51"/>
        <v>43.234730548770955</v>
      </c>
      <c r="P34" s="310">
        <f t="shared" si="88"/>
        <v>15.557118600293451</v>
      </c>
      <c r="Q34" s="256"/>
      <c r="R34" s="305">
        <f>SUM(R30:R33)</f>
        <v>242.911</v>
      </c>
      <c r="S34" s="309">
        <f>R34/R14*100</f>
        <v>42.879182914063705</v>
      </c>
      <c r="T34" s="310">
        <f t="shared" si="52"/>
        <v>15.51128906472905</v>
      </c>
      <c r="U34" s="256"/>
      <c r="V34" s="305">
        <f>SUM(V30:V33)</f>
        <v>293.54699999999997</v>
      </c>
      <c r="W34" s="309">
        <f t="shared" si="53"/>
        <v>42.989700233293441</v>
      </c>
      <c r="X34" s="310">
        <f t="shared" si="54"/>
        <v>20.845494852023982</v>
      </c>
      <c r="Y34" s="256"/>
      <c r="Z34" s="305">
        <f>SUM(Z30:Z33)</f>
        <v>347.35699999999997</v>
      </c>
      <c r="AA34" s="309">
        <f t="shared" si="55"/>
        <v>43.241685464314351</v>
      </c>
      <c r="AB34" s="310">
        <f t="shared" si="56"/>
        <v>18.330965739728235</v>
      </c>
      <c r="AC34" s="256"/>
      <c r="AD34" s="305">
        <f>SUM(AD30:AD33)</f>
        <v>390.28100000000001</v>
      </c>
      <c r="AE34" s="309">
        <f t="shared" si="57"/>
        <v>42.324868670481116</v>
      </c>
      <c r="AF34" s="310">
        <f t="shared" si="58"/>
        <v>12.357315384460389</v>
      </c>
      <c r="AG34" s="256"/>
      <c r="AH34" s="305">
        <f>SUM(AH30:AH33)</f>
        <v>430.78599999999994</v>
      </c>
      <c r="AI34" s="309">
        <f t="shared" si="59"/>
        <v>42.332864263140515</v>
      </c>
      <c r="AJ34" s="310">
        <f t="shared" si="60"/>
        <v>10.378419651481874</v>
      </c>
      <c r="AK34" s="256"/>
      <c r="AL34" s="607">
        <v>464.47699999999998</v>
      </c>
      <c r="AM34" s="309">
        <f t="shared" si="61"/>
        <v>39.43166353829475</v>
      </c>
      <c r="AN34" s="310">
        <f>(AL34/AH34-1)*100</f>
        <v>7.8208205466287373</v>
      </c>
      <c r="AO34" s="256"/>
      <c r="AP34" s="607">
        <v>564.79700000000003</v>
      </c>
      <c r="AQ34" s="309">
        <f t="shared" si="63"/>
        <v>38.377443619240466</v>
      </c>
      <c r="AR34" s="310">
        <f>(AP34/AL34-1)*100</f>
        <v>21.5984860391365</v>
      </c>
      <c r="AS34" s="256"/>
      <c r="AT34" s="305">
        <f>SUM(AT30:AT33)</f>
        <v>621.01800000000003</v>
      </c>
      <c r="AU34" s="309">
        <f t="shared" si="64"/>
        <v>37.230045034459273</v>
      </c>
      <c r="AV34" s="310">
        <f t="shared" si="65"/>
        <v>9.9541959323438345</v>
      </c>
      <c r="AW34" s="256"/>
      <c r="AX34" s="305">
        <f>SUM(AX30:AX33)</f>
        <v>633.58000000000004</v>
      </c>
      <c r="AY34" s="309">
        <f t="shared" si="66"/>
        <v>39.437671759407671</v>
      </c>
      <c r="AZ34" s="310">
        <f t="shared" si="67"/>
        <v>2.0228077124978761</v>
      </c>
      <c r="BA34" s="256"/>
      <c r="BB34" s="305">
        <f>SUM(BB30:BB33)</f>
        <v>692.25099999999998</v>
      </c>
      <c r="BC34" s="309">
        <f t="shared" si="68"/>
        <v>40.563118993180602</v>
      </c>
      <c r="BD34" s="310">
        <f t="shared" si="69"/>
        <v>9.260235487231272</v>
      </c>
      <c r="BE34" s="256"/>
      <c r="BF34" s="601">
        <f>SUM(BF30:BF33)</f>
        <v>801.86300000000006</v>
      </c>
      <c r="BG34" s="309">
        <f t="shared" si="70"/>
        <v>40.092247924421706</v>
      </c>
      <c r="BH34" s="310">
        <f t="shared" si="71"/>
        <v>15.834141084664388</v>
      </c>
      <c r="BI34" s="256"/>
      <c r="BJ34" s="305">
        <f>SUM(BJ30:BJ33)</f>
        <v>936.04399999999998</v>
      </c>
      <c r="BK34" s="309">
        <f t="shared" si="72"/>
        <v>42.454228918225475</v>
      </c>
      <c r="BL34" s="310">
        <f t="shared" si="73"/>
        <v>16.733656497431593</v>
      </c>
      <c r="BM34" s="592"/>
      <c r="BN34" s="305">
        <f>SUM(BN30:BN33)</f>
        <v>959.63499999999999</v>
      </c>
      <c r="BO34" s="309">
        <f t="shared" si="74"/>
        <v>40.065707702180191</v>
      </c>
      <c r="BP34" s="310">
        <f>(BN34/BJ34-1)*100</f>
        <v>2.5202875078522036</v>
      </c>
      <c r="BQ34" s="849"/>
      <c r="BR34" s="305">
        <f>SUM(BR30:BR33)</f>
        <v>1010.754</v>
      </c>
      <c r="BS34" s="309">
        <f>BR34/BR14*100</f>
        <v>39.471260974392507</v>
      </c>
      <c r="BT34" s="310">
        <f t="shared" si="91"/>
        <v>5.3269211731543864</v>
      </c>
      <c r="BU34" s="256"/>
      <c r="BV34" s="305">
        <f>SUM(BV30:BV33)</f>
        <v>1131.4770000000001</v>
      </c>
      <c r="BW34" s="309">
        <f t="shared" si="75"/>
        <v>38.501707006092005</v>
      </c>
      <c r="BX34" s="310">
        <f t="shared" si="92"/>
        <v>11.943855774995704</v>
      </c>
      <c r="BY34" s="256"/>
      <c r="BZ34" s="305">
        <f>SUM(BZ30:BZ33)</f>
        <v>1153.944</v>
      </c>
      <c r="CA34" s="309">
        <f t="shared" si="76"/>
        <v>40.505479562168574</v>
      </c>
      <c r="CB34" s="310">
        <f t="shared" si="93"/>
        <v>1.9856347057872092</v>
      </c>
      <c r="CC34" s="256"/>
      <c r="CD34" s="305">
        <f>SUM(CD30:CD33)</f>
        <v>1090.1689999999999</v>
      </c>
      <c r="CE34" s="309">
        <f t="shared" si="77"/>
        <v>40.232032723869466</v>
      </c>
      <c r="CF34" s="310">
        <f t="shared" si="94"/>
        <v>-5.5266980026760448</v>
      </c>
      <c r="CG34" s="256"/>
      <c r="CH34" s="305">
        <f>SUM(CH30:CH33)</f>
        <v>1210.8719999999998</v>
      </c>
      <c r="CI34" s="309">
        <f t="shared" si="78"/>
        <v>39.246618632284161</v>
      </c>
      <c r="CJ34" s="310">
        <f t="shared" si="95"/>
        <v>11.071953064157935</v>
      </c>
      <c r="CK34" s="256"/>
      <c r="CL34" s="305">
        <f>SUM(CL30:CL33)</f>
        <v>1400.223</v>
      </c>
      <c r="CM34" s="309">
        <f t="shared" si="79"/>
        <v>38.436651525952819</v>
      </c>
      <c r="CN34" s="310">
        <f t="shared" si="96"/>
        <v>15.637573583334996</v>
      </c>
      <c r="CO34" s="256"/>
      <c r="CP34" s="305">
        <f>SUM(CP30:CP33)</f>
        <v>1466.067</v>
      </c>
      <c r="CQ34" s="309">
        <f t="shared" si="80"/>
        <v>38.639187886720137</v>
      </c>
      <c r="CR34" s="310">
        <f t="shared" si="97"/>
        <v>4.7023938329823212</v>
      </c>
      <c r="CS34" s="256"/>
      <c r="CT34" s="305">
        <f>SUM(CT30:CT33)</f>
        <v>1546.5029999999999</v>
      </c>
      <c r="CU34" s="309">
        <f t="shared" si="81"/>
        <v>38.36400711463039</v>
      </c>
      <c r="CV34" s="310">
        <f t="shared" si="82"/>
        <v>5.4865159641407812</v>
      </c>
      <c r="CW34" s="256"/>
      <c r="CX34" s="305">
        <f>SUM(CX30:CX33)</f>
        <v>1645.7460000000001</v>
      </c>
      <c r="CY34" s="309">
        <f t="shared" si="83"/>
        <v>38.724228001843805</v>
      </c>
      <c r="CZ34" s="310">
        <f t="shared" si="84"/>
        <v>6.4172523428664752</v>
      </c>
      <c r="DA34" s="256"/>
      <c r="DB34" s="305">
        <f>SUM(DB30:DB33)</f>
        <v>1684.4999999999998</v>
      </c>
      <c r="DC34" s="309">
        <f t="shared" si="85"/>
        <v>41.038321923648482</v>
      </c>
      <c r="DD34" s="310">
        <f>(DB34/CX34-1)*100</f>
        <v>2.3547983710730414</v>
      </c>
      <c r="DE34" s="256"/>
      <c r="DF34" s="305">
        <f>SUM(DF30:DF33)</f>
        <v>1731.2</v>
      </c>
      <c r="DG34" s="309">
        <f t="shared" si="86"/>
        <v>43.260532760257888</v>
      </c>
      <c r="DH34" s="310">
        <f>(DF34/DB34-1)*100</f>
        <v>2.7723360047491985</v>
      </c>
      <c r="DI34" s="256"/>
      <c r="DJ34" s="305">
        <f>SUM(DJ30:DJ33)</f>
        <v>1810.4</v>
      </c>
      <c r="DK34" s="309">
        <f t="shared" si="87"/>
        <v>43.416950453259147</v>
      </c>
      <c r="DL34" s="310">
        <f>(DJ34/DF34-1)*100</f>
        <v>4.5748613678373351</v>
      </c>
      <c r="DM34" s="256"/>
      <c r="DN34" s="305">
        <f>SUM(DN30:DN33)</f>
        <v>1955.8699025102042</v>
      </c>
      <c r="DO34" s="309">
        <f>DN34/DN14*100</f>
        <v>44.607517980597798</v>
      </c>
      <c r="DP34" s="310">
        <f>(DN34/DJ34-1)*100</f>
        <v>8.0352354457691177</v>
      </c>
      <c r="DQ34" s="256"/>
      <c r="DR34" s="256"/>
      <c r="DS34" s="305">
        <f>+DN34-DJ34</f>
        <v>145.46990251020407</v>
      </c>
      <c r="DT34" s="256"/>
      <c r="DU34" s="288">
        <f>DN34-DJ34</f>
        <v>145.46990251020407</v>
      </c>
      <c r="DV34" s="256"/>
      <c r="DW34" s="256"/>
      <c r="DX34" s="256"/>
      <c r="DY34" s="1981"/>
      <c r="DZ34" s="256"/>
      <c r="EA34" s="256"/>
      <c r="EC34" s="2013">
        <f>SUM(EC30:EC33)</f>
        <v>1689.79602135767</v>
      </c>
    </row>
    <row r="35" spans="1:133" hidden="1" outlineLevel="2">
      <c r="A35" s="256" t="str">
        <f>$A$15</f>
        <v>6 Mos</v>
      </c>
      <c r="B35" s="256"/>
      <c r="C35" s="256"/>
      <c r="D35" s="289">
        <f>SUM(D30:D31)</f>
        <v>0</v>
      </c>
      <c r="E35" s="256"/>
      <c r="F35" s="289">
        <f>SUM(F30:F31)</f>
        <v>0</v>
      </c>
      <c r="G35" s="309"/>
      <c r="H35" s="310"/>
      <c r="I35" s="256"/>
      <c r="J35" s="289">
        <f>SUM(J30:J31)</f>
        <v>81.924999999999997</v>
      </c>
      <c r="K35" s="309">
        <f t="shared" si="50"/>
        <v>37.844667100892934</v>
      </c>
      <c r="L35" s="310"/>
      <c r="M35" s="256"/>
      <c r="N35" s="289">
        <f>SUM(N30:N31)</f>
        <v>93.036000000000001</v>
      </c>
      <c r="O35" s="309">
        <f t="shared" si="51"/>
        <v>40.793096795692513</v>
      </c>
      <c r="P35" s="310">
        <f t="shared" si="88"/>
        <v>13.562404638388781</v>
      </c>
      <c r="Q35" s="256"/>
      <c r="R35" s="289">
        <f>SUM(R30:R31)</f>
        <v>100.69800000000001</v>
      </c>
      <c r="S35" s="309">
        <f>R35/R15*100</f>
        <v>45.011934881142892</v>
      </c>
      <c r="T35" s="310">
        <f t="shared" si="52"/>
        <v>8.2355217335225106</v>
      </c>
      <c r="U35" s="256"/>
      <c r="V35" s="289">
        <f>SUM(V30:V31)</f>
        <v>130.98899999999998</v>
      </c>
      <c r="W35" s="309">
        <f t="shared" si="53"/>
        <v>46.210100753534832</v>
      </c>
      <c r="X35" s="310">
        <f t="shared" si="54"/>
        <v>30.081034380027383</v>
      </c>
      <c r="Y35" s="256"/>
      <c r="Z35" s="289">
        <f>SUM(Z30:Z31)</f>
        <v>154.45699999999999</v>
      </c>
      <c r="AA35" s="309">
        <f t="shared" si="55"/>
        <v>46.130527497864563</v>
      </c>
      <c r="AB35" s="310">
        <f t="shared" si="56"/>
        <v>17.916008214430246</v>
      </c>
      <c r="AC35" s="256"/>
      <c r="AD35" s="289">
        <f>SUM(AD30:AD31)</f>
        <v>171.09199999999998</v>
      </c>
      <c r="AE35" s="309">
        <f t="shared" si="57"/>
        <v>44.612833242938791</v>
      </c>
      <c r="AF35" s="310">
        <f t="shared" si="58"/>
        <v>10.769987763584687</v>
      </c>
      <c r="AG35" s="256"/>
      <c r="AH35" s="289">
        <f>SUM(AH30:AH31)</f>
        <v>186.93299999999999</v>
      </c>
      <c r="AI35" s="309">
        <f t="shared" si="59"/>
        <v>44.844403715503013</v>
      </c>
      <c r="AJ35" s="310">
        <f t="shared" si="60"/>
        <v>9.2587613681528005</v>
      </c>
      <c r="AK35" s="256"/>
      <c r="AL35" s="289">
        <f>SUM(AL30:AL31)</f>
        <v>211.24799999999999</v>
      </c>
      <c r="AM35" s="309">
        <f t="shared" si="61"/>
        <v>44.57828020114755</v>
      </c>
      <c r="AN35" s="310">
        <f t="shared" si="62"/>
        <v>13.007334178555951</v>
      </c>
      <c r="AO35" s="256"/>
      <c r="AP35" s="289">
        <f>SUM(AP30:AP31)</f>
        <v>251.941</v>
      </c>
      <c r="AQ35" s="309">
        <f t="shared" si="63"/>
        <v>43.487289071777731</v>
      </c>
      <c r="AR35" s="310">
        <f t="shared" si="89"/>
        <v>19.263140952813764</v>
      </c>
      <c r="AS35" s="256"/>
      <c r="AT35" s="289">
        <f>SUM(AT30:AT31)</f>
        <v>280.69100000000003</v>
      </c>
      <c r="AU35" s="309">
        <f t="shared" si="64"/>
        <v>39.00701926511033</v>
      </c>
      <c r="AV35" s="310">
        <f t="shared" si="65"/>
        <v>11.411401875836024</v>
      </c>
      <c r="AW35" s="256"/>
      <c r="AX35" s="289">
        <f>SUM(AX30:AX31)</f>
        <v>291.12</v>
      </c>
      <c r="AY35" s="309">
        <f t="shared" si="66"/>
        <v>41.135958355352962</v>
      </c>
      <c r="AZ35" s="310">
        <f t="shared" si="67"/>
        <v>3.715473599082264</v>
      </c>
      <c r="BA35" s="256"/>
      <c r="BB35" s="289">
        <f>SUM(BB30:BB31)</f>
        <v>308.57799999999997</v>
      </c>
      <c r="BC35" s="309">
        <f t="shared" si="68"/>
        <v>42.765634268164902</v>
      </c>
      <c r="BD35" s="310">
        <f t="shared" si="69"/>
        <v>5.9968397911513982</v>
      </c>
      <c r="BE35" s="256"/>
      <c r="BF35" s="289">
        <f>SUM(BF30:BF31)</f>
        <v>357.19400000000002</v>
      </c>
      <c r="BG35" s="309">
        <f t="shared" si="70"/>
        <v>42.607600312047467</v>
      </c>
      <c r="BH35" s="310">
        <f t="shared" si="71"/>
        <v>15.754849665238634</v>
      </c>
      <c r="BI35" s="256"/>
      <c r="BJ35" s="289">
        <f>SUM(BJ30:BJ31)</f>
        <v>402.49900000000002</v>
      </c>
      <c r="BK35" s="309">
        <f t="shared" si="72"/>
        <v>43.114560760617728</v>
      </c>
      <c r="BL35" s="310">
        <f t="shared" si="73"/>
        <v>12.683583710812618</v>
      </c>
      <c r="BM35" s="592"/>
      <c r="BN35" s="289">
        <f>SUM(BN30:BN31)</f>
        <v>426.52599999999995</v>
      </c>
      <c r="BO35" s="309">
        <f t="shared" si="74"/>
        <v>41.146553836477253</v>
      </c>
      <c r="BP35" s="310">
        <f t="shared" si="90"/>
        <v>5.9694558247349594</v>
      </c>
      <c r="BQ35" s="849"/>
      <c r="BR35" s="289">
        <f>SUM(BR30:BR31)</f>
        <v>449.75900000000001</v>
      </c>
      <c r="BS35" s="309">
        <f>BR35/BR15*100</f>
        <v>42.033040720066026</v>
      </c>
      <c r="BT35" s="310">
        <f t="shared" si="91"/>
        <v>5.4470301927666886</v>
      </c>
      <c r="BU35" s="256"/>
      <c r="BV35" s="289">
        <f>SUM(BV30:BV31)</f>
        <v>505.16</v>
      </c>
      <c r="BW35" s="309">
        <f t="shared" si="75"/>
        <v>40.146516187431999</v>
      </c>
      <c r="BX35" s="310">
        <f t="shared" si="92"/>
        <v>12.317930269322019</v>
      </c>
      <c r="BY35" s="256"/>
      <c r="BZ35" s="289">
        <f>SUM(BZ30:BZ31)</f>
        <v>560.87900000000002</v>
      </c>
      <c r="CA35" s="309">
        <f t="shared" si="76"/>
        <v>40.203094514140062</v>
      </c>
      <c r="CB35" s="310">
        <f t="shared" si="93"/>
        <v>11.029970702351722</v>
      </c>
      <c r="CC35" s="256"/>
      <c r="CD35" s="289">
        <f>SUM(CD30:CD31)</f>
        <v>482.04499999999996</v>
      </c>
      <c r="CE35" s="309">
        <f t="shared" si="77"/>
        <v>42.654772818173122</v>
      </c>
      <c r="CF35" s="310">
        <f t="shared" si="94"/>
        <v>-14.055437982167284</v>
      </c>
      <c r="CG35" s="256"/>
      <c r="CH35" s="289">
        <f>SUM(CH30:CH31)</f>
        <v>529.26299999999992</v>
      </c>
      <c r="CI35" s="309">
        <f t="shared" si="78"/>
        <v>40.63920033539474</v>
      </c>
      <c r="CJ35" s="310">
        <f t="shared" si="95"/>
        <v>9.7953510564366297</v>
      </c>
      <c r="CK35" s="256"/>
      <c r="CL35" s="289">
        <f>SUM(CL30:CL31)</f>
        <v>639.37899999999991</v>
      </c>
      <c r="CM35" s="309">
        <f t="shared" si="79"/>
        <v>39.136148568000827</v>
      </c>
      <c r="CN35" s="310">
        <f t="shared" si="96"/>
        <v>20.805535244292539</v>
      </c>
      <c r="CO35" s="256"/>
      <c r="CP35" s="289">
        <f>SUM(CP30:CP31)</f>
        <v>678.61500000000001</v>
      </c>
      <c r="CQ35" s="309">
        <f t="shared" si="80"/>
        <v>39.784222556909349</v>
      </c>
      <c r="CR35" s="310">
        <f t="shared" si="97"/>
        <v>6.1365793996987827</v>
      </c>
      <c r="CS35" s="256"/>
      <c r="CT35" s="289">
        <f>SUM(CT30:CT31)</f>
        <v>707.90899999999999</v>
      </c>
      <c r="CU35" s="309">
        <f t="shared" si="81"/>
        <v>38.86688467130201</v>
      </c>
      <c r="CV35" s="310">
        <f t="shared" si="82"/>
        <v>4.3167333465956359</v>
      </c>
      <c r="CW35" s="256"/>
      <c r="CX35" s="289">
        <f>SUM(CX30:CX31)</f>
        <v>766.375</v>
      </c>
      <c r="CY35" s="309">
        <f t="shared" si="83"/>
        <v>38.222010092455996</v>
      </c>
      <c r="CZ35" s="310">
        <f t="shared" si="84"/>
        <v>8.2589711389458245</v>
      </c>
      <c r="DA35" s="256"/>
      <c r="DB35" s="289">
        <f>SUM(DB30:DB31)</f>
        <v>809.59999999999991</v>
      </c>
      <c r="DC35" s="309">
        <f t="shared" si="85"/>
        <v>41.456295765272152</v>
      </c>
      <c r="DD35" s="310">
        <f>(DB35/CY35-1)*100</f>
        <v>2018.1512904257052</v>
      </c>
      <c r="DE35" s="256"/>
      <c r="DF35" s="289">
        <f>SUM(DF30:DF31)</f>
        <v>813.2</v>
      </c>
      <c r="DG35" s="309">
        <f t="shared" si="86"/>
        <v>44.610236436447423</v>
      </c>
      <c r="DH35" s="310">
        <f>(DF35/DC35-1)*100</f>
        <v>1861.5838438735182</v>
      </c>
      <c r="DI35" s="256"/>
      <c r="DJ35" s="289">
        <f>SUM(DJ30:DJ31)</f>
        <v>828.9</v>
      </c>
      <c r="DK35" s="309">
        <f t="shared" si="87"/>
        <v>44.581294035389654</v>
      </c>
      <c r="DL35" s="310">
        <f>(DJ35/DG35-1)*100</f>
        <v>1758.0937161829804</v>
      </c>
      <c r="DM35" s="256"/>
      <c r="DN35" s="289">
        <f>SUM(DN30:DN31)</f>
        <v>889.23457660218855</v>
      </c>
      <c r="DO35" s="309">
        <f>DN35/DN15*100</f>
        <v>45.000000000000007</v>
      </c>
      <c r="DP35" s="310">
        <f>(DN35/DK35-1)*100</f>
        <v>1894.6360818873802</v>
      </c>
      <c r="DQ35" s="256"/>
      <c r="DR35" s="256"/>
      <c r="DS35" s="256"/>
      <c r="DT35" s="256"/>
      <c r="DU35" s="288">
        <f t="shared" si="98"/>
        <v>60.334576602188577</v>
      </c>
      <c r="DV35" s="256"/>
      <c r="DW35" s="256"/>
      <c r="DX35" s="256"/>
      <c r="DY35" s="256"/>
      <c r="DZ35" s="256"/>
      <c r="EA35" s="256"/>
    </row>
    <row r="36" spans="1:133" hidden="1" outlineLevel="2">
      <c r="A36" s="256" t="str">
        <f>$A$16</f>
        <v>9 Mos</v>
      </c>
      <c r="B36" s="256"/>
      <c r="C36" s="256"/>
      <c r="D36" s="289">
        <f>SUM(D30:D32)</f>
        <v>0</v>
      </c>
      <c r="E36" s="256"/>
      <c r="F36" s="289">
        <f>SUM(F30:F32)</f>
        <v>0</v>
      </c>
      <c r="G36" s="309"/>
      <c r="H36" s="310"/>
      <c r="I36" s="256"/>
      <c r="J36" s="289">
        <f>SUM(J30:J32)</f>
        <v>131.18899999999999</v>
      </c>
      <c r="K36" s="309">
        <f t="shared" si="50"/>
        <v>38.261130781210809</v>
      </c>
      <c r="L36" s="310"/>
      <c r="M36" s="256"/>
      <c r="N36" s="289">
        <f>SUM(N30:N32)</f>
        <v>146.733</v>
      </c>
      <c r="O36" s="309">
        <f t="shared" si="51"/>
        <v>43.936640067072894</v>
      </c>
      <c r="P36" s="310">
        <f t="shared" si="88"/>
        <v>11.848554375747966</v>
      </c>
      <c r="Q36" s="256"/>
      <c r="R36" s="289">
        <f>SUM(R30:R32)</f>
        <v>164.614</v>
      </c>
      <c r="S36" s="309">
        <f>R36/R16*100</f>
        <v>45.922045170505264</v>
      </c>
      <c r="T36" s="310">
        <f t="shared" si="52"/>
        <v>12.18607947769077</v>
      </c>
      <c r="U36" s="256"/>
      <c r="V36" s="289">
        <f>SUM(V30:V32)</f>
        <v>203.57899999999998</v>
      </c>
      <c r="W36" s="309">
        <f t="shared" si="53"/>
        <v>45.897126624657588</v>
      </c>
      <c r="X36" s="310">
        <f t="shared" si="54"/>
        <v>23.670526200687657</v>
      </c>
      <c r="Y36" s="256"/>
      <c r="Z36" s="289">
        <f>SUM(Z30:Z32)</f>
        <v>243.34299999999999</v>
      </c>
      <c r="AA36" s="309">
        <f t="shared" si="55"/>
        <v>46.564624027922356</v>
      </c>
      <c r="AB36" s="310">
        <f t="shared" si="56"/>
        <v>19.532466511771851</v>
      </c>
      <c r="AC36" s="256"/>
      <c r="AD36" s="289">
        <f>SUM(AD30:AD32)</f>
        <v>266.733</v>
      </c>
      <c r="AE36" s="309">
        <f t="shared" si="57"/>
        <v>44.867608988559923</v>
      </c>
      <c r="AF36" s="310">
        <f t="shared" si="58"/>
        <v>9.6119469226565002</v>
      </c>
      <c r="AG36" s="256"/>
      <c r="AH36" s="289">
        <f>SUM(AH30:AH32)</f>
        <v>292.38599999999997</v>
      </c>
      <c r="AI36" s="309">
        <f t="shared" si="59"/>
        <v>44.987860081671336</v>
      </c>
      <c r="AJ36" s="310">
        <f t="shared" si="60"/>
        <v>9.617482651190512</v>
      </c>
      <c r="AK36" s="256"/>
      <c r="AL36" s="289">
        <f>SUM(AL30:AL32)</f>
        <v>327.38499999999999</v>
      </c>
      <c r="AM36" s="309">
        <f t="shared" si="61"/>
        <v>45.066977221825304</v>
      </c>
      <c r="AN36" s="310">
        <f t="shared" si="62"/>
        <v>11.970135368998536</v>
      </c>
      <c r="AO36" s="256"/>
      <c r="AP36" s="289">
        <f>SUM(AP30:AP32)</f>
        <v>393.94900000000001</v>
      </c>
      <c r="AQ36" s="309">
        <f t="shared" si="63"/>
        <v>43.672634554625574</v>
      </c>
      <c r="AR36" s="310">
        <f t="shared" si="89"/>
        <v>20.332024985872899</v>
      </c>
      <c r="AS36" s="256"/>
      <c r="AT36" s="289">
        <f>SUM(AT30:AT32)</f>
        <v>424.00400000000002</v>
      </c>
      <c r="AU36" s="309">
        <f t="shared" si="64"/>
        <v>38.840120366595983</v>
      </c>
      <c r="AV36" s="310">
        <f t="shared" si="65"/>
        <v>7.6291601197109316</v>
      </c>
      <c r="AW36" s="256"/>
      <c r="AX36" s="289">
        <f>SUM(AX30:AX32)</f>
        <v>437.91800000000001</v>
      </c>
      <c r="AY36" s="309">
        <f t="shared" si="66"/>
        <v>42.076104752607669</v>
      </c>
      <c r="AZ36" s="310">
        <f t="shared" si="67"/>
        <v>3.2815728153507973</v>
      </c>
      <c r="BA36" s="256"/>
      <c r="BB36" s="289">
        <f>SUM(BB30:BB32)</f>
        <v>474.47799999999995</v>
      </c>
      <c r="BC36" s="309">
        <f t="shared" si="68"/>
        <v>43.626590559485244</v>
      </c>
      <c r="BD36" s="310">
        <f t="shared" si="69"/>
        <v>8.3485949424321415</v>
      </c>
      <c r="BE36" s="256"/>
      <c r="BF36" s="289">
        <f>SUM(BF30:BF32)</f>
        <v>545.70000000000005</v>
      </c>
      <c r="BG36" s="309">
        <f t="shared" si="70"/>
        <v>43.020772481842116</v>
      </c>
      <c r="BH36" s="310">
        <f t="shared" si="71"/>
        <v>15.01060112376129</v>
      </c>
      <c r="BI36" s="256"/>
      <c r="BJ36" s="289">
        <f>SUM(BJ30:BJ32)</f>
        <v>614.66300000000001</v>
      </c>
      <c r="BK36" s="309">
        <f t="shared" si="72"/>
        <v>44.071057116574138</v>
      </c>
      <c r="BL36" s="310">
        <f t="shared" si="73"/>
        <v>12.637529778266444</v>
      </c>
      <c r="BM36" s="592"/>
      <c r="BN36" s="289">
        <f>SUM(BN30:BN32)</f>
        <v>657.26099999999997</v>
      </c>
      <c r="BO36" s="309">
        <f t="shared" si="74"/>
        <v>42.770742893733157</v>
      </c>
      <c r="BP36" s="310">
        <f t="shared" si="90"/>
        <v>6.930301644966419</v>
      </c>
      <c r="BQ36" s="849"/>
      <c r="BR36" s="289">
        <f>SUM(BR30:BR32)</f>
        <v>689.45500000000004</v>
      </c>
      <c r="BS36" s="309">
        <f>BR36/BR16*100</f>
        <v>43.041251755005327</v>
      </c>
      <c r="BT36" s="310">
        <f t="shared" si="91"/>
        <v>4.8982063442072565</v>
      </c>
      <c r="BU36" s="256"/>
      <c r="BV36" s="289">
        <f>SUM(BV30:BV32)</f>
        <v>783.5630000000001</v>
      </c>
      <c r="BW36" s="309">
        <f t="shared" si="75"/>
        <v>41.55479329279482</v>
      </c>
      <c r="BX36" s="310">
        <f t="shared" si="92"/>
        <v>13.649621802728241</v>
      </c>
      <c r="BY36" s="256"/>
      <c r="BZ36" s="289">
        <f>SUM(BZ30:BZ32)</f>
        <v>826.50099999999998</v>
      </c>
      <c r="CA36" s="309">
        <f t="shared" si="76"/>
        <v>41.093569920637044</v>
      </c>
      <c r="CB36" s="310">
        <f t="shared" si="93"/>
        <v>5.4798401660108853</v>
      </c>
      <c r="CC36" s="256"/>
      <c r="CD36" s="289">
        <f>SUM(CD30:CD32)</f>
        <v>739.03099999999995</v>
      </c>
      <c r="CE36" s="309">
        <f t="shared" si="77"/>
        <v>42.760079152008878</v>
      </c>
      <c r="CF36" s="310">
        <f t="shared" si="94"/>
        <v>-10.583169288361416</v>
      </c>
      <c r="CG36" s="256"/>
      <c r="CH36" s="289">
        <f>SUM(CH30:CH32)</f>
        <v>824.16099999999983</v>
      </c>
      <c r="CI36" s="309">
        <f t="shared" si="78"/>
        <v>41.538802716631167</v>
      </c>
      <c r="CJ36" s="310">
        <f t="shared" si="95"/>
        <v>11.519137898139586</v>
      </c>
      <c r="CK36" s="256"/>
      <c r="CL36" s="289">
        <f>SUM(CL30:CL32)</f>
        <v>969.05099999999993</v>
      </c>
      <c r="CM36" s="309">
        <f t="shared" si="79"/>
        <v>39.464556462500248</v>
      </c>
      <c r="CN36" s="310">
        <f t="shared" si="96"/>
        <v>17.580302877714438</v>
      </c>
      <c r="CO36" s="256"/>
      <c r="CP36" s="289">
        <f>SUM(CP30:CP32)</f>
        <v>1025.6089999999999</v>
      </c>
      <c r="CQ36" s="309">
        <f t="shared" si="80"/>
        <v>40.086653012726302</v>
      </c>
      <c r="CR36" s="310">
        <f t="shared" si="97"/>
        <v>5.8364317254716136</v>
      </c>
      <c r="CS36" s="256"/>
      <c r="CT36" s="289">
        <f>SUM(CT30:CT32)</f>
        <v>1073.7719999999999</v>
      </c>
      <c r="CU36" s="309">
        <f t="shared" si="81"/>
        <v>39.29134682305552</v>
      </c>
      <c r="CV36" s="310">
        <f t="shared" si="82"/>
        <v>4.6960391338219498</v>
      </c>
      <c r="CW36" s="256"/>
      <c r="CX36" s="289">
        <f>SUM(CX30:CX32)</f>
        <v>1168.7550000000001</v>
      </c>
      <c r="CY36" s="309">
        <f t="shared" si="83"/>
        <v>39.423021461885398</v>
      </c>
      <c r="CZ36" s="310">
        <f t="shared" si="84"/>
        <v>8.8457326136274883</v>
      </c>
      <c r="DA36" s="256"/>
      <c r="DB36" s="289">
        <f>SUM(DB30:DB32)</f>
        <v>1217.6999999999998</v>
      </c>
      <c r="DC36" s="309">
        <f t="shared" si="85"/>
        <v>42.118916675313884</v>
      </c>
      <c r="DD36" s="310">
        <f>(DB36/CY36-1)*100</f>
        <v>2988.8043453931741</v>
      </c>
      <c r="DE36" s="256"/>
      <c r="DF36" s="289">
        <f>SUM(DF30:DF32)</f>
        <v>1237.5</v>
      </c>
      <c r="DG36" s="309">
        <f t="shared" si="86"/>
        <v>44.639636389870866</v>
      </c>
      <c r="DH36" s="310">
        <f>(DF36/DC36-1)*100</f>
        <v>2838.1097560975618</v>
      </c>
      <c r="DI36" s="256"/>
      <c r="DJ36" s="289">
        <f>SUM(DJ30:DJ32)</f>
        <v>1267</v>
      </c>
      <c r="DK36" s="309">
        <f t="shared" si="87"/>
        <v>44.683477340856989</v>
      </c>
      <c r="DL36" s="310">
        <f>(DJ36/DG36-1)*100</f>
        <v>2738.2847676767674</v>
      </c>
      <c r="DM36" s="256"/>
      <c r="DN36" s="289">
        <f>SUM(DN30:DN32)</f>
        <v>1367.4061287542354</v>
      </c>
      <c r="DO36" s="309">
        <f>DN36/DN16*100</f>
        <v>45.580222674157802</v>
      </c>
      <c r="DP36" s="310">
        <f>(DN36/DK36-1)*100</f>
        <v>2960.2052707834528</v>
      </c>
      <c r="DQ36" s="256"/>
      <c r="DR36" s="256"/>
      <c r="DS36" s="256"/>
      <c r="DT36" s="256"/>
      <c r="DU36" s="288">
        <f t="shared" si="98"/>
        <v>100.4061287542354</v>
      </c>
      <c r="DV36" s="256"/>
      <c r="DW36" s="256"/>
      <c r="DX36" s="256"/>
      <c r="DY36" s="256"/>
      <c r="DZ36" s="256"/>
      <c r="EA36" s="256"/>
    </row>
    <row r="37" spans="1:133" outlineLevel="1" collapsed="1">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587"/>
      <c r="BN37" s="256"/>
      <c r="BO37" s="256"/>
      <c r="BP37" s="256"/>
      <c r="BQ37" s="599"/>
      <c r="BR37" s="305"/>
      <c r="BS37" s="256"/>
      <c r="BT37" s="256"/>
      <c r="BU37" s="256"/>
      <c r="BV37" s="256"/>
      <c r="BW37" s="256"/>
      <c r="BX37" s="256"/>
      <c r="BY37" s="256"/>
      <c r="BZ37" s="1019"/>
      <c r="CA37" s="256"/>
      <c r="CB37" s="256"/>
      <c r="CC37" s="256"/>
      <c r="CD37" s="616"/>
      <c r="CE37" s="1282"/>
      <c r="CF37" s="256"/>
      <c r="CG37" s="256"/>
      <c r="CH37" s="616"/>
      <c r="CI37" s="256"/>
      <c r="CJ37" s="256"/>
      <c r="CK37" s="256"/>
      <c r="CL37" s="616"/>
      <c r="CM37" s="1028"/>
      <c r="CN37" s="309"/>
      <c r="CO37" s="256"/>
      <c r="CP37" s="616"/>
      <c r="CQ37" s="1028"/>
      <c r="CR37" s="309"/>
      <c r="CS37" s="256"/>
      <c r="CT37" s="616"/>
      <c r="CU37" s="1028"/>
      <c r="CV37" s="309"/>
      <c r="CW37" s="256"/>
      <c r="CX37" s="616"/>
      <c r="CY37" s="1024"/>
      <c r="CZ37" s="309"/>
      <c r="DA37" s="256"/>
      <c r="DB37" s="289"/>
      <c r="DC37" s="1024"/>
      <c r="DD37" s="309"/>
      <c r="DE37" s="256"/>
      <c r="DF37" s="289"/>
      <c r="DG37" s="1024"/>
      <c r="DH37" s="309"/>
      <c r="DI37" s="256"/>
      <c r="DJ37" s="289"/>
      <c r="DK37" s="1024"/>
      <c r="DL37" s="309"/>
      <c r="DM37" s="256"/>
      <c r="DN37" s="289"/>
      <c r="DO37" s="1173"/>
      <c r="DP37" s="309"/>
      <c r="DQ37" s="256"/>
      <c r="DR37" s="256"/>
      <c r="DS37" s="256"/>
      <c r="DT37" s="256"/>
      <c r="DU37" s="256"/>
      <c r="DV37" s="256"/>
      <c r="DW37" s="256"/>
      <c r="DX37" s="256"/>
      <c r="DY37" s="256"/>
      <c r="DZ37" s="256"/>
      <c r="EA37" s="256"/>
      <c r="EC37" s="2013">
        <f>EC34*0.98</f>
        <v>1656.0001009305165</v>
      </c>
    </row>
    <row r="38" spans="1:133" ht="11.25" customHeight="1" outlineLevel="1">
      <c r="A38" s="256"/>
      <c r="B38" s="256"/>
      <c r="C38" s="268"/>
      <c r="D38" s="598"/>
      <c r="E38" s="268">
        <f>BB38</f>
        <v>0</v>
      </c>
      <c r="F38" s="598"/>
      <c r="G38" s="256"/>
      <c r="H38" s="256"/>
      <c r="I38" s="256"/>
      <c r="J38" s="598"/>
      <c r="K38" s="256"/>
      <c r="L38" s="256"/>
      <c r="M38" s="256"/>
      <c r="N38" s="598"/>
      <c r="O38" s="256"/>
      <c r="P38" s="256"/>
      <c r="Q38" s="256"/>
      <c r="R38" s="598"/>
      <c r="S38" s="256"/>
      <c r="T38" s="256"/>
      <c r="U38" s="256"/>
      <c r="V38" s="598"/>
      <c r="W38" s="256"/>
      <c r="X38" s="256"/>
      <c r="Y38" s="256"/>
      <c r="Z38" s="256"/>
      <c r="AA38" s="312"/>
      <c r="AB38" s="312"/>
      <c r="AC38" s="312"/>
      <c r="AD38" s="600"/>
      <c r="AE38" s="312"/>
      <c r="AF38" s="312"/>
      <c r="AG38" s="312"/>
      <c r="AH38" s="600"/>
      <c r="AI38" s="312"/>
      <c r="AJ38" s="312"/>
      <c r="AK38" s="312"/>
      <c r="AL38" s="600"/>
      <c r="AM38" s="312"/>
      <c r="AN38" s="312"/>
      <c r="AO38" s="312"/>
      <c r="AP38" s="605"/>
      <c r="AQ38" s="312"/>
      <c r="AR38" s="312"/>
      <c r="AS38" s="312"/>
      <c r="AT38" s="600"/>
      <c r="AU38" s="312"/>
      <c r="AV38" s="312"/>
      <c r="AW38" s="312"/>
      <c r="AX38" s="600"/>
      <c r="AY38" s="312"/>
      <c r="AZ38" s="312"/>
      <c r="BA38" s="312"/>
      <c r="BB38" s="600"/>
      <c r="BC38" s="312"/>
      <c r="BD38" s="312"/>
      <c r="BE38" s="312"/>
      <c r="BF38" s="600"/>
      <c r="BG38" s="312"/>
      <c r="BH38" s="312"/>
      <c r="BI38" s="312"/>
      <c r="BJ38" s="600" t="s">
        <v>1174</v>
      </c>
      <c r="BK38" s="312"/>
      <c r="BL38" s="312"/>
      <c r="BM38" s="588"/>
      <c r="BN38" s="600"/>
      <c r="BO38" s="312"/>
      <c r="BP38" s="312"/>
      <c r="BQ38" s="600"/>
      <c r="BR38" s="600"/>
      <c r="BS38" s="312"/>
      <c r="BT38" s="312"/>
      <c r="BU38" s="312"/>
      <c r="BV38" s="600" t="s">
        <v>1174</v>
      </c>
      <c r="BW38" s="312"/>
      <c r="BX38" s="312"/>
      <c r="BY38" s="312"/>
      <c r="BZ38" s="600"/>
      <c r="CA38" s="312"/>
      <c r="CB38" s="312"/>
      <c r="CC38" s="312"/>
      <c r="CE38" s="312"/>
      <c r="CF38" s="312"/>
      <c r="CG38" s="312"/>
      <c r="CH38" s="600"/>
      <c r="CI38" s="312"/>
      <c r="CJ38" s="312"/>
      <c r="CK38" s="312"/>
      <c r="CL38" s="600"/>
      <c r="CM38" s="312"/>
      <c r="CN38" s="312"/>
      <c r="CO38" s="312"/>
      <c r="CP38" s="600"/>
      <c r="CR38" s="312"/>
      <c r="CS38" s="256"/>
      <c r="CT38" s="600"/>
      <c r="CU38" s="312"/>
      <c r="CV38" s="312"/>
      <c r="CW38" s="256"/>
      <c r="CX38" s="600"/>
      <c r="CY38" s="312"/>
      <c r="CZ38" s="312"/>
      <c r="DA38" s="256"/>
      <c r="DB38" s="600" t="s">
        <v>1174</v>
      </c>
      <c r="DC38" s="312"/>
      <c r="DD38" s="312"/>
      <c r="DE38" s="256"/>
      <c r="DF38" s="2016"/>
      <c r="DG38" s="312"/>
      <c r="DH38" s="312"/>
      <c r="DI38" s="256"/>
      <c r="DJ38" s="2016"/>
      <c r="DK38" s="312"/>
      <c r="DL38" s="312"/>
      <c r="DM38" s="256"/>
      <c r="DN38" s="2016"/>
      <c r="DO38" s="312"/>
      <c r="DP38" s="312"/>
      <c r="DQ38" s="256"/>
      <c r="DR38" s="256"/>
      <c r="DS38" s="256"/>
      <c r="DT38" s="256"/>
      <c r="DU38" s="256"/>
      <c r="DV38" s="256"/>
      <c r="DW38" s="256"/>
      <c r="DX38" s="256"/>
      <c r="DY38" s="256"/>
      <c r="DZ38" s="256"/>
      <c r="EA38" s="256"/>
    </row>
    <row r="39" spans="1:133" ht="11.25" customHeight="1" outlineLevel="1">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587"/>
      <c r="BN39" s="256"/>
      <c r="BO39" s="256"/>
      <c r="BP39" s="256"/>
      <c r="BQ39" s="599"/>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row>
    <row r="40" spans="1:133" ht="11.25" customHeight="1" outlineLevel="1">
      <c r="A40" s="256" t="str">
        <f>$A$10</f>
        <v>1Q</v>
      </c>
      <c r="B40" s="256" t="str">
        <f>$B$10</f>
        <v>Apr</v>
      </c>
      <c r="C40" s="256"/>
      <c r="D40" s="294"/>
      <c r="E40" s="256"/>
      <c r="F40" s="294"/>
      <c r="G40" s="309"/>
      <c r="H40" s="256"/>
      <c r="I40" s="256"/>
      <c r="J40" s="294"/>
      <c r="K40" s="309"/>
      <c r="L40" s="256"/>
      <c r="M40" s="256"/>
      <c r="N40" s="294"/>
      <c r="O40" s="309"/>
      <c r="P40" s="310"/>
      <c r="Q40" s="256"/>
      <c r="R40" s="294"/>
      <c r="S40" s="309"/>
      <c r="T40" s="310"/>
      <c r="U40" s="256"/>
      <c r="V40" s="998">
        <v>4.1959999999999997</v>
      </c>
      <c r="W40" s="296"/>
      <c r="X40" s="296"/>
      <c r="Y40" s="296"/>
      <c r="Z40" s="998">
        <v>4.3600000000000003</v>
      </c>
      <c r="AA40" s="296"/>
      <c r="AB40" s="296"/>
      <c r="AC40" s="296"/>
      <c r="AD40" s="998">
        <v>4.7519999999999998</v>
      </c>
      <c r="AE40" s="296"/>
      <c r="AF40" s="296"/>
      <c r="AG40" s="296"/>
      <c r="AH40" s="998">
        <v>5.3730000000000002</v>
      </c>
      <c r="AI40" s="296"/>
      <c r="AJ40" s="296"/>
      <c r="AK40" s="296"/>
      <c r="AL40" s="998">
        <v>6.758</v>
      </c>
      <c r="AM40" s="296"/>
      <c r="AN40" s="296"/>
      <c r="AO40" s="998"/>
      <c r="AP40" s="998">
        <v>8.2159999999999993</v>
      </c>
      <c r="AQ40" s="296"/>
      <c r="AR40" s="296"/>
      <c r="AS40" s="296"/>
      <c r="AT40" s="998">
        <v>10.565</v>
      </c>
      <c r="AU40" s="296"/>
      <c r="AV40" s="296"/>
      <c r="AW40" s="296"/>
      <c r="AX40" s="998">
        <v>15.356999999999999</v>
      </c>
      <c r="AY40" s="296"/>
      <c r="AZ40" s="296"/>
      <c r="BA40" s="296"/>
      <c r="BB40" s="998">
        <v>18.013999999999999</v>
      </c>
      <c r="BC40" s="296"/>
      <c r="BD40" s="296"/>
      <c r="BE40" s="296"/>
      <c r="BF40" s="906">
        <v>21.367000000000001</v>
      </c>
      <c r="BG40" s="296"/>
      <c r="BH40" s="296"/>
      <c r="BI40" s="296"/>
      <c r="BJ40" s="906">
        <f>24.944</f>
        <v>24.943999999999999</v>
      </c>
      <c r="BK40" s="998"/>
      <c r="BL40" s="998"/>
      <c r="BM40" s="272"/>
      <c r="BN40" s="906">
        <v>27.986999999999998</v>
      </c>
      <c r="BO40" s="310">
        <f>(BN40/BJ40-1)*100</f>
        <v>12.199326491340589</v>
      </c>
      <c r="BP40" s="998"/>
      <c r="BQ40" s="999"/>
      <c r="BR40" s="906">
        <v>28.347000000000001</v>
      </c>
      <c r="BS40" s="310">
        <f>(BR40/BN40-1)*100</f>
        <v>1.2863115017686999</v>
      </c>
      <c r="BT40" s="998"/>
      <c r="BU40" s="998"/>
      <c r="BV40" s="906">
        <v>30.707000000000001</v>
      </c>
      <c r="BW40" s="310">
        <f>(BV40/BR40-1)*100</f>
        <v>8.3253959854658213</v>
      </c>
      <c r="BX40" s="310"/>
      <c r="BY40" s="998"/>
      <c r="BZ40" s="998">
        <v>33.418999999999997</v>
      </c>
      <c r="CA40" s="310">
        <f>(BZ40/BV40-1)*100</f>
        <v>8.8318624417885072</v>
      </c>
      <c r="CB40" s="310"/>
      <c r="CC40" s="998"/>
      <c r="CD40" s="998">
        <v>32.929000000000002</v>
      </c>
      <c r="CE40" s="310">
        <f>(CD40/BZ40-1)*100</f>
        <v>-1.466231784314298</v>
      </c>
      <c r="CF40" s="310"/>
      <c r="CG40" s="998"/>
      <c r="CH40" s="998">
        <v>34.091000000000001</v>
      </c>
      <c r="CI40" s="310">
        <f>(CH40/CD40-1)*100</f>
        <v>3.5288043973397354</v>
      </c>
      <c r="CJ40" s="310"/>
      <c r="CK40" s="998"/>
      <c r="CL40" s="998">
        <v>36.631</v>
      </c>
      <c r="CM40" s="310">
        <f>(CL40/CH40-1)*100</f>
        <v>7.4506467982752067</v>
      </c>
      <c r="CN40" s="310"/>
      <c r="CO40" s="998"/>
      <c r="CP40" s="998">
        <v>39.194000000000003</v>
      </c>
      <c r="CQ40" s="310">
        <f>(CP40/CL40-1)*100</f>
        <v>6.9968059840026298</v>
      </c>
      <c r="CR40" s="310"/>
      <c r="CS40" s="256"/>
      <c r="CT40" s="1725">
        <v>43</v>
      </c>
      <c r="CU40" s="310">
        <f>(CT40/CP40-1)*100</f>
        <v>9.7106700005102695</v>
      </c>
      <c r="CV40" s="310"/>
      <c r="CW40" s="256"/>
      <c r="CX40" s="1725">
        <v>49.856999999999999</v>
      </c>
      <c r="CY40" s="310">
        <f>(CX40/CT40-1)*100</f>
        <v>15.946511627906968</v>
      </c>
      <c r="CZ40" s="387"/>
      <c r="DA40" s="256"/>
      <c r="DB40" s="1725">
        <v>48.9</v>
      </c>
      <c r="DC40" s="310">
        <f>(DB40/CX40-1)*100</f>
        <v>-1.9194897406582867</v>
      </c>
      <c r="DD40" s="387"/>
      <c r="DE40" s="256"/>
      <c r="DF40" s="2172">
        <v>52.1</v>
      </c>
      <c r="DG40" s="310">
        <f>(DF40/DB40-1)*100</f>
        <v>6.5439672801635984</v>
      </c>
      <c r="DH40" s="387"/>
      <c r="DI40" s="256"/>
      <c r="DJ40" s="2172">
        <v>50.9</v>
      </c>
      <c r="DK40" s="310">
        <f>(DJ40/DF40-1)*100</f>
        <v>-2.3032629558541351</v>
      </c>
      <c r="DL40" s="387"/>
      <c r="DM40" s="256"/>
      <c r="DN40" s="2392">
        <v>52</v>
      </c>
      <c r="DO40" s="310">
        <f>(DN40/DJ40-1)*100</f>
        <v>2.16110019646365</v>
      </c>
      <c r="DP40" s="387"/>
      <c r="DQ40" s="256"/>
      <c r="DR40" s="256"/>
      <c r="DS40" s="256"/>
      <c r="DT40" s="256"/>
      <c r="DU40" s="256"/>
      <c r="DV40" s="256"/>
      <c r="DW40" s="256"/>
      <c r="DX40" s="256"/>
      <c r="DY40" s="256"/>
      <c r="DZ40" s="256"/>
      <c r="EA40" s="256"/>
    </row>
    <row r="41" spans="1:133" ht="11.25" customHeight="1" outlineLevel="1">
      <c r="A41" s="256" t="str">
        <f>$A$11</f>
        <v>2Q</v>
      </c>
      <c r="B41" s="256" t="str">
        <f>$B$11</f>
        <v>Jul</v>
      </c>
      <c r="C41" s="256"/>
      <c r="D41" s="294"/>
      <c r="E41" s="256"/>
      <c r="F41" s="295"/>
      <c r="G41" s="309"/>
      <c r="H41" s="256"/>
      <c r="I41" s="256"/>
      <c r="J41" s="295"/>
      <c r="K41" s="309"/>
      <c r="L41" s="256"/>
      <c r="M41" s="256"/>
      <c r="N41" s="295"/>
      <c r="O41" s="309"/>
      <c r="P41" s="310"/>
      <c r="Q41" s="256"/>
      <c r="R41" s="295"/>
      <c r="S41" s="309"/>
      <c r="T41" s="310"/>
      <c r="U41" s="256"/>
      <c r="V41" s="826">
        <f>7.467-V40</f>
        <v>3.2709999999999999</v>
      </c>
      <c r="W41" s="288"/>
      <c r="X41" s="288"/>
      <c r="Y41" s="288"/>
      <c r="Z41" s="826">
        <f>9.037-Z40</f>
        <v>4.6770000000000005</v>
      </c>
      <c r="AA41" s="288"/>
      <c r="AB41" s="288"/>
      <c r="AC41" s="288"/>
      <c r="AD41" s="826">
        <f>10.39-AD40</f>
        <v>5.6380000000000008</v>
      </c>
      <c r="AE41" s="288"/>
      <c r="AF41" s="288"/>
      <c r="AG41" s="288"/>
      <c r="AH41" s="826">
        <f>10.811-AH40</f>
        <v>5.4379999999999997</v>
      </c>
      <c r="AI41" s="288"/>
      <c r="AJ41" s="288"/>
      <c r="AK41" s="288"/>
      <c r="AL41" s="826">
        <f>13.959-AL40</f>
        <v>7.2009999999999996</v>
      </c>
      <c r="AM41" s="288"/>
      <c r="AN41" s="288"/>
      <c r="AO41" s="288"/>
      <c r="AP41" s="826">
        <f>17.179-AP40</f>
        <v>8.9629999999999992</v>
      </c>
      <c r="AQ41" s="288"/>
      <c r="AR41" s="288"/>
      <c r="AS41" s="288"/>
      <c r="AT41" s="826">
        <f>21.374-AT40</f>
        <v>10.808999999999999</v>
      </c>
      <c r="AU41" s="288"/>
      <c r="AV41" s="288"/>
      <c r="AW41" s="288"/>
      <c r="AX41" s="826">
        <f>30.513-AX40</f>
        <v>15.156000000000002</v>
      </c>
      <c r="AY41" s="288"/>
      <c r="AZ41" s="288"/>
      <c r="BA41" s="288"/>
      <c r="BB41" s="826">
        <f>37.14-BB40</f>
        <v>19.126000000000001</v>
      </c>
      <c r="BC41" s="288"/>
      <c r="BD41" s="288"/>
      <c r="BE41" s="288"/>
      <c r="BF41" s="144">
        <f>42.706-BF40</f>
        <v>21.339000000000002</v>
      </c>
      <c r="BG41" s="288"/>
      <c r="BH41" s="288"/>
      <c r="BI41" s="288"/>
      <c r="BJ41" s="144">
        <f>52.741-BJ40</f>
        <v>27.797000000000001</v>
      </c>
      <c r="BK41" s="826"/>
      <c r="BL41" s="826"/>
      <c r="BM41" s="287"/>
      <c r="BN41" s="144">
        <f>55.099-BN40</f>
        <v>27.111999999999998</v>
      </c>
      <c r="BO41" s="310">
        <f>(BN41/BJ41-1)*100</f>
        <v>-2.4642947080620314</v>
      </c>
      <c r="BP41" s="826"/>
      <c r="BQ41" s="997"/>
      <c r="BR41" s="144">
        <f>58.259-BR40</f>
        <v>29.911999999999999</v>
      </c>
      <c r="BS41" s="310">
        <f>(BR41/BN41-1)*100</f>
        <v>10.327530244909999</v>
      </c>
      <c r="BT41" s="826"/>
      <c r="BU41" s="826"/>
      <c r="BV41" s="826">
        <f>61.73-BV40</f>
        <v>31.022999999999996</v>
      </c>
      <c r="BW41" s="310">
        <f>(BV41/BR41-1)*100</f>
        <v>3.7142284033163886</v>
      </c>
      <c r="BX41" s="310"/>
      <c r="BY41" s="826"/>
      <c r="BZ41" s="826">
        <f>67.17-BZ40</f>
        <v>33.751000000000005</v>
      </c>
      <c r="CA41" s="310">
        <f>(BZ41/BV41-1)*100</f>
        <v>8.7934758082712996</v>
      </c>
      <c r="CB41" s="310"/>
      <c r="CC41" s="826"/>
      <c r="CD41" s="826">
        <f>69.534-CD40</f>
        <v>36.605000000000004</v>
      </c>
      <c r="CE41" s="310">
        <f>(CD41/BZ41-1)*100</f>
        <v>8.4560457467926842</v>
      </c>
      <c r="CF41" s="310"/>
      <c r="CG41" s="826"/>
      <c r="CH41" s="826">
        <f>72.292-CH40</f>
        <v>38.201000000000001</v>
      </c>
      <c r="CI41" s="310">
        <f>(CH41/CD41-1)*100</f>
        <v>4.3600601010790774</v>
      </c>
      <c r="CJ41" s="310"/>
      <c r="CK41" s="826"/>
      <c r="CL41" s="826">
        <f>71.596-CL40</f>
        <v>34.965000000000003</v>
      </c>
      <c r="CM41" s="310">
        <f>(CL41/CH41-1)*100</f>
        <v>-8.4709824350147844</v>
      </c>
      <c r="CN41" s="310"/>
      <c r="CO41" s="826"/>
      <c r="CP41" s="826">
        <f>79.167-CP40</f>
        <v>39.972999999999999</v>
      </c>
      <c r="CQ41" s="310">
        <f>(CP41/CL41-1)*100</f>
        <v>14.322894322894308</v>
      </c>
      <c r="CR41" s="310"/>
      <c r="CS41" s="256"/>
      <c r="CT41" s="1731">
        <f>86.323-CT40</f>
        <v>43.322999999999993</v>
      </c>
      <c r="CU41" s="310">
        <f>(CT41/CP41-1)*100</f>
        <v>8.380656943436815</v>
      </c>
      <c r="CV41" s="310"/>
      <c r="CW41" s="256"/>
      <c r="CX41" s="1731">
        <f>97.214-CX40</f>
        <v>47.356999999999999</v>
      </c>
      <c r="CY41" s="310">
        <f>(CX41/CT41-1)*100</f>
        <v>9.3114511922073984</v>
      </c>
      <c r="CZ41" s="387"/>
      <c r="DA41" s="256"/>
      <c r="DB41" s="1731">
        <f>99.4-DB40</f>
        <v>50.500000000000007</v>
      </c>
      <c r="DC41" s="310">
        <f>(DB41/CX41-1)*100</f>
        <v>6.6368224338535065</v>
      </c>
      <c r="DD41" s="387"/>
      <c r="DE41" s="256"/>
      <c r="DF41" s="2132">
        <f>105-DF40</f>
        <v>52.9</v>
      </c>
      <c r="DG41" s="310">
        <f>(DF41/DB41-1)*100</f>
        <v>4.7524752475247345</v>
      </c>
      <c r="DH41" s="387"/>
      <c r="DI41" s="256"/>
      <c r="DJ41" s="2227">
        <f>101.8-DJ40</f>
        <v>50.9</v>
      </c>
      <c r="DK41" s="310">
        <f>(DJ41/DF41-1)*100</f>
        <v>-3.7807183364839347</v>
      </c>
      <c r="DL41" s="387"/>
      <c r="DM41" s="256"/>
      <c r="DN41" s="2393">
        <v>52</v>
      </c>
      <c r="DO41" s="310">
        <f>(DN41/DJ41-1)*100</f>
        <v>2.16110019646365</v>
      </c>
      <c r="DP41" s="387"/>
      <c r="DQ41" s="256"/>
      <c r="DR41" s="256"/>
      <c r="DS41" s="256"/>
      <c r="DT41" s="256"/>
      <c r="DU41" s="256"/>
      <c r="DV41" s="256"/>
      <c r="DW41" s="256"/>
      <c r="DX41" s="256"/>
      <c r="DY41" s="256"/>
      <c r="DZ41" s="256"/>
      <c r="EA41" s="256"/>
    </row>
    <row r="42" spans="1:133" ht="11.25" customHeight="1" outlineLevel="1">
      <c r="A42" s="256" t="str">
        <f>$A$12</f>
        <v>3Q</v>
      </c>
      <c r="B42" s="256" t="str">
        <f>$B$12</f>
        <v>Oct</v>
      </c>
      <c r="C42" s="256"/>
      <c r="D42" s="294"/>
      <c r="E42" s="256"/>
      <c r="F42" s="295"/>
      <c r="G42" s="309"/>
      <c r="H42" s="256"/>
      <c r="I42" s="256"/>
      <c r="J42" s="295"/>
      <c r="K42" s="309"/>
      <c r="L42" s="256"/>
      <c r="M42" s="256"/>
      <c r="N42" s="295"/>
      <c r="O42" s="309"/>
      <c r="P42" s="310"/>
      <c r="Q42" s="256"/>
      <c r="R42" s="295"/>
      <c r="S42" s="309"/>
      <c r="T42" s="310"/>
      <c r="U42" s="256"/>
      <c r="V42" s="826">
        <f>12.067-SUM(V40:V41)</f>
        <v>4.6000000000000005</v>
      </c>
      <c r="W42" s="288"/>
      <c r="X42" s="288"/>
      <c r="Y42" s="288"/>
      <c r="Z42" s="826">
        <f>14.454-SUM(Z40:Z41)</f>
        <v>5.4169999999999998</v>
      </c>
      <c r="AA42" s="288"/>
      <c r="AB42" s="288"/>
      <c r="AC42" s="288"/>
      <c r="AD42" s="826">
        <f>15.502-SUM(AD40:AD41)</f>
        <v>5.1120000000000001</v>
      </c>
      <c r="AE42" s="288"/>
      <c r="AF42" s="288"/>
      <c r="AG42" s="288"/>
      <c r="AH42" s="826">
        <f>16.774-SUM(AH40:AH41)</f>
        <v>5.963000000000001</v>
      </c>
      <c r="AI42" s="288"/>
      <c r="AJ42" s="288"/>
      <c r="AK42" s="288"/>
      <c r="AL42" s="826">
        <f>21.58-SUM(AL40:AL41)</f>
        <v>7.6209999999999987</v>
      </c>
      <c r="AM42" s="288"/>
      <c r="AN42" s="288"/>
      <c r="AO42" s="288"/>
      <c r="AP42" s="826">
        <f>26.902-SUM(AP40:AP41)</f>
        <v>9.7230000000000025</v>
      </c>
      <c r="AQ42" s="288"/>
      <c r="AR42" s="288"/>
      <c r="AS42" s="288"/>
      <c r="AT42" s="826">
        <f>33.36-SUM(AT40:AT41)</f>
        <v>11.986000000000001</v>
      </c>
      <c r="AU42" s="288"/>
      <c r="AV42" s="288"/>
      <c r="AW42" s="288"/>
      <c r="AX42" s="826">
        <f>46.64-SUM(AX40:AX41)</f>
        <v>16.126999999999999</v>
      </c>
      <c r="AY42" s="288"/>
      <c r="AZ42" s="288"/>
      <c r="BA42" s="288"/>
      <c r="BB42" s="826">
        <f>56.285-SUM(BB40:BB41)</f>
        <v>19.144999999999996</v>
      </c>
      <c r="BC42" s="288"/>
      <c r="BD42" s="288"/>
      <c r="BE42" s="288"/>
      <c r="BF42" s="144">
        <f>65.181-SUM(BF40:BF41)</f>
        <v>22.474999999999994</v>
      </c>
      <c r="BG42" s="288"/>
      <c r="BH42" s="288"/>
      <c r="BI42" s="288"/>
      <c r="BJ42" s="144">
        <f>79.709-SUM(BJ40:BJ41)</f>
        <v>26.968000000000004</v>
      </c>
      <c r="BK42" s="826"/>
      <c r="BL42" s="826"/>
      <c r="BM42" s="287"/>
      <c r="BN42" s="144">
        <f>81.72-SUM(BN40:BN41)</f>
        <v>26.621000000000002</v>
      </c>
      <c r="BO42" s="310">
        <f>(BN42/BJ42-1)*100</f>
        <v>-1.2867101750222543</v>
      </c>
      <c r="BP42" s="826"/>
      <c r="BQ42" s="997"/>
      <c r="BR42" s="144">
        <f>87.96-SUM(BR40:BR41)</f>
        <v>29.700999999999993</v>
      </c>
      <c r="BS42" s="310">
        <f>(BR42/BN42-1)*100</f>
        <v>11.569813305285258</v>
      </c>
      <c r="BT42" s="826"/>
      <c r="BU42" s="826"/>
      <c r="BV42" s="826">
        <f>94.241-BV41-BV40</f>
        <v>32.511000000000003</v>
      </c>
      <c r="BW42" s="310">
        <f>(BV42/BR42-1)*100</f>
        <v>9.4609609104070902</v>
      </c>
      <c r="BX42" s="310"/>
      <c r="BY42" s="826"/>
      <c r="BZ42" s="826">
        <f>99.671-BZ41-BZ40</f>
        <v>32.501000000000005</v>
      </c>
      <c r="CA42" s="310">
        <f>(BZ42/BV42-1)*100</f>
        <v>-3.0758820091658645E-2</v>
      </c>
      <c r="CB42" s="310"/>
      <c r="CC42" s="826"/>
      <c r="CD42" s="826">
        <f>103.591-CD41-CD40</f>
        <v>34.056999999999988</v>
      </c>
      <c r="CE42" s="310">
        <f>(CD42/BZ42-1)*100</f>
        <v>4.7875449986153784</v>
      </c>
      <c r="CF42" s="310"/>
      <c r="CG42" s="826"/>
      <c r="CH42" s="826">
        <f>109.165-CH41-CH40</f>
        <v>36.872999999999998</v>
      </c>
      <c r="CI42" s="310">
        <f>(CH42/CD42-1)*100</f>
        <v>8.2684910591068306</v>
      </c>
      <c r="CJ42" s="310"/>
      <c r="CK42" s="826"/>
      <c r="CL42" s="826">
        <f>103.439-CL41-CL40</f>
        <v>31.842999999999989</v>
      </c>
      <c r="CM42" s="310">
        <f>(CL42/CH42-1)*100</f>
        <v>-13.641417839611659</v>
      </c>
      <c r="CN42" s="310"/>
      <c r="CO42" s="826"/>
      <c r="CP42" s="826">
        <f>120.158-CP41-CP40</f>
        <v>40.991</v>
      </c>
      <c r="CQ42" s="310">
        <f>(CP42/CL42-1)*100</f>
        <v>28.7284489526741</v>
      </c>
      <c r="CR42" s="310"/>
      <c r="CS42" s="256"/>
      <c r="CT42" s="826">
        <f>131.921-SUM(CT40:CT41)</f>
        <v>45.597999999999999</v>
      </c>
      <c r="CU42" s="310">
        <f>(CT42/CP42-1)*100</f>
        <v>11.23905247493353</v>
      </c>
      <c r="CV42" s="310"/>
      <c r="CW42" s="256"/>
      <c r="CX42" s="826">
        <f>144.699-SUM(CX40:CX41)</f>
        <v>47.485000000000014</v>
      </c>
      <c r="CY42" s="310">
        <f>(CX42/CT42-1)*100</f>
        <v>4.1383394008509544</v>
      </c>
      <c r="CZ42" s="387"/>
      <c r="DA42" s="256"/>
      <c r="DB42" s="2132">
        <f>149.5-DB41-DB40</f>
        <v>50.1</v>
      </c>
      <c r="DC42" s="310">
        <f>(DB42/CX42-1)*100</f>
        <v>5.5070022112245764</v>
      </c>
      <c r="DD42" s="387"/>
      <c r="DE42" s="256"/>
      <c r="DF42" s="2132">
        <f>157-DF41-DF40</f>
        <v>51.999999999999993</v>
      </c>
      <c r="DG42" s="310">
        <f>(DF42/DB42-1)*100</f>
        <v>3.7924151696606678</v>
      </c>
      <c r="DH42" s="387"/>
      <c r="DI42" s="256"/>
      <c r="DJ42" s="2227">
        <f>152.9-DJ41-DJ40</f>
        <v>51.1</v>
      </c>
      <c r="DK42" s="310">
        <f>(DJ42/DF42-1)*100</f>
        <v>-1.7307692307692135</v>
      </c>
      <c r="DL42" s="387"/>
      <c r="DM42" s="256"/>
      <c r="DN42" s="2186">
        <v>52</v>
      </c>
      <c r="DO42" s="310">
        <f>(DN42/DJ42-1)*100</f>
        <v>1.7612524461839474</v>
      </c>
      <c r="DP42" s="387"/>
      <c r="DQ42" s="256"/>
      <c r="DR42" s="256"/>
      <c r="DS42" s="256"/>
      <c r="DT42" s="256"/>
      <c r="DU42" s="256"/>
      <c r="DV42" s="256"/>
      <c r="DW42" s="256"/>
      <c r="DX42" s="256"/>
      <c r="DY42" s="256"/>
      <c r="DZ42" s="256"/>
      <c r="EA42" s="256"/>
    </row>
    <row r="43" spans="1:133" ht="11.25" customHeight="1" outlineLevel="1">
      <c r="A43" s="256" t="str">
        <f>$A$13</f>
        <v>4Q</v>
      </c>
      <c r="B43" s="256" t="str">
        <f>$B$13</f>
        <v>Jan</v>
      </c>
      <c r="C43" s="587"/>
      <c r="D43" s="606"/>
      <c r="E43" s="256"/>
      <c r="F43" s="292"/>
      <c r="G43" s="309"/>
      <c r="H43" s="256"/>
      <c r="I43" s="256"/>
      <c r="J43" s="292"/>
      <c r="K43" s="309"/>
      <c r="L43" s="256"/>
      <c r="M43" s="256"/>
      <c r="N43" s="292"/>
      <c r="O43" s="309"/>
      <c r="P43" s="310"/>
      <c r="Q43" s="256"/>
      <c r="R43" s="292"/>
      <c r="S43" s="309"/>
      <c r="T43" s="310"/>
      <c r="U43" s="256"/>
      <c r="V43" s="318">
        <f>V44-SUM(V40:V42)</f>
        <v>4.4340000000000011</v>
      </c>
      <c r="W43" s="288"/>
      <c r="X43" s="288"/>
      <c r="Y43" s="288"/>
      <c r="Z43" s="318">
        <f>Z44-SUM(Z40:Z42)</f>
        <v>4.3359999999999985</v>
      </c>
      <c r="AA43" s="288"/>
      <c r="AB43" s="288"/>
      <c r="AC43" s="288"/>
      <c r="AD43" s="318">
        <f>AD44-SUM(AD40:AD42)</f>
        <v>5.3259999999999987</v>
      </c>
      <c r="AE43" s="288"/>
      <c r="AF43" s="288"/>
      <c r="AG43" s="288"/>
      <c r="AH43" s="318">
        <f>AH44-SUM(AH40:AH42)</f>
        <v>5.2839999999999989</v>
      </c>
      <c r="AI43" s="288"/>
      <c r="AJ43" s="288"/>
      <c r="AK43" s="288"/>
      <c r="AL43" s="318">
        <f>AL44-SUM(AL40:AL42)</f>
        <v>8.0720000000000027</v>
      </c>
      <c r="AM43" s="288"/>
      <c r="AN43" s="288"/>
      <c r="AO43" s="288"/>
      <c r="AP43" s="318">
        <f>AP44-SUM(AP40:AP42)</f>
        <v>14.640999999999998</v>
      </c>
      <c r="AQ43" s="288"/>
      <c r="AR43" s="288"/>
      <c r="AS43" s="288"/>
      <c r="AT43" s="318">
        <f>AT44-SUM(AT40:AT42)</f>
        <v>14.148000000000003</v>
      </c>
      <c r="AU43" s="288"/>
      <c r="AV43" s="288"/>
      <c r="AW43" s="288"/>
      <c r="AX43" s="318">
        <f>AX44-SUM(AX40:AX42)</f>
        <v>18.519000000000005</v>
      </c>
      <c r="AY43" s="288"/>
      <c r="AZ43" s="288"/>
      <c r="BA43" s="288"/>
      <c r="BB43" s="318">
        <f>BB44-SUM(BB40:BB42)</f>
        <v>21.722999999999999</v>
      </c>
      <c r="BC43" s="288"/>
      <c r="BD43" s="288"/>
      <c r="BE43" s="288"/>
      <c r="BF43" s="318">
        <f>BF44-SUM(BF40:BF42)</f>
        <v>24.126000000000005</v>
      </c>
      <c r="BG43" s="288"/>
      <c r="BH43" s="288"/>
      <c r="BI43" s="288"/>
      <c r="BJ43" s="318">
        <f>BJ44-SUM(BJ40:BJ42)</f>
        <v>27.12299999999999</v>
      </c>
      <c r="BK43" s="826"/>
      <c r="BL43" s="288"/>
      <c r="BM43" s="931"/>
      <c r="BN43" s="318">
        <f>BN44-SUM(BN40:BN42)</f>
        <v>27.728999999999999</v>
      </c>
      <c r="BO43" s="310">
        <f>(BN43/BJ43-1)*100</f>
        <v>2.2342661210043469</v>
      </c>
      <c r="BP43" s="288"/>
      <c r="BQ43" s="997"/>
      <c r="BR43" s="318">
        <f>BR44-SUM(BR40:BR42)</f>
        <v>27.337000000000003</v>
      </c>
      <c r="BS43" s="310">
        <f>(BR43/BN43-1)*100</f>
        <v>-1.4136824263406345</v>
      </c>
      <c r="BT43" s="288"/>
      <c r="BU43" s="288"/>
      <c r="BV43" s="318">
        <f>+BV44-BV42-BV41-BV40</f>
        <v>33.835000000000001</v>
      </c>
      <c r="BW43" s="310">
        <f>(BV43/BR43-1)*100</f>
        <v>23.769982075575214</v>
      </c>
      <c r="BX43" s="310"/>
      <c r="BY43" s="288"/>
      <c r="BZ43" s="318">
        <f>+BZ44-BZ42-BZ41-BZ40</f>
        <v>36.160999999999987</v>
      </c>
      <c r="CA43" s="310">
        <f>(BZ43/BV43-1)*100</f>
        <v>6.8745382000886313</v>
      </c>
      <c r="CB43" s="310"/>
      <c r="CC43" s="288"/>
      <c r="CD43" s="318">
        <f>CD44-SUM(CD40:CD42)</f>
        <v>35.828000000000017</v>
      </c>
      <c r="CE43" s="310">
        <f>(CD43/BZ43-1)*100</f>
        <v>-0.92088161278717218</v>
      </c>
      <c r="CF43" s="310"/>
      <c r="CG43" s="288"/>
      <c r="CH43" s="318">
        <f>CH44-SUM(CH40:CH42)</f>
        <v>38.705000000000013</v>
      </c>
      <c r="CI43" s="310">
        <f>(CH43/CD43-1)*100</f>
        <v>8.0300323769118886</v>
      </c>
      <c r="CJ43" s="310"/>
      <c r="CK43" s="288"/>
      <c r="CL43" s="318">
        <f>CL44-SUM(CL40:CL42)</f>
        <v>42.495000000000005</v>
      </c>
      <c r="CM43" s="310">
        <f>(CL43/CH43-1)*100</f>
        <v>9.792016535331328</v>
      </c>
      <c r="CN43" s="310"/>
      <c r="CO43" s="288"/>
      <c r="CP43" s="318">
        <f>CP44-SUM(CP40:CP42)</f>
        <v>43.491</v>
      </c>
      <c r="CQ43" s="310">
        <f>(CP43/CL43-1)*100</f>
        <v>2.3438051535474624</v>
      </c>
      <c r="CR43" s="310"/>
      <c r="CS43" s="256"/>
      <c r="CT43" s="318">
        <f>CT44-SUM(CT40:CT42)</f>
        <v>48.707999999999998</v>
      </c>
      <c r="CU43" s="1743">
        <f>(CT43/CP43-1)*100</f>
        <v>11.995585293508991</v>
      </c>
      <c r="CV43" s="310"/>
      <c r="CW43" s="256"/>
      <c r="CX43" s="318">
        <v>47</v>
      </c>
      <c r="CY43" s="1743">
        <f>(CX43/CT43-1)*100</f>
        <v>-3.5066108236839866</v>
      </c>
      <c r="CZ43" s="387"/>
      <c r="DA43" s="256"/>
      <c r="DB43" s="2012">
        <f>DB44-SUM(DB40:DB42)</f>
        <v>53</v>
      </c>
      <c r="DC43" s="310">
        <f>(DB43/CX43-1)*100</f>
        <v>12.765957446808507</v>
      </c>
      <c r="DD43" s="387"/>
      <c r="DE43" s="256"/>
      <c r="DF43" s="2012">
        <f>DF44-SUM(DF40:DF42)</f>
        <v>51.5</v>
      </c>
      <c r="DG43" s="310">
        <f>(DF43/DB43-1)*100</f>
        <v>-2.8301886792452824</v>
      </c>
      <c r="DH43" s="387"/>
      <c r="DI43" s="256"/>
      <c r="DJ43" s="2012">
        <f>DJ44-SUM(DJ40:DJ42)</f>
        <v>54</v>
      </c>
      <c r="DK43" s="310">
        <f>(DJ43/DF43-1)*100</f>
        <v>4.8543689320388328</v>
      </c>
      <c r="DL43" s="387"/>
      <c r="DM43" s="256"/>
      <c r="DN43" s="318">
        <f>DN44-SUM(DN40:DN42)</f>
        <v>54.461732843607251</v>
      </c>
      <c r="DO43" s="310">
        <f>(DN43/DJ43-1)*100</f>
        <v>0.85506082149491291</v>
      </c>
      <c r="DP43" s="387"/>
      <c r="DQ43" s="256"/>
      <c r="DR43" s="256"/>
      <c r="DS43" s="256"/>
      <c r="DT43" s="256"/>
      <c r="DU43" s="256"/>
      <c r="DV43" s="256"/>
      <c r="DW43" s="256"/>
      <c r="DX43" s="256"/>
      <c r="DY43" s="256"/>
      <c r="DZ43" s="256"/>
      <c r="EA43" s="256"/>
    </row>
    <row r="44" spans="1:133" ht="11.25" customHeight="1" outlineLevel="1">
      <c r="A44" s="256"/>
      <c r="B44" s="256" t="str">
        <f>$B$14</f>
        <v>Year</v>
      </c>
      <c r="C44" s="256"/>
      <c r="D44" s="305"/>
      <c r="E44" s="256"/>
      <c r="F44" s="305"/>
      <c r="G44" s="309"/>
      <c r="H44" s="310"/>
      <c r="I44" s="256"/>
      <c r="J44" s="305">
        <f>flow!F11</f>
        <v>8.1340000000000003</v>
      </c>
      <c r="K44" s="309"/>
      <c r="L44" s="310"/>
      <c r="M44" s="256"/>
      <c r="N44" s="305">
        <f>flow!H11</f>
        <v>11.425000000000001</v>
      </c>
      <c r="O44" s="309"/>
      <c r="P44" s="310"/>
      <c r="Q44" s="256"/>
      <c r="R44" s="305">
        <f>flow!J11</f>
        <v>13.587</v>
      </c>
      <c r="S44" s="309"/>
      <c r="T44" s="310"/>
      <c r="U44" s="256"/>
      <c r="V44" s="288">
        <f>flow!L11</f>
        <v>16.501000000000001</v>
      </c>
      <c r="W44" s="288"/>
      <c r="X44" s="288"/>
      <c r="Y44" s="288"/>
      <c r="Z44" s="288">
        <f>flow!N11</f>
        <v>18.79</v>
      </c>
      <c r="AA44" s="288"/>
      <c r="AB44" s="288"/>
      <c r="AC44" s="288"/>
      <c r="AD44" s="288">
        <f>flow!P11</f>
        <v>20.827999999999999</v>
      </c>
      <c r="AE44" s="288"/>
      <c r="AF44" s="288"/>
      <c r="AG44" s="288"/>
      <c r="AH44" s="288">
        <f>flow!R11</f>
        <v>22.058</v>
      </c>
      <c r="AI44" s="288"/>
      <c r="AJ44" s="288"/>
      <c r="AK44" s="288"/>
      <c r="AL44" s="288">
        <f>flow!T11</f>
        <v>29.652000000000001</v>
      </c>
      <c r="AM44" s="288"/>
      <c r="AN44" s="288"/>
      <c r="AO44" s="288"/>
      <c r="AP44" s="288">
        <f>flow!V11</f>
        <v>41.542999999999999</v>
      </c>
      <c r="AQ44" s="288"/>
      <c r="AR44" s="288"/>
      <c r="AS44" s="288"/>
      <c r="AT44" s="288">
        <f>flow!X11</f>
        <v>47.508000000000003</v>
      </c>
      <c r="AU44" s="288"/>
      <c r="AV44" s="288"/>
      <c r="AW44" s="288"/>
      <c r="AX44" s="288">
        <f>flow!Z11</f>
        <v>65.159000000000006</v>
      </c>
      <c r="AY44" s="288"/>
      <c r="AZ44" s="288"/>
      <c r="BA44" s="288"/>
      <c r="BB44" s="288">
        <f>flow!AB11</f>
        <v>78.007999999999996</v>
      </c>
      <c r="BC44" s="288"/>
      <c r="BD44" s="288"/>
      <c r="BE44" s="288"/>
      <c r="BF44" s="288">
        <f>flow!AD11</f>
        <v>89.307000000000002</v>
      </c>
      <c r="BG44" s="288"/>
      <c r="BH44" s="288"/>
      <c r="BI44" s="288"/>
      <c r="BJ44" s="288">
        <f>flow!AF11</f>
        <v>106.83199999999999</v>
      </c>
      <c r="BK44" s="288"/>
      <c r="BL44" s="288"/>
      <c r="BM44" s="931"/>
      <c r="BN44" s="288">
        <f>flow!AH11</f>
        <v>109.449</v>
      </c>
      <c r="BO44" s="310">
        <f>(BN44/BJ44-1)*100</f>
        <v>2.4496405571364344</v>
      </c>
      <c r="BP44" s="288"/>
      <c r="BQ44" s="997"/>
      <c r="BR44" s="288">
        <f>flow!AJ11</f>
        <v>115.297</v>
      </c>
      <c r="BS44" s="310">
        <f>(BR44/BN44-1)*100</f>
        <v>5.343127849500684</v>
      </c>
      <c r="BT44" s="288"/>
      <c r="BU44" s="288"/>
      <c r="BV44" s="288">
        <f>flow!AL11</f>
        <v>128.07599999999999</v>
      </c>
      <c r="BW44" s="310">
        <f>(BV44/BR44-1)*100</f>
        <v>11.083549441876194</v>
      </c>
      <c r="BX44" s="310"/>
      <c r="BY44" s="288"/>
      <c r="BZ44" s="288">
        <f>flow!AN11</f>
        <v>135.83199999999999</v>
      </c>
      <c r="CA44" s="310">
        <f>(BZ44/BV44-1)*100</f>
        <v>6.055779380992532</v>
      </c>
      <c r="CB44" s="310"/>
      <c r="CC44" s="288"/>
      <c r="CD44" s="288">
        <f>flow!$AP$11</f>
        <v>139.41900000000001</v>
      </c>
      <c r="CE44" s="310">
        <f>(CD44/BZ44-1)*100</f>
        <v>2.640762117910378</v>
      </c>
      <c r="CF44" s="310"/>
      <c r="CG44" s="288"/>
      <c r="CH44" s="288">
        <f>flow!$AR$11</f>
        <v>147.87</v>
      </c>
      <c r="CI44" s="310">
        <f>(CH44/CD44-1)*100</f>
        <v>6.0615841456329367</v>
      </c>
      <c r="CJ44" s="310"/>
      <c r="CK44" s="288"/>
      <c r="CL44" s="288">
        <f>flow!$AT$11</f>
        <v>145.934</v>
      </c>
      <c r="CM44" s="310">
        <f>(CL44/CH44-1)*100</f>
        <v>-1.3092581321430985</v>
      </c>
      <c r="CN44" s="310"/>
      <c r="CO44" s="288"/>
      <c r="CP44" s="288">
        <f>flow!$AV$11</f>
        <v>163.649</v>
      </c>
      <c r="CQ44" s="310">
        <f>(CP44/CL44-1)*100</f>
        <v>12.139049159208959</v>
      </c>
      <c r="CR44" s="310"/>
      <c r="CS44" s="256"/>
      <c r="CT44" s="288">
        <f>flow!$AX$11</f>
        <v>180.62899999999999</v>
      </c>
      <c r="CU44" s="310">
        <f>(CT44/CP44-1)*100</f>
        <v>10.375865419281505</v>
      </c>
      <c r="CV44" s="310"/>
      <c r="CW44" s="256"/>
      <c r="CX44" s="288">
        <f>flow!$AZ$11</f>
        <v>194.15799999999999</v>
      </c>
      <c r="CY44" s="310">
        <f>(CX44/CT44-1)*100</f>
        <v>7.4899379390906295</v>
      </c>
      <c r="CZ44" s="310"/>
      <c r="DA44" s="256"/>
      <c r="DB44" s="288">
        <f>flow!BB11</f>
        <v>202.5</v>
      </c>
      <c r="DC44" s="310">
        <f>(DB44/CX44-1)*100</f>
        <v>4.2965007880180206</v>
      </c>
      <c r="DD44" s="310"/>
      <c r="DE44" s="256"/>
      <c r="DF44" s="288">
        <f>flow!BD11</f>
        <v>208.5</v>
      </c>
      <c r="DG44" s="310">
        <f>(DF44/DB44-1)*100</f>
        <v>2.9629629629629672</v>
      </c>
      <c r="DH44" s="310"/>
      <c r="DI44" s="256"/>
      <c r="DJ44" s="288">
        <f>flow!BF11</f>
        <v>206.9</v>
      </c>
      <c r="DK44" s="310">
        <f>(DJ44/DF44-1)*100</f>
        <v>-0.76738609112709799</v>
      </c>
      <c r="DL44" s="310"/>
      <c r="DM44" s="256"/>
      <c r="DN44" s="288">
        <f>flow!BH11</f>
        <v>210.46173284360725</v>
      </c>
      <c r="DO44" s="310">
        <f>(DN44/DJ44-1)*100</f>
        <v>1.7214755164848938</v>
      </c>
      <c r="DP44" s="310"/>
      <c r="DQ44" s="256"/>
      <c r="DR44" s="256"/>
      <c r="DS44" s="256"/>
      <c r="DT44" s="256"/>
      <c r="DU44" s="256"/>
      <c r="DV44" s="256"/>
      <c r="DW44" s="256"/>
      <c r="DX44" s="256"/>
      <c r="DY44" s="256"/>
      <c r="DZ44" s="256"/>
      <c r="EA44" s="256"/>
    </row>
    <row r="45" spans="1:133" ht="11.25" customHeight="1" outlineLevel="1">
      <c r="A45" s="256" t="str">
        <f>$A$15</f>
        <v>6 Mos</v>
      </c>
      <c r="B45" s="256"/>
      <c r="C45" s="256"/>
      <c r="D45" s="289"/>
      <c r="E45" s="256"/>
      <c r="F45" s="289"/>
      <c r="G45" s="309"/>
      <c r="H45" s="310"/>
      <c r="I45" s="256"/>
      <c r="J45" s="289"/>
      <c r="K45" s="309"/>
      <c r="L45" s="310"/>
      <c r="M45" s="256"/>
      <c r="N45" s="289"/>
      <c r="O45" s="309"/>
      <c r="P45" s="310"/>
      <c r="Q45" s="256"/>
      <c r="R45" s="289"/>
      <c r="S45" s="309"/>
      <c r="T45" s="310"/>
      <c r="U45" s="256"/>
      <c r="V45" s="289"/>
      <c r="W45" s="309"/>
      <c r="X45" s="310"/>
      <c r="Y45" s="256"/>
      <c r="Z45" s="289"/>
      <c r="AA45" s="309"/>
      <c r="AB45" s="310"/>
      <c r="AC45" s="256"/>
      <c r="AD45" s="289"/>
      <c r="AE45" s="309"/>
      <c r="AF45" s="310"/>
      <c r="AG45" s="256"/>
      <c r="AH45" s="289"/>
      <c r="AI45" s="309"/>
      <c r="AJ45" s="310"/>
      <c r="AK45" s="256"/>
      <c r="AL45" s="289"/>
      <c r="AM45" s="309"/>
      <c r="AN45" s="310"/>
      <c r="AO45" s="256"/>
      <c r="AP45" s="289"/>
      <c r="AQ45" s="309"/>
      <c r="AR45" s="310"/>
      <c r="AS45" s="256"/>
      <c r="AT45" s="289"/>
      <c r="AU45" s="309"/>
      <c r="AV45" s="310"/>
      <c r="AW45" s="256"/>
      <c r="AX45" s="289"/>
      <c r="AY45" s="309"/>
      <c r="AZ45" s="310"/>
      <c r="BA45" s="256"/>
      <c r="BB45" s="289"/>
      <c r="BC45" s="309"/>
      <c r="BD45" s="310"/>
      <c r="BE45" s="256"/>
      <c r="BF45" s="289"/>
      <c r="BG45" s="309"/>
      <c r="BH45" s="310"/>
      <c r="BI45" s="256"/>
      <c r="BJ45" s="289"/>
      <c r="BK45" s="309"/>
      <c r="BL45" s="310"/>
      <c r="BM45" s="592"/>
      <c r="BN45" s="289"/>
      <c r="BO45" s="309"/>
      <c r="BP45" s="310"/>
      <c r="BQ45" s="849"/>
      <c r="BR45" s="289"/>
      <c r="BS45" s="309"/>
      <c r="BT45" s="310"/>
      <c r="BU45" s="256"/>
      <c r="BV45" s="289"/>
      <c r="BW45" s="309"/>
      <c r="BX45" s="310"/>
      <c r="BY45" s="256"/>
      <c r="BZ45" s="289"/>
      <c r="CA45" s="309"/>
      <c r="CB45" s="310"/>
      <c r="CC45" s="256"/>
      <c r="CD45" s="289"/>
      <c r="CE45" s="309"/>
      <c r="CF45" s="310"/>
      <c r="CG45" s="256"/>
      <c r="CH45" s="289"/>
      <c r="CI45" s="309"/>
      <c r="CJ45" s="310"/>
      <c r="CK45" s="256"/>
      <c r="CL45" s="289"/>
      <c r="CM45" s="309"/>
      <c r="CN45" s="310"/>
      <c r="CO45" s="256"/>
      <c r="CP45" s="289"/>
      <c r="CQ45" s="309"/>
      <c r="CR45" s="310"/>
      <c r="CS45" s="256"/>
      <c r="CT45" s="289"/>
      <c r="CU45" s="309"/>
      <c r="CV45" s="310"/>
      <c r="CW45" s="256"/>
      <c r="CX45" s="289"/>
      <c r="CY45" s="309"/>
      <c r="CZ45" s="310"/>
      <c r="DA45" s="256"/>
      <c r="DB45" s="289"/>
      <c r="DC45" s="310"/>
      <c r="DD45" s="310"/>
      <c r="DE45" s="256"/>
      <c r="DF45" s="289"/>
      <c r="DG45" s="310"/>
      <c r="DH45" s="310"/>
      <c r="DI45" s="256"/>
      <c r="DJ45" s="289"/>
      <c r="DK45" s="310"/>
      <c r="DL45" s="310"/>
      <c r="DM45" s="256"/>
      <c r="DN45" s="289"/>
      <c r="DO45" s="310"/>
      <c r="DP45" s="310"/>
      <c r="DQ45" s="256"/>
      <c r="DR45" s="256"/>
      <c r="DS45" s="256"/>
      <c r="DT45" s="256"/>
      <c r="DU45" s="256"/>
      <c r="DV45" s="256"/>
      <c r="DW45" s="256"/>
      <c r="DX45" s="256"/>
      <c r="DY45" s="256"/>
      <c r="DZ45" s="256"/>
      <c r="EA45" s="256"/>
    </row>
    <row r="46" spans="1:133" ht="12.75" customHeight="1" outlineLevel="1">
      <c r="A46" s="256"/>
      <c r="B46" s="256"/>
      <c r="C46" s="268"/>
      <c r="D46" s="268"/>
      <c r="E46" s="268" t="str">
        <f>Z46</f>
        <v xml:space="preserve">4.  Operating Income (% Operating Margin) </v>
      </c>
      <c r="F46" s="268"/>
      <c r="G46" s="256"/>
      <c r="H46" s="256"/>
      <c r="I46" s="256"/>
      <c r="J46" s="268"/>
      <c r="K46" s="256"/>
      <c r="L46" s="256"/>
      <c r="M46" s="256"/>
      <c r="N46" s="268"/>
      <c r="O46" s="256"/>
      <c r="P46" s="256"/>
      <c r="Q46" s="256"/>
      <c r="R46" s="268"/>
      <c r="S46" s="256"/>
      <c r="T46" s="256"/>
      <c r="U46" s="256"/>
      <c r="V46" s="268"/>
      <c r="W46" s="256"/>
      <c r="X46" s="256"/>
      <c r="Y46" s="256"/>
      <c r="Z46" s="271" t="s">
        <v>1539</v>
      </c>
      <c r="AA46" s="312"/>
      <c r="AB46" s="312"/>
      <c r="AC46" s="312"/>
      <c r="AD46" s="311"/>
      <c r="AE46" s="312"/>
      <c r="AF46" s="312"/>
      <c r="AG46" s="312"/>
      <c r="AH46" s="311"/>
      <c r="AI46" s="312"/>
      <c r="AJ46" s="312"/>
      <c r="AK46" s="312"/>
      <c r="AL46" s="311"/>
      <c r="AM46" s="312"/>
      <c r="AN46" s="312"/>
      <c r="AO46" s="312"/>
      <c r="AP46" s="256"/>
      <c r="AQ46" s="256"/>
      <c r="AR46" s="256"/>
      <c r="AS46" s="256"/>
      <c r="AT46" s="256"/>
      <c r="AU46" s="256"/>
      <c r="AV46" s="256"/>
      <c r="AW46" s="256"/>
      <c r="AX46" s="256"/>
      <c r="AY46" s="256"/>
      <c r="AZ46" s="256"/>
      <c r="BA46" s="256"/>
      <c r="BB46" s="311"/>
      <c r="BC46" s="311"/>
      <c r="BD46" s="311"/>
      <c r="BE46" s="311"/>
      <c r="BF46" s="311"/>
      <c r="BG46" s="311"/>
      <c r="BH46" s="311"/>
      <c r="BI46" s="311"/>
      <c r="BJ46" s="311" t="s">
        <v>1539</v>
      </c>
      <c r="BK46" s="311"/>
      <c r="BL46" s="311"/>
      <c r="BM46" s="311"/>
      <c r="BN46" s="311"/>
      <c r="BO46" s="311"/>
      <c r="BP46" s="311"/>
      <c r="BQ46" s="311"/>
      <c r="BR46" s="311"/>
      <c r="BS46" s="311"/>
      <c r="BT46" s="311"/>
      <c r="BU46" s="311"/>
      <c r="BV46" s="311" t="s">
        <v>1539</v>
      </c>
      <c r="BW46" s="311"/>
      <c r="BX46" s="311"/>
      <c r="BY46" s="311"/>
      <c r="BZ46" s="311"/>
      <c r="CA46" s="311"/>
      <c r="CB46" s="311"/>
      <c r="CC46" s="311"/>
      <c r="CF46" s="311"/>
      <c r="CG46" s="311"/>
      <c r="CH46" s="311"/>
      <c r="CJ46" s="311"/>
      <c r="CK46" s="311"/>
      <c r="CM46" s="311"/>
      <c r="CN46" s="311"/>
      <c r="CO46" s="311"/>
      <c r="CP46" s="311"/>
      <c r="CR46" s="311"/>
      <c r="CS46" s="881"/>
      <c r="CT46" s="311"/>
      <c r="CU46" s="311"/>
      <c r="CV46" s="311"/>
      <c r="CW46" s="881"/>
      <c r="CX46" s="311"/>
      <c r="CY46" s="311"/>
      <c r="CZ46" s="311"/>
      <c r="DA46" s="881"/>
      <c r="DB46" s="311" t="s">
        <v>1539</v>
      </c>
      <c r="DC46" s="311"/>
      <c r="DD46" s="311"/>
      <c r="DE46" s="881"/>
      <c r="DF46" s="311"/>
      <c r="DG46" s="311"/>
      <c r="DH46" s="311"/>
      <c r="DI46" s="881"/>
      <c r="DJ46" s="311"/>
      <c r="DK46" s="311"/>
      <c r="DL46" s="311"/>
      <c r="DM46" s="881"/>
      <c r="DN46" s="311"/>
      <c r="DO46" s="311"/>
      <c r="DP46" s="311"/>
      <c r="DQ46" s="881"/>
      <c r="DR46" s="881"/>
      <c r="DS46" s="881"/>
      <c r="DT46" s="881"/>
      <c r="DU46" s="881"/>
      <c r="DV46" s="881"/>
      <c r="DW46" s="881"/>
      <c r="DX46" s="881"/>
      <c r="DY46" s="881"/>
      <c r="DZ46" s="881"/>
      <c r="EA46" s="881"/>
    </row>
    <row r="47" spans="1:133" outlineLevel="1">
      <c r="A47" s="256"/>
      <c r="B47" s="256"/>
      <c r="C47" s="256"/>
      <c r="D47" s="256"/>
      <c r="E47" s="256"/>
      <c r="F47" s="256"/>
      <c r="G47" s="256"/>
      <c r="H47" s="256"/>
      <c r="I47" s="256"/>
      <c r="J47" s="256"/>
      <c r="K47" s="256"/>
      <c r="L47" s="256"/>
      <c r="M47" s="256"/>
      <c r="N47" s="256"/>
      <c r="O47" s="256"/>
      <c r="P47" s="256"/>
      <c r="Q47" s="256"/>
      <c r="R47" s="256"/>
      <c r="S47" s="256"/>
      <c r="T47" s="256"/>
      <c r="U47" s="256"/>
      <c r="V47" s="256"/>
      <c r="W47" s="256"/>
      <c r="X47" s="256"/>
      <c r="Y47" s="256"/>
      <c r="Z47" s="256"/>
      <c r="AA47" s="256"/>
      <c r="AB47" s="256"/>
      <c r="AC47" s="256"/>
      <c r="AD47" s="256"/>
      <c r="AE47" s="256"/>
      <c r="AF47" s="256"/>
      <c r="AG47" s="256"/>
      <c r="AH47" s="256"/>
      <c r="AI47" s="256"/>
      <c r="AJ47" s="256"/>
      <c r="AK47" s="256"/>
      <c r="AL47" s="256"/>
      <c r="AM47" s="256"/>
      <c r="AN47" s="256"/>
      <c r="AO47" s="256"/>
      <c r="AP47" s="256"/>
      <c r="AQ47" s="256"/>
      <c r="AR47" s="256"/>
      <c r="AS47" s="256"/>
      <c r="AT47" s="256"/>
      <c r="AU47" s="256"/>
      <c r="AV47" s="256"/>
      <c r="AW47" s="256"/>
      <c r="AX47" s="256"/>
      <c r="AY47" s="256"/>
      <c r="AZ47" s="256"/>
      <c r="BA47" s="256"/>
      <c r="BB47" s="256"/>
      <c r="BC47" s="256"/>
      <c r="BD47" s="256"/>
      <c r="BE47" s="256"/>
      <c r="BF47" s="256"/>
      <c r="BG47" s="256"/>
      <c r="BH47" s="256"/>
      <c r="BI47" s="256"/>
      <c r="BJ47" s="256"/>
      <c r="BK47" s="256"/>
      <c r="BL47" s="256"/>
      <c r="BM47" s="587"/>
      <c r="BN47" s="256"/>
      <c r="BO47" s="256"/>
      <c r="BP47" s="256"/>
      <c r="BQ47" s="599"/>
      <c r="BR47" s="256"/>
      <c r="BS47" s="256"/>
      <c r="BT47" s="256"/>
      <c r="BU47" s="256"/>
      <c r="BV47" s="256"/>
      <c r="BW47" s="1015"/>
      <c r="BX47" s="256"/>
      <c r="BY47" s="256"/>
      <c r="BZ47" s="256"/>
      <c r="CA47" s="1015"/>
      <c r="CB47" s="256"/>
      <c r="CC47" s="256"/>
      <c r="CD47" s="256"/>
      <c r="CE47" s="1015"/>
      <c r="CF47" s="256"/>
      <c r="CG47" s="256"/>
      <c r="CH47" s="256"/>
      <c r="CI47" s="1015"/>
      <c r="CJ47" s="256"/>
      <c r="CK47" s="256"/>
      <c r="CL47" s="256"/>
      <c r="CM47" s="1015"/>
      <c r="CN47" s="256"/>
      <c r="CO47" s="256"/>
      <c r="CP47" s="256"/>
      <c r="CQ47" s="1015"/>
      <c r="CR47" s="256"/>
      <c r="CS47" s="256"/>
      <c r="CT47" s="256"/>
      <c r="CU47" s="1015"/>
      <c r="CV47" s="256"/>
      <c r="CW47" s="256"/>
      <c r="CX47" s="256"/>
      <c r="CY47" s="1015"/>
      <c r="CZ47" s="256"/>
      <c r="DA47" s="256"/>
      <c r="DB47" s="256"/>
      <c r="DC47" s="1015"/>
      <c r="DD47" s="256"/>
      <c r="DE47" s="256"/>
      <c r="DF47" s="256"/>
      <c r="DG47" s="1015"/>
      <c r="DH47" s="256"/>
      <c r="DI47" s="256"/>
      <c r="DJ47" s="256"/>
      <c r="DK47" s="1015"/>
      <c r="DL47" s="256"/>
      <c r="DM47" s="256"/>
      <c r="DN47" s="256"/>
      <c r="DO47" s="1015"/>
      <c r="DP47" s="256"/>
      <c r="DQ47" s="256"/>
      <c r="DR47" s="256"/>
      <c r="DS47" s="256"/>
      <c r="DT47" s="256"/>
      <c r="DU47" s="256"/>
      <c r="DV47" s="256"/>
      <c r="DW47" s="256"/>
      <c r="DX47" s="256"/>
      <c r="DY47" s="256"/>
      <c r="DZ47" s="256"/>
      <c r="EA47" s="256"/>
    </row>
    <row r="48" spans="1:133" outlineLevel="1">
      <c r="A48" s="256" t="str">
        <f>$A$10</f>
        <v>1Q</v>
      </c>
      <c r="B48" s="256" t="str">
        <f>$B$10</f>
        <v>Apr</v>
      </c>
      <c r="C48" s="256"/>
      <c r="D48" s="305">
        <f>D10-D20-D30-D40</f>
        <v>0</v>
      </c>
      <c r="E48" s="256"/>
      <c r="F48" s="305">
        <f>F10-F20-F30-F40</f>
        <v>0</v>
      </c>
      <c r="G48" s="309"/>
      <c r="H48" s="310"/>
      <c r="I48" s="256"/>
      <c r="J48" s="305">
        <f>J10-J20-J30</f>
        <v>8.7700000000000102</v>
      </c>
      <c r="K48" s="309">
        <f t="shared" ref="K48:K54" si="99">J48/J10*100</f>
        <v>9.0314607898666495</v>
      </c>
      <c r="L48" s="310"/>
      <c r="M48" s="256"/>
      <c r="N48" s="305">
        <f>N10-N20-N30</f>
        <v>6.9980000000000189</v>
      </c>
      <c r="O48" s="309">
        <f t="shared" ref="O48:O54" si="100">N48/N10*100</f>
        <v>6.5256718700460823</v>
      </c>
      <c r="P48" s="310">
        <f t="shared" ref="P48:P54" si="101">IF(J48&lt;0,"       NM",(N48/J48-1)*100)</f>
        <v>-20.205245153933749</v>
      </c>
      <c r="Q48" s="256"/>
      <c r="R48" s="305">
        <f>R10-R20-R30</f>
        <v>3.7049999999999912</v>
      </c>
      <c r="S48" s="309">
        <f t="shared" ref="S48:S54" si="102">R48/R10*100</f>
        <v>3.384148847745263</v>
      </c>
      <c r="T48" s="310">
        <f t="shared" ref="T48:T54" si="103">IF(N48&lt;0,"       NM",(R48/N48-1)*100)</f>
        <v>-47.056301800514703</v>
      </c>
      <c r="U48" s="256"/>
      <c r="V48" s="305">
        <f>V10-V20-V30</f>
        <v>6.1139999999999901</v>
      </c>
      <c r="W48" s="309">
        <f t="shared" ref="W48:W54" si="104">V48/V10*100</f>
        <v>4.6598123575723784</v>
      </c>
      <c r="X48" s="310">
        <f t="shared" ref="X48:X54" si="105">IF(R48&lt;0,"       NM",(V48/R48-1)*100)</f>
        <v>65.020242914979875</v>
      </c>
      <c r="Y48" s="256"/>
      <c r="Z48" s="305">
        <f>Z10-Z20-Z30</f>
        <v>6.7569999999999908</v>
      </c>
      <c r="AA48" s="309">
        <f t="shared" ref="AA48:AA54" si="106">Z48/Z10*100</f>
        <v>4.5003463341858421</v>
      </c>
      <c r="AB48" s="310">
        <f t="shared" ref="AB48:AB54" si="107">IF(V48&lt;0,"       NM",(Z48/V48-1)*100)</f>
        <v>10.516846581616001</v>
      </c>
      <c r="AC48" s="256"/>
      <c r="AD48" s="305">
        <f>AD10-AD20-AD30</f>
        <v>12.27800000000002</v>
      </c>
      <c r="AE48" s="309">
        <f t="shared" ref="AE48:AE54" si="108">AD48/AD10*100</f>
        <v>6.7931459934381353</v>
      </c>
      <c r="AF48" s="310">
        <f t="shared" ref="AF48:AF54" si="109">IF(Z48&lt;0,"       NM",(AD48/Z48-1)*100)</f>
        <v>81.707858517093925</v>
      </c>
      <c r="AG48" s="256"/>
      <c r="AH48" s="305">
        <f>AH10-AH20-AH30</f>
        <v>16.703000000000017</v>
      </c>
      <c r="AI48" s="309">
        <f t="shared" ref="AI48:AI54" si="110">AH48/AH10*100</f>
        <v>8.3640879523683225</v>
      </c>
      <c r="AJ48" s="310">
        <f t="shared" ref="AJ48:AJ54" si="111">IF(AD48&lt;0,"       NM",(AH48/AD48-1)*100)</f>
        <v>36.040071672910813</v>
      </c>
      <c r="AK48" s="256"/>
      <c r="AL48" s="305">
        <f>AL10-AL20-AL30</f>
        <v>20.465999999999994</v>
      </c>
      <c r="AM48" s="309">
        <f t="shared" ref="AM48:AM54" si="112">AL48/AL10*100</f>
        <v>9.0493856092395148</v>
      </c>
      <c r="AN48" s="310">
        <f t="shared" ref="AN48:AN54" si="113">IF(AH48&lt;0,"       NM",(AL48/AH48-1)*100)</f>
        <v>22.52888702628255</v>
      </c>
      <c r="AO48" s="256"/>
      <c r="AP48" s="305">
        <f>AP10-AP20-AP30</f>
        <v>29.438999999999993</v>
      </c>
      <c r="AQ48" s="309">
        <f t="shared" ref="AQ48:AQ54" si="114">AP48/AP10*100</f>
        <v>10.812150861071627</v>
      </c>
      <c r="AR48" s="310">
        <f t="shared" ref="AR48:AR54" si="115">IF(AL48&lt;0,"       NM",(AP48/AL48-1)*100)</f>
        <v>43.843447669305192</v>
      </c>
      <c r="AS48" s="256"/>
      <c r="AT48" s="305">
        <f>AT10-AT20-AT30</f>
        <v>53.394999999999982</v>
      </c>
      <c r="AU48" s="309">
        <f t="shared" ref="AU48:AU54" si="116">AT48/AT10*100</f>
        <v>15.47039922582813</v>
      </c>
      <c r="AV48" s="310">
        <f t="shared" ref="AV48:AV54" si="117">IF(AP48&lt;0,"       NM",(AT48/AP48-1)*100)</f>
        <v>81.375046706749529</v>
      </c>
      <c r="AW48" s="256"/>
      <c r="AX48" s="305">
        <f>AX10-AX20-AX30</f>
        <v>49.221000000000004</v>
      </c>
      <c r="AY48" s="309">
        <f t="shared" ref="AY48:AY54" si="118">AX48/AX10*100</f>
        <v>14.631644971328861</v>
      </c>
      <c r="AZ48" s="310">
        <f t="shared" ref="AZ48:AZ54" si="119">IF(AT48&lt;0,"       NM",(AX48/AT48-1)*100)</f>
        <v>-7.8172113493772404</v>
      </c>
      <c r="BA48" s="256"/>
      <c r="BB48" s="305">
        <f>BB10-BB20-BB30</f>
        <v>58.566000000000031</v>
      </c>
      <c r="BC48" s="309">
        <f t="shared" ref="BC48:BC54" si="120">BB48/BB10*100</f>
        <v>16.871537670433767</v>
      </c>
      <c r="BD48" s="310">
        <f t="shared" ref="BD48:BD54" si="121">IF(AX48&lt;0,"       NM",(BB48/AX48-1)*100)</f>
        <v>18.985798744438398</v>
      </c>
      <c r="BE48" s="256"/>
      <c r="BF48" s="305">
        <f>BF10-BF20-BF30</f>
        <v>58.968999999999994</v>
      </c>
      <c r="BG48" s="309">
        <f t="shared" ref="BG48:BG54" si="122">BF48/BF10*100</f>
        <v>14.897218313506247</v>
      </c>
      <c r="BH48" s="310">
        <f t="shared" ref="BH48:BH54" si="123">IF(BB48&lt;0,"       NM",(BF48/BB48-1)*100)</f>
        <v>0.68811255677350136</v>
      </c>
      <c r="BI48" s="256"/>
      <c r="BJ48" s="305">
        <f>BJ10-BJ20-BJ30</f>
        <v>62.694999999999965</v>
      </c>
      <c r="BK48" s="309">
        <f t="shared" ref="BK48:BK54" si="124">BJ48/BJ10*100</f>
        <v>13.720019257703076</v>
      </c>
      <c r="BL48" s="310">
        <f t="shared" ref="BL48:BL54" si="125">IF(BF48&lt;0,"       NM",(BJ48/BF48-1)*100)</f>
        <v>6.3185741660872097</v>
      </c>
      <c r="BM48" s="592"/>
      <c r="BN48" s="305">
        <f>BN10-BN20-BN30</f>
        <v>66.311000000000035</v>
      </c>
      <c r="BO48" s="309">
        <f t="shared" ref="BO48:BO54" si="126">BN48/BN10*100</f>
        <v>13.00468130087998</v>
      </c>
      <c r="BP48" s="310">
        <f>IF(BJ48&lt;0,"       NM",(BN48/BJ48-1)*100)</f>
        <v>5.7676050721749306</v>
      </c>
      <c r="BQ48" s="849"/>
      <c r="BR48" s="305">
        <f>BR10-BR20-BR30</f>
        <v>74.932999999999907</v>
      </c>
      <c r="BS48" s="309">
        <f t="shared" ref="BS48:BS54" si="127">BR48/BR10*100</f>
        <v>14.54004610405233</v>
      </c>
      <c r="BT48" s="310">
        <f>IF(BN48&lt;0,"       NM",(BR48/BN48-1)*100)</f>
        <v>13.002367631312861</v>
      </c>
      <c r="BU48" s="256"/>
      <c r="BV48" s="305">
        <f>BV10-BV20-BV30</f>
        <v>87.91700000000003</v>
      </c>
      <c r="BW48" s="309">
        <f t="shared" ref="BW48:BW54" si="128">BV48/BV10*100</f>
        <v>14.757884877184093</v>
      </c>
      <c r="BX48" s="310">
        <f>IF(BR48&lt;0,"       NM",(BV48/BR48-1)*100)</f>
        <v>17.327479214765383</v>
      </c>
      <c r="BY48" s="256"/>
      <c r="BZ48" s="305">
        <f>BZ10-BZ20-BZ30</f>
        <v>106.68600000000004</v>
      </c>
      <c r="CA48" s="309">
        <f t="shared" ref="CA48:CA54" si="129">BZ48/BZ10*100</f>
        <v>16.031435956001687</v>
      </c>
      <c r="CB48" s="310">
        <f>IF(BV48&lt;0,"       NM",(BZ48/BV48-1)*100)</f>
        <v>21.34854465006768</v>
      </c>
      <c r="CC48" s="256"/>
      <c r="CD48" s="305">
        <f>CD10-CD20-CD30</f>
        <v>59.51400000000001</v>
      </c>
      <c r="CE48" s="309">
        <f t="shared" ref="CE48:CE54" si="130">CD48/CD10*100</f>
        <v>11.497734802894044</v>
      </c>
      <c r="CF48" s="310">
        <f>IF(BZ48&lt;0,"       NM",(CD48/BZ48-1)*100)</f>
        <v>-44.215735897868527</v>
      </c>
      <c r="CG48" s="256"/>
      <c r="CH48" s="305">
        <f>CH10-CH20-CH30</f>
        <v>106.27700000000004</v>
      </c>
      <c r="CI48" s="309">
        <f t="shared" ref="CI48:CI54" si="131">CH48/CH10*100</f>
        <v>16.773887049271931</v>
      </c>
      <c r="CJ48" s="310">
        <f>IF(CD48&lt;0,"       NM",(CH48/CD48-1)*100)</f>
        <v>78.574789125247889</v>
      </c>
      <c r="CK48" s="256"/>
      <c r="CL48" s="305">
        <f>CL10-CL20-CL30</f>
        <v>144.18700000000007</v>
      </c>
      <c r="CM48" s="309">
        <f t="shared" ref="CM48:CM54" si="132">CL48/CL10*100</f>
        <v>18.946595218509952</v>
      </c>
      <c r="CN48" s="310">
        <f>IF(CH48&lt;0,"       NM",(CL48/CH48-1)*100)</f>
        <v>35.67093538583137</v>
      </c>
      <c r="CO48" s="256"/>
      <c r="CP48" s="305">
        <f>CP10-CP20-CP30</f>
        <v>134.98499999999996</v>
      </c>
      <c r="CQ48" s="309">
        <f t="shared" ref="CQ48:CQ54" si="133">CP48/CP10*100</f>
        <v>16.478264584884698</v>
      </c>
      <c r="CR48" s="310">
        <f>IF(CL48&lt;0,"       NM",(CP48/CL48-1)*100)</f>
        <v>-6.3819900545819763</v>
      </c>
      <c r="CS48" s="256"/>
      <c r="CT48" s="305">
        <f>CT10-CT20-CT30</f>
        <v>150.55800000000005</v>
      </c>
      <c r="CU48" s="309">
        <f t="shared" ref="CU48:CU54" si="134">CT48/CT10*100</f>
        <v>16.813030718583473</v>
      </c>
      <c r="CV48" s="310">
        <f t="shared" ref="CV48:CV54" si="135">IF(CP48&lt;0,"       NM",(CT48/CP48-1)*100)</f>
        <v>11.536837426380785</v>
      </c>
      <c r="CW48" s="256"/>
      <c r="CX48" s="305">
        <f>CX10-CX20-CX30</f>
        <v>209.79299999999995</v>
      </c>
      <c r="CY48" s="309">
        <f t="shared" ref="CY48:CY54" si="136">CX48/CX10*100</f>
        <v>20.727829966842265</v>
      </c>
      <c r="CZ48" s="310">
        <f t="shared" ref="CZ48:CZ54" si="137">IF(CT48&lt;0,"       NM",(CX48/CT48-1)*100)</f>
        <v>39.343641653050575</v>
      </c>
      <c r="DA48" s="256"/>
      <c r="DB48" s="305">
        <f>DB10-DB20-DB30</f>
        <v>170</v>
      </c>
      <c r="DC48" s="309">
        <f t="shared" ref="DC48:DC54" si="138">DB48/DB10*100</f>
        <v>17.664172901080633</v>
      </c>
      <c r="DD48" s="310">
        <f>IF(CX48&lt;0,"       NM",(DB48/CX48-1)*100)</f>
        <v>-18.967744395666188</v>
      </c>
      <c r="DE48" s="256"/>
      <c r="DF48" s="305">
        <f>DF10-DF20-DF30</f>
        <v>134.59999999999991</v>
      </c>
      <c r="DG48" s="309">
        <f t="shared" ref="DG48:DG54" si="139">DF48/DF10*100</f>
        <v>15.101537080668676</v>
      </c>
      <c r="DH48" s="310">
        <f>IF(DB48&lt;0,"       NM",(DF48/DB48-1)*100)</f>
        <v>-20.823529411764763</v>
      </c>
      <c r="DI48" s="256"/>
      <c r="DJ48" s="305">
        <f>DJ10-DJ20-DJ30</f>
        <v>145.60000000000002</v>
      </c>
      <c r="DK48" s="309">
        <f t="shared" ref="DK48:DK54" si="140">DJ48/DJ10*100</f>
        <v>16.184971098265898</v>
      </c>
      <c r="DL48" s="310">
        <f>IF(DF48&lt;0,"       NM",(DJ48/DF48-1)*100)</f>
        <v>8.1723625557207349</v>
      </c>
      <c r="DM48" s="256"/>
      <c r="DN48" s="305">
        <f>DN10-DN20-DN30</f>
        <v>165.49613127810642</v>
      </c>
      <c r="DO48" s="309">
        <f t="shared" ref="DO48:DO54" si="141">DN48/DN10*100</f>
        <v>17.199999999999989</v>
      </c>
      <c r="DP48" s="310">
        <f>IF(DJ48&lt;0,"       NM",(DN48/DJ48-1)*100)</f>
        <v>13.664925328369781</v>
      </c>
      <c r="DQ48" s="256"/>
      <c r="DR48" s="256"/>
      <c r="DS48" s="1015"/>
      <c r="DT48" s="256"/>
      <c r="DU48" s="1234"/>
      <c r="DV48" s="256"/>
      <c r="DW48" s="256"/>
      <c r="DX48" s="256"/>
      <c r="DY48" s="1234"/>
      <c r="DZ48" s="256"/>
      <c r="EA48" s="256"/>
    </row>
    <row r="49" spans="1:131" outlineLevel="1">
      <c r="A49" s="256" t="str">
        <f>$A$11</f>
        <v>2Q</v>
      </c>
      <c r="B49" s="256" t="str">
        <f>$B$11</f>
        <v>Jul</v>
      </c>
      <c r="C49" s="256"/>
      <c r="D49" s="289">
        <f>D11-D21-D31-D41</f>
        <v>0</v>
      </c>
      <c r="E49" s="256"/>
      <c r="F49" s="289">
        <f>F11-F21-F31-F41</f>
        <v>0</v>
      </c>
      <c r="G49" s="309"/>
      <c r="H49" s="310"/>
      <c r="I49" s="256"/>
      <c r="J49" s="289">
        <f>J11-J21-J31</f>
        <v>13.772999999999996</v>
      </c>
      <c r="K49" s="309">
        <f t="shared" si="99"/>
        <v>11.537881580270076</v>
      </c>
      <c r="L49" s="310"/>
      <c r="M49" s="256"/>
      <c r="N49" s="289">
        <f>N11-N21-N31</f>
        <v>8.5529999999999973</v>
      </c>
      <c r="O49" s="309">
        <f t="shared" si="100"/>
        <v>7.0785400976578634</v>
      </c>
      <c r="P49" s="310">
        <f t="shared" si="101"/>
        <v>-37.900239599215858</v>
      </c>
      <c r="Q49" s="256"/>
      <c r="R49" s="289">
        <f>R11-R21-R31</f>
        <v>1.8250000000000028</v>
      </c>
      <c r="S49" s="309">
        <f t="shared" si="102"/>
        <v>1.5976118984881802</v>
      </c>
      <c r="T49" s="310">
        <f t="shared" si="103"/>
        <v>-78.662457617210293</v>
      </c>
      <c r="U49" s="256"/>
      <c r="V49" s="289">
        <f>V11-V21-V31</f>
        <v>9.0180000000000149</v>
      </c>
      <c r="W49" s="309">
        <f t="shared" si="104"/>
        <v>5.9228803930197067</v>
      </c>
      <c r="X49" s="310">
        <f t="shared" si="105"/>
        <v>394.13698630136997</v>
      </c>
      <c r="Y49" s="256"/>
      <c r="Z49" s="289">
        <f>Z11-Z21-Z31</f>
        <v>12.566999999999993</v>
      </c>
      <c r="AA49" s="309">
        <f t="shared" si="106"/>
        <v>6.8046696483685443</v>
      </c>
      <c r="AB49" s="310">
        <f t="shared" si="107"/>
        <v>39.354624085162705</v>
      </c>
      <c r="AC49" s="256"/>
      <c r="AD49" s="289">
        <f>AD11-AD21-AD31</f>
        <v>16.878</v>
      </c>
      <c r="AE49" s="309">
        <f t="shared" si="108"/>
        <v>8.3240038863106189</v>
      </c>
      <c r="AF49" s="310">
        <f t="shared" si="109"/>
        <v>34.304129863929411</v>
      </c>
      <c r="AG49" s="256"/>
      <c r="AH49" s="289">
        <f>AH11-AH21-AH31</f>
        <v>19.24499999999999</v>
      </c>
      <c r="AI49" s="309">
        <f t="shared" si="110"/>
        <v>8.8625782296948135</v>
      </c>
      <c r="AJ49" s="310">
        <f t="shared" si="111"/>
        <v>14.024173480270118</v>
      </c>
      <c r="AK49" s="256"/>
      <c r="AL49" s="289">
        <f>AL11-AL21-AL31</f>
        <v>24.980000000000004</v>
      </c>
      <c r="AM49" s="309">
        <f t="shared" si="112"/>
        <v>10.083884354235797</v>
      </c>
      <c r="AN49" s="310">
        <f t="shared" si="113"/>
        <v>29.799948038451628</v>
      </c>
      <c r="AO49" s="315"/>
      <c r="AP49" s="289">
        <f>AP11-AP21-AP31</f>
        <v>41.953000000000003</v>
      </c>
      <c r="AQ49" s="309">
        <f t="shared" si="114"/>
        <v>13.662490596514768</v>
      </c>
      <c r="AR49" s="310">
        <f t="shared" si="115"/>
        <v>67.946357085668524</v>
      </c>
      <c r="AS49" s="256"/>
      <c r="AT49" s="288">
        <f>AT11-AT21-AT31</f>
        <v>67.07699999999997</v>
      </c>
      <c r="AU49" s="309">
        <f t="shared" si="116"/>
        <v>17.913568773234193</v>
      </c>
      <c r="AV49" s="310">
        <f t="shared" si="117"/>
        <v>59.886062975234111</v>
      </c>
      <c r="AW49" s="256"/>
      <c r="AX49" s="289">
        <f>AX11-AX21-AX31</f>
        <v>65.669999999999987</v>
      </c>
      <c r="AY49" s="309">
        <f t="shared" si="118"/>
        <v>17.686459233883021</v>
      </c>
      <c r="AZ49" s="310">
        <f t="shared" si="119"/>
        <v>-2.0975893376268817</v>
      </c>
      <c r="BA49" s="256"/>
      <c r="BB49" s="289">
        <f>BB11-BB21-BB31</f>
        <v>59.078000000000003</v>
      </c>
      <c r="BC49" s="309">
        <f t="shared" si="120"/>
        <v>15.778242487854776</v>
      </c>
      <c r="BD49" s="310">
        <f t="shared" si="121"/>
        <v>-10.0380691335465</v>
      </c>
      <c r="BE49" s="256"/>
      <c r="BF49" s="289">
        <f>BF11-BF21-BF31</f>
        <v>68.453000000000003</v>
      </c>
      <c r="BG49" s="309">
        <f t="shared" si="122"/>
        <v>15.469779319540333</v>
      </c>
      <c r="BH49" s="310">
        <f t="shared" si="123"/>
        <v>15.86885134906395</v>
      </c>
      <c r="BI49" s="256"/>
      <c r="BJ49" s="289">
        <f>BJ11-BJ21-BJ31</f>
        <v>58.169999999999931</v>
      </c>
      <c r="BK49" s="309">
        <f t="shared" si="124"/>
        <v>12.205280352163344</v>
      </c>
      <c r="BL49" s="310">
        <f t="shared" si="125"/>
        <v>-15.02198588812772</v>
      </c>
      <c r="BM49" s="592"/>
      <c r="BN49" s="289">
        <f>BN11-BN21-BN31</f>
        <v>74.068000000000069</v>
      </c>
      <c r="BO49" s="309">
        <f t="shared" si="126"/>
        <v>14.062627562886737</v>
      </c>
      <c r="BP49" s="310">
        <f t="shared" ref="BP49:BP54" si="142">IF(BJ49&lt;0,"       NM",(BN49/BJ49-1)*100)</f>
        <v>27.330238954787966</v>
      </c>
      <c r="BQ49" s="849"/>
      <c r="BR49" s="289">
        <f>BR11-BR21-BR31</f>
        <v>76.878000000000043</v>
      </c>
      <c r="BS49" s="309">
        <f t="shared" si="127"/>
        <v>13.860457904614931</v>
      </c>
      <c r="BT49" s="310">
        <f t="shared" ref="BT49:BT54" si="143">IF(BN49&lt;0,"       NM",(BR49/BN49-1)*100)</f>
        <v>3.7938110925095359</v>
      </c>
      <c r="BU49" s="256"/>
      <c r="BV49" s="289">
        <f>BV11-BV21-BV31</f>
        <v>112.78699999999998</v>
      </c>
      <c r="BW49" s="309">
        <f t="shared" si="128"/>
        <v>17.022859747465137</v>
      </c>
      <c r="BX49" s="310">
        <f t="shared" ref="BX49:BX54" si="144">IF(BR49&lt;0,"       NM",(BV49/BR49-1)*100)</f>
        <v>46.709071515908221</v>
      </c>
      <c r="BY49" s="256"/>
      <c r="BZ49" s="289">
        <f>BZ11-BZ21-BZ31</f>
        <v>134.32900000000001</v>
      </c>
      <c r="CA49" s="309">
        <f t="shared" si="129"/>
        <v>18.410463328189202</v>
      </c>
      <c r="CB49" s="310">
        <f t="shared" ref="CB49:CB54" si="145">IF(BV49&lt;0,"       NM",(BZ49/BV49-1)*100)</f>
        <v>19.099718939239473</v>
      </c>
      <c r="CC49" s="256"/>
      <c r="CD49" s="289">
        <f>CD11-CD21-CD31</f>
        <v>85.112000000000052</v>
      </c>
      <c r="CE49" s="309">
        <f t="shared" si="130"/>
        <v>13.895995546071555</v>
      </c>
      <c r="CF49" s="310">
        <f t="shared" ref="CF49:CF54" si="146">IF(BZ49&lt;0,"       NM",(CD49/BZ49-1)*100)</f>
        <v>-36.639147168519045</v>
      </c>
      <c r="CG49" s="256"/>
      <c r="CH49" s="289">
        <f>CH11-CH21-CH31</f>
        <v>117.55099999999999</v>
      </c>
      <c r="CI49" s="309">
        <f t="shared" si="131"/>
        <v>17.57745678569292</v>
      </c>
      <c r="CJ49" s="310">
        <f t="shared" ref="CJ49:CJ54" si="147">IF(CD49&lt;0,"       NM",(CH49/CD49-1)*100)</f>
        <v>38.11330952157148</v>
      </c>
      <c r="CK49" s="256"/>
      <c r="CL49" s="289">
        <f>CL11-CL21-CL31</f>
        <v>175.03700000000003</v>
      </c>
      <c r="CM49" s="309">
        <f t="shared" si="132"/>
        <v>20.05667390846007</v>
      </c>
      <c r="CN49" s="310">
        <f t="shared" ref="CN49:CN54" si="148">IF(CH49&lt;0,"       NM",(CL49/CH49-1)*100)</f>
        <v>48.903029323442638</v>
      </c>
      <c r="CO49" s="256"/>
      <c r="CP49" s="289">
        <f>CP11-CP21-CP31</f>
        <v>154.57999999999998</v>
      </c>
      <c r="CQ49" s="309">
        <f t="shared" si="133"/>
        <v>17.435755141449789</v>
      </c>
      <c r="CR49" s="310">
        <f t="shared" ref="CR49:CR54" si="149">IF(CL49&lt;0,"       NM",(CP49/CL49-1)*100)</f>
        <v>-11.687243268566105</v>
      </c>
      <c r="CS49" s="256"/>
      <c r="CT49" s="289">
        <f>CT11-CT21-CT31</f>
        <v>176.88600000000002</v>
      </c>
      <c r="CU49" s="309">
        <f t="shared" si="134"/>
        <v>19.104553054162295</v>
      </c>
      <c r="CV49" s="310">
        <f t="shared" si="135"/>
        <v>14.430068572907251</v>
      </c>
      <c r="CW49" s="256"/>
      <c r="CX49" s="289">
        <f>CX11-CX21-CX31</f>
        <v>208.52100000000002</v>
      </c>
      <c r="CY49" s="309">
        <f t="shared" si="136"/>
        <v>21.000574058594264</v>
      </c>
      <c r="CZ49" s="310">
        <f t="shared" si="137"/>
        <v>17.884400122112542</v>
      </c>
      <c r="DA49" s="256"/>
      <c r="DB49" s="289">
        <f>DB11-DB21-DB31</f>
        <v>182.40000000000003</v>
      </c>
      <c r="DC49" s="309">
        <f t="shared" si="138"/>
        <v>18.414941948510858</v>
      </c>
      <c r="DD49" s="310">
        <f>IF(CX49&lt;0,"       NM",(DB49/CX49-1)*100)</f>
        <v>-12.526795862287244</v>
      </c>
      <c r="DE49" s="256"/>
      <c r="DF49" s="289">
        <f>DF11-DF21-DF31</f>
        <v>174.90000000000003</v>
      </c>
      <c r="DG49" s="309">
        <f>DF49/DF11*100</f>
        <v>18.774151996565053</v>
      </c>
      <c r="DH49" s="310">
        <f>IF(DB49&lt;0,"       NM",(DF49/DB49-1)*100)</f>
        <v>-4.1118421052631522</v>
      </c>
      <c r="DI49" s="256"/>
      <c r="DJ49" s="289">
        <f>DJ11-DJ21-DJ31</f>
        <v>181.30000000000007</v>
      </c>
      <c r="DK49" s="309">
        <f t="shared" si="140"/>
        <v>18.891320204230492</v>
      </c>
      <c r="DL49" s="310">
        <f>IF(DF49&lt;0,"       NM",(DJ49/DF49-1)*100)</f>
        <v>3.6592338479131126</v>
      </c>
      <c r="DM49" s="256"/>
      <c r="DN49" s="289">
        <f>DN11-DN21-DN31</f>
        <v>177.43075474903077</v>
      </c>
      <c r="DO49" s="309">
        <f t="shared" si="141"/>
        <v>17.499999999999996</v>
      </c>
      <c r="DP49" s="310">
        <f>IF(DJ49&lt;0,"       NM",(DN49/DJ49-1)*100)</f>
        <v>-2.1341672647376186</v>
      </c>
      <c r="DQ49" s="256"/>
      <c r="DR49" s="256"/>
      <c r="DS49" s="256"/>
      <c r="DT49" s="256"/>
      <c r="DU49" s="1234"/>
      <c r="DV49" s="256"/>
      <c r="DW49" s="256"/>
      <c r="DX49" s="256"/>
      <c r="DY49" s="1234"/>
      <c r="DZ49" s="256"/>
      <c r="EA49" s="256"/>
    </row>
    <row r="50" spans="1:131" outlineLevel="1">
      <c r="A50" s="256" t="str">
        <f>$A$12</f>
        <v>3Q</v>
      </c>
      <c r="B50" s="256" t="str">
        <f>$B$12</f>
        <v>Oct</v>
      </c>
      <c r="C50" s="256"/>
      <c r="D50" s="289">
        <f>D12-D22-D32-D42</f>
        <v>0</v>
      </c>
      <c r="E50" s="256"/>
      <c r="F50" s="289">
        <f>F12-F22-F32-F42</f>
        <v>0</v>
      </c>
      <c r="G50" s="309"/>
      <c r="H50" s="310"/>
      <c r="I50" s="256"/>
      <c r="J50" s="289">
        <f>J12-J22-J32</f>
        <v>15.704000000000001</v>
      </c>
      <c r="K50" s="309">
        <f t="shared" si="99"/>
        <v>12.423952342149192</v>
      </c>
      <c r="L50" s="310"/>
      <c r="M50" s="256"/>
      <c r="N50" s="289">
        <f>N12-N22-N32</f>
        <v>0.60699999999998511</v>
      </c>
      <c r="O50" s="309">
        <f t="shared" si="100"/>
        <v>0.57319848532062767</v>
      </c>
      <c r="P50" s="310">
        <f t="shared" si="101"/>
        <v>-96.134742740703103</v>
      </c>
      <c r="Q50" s="256"/>
      <c r="R50" s="289">
        <f>R12-R22-R32</f>
        <v>7.9159999999999897</v>
      </c>
      <c r="S50" s="309">
        <f t="shared" si="102"/>
        <v>5.8745825602968385</v>
      </c>
      <c r="T50" s="718" t="s">
        <v>549</v>
      </c>
      <c r="U50" s="256"/>
      <c r="V50" s="289">
        <f>V12-V22-V32</f>
        <v>11.826999999999998</v>
      </c>
      <c r="W50" s="309">
        <f t="shared" si="104"/>
        <v>7.3876732608328997</v>
      </c>
      <c r="X50" s="310">
        <f t="shared" si="105"/>
        <v>49.406265790803602</v>
      </c>
      <c r="Y50" s="256"/>
      <c r="Z50" s="289">
        <f>Z12-Z22-Z32</f>
        <v>11.817999999999998</v>
      </c>
      <c r="AA50" s="309">
        <f t="shared" si="106"/>
        <v>6.2940042393191522</v>
      </c>
      <c r="AB50" s="310">
        <f t="shared" si="107"/>
        <v>-7.6097066035341054E-2</v>
      </c>
      <c r="AC50" s="256"/>
      <c r="AD50" s="289">
        <f>AD12-AD22-AD32</f>
        <v>18.643000000000015</v>
      </c>
      <c r="AE50" s="309">
        <f t="shared" si="108"/>
        <v>8.8361731876673755</v>
      </c>
      <c r="AF50" s="310">
        <f t="shared" si="109"/>
        <v>57.750888475207461</v>
      </c>
      <c r="AG50" s="256"/>
      <c r="AH50" s="289">
        <f>AH12-AH22-AH32</f>
        <v>21.426000000000016</v>
      </c>
      <c r="AI50" s="309">
        <f t="shared" si="110"/>
        <v>9.1927885564241461</v>
      </c>
      <c r="AJ50" s="310">
        <f t="shared" si="111"/>
        <v>14.927854958965824</v>
      </c>
      <c r="AK50" s="256"/>
      <c r="AL50" s="289">
        <f>AL12-AL22-AL32</f>
        <v>22.454999999999984</v>
      </c>
      <c r="AM50" s="309">
        <f t="shared" si="112"/>
        <v>8.8909566043712314</v>
      </c>
      <c r="AN50" s="310">
        <f t="shared" si="113"/>
        <v>4.8025763091569473</v>
      </c>
      <c r="AO50" s="315"/>
      <c r="AP50" s="289">
        <f>AP12-AP22-AP32</f>
        <v>39.481999999999999</v>
      </c>
      <c r="AQ50" s="309">
        <f t="shared" si="114"/>
        <v>12.234665608944363</v>
      </c>
      <c r="AR50" s="310">
        <f t="shared" si="115"/>
        <v>75.82720997550669</v>
      </c>
      <c r="AS50" s="256"/>
      <c r="AT50" s="288">
        <f>AT12-AT22-AT32</f>
        <v>63.052000000000021</v>
      </c>
      <c r="AU50" s="309">
        <f t="shared" si="116"/>
        <v>16.946091368921241</v>
      </c>
      <c r="AV50" s="310">
        <f t="shared" si="117"/>
        <v>59.698090268983385</v>
      </c>
      <c r="AW50" s="256"/>
      <c r="AX50" s="289">
        <f>AX12-AX22-AX32</f>
        <v>46.040999999999997</v>
      </c>
      <c r="AY50" s="309">
        <f t="shared" si="118"/>
        <v>13.823054336273618</v>
      </c>
      <c r="AZ50" s="310">
        <f t="shared" si="119"/>
        <v>-26.97931865761597</v>
      </c>
      <c r="BA50" s="256"/>
      <c r="BB50" s="289">
        <f>BB12-BB22-BB32</f>
        <v>49.913000000000011</v>
      </c>
      <c r="BC50" s="309">
        <f t="shared" si="120"/>
        <v>13.636202200348057</v>
      </c>
      <c r="BD50" s="608">
        <f t="shared" si="121"/>
        <v>8.4098955278990815</v>
      </c>
      <c r="BE50" s="256"/>
      <c r="BF50" s="289">
        <f>BF12-BF22-BF32</f>
        <v>49.215000000000003</v>
      </c>
      <c r="BG50" s="309">
        <f t="shared" si="122"/>
        <v>11.44207587132053</v>
      </c>
      <c r="BH50" s="310">
        <f t="shared" si="123"/>
        <v>-1.3984332738965932</v>
      </c>
      <c r="BI50" s="256"/>
      <c r="BJ50" s="289">
        <f>BJ12-BJ22-BJ32</f>
        <v>33.364000000000004</v>
      </c>
      <c r="BK50" s="309">
        <f t="shared" si="124"/>
        <v>7.234924710290751</v>
      </c>
      <c r="BL50" s="310">
        <f t="shared" si="125"/>
        <v>-32.207660266179005</v>
      </c>
      <c r="BM50" s="592"/>
      <c r="BN50" s="289">
        <f>BN12-BN22-BN32</f>
        <v>39.795000000000016</v>
      </c>
      <c r="BO50" s="309">
        <f t="shared" si="126"/>
        <v>7.9573289609182103</v>
      </c>
      <c r="BP50" s="310">
        <f t="shared" si="142"/>
        <v>19.275266754585818</v>
      </c>
      <c r="BQ50" s="849"/>
      <c r="BR50" s="289">
        <f>BR12-BR22-BR32</f>
        <v>47.654999999999944</v>
      </c>
      <c r="BS50" s="309">
        <f t="shared" si="127"/>
        <v>8.9605027132526214</v>
      </c>
      <c r="BT50" s="310">
        <f t="shared" si="143"/>
        <v>19.751225028269694</v>
      </c>
      <c r="BU50" s="256"/>
      <c r="BV50" s="289">
        <f>BV12-BV22-BV32</f>
        <v>63.143999999999949</v>
      </c>
      <c r="BW50" s="309">
        <f t="shared" si="128"/>
        <v>10.065628073576125</v>
      </c>
      <c r="BX50" s="310">
        <f t="shared" si="144"/>
        <v>32.50236071765822</v>
      </c>
      <c r="BY50" s="256"/>
      <c r="BZ50" s="289">
        <f>BZ12-BZ22-BZ32</f>
        <v>81.503000000000043</v>
      </c>
      <c r="CA50" s="309">
        <f t="shared" si="129"/>
        <v>13.227742505096153</v>
      </c>
      <c r="CB50" s="310">
        <f t="shared" si="145"/>
        <v>29.074813125554467</v>
      </c>
      <c r="CC50" s="256"/>
      <c r="CD50" s="289">
        <f>CD12-CD22-CD32</f>
        <v>70.817000000000007</v>
      </c>
      <c r="CE50" s="309">
        <f t="shared" si="130"/>
        <v>11.838110903826738</v>
      </c>
      <c r="CF50" s="310">
        <f t="shared" si="146"/>
        <v>-13.111173821822542</v>
      </c>
      <c r="CG50" s="256"/>
      <c r="CH50" s="289">
        <f>CH12-CH22-CH32</f>
        <v>103.99900000000008</v>
      </c>
      <c r="CI50" s="309">
        <f t="shared" si="131"/>
        <v>15.255182044478094</v>
      </c>
      <c r="CJ50" s="310">
        <f t="shared" si="147"/>
        <v>46.855980908539017</v>
      </c>
      <c r="CK50" s="256"/>
      <c r="CL50" s="289">
        <f>CL12-CL22-CL32</f>
        <v>146.17700000000002</v>
      </c>
      <c r="CM50" s="309">
        <f t="shared" si="132"/>
        <v>17.788132159115662</v>
      </c>
      <c r="CN50" s="310">
        <f t="shared" si="148"/>
        <v>40.556159193838305</v>
      </c>
      <c r="CO50" s="256"/>
      <c r="CP50" s="289">
        <f>CP12-CP22-CP32</f>
        <v>117.29499999999996</v>
      </c>
      <c r="CQ50" s="309">
        <f t="shared" si="133"/>
        <v>13.755055755499027</v>
      </c>
      <c r="CR50" s="310">
        <f t="shared" si="149"/>
        <v>-19.758238300143017</v>
      </c>
      <c r="CS50" s="256"/>
      <c r="CT50" s="289">
        <f>CT12-CT22-CT32</f>
        <v>153.61799999999999</v>
      </c>
      <c r="CU50" s="309">
        <f t="shared" si="134"/>
        <v>16.853725487614621</v>
      </c>
      <c r="CV50" s="310">
        <f t="shared" si="135"/>
        <v>30.967219404066704</v>
      </c>
      <c r="CW50" s="256"/>
      <c r="CX50" s="289">
        <f>CX12-CX22-CX32</f>
        <v>168.4910000000001</v>
      </c>
      <c r="CY50" s="309">
        <f t="shared" si="136"/>
        <v>17.558663135988436</v>
      </c>
      <c r="CZ50" s="310">
        <f t="shared" si="137"/>
        <v>9.6818081214441687</v>
      </c>
      <c r="DA50" s="256"/>
      <c r="DB50" s="289">
        <f>DB12-DB22-DB32</f>
        <v>156.39999999999998</v>
      </c>
      <c r="DC50" s="309">
        <f t="shared" si="138"/>
        <v>16.670219569388188</v>
      </c>
      <c r="DD50" s="310">
        <f>IF(CX50&lt;0,"       NM",(DB50/CX50-1)*100)</f>
        <v>-7.1760509463414168</v>
      </c>
      <c r="DE50" s="256"/>
      <c r="DF50" s="289">
        <f>DF12-DF22-DF32</f>
        <v>155.19999999999999</v>
      </c>
      <c r="DG50" s="309">
        <f t="shared" si="139"/>
        <v>16.348888654798273</v>
      </c>
      <c r="DH50" s="310">
        <f>IF(DB50&lt;0,"       NM",(DF50/DB50-1)*100)</f>
        <v>-0.76726342710996542</v>
      </c>
      <c r="DI50" s="256"/>
      <c r="DJ50" s="289">
        <f>DJ12-DJ22-DJ32</f>
        <v>160.30000000000007</v>
      </c>
      <c r="DK50" s="309">
        <f t="shared" si="140"/>
        <v>16.420815406678965</v>
      </c>
      <c r="DL50" s="310">
        <f>IF(DF50&lt;0,"       NM",(DJ50/DF50-1)*100)</f>
        <v>3.2860824742268591</v>
      </c>
      <c r="DM50" s="256"/>
      <c r="DN50" s="289">
        <f>DN12-DN22-DN32</f>
        <v>151.54044907602344</v>
      </c>
      <c r="DO50" s="309">
        <f t="shared" si="141"/>
        <v>14.800000000000004</v>
      </c>
      <c r="DP50" s="310">
        <f>IF(DJ50&lt;0,"       NM",(DN50/DJ50-1)*100)</f>
        <v>-5.4644734397857997</v>
      </c>
      <c r="DQ50" s="256"/>
      <c r="DR50" s="256"/>
      <c r="DS50" s="256"/>
      <c r="DT50" s="256"/>
      <c r="DU50" s="1234"/>
      <c r="DV50" s="256"/>
      <c r="DW50" s="256"/>
      <c r="DX50" s="256"/>
      <c r="DY50" s="1234"/>
      <c r="DZ50" s="256"/>
      <c r="EA50" s="256"/>
    </row>
    <row r="51" spans="1:131" outlineLevel="1">
      <c r="A51" s="256" t="str">
        <f>$A$13</f>
        <v>4Q</v>
      </c>
      <c r="B51" s="256" t="str">
        <f>$B$13</f>
        <v>Jan</v>
      </c>
      <c r="C51" s="587"/>
      <c r="D51" s="313">
        <f>D13-D23-D33-D43</f>
        <v>0</v>
      </c>
      <c r="E51" s="587"/>
      <c r="F51" s="313">
        <f>F13-F23-F33-F43</f>
        <v>0</v>
      </c>
      <c r="G51" s="309"/>
      <c r="H51" s="310"/>
      <c r="I51" s="256"/>
      <c r="J51" s="313">
        <f>J13-J23-J33</f>
        <v>22.783999999999992</v>
      </c>
      <c r="K51" s="309">
        <f t="shared" si="99"/>
        <v>15.288402179456204</v>
      </c>
      <c r="L51" s="310"/>
      <c r="M51" s="256"/>
      <c r="N51" s="313">
        <f>N13-N23-N33</f>
        <v>10.583000000000013</v>
      </c>
      <c r="O51" s="309">
        <f t="shared" si="100"/>
        <v>6.9428134697010524</v>
      </c>
      <c r="P51" s="310">
        <f t="shared" si="101"/>
        <v>-53.550737359550496</v>
      </c>
      <c r="Q51" s="256"/>
      <c r="R51" s="313">
        <f>R13-R23-R33</f>
        <v>34.025000000000006</v>
      </c>
      <c r="S51" s="309">
        <f t="shared" si="102"/>
        <v>16.355263727125465</v>
      </c>
      <c r="T51" s="310">
        <f t="shared" si="103"/>
        <v>221.50618917131214</v>
      </c>
      <c r="U51" s="256"/>
      <c r="V51" s="313">
        <f>V13-V23-V33</f>
        <v>37.696000000000012</v>
      </c>
      <c r="W51" s="309">
        <f t="shared" si="104"/>
        <v>15.754191811966104</v>
      </c>
      <c r="X51" s="310">
        <f t="shared" si="105"/>
        <v>10.789125642909635</v>
      </c>
      <c r="Y51" s="256"/>
      <c r="Z51" s="313">
        <f>Z13-Z23-Z33</f>
        <v>48.870999999999995</v>
      </c>
      <c r="AA51" s="309">
        <f t="shared" si="106"/>
        <v>17.410402565016032</v>
      </c>
      <c r="AB51" s="310">
        <f t="shared" si="107"/>
        <v>29.645055178268187</v>
      </c>
      <c r="AC51" s="256"/>
      <c r="AD51" s="313">
        <f>AD13-AD23-AD33</f>
        <v>61.614000000000033</v>
      </c>
      <c r="AE51" s="309">
        <f t="shared" si="108"/>
        <v>18.806601570726979</v>
      </c>
      <c r="AF51" s="310">
        <f t="shared" si="109"/>
        <v>26.074768267479765</v>
      </c>
      <c r="AG51" s="256"/>
      <c r="AH51" s="313">
        <f>AH13-AH23-AH33</f>
        <v>76.048000000000002</v>
      </c>
      <c r="AI51" s="309">
        <f t="shared" si="110"/>
        <v>20.682415269218428</v>
      </c>
      <c r="AJ51" s="310">
        <f t="shared" si="111"/>
        <v>23.426493978641162</v>
      </c>
      <c r="AK51" s="256"/>
      <c r="AL51" s="313">
        <f>AL13-AL23-AL33</f>
        <v>93.22100000000006</v>
      </c>
      <c r="AM51" s="309">
        <f t="shared" si="112"/>
        <v>20.647503366645413</v>
      </c>
      <c r="AN51" s="310">
        <f t="shared" si="113"/>
        <v>22.581790448138083</v>
      </c>
      <c r="AO51" s="315"/>
      <c r="AP51" s="313">
        <f>AP13-AP23-AP33</f>
        <v>146.00899999999996</v>
      </c>
      <c r="AQ51" s="309">
        <f t="shared" si="114"/>
        <v>25.631802541956318</v>
      </c>
      <c r="AR51" s="310">
        <f t="shared" si="115"/>
        <v>56.626725737762797</v>
      </c>
      <c r="AS51" s="256"/>
      <c r="AT51" s="318">
        <f>AT13-AT23-AT33</f>
        <v>143.87200000000001</v>
      </c>
      <c r="AU51" s="309">
        <f t="shared" si="116"/>
        <v>24.960833878391579</v>
      </c>
      <c r="AV51" s="310">
        <f t="shared" si="117"/>
        <v>-1.463608407700856</v>
      </c>
      <c r="AW51" s="256"/>
      <c r="AX51" s="313">
        <f>AX13-AX23-AX33</f>
        <v>148.965</v>
      </c>
      <c r="AY51" s="309">
        <f t="shared" si="118"/>
        <v>26.330115826703597</v>
      </c>
      <c r="AZ51" s="310">
        <f t="shared" si="119"/>
        <v>3.5399521797153</v>
      </c>
      <c r="BA51" s="256"/>
      <c r="BB51" s="313">
        <f>BB13-BB23-BB33</f>
        <v>151.64000000000001</v>
      </c>
      <c r="BC51" s="309">
        <f t="shared" si="120"/>
        <v>24.497062258789395</v>
      </c>
      <c r="BD51" s="310">
        <f t="shared" si="121"/>
        <v>1.7957238277447773</v>
      </c>
      <c r="BE51" s="256"/>
      <c r="BF51" s="313">
        <f>BF13-BF23-BF33</f>
        <v>178.88199999999995</v>
      </c>
      <c r="BG51" s="309">
        <f t="shared" si="122"/>
        <v>24.451193841342388</v>
      </c>
      <c r="BH51" s="310">
        <f t="shared" si="123"/>
        <v>17.964916908467377</v>
      </c>
      <c r="BI51" s="256"/>
      <c r="BJ51" s="313">
        <f>BJ13-BJ23-BJ33</f>
        <v>140.30000000000001</v>
      </c>
      <c r="BK51" s="309">
        <f t="shared" si="124"/>
        <v>17.318379207082394</v>
      </c>
      <c r="BL51" s="310">
        <f t="shared" si="125"/>
        <v>-21.568408224416068</v>
      </c>
      <c r="BM51" s="592"/>
      <c r="BN51" s="313">
        <f>BN13-BN23-BN33</f>
        <v>202.53100000000001</v>
      </c>
      <c r="BO51" s="309">
        <f t="shared" si="126"/>
        <v>23.592747825722292</v>
      </c>
      <c r="BP51" s="310">
        <f t="shared" si="142"/>
        <v>44.355666429080529</v>
      </c>
      <c r="BQ51" s="849"/>
      <c r="BR51" s="313">
        <f>BR13-BR23-BR33</f>
        <v>231.32999999999993</v>
      </c>
      <c r="BS51" s="309">
        <f t="shared" si="127"/>
        <v>24.124844741872604</v>
      </c>
      <c r="BT51" s="310">
        <f>IF(BN51&lt;0,"       NM",(BR51/BN51-1)*100)</f>
        <v>14.219551574820599</v>
      </c>
      <c r="BU51" s="256"/>
      <c r="BV51" s="313">
        <f>BV13-BV23-BV33</f>
        <v>281.15199999999987</v>
      </c>
      <c r="BW51" s="309">
        <f t="shared" si="128"/>
        <v>26.69611463438024</v>
      </c>
      <c r="BX51" s="310">
        <f t="shared" si="144"/>
        <v>21.537197942333442</v>
      </c>
      <c r="BY51" s="256"/>
      <c r="BZ51" s="313">
        <f>BZ13-BZ23-BZ33</f>
        <v>169.97999999999996</v>
      </c>
      <c r="CA51" s="309">
        <f t="shared" si="129"/>
        <v>20.293865875192363</v>
      </c>
      <c r="CB51" s="310">
        <f t="shared" si="145"/>
        <v>-39.541600273161833</v>
      </c>
      <c r="CC51" s="256"/>
      <c r="CD51" s="313">
        <f>CD13-CD23-CD33</f>
        <v>224.60700000000003</v>
      </c>
      <c r="CE51" s="309">
        <f t="shared" si="130"/>
        <v>22.886759922721385</v>
      </c>
      <c r="CF51" s="310">
        <f t="shared" si="146"/>
        <v>32.137310271796736</v>
      </c>
      <c r="CG51" s="256"/>
      <c r="CH51" s="313">
        <f>CH13-CH23-CH33</f>
        <v>284.58899999999994</v>
      </c>
      <c r="CI51" s="309">
        <f t="shared" si="131"/>
        <v>25.843182303183298</v>
      </c>
      <c r="CJ51" s="310">
        <f t="shared" si="147"/>
        <v>26.705311944863652</v>
      </c>
      <c r="CK51" s="256"/>
      <c r="CL51" s="313">
        <f>CL13-CL23-CL33</f>
        <v>285.74300000000005</v>
      </c>
      <c r="CM51" s="309">
        <f t="shared" si="132"/>
        <v>24.063784275416026</v>
      </c>
      <c r="CN51" s="310">
        <f t="shared" si="148"/>
        <v>0.40549705013197546</v>
      </c>
      <c r="CO51" s="256"/>
      <c r="CP51" s="313">
        <f>CP13-CP23-CP33</f>
        <v>290.35700000000003</v>
      </c>
      <c r="CQ51" s="309">
        <f t="shared" si="133"/>
        <v>23.49605792021001</v>
      </c>
      <c r="CR51" s="310">
        <f t="shared" si="149"/>
        <v>1.6147377188592493</v>
      </c>
      <c r="CS51" s="256"/>
      <c r="CT51" s="313">
        <f>CT13-CT23-CT33</f>
        <v>312.87800000000016</v>
      </c>
      <c r="CU51" s="309">
        <f t="shared" si="134"/>
        <v>24.099349603014449</v>
      </c>
      <c r="CV51" s="310">
        <f t="shared" si="135"/>
        <v>7.7563137792442172</v>
      </c>
      <c r="CW51" s="256"/>
      <c r="CX51" s="313">
        <f>CX13-CX23-CX33</f>
        <v>304.62400000000002</v>
      </c>
      <c r="CY51" s="309">
        <f t="shared" si="136"/>
        <v>23.701315373830397</v>
      </c>
      <c r="CZ51" s="310">
        <f t="shared" si="137"/>
        <v>-2.6380889675848507</v>
      </c>
      <c r="DA51" s="256"/>
      <c r="DB51" s="313">
        <f>DB13-DB23-DB33</f>
        <v>298</v>
      </c>
      <c r="DC51" s="309">
        <f t="shared" si="138"/>
        <v>24.555042847725776</v>
      </c>
      <c r="DD51" s="310">
        <f>IF(CX51&lt;0,"       NM",(DB51/CX51-1)*100)</f>
        <v>-2.1744839539891925</v>
      </c>
      <c r="DE51" s="256"/>
      <c r="DF51" s="313">
        <f>DF13-DF23-DF33</f>
        <v>294.49999999999989</v>
      </c>
      <c r="DG51" s="309">
        <f t="shared" si="139"/>
        <v>23.950878334417688</v>
      </c>
      <c r="DH51" s="310">
        <f>IF(DB51&lt;0,"       NM",(DF51/DB51-1)*100)</f>
        <v>-1.174496644295342</v>
      </c>
      <c r="DI51" s="256"/>
      <c r="DJ51" s="313">
        <f>DJ13-DJ23-DJ33</f>
        <v>307.19999999999993</v>
      </c>
      <c r="DK51" s="309">
        <f t="shared" si="140"/>
        <v>23.023308101626316</v>
      </c>
      <c r="DL51" s="310">
        <f>IF(DF51&lt;0,"       NM",(DJ51/DF51-1)*100)</f>
        <v>4.3123938879456869</v>
      </c>
      <c r="DM51" s="256"/>
      <c r="DN51" s="313">
        <f>DN13-DN23-DN33</f>
        <v>297.69343848831363</v>
      </c>
      <c r="DO51" s="309">
        <f t="shared" si="141"/>
        <v>21.5</v>
      </c>
      <c r="DP51" s="310">
        <f>IF(DJ51&lt;0,"       NM",(DN51/DJ51-1)*100)</f>
        <v>-3.0945838254187175</v>
      </c>
      <c r="DQ51" s="256"/>
      <c r="DR51" s="256"/>
      <c r="DS51" s="256"/>
      <c r="DT51" s="256"/>
      <c r="DU51" s="1234"/>
      <c r="DV51" s="256"/>
      <c r="DW51" s="256"/>
      <c r="DX51" s="256"/>
      <c r="DY51" s="1234"/>
      <c r="DZ51" s="256"/>
      <c r="EA51" s="256"/>
    </row>
    <row r="52" spans="1:131" outlineLevel="1">
      <c r="A52" s="256"/>
      <c r="B52" s="256" t="str">
        <f>$B$14</f>
        <v>Year</v>
      </c>
      <c r="C52" s="256"/>
      <c r="D52" s="305">
        <f>SUM(D48:D51)</f>
        <v>0</v>
      </c>
      <c r="E52" s="256"/>
      <c r="F52" s="305">
        <f>SUM(F48:F51)</f>
        <v>0</v>
      </c>
      <c r="G52" s="309"/>
      <c r="H52" s="310"/>
      <c r="I52" s="256"/>
      <c r="J52" s="305">
        <f>SUM(J48:J51)</f>
        <v>61.030999999999999</v>
      </c>
      <c r="K52" s="309">
        <f t="shared" si="99"/>
        <v>12.407045248482435</v>
      </c>
      <c r="L52" s="310"/>
      <c r="M52" s="256"/>
      <c r="N52" s="305">
        <f>SUM(N48:N51)</f>
        <v>26.741000000000014</v>
      </c>
      <c r="O52" s="309">
        <f t="shared" si="100"/>
        <v>5.497783698879104</v>
      </c>
      <c r="P52" s="310">
        <f t="shared" si="101"/>
        <v>-56.184561943930113</v>
      </c>
      <c r="Q52" s="256"/>
      <c r="R52" s="305">
        <f>SUM(R48:R51)</f>
        <v>47.470999999999989</v>
      </c>
      <c r="S52" s="309">
        <f t="shared" si="102"/>
        <v>8.379685119708526</v>
      </c>
      <c r="T52" s="310">
        <f t="shared" si="103"/>
        <v>77.521409072211071</v>
      </c>
      <c r="U52" s="256"/>
      <c r="V52" s="305">
        <f>SUM(V48:V51)</f>
        <v>64.655000000000015</v>
      </c>
      <c r="W52" s="309">
        <f t="shared" si="104"/>
        <v>9.4686679427266807</v>
      </c>
      <c r="X52" s="310">
        <f t="shared" si="105"/>
        <v>36.198942512270719</v>
      </c>
      <c r="Y52" s="256"/>
      <c r="Z52" s="305">
        <f>SUM(Z48:Z51)</f>
        <v>80.012999999999977</v>
      </c>
      <c r="AA52" s="309">
        <f t="shared" si="106"/>
        <v>9.9606369788321025</v>
      </c>
      <c r="AB52" s="310">
        <f t="shared" si="107"/>
        <v>23.753770010053298</v>
      </c>
      <c r="AC52" s="256"/>
      <c r="AD52" s="305">
        <f>SUM(AD48:AD51)</f>
        <v>109.41300000000007</v>
      </c>
      <c r="AE52" s="309">
        <f t="shared" si="108"/>
        <v>11.865529851167116</v>
      </c>
      <c r="AF52" s="310">
        <f t="shared" si="109"/>
        <v>36.744029095272147</v>
      </c>
      <c r="AG52" s="256"/>
      <c r="AH52" s="305">
        <f>SUM(AH48:AH51)</f>
        <v>133.42200000000003</v>
      </c>
      <c r="AI52" s="309">
        <f t="shared" si="110"/>
        <v>13.111232527790445</v>
      </c>
      <c r="AJ52" s="310">
        <f t="shared" si="111"/>
        <v>21.943461928655594</v>
      </c>
      <c r="AK52" s="256"/>
      <c r="AL52" s="305">
        <f>SUM(AL48:AL51)</f>
        <v>161.12200000000004</v>
      </c>
      <c r="AM52" s="309">
        <f t="shared" si="112"/>
        <v>13.678413554636998</v>
      </c>
      <c r="AN52" s="310">
        <f t="shared" si="113"/>
        <v>20.761193806118939</v>
      </c>
      <c r="AO52" s="256"/>
      <c r="AP52" s="305">
        <f>SUM(AP48:AP51)</f>
        <v>256.88299999999992</v>
      </c>
      <c r="AQ52" s="309">
        <f t="shared" si="114"/>
        <v>17.454966738919193</v>
      </c>
      <c r="AR52" s="310">
        <f t="shared" si="115"/>
        <v>59.433845160809739</v>
      </c>
      <c r="AS52" s="256"/>
      <c r="AT52" s="305">
        <f>SUM(AT48:AT51)</f>
        <v>327.39599999999996</v>
      </c>
      <c r="AU52" s="309">
        <f t="shared" si="116"/>
        <v>19.6273986005266</v>
      </c>
      <c r="AV52" s="310">
        <f t="shared" si="117"/>
        <v>27.449461427965272</v>
      </c>
      <c r="AW52" s="256"/>
      <c r="AX52" s="305">
        <f>SUM(AX48:AX51)</f>
        <v>309.89699999999999</v>
      </c>
      <c r="AY52" s="309">
        <f t="shared" si="118"/>
        <v>19.289775821877516</v>
      </c>
      <c r="AZ52" s="310">
        <f t="shared" si="119"/>
        <v>-5.3449034197118994</v>
      </c>
      <c r="BA52" s="256"/>
      <c r="BB52" s="305">
        <f>SUM(BB48:BB51)</f>
        <v>319.19700000000006</v>
      </c>
      <c r="BC52" s="309">
        <f t="shared" si="120"/>
        <v>18.703657912038079</v>
      </c>
      <c r="BD52" s="310">
        <f t="shared" si="121"/>
        <v>3.0009971054899109</v>
      </c>
      <c r="BE52" s="256"/>
      <c r="BF52" s="305">
        <f>SUM(BF48:BF51)</f>
        <v>355.51899999999995</v>
      </c>
      <c r="BG52" s="309">
        <f t="shared" si="122"/>
        <v>17.775550050123869</v>
      </c>
      <c r="BH52" s="310">
        <f t="shared" si="123"/>
        <v>11.379179628881197</v>
      </c>
      <c r="BI52" s="256"/>
      <c r="BJ52" s="305">
        <f>SUM(BJ48:BJ51)</f>
        <v>294.52899999999988</v>
      </c>
      <c r="BK52" s="309">
        <f t="shared" si="124"/>
        <v>13.358348100149167</v>
      </c>
      <c r="BL52" s="310">
        <f t="shared" si="125"/>
        <v>-17.155201269130504</v>
      </c>
      <c r="BM52" s="592"/>
      <c r="BN52" s="305">
        <f>SUM(BN48:BN51)</f>
        <v>382.70500000000015</v>
      </c>
      <c r="BO52" s="309">
        <f t="shared" si="126"/>
        <v>15.978311197656273</v>
      </c>
      <c r="BP52" s="310">
        <f t="shared" si="142"/>
        <v>29.937968756896716</v>
      </c>
      <c r="BQ52" s="849"/>
      <c r="BR52" s="305">
        <f>SUM(BR48:BR51)</f>
        <v>430.79599999999982</v>
      </c>
      <c r="BS52" s="309">
        <f t="shared" si="127"/>
        <v>16.823145238826051</v>
      </c>
      <c r="BT52" s="310">
        <f>IF(BN52&lt;0,"       NM",(BR52/BN52-1)*100)</f>
        <v>12.566075697991842</v>
      </c>
      <c r="BU52" s="256"/>
      <c r="BV52" s="305">
        <f>SUM(BV48:BV51)</f>
        <v>544.99999999999977</v>
      </c>
      <c r="BW52" s="309">
        <f t="shared" si="128"/>
        <v>18.545167350569329</v>
      </c>
      <c r="BX52" s="310">
        <f t="shared" si="144"/>
        <v>26.509995450282741</v>
      </c>
      <c r="BY52" s="256"/>
      <c r="BZ52" s="305">
        <f>SUM(BZ48:BZ51)</f>
        <v>492.49800000000005</v>
      </c>
      <c r="CA52" s="309">
        <f t="shared" si="129"/>
        <v>17.28755266582165</v>
      </c>
      <c r="CB52" s="310">
        <f t="shared" si="145"/>
        <v>-9.6333944954127944</v>
      </c>
      <c r="CC52" s="256"/>
      <c r="CD52" s="305">
        <f>SUM(CD48:CD51)</f>
        <v>440.05000000000007</v>
      </c>
      <c r="CE52" s="309">
        <f t="shared" si="130"/>
        <v>16.239781171670412</v>
      </c>
      <c r="CF52" s="310">
        <f t="shared" si="146"/>
        <v>-10.64938334774963</v>
      </c>
      <c r="CG52" s="256"/>
      <c r="CH52" s="305">
        <f>SUM(CH48:CH51)</f>
        <v>612.41600000000005</v>
      </c>
      <c r="CI52" s="309">
        <f t="shared" si="131"/>
        <v>19.849544127132297</v>
      </c>
      <c r="CJ52" s="310">
        <f t="shared" si="147"/>
        <v>39.169639813657533</v>
      </c>
      <c r="CK52" s="256"/>
      <c r="CL52" s="305">
        <f>SUM(CL48:CL51)</f>
        <v>751.14400000000023</v>
      </c>
      <c r="CM52" s="309">
        <f t="shared" si="132"/>
        <v>20.619187210758795</v>
      </c>
      <c r="CN52" s="310">
        <f t="shared" si="148"/>
        <v>22.652576026753081</v>
      </c>
      <c r="CO52" s="256"/>
      <c r="CP52" s="305">
        <f>SUM(CP48:CP51)</f>
        <v>697.21699999999987</v>
      </c>
      <c r="CQ52" s="309">
        <f t="shared" si="133"/>
        <v>18.375625848488063</v>
      </c>
      <c r="CR52" s="310">
        <f t="shared" si="149"/>
        <v>-7.1793158169406013</v>
      </c>
      <c r="CS52" s="256"/>
      <c r="CT52" s="305">
        <f>SUM(CT48:CT51)</f>
        <v>793.94000000000028</v>
      </c>
      <c r="CU52" s="309">
        <f t="shared" si="134"/>
        <v>19.695221935288622</v>
      </c>
      <c r="CV52" s="310">
        <f t="shared" si="135"/>
        <v>13.872725421210387</v>
      </c>
      <c r="CW52" s="256"/>
      <c r="CX52" s="305">
        <f>SUM(CX48:CX51)</f>
        <v>891.42900000000009</v>
      </c>
      <c r="CY52" s="309">
        <f t="shared" si="136"/>
        <v>20.975229375283686</v>
      </c>
      <c r="CZ52" s="310">
        <f t="shared" si="137"/>
        <v>12.279139481572887</v>
      </c>
      <c r="DA52" s="256"/>
      <c r="DB52" s="305">
        <f>SUM(DB48:DB51)</f>
        <v>806.8</v>
      </c>
      <c r="DC52" s="309">
        <f>DB52/DB14*100</f>
        <v>19.655516846541765</v>
      </c>
      <c r="DD52" s="310">
        <f>IF(CX52&lt;0,"       NM",(DB52/CX52-1)*100)</f>
        <v>-9.4936332562660759</v>
      </c>
      <c r="DE52" s="256"/>
      <c r="DF52" s="305">
        <f>SUM(DF48:DF51)</f>
        <v>759.19999999999982</v>
      </c>
      <c r="DG52" s="309">
        <f t="shared" si="139"/>
        <v>18.971462841721223</v>
      </c>
      <c r="DH52" s="310">
        <f>IF(DB52&lt;0,"       NM",(DF52/DB52-1)*100)</f>
        <v>-5.8998512642538632</v>
      </c>
      <c r="DI52" s="256"/>
      <c r="DJ52" s="305">
        <f>SUM(DJ48:DJ51)</f>
        <v>794.40000000000009</v>
      </c>
      <c r="DK52" s="309">
        <f t="shared" si="140"/>
        <v>19.05127344237134</v>
      </c>
      <c r="DL52" s="310">
        <f>IF(DF52&lt;0,"       NM",(DJ52/DF52-1)*100)</f>
        <v>4.6364594309800111</v>
      </c>
      <c r="DM52" s="256"/>
      <c r="DN52" s="305">
        <f>SUM(DN48:DN51)</f>
        <v>792.16077359147425</v>
      </c>
      <c r="DO52" s="309">
        <f t="shared" si="141"/>
        <v>18.066807974372207</v>
      </c>
      <c r="DP52" s="310">
        <f>IF(DJ52&lt;0,"       NM",(DN52/DJ52-1)*100)</f>
        <v>-0.28187643611855551</v>
      </c>
      <c r="DQ52" s="256"/>
      <c r="DR52" s="256"/>
      <c r="DS52" s="256"/>
      <c r="DT52" s="256"/>
      <c r="DU52" s="256"/>
      <c r="DV52" s="256"/>
      <c r="DW52" s="256"/>
      <c r="DX52" s="256"/>
      <c r="DY52" s="256"/>
      <c r="DZ52" s="256"/>
      <c r="EA52" s="256"/>
    </row>
    <row r="53" spans="1:131" hidden="1" outlineLevel="2">
      <c r="A53" s="256" t="str">
        <f>$A$15</f>
        <v>6 Mos</v>
      </c>
      <c r="B53" s="256"/>
      <c r="C53" s="256"/>
      <c r="D53" s="289">
        <f>SUM(D48:D49)</f>
        <v>0</v>
      </c>
      <c r="E53" s="256"/>
      <c r="F53" s="289">
        <f>SUM(F48:F49)</f>
        <v>0</v>
      </c>
      <c r="G53" s="309"/>
      <c r="H53" s="310"/>
      <c r="I53" s="256"/>
      <c r="J53" s="289">
        <f>SUM(J48:J49)</f>
        <v>22.543000000000006</v>
      </c>
      <c r="K53" s="309">
        <f t="shared" si="99"/>
        <v>10.413577423929565</v>
      </c>
      <c r="L53" s="310"/>
      <c r="M53" s="256"/>
      <c r="N53" s="289">
        <f>SUM(N48:N49)</f>
        <v>15.551000000000016</v>
      </c>
      <c r="O53" s="309">
        <f t="shared" si="100"/>
        <v>6.8185804233825076</v>
      </c>
      <c r="P53" s="310">
        <f t="shared" si="101"/>
        <v>-31.01627999822556</v>
      </c>
      <c r="Q53" s="256"/>
      <c r="R53" s="289">
        <f>SUM(R48:R49)</f>
        <v>5.529999999999994</v>
      </c>
      <c r="S53" s="309">
        <f t="shared" si="102"/>
        <v>2.4719060943883679</v>
      </c>
      <c r="T53" s="310">
        <f t="shared" si="103"/>
        <v>-64.439585878721701</v>
      </c>
      <c r="U53" s="256"/>
      <c r="V53" s="289">
        <f>SUM(V48:V49)</f>
        <v>15.132000000000005</v>
      </c>
      <c r="W53" s="309">
        <f t="shared" si="104"/>
        <v>5.3382440098213548</v>
      </c>
      <c r="X53" s="310">
        <f t="shared" si="105"/>
        <v>173.63471971066949</v>
      </c>
      <c r="Y53" s="256"/>
      <c r="Z53" s="289">
        <f>SUM(Z48:Z49)</f>
        <v>19.323999999999984</v>
      </c>
      <c r="AA53" s="309">
        <f t="shared" si="106"/>
        <v>5.771355868421205</v>
      </c>
      <c r="AB53" s="310">
        <f t="shared" si="107"/>
        <v>27.702881311128593</v>
      </c>
      <c r="AC53" s="256"/>
      <c r="AD53" s="289">
        <f>SUM(AD48:AD49)</f>
        <v>29.15600000000002</v>
      </c>
      <c r="AE53" s="309">
        <f t="shared" si="108"/>
        <v>7.6025282656765034</v>
      </c>
      <c r="AF53" s="310">
        <f t="shared" si="109"/>
        <v>50.879735044504471</v>
      </c>
      <c r="AG53" s="256"/>
      <c r="AH53" s="289">
        <f>SUM(AH48:AH49)</f>
        <v>35.948000000000008</v>
      </c>
      <c r="AI53" s="309">
        <f t="shared" si="110"/>
        <v>8.6237669366291811</v>
      </c>
      <c r="AJ53" s="310">
        <f t="shared" si="111"/>
        <v>23.295376594868912</v>
      </c>
      <c r="AK53" s="256"/>
      <c r="AL53" s="289">
        <f>SUM(AL48:AL49)</f>
        <v>45.445999999999998</v>
      </c>
      <c r="AM53" s="309">
        <f t="shared" si="112"/>
        <v>9.5901713721377302</v>
      </c>
      <c r="AN53" s="310">
        <f t="shared" si="113"/>
        <v>26.421497718927299</v>
      </c>
      <c r="AO53" s="256"/>
      <c r="AP53" s="289">
        <f>SUM(AP48:AP49)</f>
        <v>71.391999999999996</v>
      </c>
      <c r="AQ53" s="309">
        <f t="shared" si="114"/>
        <v>12.322903145626777</v>
      </c>
      <c r="AR53" s="310">
        <f t="shared" si="115"/>
        <v>57.091933283457294</v>
      </c>
      <c r="AS53" s="256"/>
      <c r="AT53" s="289">
        <f>SUM(AT48:AT49)</f>
        <v>120.47199999999995</v>
      </c>
      <c r="AU53" s="309">
        <f t="shared" si="116"/>
        <v>16.741732456353674</v>
      </c>
      <c r="AV53" s="310">
        <f t="shared" si="117"/>
        <v>68.747198565665556</v>
      </c>
      <c r="AW53" s="256"/>
      <c r="AX53" s="289">
        <f>SUM(AX48:AX49)</f>
        <v>114.89099999999999</v>
      </c>
      <c r="AY53" s="309">
        <f t="shared" si="118"/>
        <v>16.234375485727043</v>
      </c>
      <c r="AZ53" s="310">
        <f t="shared" si="119"/>
        <v>-4.6326117272062923</v>
      </c>
      <c r="BA53" s="256"/>
      <c r="BB53" s="289">
        <f>SUM(BB48:BB49)</f>
        <v>117.64400000000003</v>
      </c>
      <c r="BC53" s="309">
        <f t="shared" si="120"/>
        <v>16.304209236705127</v>
      </c>
      <c r="BD53" s="310">
        <f t="shared" si="121"/>
        <v>2.3961842093811025</v>
      </c>
      <c r="BE53" s="256"/>
      <c r="BF53" s="289">
        <f>SUM(BF48:BF49)</f>
        <v>127.422</v>
      </c>
      <c r="BG53" s="309">
        <f t="shared" si="122"/>
        <v>15.199431252937373</v>
      </c>
      <c r="BH53" s="310">
        <f t="shared" si="123"/>
        <v>8.311516099418558</v>
      </c>
      <c r="BI53" s="256"/>
      <c r="BJ53" s="289">
        <f>SUM(BJ48:BJ49)</f>
        <v>120.8649999999999</v>
      </c>
      <c r="BK53" s="309">
        <f t="shared" si="124"/>
        <v>12.946718839878004</v>
      </c>
      <c r="BL53" s="310">
        <f t="shared" si="125"/>
        <v>-5.1458931738633034</v>
      </c>
      <c r="BM53" s="592"/>
      <c r="BN53" s="289">
        <f>SUM(BN48:BN49)</f>
        <v>140.3790000000001</v>
      </c>
      <c r="BO53" s="309">
        <f t="shared" si="126"/>
        <v>13.542227392962786</v>
      </c>
      <c r="BP53" s="310">
        <f t="shared" si="142"/>
        <v>16.145286062962995</v>
      </c>
      <c r="BQ53" s="849"/>
      <c r="BR53" s="289">
        <f>SUM(BR48:BR49)</f>
        <v>151.81099999999995</v>
      </c>
      <c r="BS53" s="309">
        <f t="shared" si="127"/>
        <v>14.187771550439104</v>
      </c>
      <c r="BT53" s="310">
        <f t="shared" si="143"/>
        <v>8.1436682124818027</v>
      </c>
      <c r="BU53" s="256"/>
      <c r="BV53" s="289">
        <f>SUM(BV48:BV49)</f>
        <v>200.70400000000001</v>
      </c>
      <c r="BW53" s="309">
        <f t="shared" si="128"/>
        <v>15.950523368600745</v>
      </c>
      <c r="BX53" s="310">
        <f t="shared" si="144"/>
        <v>32.206493600595529</v>
      </c>
      <c r="BY53" s="256"/>
      <c r="BZ53" s="289">
        <f>SUM(BZ48:BZ49)</f>
        <v>241.01500000000004</v>
      </c>
      <c r="CA53" s="309">
        <f t="shared" si="129"/>
        <v>17.27564915842003</v>
      </c>
      <c r="CB53" s="310">
        <f t="shared" si="145"/>
        <v>20.084801498724513</v>
      </c>
      <c r="CC53" s="256"/>
      <c r="CD53" s="289">
        <f>SUM(CD48:CD49)</f>
        <v>144.62600000000006</v>
      </c>
      <c r="CE53" s="309">
        <f t="shared" si="130"/>
        <v>12.797537934427512</v>
      </c>
      <c r="CF53" s="310">
        <f t="shared" si="146"/>
        <v>-39.992946497105976</v>
      </c>
      <c r="CG53" s="256"/>
      <c r="CH53" s="289">
        <f>SUM(CH48:CH49)</f>
        <v>223.82800000000003</v>
      </c>
      <c r="CI53" s="309">
        <f t="shared" si="131"/>
        <v>17.186523397008173</v>
      </c>
      <c r="CJ53" s="310">
        <f t="shared" si="147"/>
        <v>54.763320564767007</v>
      </c>
      <c r="CK53" s="256"/>
      <c r="CL53" s="289">
        <f>SUM(CL48:CL49)</f>
        <v>319.2240000000001</v>
      </c>
      <c r="CM53" s="309">
        <f t="shared" si="132"/>
        <v>19.539581203748483</v>
      </c>
      <c r="CN53" s="310">
        <f t="shared" si="148"/>
        <v>42.620226245152558</v>
      </c>
      <c r="CO53" s="256"/>
      <c r="CP53" s="289">
        <f>SUM(CP48:CP49)</f>
        <v>289.56499999999994</v>
      </c>
      <c r="CQ53" s="309">
        <f t="shared" si="133"/>
        <v>16.975926563208084</v>
      </c>
      <c r="CR53" s="310">
        <f t="shared" si="149"/>
        <v>-9.2909680976368207</v>
      </c>
      <c r="CS53" s="256"/>
      <c r="CT53" s="289">
        <f>SUM(CT48:CT49)</f>
        <v>327.44400000000007</v>
      </c>
      <c r="CU53" s="309">
        <f t="shared" si="134"/>
        <v>17.977915500876268</v>
      </c>
      <c r="CV53" s="310">
        <f t="shared" si="135"/>
        <v>13.081346157166829</v>
      </c>
      <c r="CW53" s="256"/>
      <c r="CX53" s="289">
        <f>SUM(CX48:CX49)</f>
        <v>418.31399999999996</v>
      </c>
      <c r="CY53" s="309">
        <f t="shared" si="136"/>
        <v>20.862896010198188</v>
      </c>
      <c r="CZ53" s="310">
        <f t="shared" si="137"/>
        <v>27.751310147689345</v>
      </c>
      <c r="DA53" s="256"/>
      <c r="DB53" s="289">
        <f>SUM(DB48:DB49)</f>
        <v>352.40000000000003</v>
      </c>
      <c r="DC53" s="309">
        <f t="shared" si="138"/>
        <v>18.04495877925137</v>
      </c>
      <c r="DD53" s="310">
        <f>IF(CY53&lt;0,"       NM",(DB53/CY53-1)*100)</f>
        <v>1589.1231199529543</v>
      </c>
      <c r="DE53" s="256"/>
      <c r="DF53" s="289">
        <f>SUM(DF48:DF49)</f>
        <v>309.49999999999994</v>
      </c>
      <c r="DG53" s="309">
        <f t="shared" si="139"/>
        <v>16.978440945745785</v>
      </c>
      <c r="DH53" s="310">
        <f>IF(DC53&lt;0,"       NM",(DF53/DC53-1)*100)</f>
        <v>1615.1604710556182</v>
      </c>
      <c r="DI53" s="256"/>
      <c r="DJ53" s="289">
        <f>SUM(DJ48:DJ49)</f>
        <v>326.90000000000009</v>
      </c>
      <c r="DK53" s="309">
        <f t="shared" si="140"/>
        <v>17.581885655892005</v>
      </c>
      <c r="DL53" s="310">
        <f>IF(DG53&lt;0,"       NM",(DJ53/DG53-1)*100)</f>
        <v>1825.3829079159946</v>
      </c>
      <c r="DM53" s="256"/>
      <c r="DN53" s="2237">
        <f>SUM(DN48:DN49)</f>
        <v>342.92688602713719</v>
      </c>
      <c r="DO53" s="2238">
        <f t="shared" si="141"/>
        <v>17.353924686764362</v>
      </c>
      <c r="DP53" s="2239">
        <f>IF(DK53&lt;0,"       NM",(DN53/DK53-1)*100)</f>
        <v>1850.4556720411624</v>
      </c>
      <c r="DQ53" s="256"/>
      <c r="DR53" s="256"/>
      <c r="DS53" s="256"/>
      <c r="DT53" s="256"/>
      <c r="DU53" s="256"/>
      <c r="DV53" s="256"/>
      <c r="DW53" s="256"/>
      <c r="DX53" s="256"/>
      <c r="DY53" s="256"/>
      <c r="DZ53" s="256"/>
      <c r="EA53" s="256"/>
    </row>
    <row r="54" spans="1:131" hidden="1" outlineLevel="2">
      <c r="A54" s="256" t="str">
        <f>$A$16</f>
        <v>9 Mos</v>
      </c>
      <c r="B54" s="256"/>
      <c r="C54" s="256"/>
      <c r="D54" s="289">
        <f>SUM(D48:D50)</f>
        <v>0</v>
      </c>
      <c r="E54" s="256"/>
      <c r="F54" s="289">
        <f>SUM(F48:F50)</f>
        <v>0</v>
      </c>
      <c r="G54" s="309"/>
      <c r="H54" s="310"/>
      <c r="I54" s="256"/>
      <c r="J54" s="289">
        <f>SUM(J48:J50)</f>
        <v>38.247000000000007</v>
      </c>
      <c r="K54" s="309">
        <f t="shared" si="99"/>
        <v>11.154696422634293</v>
      </c>
      <c r="L54" s="310"/>
      <c r="M54" s="256"/>
      <c r="N54" s="289">
        <f>SUM(N48:N50)</f>
        <v>16.158000000000001</v>
      </c>
      <c r="O54" s="309">
        <f t="shared" si="100"/>
        <v>4.8382315512104563</v>
      </c>
      <c r="P54" s="310">
        <f t="shared" si="101"/>
        <v>-57.753549297984151</v>
      </c>
      <c r="Q54" s="256"/>
      <c r="R54" s="289">
        <f>SUM(R48:R50)</f>
        <v>13.445999999999984</v>
      </c>
      <c r="S54" s="309">
        <f t="shared" si="102"/>
        <v>3.7510042849491119</v>
      </c>
      <c r="T54" s="310">
        <f t="shared" si="103"/>
        <v>-16.784255477163125</v>
      </c>
      <c r="U54" s="256"/>
      <c r="V54" s="289">
        <f>SUM(V48:V50)</f>
        <v>26.959000000000003</v>
      </c>
      <c r="W54" s="309">
        <f t="shared" si="104"/>
        <v>6.0779384743718374</v>
      </c>
      <c r="X54" s="310">
        <f t="shared" si="105"/>
        <v>100.49828945411301</v>
      </c>
      <c r="Y54" s="256"/>
      <c r="Z54" s="289">
        <f>SUM(Z48:Z50)</f>
        <v>31.141999999999982</v>
      </c>
      <c r="AA54" s="309">
        <f t="shared" si="106"/>
        <v>5.9591421223440051</v>
      </c>
      <c r="AB54" s="310">
        <f t="shared" si="107"/>
        <v>15.516154160020701</v>
      </c>
      <c r="AC54" s="256"/>
      <c r="AD54" s="289">
        <f>SUM(AD48:AD50)</f>
        <v>47.799000000000035</v>
      </c>
      <c r="AE54" s="309">
        <f t="shared" si="108"/>
        <v>8.0403506204488266</v>
      </c>
      <c r="AF54" s="310">
        <f t="shared" si="109"/>
        <v>53.487251942714224</v>
      </c>
      <c r="AG54" s="256"/>
      <c r="AH54" s="289">
        <f>SUM(AH48:AH50)</f>
        <v>57.374000000000024</v>
      </c>
      <c r="AI54" s="309">
        <f t="shared" si="110"/>
        <v>8.8278285701976564</v>
      </c>
      <c r="AJ54" s="310">
        <f t="shared" si="111"/>
        <v>20.03179982844825</v>
      </c>
      <c r="AK54" s="256"/>
      <c r="AL54" s="289">
        <f>SUM(AL48:AL50)</f>
        <v>67.900999999999982</v>
      </c>
      <c r="AM54" s="309">
        <f t="shared" si="112"/>
        <v>9.3470770509924392</v>
      </c>
      <c r="AN54" s="310">
        <f t="shared" si="113"/>
        <v>18.34803220971164</v>
      </c>
      <c r="AO54" s="256"/>
      <c r="AP54" s="289">
        <f>SUM(AP48:AP50)</f>
        <v>110.874</v>
      </c>
      <c r="AQ54" s="309">
        <f t="shared" si="114"/>
        <v>12.291336400421262</v>
      </c>
      <c r="AR54" s="310">
        <f t="shared" si="115"/>
        <v>63.287727721241247</v>
      </c>
      <c r="AS54" s="256"/>
      <c r="AT54" s="289">
        <f>SUM(AT48:AT50)</f>
        <v>183.52399999999997</v>
      </c>
      <c r="AU54" s="309">
        <f t="shared" si="116"/>
        <v>16.811384444861748</v>
      </c>
      <c r="AV54" s="310">
        <f t="shared" si="117"/>
        <v>65.524829987192646</v>
      </c>
      <c r="AW54" s="256"/>
      <c r="AX54" s="289">
        <f>SUM(AX48:AX50)</f>
        <v>160.93199999999999</v>
      </c>
      <c r="AY54" s="309">
        <f t="shared" si="118"/>
        <v>15.462693221211863</v>
      </c>
      <c r="AZ54" s="310">
        <f t="shared" si="119"/>
        <v>-12.310106580065817</v>
      </c>
      <c r="BA54" s="256"/>
      <c r="BB54" s="289">
        <f>SUM(BB48:BB50)</f>
        <v>167.55700000000004</v>
      </c>
      <c r="BC54" s="309">
        <f t="shared" si="120"/>
        <v>15.406279394146139</v>
      </c>
      <c r="BD54" s="310">
        <f t="shared" si="121"/>
        <v>4.1166455397311008</v>
      </c>
      <c r="BE54" s="256"/>
      <c r="BF54" s="289">
        <f>SUM(BF48:BF50)</f>
        <v>176.637</v>
      </c>
      <c r="BG54" s="309">
        <f t="shared" si="122"/>
        <v>13.925343941497426</v>
      </c>
      <c r="BH54" s="310">
        <f t="shared" si="123"/>
        <v>5.4190514272754564</v>
      </c>
      <c r="BI54" s="256"/>
      <c r="BJ54" s="289">
        <f>SUM(BJ48:BJ50)</f>
        <v>154.2289999999999</v>
      </c>
      <c r="BK54" s="309">
        <f t="shared" si="124"/>
        <v>11.058149047579093</v>
      </c>
      <c r="BL54" s="310">
        <f t="shared" si="125"/>
        <v>-12.685903859327375</v>
      </c>
      <c r="BM54" s="592"/>
      <c r="BN54" s="289">
        <f>SUM(BN48:BN50)</f>
        <v>180.17400000000012</v>
      </c>
      <c r="BO54" s="309">
        <f t="shared" si="126"/>
        <v>11.724681412917368</v>
      </c>
      <c r="BP54" s="310">
        <f t="shared" si="142"/>
        <v>16.822387488734435</v>
      </c>
      <c r="BQ54" s="849"/>
      <c r="BR54" s="289">
        <f>SUM(BR48:BR50)</f>
        <v>199.46599999999989</v>
      </c>
      <c r="BS54" s="309">
        <f t="shared" si="127"/>
        <v>12.452250433405933</v>
      </c>
      <c r="BT54" s="310">
        <f t="shared" si="143"/>
        <v>10.707427264755044</v>
      </c>
      <c r="BU54" s="256"/>
      <c r="BV54" s="289">
        <f>SUM(BV48:BV50)</f>
        <v>263.84799999999996</v>
      </c>
      <c r="BW54" s="309">
        <f t="shared" si="128"/>
        <v>13.99268355029184</v>
      </c>
      <c r="BX54" s="310">
        <f t="shared" si="144"/>
        <v>32.277180070789058</v>
      </c>
      <c r="BY54" s="256"/>
      <c r="BZ54" s="289">
        <f>SUM(BZ48:BZ50)</f>
        <v>322.51800000000009</v>
      </c>
      <c r="CA54" s="309">
        <f t="shared" si="129"/>
        <v>16.035571625036173</v>
      </c>
      <c r="CB54" s="310">
        <f t="shared" si="145"/>
        <v>22.236287559504021</v>
      </c>
      <c r="CC54" s="256"/>
      <c r="CD54" s="289">
        <f>SUM(CD48:CD50)</f>
        <v>215.44300000000007</v>
      </c>
      <c r="CE54" s="309">
        <f t="shared" si="130"/>
        <v>12.465457785595262</v>
      </c>
      <c r="CF54" s="310">
        <f t="shared" si="146"/>
        <v>-33.199697381231431</v>
      </c>
      <c r="CG54" s="256"/>
      <c r="CH54" s="289">
        <f>SUM(CH48:CH50)</f>
        <v>327.82700000000011</v>
      </c>
      <c r="CI54" s="309">
        <f t="shared" si="131"/>
        <v>16.522913700338954</v>
      </c>
      <c r="CJ54" s="310">
        <f t="shared" si="147"/>
        <v>52.164145504843518</v>
      </c>
      <c r="CK54" s="256"/>
      <c r="CL54" s="289">
        <f>SUM(CL48:CL50)</f>
        <v>465.40100000000012</v>
      </c>
      <c r="CM54" s="309">
        <f t="shared" si="132"/>
        <v>18.953433866952395</v>
      </c>
      <c r="CN54" s="310">
        <f t="shared" si="148"/>
        <v>41.965426886742073</v>
      </c>
      <c r="CO54" s="256"/>
      <c r="CP54" s="289">
        <f>SUM(CP48:CP50)</f>
        <v>406.8599999999999</v>
      </c>
      <c r="CQ54" s="309">
        <f t="shared" si="133"/>
        <v>15.902410806416306</v>
      </c>
      <c r="CR54" s="310">
        <f t="shared" si="149"/>
        <v>-12.578615000827288</v>
      </c>
      <c r="CS54" s="256"/>
      <c r="CT54" s="289">
        <f>SUM(CT48:CT50)</f>
        <v>481.06200000000007</v>
      </c>
      <c r="CU54" s="309">
        <f t="shared" si="134"/>
        <v>17.602967748640065</v>
      </c>
      <c r="CV54" s="310">
        <f t="shared" si="135"/>
        <v>18.237723049697728</v>
      </c>
      <c r="CW54" s="256"/>
      <c r="CX54" s="289">
        <f>SUM(CX48:CX50)</f>
        <v>586.80500000000006</v>
      </c>
      <c r="CY54" s="309">
        <f t="shared" si="136"/>
        <v>19.793392207042249</v>
      </c>
      <c r="CZ54" s="310">
        <f t="shared" si="137"/>
        <v>21.981158353808851</v>
      </c>
      <c r="DA54" s="256"/>
      <c r="DB54" s="289">
        <f>SUM(DB48:DB50)</f>
        <v>508.8</v>
      </c>
      <c r="DC54" s="309">
        <f t="shared" si="138"/>
        <v>17.598837812597278</v>
      </c>
      <c r="DD54" s="310">
        <f>IF(CY54&lt;0,"       NM",(DB54/CY54-1)*100)</f>
        <v>2470.5548330365277</v>
      </c>
      <c r="DE54" s="256"/>
      <c r="DF54" s="289">
        <f>SUM(DF48:DF50)</f>
        <v>464.69999999999993</v>
      </c>
      <c r="DG54" s="309">
        <f t="shared" si="139"/>
        <v>16.762859822523627</v>
      </c>
      <c r="DH54" s="310">
        <f>IF(DC54&lt;0,"       NM",(DF54/DC54-1)*100)</f>
        <v>2540.5152712264153</v>
      </c>
      <c r="DI54" s="256"/>
      <c r="DJ54" s="289">
        <f>SUM(DJ48:DJ50)</f>
        <v>487.20000000000016</v>
      </c>
      <c r="DK54" s="309">
        <f t="shared" si="140"/>
        <v>17.182154822782582</v>
      </c>
      <c r="DL54" s="310">
        <f>IF(DG54&lt;0,"       NM",(DJ54/DG54-1)*100)</f>
        <v>2806.4253066494521</v>
      </c>
      <c r="DM54" s="256"/>
      <c r="DN54" s="2237">
        <f>SUM(DN48:DN50)</f>
        <v>494.46733510316062</v>
      </c>
      <c r="DO54" s="2238">
        <f t="shared" si="141"/>
        <v>16.482251150674941</v>
      </c>
      <c r="DP54" s="2239">
        <f>IF(DK54&lt;0,"       NM",(DN54/DK54-1)*100)</f>
        <v>2777.7958306342603</v>
      </c>
      <c r="DQ54" s="256"/>
      <c r="DR54" s="256"/>
      <c r="DS54" s="256"/>
      <c r="DT54" s="256"/>
      <c r="DU54" s="256"/>
      <c r="DV54" s="256"/>
      <c r="DW54" s="256"/>
      <c r="DX54" s="256"/>
      <c r="DY54" s="256"/>
      <c r="DZ54" s="256"/>
      <c r="EA54" s="256"/>
    </row>
    <row r="55" spans="1:131" outlineLevel="1" collapsed="1">
      <c r="A55" s="256"/>
      <c r="B55" s="256"/>
      <c r="C55" s="256"/>
      <c r="D55" s="256"/>
      <c r="E55" s="256"/>
      <c r="F55" s="256"/>
      <c r="G55" s="256"/>
      <c r="H55" s="256"/>
      <c r="I55" s="256"/>
      <c r="J55" s="256"/>
      <c r="K55" s="256"/>
      <c r="L55" s="256"/>
      <c r="M55" s="256"/>
      <c r="N55" s="256"/>
      <c r="O55" s="256"/>
      <c r="P55" s="256"/>
      <c r="Q55" s="256"/>
      <c r="R55" s="256"/>
      <c r="S55" s="256"/>
      <c r="T55" s="256"/>
      <c r="U55" s="256"/>
      <c r="V55" s="256"/>
      <c r="W55" s="256"/>
      <c r="X55" s="256"/>
      <c r="Y55" s="256"/>
      <c r="Z55" s="256"/>
      <c r="AA55" s="256"/>
      <c r="AB55" s="256"/>
      <c r="AC55" s="256"/>
      <c r="AD55" s="256"/>
      <c r="AE55" s="256"/>
      <c r="AF55" s="256"/>
      <c r="AG55" s="256"/>
      <c r="AH55" s="256"/>
      <c r="AI55" s="256"/>
      <c r="AJ55" s="256"/>
      <c r="AK55" s="256"/>
      <c r="AL55" s="256"/>
      <c r="AM55" s="256"/>
      <c r="AN55" s="256"/>
      <c r="AO55" s="256"/>
      <c r="AP55" s="256"/>
      <c r="AQ55" s="256"/>
      <c r="AR55" s="256"/>
      <c r="AS55" s="256"/>
      <c r="AT55" s="256"/>
      <c r="AU55" s="256"/>
      <c r="AV55" s="256"/>
      <c r="AW55" s="256"/>
      <c r="AX55" s="256"/>
      <c r="AY55" s="256"/>
      <c r="AZ55" s="256"/>
      <c r="BA55" s="256"/>
      <c r="BB55" s="256"/>
      <c r="BC55" s="256"/>
      <c r="BD55" s="256"/>
      <c r="BE55" s="256"/>
      <c r="BF55" s="256"/>
      <c r="BG55" s="256"/>
      <c r="BH55" s="256"/>
      <c r="BI55" s="256"/>
      <c r="BJ55" s="256"/>
      <c r="BK55" s="256"/>
      <c r="BL55" s="256"/>
      <c r="BM55" s="587"/>
      <c r="BN55" s="256"/>
      <c r="BO55" s="256"/>
      <c r="BP55" s="256"/>
      <c r="BQ55" s="599"/>
      <c r="BR55" s="256"/>
      <c r="BS55" s="256"/>
      <c r="BT55" s="256"/>
      <c r="BU55" s="256"/>
      <c r="BV55" s="616"/>
      <c r="BW55" s="256"/>
      <c r="BX55" s="256"/>
      <c r="BY55" s="256"/>
      <c r="BZ55" s="256"/>
      <c r="CA55" s="256"/>
      <c r="CB55" s="256"/>
      <c r="CC55" s="256"/>
      <c r="CD55" s="256"/>
      <c r="CE55" s="309"/>
      <c r="CF55" s="256"/>
      <c r="CG55" s="256"/>
      <c r="CH55" s="256"/>
      <c r="CI55" s="309"/>
      <c r="CJ55" s="256"/>
      <c r="CK55" s="256"/>
      <c r="CL55" s="256"/>
      <c r="CM55" s="1284"/>
      <c r="CN55" s="309"/>
      <c r="CO55" s="256"/>
      <c r="CP55" s="256"/>
      <c r="CQ55" s="1028"/>
      <c r="CR55" s="309"/>
      <c r="CS55" s="256"/>
      <c r="CT55" s="256"/>
      <c r="CU55" s="1028"/>
      <c r="CV55" s="309"/>
      <c r="CW55" s="256"/>
      <c r="CX55" s="256"/>
      <c r="CY55" s="1028"/>
      <c r="CZ55" s="309"/>
      <c r="DA55" s="256"/>
      <c r="DB55" s="610"/>
      <c r="DC55" s="1028"/>
      <c r="DD55" s="309"/>
      <c r="DE55" s="256"/>
      <c r="DF55" s="610"/>
      <c r="DG55" s="1028"/>
      <c r="DH55" s="309"/>
      <c r="DI55" s="256"/>
      <c r="DJ55" s="610"/>
      <c r="DK55" s="1028"/>
      <c r="DL55" s="309"/>
      <c r="DM55" s="256"/>
      <c r="DN55" s="610"/>
      <c r="DO55" s="1028"/>
      <c r="DP55" s="309"/>
      <c r="DQ55" s="256"/>
      <c r="DR55" s="256"/>
      <c r="DS55" s="256"/>
      <c r="DT55" s="256"/>
      <c r="DU55" s="387"/>
      <c r="DV55" s="256"/>
      <c r="DW55" s="256"/>
      <c r="DX55" s="256"/>
      <c r="DY55" s="387"/>
      <c r="DZ55" s="256"/>
      <c r="EA55" s="256"/>
    </row>
    <row r="56" spans="1:131" ht="12.75" customHeight="1" outlineLevel="1">
      <c r="A56" s="256"/>
      <c r="B56" s="256"/>
      <c r="C56" s="268"/>
      <c r="D56" s="598"/>
      <c r="E56" s="268" t="str">
        <f>Z56</f>
        <v>5.  Net Other Expenses / (Income)  (% of Sales)</v>
      </c>
      <c r="F56" s="598"/>
      <c r="G56" s="256"/>
      <c r="H56" s="256"/>
      <c r="I56" s="256"/>
      <c r="J56" s="598"/>
      <c r="K56" s="256"/>
      <c r="L56" s="256"/>
      <c r="M56" s="256"/>
      <c r="N56" s="598"/>
      <c r="O56" s="256"/>
      <c r="P56" s="256"/>
      <c r="Q56" s="256"/>
      <c r="R56" s="598"/>
      <c r="S56" s="256"/>
      <c r="T56" s="256"/>
      <c r="U56" s="256"/>
      <c r="V56" s="598"/>
      <c r="W56" s="256"/>
      <c r="X56" s="256"/>
      <c r="Y56" s="256"/>
      <c r="Z56" s="599" t="s">
        <v>1918</v>
      </c>
      <c r="AA56" s="312"/>
      <c r="AB56" s="312"/>
      <c r="AC56" s="312"/>
      <c r="AD56" s="600"/>
      <c r="AE56" s="312"/>
      <c r="AF56" s="312"/>
      <c r="AG56" s="312"/>
      <c r="AH56" s="600"/>
      <c r="AI56" s="312"/>
      <c r="AJ56" s="312"/>
      <c r="AK56" s="312"/>
      <c r="AL56" s="600"/>
      <c r="AM56" s="312"/>
      <c r="AN56" s="312"/>
      <c r="AO56" s="312"/>
      <c r="AP56" s="256"/>
      <c r="AQ56" s="827"/>
      <c r="AR56" s="827"/>
      <c r="AS56" s="827"/>
      <c r="AT56" s="827"/>
      <c r="AU56" s="827"/>
      <c r="AV56" s="827"/>
      <c r="AW56" s="827"/>
      <c r="AX56" s="827"/>
      <c r="AY56" s="827"/>
      <c r="AZ56" s="827"/>
      <c r="BA56" s="827"/>
      <c r="BB56" s="600"/>
      <c r="BC56" s="600"/>
      <c r="BD56" s="600"/>
      <c r="BE56" s="600"/>
      <c r="BF56" s="312"/>
      <c r="BG56" s="600"/>
      <c r="BH56" s="600"/>
      <c r="BI56" s="600"/>
      <c r="BJ56" s="600" t="s">
        <v>1918</v>
      </c>
      <c r="BK56" s="600"/>
      <c r="BL56" s="600"/>
      <c r="BM56" s="600"/>
      <c r="BN56" s="600"/>
      <c r="BO56" s="600"/>
      <c r="BP56" s="600"/>
      <c r="BQ56" s="600"/>
      <c r="BR56" s="600"/>
      <c r="BS56" s="600"/>
      <c r="BT56" s="600"/>
      <c r="BU56" s="600"/>
      <c r="BV56" s="600" t="s">
        <v>1918</v>
      </c>
      <c r="BW56" s="600"/>
      <c r="BX56" s="600"/>
      <c r="BY56" s="600"/>
      <c r="BZ56" s="600"/>
      <c r="CA56" s="600"/>
      <c r="CB56" s="600"/>
      <c r="CC56" s="600"/>
      <c r="CE56" s="600"/>
      <c r="CF56" s="600"/>
      <c r="CG56" s="600"/>
      <c r="CH56" s="600"/>
      <c r="CI56" s="600"/>
      <c r="CJ56" s="600"/>
      <c r="CK56" s="600"/>
      <c r="CL56" s="600"/>
      <c r="CM56" s="600"/>
      <c r="CN56" s="600"/>
      <c r="CO56" s="600"/>
      <c r="CR56" s="600"/>
      <c r="CS56" s="256"/>
      <c r="CT56" s="600"/>
      <c r="CU56" s="600"/>
      <c r="CV56" s="600"/>
      <c r="CW56" s="256"/>
      <c r="CX56" s="600"/>
      <c r="CY56" s="600"/>
      <c r="CZ56" s="600"/>
      <c r="DA56" s="256"/>
      <c r="DB56" s="600" t="s">
        <v>1918</v>
      </c>
      <c r="DC56" s="600"/>
      <c r="DD56" s="600"/>
      <c r="DE56" s="256"/>
      <c r="DF56" s="600"/>
      <c r="DG56" s="600"/>
      <c r="DH56" s="600"/>
      <c r="DI56" s="256"/>
      <c r="DJ56" s="600"/>
      <c r="DK56" s="600"/>
      <c r="DL56" s="600"/>
      <c r="DM56" s="256"/>
      <c r="DN56" s="600"/>
      <c r="DO56" s="600"/>
      <c r="DP56" s="600"/>
      <c r="DQ56" s="256"/>
      <c r="DR56" s="256"/>
      <c r="DS56" s="256"/>
      <c r="DT56" s="256"/>
      <c r="DU56" s="256"/>
      <c r="DV56" s="256"/>
      <c r="DW56" s="256"/>
      <c r="DX56" s="256"/>
      <c r="DY56" s="256"/>
      <c r="DZ56" s="256"/>
      <c r="EA56" s="256"/>
    </row>
    <row r="57" spans="1:131" outlineLevel="1">
      <c r="A57" s="256"/>
      <c r="B57" s="256"/>
      <c r="C57" s="256"/>
      <c r="D57" s="256"/>
      <c r="E57" s="256"/>
      <c r="F57" s="256"/>
      <c r="G57" s="256"/>
      <c r="H57" s="256"/>
      <c r="I57" s="256"/>
      <c r="J57" s="256"/>
      <c r="K57" s="256"/>
      <c r="L57" s="256"/>
      <c r="M57" s="256"/>
      <c r="N57" s="256"/>
      <c r="O57" s="256"/>
      <c r="P57" s="256"/>
      <c r="Q57" s="256"/>
      <c r="R57" s="256"/>
      <c r="S57" s="256"/>
      <c r="T57" s="256"/>
      <c r="U57" s="256"/>
      <c r="V57" s="256"/>
      <c r="W57" s="256"/>
      <c r="X57" s="256"/>
      <c r="Y57" s="256"/>
      <c r="Z57" s="256"/>
      <c r="AA57" s="256"/>
      <c r="AB57" s="256"/>
      <c r="AC57" s="256"/>
      <c r="AD57" s="256"/>
      <c r="AE57" s="256"/>
      <c r="AF57" s="256"/>
      <c r="AG57" s="256"/>
      <c r="AH57" s="256"/>
      <c r="AI57" s="256"/>
      <c r="AJ57" s="256"/>
      <c r="AK57" s="256"/>
      <c r="AL57" s="256"/>
      <c r="AM57" s="256"/>
      <c r="AN57" s="256"/>
      <c r="AO57" s="256"/>
      <c r="AP57" s="256"/>
      <c r="AQ57" s="256"/>
      <c r="AR57" s="256"/>
      <c r="AS57" s="256"/>
      <c r="AT57" s="256"/>
      <c r="AU57" s="256"/>
      <c r="AV57" s="256"/>
      <c r="AW57" s="256"/>
      <c r="AX57" s="256"/>
      <c r="AY57" s="256"/>
      <c r="AZ57" s="256"/>
      <c r="BA57" s="256"/>
      <c r="BB57" s="256"/>
      <c r="BC57" s="256"/>
      <c r="BD57" s="256"/>
      <c r="BE57" s="256"/>
      <c r="BF57" s="256"/>
      <c r="BG57" s="256"/>
      <c r="BH57" s="256"/>
      <c r="BI57" s="256"/>
      <c r="BJ57" s="256"/>
      <c r="BK57" s="256"/>
      <c r="BL57" s="256"/>
      <c r="BM57" s="587"/>
      <c r="BN57" s="256"/>
      <c r="BO57" s="256"/>
      <c r="BP57" s="256"/>
      <c r="BQ57" s="599"/>
      <c r="BR57" s="256"/>
      <c r="BS57" s="256"/>
      <c r="BT57" s="256"/>
      <c r="BU57" s="256"/>
      <c r="BV57" s="256"/>
      <c r="BW57" s="256"/>
      <c r="BX57" s="256"/>
      <c r="BY57" s="256"/>
      <c r="BZ57" s="256"/>
      <c r="CA57" s="256"/>
      <c r="CB57" s="256"/>
      <c r="CC57" s="256"/>
      <c r="CD57" s="256"/>
      <c r="CE57" s="256"/>
      <c r="CF57" s="256"/>
      <c r="CG57" s="256"/>
      <c r="CH57" s="256"/>
      <c r="CI57" s="256"/>
      <c r="CJ57" s="256"/>
      <c r="CK57" s="256"/>
      <c r="CL57" s="256"/>
      <c r="CM57" s="256"/>
      <c r="CN57" s="256"/>
      <c r="CO57" s="256"/>
      <c r="CP57" s="256"/>
      <c r="CQ57" s="256"/>
      <c r="CR57" s="256"/>
      <c r="CS57" s="256"/>
      <c r="CT57" s="256"/>
      <c r="CU57" s="256"/>
      <c r="CV57" s="256"/>
      <c r="CW57" s="256"/>
      <c r="CX57" s="256"/>
      <c r="CY57" s="256"/>
      <c r="CZ57" s="256"/>
      <c r="DA57" s="256"/>
      <c r="DB57" s="256"/>
      <c r="DC57" s="256"/>
      <c r="DD57" s="256"/>
      <c r="DE57" s="256"/>
      <c r="DF57" s="256"/>
      <c r="DG57" s="256"/>
      <c r="DH57" s="256"/>
      <c r="DI57" s="256"/>
      <c r="DJ57" s="256"/>
      <c r="DK57" s="256"/>
      <c r="DL57" s="256"/>
      <c r="DM57" s="256"/>
      <c r="DN57" s="256"/>
      <c r="DO57" s="256"/>
      <c r="DP57" s="256"/>
      <c r="DQ57" s="256"/>
      <c r="DR57" s="256"/>
      <c r="DS57" s="256"/>
      <c r="DT57" s="256"/>
      <c r="DU57" s="256"/>
      <c r="DV57" s="256"/>
      <c r="DW57" s="256"/>
      <c r="DX57" s="256"/>
      <c r="DY57" s="256"/>
      <c r="DZ57" s="256"/>
      <c r="EA57" s="256"/>
    </row>
    <row r="58" spans="1:131" outlineLevel="1">
      <c r="A58" s="256" t="str">
        <f>$A$10</f>
        <v>1Q</v>
      </c>
      <c r="B58" s="256" t="str">
        <f>$B$10</f>
        <v>Apr</v>
      </c>
      <c r="C58" s="256"/>
      <c r="D58" s="294"/>
      <c r="E58" s="256"/>
      <c r="F58" s="294"/>
      <c r="G58" s="309"/>
      <c r="H58" s="238"/>
      <c r="I58" s="256"/>
      <c r="J58" s="294">
        <f>2.368-J59</f>
        <v>1.1099999999999999</v>
      </c>
      <c r="K58" s="309">
        <f t="shared" ref="K58:K64" si="150">J58/J30*100</f>
        <v>3.0267499250129526</v>
      </c>
      <c r="L58" s="238"/>
      <c r="M58" s="256"/>
      <c r="N58" s="294">
        <f>3.453-N59</f>
        <v>1.6289999999999998</v>
      </c>
      <c r="O58" s="309">
        <f t="shared" ref="O58:O64" si="151">N58/N30*100</f>
        <v>3.8243027514320587</v>
      </c>
      <c r="P58" s="238"/>
      <c r="Q58" s="256"/>
      <c r="R58" s="294">
        <v>1.87</v>
      </c>
      <c r="S58" s="309">
        <f t="shared" ref="S58:S64" si="152">R58/R30*100</f>
        <v>3.9723001104596825</v>
      </c>
      <c r="T58" s="238"/>
      <c r="U58" s="256"/>
      <c r="V58" s="294">
        <v>2.8170000000000002</v>
      </c>
      <c r="W58" s="309">
        <f t="shared" ref="W58:W64" si="153">V58/V30*100</f>
        <v>4.611531283763874</v>
      </c>
      <c r="X58" s="238"/>
      <c r="Y58" s="256"/>
      <c r="Z58" s="294">
        <v>2.9609999999999999</v>
      </c>
      <c r="AA58" s="309">
        <f t="shared" ref="AA58:AA64" si="154">Z58/Z10*100</f>
        <v>1.9721067774936059</v>
      </c>
      <c r="AB58" s="238"/>
      <c r="AC58" s="256"/>
      <c r="AD58" s="294">
        <v>3.34</v>
      </c>
      <c r="AE58" s="309">
        <f t="shared" ref="AE58:AE64" si="155">AD58/AD10*100</f>
        <v>1.8479481689268065</v>
      </c>
      <c r="AF58" s="238"/>
      <c r="AG58" s="256"/>
      <c r="AH58" s="294">
        <v>1.1240000000000001</v>
      </c>
      <c r="AI58" s="309">
        <f t="shared" ref="AI58:AI64" si="156">AH58/AH10*100</f>
        <v>0.56284708486271839</v>
      </c>
      <c r="AJ58" s="238"/>
      <c r="AK58" s="256"/>
      <c r="AL58" s="294">
        <v>1.129</v>
      </c>
      <c r="AM58" s="309">
        <f t="shared" ref="AM58:AM64" si="157">AL58/AL10*100</f>
        <v>0.49920631060448628</v>
      </c>
      <c r="AN58" s="238"/>
      <c r="AO58" s="238"/>
      <c r="AP58" s="294">
        <v>1.5820000000000001</v>
      </c>
      <c r="AQ58" s="309">
        <f t="shared" ref="AQ58:AQ64" si="158">AP58/AP10*100</f>
        <v>0.58102594049442302</v>
      </c>
      <c r="AR58" s="256"/>
      <c r="AS58" s="256"/>
      <c r="AT58" s="294">
        <v>2.6850000000000001</v>
      </c>
      <c r="AU58" s="309">
        <f t="shared" ref="AU58:AU64" si="159">AT58/AT10*100</f>
        <v>0.77793841972747535</v>
      </c>
      <c r="AV58" s="256"/>
      <c r="AW58" s="256"/>
      <c r="AX58" s="294">
        <v>-2.0470000000000002</v>
      </c>
      <c r="AY58" s="309">
        <f t="shared" ref="AY58:AY64" si="160">AX58/AX10*100</f>
        <v>-0.60849997473253647</v>
      </c>
      <c r="AZ58" s="256"/>
      <c r="BA58" s="256"/>
      <c r="BB58" s="294">
        <v>4.0519999999999996</v>
      </c>
      <c r="BC58" s="309">
        <f t="shared" ref="BC58:BC64" si="161">BB58/BB10*100</f>
        <v>1.1672893938564624</v>
      </c>
      <c r="BD58" s="256"/>
      <c r="BE58" s="256"/>
      <c r="BF58" s="294">
        <v>2.3130000000000002</v>
      </c>
      <c r="BG58" s="309">
        <f t="shared" ref="BG58:BG64" si="162">BF58/BF10*100</f>
        <v>0.58432847698180335</v>
      </c>
      <c r="BH58" s="256"/>
      <c r="BI58" s="256"/>
      <c r="BJ58" s="294">
        <v>3.3239999999999998</v>
      </c>
      <c r="BK58" s="309">
        <f t="shared" ref="BK58:BK64" si="163">BJ58/BJ10*100</f>
        <v>0.72741596638655459</v>
      </c>
      <c r="BL58" s="256"/>
      <c r="BM58" s="587"/>
      <c r="BN58" s="294">
        <v>4.2060000000000004</v>
      </c>
      <c r="BO58" s="309">
        <f t="shared" ref="BO58:BO64" si="164">BN58/BN10*100</f>
        <v>0.8248660034006603</v>
      </c>
      <c r="BP58" s="310"/>
      <c r="BQ58" s="599"/>
      <c r="BR58" s="294">
        <f>9.143-BR59</f>
        <v>3.9290000000000003</v>
      </c>
      <c r="BS58" s="309">
        <f t="shared" ref="BS58:BS64" si="165">BR58/BR10*100</f>
        <v>0.76238561305194874</v>
      </c>
      <c r="BT58" s="310"/>
      <c r="BU58" s="256"/>
      <c r="BV58" s="294">
        <v>3.085</v>
      </c>
      <c r="BW58" s="309">
        <f t="shared" ref="BW58:BW64" si="166">BV58/BV10*100</f>
        <v>0.5178529163428337</v>
      </c>
      <c r="BX58" s="310"/>
      <c r="BY58" s="256"/>
      <c r="BZ58" s="294">
        <v>1.5049999999999999</v>
      </c>
      <c r="CA58" s="309">
        <f t="shared" ref="CA58:CA64" si="167">BZ58/BZ10*100</f>
        <v>0.2261525515417443</v>
      </c>
      <c r="CB58" s="310"/>
      <c r="CC58" s="256"/>
      <c r="CD58" s="294">
        <v>12.44</v>
      </c>
      <c r="CE58" s="309">
        <f t="shared" ref="CE58:CE64" si="168">CD58/CD10*100</f>
        <v>2.4033306608193348</v>
      </c>
      <c r="CF58" s="310"/>
      <c r="CG58" s="256"/>
      <c r="CH58" s="294">
        <v>12.138</v>
      </c>
      <c r="CI58" s="309">
        <f t="shared" ref="CI58:CI64" si="169">CH58/CH10*100</f>
        <v>1.9157620275700535</v>
      </c>
      <c r="CJ58" s="310"/>
      <c r="CK58" s="256"/>
      <c r="CL58" s="294">
        <v>10.147</v>
      </c>
      <c r="CM58" s="309">
        <f t="shared" ref="CM58:CM64" si="170">CL58/CL10*100</f>
        <v>1.3333455976074153</v>
      </c>
      <c r="CN58" s="310"/>
      <c r="CO58" s="256"/>
      <c r="CP58" s="294">
        <v>10.554</v>
      </c>
      <c r="CQ58" s="309">
        <f t="shared" ref="CQ58:CQ64" si="171">CP58/CP10*100</f>
        <v>1.2883772599094208</v>
      </c>
      <c r="CR58" s="310"/>
      <c r="CS58" s="256"/>
      <c r="CT58" s="294">
        <v>12.712</v>
      </c>
      <c r="CU58" s="309">
        <f t="shared" ref="CU58:CU64" si="172">CT58/CT10*100</f>
        <v>1.4195675187943055</v>
      </c>
      <c r="CV58" s="310"/>
      <c r="CW58" s="256"/>
      <c r="CX58" s="294">
        <v>16.276</v>
      </c>
      <c r="CY58" s="309">
        <f t="shared" ref="CY58:CY64" si="173">CX58/CX10*100</f>
        <v>1.6080906443033123</v>
      </c>
      <c r="CZ58" s="310"/>
      <c r="DA58" s="256"/>
      <c r="DB58" s="294">
        <v>9.3000000000000007</v>
      </c>
      <c r="DC58" s="309">
        <f t="shared" ref="DC58:DC64" si="174">DB58/DB10*100</f>
        <v>0.96633416458852883</v>
      </c>
      <c r="DD58" s="310"/>
      <c r="DE58" s="256"/>
      <c r="DF58" s="2170">
        <v>11.5</v>
      </c>
      <c r="DG58" s="309">
        <f t="shared" ref="DG58:DG64" si="175">DF58/DF10*100</f>
        <v>1.2902501963424213</v>
      </c>
      <c r="DH58" s="310"/>
      <c r="DI58" s="256"/>
      <c r="DJ58" s="2214">
        <v>9.5</v>
      </c>
      <c r="DK58" s="309">
        <f t="shared" ref="DK58:DK64" si="176">DJ58/DJ10*100</f>
        <v>1.0560248999555357</v>
      </c>
      <c r="DL58" s="310"/>
      <c r="DM58" s="256"/>
      <c r="DN58" s="2390">
        <v>8.9</v>
      </c>
      <c r="DO58" s="309">
        <f t="shared" ref="DO58:DO64" si="177">DN58/DN10*100</f>
        <v>0.92497630499143257</v>
      </c>
      <c r="DP58" s="310"/>
      <c r="DQ58" s="256"/>
      <c r="DR58" s="256"/>
      <c r="DS58" s="256"/>
      <c r="DT58" s="256"/>
      <c r="DU58" s="601"/>
      <c r="DV58" s="256"/>
      <c r="DW58" s="256"/>
      <c r="DX58" s="256"/>
      <c r="DY58" s="256"/>
      <c r="DZ58" s="256"/>
      <c r="EA58" s="256"/>
    </row>
    <row r="59" spans="1:131" outlineLevel="1">
      <c r="A59" s="256" t="str">
        <f>$A$11</f>
        <v>2Q</v>
      </c>
      <c r="B59" s="256" t="str">
        <f>$B$11</f>
        <v>Jul</v>
      </c>
      <c r="C59" s="256"/>
      <c r="D59" s="295"/>
      <c r="E59" s="256"/>
      <c r="F59" s="295"/>
      <c r="G59" s="309"/>
      <c r="H59" s="256"/>
      <c r="I59" s="256"/>
      <c r="J59" s="295">
        <v>1.258</v>
      </c>
      <c r="K59" s="309">
        <f t="shared" si="150"/>
        <v>2.7799876248563598</v>
      </c>
      <c r="L59" s="256"/>
      <c r="M59" s="256"/>
      <c r="N59" s="295">
        <v>1.8240000000000001</v>
      </c>
      <c r="O59" s="309">
        <f t="shared" si="151"/>
        <v>3.616177636796194</v>
      </c>
      <c r="P59" s="256"/>
      <c r="Q59" s="256"/>
      <c r="R59" s="295">
        <v>1.54</v>
      </c>
      <c r="S59" s="309">
        <f t="shared" si="152"/>
        <v>2.8719555406363062</v>
      </c>
      <c r="T59" s="256"/>
      <c r="U59" s="256"/>
      <c r="V59" s="295">
        <v>2.9550000000000001</v>
      </c>
      <c r="W59" s="309">
        <f t="shared" si="153"/>
        <v>4.227286382558689</v>
      </c>
      <c r="X59" s="256"/>
      <c r="Y59" s="256"/>
      <c r="Z59" s="295">
        <v>3.222</v>
      </c>
      <c r="AA59" s="309">
        <f t="shared" si="154"/>
        <v>1.7446204827757983</v>
      </c>
      <c r="AB59" s="256"/>
      <c r="AC59" s="256"/>
      <c r="AD59" s="295">
        <v>2.36</v>
      </c>
      <c r="AE59" s="309">
        <f t="shared" si="155"/>
        <v>1.1639204391333724</v>
      </c>
      <c r="AF59" s="256"/>
      <c r="AG59" s="256"/>
      <c r="AH59" s="295">
        <v>1.0349999999999999</v>
      </c>
      <c r="AI59" s="309">
        <f t="shared" si="156"/>
        <v>0.47663125319481087</v>
      </c>
      <c r="AJ59" s="256"/>
      <c r="AK59" s="256"/>
      <c r="AL59" s="295">
        <v>1.458</v>
      </c>
      <c r="AM59" s="309">
        <f t="shared" si="157"/>
        <v>0.58856298592777379</v>
      </c>
      <c r="AN59" s="256"/>
      <c r="AO59" s="256"/>
      <c r="AP59" s="295">
        <v>2.331</v>
      </c>
      <c r="AQ59" s="309">
        <f t="shared" si="158"/>
        <v>0.75911771698033326</v>
      </c>
      <c r="AR59" s="256"/>
      <c r="AS59" s="256"/>
      <c r="AT59" s="295">
        <v>1.804</v>
      </c>
      <c r="AU59" s="309">
        <f t="shared" si="159"/>
        <v>0.48177584070418328</v>
      </c>
      <c r="AV59" s="256"/>
      <c r="AW59" s="256"/>
      <c r="AX59" s="295">
        <v>5.5810000000000004</v>
      </c>
      <c r="AY59" s="309">
        <f t="shared" si="160"/>
        <v>1.5030931777722119</v>
      </c>
      <c r="AZ59" s="256"/>
      <c r="BA59" s="256"/>
      <c r="BB59" s="295">
        <v>4.5540000000000003</v>
      </c>
      <c r="BC59" s="309">
        <f t="shared" si="161"/>
        <v>1.2162584429007524</v>
      </c>
      <c r="BD59" s="256"/>
      <c r="BE59" s="256"/>
      <c r="BF59" s="295">
        <v>3.45</v>
      </c>
      <c r="BG59" s="309">
        <f t="shared" si="162"/>
        <v>0.77966982677770369</v>
      </c>
      <c r="BH59" s="256"/>
      <c r="BI59" s="256"/>
      <c r="BJ59" s="295">
        <v>4.798</v>
      </c>
      <c r="BK59" s="309">
        <f t="shared" si="163"/>
        <v>1.006720562655661</v>
      </c>
      <c r="BL59" s="256"/>
      <c r="BM59" s="587"/>
      <c r="BN59" s="295">
        <v>3.8580000000000001</v>
      </c>
      <c r="BO59" s="309">
        <f t="shared" si="164"/>
        <v>0.73248389503722222</v>
      </c>
      <c r="BP59" s="310"/>
      <c r="BQ59" s="599"/>
      <c r="BR59" s="295">
        <v>5.2140000000000004</v>
      </c>
      <c r="BS59" s="309">
        <f t="shared" si="165"/>
        <v>0.94004042137753596</v>
      </c>
      <c r="BT59" s="310"/>
      <c r="BU59" s="256"/>
      <c r="BV59" s="295">
        <v>2.7480000000000002</v>
      </c>
      <c r="BW59" s="309">
        <f t="shared" si="166"/>
        <v>0.41475363815009014</v>
      </c>
      <c r="BX59" s="310"/>
      <c r="BY59" s="256"/>
      <c r="BZ59" s="295">
        <v>3.34</v>
      </c>
      <c r="CA59" s="309">
        <f t="shared" si="167"/>
        <v>0.45776375552674353</v>
      </c>
      <c r="CB59" s="310"/>
      <c r="CC59" s="256"/>
      <c r="CD59" s="295">
        <v>12.132</v>
      </c>
      <c r="CE59" s="309">
        <f t="shared" si="168"/>
        <v>1.9807573311041919</v>
      </c>
      <c r="CF59" s="1019"/>
      <c r="CG59" s="256"/>
      <c r="CH59" s="295">
        <v>11.121</v>
      </c>
      <c r="CI59" s="309">
        <f t="shared" si="169"/>
        <v>1.6629284048089004</v>
      </c>
      <c r="CJ59" s="1019"/>
      <c r="CK59" s="256"/>
      <c r="CL59" s="295">
        <v>9.6189999999999998</v>
      </c>
      <c r="CM59" s="309">
        <f t="shared" si="170"/>
        <v>1.1021963717698393</v>
      </c>
      <c r="CN59" s="1019"/>
      <c r="CO59" s="256"/>
      <c r="CP59" s="295">
        <v>14.25</v>
      </c>
      <c r="CQ59" s="309">
        <f t="shared" si="171"/>
        <v>1.6073199040345421</v>
      </c>
      <c r="CR59" s="1019"/>
      <c r="CS59" s="256"/>
      <c r="CT59" s="1729">
        <v>14.694000000000001</v>
      </c>
      <c r="CU59" s="309">
        <f t="shared" si="172"/>
        <v>1.5870238604404008</v>
      </c>
      <c r="CV59" s="1019"/>
      <c r="CW59" s="256"/>
      <c r="CX59" s="1729">
        <v>16.151</v>
      </c>
      <c r="CY59" s="309">
        <f t="shared" si="173"/>
        <v>1.6266000624414614</v>
      </c>
      <c r="CZ59" s="1019"/>
      <c r="DA59" s="256"/>
      <c r="DB59" s="1729">
        <v>13.6</v>
      </c>
      <c r="DC59" s="309">
        <f t="shared" si="174"/>
        <v>1.3730439172135285</v>
      </c>
      <c r="DD59" s="1019"/>
      <c r="DE59" s="256"/>
      <c r="DF59" s="2104">
        <v>13.4</v>
      </c>
      <c r="DG59" s="309">
        <f>DF59/DF11*100</f>
        <v>1.4383855732073851</v>
      </c>
      <c r="DH59" s="1019"/>
      <c r="DI59" s="256"/>
      <c r="DJ59" s="2104">
        <v>8.8000000000000007</v>
      </c>
      <c r="DK59" s="309">
        <f t="shared" si="176"/>
        <v>0.91695321454621248</v>
      </c>
      <c r="DL59" s="1019"/>
      <c r="DM59" s="256"/>
      <c r="DN59" s="2391">
        <v>9</v>
      </c>
      <c r="DO59" s="309">
        <f t="shared" si="177"/>
        <v>0.88767023632840814</v>
      </c>
      <c r="DP59" s="1019"/>
      <c r="DQ59" s="256"/>
      <c r="DR59" s="256"/>
      <c r="DS59" s="256"/>
      <c r="DT59" s="256"/>
      <c r="DU59" s="602"/>
      <c r="DV59" s="256"/>
      <c r="DW59" s="256"/>
      <c r="DX59" s="256"/>
      <c r="DY59" s="256"/>
      <c r="DZ59" s="256"/>
      <c r="EA59" s="256"/>
    </row>
    <row r="60" spans="1:131" outlineLevel="1">
      <c r="A60" s="256" t="str">
        <f>$A$12</f>
        <v>3Q</v>
      </c>
      <c r="B60" s="256" t="str">
        <f>$B$12</f>
        <v>Oct</v>
      </c>
      <c r="C60" s="256"/>
      <c r="D60" s="295"/>
      <c r="E60" s="256"/>
      <c r="F60" s="295"/>
      <c r="G60" s="309"/>
      <c r="H60" s="256"/>
      <c r="I60" s="256"/>
      <c r="J60" s="602">
        <f>5.962-J61-J59-J58</f>
        <v>1.7810000000000001</v>
      </c>
      <c r="K60" s="309">
        <f t="shared" si="150"/>
        <v>3.6152159792140317</v>
      </c>
      <c r="L60" s="256"/>
      <c r="M60" s="256"/>
      <c r="N60" s="602">
        <f>6.816-N61-N59-N58</f>
        <v>1.5410000000000001</v>
      </c>
      <c r="O60" s="309">
        <f t="shared" si="151"/>
        <v>2.8698065068812038</v>
      </c>
      <c r="P60" s="256"/>
      <c r="Q60" s="256"/>
      <c r="R60" s="295">
        <v>2.2010000000000001</v>
      </c>
      <c r="S60" s="309">
        <f t="shared" si="152"/>
        <v>3.4435822016396522</v>
      </c>
      <c r="T60" s="256"/>
      <c r="U60" s="256"/>
      <c r="V60" s="295">
        <v>3.5329999999999999</v>
      </c>
      <c r="W60" s="309">
        <f t="shared" si="153"/>
        <v>4.8670615787298521</v>
      </c>
      <c r="X60" s="256"/>
      <c r="Y60" s="256"/>
      <c r="Z60" s="295">
        <v>0.76500000000000001</v>
      </c>
      <c r="AA60" s="309">
        <f t="shared" si="154"/>
        <v>0.40742200398368189</v>
      </c>
      <c r="AB60" s="256"/>
      <c r="AC60" s="256"/>
      <c r="AD60" s="295">
        <v>2.1859999999999999</v>
      </c>
      <c r="AE60" s="309">
        <f t="shared" si="155"/>
        <v>1.0360926132189492</v>
      </c>
      <c r="AF60" s="256"/>
      <c r="AG60" s="256"/>
      <c r="AH60" s="295">
        <v>1.3149999999999999</v>
      </c>
      <c r="AI60" s="309">
        <f t="shared" si="156"/>
        <v>0.56419849489861584</v>
      </c>
      <c r="AJ60" s="256"/>
      <c r="AK60" s="256"/>
      <c r="AL60" s="295">
        <v>1.554</v>
      </c>
      <c r="AM60" s="309">
        <f t="shared" si="157"/>
        <v>0.61529933481152999</v>
      </c>
      <c r="AN60" s="256"/>
      <c r="AO60" s="256"/>
      <c r="AP60" s="295">
        <v>2.2570000000000001</v>
      </c>
      <c r="AQ60" s="309">
        <f t="shared" si="158"/>
        <v>0.69939821385409628</v>
      </c>
      <c r="AR60" s="256"/>
      <c r="AS60" s="256"/>
      <c r="AT60" s="295">
        <v>2.516</v>
      </c>
      <c r="AU60" s="309">
        <f t="shared" si="159"/>
        <v>0.67620957121432823</v>
      </c>
      <c r="AV60" s="256"/>
      <c r="AW60" s="256"/>
      <c r="AX60" s="295">
        <v>5.9930000000000003</v>
      </c>
      <c r="AY60" s="309">
        <f t="shared" si="160"/>
        <v>1.7992998552874135</v>
      </c>
      <c r="AZ60" s="256"/>
      <c r="BA60" s="256"/>
      <c r="BB60" s="295">
        <v>5.4459999999999997</v>
      </c>
      <c r="BC60" s="309">
        <f t="shared" si="161"/>
        <v>1.4878439922083526</v>
      </c>
      <c r="BD60" s="256"/>
      <c r="BE60" s="256"/>
      <c r="BF60" s="295">
        <v>4.9329999999999998</v>
      </c>
      <c r="BG60" s="309">
        <f t="shared" si="162"/>
        <v>1.146881240947357</v>
      </c>
      <c r="BH60" s="256"/>
      <c r="BI60" s="256"/>
      <c r="BJ60" s="295">
        <v>5.2759999999999998</v>
      </c>
      <c r="BK60" s="309">
        <f t="shared" si="163"/>
        <v>1.1440913191312192</v>
      </c>
      <c r="BL60" s="256"/>
      <c r="BM60" s="587"/>
      <c r="BN60" s="295">
        <v>4.2889999999999997</v>
      </c>
      <c r="BO60" s="309">
        <f t="shared" si="164"/>
        <v>0.85761989982103759</v>
      </c>
      <c r="BP60" s="310"/>
      <c r="BQ60" s="599"/>
      <c r="BR60" s="295">
        <v>-1.294</v>
      </c>
      <c r="BS60" s="309">
        <f t="shared" si="165"/>
        <v>-0.24330900243309006</v>
      </c>
      <c r="BT60" s="310"/>
      <c r="BU60" s="256"/>
      <c r="BV60" s="295">
        <v>2.306</v>
      </c>
      <c r="BW60" s="309">
        <f t="shared" si="166"/>
        <v>0.36759372763313319</v>
      </c>
      <c r="BX60" s="310"/>
      <c r="BY60" s="256"/>
      <c r="BZ60" s="295">
        <f>14.449</f>
        <v>14.449</v>
      </c>
      <c r="CA60" s="309">
        <f t="shared" si="167"/>
        <v>2.345038237318064</v>
      </c>
      <c r="CB60" s="310"/>
      <c r="CC60" s="256"/>
      <c r="CD60" s="295">
        <v>11.326000000000001</v>
      </c>
      <c r="CE60" s="309">
        <f t="shared" si="168"/>
        <v>1.8933087266721498</v>
      </c>
      <c r="CF60" s="387"/>
      <c r="CG60" s="256"/>
      <c r="CH60" s="295">
        <v>12.997</v>
      </c>
      <c r="CI60" s="309">
        <f t="shared" si="169"/>
        <v>1.9064760337318787</v>
      </c>
      <c r="CJ60" s="310"/>
      <c r="CK60" s="256"/>
      <c r="CL60" s="295">
        <v>10.393000000000001</v>
      </c>
      <c r="CM60" s="309">
        <f t="shared" si="170"/>
        <v>1.2647137205558265</v>
      </c>
      <c r="CN60" s="310"/>
      <c r="CO60" s="256"/>
      <c r="CP60" s="295">
        <v>14.782999999999999</v>
      </c>
      <c r="CQ60" s="309">
        <f t="shared" si="171"/>
        <v>1.7335861650841229</v>
      </c>
      <c r="CR60" s="310"/>
      <c r="CS60" s="256"/>
      <c r="CT60" s="295">
        <v>13.922000000000001</v>
      </c>
      <c r="CU60" s="309">
        <f t="shared" si="172"/>
        <v>1.5274093285850017</v>
      </c>
      <c r="CV60" s="310"/>
      <c r="CW60" s="256"/>
      <c r="CX60" s="295">
        <f>15.375</f>
        <v>15.375</v>
      </c>
      <c r="CY60" s="309">
        <f t="shared" si="173"/>
        <v>1.6022484626230606</v>
      </c>
      <c r="CZ60" s="310"/>
      <c r="DA60" s="256"/>
      <c r="DB60" s="295">
        <v>15.2</v>
      </c>
      <c r="DC60" s="309">
        <f t="shared" si="174"/>
        <v>1.6201236410147086</v>
      </c>
      <c r="DD60" s="310"/>
      <c r="DE60" s="256"/>
      <c r="DF60" s="2127">
        <v>9.6999999999999993</v>
      </c>
      <c r="DG60" s="309">
        <f>DF60/DF12*100</f>
        <v>1.0218055409248921</v>
      </c>
      <c r="DH60" s="310"/>
      <c r="DI60" s="256"/>
      <c r="DJ60" s="2429">
        <v>9.9</v>
      </c>
      <c r="DK60" s="309">
        <f t="shared" si="176"/>
        <v>1.0141364474492931</v>
      </c>
      <c r="DL60" s="310"/>
      <c r="DM60" s="256"/>
      <c r="DN60" s="2188">
        <v>9</v>
      </c>
      <c r="DO60" s="309">
        <f t="shared" si="177"/>
        <v>0.87897324319777792</v>
      </c>
      <c r="DP60" s="310"/>
      <c r="DQ60" s="256"/>
      <c r="DR60" s="256"/>
      <c r="DS60" s="256"/>
      <c r="DT60" s="256"/>
      <c r="DU60" s="602"/>
      <c r="DV60" s="256"/>
      <c r="DW60" s="256"/>
      <c r="DX60" s="256"/>
      <c r="DY60" s="256"/>
      <c r="DZ60" s="256"/>
      <c r="EA60" s="256"/>
    </row>
    <row r="61" spans="1:131" outlineLevel="1">
      <c r="A61" s="256" t="str">
        <f>$A$13</f>
        <v>4Q</v>
      </c>
      <c r="B61" s="256" t="str">
        <f>$B$13</f>
        <v>Jan</v>
      </c>
      <c r="C61" s="587"/>
      <c r="D61" s="292"/>
      <c r="E61" s="256"/>
      <c r="F61" s="292"/>
      <c r="G61" s="309"/>
      <c r="H61" s="256"/>
      <c r="I61" s="256"/>
      <c r="J61" s="292">
        <v>1.8129999999999999</v>
      </c>
      <c r="K61" s="309">
        <f t="shared" si="150"/>
        <v>3.5694597574421163</v>
      </c>
      <c r="L61" s="256"/>
      <c r="M61" s="256"/>
      <c r="N61" s="292">
        <v>1.8220000000000001</v>
      </c>
      <c r="O61" s="309">
        <f t="shared" si="151"/>
        <v>2.8666278575811455</v>
      </c>
      <c r="P61" s="256"/>
      <c r="Q61" s="256"/>
      <c r="R61" s="292">
        <v>2.36</v>
      </c>
      <c r="S61" s="309">
        <f t="shared" si="152"/>
        <v>3.0141640165012711</v>
      </c>
      <c r="T61" s="256"/>
      <c r="U61" s="256"/>
      <c r="V61" s="273">
        <v>3.7839999999999998</v>
      </c>
      <c r="W61" s="309">
        <f t="shared" si="153"/>
        <v>4.2059398897385734</v>
      </c>
      <c r="X61" s="256"/>
      <c r="Y61" s="256"/>
      <c r="Z61" s="292">
        <v>4.03</v>
      </c>
      <c r="AA61" s="309">
        <f t="shared" si="154"/>
        <v>1.4356964731029569</v>
      </c>
      <c r="AB61" s="256"/>
      <c r="AC61" s="256"/>
      <c r="AD61" s="292">
        <v>-1.359</v>
      </c>
      <c r="AE61" s="309">
        <f t="shared" si="155"/>
        <v>-0.4148111068039399</v>
      </c>
      <c r="AF61" s="256"/>
      <c r="AG61" s="256"/>
      <c r="AH61" s="292">
        <v>2.19</v>
      </c>
      <c r="AI61" s="309">
        <f t="shared" si="156"/>
        <v>0.59560395328724425</v>
      </c>
      <c r="AJ61" s="256"/>
      <c r="AK61" s="256"/>
      <c r="AL61" s="292">
        <v>1.333</v>
      </c>
      <c r="AM61" s="309">
        <f t="shared" si="157"/>
        <v>0.29524594230632922</v>
      </c>
      <c r="AN61" s="256"/>
      <c r="AO61" s="256"/>
      <c r="AP61" s="292">
        <v>2.6549999999999998</v>
      </c>
      <c r="AQ61" s="309">
        <f t="shared" si="158"/>
        <v>0.46608384242679579</v>
      </c>
      <c r="AR61" s="256"/>
      <c r="AS61" s="256"/>
      <c r="AT61" s="292">
        <f>16.207-6.452-SUM(AT58:AT60)</f>
        <v>2.7500000000000009</v>
      </c>
      <c r="AU61" s="309">
        <f t="shared" si="159"/>
        <v>0.47710668625984798</v>
      </c>
      <c r="AV61" s="256"/>
      <c r="AW61" s="256"/>
      <c r="AX61" s="292">
        <v>11.058</v>
      </c>
      <c r="AY61" s="309">
        <f t="shared" si="160"/>
        <v>1.9545424818694885</v>
      </c>
      <c r="AZ61" s="256"/>
      <c r="BA61" s="256"/>
      <c r="BB61" s="292">
        <v>5.508</v>
      </c>
      <c r="BC61" s="309">
        <f t="shared" si="161"/>
        <v>0.88980360670939052</v>
      </c>
      <c r="BD61" s="256"/>
      <c r="BE61" s="256"/>
      <c r="BF61" s="292">
        <v>2.1379999999999999</v>
      </c>
      <c r="BG61" s="309">
        <f t="shared" si="162"/>
        <v>0.29224098809712573</v>
      </c>
      <c r="BH61" s="256"/>
      <c r="BI61" s="256"/>
      <c r="BJ61" s="292">
        <v>2.58</v>
      </c>
      <c r="BK61" s="309">
        <f t="shared" si="163"/>
        <v>0.31847055134905605</v>
      </c>
      <c r="BL61" s="256"/>
      <c r="BM61" s="587"/>
      <c r="BN61" s="292">
        <v>2.3780000000000001</v>
      </c>
      <c r="BO61" s="309">
        <f t="shared" si="164"/>
        <v>0.27701218247857173</v>
      </c>
      <c r="BP61" s="310"/>
      <c r="BQ61" s="599"/>
      <c r="BR61" s="292">
        <v>2.6389999999999998</v>
      </c>
      <c r="BS61" s="309">
        <f t="shared" si="165"/>
        <v>0.27521491062033382</v>
      </c>
      <c r="BT61" s="310"/>
      <c r="BU61" s="256"/>
      <c r="BV61" s="292">
        <v>-8.0000000000000002E-3</v>
      </c>
      <c r="BW61" s="309">
        <f t="shared" si="166"/>
        <v>-7.5962083526007998E-4</v>
      </c>
      <c r="BX61" s="310"/>
      <c r="BY61" s="256"/>
      <c r="BZ61" s="292">
        <v>9.6059999999999999</v>
      </c>
      <c r="CA61" s="309">
        <f t="shared" si="167"/>
        <v>1.1468577220678777</v>
      </c>
      <c r="CB61" s="310"/>
      <c r="CC61" s="256"/>
      <c r="CD61" s="292">
        <v>14.62</v>
      </c>
      <c r="CE61" s="309">
        <f t="shared" si="168"/>
        <v>1.4897328670530596</v>
      </c>
      <c r="CF61" s="310">
        <f>CD61/BZ61-1</f>
        <v>0.52196543826774922</v>
      </c>
      <c r="CG61" s="256"/>
      <c r="CH61" s="292">
        <v>11.090999999999999</v>
      </c>
      <c r="CI61" s="309">
        <f t="shared" si="169"/>
        <v>1.0071602729712181</v>
      </c>
      <c r="CJ61" s="310"/>
      <c r="CK61" s="256"/>
      <c r="CL61" s="292">
        <v>13.316000000000001</v>
      </c>
      <c r="CM61" s="309">
        <f t="shared" si="170"/>
        <v>1.1214040288351412</v>
      </c>
      <c r="CN61" s="310"/>
      <c r="CO61" s="256"/>
      <c r="CP61" s="292">
        <v>14.054</v>
      </c>
      <c r="CQ61" s="309">
        <f t="shared" si="171"/>
        <v>1.1372675637598937</v>
      </c>
      <c r="CR61" s="310"/>
      <c r="CS61" s="256"/>
      <c r="CT61" s="292">
        <v>15.624000000000001</v>
      </c>
      <c r="CU61" s="309">
        <f t="shared" si="172"/>
        <v>1.2034346876338304</v>
      </c>
      <c r="CV61" s="310"/>
      <c r="CW61" s="256"/>
      <c r="CX61" s="292">
        <v>12.311</v>
      </c>
      <c r="CY61" s="309">
        <f t="shared" si="173"/>
        <v>0.95785917579450741</v>
      </c>
      <c r="CZ61" s="310"/>
      <c r="DA61" s="256"/>
      <c r="DB61" s="2146">
        <v>12.1</v>
      </c>
      <c r="DC61" s="309">
        <f t="shared" si="174"/>
        <v>0.99703361898483855</v>
      </c>
      <c r="DD61" s="310"/>
      <c r="DE61" s="256"/>
      <c r="DF61" s="2200">
        <v>10</v>
      </c>
      <c r="DG61" s="309">
        <f t="shared" si="175"/>
        <v>0.81327260897852971</v>
      </c>
      <c r="DH61" s="310"/>
      <c r="DI61" s="256"/>
      <c r="DJ61" s="2445">
        <v>5.8</v>
      </c>
      <c r="DK61" s="309">
        <f t="shared" si="176"/>
        <v>0.4346848534812261</v>
      </c>
      <c r="DL61" s="310"/>
      <c r="DM61" s="256"/>
      <c r="DN61" s="2187">
        <v>6</v>
      </c>
      <c r="DO61" s="309">
        <f t="shared" si="177"/>
        <v>0.43333168730577876</v>
      </c>
      <c r="DP61" s="310"/>
      <c r="DQ61" s="256"/>
      <c r="DR61" s="256"/>
      <c r="DS61" s="256"/>
      <c r="DT61" s="256"/>
      <c r="DU61" s="602"/>
      <c r="DV61" s="256"/>
      <c r="DW61" s="256"/>
      <c r="DX61" s="256"/>
      <c r="DY61" s="256"/>
      <c r="DZ61" s="256"/>
      <c r="EA61" s="256"/>
    </row>
    <row r="62" spans="1:131" outlineLevel="1">
      <c r="A62" s="256"/>
      <c r="B62" s="256" t="str">
        <f>$B$14</f>
        <v>Year</v>
      </c>
      <c r="C62" s="256"/>
      <c r="D62" s="305"/>
      <c r="E62" s="256"/>
      <c r="F62" s="305">
        <f>SUM(F58:F61)</f>
        <v>0</v>
      </c>
      <c r="G62" s="309"/>
      <c r="H62" s="256"/>
      <c r="I62" s="256"/>
      <c r="J62" s="305">
        <f>SUM(J58:J61)</f>
        <v>5.9619999999999997</v>
      </c>
      <c r="K62" s="309">
        <f t="shared" si="150"/>
        <v>3.2761661931740127</v>
      </c>
      <c r="L62" s="256"/>
      <c r="M62" s="256"/>
      <c r="N62" s="305">
        <f>SUM(N58:N61)</f>
        <v>6.8159999999999998</v>
      </c>
      <c r="O62" s="309">
        <f t="shared" si="151"/>
        <v>3.2412074639073287</v>
      </c>
      <c r="P62" s="256"/>
      <c r="Q62" s="256"/>
      <c r="R62" s="305">
        <f>SUM(R58:R61)</f>
        <v>7.9710000000000001</v>
      </c>
      <c r="S62" s="309">
        <f t="shared" si="152"/>
        <v>3.281448761068869</v>
      </c>
      <c r="T62" s="256"/>
      <c r="U62" s="256"/>
      <c r="V62" s="305">
        <f>SUM(V58:V61)</f>
        <v>13.088999999999999</v>
      </c>
      <c r="W62" s="309">
        <f t="shared" si="153"/>
        <v>4.4589111794704088</v>
      </c>
      <c r="X62" s="256"/>
      <c r="Y62" s="256"/>
      <c r="Z62" s="305">
        <f>SUM(Z58:Z61)</f>
        <v>10.978</v>
      </c>
      <c r="AA62" s="309">
        <f t="shared" si="154"/>
        <v>1.3666263326411816</v>
      </c>
      <c r="AB62" s="256"/>
      <c r="AC62" s="256"/>
      <c r="AD62" s="305">
        <f>SUM(AD58:AD61)</f>
        <v>6.5269999999999992</v>
      </c>
      <c r="AE62" s="309">
        <f t="shared" si="155"/>
        <v>0.7078346571117482</v>
      </c>
      <c r="AF62" s="256"/>
      <c r="AG62" s="256"/>
      <c r="AH62" s="305">
        <f>SUM(AH58:AH61)</f>
        <v>5.6639999999999997</v>
      </c>
      <c r="AI62" s="309">
        <f t="shared" si="156"/>
        <v>0.55659502209084766</v>
      </c>
      <c r="AJ62" s="256"/>
      <c r="AK62" s="256"/>
      <c r="AL62" s="305">
        <f>SUM(AL58:AL61)</f>
        <v>5.4740000000000002</v>
      </c>
      <c r="AM62" s="309">
        <f t="shared" si="157"/>
        <v>0.46471391739230461</v>
      </c>
      <c r="AN62" s="256"/>
      <c r="AO62" s="256"/>
      <c r="AP62" s="305">
        <f>SUM(AP58:AP61)</f>
        <v>8.8249999999999993</v>
      </c>
      <c r="AQ62" s="309">
        <f t="shared" si="158"/>
        <v>0.59965074166434496</v>
      </c>
      <c r="AR62" s="256"/>
      <c r="AS62" s="256"/>
      <c r="AT62" s="305">
        <f>SUM(AT58:AT61)</f>
        <v>9.7550000000000008</v>
      </c>
      <c r="AU62" s="309">
        <f t="shared" si="159"/>
        <v>0.58481250029975018</v>
      </c>
      <c r="AV62" s="256"/>
      <c r="AW62" s="256"/>
      <c r="AX62" s="305">
        <f>SUM(AX58:AX61)</f>
        <v>20.585000000000001</v>
      </c>
      <c r="AY62" s="309">
        <f t="shared" si="160"/>
        <v>1.2813290715732928</v>
      </c>
      <c r="AZ62" s="256"/>
      <c r="BA62" s="256"/>
      <c r="BB62" s="305">
        <f>SUM(BB58:BB61)</f>
        <v>19.559999999999999</v>
      </c>
      <c r="BC62" s="309">
        <f t="shared" si="161"/>
        <v>1.1461371778540046</v>
      </c>
      <c r="BD62" s="256"/>
      <c r="BE62" s="256"/>
      <c r="BF62" s="305">
        <f>SUM(BF58:BF61)</f>
        <v>12.834</v>
      </c>
      <c r="BG62" s="309">
        <f t="shared" si="162"/>
        <v>0.64168556207485328</v>
      </c>
      <c r="BH62" s="256"/>
      <c r="BI62" s="256"/>
      <c r="BJ62" s="305">
        <f>SUM(BJ58:BJ61)</f>
        <v>15.978</v>
      </c>
      <c r="BK62" s="309">
        <f t="shared" si="163"/>
        <v>0.72468139281423372</v>
      </c>
      <c r="BL62" s="256"/>
      <c r="BM62" s="587"/>
      <c r="BN62" s="305">
        <f>SUM(BN58:BN61)</f>
        <v>14.731</v>
      </c>
      <c r="BO62" s="309">
        <f t="shared" si="164"/>
        <v>0.61503377863543574</v>
      </c>
      <c r="BP62" s="310"/>
      <c r="BQ62" s="599"/>
      <c r="BR62" s="305">
        <f>SUM(BR58:BR61)</f>
        <v>10.488</v>
      </c>
      <c r="BS62" s="309">
        <f t="shared" si="165"/>
        <v>0.40957006858189882</v>
      </c>
      <c r="BT62" s="310"/>
      <c r="BU62" s="256"/>
      <c r="BV62" s="305">
        <f>SUM(BV58:BV61)</f>
        <v>8.1310000000000002</v>
      </c>
      <c r="BW62" s="309">
        <f t="shared" si="166"/>
        <v>0.27668028573849412</v>
      </c>
      <c r="BX62" s="310"/>
      <c r="BY62" s="256"/>
      <c r="BZ62" s="305">
        <f>SUM(BZ58:BZ61)</f>
        <v>28.9</v>
      </c>
      <c r="CA62" s="309">
        <f t="shared" si="167"/>
        <v>1.0144412201516466</v>
      </c>
      <c r="CB62" s="310"/>
      <c r="CC62" s="256"/>
      <c r="CD62" s="305">
        <f>SUM(CD58:CD61)</f>
        <v>50.517999999999994</v>
      </c>
      <c r="CE62" s="309">
        <f t="shared" si="168"/>
        <v>1.8643364736517343</v>
      </c>
      <c r="CF62" s="310"/>
      <c r="CG62" s="256"/>
      <c r="CH62" s="305">
        <f>SUM(CH58:CH61)</f>
        <v>47.347000000000001</v>
      </c>
      <c r="CI62" s="309">
        <f t="shared" si="169"/>
        <v>1.5346045266409318</v>
      </c>
      <c r="CJ62" s="310"/>
      <c r="CK62" s="256"/>
      <c r="CL62" s="305">
        <f>SUM(CL58:CL61)</f>
        <v>43.475000000000001</v>
      </c>
      <c r="CM62" s="309">
        <f t="shared" si="170"/>
        <v>1.193405211234781</v>
      </c>
      <c r="CN62" s="310"/>
      <c r="CO62" s="256"/>
      <c r="CP62" s="305">
        <f>SUM(CP58:CP61)</f>
        <v>53.641000000000005</v>
      </c>
      <c r="CQ62" s="309">
        <f t="shared" si="171"/>
        <v>1.4137448543835687</v>
      </c>
      <c r="CR62" s="310"/>
      <c r="CS62" s="256"/>
      <c r="CT62" s="305">
        <f>SUM(CT58:CT61)</f>
        <v>56.952000000000005</v>
      </c>
      <c r="CU62" s="309">
        <f t="shared" si="172"/>
        <v>1.4128048462837965</v>
      </c>
      <c r="CV62" s="310"/>
      <c r="CW62" s="256"/>
      <c r="CX62" s="305">
        <f>SUM(CX58:CX61)</f>
        <v>60.113</v>
      </c>
      <c r="CY62" s="309">
        <f t="shared" si="173"/>
        <v>1.414452484086145</v>
      </c>
      <c r="CZ62" s="310"/>
      <c r="DA62" s="256"/>
      <c r="DB62" s="305">
        <f>SUM(DB58:DB61)</f>
        <v>50.199999999999996</v>
      </c>
      <c r="DC62" s="309">
        <f t="shared" si="174"/>
        <v>1.2229882817258262</v>
      </c>
      <c r="DD62" s="310"/>
      <c r="DE62" s="256"/>
      <c r="DF62" s="305">
        <f>SUM(DF58:DF61)</f>
        <v>44.599999999999994</v>
      </c>
      <c r="DG62" s="309">
        <f t="shared" si="175"/>
        <v>1.1144984756859413</v>
      </c>
      <c r="DH62" s="310"/>
      <c r="DI62" s="256"/>
      <c r="DJ62" s="305">
        <f>SUM(DJ58:DJ61)</f>
        <v>34</v>
      </c>
      <c r="DK62" s="309">
        <f t="shared" si="176"/>
        <v>0.81538682910451343</v>
      </c>
      <c r="DL62" s="310"/>
      <c r="DM62" s="256"/>
      <c r="DN62" s="305">
        <f>SUM(DN58:DN61)</f>
        <v>32.9</v>
      </c>
      <c r="DO62" s="309">
        <f t="shared" si="177"/>
        <v>0.75035018417029442</v>
      </c>
      <c r="DP62" s="310"/>
      <c r="DQ62" s="256"/>
      <c r="DR62" s="256"/>
      <c r="DS62" s="256"/>
      <c r="DT62" s="256"/>
      <c r="DU62" s="602"/>
      <c r="DV62" s="256"/>
      <c r="DW62" s="256"/>
      <c r="DX62" s="256"/>
      <c r="DY62" s="256"/>
      <c r="DZ62" s="256"/>
      <c r="EA62" s="256"/>
    </row>
    <row r="63" spans="1:131" hidden="1" outlineLevel="2">
      <c r="A63" s="256" t="str">
        <f>$A$15</f>
        <v>6 Mos</v>
      </c>
      <c r="B63" s="256"/>
      <c r="C63" s="256"/>
      <c r="D63" s="289"/>
      <c r="E63" s="256"/>
      <c r="F63" s="289">
        <f>SUM(F58:F59)</f>
        <v>0</v>
      </c>
      <c r="G63" s="309"/>
      <c r="H63" s="256"/>
      <c r="I63" s="256"/>
      <c r="J63" s="289">
        <f>SUM(J58:J59)</f>
        <v>2.3679999999999999</v>
      </c>
      <c r="K63" s="309">
        <f t="shared" si="150"/>
        <v>2.8904485810192249</v>
      </c>
      <c r="L63" s="256"/>
      <c r="M63" s="256"/>
      <c r="N63" s="289">
        <f>SUM(N58:N59)</f>
        <v>3.4529999999999998</v>
      </c>
      <c r="O63" s="309">
        <f t="shared" si="151"/>
        <v>3.7114665290855151</v>
      </c>
      <c r="P63" s="256"/>
      <c r="Q63" s="256"/>
      <c r="R63" s="289">
        <f>SUM(R58:R59)</f>
        <v>3.41</v>
      </c>
      <c r="S63" s="309">
        <f t="shared" si="152"/>
        <v>3.3863631849689173</v>
      </c>
      <c r="T63" s="256"/>
      <c r="U63" s="256"/>
      <c r="V63" s="289">
        <f>SUM(V58:V59)</f>
        <v>5.7720000000000002</v>
      </c>
      <c r="W63" s="309">
        <f t="shared" si="153"/>
        <v>4.4064768797379941</v>
      </c>
      <c r="X63" s="256"/>
      <c r="Y63" s="256"/>
      <c r="Z63" s="289">
        <f>SUM(Z58:Z59)</f>
        <v>6.1829999999999998</v>
      </c>
      <c r="AA63" s="309">
        <f t="shared" si="154"/>
        <v>1.8466307873343166</v>
      </c>
      <c r="AB63" s="256"/>
      <c r="AC63" s="256"/>
      <c r="AD63" s="289">
        <f>SUM(AD58:AD59)</f>
        <v>5.6999999999999993</v>
      </c>
      <c r="AE63" s="309">
        <f t="shared" si="155"/>
        <v>1.4862947974467018</v>
      </c>
      <c r="AF63" s="256"/>
      <c r="AG63" s="256"/>
      <c r="AH63" s="289">
        <f>SUM(AH58:AH59)</f>
        <v>2.1589999999999998</v>
      </c>
      <c r="AI63" s="309">
        <f t="shared" si="156"/>
        <v>0.51793459486431503</v>
      </c>
      <c r="AJ63" s="256"/>
      <c r="AK63" s="256"/>
      <c r="AL63" s="289">
        <f>SUM(AL58:AL59)</f>
        <v>2.5869999999999997</v>
      </c>
      <c r="AM63" s="309">
        <f t="shared" si="157"/>
        <v>0.54591764599129311</v>
      </c>
      <c r="AN63" s="256"/>
      <c r="AO63" s="256"/>
      <c r="AP63" s="289">
        <f>SUM(AP58:AP59)</f>
        <v>3.9130000000000003</v>
      </c>
      <c r="AQ63" s="309">
        <f t="shared" si="158"/>
        <v>0.67541909470021266</v>
      </c>
      <c r="AR63" s="256"/>
      <c r="AS63" s="256"/>
      <c r="AT63" s="289">
        <f>SUM(AT58:AT59)</f>
        <v>4.4889999999999999</v>
      </c>
      <c r="AU63" s="309">
        <f t="shared" si="159"/>
        <v>0.62382659038259247</v>
      </c>
      <c r="AV63" s="256"/>
      <c r="AW63" s="256"/>
      <c r="AX63" s="289">
        <f>SUM(AX58:AX59)</f>
        <v>3.5340000000000003</v>
      </c>
      <c r="AY63" s="309">
        <f t="shared" si="160"/>
        <v>0.49936272611918575</v>
      </c>
      <c r="AZ63" s="256"/>
      <c r="BA63" s="256"/>
      <c r="BB63" s="289">
        <f>SUM(BB58:BB59)</f>
        <v>8.6059999999999999</v>
      </c>
      <c r="BC63" s="309">
        <f t="shared" si="161"/>
        <v>1.1927002200799384</v>
      </c>
      <c r="BD63" s="256"/>
      <c r="BE63" s="256"/>
      <c r="BF63" s="289">
        <f>SUM(BF58:BF59)</f>
        <v>5.7629999999999999</v>
      </c>
      <c r="BG63" s="309">
        <f t="shared" si="162"/>
        <v>0.68743484100609065</v>
      </c>
      <c r="BH63" s="256"/>
      <c r="BI63" s="256"/>
      <c r="BJ63" s="289">
        <f>SUM(BJ58:BJ59)</f>
        <v>8.1219999999999999</v>
      </c>
      <c r="BK63" s="309">
        <f t="shared" si="163"/>
        <v>0.87000579503983144</v>
      </c>
      <c r="BL63" s="256"/>
      <c r="BM63" s="587"/>
      <c r="BN63" s="289">
        <f>SUM(BN58:BN59)</f>
        <v>8.0640000000000001</v>
      </c>
      <c r="BO63" s="309">
        <f t="shared" si="164"/>
        <v>0.77792634009967176</v>
      </c>
      <c r="BP63" s="256"/>
      <c r="BQ63" s="599"/>
      <c r="BR63" s="289">
        <f>SUM(BR58:BR59)</f>
        <v>9.1430000000000007</v>
      </c>
      <c r="BS63" s="309">
        <f t="shared" si="165"/>
        <v>0.85447559982916099</v>
      </c>
      <c r="BT63" s="256"/>
      <c r="BU63" s="256"/>
      <c r="BV63" s="289">
        <f>SUM(BV58:BV59)</f>
        <v>5.8330000000000002</v>
      </c>
      <c r="BW63" s="309">
        <f t="shared" si="166"/>
        <v>0.46356526431485234</v>
      </c>
      <c r="BX63" s="256"/>
      <c r="BY63" s="256"/>
      <c r="BZ63" s="289">
        <f>SUM(BZ58:BZ59)</f>
        <v>4.8449999999999998</v>
      </c>
      <c r="CA63" s="309">
        <f t="shared" si="167"/>
        <v>0.3472834478042654</v>
      </c>
      <c r="CB63" s="256"/>
      <c r="CC63" s="256"/>
      <c r="CD63" s="289">
        <f>SUM(CD58:CD59)</f>
        <v>24.571999999999999</v>
      </c>
      <c r="CE63" s="309">
        <f t="shared" si="168"/>
        <v>2.1743054646104616</v>
      </c>
      <c r="CF63" s="256"/>
      <c r="CG63" s="256"/>
      <c r="CH63" s="289">
        <f>SUM(CH58:CH59)</f>
        <v>23.259</v>
      </c>
      <c r="CI63" s="309">
        <f t="shared" si="169"/>
        <v>1.7859309277258115</v>
      </c>
      <c r="CJ63" s="256"/>
      <c r="CK63" s="256"/>
      <c r="CL63" s="289">
        <f>SUM(CL58:CL59)</f>
        <v>19.765999999999998</v>
      </c>
      <c r="CM63" s="309">
        <f t="shared" si="170"/>
        <v>1.209869439870725</v>
      </c>
      <c r="CN63" s="256"/>
      <c r="CO63" s="256"/>
      <c r="CP63" s="289">
        <f>SUM(CP58:CP59)</f>
        <v>24.804000000000002</v>
      </c>
      <c r="CQ63" s="309">
        <f t="shared" si="171"/>
        <v>1.4541497849319269</v>
      </c>
      <c r="CR63" s="256"/>
      <c r="CS63" s="256"/>
      <c r="CT63" s="289">
        <f>SUM(CT58:CT59)</f>
        <v>27.405999999999999</v>
      </c>
      <c r="CU63" s="309">
        <f t="shared" si="172"/>
        <v>1.5046931756789401</v>
      </c>
      <c r="CV63" s="256"/>
      <c r="CW63" s="256"/>
      <c r="CX63" s="289">
        <f>SUM(CX58:CX59)</f>
        <v>32.427</v>
      </c>
      <c r="CY63" s="309">
        <f t="shared" si="173"/>
        <v>1.6172567232334962</v>
      </c>
      <c r="CZ63" s="256"/>
      <c r="DA63" s="256"/>
      <c r="DB63" s="289">
        <f>SUM(DB58:DB59)</f>
        <v>22.9</v>
      </c>
      <c r="DC63" s="309">
        <f t="shared" si="174"/>
        <v>1.1726150852578217</v>
      </c>
      <c r="DD63" s="256"/>
      <c r="DE63" s="256"/>
      <c r="DF63" s="289">
        <f>SUM(DF58:DF59)</f>
        <v>24.9</v>
      </c>
      <c r="DG63" s="309">
        <f t="shared" si="175"/>
        <v>1.3659553458774478</v>
      </c>
      <c r="DH63" s="256"/>
      <c r="DI63" s="256"/>
      <c r="DJ63" s="289">
        <f>SUM(DJ58:DJ59)</f>
        <v>18.3</v>
      </c>
      <c r="DK63" s="309">
        <f t="shared" si="176"/>
        <v>0.98424138116495452</v>
      </c>
      <c r="DL63" s="256"/>
      <c r="DM63" s="256"/>
      <c r="DN63" s="289">
        <f>SUM(DN58:DN59)</f>
        <v>17.899999999999999</v>
      </c>
      <c r="DO63" s="309">
        <f t="shared" si="177"/>
        <v>0.90583522188021226</v>
      </c>
      <c r="DP63" s="256"/>
      <c r="DQ63" s="256"/>
      <c r="DR63" s="256"/>
      <c r="DS63" s="256"/>
      <c r="DT63" s="256"/>
      <c r="DU63" s="602"/>
      <c r="DV63" s="256"/>
      <c r="DW63" s="256"/>
      <c r="DX63" s="256"/>
      <c r="DY63" s="256"/>
      <c r="DZ63" s="256"/>
      <c r="EA63" s="256"/>
    </row>
    <row r="64" spans="1:131" hidden="1" outlineLevel="2">
      <c r="A64" s="256" t="str">
        <f>$A$16</f>
        <v>9 Mos</v>
      </c>
      <c r="B64" s="256"/>
      <c r="C64" s="256"/>
      <c r="D64" s="289"/>
      <c r="E64" s="256"/>
      <c r="F64" s="289">
        <f>SUM(F58:F60)</f>
        <v>0</v>
      </c>
      <c r="G64" s="309"/>
      <c r="H64" s="256"/>
      <c r="I64" s="256"/>
      <c r="J64" s="289">
        <f>SUM(J58:J60)</f>
        <v>4.149</v>
      </c>
      <c r="K64" s="309">
        <f t="shared" si="150"/>
        <v>3.1626127190541893</v>
      </c>
      <c r="L64" s="256"/>
      <c r="M64" s="256"/>
      <c r="N64" s="289">
        <f>SUM(N58:N60)</f>
        <v>4.9939999999999998</v>
      </c>
      <c r="O64" s="309">
        <f t="shared" si="151"/>
        <v>3.4034607075436334</v>
      </c>
      <c r="P64" s="256"/>
      <c r="Q64" s="256"/>
      <c r="R64" s="289">
        <f>SUM(R58:R60)</f>
        <v>5.6110000000000007</v>
      </c>
      <c r="S64" s="309">
        <f t="shared" si="152"/>
        <v>3.408580072168832</v>
      </c>
      <c r="T64" s="256"/>
      <c r="U64" s="256"/>
      <c r="V64" s="289">
        <f>SUM(V58:V60)</f>
        <v>9.3049999999999997</v>
      </c>
      <c r="W64" s="309">
        <f t="shared" si="153"/>
        <v>4.57070719474995</v>
      </c>
      <c r="X64" s="256"/>
      <c r="Y64" s="256"/>
      <c r="Z64" s="289">
        <f>SUM(Z58:Z60)</f>
        <v>6.9479999999999995</v>
      </c>
      <c r="AA64" s="309">
        <f t="shared" si="154"/>
        <v>1.3295266670748882</v>
      </c>
      <c r="AB64" s="256"/>
      <c r="AC64" s="256"/>
      <c r="AD64" s="289">
        <f>SUM(AD58:AD60)</f>
        <v>7.8859999999999992</v>
      </c>
      <c r="AE64" s="309">
        <f t="shared" si="155"/>
        <v>1.3265173956120295</v>
      </c>
      <c r="AF64" s="256"/>
      <c r="AG64" s="256"/>
      <c r="AH64" s="289">
        <f>SUM(AH58:AH60)</f>
        <v>3.4739999999999998</v>
      </c>
      <c r="AI64" s="309">
        <f t="shared" si="156"/>
        <v>0.53452568154332358</v>
      </c>
      <c r="AJ64" s="256"/>
      <c r="AK64" s="256"/>
      <c r="AL64" s="289">
        <f>SUM(AL58:AL60)</f>
        <v>4.141</v>
      </c>
      <c r="AM64" s="309">
        <f t="shared" si="157"/>
        <v>0.57003941132177283</v>
      </c>
      <c r="AN64" s="256"/>
      <c r="AO64" s="256"/>
      <c r="AP64" s="289">
        <f>SUM(AP58:AP60)</f>
        <v>6.17</v>
      </c>
      <c r="AQ64" s="309">
        <f t="shared" si="158"/>
        <v>0.68399756111080312</v>
      </c>
      <c r="AR64" s="256"/>
      <c r="AS64" s="256"/>
      <c r="AT64" s="289">
        <f>SUM(AT58:AT60)</f>
        <v>7.0049999999999999</v>
      </c>
      <c r="AU64" s="309">
        <f t="shared" si="159"/>
        <v>0.64168036897766256</v>
      </c>
      <c r="AV64" s="256"/>
      <c r="AW64" s="256"/>
      <c r="AX64" s="289">
        <f>SUM(AX58:AX60)</f>
        <v>9.527000000000001</v>
      </c>
      <c r="AY64" s="309">
        <f t="shared" si="160"/>
        <v>0.91537468196807004</v>
      </c>
      <c r="AZ64" s="256"/>
      <c r="BA64" s="256"/>
      <c r="BB64" s="289">
        <f>SUM(BB58:BB60)</f>
        <v>14.052</v>
      </c>
      <c r="BC64" s="309">
        <f t="shared" si="161"/>
        <v>1.2920321923079399</v>
      </c>
      <c r="BD64" s="256"/>
      <c r="BE64" s="256"/>
      <c r="BF64" s="289">
        <f>SUM(BF58:BF60)</f>
        <v>10.696</v>
      </c>
      <c r="BG64" s="309">
        <f t="shared" si="162"/>
        <v>0.8432292147073176</v>
      </c>
      <c r="BH64" s="256"/>
      <c r="BI64" s="256"/>
      <c r="BJ64" s="289">
        <f>SUM(BJ58:BJ60)</f>
        <v>13.398</v>
      </c>
      <c r="BK64" s="309">
        <f t="shared" si="163"/>
        <v>0.96063049711445181</v>
      </c>
      <c r="BL64" s="256"/>
      <c r="BM64" s="587"/>
      <c r="BN64" s="289">
        <f>SUM(BN58:BN60)</f>
        <v>12.353</v>
      </c>
      <c r="BO64" s="309">
        <f t="shared" si="164"/>
        <v>0.80386176414892363</v>
      </c>
      <c r="BP64" s="256"/>
      <c r="BQ64" s="599"/>
      <c r="BR64" s="289">
        <f>SUM(BR58:BR60)</f>
        <v>7.8490000000000002</v>
      </c>
      <c r="BS64" s="309">
        <f t="shared" si="165"/>
        <v>0.48999685987488201</v>
      </c>
      <c r="BT64" s="256"/>
      <c r="BU64" s="256"/>
      <c r="BV64" s="289">
        <f>SUM(BV58:BV60)</f>
        <v>8.1389999999999993</v>
      </c>
      <c r="BW64" s="309">
        <f t="shared" si="166"/>
        <v>0.4316365915823705</v>
      </c>
      <c r="BX64" s="256"/>
      <c r="BY64" s="256"/>
      <c r="BZ64" s="289">
        <f>SUM(BZ58:BZ60)</f>
        <v>19.294</v>
      </c>
      <c r="CA64" s="309">
        <f t="shared" si="167"/>
        <v>0.95929628403204747</v>
      </c>
      <c r="CB64" s="256"/>
      <c r="CC64" s="256"/>
      <c r="CD64" s="289">
        <f>SUM(CD58:CD60)</f>
        <v>35.897999999999996</v>
      </c>
      <c r="CE64" s="309">
        <f t="shared" si="168"/>
        <v>2.0770459174226992</v>
      </c>
      <c r="CF64" s="256"/>
      <c r="CG64" s="256"/>
      <c r="CH64" s="289">
        <f>SUM(CH58:CH60)</f>
        <v>36.256</v>
      </c>
      <c r="CI64" s="309">
        <f t="shared" si="169"/>
        <v>1.8273502765772462</v>
      </c>
      <c r="CJ64" s="256"/>
      <c r="CK64" s="256"/>
      <c r="CL64" s="289">
        <f>SUM(CL58:CL60)</f>
        <v>30.158999999999999</v>
      </c>
      <c r="CM64" s="309">
        <f t="shared" si="170"/>
        <v>1.2282238585508349</v>
      </c>
      <c r="CN64" s="256"/>
      <c r="CO64" s="256"/>
      <c r="CP64" s="289">
        <f>SUM(CP58:CP60)</f>
        <v>39.587000000000003</v>
      </c>
      <c r="CQ64" s="309">
        <f t="shared" si="171"/>
        <v>1.5472858884962948</v>
      </c>
      <c r="CR64" s="256"/>
      <c r="CS64" s="256"/>
      <c r="CT64" s="289">
        <f>SUM(CT58:CT60)</f>
        <v>41.328000000000003</v>
      </c>
      <c r="CU64" s="309">
        <f t="shared" si="172"/>
        <v>1.512269626609037</v>
      </c>
      <c r="CV64" s="256"/>
      <c r="CW64" s="256"/>
      <c r="CX64" s="289">
        <f>SUM(CX58:CX60)</f>
        <v>47.802</v>
      </c>
      <c r="CY64" s="309">
        <f t="shared" si="173"/>
        <v>1.612398896193852</v>
      </c>
      <c r="CZ64" s="256"/>
      <c r="DA64" s="256"/>
      <c r="DB64" s="289">
        <f>SUM(DB58:DB60)</f>
        <v>38.099999999999994</v>
      </c>
      <c r="DC64" s="309">
        <f t="shared" si="174"/>
        <v>1.3178375012970838</v>
      </c>
      <c r="DD64" s="256"/>
      <c r="DE64" s="256"/>
      <c r="DF64" s="289">
        <f>SUM(DF58:DF60)</f>
        <v>34.599999999999994</v>
      </c>
      <c r="DG64" s="309">
        <f t="shared" si="175"/>
        <v>1.2481061972440659</v>
      </c>
      <c r="DH64" s="256"/>
      <c r="DI64" s="256"/>
      <c r="DJ64" s="289">
        <f>SUM(DJ58:DJ60)</f>
        <v>28.200000000000003</v>
      </c>
      <c r="DK64" s="309">
        <f t="shared" si="176"/>
        <v>0.99453359195909008</v>
      </c>
      <c r="DL64" s="256"/>
      <c r="DM64" s="256"/>
      <c r="DN64" s="289">
        <f>SUM(DN58:DN60)</f>
        <v>26.9</v>
      </c>
      <c r="DO64" s="309">
        <f t="shared" si="177"/>
        <v>0.89666702828945255</v>
      </c>
      <c r="DP64" s="256"/>
      <c r="DQ64" s="256"/>
      <c r="DR64" s="256"/>
      <c r="DS64" s="256"/>
      <c r="DT64" s="256"/>
      <c r="DU64" s="602"/>
      <c r="DV64" s="256"/>
      <c r="DW64" s="256"/>
      <c r="DX64" s="256"/>
      <c r="DY64" s="256"/>
      <c r="DZ64" s="256"/>
      <c r="EA64" s="256"/>
    </row>
    <row r="65" spans="1:131" outlineLevel="1" collapsed="1">
      <c r="A65" s="256"/>
      <c r="B65" s="256"/>
      <c r="C65" s="256"/>
      <c r="D65" s="256"/>
      <c r="E65" s="256"/>
      <c r="F65" s="256"/>
      <c r="G65" s="256"/>
      <c r="H65" s="256"/>
      <c r="I65" s="256"/>
      <c r="J65" s="256"/>
      <c r="K65" s="256"/>
      <c r="L65" s="256"/>
      <c r="M65" s="256"/>
      <c r="N65" s="256"/>
      <c r="O65" s="256"/>
      <c r="P65" s="256"/>
      <c r="Q65" s="256"/>
      <c r="R65" s="256"/>
      <c r="S65" s="256"/>
      <c r="T65" s="256"/>
      <c r="U65" s="256"/>
      <c r="V65" s="256"/>
      <c r="W65" s="256"/>
      <c r="X65" s="256"/>
      <c r="Y65" s="256"/>
      <c r="Z65" s="256"/>
      <c r="AA65" s="256"/>
      <c r="AB65" s="256"/>
      <c r="AC65" s="256"/>
      <c r="AD65" s="256"/>
      <c r="AE65" s="256"/>
      <c r="AF65" s="256"/>
      <c r="AG65" s="256"/>
      <c r="AH65" s="256"/>
      <c r="AI65" s="256"/>
      <c r="AJ65" s="256"/>
      <c r="AK65" s="256"/>
      <c r="AL65" s="256"/>
      <c r="AM65" s="256"/>
      <c r="AN65" s="256"/>
      <c r="AO65" s="256"/>
      <c r="AP65" s="256"/>
      <c r="AQ65" s="256"/>
      <c r="AR65" s="256"/>
      <c r="AS65" s="256"/>
      <c r="AT65" s="256"/>
      <c r="AU65" s="256"/>
      <c r="AV65" s="256"/>
      <c r="AW65" s="256"/>
      <c r="AX65" s="256"/>
      <c r="AY65" s="256"/>
      <c r="AZ65" s="256"/>
      <c r="BA65" s="256"/>
      <c r="BB65" s="256"/>
      <c r="BC65" s="256"/>
      <c r="BD65" s="256"/>
      <c r="BE65" s="256"/>
      <c r="BF65" s="256"/>
      <c r="BG65" s="256"/>
      <c r="BH65" s="256"/>
      <c r="BI65" s="256"/>
      <c r="BJ65" s="256"/>
      <c r="BK65" s="256"/>
      <c r="BL65" s="256"/>
      <c r="BM65" s="587"/>
      <c r="BN65" s="256"/>
      <c r="BO65" s="256"/>
      <c r="BP65" s="256"/>
      <c r="BQ65" s="599"/>
      <c r="BR65" s="256"/>
      <c r="BS65" s="256"/>
      <c r="BT65" s="256"/>
      <c r="BU65" s="256"/>
      <c r="BV65" s="256"/>
      <c r="BW65" s="256"/>
      <c r="BX65" s="256"/>
      <c r="BY65" s="256"/>
      <c r="BZ65" s="256"/>
      <c r="CA65" s="256"/>
      <c r="CB65" s="256"/>
      <c r="CC65" s="256"/>
      <c r="CD65" s="256"/>
      <c r="CE65" s="256"/>
      <c r="CF65" s="256"/>
      <c r="CG65" s="256"/>
      <c r="CH65" s="256"/>
      <c r="CI65" s="256"/>
      <c r="CJ65" s="256"/>
      <c r="CK65" s="256"/>
      <c r="CL65" s="256"/>
      <c r="CM65" s="256"/>
      <c r="CN65" s="256"/>
      <c r="CO65" s="256"/>
      <c r="CP65" s="256"/>
      <c r="CQ65" s="256"/>
      <c r="CR65" s="256"/>
      <c r="CS65" s="256"/>
      <c r="CT65" s="256"/>
      <c r="CU65" s="256"/>
      <c r="CV65" s="256"/>
      <c r="CW65" s="256"/>
      <c r="CX65" s="256"/>
      <c r="CY65" s="256"/>
      <c r="CZ65" s="256"/>
      <c r="DA65" s="256"/>
      <c r="DB65" s="256"/>
      <c r="DC65" s="256"/>
      <c r="DD65" s="256"/>
      <c r="DE65" s="256"/>
      <c r="DF65" s="256"/>
      <c r="DG65" s="256"/>
      <c r="DH65" s="256"/>
      <c r="DI65" s="256"/>
      <c r="DJ65" s="256"/>
      <c r="DK65" s="256"/>
      <c r="DL65" s="256"/>
      <c r="DM65" s="256"/>
      <c r="DN65" s="256"/>
      <c r="DO65" s="256"/>
      <c r="DP65" s="256"/>
      <c r="DQ65" s="256"/>
      <c r="DR65" s="256"/>
      <c r="DS65" s="256"/>
      <c r="DT65" s="256"/>
      <c r="DU65" s="602"/>
      <c r="DV65" s="256"/>
      <c r="DW65" s="256"/>
      <c r="DX65" s="256"/>
      <c r="DY65" s="256"/>
      <c r="DZ65" s="256"/>
      <c r="EA65" s="256"/>
    </row>
    <row r="66" spans="1:131" ht="12.75" customHeight="1">
      <c r="A66" s="256"/>
      <c r="B66" s="256"/>
      <c r="C66" s="268"/>
      <c r="D66" s="598"/>
      <c r="E66" s="268" t="str">
        <f>Z66</f>
        <v>5b. Pre-Tax Charges   (% of Sales)</v>
      </c>
      <c r="F66" s="598"/>
      <c r="G66" s="256"/>
      <c r="H66" s="256"/>
      <c r="I66" s="256"/>
      <c r="J66" s="598"/>
      <c r="K66" s="256"/>
      <c r="L66" s="256"/>
      <c r="M66" s="256"/>
      <c r="N66" s="598"/>
      <c r="O66" s="256"/>
      <c r="P66" s="256"/>
      <c r="Q66" s="256"/>
      <c r="R66" s="598"/>
      <c r="S66" s="256"/>
      <c r="T66" s="256"/>
      <c r="U66" s="256"/>
      <c r="V66" s="598"/>
      <c r="W66" s="256"/>
      <c r="X66" s="256"/>
      <c r="Y66" s="256"/>
      <c r="Z66" s="600" t="s">
        <v>2437</v>
      </c>
      <c r="AA66" s="312"/>
      <c r="AB66" s="312"/>
      <c r="AC66" s="312"/>
      <c r="AD66" s="600"/>
      <c r="AE66" s="312"/>
      <c r="AF66" s="312"/>
      <c r="AG66" s="312"/>
      <c r="AH66" s="600"/>
      <c r="AI66" s="312"/>
      <c r="AJ66" s="312"/>
      <c r="AK66" s="312"/>
      <c r="AL66" s="600"/>
      <c r="AM66" s="312"/>
      <c r="AN66" s="312"/>
      <c r="AO66" s="312"/>
      <c r="AP66" s="256"/>
      <c r="AQ66" s="827"/>
      <c r="AR66" s="827"/>
      <c r="AS66" s="827"/>
      <c r="AT66" s="827"/>
      <c r="AU66" s="827"/>
      <c r="AV66" s="827"/>
      <c r="AW66" s="827"/>
      <c r="AX66" s="827"/>
      <c r="AY66" s="827"/>
      <c r="AZ66" s="827"/>
      <c r="BA66" s="827"/>
      <c r="BB66" s="600"/>
      <c r="BC66" s="600"/>
      <c r="BD66" s="600"/>
      <c r="BE66" s="600"/>
      <c r="BF66" s="312"/>
      <c r="BG66" s="600"/>
      <c r="BH66" s="600"/>
      <c r="BI66" s="600"/>
      <c r="BJ66" s="600" t="s">
        <v>2437</v>
      </c>
      <c r="BK66" s="600"/>
      <c r="BL66" s="600"/>
      <c r="BM66" s="600"/>
      <c r="BN66" s="600"/>
      <c r="BO66" s="600"/>
      <c r="BP66" s="600"/>
      <c r="BQ66" s="600"/>
      <c r="BR66" s="600"/>
      <c r="BS66" s="600"/>
      <c r="BT66" s="600"/>
      <c r="BU66" s="600"/>
      <c r="BV66" s="600" t="s">
        <v>2437</v>
      </c>
      <c r="BW66" s="600"/>
      <c r="BX66" s="600"/>
      <c r="BY66" s="600"/>
      <c r="BZ66" s="600"/>
      <c r="CA66" s="600"/>
      <c r="CB66" s="600"/>
      <c r="CC66" s="600"/>
      <c r="CE66" s="600"/>
      <c r="CF66" s="600"/>
      <c r="CG66" s="600"/>
      <c r="CH66" s="600"/>
      <c r="CI66" s="600"/>
      <c r="CJ66" s="600"/>
      <c r="CK66" s="600"/>
      <c r="CL66" s="600"/>
      <c r="CM66" s="600"/>
      <c r="CN66" s="600"/>
      <c r="CO66" s="600"/>
      <c r="CP66" s="600"/>
      <c r="CR66" s="600"/>
      <c r="CS66" s="256"/>
      <c r="CT66" s="600"/>
      <c r="CU66" s="600"/>
      <c r="CV66" s="600"/>
      <c r="CW66" s="256"/>
      <c r="CX66" s="600"/>
      <c r="CY66" s="600"/>
      <c r="CZ66" s="600"/>
      <c r="DA66" s="256"/>
      <c r="DB66" s="600" t="s">
        <v>2437</v>
      </c>
      <c r="DC66" s="600"/>
      <c r="DD66" s="600"/>
      <c r="DE66" s="256"/>
      <c r="DF66" s="600"/>
      <c r="DG66" s="600"/>
      <c r="DH66" s="600"/>
      <c r="DI66" s="256"/>
      <c r="DJ66" s="600"/>
      <c r="DK66" s="600"/>
      <c r="DL66" s="600"/>
      <c r="DM66" s="256"/>
      <c r="DN66" s="600"/>
      <c r="DO66" s="600"/>
      <c r="DP66" s="600"/>
      <c r="DQ66" s="256"/>
      <c r="DR66" s="256"/>
      <c r="DS66" s="256"/>
      <c r="DT66" s="256"/>
      <c r="DU66" s="256"/>
      <c r="DV66" s="256"/>
      <c r="DW66" s="256"/>
      <c r="DX66" s="256"/>
      <c r="DY66" s="256"/>
      <c r="DZ66" s="256"/>
      <c r="EA66" s="256"/>
    </row>
    <row r="67" spans="1:131">
      <c r="A67" s="256"/>
      <c r="B67" s="256"/>
      <c r="C67" s="256"/>
      <c r="D67" s="256"/>
      <c r="E67" s="256"/>
      <c r="F67" s="256"/>
      <c r="G67" s="256"/>
      <c r="H67" s="256"/>
      <c r="I67" s="256"/>
      <c r="J67" s="256"/>
      <c r="K67" s="256"/>
      <c r="L67" s="256"/>
      <c r="M67" s="256"/>
      <c r="N67" s="256"/>
      <c r="O67" s="256"/>
      <c r="P67" s="256"/>
      <c r="Q67" s="256"/>
      <c r="R67" s="256"/>
      <c r="S67" s="256"/>
      <c r="T67" s="256"/>
      <c r="U67" s="256"/>
      <c r="V67" s="256"/>
      <c r="W67" s="256"/>
      <c r="X67" s="256"/>
      <c r="Y67" s="256"/>
      <c r="Z67" s="256"/>
      <c r="AA67" s="256"/>
      <c r="AB67" s="256"/>
      <c r="AC67" s="256"/>
      <c r="AD67" s="256"/>
      <c r="AE67" s="256"/>
      <c r="AF67" s="256"/>
      <c r="AG67" s="256"/>
      <c r="AH67" s="256"/>
      <c r="AI67" s="256"/>
      <c r="AJ67" s="256"/>
      <c r="AK67" s="256"/>
      <c r="AL67" s="256"/>
      <c r="AM67" s="256"/>
      <c r="AN67" s="256"/>
      <c r="AO67" s="256"/>
      <c r="AP67" s="256"/>
      <c r="AQ67" s="256"/>
      <c r="AR67" s="256"/>
      <c r="AS67" s="256"/>
      <c r="AT67" s="256"/>
      <c r="AU67" s="256"/>
      <c r="AV67" s="256"/>
      <c r="AW67" s="256"/>
      <c r="AX67" s="256"/>
      <c r="AY67" s="256"/>
      <c r="AZ67" s="256"/>
      <c r="BA67" s="256"/>
      <c r="BB67" s="256"/>
      <c r="BC67" s="256"/>
      <c r="BD67" s="256"/>
      <c r="BE67" s="256"/>
      <c r="BF67" s="256"/>
      <c r="BG67" s="256"/>
      <c r="BH67" s="256"/>
      <c r="BI67" s="256"/>
      <c r="BJ67" s="256"/>
      <c r="BK67" s="256"/>
      <c r="BL67" s="256"/>
      <c r="BM67" s="587"/>
      <c r="BN67" s="256"/>
      <c r="BO67" s="256"/>
      <c r="BP67" s="256"/>
      <c r="BQ67" s="599"/>
      <c r="BR67" s="256"/>
      <c r="BS67" s="256"/>
      <c r="BT67" s="256"/>
      <c r="BU67" s="256"/>
      <c r="BV67" s="256"/>
      <c r="BW67" s="256"/>
      <c r="BX67" s="256"/>
      <c r="BY67" s="256"/>
      <c r="BZ67" s="256"/>
      <c r="CA67" s="256"/>
      <c r="CB67" s="256"/>
      <c r="CC67" s="256"/>
      <c r="CD67" s="256"/>
      <c r="CE67" s="256"/>
      <c r="CF67" s="256"/>
      <c r="CG67" s="256"/>
      <c r="CH67" s="256"/>
      <c r="CI67" s="256"/>
      <c r="CJ67" s="256"/>
      <c r="CK67" s="256"/>
      <c r="CL67" s="256"/>
      <c r="CM67" s="256"/>
      <c r="CN67" s="256"/>
      <c r="CO67" s="256"/>
      <c r="CP67" s="256"/>
      <c r="CQ67" s="256"/>
      <c r="CR67" s="256"/>
      <c r="CS67" s="256"/>
      <c r="CT67" s="256"/>
      <c r="CU67" s="256"/>
      <c r="CV67" s="256"/>
      <c r="CW67" s="256"/>
      <c r="CX67" s="256"/>
      <c r="CY67" s="256"/>
      <c r="CZ67" s="256"/>
      <c r="DA67" s="256"/>
      <c r="DB67" s="256"/>
      <c r="DC67" s="256"/>
      <c r="DD67" s="256"/>
      <c r="DE67" s="256"/>
      <c r="DF67" s="256"/>
      <c r="DG67" s="256"/>
      <c r="DH67" s="256"/>
      <c r="DI67" s="256"/>
      <c r="DJ67" s="256"/>
      <c r="DK67" s="256"/>
      <c r="DL67" s="256"/>
      <c r="DM67" s="256"/>
      <c r="DN67" s="256"/>
      <c r="DO67" s="256"/>
      <c r="DP67" s="256"/>
      <c r="DQ67" s="256"/>
      <c r="DR67" s="256"/>
      <c r="DS67" s="256"/>
      <c r="DT67" s="256"/>
      <c r="DU67" s="256"/>
      <c r="DV67" s="256"/>
      <c r="DW67" s="256"/>
      <c r="DX67" s="256"/>
      <c r="DY67" s="256"/>
      <c r="DZ67" s="256"/>
      <c r="EA67" s="256"/>
    </row>
    <row r="68" spans="1:131">
      <c r="A68" s="256" t="str">
        <f>$A$10</f>
        <v>1Q</v>
      </c>
      <c r="B68" s="256" t="str">
        <f>$B$10</f>
        <v>Apr</v>
      </c>
      <c r="C68" s="256"/>
      <c r="D68" s="294"/>
      <c r="E68" s="256"/>
      <c r="F68" s="294"/>
      <c r="G68" s="309"/>
      <c r="H68" s="238"/>
      <c r="I68" s="256"/>
      <c r="J68" s="294"/>
      <c r="K68" s="309"/>
      <c r="L68" s="238"/>
      <c r="M68" s="256"/>
      <c r="N68" s="294"/>
      <c r="O68" s="309"/>
      <c r="P68" s="238"/>
      <c r="Q68" s="256"/>
      <c r="R68" s="294"/>
      <c r="S68" s="309"/>
      <c r="T68" s="238"/>
      <c r="U68" s="256"/>
      <c r="V68" s="294"/>
      <c r="W68" s="309"/>
      <c r="X68" s="238"/>
      <c r="Y68" s="256"/>
      <c r="Z68" s="294"/>
      <c r="AA68" s="309"/>
      <c r="AB68" s="238"/>
      <c r="AC68" s="256"/>
      <c r="AD68" s="294"/>
      <c r="AE68" s="309"/>
      <c r="AF68" s="238"/>
      <c r="AG68" s="256"/>
      <c r="AH68" s="294"/>
      <c r="AI68" s="309"/>
      <c r="AJ68" s="238"/>
      <c r="AK68" s="256"/>
      <c r="AL68" s="294"/>
      <c r="AM68" s="309"/>
      <c r="AN68" s="238"/>
      <c r="AO68" s="238"/>
      <c r="AP68" s="294"/>
      <c r="AQ68" s="309"/>
      <c r="AR68" s="256"/>
      <c r="AS68" s="256"/>
      <c r="AT68" s="294"/>
      <c r="AU68" s="309"/>
      <c r="AV68" s="256"/>
      <c r="AW68" s="256"/>
      <c r="AX68" s="294"/>
      <c r="AY68" s="309"/>
      <c r="AZ68" s="256"/>
      <c r="BA68" s="256"/>
      <c r="BB68" s="294"/>
      <c r="BC68" s="309"/>
      <c r="BD68" s="256"/>
      <c r="BE68" s="256"/>
      <c r="BF68" s="294"/>
      <c r="BG68" s="309"/>
      <c r="BH68" s="256"/>
      <c r="BI68" s="256"/>
      <c r="BJ68" s="294"/>
      <c r="BK68" s="309"/>
      <c r="BL68" s="256"/>
      <c r="BM68" s="587"/>
      <c r="BN68" s="294"/>
      <c r="BO68" s="309"/>
      <c r="BP68" s="310"/>
      <c r="BQ68" s="599"/>
      <c r="BR68" s="294"/>
      <c r="BS68" s="309"/>
      <c r="BT68" s="310"/>
      <c r="BU68" s="256"/>
      <c r="BV68" s="294"/>
      <c r="BW68" s="309"/>
      <c r="BX68" s="310"/>
      <c r="BY68" s="256"/>
      <c r="BZ68" s="294"/>
      <c r="CA68" s="309"/>
      <c r="CB68" s="310"/>
      <c r="CC68" s="256"/>
      <c r="CD68" s="294"/>
      <c r="CE68" s="309"/>
      <c r="CF68" s="310"/>
      <c r="CG68" s="256"/>
      <c r="CH68" s="294"/>
      <c r="CI68" s="309"/>
      <c r="CJ68" s="310"/>
      <c r="CK68" s="256"/>
      <c r="CL68" s="294"/>
      <c r="CM68" s="309"/>
      <c r="CN68" s="310"/>
      <c r="CO68" s="256"/>
      <c r="CP68" s="294"/>
      <c r="CQ68" s="309"/>
      <c r="CR68" s="310"/>
      <c r="CS68" s="256"/>
      <c r="CT68" s="294"/>
      <c r="CU68" s="309"/>
      <c r="CV68" s="310"/>
      <c r="CW68" s="256"/>
      <c r="CX68" s="294"/>
      <c r="CY68" s="309"/>
      <c r="CZ68" s="310"/>
      <c r="DA68" s="256"/>
      <c r="DB68" s="294"/>
      <c r="DC68" s="309"/>
      <c r="DD68" s="310"/>
      <c r="DE68" s="256"/>
      <c r="DF68" s="294"/>
      <c r="DG68" s="309"/>
      <c r="DH68" s="310"/>
      <c r="DI68" s="256"/>
      <c r="DJ68" s="294"/>
      <c r="DK68" s="309"/>
      <c r="DL68" s="310"/>
      <c r="DM68" s="256"/>
      <c r="DN68" s="294"/>
      <c r="DO68" s="309"/>
      <c r="DP68" s="310"/>
      <c r="DQ68" s="256"/>
      <c r="DR68" s="256"/>
      <c r="DS68" s="256"/>
      <c r="DT68" s="256"/>
      <c r="DU68" s="601"/>
      <c r="DV68" s="256"/>
      <c r="DW68" s="256"/>
      <c r="DX68" s="256"/>
      <c r="DY68" s="256"/>
      <c r="DZ68" s="256"/>
      <c r="EA68" s="256"/>
    </row>
    <row r="69" spans="1:131">
      <c r="A69" s="256" t="str">
        <f>$A$11</f>
        <v>2Q</v>
      </c>
      <c r="B69" s="256" t="str">
        <f>$B$11</f>
        <v>Jul</v>
      </c>
      <c r="C69" s="256"/>
      <c r="D69" s="295"/>
      <c r="E69" s="256"/>
      <c r="F69" s="295"/>
      <c r="G69" s="309"/>
      <c r="H69" s="256"/>
      <c r="I69" s="256"/>
      <c r="J69" s="295"/>
      <c r="K69" s="309"/>
      <c r="L69" s="256"/>
      <c r="M69" s="256"/>
      <c r="N69" s="295"/>
      <c r="O69" s="309"/>
      <c r="P69" s="256"/>
      <c r="Q69" s="256"/>
      <c r="R69" s="295"/>
      <c r="S69" s="309"/>
      <c r="T69" s="256"/>
      <c r="U69" s="256"/>
      <c r="V69" s="295"/>
      <c r="W69" s="309"/>
      <c r="X69" s="256"/>
      <c r="Y69" s="256"/>
      <c r="Z69" s="295"/>
      <c r="AA69" s="309"/>
      <c r="AB69" s="256"/>
      <c r="AC69" s="256"/>
      <c r="AD69" s="295"/>
      <c r="AE69" s="309"/>
      <c r="AF69" s="256"/>
      <c r="AG69" s="256"/>
      <c r="AH69" s="295"/>
      <c r="AI69" s="309"/>
      <c r="AJ69" s="256"/>
      <c r="AK69" s="256"/>
      <c r="AL69" s="295"/>
      <c r="AM69" s="309"/>
      <c r="AN69" s="256"/>
      <c r="AO69" s="256"/>
      <c r="AP69" s="295"/>
      <c r="AQ69" s="309"/>
      <c r="AR69" s="256"/>
      <c r="AS69" s="256"/>
      <c r="AT69" s="295"/>
      <c r="AU69" s="309"/>
      <c r="AV69" s="256"/>
      <c r="AW69" s="256"/>
      <c r="AX69" s="295"/>
      <c r="AY69" s="309"/>
      <c r="AZ69" s="256"/>
      <c r="BA69" s="256"/>
      <c r="BB69" s="295"/>
      <c r="BC69" s="309"/>
      <c r="BD69" s="256"/>
      <c r="BE69" s="256"/>
      <c r="BF69" s="295"/>
      <c r="BG69" s="309"/>
      <c r="BH69" s="256"/>
      <c r="BI69" s="256"/>
      <c r="BJ69" s="295"/>
      <c r="BK69" s="309"/>
      <c r="BL69" s="256"/>
      <c r="BM69" s="587"/>
      <c r="BN69" s="295"/>
      <c r="BO69" s="309"/>
      <c r="BP69" s="310"/>
      <c r="BQ69" s="599"/>
      <c r="BR69" s="295"/>
      <c r="BS69" s="309"/>
      <c r="BT69" s="310"/>
      <c r="BU69" s="256"/>
      <c r="BV69" s="295"/>
      <c r="BW69" s="309"/>
      <c r="BX69" s="310"/>
      <c r="BY69" s="256"/>
      <c r="BZ69" s="295"/>
      <c r="CA69" s="309"/>
      <c r="CB69" s="310"/>
      <c r="CC69" s="256"/>
      <c r="CD69" s="295"/>
      <c r="CE69" s="309"/>
      <c r="CF69" s="1019"/>
      <c r="CG69" s="256"/>
      <c r="CH69" s="295"/>
      <c r="CI69" s="309"/>
      <c r="CJ69" s="1019"/>
      <c r="CK69" s="256"/>
      <c r="CL69" s="295"/>
      <c r="CM69" s="309"/>
      <c r="CN69" s="1019"/>
      <c r="CO69" s="256"/>
      <c r="CP69" s="295"/>
      <c r="CQ69" s="309"/>
      <c r="CR69" s="1019"/>
      <c r="CS69" s="256"/>
      <c r="CT69" s="1729"/>
      <c r="CU69" s="309"/>
      <c r="CV69" s="1019"/>
      <c r="CW69" s="256"/>
      <c r="CX69" s="1729"/>
      <c r="CY69" s="309"/>
      <c r="CZ69" s="1019"/>
      <c r="DA69" s="256"/>
      <c r="DB69" s="1729"/>
      <c r="DC69" s="309"/>
      <c r="DD69" s="1019"/>
      <c r="DE69" s="256"/>
      <c r="DF69" s="1729"/>
      <c r="DG69" s="309"/>
      <c r="DH69" s="1019"/>
      <c r="DI69" s="256"/>
      <c r="DJ69" s="1729"/>
      <c r="DK69" s="309"/>
      <c r="DL69" s="1019"/>
      <c r="DM69" s="256"/>
      <c r="DN69" s="295"/>
      <c r="DO69" s="309"/>
      <c r="DP69" s="1019"/>
      <c r="DQ69" s="256"/>
      <c r="DR69" s="256"/>
      <c r="DS69" s="256"/>
      <c r="DT69" s="256"/>
      <c r="DU69" s="602"/>
      <c r="DV69" s="256"/>
      <c r="DW69" s="256"/>
      <c r="DX69" s="256"/>
      <c r="DY69" s="256"/>
      <c r="DZ69" s="256"/>
      <c r="EA69" s="256"/>
    </row>
    <row r="70" spans="1:131">
      <c r="A70" s="256" t="str">
        <f>$A$12</f>
        <v>3Q</v>
      </c>
      <c r="B70" s="256" t="str">
        <f>$B$12</f>
        <v>Oct</v>
      </c>
      <c r="C70" s="256"/>
      <c r="D70" s="295"/>
      <c r="E70" s="256"/>
      <c r="F70" s="295"/>
      <c r="G70" s="309"/>
      <c r="H70" s="256"/>
      <c r="I70" s="256"/>
      <c r="J70" s="602"/>
      <c r="K70" s="309"/>
      <c r="L70" s="256"/>
      <c r="M70" s="256"/>
      <c r="N70" s="602"/>
      <c r="O70" s="309"/>
      <c r="P70" s="256"/>
      <c r="Q70" s="256"/>
      <c r="R70" s="295"/>
      <c r="S70" s="309"/>
      <c r="T70" s="256"/>
      <c r="U70" s="256"/>
      <c r="V70" s="295"/>
      <c r="W70" s="309"/>
      <c r="X70" s="256"/>
      <c r="Y70" s="256"/>
      <c r="Z70" s="295"/>
      <c r="AA70" s="309"/>
      <c r="AB70" s="256"/>
      <c r="AC70" s="256"/>
      <c r="AD70" s="295"/>
      <c r="AE70" s="309"/>
      <c r="AF70" s="256"/>
      <c r="AG70" s="256"/>
      <c r="AH70" s="295"/>
      <c r="AI70" s="309"/>
      <c r="AJ70" s="256"/>
      <c r="AK70" s="256"/>
      <c r="AL70" s="295"/>
      <c r="AM70" s="309"/>
      <c r="AN70" s="256"/>
      <c r="AO70" s="256"/>
      <c r="AP70" s="295"/>
      <c r="AQ70" s="309"/>
      <c r="AR70" s="256"/>
      <c r="AS70" s="256"/>
      <c r="AT70" s="295"/>
      <c r="AU70" s="309"/>
      <c r="AV70" s="256"/>
      <c r="AW70" s="256"/>
      <c r="AX70" s="295"/>
      <c r="AY70" s="309"/>
      <c r="AZ70" s="256"/>
      <c r="BA70" s="256"/>
      <c r="BB70" s="295"/>
      <c r="BC70" s="309"/>
      <c r="BD70" s="256"/>
      <c r="BE70" s="256"/>
      <c r="BF70" s="295"/>
      <c r="BG70" s="309"/>
      <c r="BH70" s="256"/>
      <c r="BI70" s="256"/>
      <c r="BJ70" s="295"/>
      <c r="BK70" s="309"/>
      <c r="BL70" s="256"/>
      <c r="BM70" s="587"/>
      <c r="BN70" s="295"/>
      <c r="BO70" s="309"/>
      <c r="BP70" s="310"/>
      <c r="BQ70" s="599"/>
      <c r="BR70" s="295"/>
      <c r="BS70" s="309"/>
      <c r="BT70" s="310"/>
      <c r="BU70" s="256"/>
      <c r="BV70" s="295"/>
      <c r="BW70" s="309"/>
      <c r="BX70" s="310"/>
      <c r="BY70" s="256"/>
      <c r="BZ70" s="295"/>
      <c r="CA70" s="309"/>
      <c r="CB70" s="310"/>
      <c r="CC70" s="256"/>
      <c r="CD70" s="295"/>
      <c r="CE70" s="309"/>
      <c r="CF70" s="387"/>
      <c r="CG70" s="256"/>
      <c r="CH70" s="295"/>
      <c r="CI70" s="309"/>
      <c r="CJ70" s="310"/>
      <c r="CK70" s="256"/>
      <c r="CL70" s="295"/>
      <c r="CM70" s="309"/>
      <c r="CN70" s="310"/>
      <c r="CO70" s="256"/>
      <c r="CP70" s="295"/>
      <c r="CQ70" s="309"/>
      <c r="CR70" s="310"/>
      <c r="CS70" s="256"/>
      <c r="CT70" s="295"/>
      <c r="CU70" s="309"/>
      <c r="CV70" s="310"/>
      <c r="CW70" s="256"/>
      <c r="CX70" s="2127">
        <v>93.778999999999996</v>
      </c>
      <c r="CY70" s="309"/>
      <c r="CZ70" s="310"/>
      <c r="DA70" s="256"/>
      <c r="DB70" s="295"/>
      <c r="DC70" s="309"/>
      <c r="DD70" s="310"/>
      <c r="DE70" s="256"/>
      <c r="DF70" s="295"/>
      <c r="DG70" s="309"/>
      <c r="DH70" s="310"/>
      <c r="DI70" s="256"/>
      <c r="DJ70" s="295"/>
      <c r="DK70" s="309"/>
      <c r="DL70" s="310"/>
      <c r="DM70" s="256"/>
      <c r="DN70" s="295"/>
      <c r="DO70" s="309"/>
      <c r="DP70" s="310"/>
      <c r="DQ70" s="256"/>
      <c r="DR70" s="256"/>
      <c r="DS70" s="256"/>
      <c r="DT70" s="256"/>
      <c r="DU70" s="602"/>
      <c r="DV70" s="256"/>
      <c r="DW70" s="256"/>
      <c r="DX70" s="256"/>
      <c r="DY70" s="256"/>
      <c r="DZ70" s="256"/>
      <c r="EA70" s="256"/>
    </row>
    <row r="71" spans="1:131">
      <c r="A71" s="256" t="str">
        <f>$A$13</f>
        <v>4Q</v>
      </c>
      <c r="B71" s="256" t="str">
        <f>$B$13</f>
        <v>Jan</v>
      </c>
      <c r="C71" s="587"/>
      <c r="D71" s="292"/>
      <c r="E71" s="256"/>
      <c r="F71" s="292"/>
      <c r="G71" s="309"/>
      <c r="H71" s="256"/>
      <c r="I71" s="256"/>
      <c r="J71" s="292"/>
      <c r="K71" s="309"/>
      <c r="L71" s="256"/>
      <c r="M71" s="256"/>
      <c r="N71" s="292"/>
      <c r="O71" s="309"/>
      <c r="P71" s="256"/>
      <c r="Q71" s="256"/>
      <c r="R71" s="292"/>
      <c r="S71" s="309"/>
      <c r="T71" s="256"/>
      <c r="U71" s="256"/>
      <c r="V71" s="273"/>
      <c r="W71" s="309"/>
      <c r="X71" s="256"/>
      <c r="Y71" s="256"/>
      <c r="Z71" s="292"/>
      <c r="AA71" s="309"/>
      <c r="AB71" s="256"/>
      <c r="AC71" s="256"/>
      <c r="AD71" s="292"/>
      <c r="AE71" s="309"/>
      <c r="AF71" s="256"/>
      <c r="AG71" s="256"/>
      <c r="AH71" s="292"/>
      <c r="AI71" s="309"/>
      <c r="AJ71" s="256"/>
      <c r="AK71" s="256"/>
      <c r="AL71" s="292"/>
      <c r="AM71" s="309"/>
      <c r="AN71" s="256"/>
      <c r="AO71" s="256"/>
      <c r="AP71" s="292"/>
      <c r="AQ71" s="309"/>
      <c r="AR71" s="256"/>
      <c r="AS71" s="256"/>
      <c r="AT71" s="292"/>
      <c r="AU71" s="309"/>
      <c r="AV71" s="256"/>
      <c r="AW71" s="256"/>
      <c r="AX71" s="292"/>
      <c r="AY71" s="309"/>
      <c r="AZ71" s="256"/>
      <c r="BA71" s="256"/>
      <c r="BB71" s="292"/>
      <c r="BC71" s="309"/>
      <c r="BD71" s="256"/>
      <c r="BE71" s="256"/>
      <c r="BF71" s="292"/>
      <c r="BG71" s="309"/>
      <c r="BH71" s="256"/>
      <c r="BI71" s="256"/>
      <c r="BJ71" s="292"/>
      <c r="BK71" s="309"/>
      <c r="BL71" s="256"/>
      <c r="BM71" s="587"/>
      <c r="BN71" s="292"/>
      <c r="BO71" s="309"/>
      <c r="BP71" s="310"/>
      <c r="BQ71" s="599"/>
      <c r="BR71" s="292"/>
      <c r="BS71" s="309"/>
      <c r="BT71" s="310"/>
      <c r="BU71" s="256"/>
      <c r="BV71" s="292"/>
      <c r="BW71" s="309"/>
      <c r="BX71" s="310"/>
      <c r="BY71" s="256"/>
      <c r="BZ71" s="292"/>
      <c r="CA71" s="309"/>
      <c r="CB71" s="310"/>
      <c r="CC71" s="256"/>
      <c r="CD71" s="292"/>
      <c r="CE71" s="309"/>
      <c r="CF71" s="310"/>
      <c r="CG71" s="256"/>
      <c r="CH71" s="292"/>
      <c r="CI71" s="309"/>
      <c r="CJ71" s="310"/>
      <c r="CK71" s="256"/>
      <c r="CL71" s="292"/>
      <c r="CM71" s="309"/>
      <c r="CN71" s="310"/>
      <c r="CO71" s="256"/>
      <c r="CP71" s="292"/>
      <c r="CQ71" s="309"/>
      <c r="CR71" s="310"/>
      <c r="CS71" s="256"/>
      <c r="CT71" s="292"/>
      <c r="CU71" s="309"/>
      <c r="CV71" s="310"/>
      <c r="CW71" s="256"/>
      <c r="CX71" s="292"/>
      <c r="CY71" s="309"/>
      <c r="CZ71" s="310"/>
      <c r="DA71" s="256"/>
      <c r="DB71" s="292"/>
      <c r="DC71" s="309"/>
      <c r="DD71" s="310"/>
      <c r="DE71" s="256"/>
      <c r="DF71" s="292"/>
      <c r="DG71" s="309"/>
      <c r="DH71" s="310"/>
      <c r="DI71" s="256"/>
      <c r="DJ71" s="292"/>
      <c r="DK71" s="309"/>
      <c r="DL71" s="310"/>
      <c r="DM71" s="256"/>
      <c r="DN71" s="292"/>
      <c r="DO71" s="309"/>
      <c r="DP71" s="310"/>
      <c r="DQ71" s="256"/>
      <c r="DR71" s="256"/>
      <c r="DS71" s="256"/>
      <c r="DT71" s="256"/>
      <c r="DU71" s="602"/>
      <c r="DV71" s="256"/>
      <c r="DW71" s="256"/>
      <c r="DX71" s="256"/>
      <c r="DY71" s="256"/>
      <c r="DZ71" s="256"/>
      <c r="EA71" s="256"/>
    </row>
    <row r="72" spans="1:131">
      <c r="A72" s="256"/>
      <c r="B72" s="256" t="str">
        <f>$B$14</f>
        <v>Year</v>
      </c>
      <c r="C72" s="256"/>
      <c r="D72" s="305"/>
      <c r="E72" s="256"/>
      <c r="F72" s="305"/>
      <c r="G72" s="309"/>
      <c r="H72" s="256"/>
      <c r="I72" s="256"/>
      <c r="J72" s="305"/>
      <c r="K72" s="309"/>
      <c r="L72" s="256"/>
      <c r="M72" s="256"/>
      <c r="N72" s="305"/>
      <c r="O72" s="309"/>
      <c r="P72" s="256"/>
      <c r="Q72" s="256"/>
      <c r="R72" s="305"/>
      <c r="S72" s="309"/>
      <c r="T72" s="256"/>
      <c r="U72" s="256"/>
      <c r="V72" s="305"/>
      <c r="W72" s="309"/>
      <c r="X72" s="256"/>
      <c r="Y72" s="256"/>
      <c r="Z72" s="305"/>
      <c r="AA72" s="309"/>
      <c r="AB72" s="256"/>
      <c r="AC72" s="256"/>
      <c r="AD72" s="305"/>
      <c r="AE72" s="309"/>
      <c r="AF72" s="256"/>
      <c r="AG72" s="256"/>
      <c r="AH72" s="305"/>
      <c r="AI72" s="309"/>
      <c r="AJ72" s="256"/>
      <c r="AK72" s="256"/>
      <c r="AL72" s="305"/>
      <c r="AM72" s="309"/>
      <c r="AN72" s="256"/>
      <c r="AO72" s="256"/>
      <c r="AP72" s="305"/>
      <c r="AQ72" s="309"/>
      <c r="AR72" s="256"/>
      <c r="AS72" s="256"/>
      <c r="AT72" s="305"/>
      <c r="AU72" s="309"/>
      <c r="AV72" s="256"/>
      <c r="AW72" s="256"/>
      <c r="AX72" s="305"/>
      <c r="AY72" s="309"/>
      <c r="AZ72" s="256"/>
      <c r="BA72" s="256"/>
      <c r="BB72" s="305"/>
      <c r="BC72" s="309"/>
      <c r="BD72" s="256"/>
      <c r="BE72" s="256"/>
      <c r="BF72" s="305"/>
      <c r="BG72" s="309"/>
      <c r="BH72" s="256"/>
      <c r="BI72" s="256"/>
      <c r="BJ72" s="305"/>
      <c r="BK72" s="309"/>
      <c r="BL72" s="256"/>
      <c r="BM72" s="587"/>
      <c r="BN72" s="305"/>
      <c r="BO72" s="309"/>
      <c r="BP72" s="310"/>
      <c r="BQ72" s="599"/>
      <c r="BR72" s="305"/>
      <c r="BS72" s="309"/>
      <c r="BT72" s="310"/>
      <c r="BU72" s="256"/>
      <c r="BV72" s="305"/>
      <c r="BW72" s="309"/>
      <c r="BX72" s="310"/>
      <c r="BY72" s="256"/>
      <c r="BZ72" s="305"/>
      <c r="CA72" s="309"/>
      <c r="CB72" s="310"/>
      <c r="CC72" s="256"/>
      <c r="CD72" s="305"/>
      <c r="CE72" s="309"/>
      <c r="CF72" s="310"/>
      <c r="CG72" s="256"/>
      <c r="CH72" s="305"/>
      <c r="CI72" s="309"/>
      <c r="CJ72" s="310"/>
      <c r="CK72" s="256"/>
      <c r="CL72" s="305"/>
      <c r="CM72" s="309"/>
      <c r="CN72" s="310"/>
      <c r="CO72" s="256"/>
      <c r="CP72" s="305"/>
      <c r="CQ72" s="309"/>
      <c r="CR72" s="310"/>
      <c r="CS72" s="256"/>
      <c r="CT72" s="305"/>
      <c r="CU72" s="309"/>
      <c r="CV72" s="310"/>
      <c r="CW72" s="256"/>
      <c r="CX72" s="305">
        <f>SUM(CX68:CX71)</f>
        <v>93.778999999999996</v>
      </c>
      <c r="CY72" s="309"/>
      <c r="CZ72" s="310"/>
      <c r="DA72" s="256"/>
      <c r="DB72" s="305">
        <f>SUM(DB68:DB71)</f>
        <v>0</v>
      </c>
      <c r="DC72" s="309"/>
      <c r="DD72" s="310"/>
      <c r="DE72" s="256"/>
      <c r="DF72" s="305">
        <f>SUM(DF68:DF71)</f>
        <v>0</v>
      </c>
      <c r="DG72" s="309"/>
      <c r="DH72" s="310"/>
      <c r="DI72" s="256"/>
      <c r="DJ72" s="305">
        <f>SUM(DJ68:DJ71)</f>
        <v>0</v>
      </c>
      <c r="DK72" s="309"/>
      <c r="DL72" s="310"/>
      <c r="DM72" s="256"/>
      <c r="DN72" s="305">
        <f>SUM(DN68:DN71)</f>
        <v>0</v>
      </c>
      <c r="DO72" s="309"/>
      <c r="DP72" s="310"/>
      <c r="DQ72" s="256"/>
      <c r="DR72" s="256"/>
      <c r="DS72" s="256"/>
      <c r="DT72" s="256"/>
      <c r="DU72" s="602"/>
      <c r="DV72" s="256"/>
      <c r="DW72" s="256"/>
      <c r="DX72" s="256"/>
      <c r="DY72" s="256"/>
      <c r="DZ72" s="256"/>
      <c r="EA72" s="256"/>
    </row>
    <row r="73" spans="1:131" hidden="1" outlineLevel="1">
      <c r="A73" s="256" t="str">
        <f>$A$15</f>
        <v>6 Mos</v>
      </c>
      <c r="B73" s="256"/>
      <c r="C73" s="256"/>
      <c r="D73" s="289"/>
      <c r="E73" s="256"/>
      <c r="F73" s="289"/>
      <c r="G73" s="309"/>
      <c r="H73" s="256"/>
      <c r="I73" s="256"/>
      <c r="J73" s="289"/>
      <c r="K73" s="309"/>
      <c r="L73" s="256"/>
      <c r="M73" s="256"/>
      <c r="N73" s="289"/>
      <c r="O73" s="309"/>
      <c r="P73" s="256"/>
      <c r="Q73" s="256"/>
      <c r="R73" s="289"/>
      <c r="S73" s="309"/>
      <c r="T73" s="256"/>
      <c r="U73" s="256"/>
      <c r="V73" s="289"/>
      <c r="W73" s="309"/>
      <c r="X73" s="256"/>
      <c r="Y73" s="256"/>
      <c r="Z73" s="289"/>
      <c r="AA73" s="309"/>
      <c r="AB73" s="256"/>
      <c r="AC73" s="256"/>
      <c r="AD73" s="289"/>
      <c r="AE73" s="309"/>
      <c r="AF73" s="256"/>
      <c r="AG73" s="256"/>
      <c r="AH73" s="289"/>
      <c r="AI73" s="309"/>
      <c r="AJ73" s="256"/>
      <c r="AK73" s="256"/>
      <c r="AL73" s="289"/>
      <c r="AM73" s="309"/>
      <c r="AN73" s="256"/>
      <c r="AO73" s="256"/>
      <c r="AP73" s="289"/>
      <c r="AQ73" s="309"/>
      <c r="AR73" s="256"/>
      <c r="AS73" s="256"/>
      <c r="AT73" s="289"/>
      <c r="AU73" s="309"/>
      <c r="AV73" s="256"/>
      <c r="AW73" s="256"/>
      <c r="AX73" s="289"/>
      <c r="AY73" s="309"/>
      <c r="AZ73" s="256"/>
      <c r="BA73" s="256"/>
      <c r="BB73" s="289"/>
      <c r="BC73" s="309"/>
      <c r="BD73" s="256"/>
      <c r="BE73" s="256"/>
      <c r="BF73" s="289"/>
      <c r="BG73" s="309"/>
      <c r="BH73" s="256"/>
      <c r="BI73" s="256"/>
      <c r="BJ73" s="289"/>
      <c r="BK73" s="309"/>
      <c r="BL73" s="256"/>
      <c r="BM73" s="587"/>
      <c r="BN73" s="289"/>
      <c r="BO73" s="309"/>
      <c r="BP73" s="256"/>
      <c r="BQ73" s="599"/>
      <c r="BR73" s="289"/>
      <c r="BS73" s="309"/>
      <c r="BT73" s="256"/>
      <c r="BU73" s="256"/>
      <c r="BV73" s="289"/>
      <c r="BW73" s="309"/>
      <c r="BX73" s="256"/>
      <c r="BY73" s="256"/>
      <c r="BZ73" s="289"/>
      <c r="CA73" s="309"/>
      <c r="CB73" s="256"/>
      <c r="CC73" s="256"/>
      <c r="CD73" s="289"/>
      <c r="CE73" s="309"/>
      <c r="CF73" s="256"/>
      <c r="CG73" s="256"/>
      <c r="CH73" s="289"/>
      <c r="CI73" s="309"/>
      <c r="CJ73" s="256"/>
      <c r="CK73" s="256"/>
      <c r="CL73" s="289"/>
      <c r="CM73" s="309"/>
      <c r="CN73" s="256"/>
      <c r="CO73" s="256"/>
      <c r="CP73" s="289"/>
      <c r="CQ73" s="309"/>
      <c r="CR73" s="256"/>
      <c r="CS73" s="256"/>
      <c r="CT73" s="289"/>
      <c r="CU73" s="309"/>
      <c r="CV73" s="256"/>
      <c r="CW73" s="256"/>
      <c r="CX73" s="289"/>
      <c r="CY73" s="309"/>
      <c r="CZ73" s="256"/>
      <c r="DA73" s="256"/>
      <c r="DB73" s="289"/>
      <c r="DC73" s="309"/>
      <c r="DD73" s="256"/>
      <c r="DE73" s="256"/>
      <c r="DF73" s="289"/>
      <c r="DG73" s="309"/>
      <c r="DH73" s="256"/>
      <c r="DI73" s="256"/>
      <c r="DJ73" s="289"/>
      <c r="DK73" s="309"/>
      <c r="DL73" s="256"/>
      <c r="DM73" s="256"/>
      <c r="DN73" s="289"/>
      <c r="DO73" s="309"/>
      <c r="DP73" s="256"/>
      <c r="DQ73" s="256"/>
      <c r="DR73" s="256"/>
      <c r="DS73" s="256"/>
      <c r="DT73" s="256"/>
      <c r="DU73" s="602"/>
      <c r="DV73" s="256"/>
      <c r="DW73" s="256"/>
      <c r="DX73" s="256"/>
      <c r="DY73" s="256"/>
      <c r="DZ73" s="256"/>
      <c r="EA73" s="256"/>
    </row>
    <row r="74" spans="1:131" hidden="1" outlineLevel="1">
      <c r="A74" s="256" t="str">
        <f>$A$16</f>
        <v>9 Mos</v>
      </c>
      <c r="B74" s="256"/>
      <c r="C74" s="256"/>
      <c r="D74" s="289"/>
      <c r="E74" s="256"/>
      <c r="F74" s="289"/>
      <c r="G74" s="309"/>
      <c r="H74" s="256"/>
      <c r="I74" s="256"/>
      <c r="J74" s="289"/>
      <c r="K74" s="309"/>
      <c r="L74" s="256"/>
      <c r="M74" s="256"/>
      <c r="N74" s="289"/>
      <c r="O74" s="309"/>
      <c r="P74" s="256"/>
      <c r="Q74" s="256"/>
      <c r="R74" s="289"/>
      <c r="S74" s="309"/>
      <c r="T74" s="256"/>
      <c r="U74" s="256"/>
      <c r="V74" s="289"/>
      <c r="W74" s="309"/>
      <c r="X74" s="256"/>
      <c r="Y74" s="256"/>
      <c r="Z74" s="289"/>
      <c r="AA74" s="309"/>
      <c r="AB74" s="256"/>
      <c r="AC74" s="256"/>
      <c r="AD74" s="289"/>
      <c r="AE74" s="309"/>
      <c r="AF74" s="256"/>
      <c r="AG74" s="256"/>
      <c r="AH74" s="289"/>
      <c r="AI74" s="309"/>
      <c r="AJ74" s="256"/>
      <c r="AK74" s="256"/>
      <c r="AL74" s="289"/>
      <c r="AM74" s="309"/>
      <c r="AN74" s="256"/>
      <c r="AO74" s="256"/>
      <c r="AP74" s="289"/>
      <c r="AQ74" s="309"/>
      <c r="AR74" s="256"/>
      <c r="AS74" s="256"/>
      <c r="AT74" s="289"/>
      <c r="AU74" s="309"/>
      <c r="AV74" s="256"/>
      <c r="AW74" s="256"/>
      <c r="AX74" s="289"/>
      <c r="AY74" s="309"/>
      <c r="AZ74" s="256"/>
      <c r="BA74" s="256"/>
      <c r="BB74" s="289"/>
      <c r="BC74" s="309"/>
      <c r="BD74" s="256"/>
      <c r="BE74" s="256"/>
      <c r="BF74" s="289"/>
      <c r="BG74" s="309"/>
      <c r="BH74" s="256"/>
      <c r="BI74" s="256"/>
      <c r="BJ74" s="289"/>
      <c r="BK74" s="309"/>
      <c r="BL74" s="256"/>
      <c r="BM74" s="587"/>
      <c r="BN74" s="289"/>
      <c r="BO74" s="309"/>
      <c r="BP74" s="256"/>
      <c r="BQ74" s="599"/>
      <c r="BR74" s="289"/>
      <c r="BS74" s="309"/>
      <c r="BT74" s="256"/>
      <c r="BU74" s="256"/>
      <c r="BV74" s="289"/>
      <c r="BW74" s="309"/>
      <c r="BX74" s="256"/>
      <c r="BY74" s="256"/>
      <c r="BZ74" s="289"/>
      <c r="CA74" s="309"/>
      <c r="CB74" s="256"/>
      <c r="CC74" s="256"/>
      <c r="CD74" s="289"/>
      <c r="CE74" s="309"/>
      <c r="CF74" s="256"/>
      <c r="CG74" s="256"/>
      <c r="CH74" s="289"/>
      <c r="CI74" s="309"/>
      <c r="CJ74" s="256"/>
      <c r="CK74" s="256"/>
      <c r="CL74" s="289"/>
      <c r="CM74" s="309"/>
      <c r="CN74" s="256"/>
      <c r="CO74" s="256"/>
      <c r="CP74" s="289"/>
      <c r="CQ74" s="309"/>
      <c r="CR74" s="256"/>
      <c r="CS74" s="256"/>
      <c r="CT74" s="289"/>
      <c r="CU74" s="309"/>
      <c r="CV74" s="256"/>
      <c r="CW74" s="256"/>
      <c r="CX74" s="289"/>
      <c r="CY74" s="309"/>
      <c r="CZ74" s="256"/>
      <c r="DA74" s="256"/>
      <c r="DB74" s="289"/>
      <c r="DC74" s="309"/>
      <c r="DD74" s="256"/>
      <c r="DE74" s="256"/>
      <c r="DF74" s="289"/>
      <c r="DG74" s="309"/>
      <c r="DH74" s="256"/>
      <c r="DI74" s="256"/>
      <c r="DJ74" s="289"/>
      <c r="DK74" s="309"/>
      <c r="DL74" s="256"/>
      <c r="DM74" s="256"/>
      <c r="DN74" s="289"/>
      <c r="DO74" s="309"/>
      <c r="DP74" s="256"/>
      <c r="DQ74" s="256"/>
      <c r="DR74" s="256"/>
      <c r="DS74" s="256"/>
      <c r="DT74" s="256"/>
      <c r="DU74" s="602"/>
      <c r="DV74" s="256"/>
      <c r="DW74" s="256"/>
      <c r="DX74" s="256"/>
      <c r="DY74" s="256"/>
      <c r="DZ74" s="256"/>
      <c r="EA74" s="256"/>
    </row>
    <row r="75" spans="1:131" collapsed="1">
      <c r="A75" s="256"/>
      <c r="B75" s="256"/>
      <c r="C75" s="256"/>
      <c r="D75" s="256"/>
      <c r="E75" s="256"/>
      <c r="F75" s="256"/>
      <c r="G75" s="256"/>
      <c r="H75" s="256"/>
      <c r="I75" s="256"/>
      <c r="J75" s="256"/>
      <c r="K75" s="256"/>
      <c r="L75" s="256"/>
      <c r="M75" s="256"/>
      <c r="N75" s="256"/>
      <c r="O75" s="256"/>
      <c r="P75" s="256"/>
      <c r="Q75" s="256"/>
      <c r="R75" s="256"/>
      <c r="S75" s="256"/>
      <c r="T75" s="256"/>
      <c r="U75" s="256"/>
      <c r="V75" s="256"/>
      <c r="W75" s="256"/>
      <c r="X75" s="256"/>
      <c r="Y75" s="256"/>
      <c r="Z75" s="256"/>
      <c r="AA75" s="256"/>
      <c r="AB75" s="256"/>
      <c r="AC75" s="256"/>
      <c r="AD75" s="256"/>
      <c r="AE75" s="256"/>
      <c r="AF75" s="256"/>
      <c r="AG75" s="256"/>
      <c r="AH75" s="256"/>
      <c r="AI75" s="256"/>
      <c r="AJ75" s="256"/>
      <c r="AK75" s="256"/>
      <c r="AL75" s="256"/>
      <c r="AM75" s="256"/>
      <c r="AN75" s="256"/>
      <c r="AO75" s="256"/>
      <c r="AP75" s="256"/>
      <c r="AQ75" s="256"/>
      <c r="AR75" s="256"/>
      <c r="AS75" s="256"/>
      <c r="AT75" s="256"/>
      <c r="AU75" s="256"/>
      <c r="AV75" s="256"/>
      <c r="AW75" s="256"/>
      <c r="AX75" s="256"/>
      <c r="AY75" s="256"/>
      <c r="AZ75" s="256"/>
      <c r="BA75" s="256"/>
      <c r="BB75" s="256"/>
      <c r="BC75" s="256"/>
      <c r="BD75" s="256"/>
      <c r="BE75" s="256"/>
      <c r="BF75" s="256"/>
      <c r="BG75" s="256"/>
      <c r="BH75" s="256"/>
      <c r="BI75" s="256"/>
      <c r="BJ75" s="256"/>
      <c r="BK75" s="256"/>
      <c r="BL75" s="256"/>
      <c r="BM75" s="587"/>
      <c r="BN75" s="256"/>
      <c r="BO75" s="256"/>
      <c r="BP75" s="256"/>
      <c r="BQ75" s="599"/>
      <c r="BR75" s="256"/>
      <c r="BS75" s="256"/>
      <c r="BT75" s="256"/>
      <c r="BU75" s="256"/>
      <c r="BV75" s="256"/>
      <c r="BW75" s="256"/>
      <c r="BX75" s="256"/>
      <c r="BY75" s="256"/>
      <c r="BZ75" s="256"/>
      <c r="CA75" s="256"/>
      <c r="CB75" s="256"/>
      <c r="CC75" s="256"/>
      <c r="CD75" s="256"/>
      <c r="CE75" s="256"/>
      <c r="CF75" s="256"/>
      <c r="CG75" s="256"/>
      <c r="CH75" s="256"/>
      <c r="CI75" s="256"/>
      <c r="CJ75" s="256"/>
      <c r="CK75" s="256"/>
      <c r="CL75" s="256"/>
      <c r="CM75" s="256"/>
      <c r="CN75" s="256"/>
      <c r="CO75" s="256"/>
      <c r="CP75" s="256"/>
      <c r="CQ75" s="256"/>
      <c r="CR75" s="256"/>
      <c r="CS75" s="256"/>
      <c r="CT75" s="256"/>
      <c r="CU75" s="256"/>
      <c r="CV75" s="256"/>
      <c r="CW75" s="256"/>
      <c r="CX75" s="256"/>
      <c r="CY75" s="256"/>
      <c r="CZ75" s="256"/>
      <c r="DA75" s="256"/>
      <c r="DB75" s="256"/>
      <c r="DC75" s="256"/>
      <c r="DD75" s="256"/>
      <c r="DE75" s="256"/>
      <c r="DF75" s="256"/>
      <c r="DG75" s="256"/>
      <c r="DH75" s="256"/>
      <c r="DI75" s="256"/>
      <c r="DJ75" s="256"/>
      <c r="DK75" s="256"/>
      <c r="DL75" s="256"/>
      <c r="DM75" s="256"/>
      <c r="DN75" s="256"/>
      <c r="DO75" s="256"/>
      <c r="DP75" s="256"/>
      <c r="DQ75" s="256"/>
      <c r="DR75" s="256"/>
      <c r="DS75" s="256"/>
      <c r="DT75" s="256"/>
      <c r="DU75" s="602"/>
      <c r="DV75" s="256"/>
      <c r="DW75" s="256"/>
      <c r="DX75" s="256"/>
      <c r="DY75" s="256"/>
      <c r="DZ75" s="256"/>
      <c r="EA75" s="256"/>
    </row>
    <row r="76" spans="1:131" ht="12.75" customHeight="1" collapsed="1">
      <c r="A76" s="256"/>
      <c r="B76" s="256"/>
      <c r="C76" s="268"/>
      <c r="D76" s="268"/>
      <c r="E76" s="268" t="str">
        <f>Z76</f>
        <v>6.  Pre-Tax Income / (Loss) (% Pre-Tax Margin) / %Change</v>
      </c>
      <c r="F76" s="268"/>
      <c r="G76" s="256"/>
      <c r="H76" s="256"/>
      <c r="I76" s="256"/>
      <c r="J76" s="268"/>
      <c r="K76" s="256"/>
      <c r="L76" s="256"/>
      <c r="M76" s="256"/>
      <c r="N76" s="268"/>
      <c r="O76" s="256"/>
      <c r="P76" s="256"/>
      <c r="Q76" s="256"/>
      <c r="R76" s="268"/>
      <c r="S76" s="256"/>
      <c r="T76" s="256"/>
      <c r="U76" s="256"/>
      <c r="V76" s="268"/>
      <c r="W76" s="256"/>
      <c r="X76" s="256"/>
      <c r="Y76" s="256"/>
      <c r="Z76" s="271" t="s">
        <v>1543</v>
      </c>
      <c r="AA76" s="312"/>
      <c r="AB76" s="312"/>
      <c r="AC76" s="312"/>
      <c r="AD76" s="311"/>
      <c r="AE76" s="312"/>
      <c r="AF76" s="312"/>
      <c r="AG76" s="312"/>
      <c r="AH76" s="311"/>
      <c r="AI76" s="312"/>
      <c r="AJ76" s="312"/>
      <c r="AK76" s="312"/>
      <c r="AL76" s="311"/>
      <c r="AM76" s="312"/>
      <c r="AN76" s="312"/>
      <c r="AO76" s="312"/>
      <c r="AP76" s="256"/>
      <c r="AQ76" s="256"/>
      <c r="AR76" s="256"/>
      <c r="AS76" s="256"/>
      <c r="AT76" s="256"/>
      <c r="AU76" s="256"/>
      <c r="AV76" s="256"/>
      <c r="AW76" s="256"/>
      <c r="AX76" s="256"/>
      <c r="AY76" s="256"/>
      <c r="AZ76" s="256"/>
      <c r="BA76" s="256"/>
      <c r="BB76" s="311"/>
      <c r="BC76" s="311"/>
      <c r="BD76" s="311"/>
      <c r="BE76" s="311"/>
      <c r="BF76" s="311"/>
      <c r="BG76" s="311"/>
      <c r="BH76" s="311"/>
      <c r="BI76" s="311"/>
      <c r="BK76" s="311"/>
      <c r="BL76" s="311"/>
      <c r="BM76" s="311"/>
      <c r="BN76" s="311"/>
      <c r="BO76" s="311"/>
      <c r="BP76" s="311"/>
      <c r="BQ76" s="311"/>
      <c r="BR76" s="311"/>
      <c r="BS76" s="311"/>
      <c r="BT76" s="311"/>
      <c r="BU76" s="311"/>
      <c r="BV76" s="311" t="s">
        <v>1543</v>
      </c>
      <c r="BW76" s="311"/>
      <c r="BX76" s="311"/>
      <c r="BY76" s="311"/>
      <c r="BZ76" s="311"/>
      <c r="CA76" s="311"/>
      <c r="CB76" s="311"/>
      <c r="CC76" s="311"/>
      <c r="CE76" s="311"/>
      <c r="CF76" s="311"/>
      <c r="CG76" s="311"/>
      <c r="CH76" s="311"/>
      <c r="CI76" s="311"/>
      <c r="CJ76" s="311"/>
      <c r="CK76" s="311"/>
      <c r="CL76" s="311"/>
      <c r="CM76" s="311"/>
      <c r="CN76" s="311"/>
      <c r="CO76" s="311"/>
      <c r="CR76" s="311"/>
      <c r="CS76" s="881"/>
      <c r="CT76" s="311"/>
      <c r="CU76" s="311"/>
      <c r="CV76" s="311"/>
      <c r="CW76" s="881"/>
      <c r="CX76" s="311"/>
      <c r="CY76" s="311"/>
      <c r="CZ76" s="311"/>
      <c r="DA76" s="881"/>
      <c r="DB76" s="311" t="s">
        <v>1543</v>
      </c>
      <c r="DC76" s="311"/>
      <c r="DD76" s="311"/>
      <c r="DE76" s="881"/>
      <c r="DF76" s="311"/>
      <c r="DG76" s="311"/>
      <c r="DH76" s="311"/>
      <c r="DI76" s="881"/>
      <c r="DJ76" s="311"/>
      <c r="DK76" s="311"/>
      <c r="DL76" s="311"/>
      <c r="DM76" s="881"/>
      <c r="DN76" s="311"/>
      <c r="DO76" s="311"/>
      <c r="DP76" s="311"/>
      <c r="DQ76" s="881"/>
      <c r="DR76" s="881"/>
      <c r="DS76" s="881"/>
      <c r="DT76" s="881"/>
      <c r="DU76" s="881"/>
      <c r="DV76" s="881"/>
      <c r="DW76" s="881"/>
      <c r="DX76" s="881"/>
      <c r="DY76" s="881"/>
      <c r="DZ76" s="881"/>
      <c r="EA76" s="881"/>
    </row>
    <row r="77" spans="1:131">
      <c r="A77" s="256"/>
      <c r="B77" s="256"/>
      <c r="C77" s="256"/>
      <c r="D77" s="256"/>
      <c r="E77" s="256"/>
      <c r="F77" s="256"/>
      <c r="G77" s="256"/>
      <c r="H77" s="256"/>
      <c r="I77" s="256"/>
      <c r="J77" s="256"/>
      <c r="K77" s="256"/>
      <c r="L77" s="256"/>
      <c r="M77" s="256"/>
      <c r="N77" s="256"/>
      <c r="O77" s="256"/>
      <c r="P77" s="256"/>
      <c r="Q77" s="256"/>
      <c r="R77" s="256"/>
      <c r="S77" s="256"/>
      <c r="T77" s="256"/>
      <c r="U77" s="256"/>
      <c r="V77" s="256"/>
      <c r="W77" s="256"/>
      <c r="X77" s="256"/>
      <c r="Y77" s="256"/>
      <c r="Z77" s="256"/>
      <c r="AA77" s="256"/>
      <c r="AB77" s="256"/>
      <c r="AC77" s="256"/>
      <c r="AD77" s="256"/>
      <c r="AE77" s="256"/>
      <c r="AF77" s="256"/>
      <c r="AG77" s="256"/>
      <c r="AH77" s="256"/>
      <c r="AI77" s="256"/>
      <c r="AJ77" s="256"/>
      <c r="AK77" s="256"/>
      <c r="AL77" s="256"/>
      <c r="AM77" s="256"/>
      <c r="AN77" s="256"/>
      <c r="AO77" s="256"/>
      <c r="AP77" s="256"/>
      <c r="AQ77" s="256"/>
      <c r="AR77" s="256"/>
      <c r="AS77" s="256"/>
      <c r="AT77" s="256"/>
      <c r="AU77" s="256"/>
      <c r="AV77" s="256"/>
      <c r="AW77" s="256"/>
      <c r="AX77" s="256"/>
      <c r="AY77" s="256"/>
      <c r="AZ77" s="256"/>
      <c r="BA77" s="256"/>
      <c r="BB77" s="256"/>
      <c r="BC77" s="256"/>
      <c r="BD77" s="256"/>
      <c r="BE77" s="256"/>
      <c r="BF77" s="256"/>
      <c r="BG77" s="256"/>
      <c r="BH77" s="256"/>
      <c r="BI77" s="256"/>
      <c r="BJ77" s="256"/>
      <c r="BK77" s="256"/>
      <c r="BL77" s="256"/>
      <c r="BM77" s="587"/>
      <c r="BN77" s="256"/>
      <c r="BO77" s="256"/>
      <c r="BP77" s="256"/>
      <c r="BQ77" s="599"/>
      <c r="BR77" s="256"/>
      <c r="BS77" s="256"/>
      <c r="BT77" s="256"/>
      <c r="BU77" s="256"/>
      <c r="BV77" s="256"/>
      <c r="BW77" s="256"/>
      <c r="BX77" s="256"/>
      <c r="BY77" s="256"/>
      <c r="BZ77" s="256"/>
      <c r="CA77" s="256"/>
      <c r="CB77" s="256"/>
      <c r="CC77" s="256"/>
      <c r="CD77" s="256"/>
      <c r="CE77" s="256"/>
      <c r="CF77" s="256"/>
      <c r="CG77" s="256"/>
      <c r="CH77" s="256"/>
      <c r="CI77" s="256"/>
      <c r="CJ77" s="256"/>
      <c r="CK77" s="256"/>
      <c r="CL77" s="256"/>
      <c r="CM77" s="256"/>
      <c r="CN77" s="256"/>
      <c r="CO77" s="256"/>
      <c r="CP77" s="256"/>
      <c r="CQ77" s="256"/>
      <c r="CR77" s="256"/>
      <c r="CS77" s="256"/>
      <c r="CT77" s="256"/>
      <c r="CU77" s="256"/>
      <c r="CV77" s="256"/>
      <c r="CW77" s="256"/>
      <c r="CX77" s="256"/>
      <c r="CY77" s="256"/>
      <c r="CZ77" s="256"/>
      <c r="DA77" s="256"/>
      <c r="DB77" s="256"/>
      <c r="DC77" s="256"/>
      <c r="DD77" s="256"/>
      <c r="DE77" s="256"/>
      <c r="DF77" s="256"/>
      <c r="DG77" s="256"/>
      <c r="DH77" s="256"/>
      <c r="DI77" s="256"/>
      <c r="DJ77" s="256"/>
      <c r="DK77" s="256"/>
      <c r="DL77" s="256"/>
      <c r="DM77" s="256"/>
      <c r="DN77" s="256"/>
      <c r="DO77" s="256"/>
      <c r="DP77" s="256"/>
      <c r="DQ77" s="256"/>
      <c r="DR77" s="256"/>
      <c r="DS77" s="256"/>
      <c r="DT77" s="256"/>
      <c r="DU77" s="256"/>
      <c r="DV77" s="256"/>
      <c r="DW77" s="256"/>
      <c r="DX77" s="256"/>
      <c r="DY77" s="256"/>
      <c r="DZ77" s="256"/>
      <c r="EA77" s="256"/>
    </row>
    <row r="78" spans="1:131">
      <c r="A78" s="256" t="str">
        <f>$A$10</f>
        <v>1Q</v>
      </c>
      <c r="B78" s="256" t="str">
        <f>$B$10</f>
        <v>Apr</v>
      </c>
      <c r="C78" s="256"/>
      <c r="D78" s="305">
        <f>D48-D58</f>
        <v>0</v>
      </c>
      <c r="E78" s="256"/>
      <c r="F78" s="305">
        <f>F48-F58</f>
        <v>0</v>
      </c>
      <c r="G78" s="309"/>
      <c r="H78" s="310"/>
      <c r="I78" s="256"/>
      <c r="J78" s="305">
        <f>J48-J58</f>
        <v>7.6600000000000108</v>
      </c>
      <c r="K78" s="309">
        <f t="shared" ref="K78:K84" si="178">J78/J10*100</f>
        <v>7.8883682611606094</v>
      </c>
      <c r="L78" s="310"/>
      <c r="M78" s="256"/>
      <c r="N78" s="305">
        <f>N48-N58</f>
        <v>5.3690000000000193</v>
      </c>
      <c r="O78" s="309">
        <f t="shared" ref="O78:O84" si="179">N78/N10*100</f>
        <v>5.0066207874074662</v>
      </c>
      <c r="P78" s="310"/>
      <c r="Q78" s="256"/>
      <c r="R78" s="305">
        <f>R48-R58</f>
        <v>1.8349999999999911</v>
      </c>
      <c r="S78" s="309">
        <f t="shared" ref="S78:S84" si="180">R78/R10*100</f>
        <v>1.6760899151450854</v>
      </c>
      <c r="T78" s="310"/>
      <c r="U78" s="256"/>
      <c r="V78" s="305">
        <f>V48-V58</f>
        <v>3.2969999999999899</v>
      </c>
      <c r="W78" s="309">
        <f t="shared" ref="W78:W84" si="181">V78/V10*100</f>
        <v>2.5128232487595858</v>
      </c>
      <c r="X78" s="310"/>
      <c r="Y78" s="256"/>
      <c r="Z78" s="305">
        <f>Z48-Z58</f>
        <v>3.7959999999999909</v>
      </c>
      <c r="AA78" s="309">
        <f t="shared" ref="AA78:AA84" si="182">Z78/Z10*100</f>
        <v>2.528239556692236</v>
      </c>
      <c r="AB78" s="310">
        <f t="shared" ref="AB78:AB84" si="183">IF(V78&lt;0,"       NM",(Z78/V78-1)*100)</f>
        <v>15.134971185926682</v>
      </c>
      <c r="AC78" s="256"/>
      <c r="AD78" s="305">
        <f>AD48-AD58</f>
        <v>8.9380000000000202</v>
      </c>
      <c r="AE78" s="309">
        <f t="shared" ref="AE78:AE84" si="184">AD78/AD10*100</f>
        <v>4.9451978245113279</v>
      </c>
      <c r="AF78" s="310">
        <f t="shared" ref="AF78:AF84" si="185">IF(Z78&lt;0,"       NM",(AD78/Z78-1)*100)</f>
        <v>135.45837723920027</v>
      </c>
      <c r="AG78" s="256"/>
      <c r="AH78" s="305">
        <f>AH48-AH58</f>
        <v>15.579000000000017</v>
      </c>
      <c r="AI78" s="309">
        <f t="shared" ref="AI78:AI84" si="186">AH78/AH10*100</f>
        <v>7.8012408675056042</v>
      </c>
      <c r="AJ78" s="310">
        <f t="shared" ref="AJ78:AJ84" si="187">IF(AD78&lt;0,"       NM",(AH78/AD78-1)*100)</f>
        <v>74.300738420228043</v>
      </c>
      <c r="AK78" s="256"/>
      <c r="AL78" s="305">
        <f>AL48-AL58</f>
        <v>19.336999999999993</v>
      </c>
      <c r="AM78" s="309">
        <f t="shared" ref="AM78:AM84" si="188">AL78/AL10*100</f>
        <v>8.5501792986350278</v>
      </c>
      <c r="AN78" s="310">
        <f t="shared" ref="AN78:AN84" si="189">IF(AH78&lt;0,"       NM",(AL78/AH78-1)*100)</f>
        <v>24.12221580332481</v>
      </c>
      <c r="AO78" s="256"/>
      <c r="AP78" s="305">
        <f>AP48-AP58</f>
        <v>27.856999999999992</v>
      </c>
      <c r="AQ78" s="309">
        <f t="shared" ref="AQ78:AQ84" si="190">AP78/AP10*100</f>
        <v>10.231124920577205</v>
      </c>
      <c r="AR78" s="310">
        <f t="shared" ref="AR78:AR84" si="191">IF(AL78&lt;0,"       NM",(AP78/AL78-1)*100)</f>
        <v>44.060609194807896</v>
      </c>
      <c r="AS78" s="256"/>
      <c r="AT78" s="305">
        <f>AT48-AT58</f>
        <v>50.70999999999998</v>
      </c>
      <c r="AU78" s="309">
        <f t="shared" ref="AU78:AU84" si="192">AT78/AT10*100</f>
        <v>14.692460806100655</v>
      </c>
      <c r="AV78" s="310">
        <f t="shared" ref="AV78:AV84" si="193">IF(AP78&lt;0,"       NM",(AT78/AP78-1)*100)</f>
        <v>82.036830958107458</v>
      </c>
      <c r="AW78" s="256"/>
      <c r="AX78" s="305">
        <f>AX48-AX58</f>
        <v>51.268000000000001</v>
      </c>
      <c r="AY78" s="309">
        <f t="shared" ref="AY78:AY84" si="194">AX78/AX10*100</f>
        <v>15.240144946061395</v>
      </c>
      <c r="AZ78" s="310">
        <f t="shared" ref="AZ78:AZ84" si="195">IF(AT78&lt;0,"       NM",(AX78/AT78-1)*100)</f>
        <v>1.1003746795504199</v>
      </c>
      <c r="BA78" s="256"/>
      <c r="BB78" s="305">
        <f>BB48-BB58</f>
        <v>54.514000000000031</v>
      </c>
      <c r="BC78" s="309">
        <f t="shared" ref="BC78:BC84" si="196">BB78/BB10*100</f>
        <v>15.704248276577303</v>
      </c>
      <c r="BD78" s="310">
        <f t="shared" ref="BD78:BD84" si="197">IF(AX78&lt;0,"       NM",(BB78/AX78-1)*100)</f>
        <v>6.3314348131388698</v>
      </c>
      <c r="BE78" s="256"/>
      <c r="BF78" s="305">
        <f>BF48-BF58</f>
        <v>56.655999999999992</v>
      </c>
      <c r="BG78" s="309">
        <f t="shared" ref="BG78:BG84" si="198">BF78/BF10*100</f>
        <v>14.312889836524443</v>
      </c>
      <c r="BH78" s="310">
        <f t="shared" ref="BH78:BH84" si="199">IF(BB78&lt;0,"       NM",(BF78/BB78-1)*100)</f>
        <v>3.9292658766554522</v>
      </c>
      <c r="BI78" s="256"/>
      <c r="BJ78" s="305">
        <f>BJ48-BJ58</f>
        <v>59.370999999999967</v>
      </c>
      <c r="BK78" s="309">
        <f t="shared" ref="BK78:BK84" si="200">BJ78/BJ10*100</f>
        <v>12.99260329131652</v>
      </c>
      <c r="BL78" s="310">
        <f t="shared" ref="BL78:BL84" si="201">IF(BF78&lt;0,"       NM",(BJ78/BF78-1)*100)</f>
        <v>4.7920785088957585</v>
      </c>
      <c r="BM78" s="592"/>
      <c r="BN78" s="305">
        <f>BN48-BN58</f>
        <v>62.105000000000032</v>
      </c>
      <c r="BO78" s="309">
        <f t="shared" ref="BO78:BO84" si="202">BN78/BN10*100</f>
        <v>12.179815297479321</v>
      </c>
      <c r="BP78" s="310">
        <f t="shared" ref="BP78:BP84" si="203">IF(BJ78&lt;0,"       NM",(BN78/BJ78-1)*100)</f>
        <v>4.6049418066060221</v>
      </c>
      <c r="BQ78" s="849"/>
      <c r="BR78" s="305">
        <f>BR48-BR58</f>
        <v>71.003999999999905</v>
      </c>
      <c r="BS78" s="309">
        <f t="shared" ref="BS78:BS84" si="204">BR78/BR10*100</f>
        <v>13.777660491000383</v>
      </c>
      <c r="BT78" s="310">
        <f t="shared" ref="BT78:BT84" si="205">IF(BN78&lt;0,"       NM",(BR78/BN78-1)*100)</f>
        <v>14.328959021012588</v>
      </c>
      <c r="BU78" s="256"/>
      <c r="BV78" s="305">
        <f>BV48-BV58</f>
        <v>84.832000000000036</v>
      </c>
      <c r="BW78" s="309">
        <f t="shared" ref="BW78:BW84" si="206">BV78/BV10*100</f>
        <v>14.240031960841259</v>
      </c>
      <c r="BX78" s="310">
        <f t="shared" ref="BX78:BX84" si="207">IF(BR78&lt;0,"       NM",(BV78/BR78-1)*100)</f>
        <v>19.474959157230785</v>
      </c>
      <c r="BY78" s="256"/>
      <c r="BZ78" s="305">
        <f>BZ48-BZ58</f>
        <v>105.18100000000004</v>
      </c>
      <c r="CA78" s="309">
        <f t="shared" ref="CA78:CA84" si="208">BZ78/BZ10*100</f>
        <v>15.805283404459944</v>
      </c>
      <c r="CB78" s="310">
        <f t="shared" ref="CB78:CB84" si="209">IF(BV78&lt;0,"       NM",(BZ78/BV78-1)*100)</f>
        <v>23.987410411165587</v>
      </c>
      <c r="CC78" s="256"/>
      <c r="CD78" s="305">
        <f>CD48-CD58</f>
        <v>47.074000000000012</v>
      </c>
      <c r="CE78" s="309">
        <f t="shared" ref="CE78:CE84" si="210">CD78/CD10*100</f>
        <v>9.0944041420747102</v>
      </c>
      <c r="CF78" s="310">
        <f t="shared" ref="CF78:CF84" si="211">IF(BZ78&lt;0,"       NM",(CD78/BZ78-1)*100)</f>
        <v>-55.244768541846923</v>
      </c>
      <c r="CG78" s="256"/>
      <c r="CH78" s="305">
        <f>CH48-CH58</f>
        <v>94.139000000000038</v>
      </c>
      <c r="CI78" s="309">
        <f t="shared" ref="CI78:CI84" si="212">CH78/CH10*100</f>
        <v>14.858125021701873</v>
      </c>
      <c r="CJ78" s="310">
        <f t="shared" ref="CJ78:CJ84" si="213">IF(CD78&lt;0,"       NM",(CH78/CD78-1)*100)</f>
        <v>99.980881165824044</v>
      </c>
      <c r="CK78" s="256"/>
      <c r="CL78" s="305">
        <f>CL48-CL58</f>
        <v>134.04000000000008</v>
      </c>
      <c r="CM78" s="309">
        <f t="shared" ref="CM78:CM84" si="214">CL78/CL10*100</f>
        <v>17.613249620902536</v>
      </c>
      <c r="CN78" s="310">
        <f t="shared" ref="CN78:CN84" si="215">IF(CH78&lt;0,"       NM",(CL78/CH78-1)*100)</f>
        <v>42.385196358576181</v>
      </c>
      <c r="CO78" s="256"/>
      <c r="CP78" s="305">
        <f>CP48-CP58</f>
        <v>124.43099999999995</v>
      </c>
      <c r="CQ78" s="309">
        <f t="shared" ref="CQ78:CQ84" si="216">CP78/CP10*100</f>
        <v>15.189887324975276</v>
      </c>
      <c r="CR78" s="310">
        <f t="shared" ref="CR78:CR84" si="217">IF(CL78&lt;0,"       NM",(CP78/CL78-1)*100)</f>
        <v>-7.1687555953447557</v>
      </c>
      <c r="CS78" s="256"/>
      <c r="CT78" s="305">
        <f>CT48-CT58</f>
        <v>137.84600000000006</v>
      </c>
      <c r="CU78" s="309">
        <f t="shared" ref="CU78:CU84" si="218">CT78/CT10*100</f>
        <v>15.393463199789171</v>
      </c>
      <c r="CV78" s="310">
        <f t="shared" ref="CV78:CV84" si="219">IF(CP78&lt;0,"       NM",(CT78/CP78-1)*100)</f>
        <v>10.781075455473399</v>
      </c>
      <c r="CW78" s="256"/>
      <c r="CX78" s="305">
        <f>CX48-CX58</f>
        <v>193.51699999999994</v>
      </c>
      <c r="CY78" s="309">
        <f t="shared" ref="CY78:CY84" si="220">CX78/CX10*100</f>
        <v>19.119739322538955</v>
      </c>
      <c r="CZ78" s="310">
        <f t="shared" ref="CZ78:CZ84" si="221">IF(CT78&lt;0,"       NM",(CX78/CT78-1)*100)</f>
        <v>40.38637319907712</v>
      </c>
      <c r="DA78" s="256"/>
      <c r="DB78" s="305">
        <f>DB48-DB58</f>
        <v>160.69999999999999</v>
      </c>
      <c r="DC78" s="309">
        <f t="shared" ref="DC78:DC84" si="222">DB78/DB10*100</f>
        <v>16.697838736492102</v>
      </c>
      <c r="DD78" s="310">
        <f>IF(CX78&lt;0,"       NM",(DB78/CX78-1)*100)</f>
        <v>-16.958200054775531</v>
      </c>
      <c r="DE78" s="256"/>
      <c r="DF78" s="305">
        <f>DF48-DF58</f>
        <v>123.09999999999991</v>
      </c>
      <c r="DG78" s="309">
        <f t="shared" ref="DG78:DG84" si="223">DF78/DF10*100</f>
        <v>13.811286884326254</v>
      </c>
      <c r="DH78" s="310">
        <f>IF(DB78&lt;0,"       NM",(DF78/DB78-1)*100)</f>
        <v>-23.397635345364087</v>
      </c>
      <c r="DI78" s="256"/>
      <c r="DJ78" s="305">
        <f>DJ48-DJ58</f>
        <v>136.10000000000002</v>
      </c>
      <c r="DK78" s="309">
        <f t="shared" ref="DK78:DK84" si="224">DJ78/DJ10*100</f>
        <v>15.128946198310361</v>
      </c>
      <c r="DL78" s="310">
        <f>IF(DF78&lt;0,"       NM",(DJ78/DF78-1)*100)</f>
        <v>10.560519902518383</v>
      </c>
      <c r="DM78" s="256"/>
      <c r="DN78" s="305">
        <f>DN48-DN58</f>
        <v>156.59613127810641</v>
      </c>
      <c r="DO78" s="309">
        <f t="shared" ref="DO78:DO84" si="225">DN78/DN10*100</f>
        <v>16.275023695008557</v>
      </c>
      <c r="DP78" s="310">
        <f>IF(DJ78&lt;0,"       NM",(DN78/DJ78-1)*100)</f>
        <v>15.059611519549154</v>
      </c>
      <c r="DQ78" s="256"/>
      <c r="DR78" s="256"/>
      <c r="DS78" s="256"/>
      <c r="DT78" s="256"/>
      <c r="DU78" s="256"/>
      <c r="DV78" s="256"/>
      <c r="DW78" s="256"/>
      <c r="DX78" s="256"/>
      <c r="DY78" s="256"/>
      <c r="DZ78" s="256"/>
      <c r="EA78" s="256"/>
    </row>
    <row r="79" spans="1:131">
      <c r="A79" s="256" t="str">
        <f>$A$11</f>
        <v>2Q</v>
      </c>
      <c r="B79" s="256" t="str">
        <f>$B$11</f>
        <v>Jul</v>
      </c>
      <c r="C79" s="256"/>
      <c r="D79" s="289">
        <f>D49-D59</f>
        <v>0</v>
      </c>
      <c r="E79" s="256"/>
      <c r="F79" s="289">
        <f>F49-F59</f>
        <v>0</v>
      </c>
      <c r="G79" s="309"/>
      <c r="H79" s="256"/>
      <c r="I79" s="256"/>
      <c r="J79" s="289">
        <f>J49-J59</f>
        <v>12.514999999999997</v>
      </c>
      <c r="K79" s="309">
        <f t="shared" si="178"/>
        <v>10.484033106591157</v>
      </c>
      <c r="L79" s="256"/>
      <c r="M79" s="256"/>
      <c r="N79" s="289">
        <f>N49-N59</f>
        <v>6.7289999999999974</v>
      </c>
      <c r="O79" s="309">
        <f t="shared" si="179"/>
        <v>5.5689812132748466</v>
      </c>
      <c r="P79" s="256"/>
      <c r="Q79" s="256"/>
      <c r="R79" s="289">
        <f>R49-R59</f>
        <v>0.28500000000000281</v>
      </c>
      <c r="S79" s="309">
        <f t="shared" si="180"/>
        <v>0.24949007729815625</v>
      </c>
      <c r="T79" s="256"/>
      <c r="U79" s="256"/>
      <c r="V79" s="289">
        <f>V49-V59</f>
        <v>6.0630000000000148</v>
      </c>
      <c r="W79" s="309">
        <f t="shared" si="181"/>
        <v>3.9820829255797858</v>
      </c>
      <c r="X79" s="256"/>
      <c r="Y79" s="256"/>
      <c r="Z79" s="289">
        <f>Z49-Z59</f>
        <v>9.3449999999999935</v>
      </c>
      <c r="AA79" s="309">
        <f t="shared" si="182"/>
        <v>5.060049165592746</v>
      </c>
      <c r="AB79" s="310">
        <f t="shared" si="183"/>
        <v>54.131618010885219</v>
      </c>
      <c r="AC79" s="256"/>
      <c r="AD79" s="289">
        <f>AD49-AD59</f>
        <v>14.518000000000001</v>
      </c>
      <c r="AE79" s="309">
        <f t="shared" si="184"/>
        <v>7.1600834471772474</v>
      </c>
      <c r="AF79" s="310">
        <f t="shared" si="185"/>
        <v>55.355805243445808</v>
      </c>
      <c r="AG79" s="256"/>
      <c r="AH79" s="289">
        <f>AH49-AH59</f>
        <v>18.20999999999999</v>
      </c>
      <c r="AI79" s="309">
        <f t="shared" si="186"/>
        <v>8.3859469765000032</v>
      </c>
      <c r="AJ79" s="310">
        <f t="shared" si="187"/>
        <v>25.430500068879947</v>
      </c>
      <c r="AK79" s="256"/>
      <c r="AL79" s="289">
        <f>AL49-AL59</f>
        <v>23.522000000000006</v>
      </c>
      <c r="AM79" s="309">
        <f t="shared" si="188"/>
        <v>9.4953213683080246</v>
      </c>
      <c r="AN79" s="310">
        <f t="shared" si="189"/>
        <v>29.170785282811739</v>
      </c>
      <c r="AO79" s="256"/>
      <c r="AP79" s="289">
        <f>AP49-AP59</f>
        <v>39.622</v>
      </c>
      <c r="AQ79" s="309">
        <f t="shared" si="190"/>
        <v>12.903372879534434</v>
      </c>
      <c r="AR79" s="310">
        <f t="shared" si="191"/>
        <v>68.44656066660994</v>
      </c>
      <c r="AS79" s="256"/>
      <c r="AT79" s="289">
        <f>AT49-AT59</f>
        <v>65.272999999999968</v>
      </c>
      <c r="AU79" s="309">
        <f t="shared" si="192"/>
        <v>17.431792932530008</v>
      </c>
      <c r="AV79" s="310">
        <f t="shared" si="193"/>
        <v>64.739286255110713</v>
      </c>
      <c r="AW79" s="256"/>
      <c r="AX79" s="289">
        <f>AX49-AX59</f>
        <v>60.088999999999984</v>
      </c>
      <c r="AY79" s="309">
        <f t="shared" si="194"/>
        <v>16.183366056110806</v>
      </c>
      <c r="AZ79" s="310">
        <f t="shared" si="195"/>
        <v>-7.9420280973756192</v>
      </c>
      <c r="BA79" s="256"/>
      <c r="BB79" s="289">
        <f>BB49-BB59</f>
        <v>54.524000000000001</v>
      </c>
      <c r="BC79" s="309">
        <f t="shared" si="196"/>
        <v>14.561984044954023</v>
      </c>
      <c r="BD79" s="310">
        <f t="shared" si="197"/>
        <v>-9.2612624606832945</v>
      </c>
      <c r="BE79" s="256"/>
      <c r="BF79" s="289">
        <f>BF49-BF59</f>
        <v>65.003</v>
      </c>
      <c r="BG79" s="309">
        <f t="shared" si="198"/>
        <v>14.690109492762629</v>
      </c>
      <c r="BH79" s="310">
        <f t="shared" si="199"/>
        <v>19.21905949673539</v>
      </c>
      <c r="BI79" s="256"/>
      <c r="BJ79" s="289">
        <f>BJ49-BJ59</f>
        <v>53.371999999999929</v>
      </c>
      <c r="BK79" s="309">
        <f t="shared" si="200"/>
        <v>11.198559789507682</v>
      </c>
      <c r="BL79" s="310">
        <f t="shared" si="201"/>
        <v>-17.893020322139087</v>
      </c>
      <c r="BM79" s="592"/>
      <c r="BN79" s="289">
        <f>BN49-BN59</f>
        <v>70.210000000000065</v>
      </c>
      <c r="BO79" s="309">
        <f t="shared" si="202"/>
        <v>13.330143667849512</v>
      </c>
      <c r="BP79" s="310">
        <f t="shared" si="203"/>
        <v>31.54837742636618</v>
      </c>
      <c r="BQ79" s="849"/>
      <c r="BR79" s="289">
        <f>BR49-BR59</f>
        <v>71.664000000000044</v>
      </c>
      <c r="BS79" s="309">
        <f t="shared" si="204"/>
        <v>12.920417483237395</v>
      </c>
      <c r="BT79" s="310">
        <f t="shared" si="205"/>
        <v>2.0709300669419894</v>
      </c>
      <c r="BU79" s="256"/>
      <c r="BV79" s="289">
        <f>BV49-BV59</f>
        <v>110.03899999999997</v>
      </c>
      <c r="BW79" s="309">
        <f t="shared" si="206"/>
        <v>16.608106109315049</v>
      </c>
      <c r="BX79" s="310">
        <f t="shared" si="207"/>
        <v>53.548504130386121</v>
      </c>
      <c r="BY79" s="256"/>
      <c r="BZ79" s="289">
        <f>BZ49-BZ59</f>
        <v>130.989</v>
      </c>
      <c r="CA79" s="309">
        <f t="shared" si="208"/>
        <v>17.952699572662461</v>
      </c>
      <c r="CB79" s="310">
        <f t="shared" si="209"/>
        <v>19.038704459328095</v>
      </c>
      <c r="CC79" s="256"/>
      <c r="CD79" s="289">
        <f>CD49-CD59</f>
        <v>72.980000000000047</v>
      </c>
      <c r="CE79" s="309">
        <f t="shared" si="210"/>
        <v>11.91523821496736</v>
      </c>
      <c r="CF79" s="310">
        <f t="shared" si="211"/>
        <v>-44.285398010519941</v>
      </c>
      <c r="CG79" s="256"/>
      <c r="CH79" s="289">
        <f>CH49-CH59</f>
        <v>106.42999999999999</v>
      </c>
      <c r="CI79" s="309">
        <f t="shared" si="212"/>
        <v>15.914528380884024</v>
      </c>
      <c r="CJ79" s="310">
        <f t="shared" si="213"/>
        <v>45.834475198684466</v>
      </c>
      <c r="CK79" s="256"/>
      <c r="CL79" s="289">
        <f>CL49-CL59</f>
        <v>165.41800000000003</v>
      </c>
      <c r="CM79" s="309">
        <f t="shared" si="214"/>
        <v>18.954477536690227</v>
      </c>
      <c r="CN79" s="310">
        <f t="shared" si="215"/>
        <v>55.424222493657837</v>
      </c>
      <c r="CO79" s="256"/>
      <c r="CP79" s="289">
        <f>CP49-CP59</f>
        <v>140.32999999999998</v>
      </c>
      <c r="CQ79" s="309">
        <f t="shared" si="216"/>
        <v>15.828435237415247</v>
      </c>
      <c r="CR79" s="310">
        <f t="shared" si="217"/>
        <v>-15.166426870110893</v>
      </c>
      <c r="CS79" s="256"/>
      <c r="CT79" s="289">
        <f>CT49-CT59</f>
        <v>162.19200000000004</v>
      </c>
      <c r="CU79" s="309">
        <f t="shared" si="218"/>
        <v>17.517529193721895</v>
      </c>
      <c r="CV79" s="310">
        <f t="shared" si="219"/>
        <v>15.578992375115842</v>
      </c>
      <c r="CW79" s="256"/>
      <c r="CX79" s="289">
        <f>CX49-CX59</f>
        <v>192.37</v>
      </c>
      <c r="CY79" s="309">
        <f t="shared" si="220"/>
        <v>19.373973996152802</v>
      </c>
      <c r="CZ79" s="310">
        <f t="shared" si="221"/>
        <v>18.606343099536325</v>
      </c>
      <c r="DA79" s="256"/>
      <c r="DB79" s="289">
        <f>DB49-DB59</f>
        <v>168.80000000000004</v>
      </c>
      <c r="DC79" s="309">
        <f t="shared" si="222"/>
        <v>17.041898031297329</v>
      </c>
      <c r="DD79" s="310">
        <f>IF(CX79&lt;0,"       NM",(DB79/CX79-1)*100)</f>
        <v>-12.252430212611099</v>
      </c>
      <c r="DE79" s="256"/>
      <c r="DF79" s="289">
        <f>DF49-DF59</f>
        <v>161.50000000000003</v>
      </c>
      <c r="DG79" s="309">
        <f t="shared" si="223"/>
        <v>17.335766423357668</v>
      </c>
      <c r="DH79" s="310">
        <f>IF(DB79&lt;0,"       NM",(DF79/DB79-1)*100)</f>
        <v>-4.3246445497630344</v>
      </c>
      <c r="DI79" s="256"/>
      <c r="DJ79" s="289">
        <f>DJ49-DJ59</f>
        <v>172.50000000000006</v>
      </c>
      <c r="DK79" s="309">
        <f t="shared" si="224"/>
        <v>17.974366989684281</v>
      </c>
      <c r="DL79" s="310">
        <f>IF(DF79&lt;0,"       NM",(DJ79/DF79-1)*100)</f>
        <v>6.8111455108359253</v>
      </c>
      <c r="DM79" s="256"/>
      <c r="DN79" s="289">
        <f>DN49-DN59</f>
        <v>168.43075474903077</v>
      </c>
      <c r="DO79" s="309">
        <f t="shared" si="225"/>
        <v>16.612329763671589</v>
      </c>
      <c r="DP79" s="310">
        <f>IF(DJ79&lt;0,"       NM",(DN79/DJ79-1)*100)</f>
        <v>-2.3589827541850905</v>
      </c>
      <c r="DQ79" s="256"/>
      <c r="DR79" s="256"/>
      <c r="DS79" s="256"/>
      <c r="DT79" s="256"/>
      <c r="DU79" s="256"/>
      <c r="DV79" s="256"/>
      <c r="DW79" s="256"/>
      <c r="DX79" s="256"/>
      <c r="DY79" s="256"/>
      <c r="DZ79" s="256"/>
      <c r="EA79" s="256"/>
    </row>
    <row r="80" spans="1:131">
      <c r="A80" s="256" t="str">
        <f>$A$12</f>
        <v>3Q</v>
      </c>
      <c r="B80" s="256" t="str">
        <f>$B$12</f>
        <v>Oct</v>
      </c>
      <c r="C80" s="256"/>
      <c r="D80" s="289">
        <f>D50-D60</f>
        <v>0</v>
      </c>
      <c r="E80" s="256"/>
      <c r="F80" s="289">
        <f>F50-F60</f>
        <v>0</v>
      </c>
      <c r="G80" s="309"/>
      <c r="H80" s="256"/>
      <c r="I80" s="256"/>
      <c r="J80" s="289">
        <f>J50-J60</f>
        <v>13.923</v>
      </c>
      <c r="K80" s="309">
        <f t="shared" si="178"/>
        <v>11.014944502021345</v>
      </c>
      <c r="L80" s="256"/>
      <c r="M80" s="256"/>
      <c r="N80" s="289">
        <f>N50-N60</f>
        <v>-0.93400000000001504</v>
      </c>
      <c r="O80" s="309">
        <f t="shared" si="179"/>
        <v>-0.88198910261859631</v>
      </c>
      <c r="P80" s="256"/>
      <c r="Q80" s="256"/>
      <c r="R80" s="289">
        <f>R50-R60</f>
        <v>5.7149999999999892</v>
      </c>
      <c r="S80" s="309">
        <f t="shared" si="180"/>
        <v>4.2411873840445189</v>
      </c>
      <c r="T80" s="256"/>
      <c r="U80" s="256"/>
      <c r="V80" s="289">
        <f>V50-V60</f>
        <v>8.2939999999999987</v>
      </c>
      <c r="W80" s="309">
        <f t="shared" si="181"/>
        <v>5.1808034180559801</v>
      </c>
      <c r="X80" s="256"/>
      <c r="Y80" s="256"/>
      <c r="Z80" s="289">
        <f>Z50-Z60</f>
        <v>11.052999999999997</v>
      </c>
      <c r="AA80" s="309">
        <f t="shared" si="182"/>
        <v>5.88658223533547</v>
      </c>
      <c r="AB80" s="310">
        <f t="shared" si="183"/>
        <v>33.265010851217738</v>
      </c>
      <c r="AC80" s="256"/>
      <c r="AD80" s="289">
        <f>AD50-AD60</f>
        <v>16.457000000000015</v>
      </c>
      <c r="AE80" s="309">
        <f t="shared" si="184"/>
        <v>7.800080574448427</v>
      </c>
      <c r="AF80" s="310">
        <f t="shared" si="185"/>
        <v>48.891703609879841</v>
      </c>
      <c r="AG80" s="256"/>
      <c r="AH80" s="289">
        <f>AH50-AH60</f>
        <v>20.111000000000015</v>
      </c>
      <c r="AI80" s="309">
        <f t="shared" si="186"/>
        <v>8.6285900615255304</v>
      </c>
      <c r="AJ80" s="310">
        <f t="shared" si="187"/>
        <v>22.203317737133112</v>
      </c>
      <c r="AK80" s="256"/>
      <c r="AL80" s="289">
        <f>AL50-AL60</f>
        <v>20.900999999999986</v>
      </c>
      <c r="AM80" s="309">
        <f t="shared" si="188"/>
        <v>8.2756572695597033</v>
      </c>
      <c r="AN80" s="310">
        <f t="shared" si="189"/>
        <v>3.9281984983341012</v>
      </c>
      <c r="AO80" s="256"/>
      <c r="AP80" s="289">
        <f>AP50-AP60</f>
        <v>37.225000000000001</v>
      </c>
      <c r="AQ80" s="309">
        <f t="shared" si="190"/>
        <v>11.535267395090267</v>
      </c>
      <c r="AR80" s="310">
        <f t="shared" si="191"/>
        <v>78.101526242763626</v>
      </c>
      <c r="AS80" s="256"/>
      <c r="AT80" s="289">
        <f>AT50-AT60</f>
        <v>60.536000000000023</v>
      </c>
      <c r="AU80" s="309">
        <f t="shared" si="192"/>
        <v>16.269881797706915</v>
      </c>
      <c r="AV80" s="310">
        <f t="shared" si="193"/>
        <v>62.621893888515842</v>
      </c>
      <c r="AW80" s="256"/>
      <c r="AX80" s="289">
        <f>AX50-AX60</f>
        <v>40.047999999999995</v>
      </c>
      <c r="AY80" s="309">
        <f t="shared" si="194"/>
        <v>12.023754480986206</v>
      </c>
      <c r="AZ80" s="310">
        <f t="shared" si="195"/>
        <v>-33.844324038588645</v>
      </c>
      <c r="BA80" s="256"/>
      <c r="BB80" s="289">
        <f>BB50-BB60</f>
        <v>44.467000000000013</v>
      </c>
      <c r="BC80" s="309">
        <f t="shared" si="196"/>
        <v>12.148358208139706</v>
      </c>
      <c r="BD80" s="310">
        <f t="shared" si="197"/>
        <v>11.034258889332849</v>
      </c>
      <c r="BE80" s="256"/>
      <c r="BF80" s="289">
        <f>BF50-BF60</f>
        <v>44.282000000000004</v>
      </c>
      <c r="BG80" s="309">
        <f t="shared" si="198"/>
        <v>10.295194630373175</v>
      </c>
      <c r="BH80" s="310">
        <f t="shared" si="199"/>
        <v>-0.41603886027843373</v>
      </c>
      <c r="BI80" s="256"/>
      <c r="BJ80" s="289">
        <f>BJ50-BJ60</f>
        <v>28.088000000000005</v>
      </c>
      <c r="BK80" s="309">
        <f t="shared" si="200"/>
        <v>6.0908333911595323</v>
      </c>
      <c r="BL80" s="310">
        <f t="shared" si="201"/>
        <v>-36.570163949234448</v>
      </c>
      <c r="BM80" s="592"/>
      <c r="BN80" s="289">
        <f>BN50-BN60</f>
        <v>35.506000000000014</v>
      </c>
      <c r="BO80" s="309">
        <f t="shared" si="202"/>
        <v>7.0997090610971716</v>
      </c>
      <c r="BP80" s="310">
        <f t="shared" si="203"/>
        <v>26.409854742238714</v>
      </c>
      <c r="BQ80" s="849"/>
      <c r="BR80" s="289">
        <f>BR50-BR60</f>
        <v>48.948999999999941</v>
      </c>
      <c r="BS80" s="309">
        <f t="shared" si="204"/>
        <v>9.2038117156857115</v>
      </c>
      <c r="BT80" s="310">
        <f t="shared" si="205"/>
        <v>37.861206556638095</v>
      </c>
      <c r="BU80" s="256"/>
      <c r="BV80" s="289">
        <f>BV50-BV60</f>
        <v>60.837999999999951</v>
      </c>
      <c r="BW80" s="309">
        <f t="shared" si="206"/>
        <v>9.6980343459429914</v>
      </c>
      <c r="BX80" s="310">
        <f t="shared" si="207"/>
        <v>24.288545220535717</v>
      </c>
      <c r="BY80" s="256"/>
      <c r="BZ80" s="289">
        <f>BZ50-BZ60</f>
        <v>67.054000000000045</v>
      </c>
      <c r="CA80" s="309">
        <f t="shared" si="208"/>
        <v>10.882704267778088</v>
      </c>
      <c r="CB80" s="310">
        <f t="shared" si="209"/>
        <v>10.217298399027076</v>
      </c>
      <c r="CC80" s="256"/>
      <c r="CD80" s="289">
        <f>CD50-CD60</f>
        <v>59.491000000000007</v>
      </c>
      <c r="CE80" s="309">
        <f t="shared" si="210"/>
        <v>9.9448021771545889</v>
      </c>
      <c r="CF80" s="310">
        <f t="shared" si="211"/>
        <v>-11.278969189011889</v>
      </c>
      <c r="CG80" s="256"/>
      <c r="CH80" s="289">
        <f>CH50-CH60</f>
        <v>91.002000000000081</v>
      </c>
      <c r="CI80" s="309">
        <f t="shared" si="212"/>
        <v>13.348706010746216</v>
      </c>
      <c r="CJ80" s="310">
        <f t="shared" si="213"/>
        <v>52.967675782891654</v>
      </c>
      <c r="CK80" s="256"/>
      <c r="CL80" s="289">
        <f>CL50-CL60</f>
        <v>135.78400000000002</v>
      </c>
      <c r="CM80" s="309">
        <f t="shared" si="214"/>
        <v>16.523418438559837</v>
      </c>
      <c r="CN80" s="310">
        <f t="shared" si="215"/>
        <v>49.209907474560886</v>
      </c>
      <c r="CO80" s="256"/>
      <c r="CP80" s="289">
        <f>CP50-CP60</f>
        <v>102.51199999999996</v>
      </c>
      <c r="CQ80" s="309">
        <f t="shared" si="216"/>
        <v>12.021469590414904</v>
      </c>
      <c r="CR80" s="310">
        <f t="shared" si="217"/>
        <v>-24.503623401873607</v>
      </c>
      <c r="CS80" s="256"/>
      <c r="CT80" s="289">
        <f>CT50-CT60</f>
        <v>139.696</v>
      </c>
      <c r="CU80" s="309">
        <f t="shared" si="218"/>
        <v>15.326316159029622</v>
      </c>
      <c r="CV80" s="310">
        <f t="shared" si="219"/>
        <v>36.272826595910779</v>
      </c>
      <c r="CW80" s="256"/>
      <c r="CX80" s="289">
        <f>CX50-CX60</f>
        <v>153.1160000000001</v>
      </c>
      <c r="CY80" s="309">
        <f t="shared" si="220"/>
        <v>15.956414673365376</v>
      </c>
      <c r="CZ80" s="310">
        <f t="shared" si="221"/>
        <v>9.60657427556988</v>
      </c>
      <c r="DA80" s="256"/>
      <c r="DB80" s="289">
        <f>DB50-DB60</f>
        <v>141.19999999999999</v>
      </c>
      <c r="DC80" s="309">
        <f t="shared" si="222"/>
        <v>15.05009592837348</v>
      </c>
      <c r="DD80" s="310">
        <f>IF(CX80&lt;0,"       NM",(DB80/CX80-1)*100)</f>
        <v>-7.7823349617284325</v>
      </c>
      <c r="DE80" s="256"/>
      <c r="DF80" s="289">
        <f>DF50-DF60</f>
        <v>145.5</v>
      </c>
      <c r="DG80" s="309">
        <f t="shared" si="223"/>
        <v>15.32708311387338</v>
      </c>
      <c r="DH80" s="310">
        <f>IF(DB80&lt;0,"       NM",(DF80/DB80-1)*100)</f>
        <v>3.0453257790368449</v>
      </c>
      <c r="DI80" s="256"/>
      <c r="DJ80" s="289">
        <f>DJ50-DJ60</f>
        <v>150.40000000000006</v>
      </c>
      <c r="DK80" s="309">
        <f t="shared" si="224"/>
        <v>15.406678959229673</v>
      </c>
      <c r="DL80" s="310">
        <f>IF(DF80&lt;0,"       NM",(DJ80/DF80-1)*100)</f>
        <v>3.3676975945017507</v>
      </c>
      <c r="DM80" s="256"/>
      <c r="DN80" s="289">
        <f>DN50-DN60</f>
        <v>142.54044907602344</v>
      </c>
      <c r="DO80" s="309">
        <f t="shared" si="225"/>
        <v>13.921026756802227</v>
      </c>
      <c r="DP80" s="310">
        <f>IF(DJ80&lt;0,"       NM",(DN80/DJ80-1)*100)</f>
        <v>-5.225765242005731</v>
      </c>
      <c r="DQ80" s="256"/>
      <c r="DR80" s="256"/>
      <c r="DS80" s="256"/>
      <c r="DT80" s="256"/>
      <c r="DU80" s="256"/>
      <c r="DV80" s="256"/>
      <c r="DW80" s="256"/>
      <c r="DX80" s="256"/>
      <c r="DY80" s="256"/>
      <c r="DZ80" s="256"/>
      <c r="EA80" s="256"/>
    </row>
    <row r="81" spans="1:131">
      <c r="A81" s="256" t="str">
        <f>$A$13</f>
        <v>4Q</v>
      </c>
      <c r="B81" s="256" t="str">
        <f>$B$13</f>
        <v>Jan</v>
      </c>
      <c r="C81" s="587"/>
      <c r="D81" s="313">
        <f>D51-D61</f>
        <v>0</v>
      </c>
      <c r="E81" s="587"/>
      <c r="F81" s="313">
        <f>F51-F61</f>
        <v>0</v>
      </c>
      <c r="G81" s="309"/>
      <c r="H81" s="256"/>
      <c r="I81" s="256"/>
      <c r="J81" s="313">
        <f>J51-J61</f>
        <v>20.970999999999993</v>
      </c>
      <c r="K81" s="309">
        <f t="shared" si="178"/>
        <v>14.071852269372195</v>
      </c>
      <c r="L81" s="256"/>
      <c r="M81" s="256"/>
      <c r="N81" s="313">
        <f>N51-N61</f>
        <v>8.7610000000000134</v>
      </c>
      <c r="O81" s="309">
        <f t="shared" si="179"/>
        <v>5.7475185493764478</v>
      </c>
      <c r="P81" s="256"/>
      <c r="Q81" s="256"/>
      <c r="R81" s="313">
        <f>R51-R61</f>
        <v>31.665000000000006</v>
      </c>
      <c r="S81" s="309">
        <f t="shared" si="180"/>
        <v>15.220850137235207</v>
      </c>
      <c r="T81" s="256"/>
      <c r="U81" s="256"/>
      <c r="V81" s="313">
        <f>V51-V61</f>
        <v>33.912000000000013</v>
      </c>
      <c r="W81" s="309">
        <f t="shared" si="181"/>
        <v>14.172754476002613</v>
      </c>
      <c r="X81" s="256"/>
      <c r="Y81" s="256"/>
      <c r="Z81" s="313">
        <f>Z51-Z61</f>
        <v>44.840999999999994</v>
      </c>
      <c r="AA81" s="309">
        <f t="shared" si="182"/>
        <v>15.974706091913074</v>
      </c>
      <c r="AB81" s="310">
        <f t="shared" si="183"/>
        <v>32.227530077848485</v>
      </c>
      <c r="AC81" s="256"/>
      <c r="AD81" s="313">
        <f>AD51-AD61</f>
        <v>62.973000000000035</v>
      </c>
      <c r="AE81" s="309">
        <f t="shared" si="184"/>
        <v>19.221412677530921</v>
      </c>
      <c r="AF81" s="310">
        <f t="shared" si="185"/>
        <v>40.436207934702708</v>
      </c>
      <c r="AG81" s="256"/>
      <c r="AH81" s="313">
        <f>AH51-AH61</f>
        <v>73.858000000000004</v>
      </c>
      <c r="AI81" s="309">
        <f t="shared" si="186"/>
        <v>20.086811315931183</v>
      </c>
      <c r="AJ81" s="310">
        <f t="shared" si="187"/>
        <v>17.285185714512519</v>
      </c>
      <c r="AK81" s="256"/>
      <c r="AL81" s="313">
        <f>AL51-AL61</f>
        <v>91.888000000000062</v>
      </c>
      <c r="AM81" s="309">
        <f t="shared" si="188"/>
        <v>20.352257424339086</v>
      </c>
      <c r="AN81" s="310">
        <f t="shared" si="189"/>
        <v>24.411708955021872</v>
      </c>
      <c r="AO81" s="256"/>
      <c r="AP81" s="313">
        <f>AP51-AP61</f>
        <v>143.35399999999996</v>
      </c>
      <c r="AQ81" s="309">
        <f t="shared" si="190"/>
        <v>25.165718699529521</v>
      </c>
      <c r="AR81" s="310">
        <f t="shared" si="191"/>
        <v>56.009489813686073</v>
      </c>
      <c r="AS81" s="256"/>
      <c r="AT81" s="289">
        <f>AT51-AT61</f>
        <v>141.12200000000001</v>
      </c>
      <c r="AU81" s="309">
        <f t="shared" si="192"/>
        <v>24.483727192131731</v>
      </c>
      <c r="AV81" s="310">
        <f t="shared" si="193"/>
        <v>-1.5569848068417658</v>
      </c>
      <c r="AW81" s="256"/>
      <c r="AX81" s="313">
        <f>AX51-AX61</f>
        <v>137.90700000000001</v>
      </c>
      <c r="AY81" s="309">
        <f t="shared" si="194"/>
        <v>24.375573344834109</v>
      </c>
      <c r="AZ81" s="310">
        <f t="shared" si="195"/>
        <v>-2.2781706608466457</v>
      </c>
      <c r="BA81" s="256"/>
      <c r="BB81" s="313">
        <f>BB51-BB61</f>
        <v>146.13200000000001</v>
      </c>
      <c r="BC81" s="309">
        <f t="shared" si="196"/>
        <v>23.607258652080006</v>
      </c>
      <c r="BD81" s="310">
        <f t="shared" si="197"/>
        <v>5.9641642556215402</v>
      </c>
      <c r="BE81" s="256"/>
      <c r="BF81" s="313">
        <f>BF51-BF61</f>
        <v>176.74399999999994</v>
      </c>
      <c r="BG81" s="309">
        <f t="shared" si="198"/>
        <v>24.158952853245264</v>
      </c>
      <c r="BH81" s="310">
        <f t="shared" si="199"/>
        <v>20.948183833794065</v>
      </c>
      <c r="BI81" s="256"/>
      <c r="BJ81" s="313">
        <f>BJ51-BJ61</f>
        <v>137.72</v>
      </c>
      <c r="BK81" s="309">
        <f t="shared" si="200"/>
        <v>16.999908655733336</v>
      </c>
      <c r="BL81" s="310">
        <f t="shared" si="201"/>
        <v>-22.079391662517512</v>
      </c>
      <c r="BM81" s="592"/>
      <c r="BN81" s="313">
        <f>BN51-BN61</f>
        <v>200.15300000000002</v>
      </c>
      <c r="BO81" s="309">
        <f t="shared" si="202"/>
        <v>23.315735643243723</v>
      </c>
      <c r="BP81" s="310">
        <f t="shared" si="203"/>
        <v>45.333284925936688</v>
      </c>
      <c r="BQ81" s="849"/>
      <c r="BR81" s="313">
        <f>BR51-BR61</f>
        <v>228.69099999999992</v>
      </c>
      <c r="BS81" s="309">
        <f t="shared" si="204"/>
        <v>23.849629831252265</v>
      </c>
      <c r="BT81" s="310">
        <f t="shared" si="205"/>
        <v>14.258092559192171</v>
      </c>
      <c r="BU81" s="256"/>
      <c r="BV81" s="313">
        <f>BV51-BV61</f>
        <v>281.15999999999985</v>
      </c>
      <c r="BW81" s="309">
        <f t="shared" si="206"/>
        <v>26.696874255215498</v>
      </c>
      <c r="BX81" s="310">
        <f t="shared" si="207"/>
        <v>22.943185346165773</v>
      </c>
      <c r="BY81" s="256"/>
      <c r="BZ81" s="313">
        <f>BZ51-BZ61</f>
        <v>160.37399999999997</v>
      </c>
      <c r="CA81" s="309">
        <f t="shared" si="208"/>
        <v>19.147008153124485</v>
      </c>
      <c r="CB81" s="310">
        <f t="shared" si="209"/>
        <v>-42.959880495091738</v>
      </c>
      <c r="CC81" s="256"/>
      <c r="CD81" s="313">
        <f>CD51-CD61</f>
        <v>209.98700000000002</v>
      </c>
      <c r="CE81" s="309">
        <f t="shared" si="210"/>
        <v>21.397027055668325</v>
      </c>
      <c r="CF81" s="310">
        <f t="shared" si="211"/>
        <v>30.935812538192021</v>
      </c>
      <c r="CG81" s="256"/>
      <c r="CH81" s="313">
        <f>CH51-CH61</f>
        <v>273.49799999999993</v>
      </c>
      <c r="CI81" s="309">
        <f t="shared" si="212"/>
        <v>24.836022030212078</v>
      </c>
      <c r="CJ81" s="310">
        <f t="shared" si="213"/>
        <v>30.245205655588148</v>
      </c>
      <c r="CK81" s="256"/>
      <c r="CL81" s="313">
        <f>CL51-CL61</f>
        <v>272.42700000000008</v>
      </c>
      <c r="CM81" s="309">
        <f t="shared" si="214"/>
        <v>22.942380246580885</v>
      </c>
      <c r="CN81" s="310">
        <f t="shared" si="215"/>
        <v>-0.39159335717258159</v>
      </c>
      <c r="CO81" s="256"/>
      <c r="CP81" s="313">
        <f>CP51-CP61</f>
        <v>276.30300000000005</v>
      </c>
      <c r="CQ81" s="309">
        <f t="shared" si="216"/>
        <v>22.358790356450118</v>
      </c>
      <c r="CR81" s="310">
        <f t="shared" si="217"/>
        <v>1.422766465878933</v>
      </c>
      <c r="CS81" s="256"/>
      <c r="CT81" s="313">
        <f>CT51-CT61</f>
        <v>297.25400000000013</v>
      </c>
      <c r="CU81" s="309">
        <f t="shared" si="218"/>
        <v>22.895914915380619</v>
      </c>
      <c r="CV81" s="310">
        <f t="shared" si="219"/>
        <v>7.582617633540023</v>
      </c>
      <c r="CW81" s="256"/>
      <c r="CX81" s="313">
        <f>CX51-CX61</f>
        <v>292.31300000000005</v>
      </c>
      <c r="CY81" s="309">
        <f t="shared" si="220"/>
        <v>22.74345619803589</v>
      </c>
      <c r="CZ81" s="310">
        <f t="shared" si="221"/>
        <v>-1.6622148061927078</v>
      </c>
      <c r="DA81" s="256"/>
      <c r="DB81" s="313">
        <f>DB51-DB61</f>
        <v>285.89999999999998</v>
      </c>
      <c r="DC81" s="309">
        <f t="shared" si="222"/>
        <v>23.558009228740936</v>
      </c>
      <c r="DD81" s="310">
        <f>IF(CX81&lt;0,"       NM",(DB81/CX81-1)*100)</f>
        <v>-2.1938812163674104</v>
      </c>
      <c r="DE81" s="256"/>
      <c r="DF81" s="313">
        <f>DF51-DF61</f>
        <v>284.49999999999989</v>
      </c>
      <c r="DG81" s="309">
        <f t="shared" si="223"/>
        <v>23.137605725439158</v>
      </c>
      <c r="DH81" s="310">
        <f>IF(DB81&lt;0,"       NM",(DF81/DB81-1)*100)</f>
        <v>-0.48968170689055457</v>
      </c>
      <c r="DI81" s="256"/>
      <c r="DJ81" s="313">
        <f>DJ51-DJ61</f>
        <v>301.39999999999992</v>
      </c>
      <c r="DK81" s="309">
        <f t="shared" si="224"/>
        <v>22.58862324814509</v>
      </c>
      <c r="DL81" s="310">
        <f>IF(DF81&lt;0,"       NM",(DJ81/DF81-1)*100)</f>
        <v>5.9402460456942086</v>
      </c>
      <c r="DM81" s="256"/>
      <c r="DN81" s="313">
        <f>DN51-DN61</f>
        <v>291.69343848831363</v>
      </c>
      <c r="DO81" s="309">
        <f t="shared" si="225"/>
        <v>21.066668312694222</v>
      </c>
      <c r="DP81" s="310">
        <f>IF(DJ81&lt;0,"       NM",(DN81/DJ81-1)*100)</f>
        <v>-3.2204915433597492</v>
      </c>
      <c r="DQ81" s="256"/>
      <c r="DR81" s="256"/>
      <c r="DS81" s="256"/>
      <c r="DT81" s="256"/>
      <c r="DU81" s="256"/>
      <c r="DV81" s="256"/>
      <c r="DW81" s="256"/>
      <c r="DX81" s="256"/>
      <c r="DY81" s="256"/>
      <c r="DZ81" s="256"/>
      <c r="EA81" s="256"/>
    </row>
    <row r="82" spans="1:131">
      <c r="A82" s="256"/>
      <c r="B82" s="256" t="str">
        <f>$B$14</f>
        <v>Year</v>
      </c>
      <c r="C82" s="256"/>
      <c r="D82" s="305">
        <f>SUM(D78:D81)</f>
        <v>0</v>
      </c>
      <c r="E82" s="256"/>
      <c r="F82" s="305">
        <f>SUM(F78:F81)</f>
        <v>0</v>
      </c>
      <c r="G82" s="309"/>
      <c r="H82" s="256"/>
      <c r="I82" s="256"/>
      <c r="J82" s="305">
        <f>SUM(J78:J81)</f>
        <v>55.069000000000003</v>
      </c>
      <c r="K82" s="309">
        <f t="shared" si="178"/>
        <v>11.1950250657646</v>
      </c>
      <c r="L82" s="256"/>
      <c r="M82" s="256"/>
      <c r="N82" s="305">
        <f>SUM(N78:N81)</f>
        <v>19.925000000000015</v>
      </c>
      <c r="O82" s="309">
        <f t="shared" si="179"/>
        <v>4.096456385332119</v>
      </c>
      <c r="P82" s="256"/>
      <c r="Q82" s="256"/>
      <c r="R82" s="305">
        <f>SUM(R78:R81)</f>
        <v>39.499999999999986</v>
      </c>
      <c r="S82" s="309">
        <f t="shared" si="180"/>
        <v>6.9726267032185261</v>
      </c>
      <c r="T82" s="256"/>
      <c r="U82" s="256"/>
      <c r="V82" s="305">
        <f>SUM(V78:V81)</f>
        <v>51.566000000000017</v>
      </c>
      <c r="W82" s="309">
        <f t="shared" si="181"/>
        <v>7.551795393003542</v>
      </c>
      <c r="X82" s="256"/>
      <c r="Y82" s="256"/>
      <c r="Z82" s="305">
        <f>SUM(Z78:Z81)</f>
        <v>69.034999999999968</v>
      </c>
      <c r="AA82" s="309">
        <f t="shared" si="182"/>
        <v>8.5940106461909203</v>
      </c>
      <c r="AB82" s="310">
        <f t="shared" si="183"/>
        <v>33.876973199394847</v>
      </c>
      <c r="AC82" s="256"/>
      <c r="AD82" s="305">
        <f>SUM(AD78:AD81)</f>
        <v>102.88600000000008</v>
      </c>
      <c r="AE82" s="309">
        <f t="shared" si="184"/>
        <v>11.157695194055368</v>
      </c>
      <c r="AF82" s="310">
        <f t="shared" si="185"/>
        <v>49.034547693199279</v>
      </c>
      <c r="AG82" s="256"/>
      <c r="AH82" s="305">
        <f>SUM(AH78:AH81)</f>
        <v>127.75800000000002</v>
      </c>
      <c r="AI82" s="309">
        <f t="shared" si="186"/>
        <v>12.554637505699597</v>
      </c>
      <c r="AJ82" s="310">
        <f t="shared" si="187"/>
        <v>24.174328868845052</v>
      </c>
      <c r="AK82" s="256"/>
      <c r="AL82" s="305">
        <f>SUM(AL78:AL81)</f>
        <v>155.64800000000002</v>
      </c>
      <c r="AM82" s="309">
        <f t="shared" si="188"/>
        <v>13.213699637244691</v>
      </c>
      <c r="AN82" s="310">
        <f t="shared" si="189"/>
        <v>21.830335478013119</v>
      </c>
      <c r="AO82" s="256"/>
      <c r="AP82" s="305">
        <f>SUM(AP78:AP81)</f>
        <v>248.05799999999994</v>
      </c>
      <c r="AQ82" s="309">
        <f t="shared" si="190"/>
        <v>16.855315997254852</v>
      </c>
      <c r="AR82" s="310">
        <f t="shared" si="191"/>
        <v>59.371145148026237</v>
      </c>
      <c r="AS82" s="256"/>
      <c r="AT82" s="305">
        <f>SUM(AT78:AT81)</f>
        <v>317.64099999999996</v>
      </c>
      <c r="AU82" s="309">
        <f t="shared" si="192"/>
        <v>19.042586100226849</v>
      </c>
      <c r="AV82" s="310">
        <f t="shared" si="193"/>
        <v>28.051100952196673</v>
      </c>
      <c r="AW82" s="256"/>
      <c r="AX82" s="305">
        <f>SUM(AX78:AX81)</f>
        <v>289.31200000000001</v>
      </c>
      <c r="AY82" s="309">
        <f t="shared" si="194"/>
        <v>18.008446750304227</v>
      </c>
      <c r="AZ82" s="310">
        <f t="shared" si="195"/>
        <v>-8.9185590021439118</v>
      </c>
      <c r="BA82" s="256"/>
      <c r="BB82" s="305">
        <f>SUM(BB78:BB81)</f>
        <v>299.63700000000006</v>
      </c>
      <c r="BC82" s="309">
        <f t="shared" si="196"/>
        <v>17.557520734184074</v>
      </c>
      <c r="BD82" s="310">
        <f t="shared" si="197"/>
        <v>3.568811525273774</v>
      </c>
      <c r="BE82" s="256"/>
      <c r="BF82" s="305">
        <f>SUM(BF78:BF81)</f>
        <v>342.68499999999995</v>
      </c>
      <c r="BG82" s="309">
        <f t="shared" si="198"/>
        <v>17.133864488049017</v>
      </c>
      <c r="BH82" s="310">
        <f t="shared" si="199"/>
        <v>14.366717060977074</v>
      </c>
      <c r="BI82" s="256"/>
      <c r="BJ82" s="305">
        <f>SUM(BJ78:BJ81)</f>
        <v>278.55099999999993</v>
      </c>
      <c r="BK82" s="309">
        <f t="shared" si="200"/>
        <v>12.633666707334934</v>
      </c>
      <c r="BL82" s="310">
        <f t="shared" si="201"/>
        <v>-18.715146563170272</v>
      </c>
      <c r="BM82" s="592"/>
      <c r="BN82" s="305">
        <f>SUM(BN78:BN81)</f>
        <v>367.97400000000016</v>
      </c>
      <c r="BO82" s="309">
        <f t="shared" si="202"/>
        <v>15.363277419020834</v>
      </c>
      <c r="BP82" s="310">
        <f t="shared" si="203"/>
        <v>32.102918316574083</v>
      </c>
      <c r="BQ82" s="849"/>
      <c r="BR82" s="305">
        <f>SUM(BR78:BR81)</f>
        <v>420.30799999999982</v>
      </c>
      <c r="BS82" s="309">
        <f t="shared" si="204"/>
        <v>16.413575170244151</v>
      </c>
      <c r="BT82" s="310">
        <f t="shared" si="205"/>
        <v>14.222200481555669</v>
      </c>
      <c r="BU82" s="256"/>
      <c r="BV82" s="305">
        <f>SUM(BV78:BV81)</f>
        <v>536.8689999999998</v>
      </c>
      <c r="BW82" s="309">
        <f t="shared" si="206"/>
        <v>18.268487064830836</v>
      </c>
      <c r="BX82" s="310">
        <f t="shared" si="207"/>
        <v>27.732282040789148</v>
      </c>
      <c r="BY82" s="256"/>
      <c r="BZ82" s="305">
        <f>SUM(BZ78:BZ81)</f>
        <v>463.59800000000007</v>
      </c>
      <c r="CA82" s="309">
        <f t="shared" si="208"/>
        <v>16.273111445670004</v>
      </c>
      <c r="CB82" s="310">
        <f t="shared" si="209"/>
        <v>-13.647835878026072</v>
      </c>
      <c r="CC82" s="256"/>
      <c r="CD82" s="305">
        <f>SUM(CD78:CD81)</f>
        <v>389.5320000000001</v>
      </c>
      <c r="CE82" s="309">
        <f t="shared" si="210"/>
        <v>14.375444698018679</v>
      </c>
      <c r="CF82" s="310">
        <f t="shared" si="211"/>
        <v>-15.976341571792796</v>
      </c>
      <c r="CG82" s="256"/>
      <c r="CH82" s="305">
        <f>SUM(CH78:CH81)</f>
        <v>565.06899999999996</v>
      </c>
      <c r="CI82" s="309">
        <f t="shared" si="212"/>
        <v>18.31493960049136</v>
      </c>
      <c r="CJ82" s="310">
        <f t="shared" si="213"/>
        <v>45.06356345563389</v>
      </c>
      <c r="CK82" s="256"/>
      <c r="CL82" s="305">
        <f>SUM(CL78:CL81)</f>
        <v>707.6690000000001</v>
      </c>
      <c r="CM82" s="309">
        <f t="shared" si="214"/>
        <v>19.425781999524013</v>
      </c>
      <c r="CN82" s="310">
        <f t="shared" si="215"/>
        <v>25.235856152080572</v>
      </c>
      <c r="CO82" s="256"/>
      <c r="CP82" s="305">
        <f>SUM(CP78:CP81)</f>
        <v>643.57600000000002</v>
      </c>
      <c r="CQ82" s="309">
        <f t="shared" si="216"/>
        <v>16.961880994104501</v>
      </c>
      <c r="CR82" s="310">
        <f t="shared" si="217"/>
        <v>-9.0569178528379872</v>
      </c>
      <c r="CS82" s="256"/>
      <c r="CT82" s="305">
        <f>SUM(CT78:CT81)</f>
        <v>736.98800000000028</v>
      </c>
      <c r="CU82" s="309">
        <f t="shared" si="218"/>
        <v>18.282417089004827</v>
      </c>
      <c r="CV82" s="310">
        <f t="shared" si="219"/>
        <v>14.514525091053777</v>
      </c>
      <c r="CW82" s="256"/>
      <c r="CX82" s="305">
        <f>SUM(CX78:CX81)</f>
        <v>831.31600000000003</v>
      </c>
      <c r="CY82" s="309">
        <f t="shared" si="220"/>
        <v>19.560776891197541</v>
      </c>
      <c r="CZ82" s="310">
        <f t="shared" si="221"/>
        <v>12.799122916519634</v>
      </c>
      <c r="DA82" s="256"/>
      <c r="DB82" s="305">
        <f>SUM(DB78:DB81)</f>
        <v>756.59999999999991</v>
      </c>
      <c r="DC82" s="309">
        <f t="shared" si="222"/>
        <v>18.432528564815936</v>
      </c>
      <c r="DD82" s="310">
        <f>IF(CX82&lt;0,"       NM",(DB82/CX82-1)*100)</f>
        <v>-8.9876773693758025</v>
      </c>
      <c r="DE82" s="256"/>
      <c r="DF82" s="305">
        <f>SUM(DF78:DF81)</f>
        <v>714.5999999999998</v>
      </c>
      <c r="DG82" s="309">
        <f t="shared" si="223"/>
        <v>17.856964366035282</v>
      </c>
      <c r="DH82" s="310">
        <f>IF(DB82&lt;0,"       NM",(DF82/DB82-1)*100)</f>
        <v>-5.5511498810468023</v>
      </c>
      <c r="DI82" s="256"/>
      <c r="DJ82" s="305">
        <f>SUM(DJ78:DJ81)</f>
        <v>760.40000000000009</v>
      </c>
      <c r="DK82" s="309">
        <f t="shared" si="224"/>
        <v>18.235886613266825</v>
      </c>
      <c r="DL82" s="310">
        <f>IF(DF82&lt;0,"       NM",(DJ82/DF82-1)*100)</f>
        <v>6.4091799608172906</v>
      </c>
      <c r="DM82" s="256"/>
      <c r="DN82" s="305">
        <f>SUM(DN78:DN81)</f>
        <v>759.26077359147416</v>
      </c>
      <c r="DO82" s="309">
        <f t="shared" si="225"/>
        <v>17.316457790201913</v>
      </c>
      <c r="DP82" s="310">
        <f>IF(DJ82&lt;0,"       NM",(DN82/DJ82-1)*100)</f>
        <v>-0.14981935935375335</v>
      </c>
      <c r="DQ82" s="256"/>
      <c r="DR82" s="256"/>
      <c r="DS82" s="256"/>
      <c r="DT82" s="256"/>
      <c r="DU82" s="256"/>
      <c r="DV82" s="256"/>
      <c r="DW82" s="256"/>
      <c r="DX82" s="256"/>
      <c r="DY82" s="256"/>
      <c r="DZ82" s="256"/>
      <c r="EA82" s="256"/>
    </row>
    <row r="83" spans="1:131" hidden="1" outlineLevel="1">
      <c r="A83" s="256" t="str">
        <f>$A$15</f>
        <v>6 Mos</v>
      </c>
      <c r="B83" s="256"/>
      <c r="C83" s="256"/>
      <c r="D83" s="289">
        <f>SUM(D78:D79)</f>
        <v>0</v>
      </c>
      <c r="E83" s="256"/>
      <c r="F83" s="289">
        <f>SUM(F78:F79)</f>
        <v>0</v>
      </c>
      <c r="G83" s="309"/>
      <c r="H83" s="256"/>
      <c r="I83" s="256"/>
      <c r="J83" s="289">
        <f>SUM(J78:J79)</f>
        <v>20.175000000000008</v>
      </c>
      <c r="K83" s="309">
        <f t="shared" si="178"/>
        <v>9.3196967807203581</v>
      </c>
      <c r="L83" s="256"/>
      <c r="M83" s="256"/>
      <c r="N83" s="289">
        <f>SUM(N78:N79)</f>
        <v>12.098000000000017</v>
      </c>
      <c r="O83" s="309">
        <f t="shared" si="179"/>
        <v>5.3045582896329231</v>
      </c>
      <c r="P83" s="256"/>
      <c r="Q83" s="256"/>
      <c r="R83" s="289">
        <f>SUM(R78:R79)</f>
        <v>2.1199999999999939</v>
      </c>
      <c r="S83" s="309">
        <f t="shared" si="180"/>
        <v>0.9476385027311629</v>
      </c>
      <c r="T83" s="256"/>
      <c r="U83" s="256"/>
      <c r="V83" s="289">
        <f>SUM(V78:V79)</f>
        <v>9.3600000000000048</v>
      </c>
      <c r="W83" s="309">
        <f t="shared" si="181"/>
        <v>3.3020066040132101</v>
      </c>
      <c r="X83" s="256"/>
      <c r="Y83" s="256"/>
      <c r="Z83" s="289">
        <f>SUM(Z78:Z79)</f>
        <v>13.140999999999984</v>
      </c>
      <c r="AA83" s="309">
        <f t="shared" si="182"/>
        <v>3.9247250810868874</v>
      </c>
      <c r="AB83" s="310">
        <f t="shared" si="183"/>
        <v>40.395299145298914</v>
      </c>
      <c r="AC83" s="256"/>
      <c r="AD83" s="289">
        <f>SUM(AD78:AD79)</f>
        <v>23.456000000000021</v>
      </c>
      <c r="AE83" s="309">
        <f t="shared" si="184"/>
        <v>6.1162334682298019</v>
      </c>
      <c r="AF83" s="310">
        <f t="shared" si="185"/>
        <v>78.494787306902452</v>
      </c>
      <c r="AG83" s="256"/>
      <c r="AH83" s="289">
        <f>SUM(AH78:AH79)</f>
        <v>33.789000000000009</v>
      </c>
      <c r="AI83" s="309">
        <f t="shared" si="186"/>
        <v>8.1058323417648648</v>
      </c>
      <c r="AJ83" s="310">
        <f t="shared" si="187"/>
        <v>44.052694406548333</v>
      </c>
      <c r="AK83" s="256"/>
      <c r="AL83" s="289">
        <f>SUM(AL78:AL79)</f>
        <v>42.858999999999995</v>
      </c>
      <c r="AM83" s="309">
        <f t="shared" si="188"/>
        <v>9.0442537261464366</v>
      </c>
      <c r="AN83" s="310">
        <f t="shared" si="189"/>
        <v>26.843055432241215</v>
      </c>
      <c r="AO83" s="256"/>
      <c r="AP83" s="289">
        <f>SUM(AP78:AP79)</f>
        <v>67.478999999999985</v>
      </c>
      <c r="AQ83" s="309">
        <f t="shared" si="190"/>
        <v>11.647484050926561</v>
      </c>
      <c r="AR83" s="310">
        <f t="shared" si="191"/>
        <v>57.444177418978491</v>
      </c>
      <c r="AS83" s="256"/>
      <c r="AT83" s="289">
        <f>SUM(AT78:AT79)</f>
        <v>115.98299999999995</v>
      </c>
      <c r="AU83" s="309">
        <f t="shared" si="192"/>
        <v>16.117905865971082</v>
      </c>
      <c r="AV83" s="310">
        <f t="shared" si="193"/>
        <v>71.880140488151838</v>
      </c>
      <c r="AW83" s="256"/>
      <c r="AX83" s="289">
        <f>SUM(AX78:AX79)</f>
        <v>111.35699999999999</v>
      </c>
      <c r="AY83" s="309">
        <f t="shared" si="194"/>
        <v>15.735012759607855</v>
      </c>
      <c r="AZ83" s="310">
        <f t="shared" si="195"/>
        <v>-3.9885155583145537</v>
      </c>
      <c r="BA83" s="256"/>
      <c r="BB83" s="289">
        <f>SUM(BB78:BB79)</f>
        <v>109.03800000000004</v>
      </c>
      <c r="BC83" s="309">
        <f t="shared" si="196"/>
        <v>15.111509016625188</v>
      </c>
      <c r="BD83" s="310">
        <f t="shared" si="197"/>
        <v>-2.0824914464290023</v>
      </c>
      <c r="BE83" s="256"/>
      <c r="BF83" s="289">
        <f>SUM(BF78:BF79)</f>
        <v>121.65899999999999</v>
      </c>
      <c r="BG83" s="309">
        <f t="shared" si="198"/>
        <v>14.51199641193128</v>
      </c>
      <c r="BH83" s="310">
        <f t="shared" si="199"/>
        <v>11.574863808947299</v>
      </c>
      <c r="BI83" s="256"/>
      <c r="BJ83" s="289">
        <f>SUM(BJ78:BJ79)</f>
        <v>112.7429999999999</v>
      </c>
      <c r="BK83" s="309">
        <f t="shared" si="200"/>
        <v>12.076713044838172</v>
      </c>
      <c r="BL83" s="310">
        <f t="shared" si="201"/>
        <v>-7.328680985377245</v>
      </c>
      <c r="BM83" s="592"/>
      <c r="BN83" s="289">
        <f>SUM(BN78:BN79)</f>
        <v>132.31500000000011</v>
      </c>
      <c r="BO83" s="309">
        <f t="shared" si="202"/>
        <v>12.764301052863114</v>
      </c>
      <c r="BP83" s="310">
        <f t="shared" si="203"/>
        <v>17.359836087384785</v>
      </c>
      <c r="BQ83" s="849"/>
      <c r="BR83" s="289">
        <f>SUM(BR78:BR79)</f>
        <v>142.66799999999995</v>
      </c>
      <c r="BS83" s="309">
        <f t="shared" si="204"/>
        <v>13.333295950609941</v>
      </c>
      <c r="BT83" s="310">
        <f t="shared" si="205"/>
        <v>7.8245096927784585</v>
      </c>
      <c r="BU83" s="256"/>
      <c r="BV83" s="289">
        <f>SUM(BV78:BV79)</f>
        <v>194.87100000000001</v>
      </c>
      <c r="BW83" s="309">
        <f t="shared" si="206"/>
        <v>15.486958104285891</v>
      </c>
      <c r="BX83" s="310">
        <f t="shared" si="207"/>
        <v>36.590545882748813</v>
      </c>
      <c r="BY83" s="256"/>
      <c r="BZ83" s="289">
        <f>SUM(BZ78:BZ79)</f>
        <v>236.17000000000004</v>
      </c>
      <c r="CA83" s="309">
        <f t="shared" si="208"/>
        <v>16.928365710615768</v>
      </c>
      <c r="CB83" s="310">
        <f t="shared" si="209"/>
        <v>21.192994339845363</v>
      </c>
      <c r="CC83" s="256"/>
      <c r="CD83" s="289">
        <f>SUM(CD78:CD79)</f>
        <v>120.05400000000006</v>
      </c>
      <c r="CE83" s="309">
        <f t="shared" si="210"/>
        <v>10.623232469817049</v>
      </c>
      <c r="CF83" s="310">
        <f t="shared" si="211"/>
        <v>-49.166278528178843</v>
      </c>
      <c r="CG83" s="256"/>
      <c r="CH83" s="289">
        <f>SUM(CH78:CH79)</f>
        <v>200.56900000000002</v>
      </c>
      <c r="CI83" s="309">
        <f t="shared" si="212"/>
        <v>15.400592469282357</v>
      </c>
      <c r="CJ83" s="310">
        <f t="shared" si="213"/>
        <v>67.065653789128163</v>
      </c>
      <c r="CK83" s="256"/>
      <c r="CL83" s="289">
        <f>SUM(CL78:CL79)</f>
        <v>299.45800000000008</v>
      </c>
      <c r="CM83" s="309">
        <f t="shared" si="214"/>
        <v>18.329711763877757</v>
      </c>
      <c r="CN83" s="310">
        <f t="shared" si="215"/>
        <v>49.304229467165953</v>
      </c>
      <c r="CO83" s="256"/>
      <c r="CP83" s="289">
        <f>SUM(CP78:CP79)</f>
        <v>264.76099999999997</v>
      </c>
      <c r="CQ83" s="309">
        <f t="shared" si="216"/>
        <v>15.521776778276159</v>
      </c>
      <c r="CR83" s="310">
        <f t="shared" si="217"/>
        <v>-11.586599790287821</v>
      </c>
      <c r="CS83" s="256"/>
      <c r="CT83" s="289">
        <f>SUM(CT78:CT79)</f>
        <v>300.03800000000012</v>
      </c>
      <c r="CU83" s="309">
        <f t="shared" si="218"/>
        <v>16.47322232519733</v>
      </c>
      <c r="CV83" s="310">
        <f t="shared" si="219"/>
        <v>13.324092294560064</v>
      </c>
      <c r="CW83" s="256"/>
      <c r="CX83" s="289">
        <f>SUM(CX78:CX79)</f>
        <v>385.88699999999994</v>
      </c>
      <c r="CY83" s="309">
        <f t="shared" si="220"/>
        <v>19.245639286964693</v>
      </c>
      <c r="CZ83" s="310">
        <f t="shared" si="221"/>
        <v>28.612709056852736</v>
      </c>
      <c r="DA83" s="256"/>
      <c r="DB83" s="289">
        <f>SUM(DB78:DB79)</f>
        <v>329.5</v>
      </c>
      <c r="DC83" s="309">
        <f t="shared" si="222"/>
        <v>16.872343693993546</v>
      </c>
      <c r="DD83" s="310">
        <f>IF(CY83&lt;0,"       NM",(DB83/CY83-1)*100)</f>
        <v>1612.0761492353977</v>
      </c>
      <c r="DE83" s="256"/>
      <c r="DF83" s="289">
        <f>SUM(DF78:DF79)</f>
        <v>284.59999999999991</v>
      </c>
      <c r="DG83" s="309">
        <f t="shared" si="223"/>
        <v>15.612485599868336</v>
      </c>
      <c r="DH83" s="310">
        <f>IF(DC83&lt;0,"       NM",(DF83/DC83-1)*100)</f>
        <v>1586.7840364188162</v>
      </c>
      <c r="DI83" s="256"/>
      <c r="DJ83" s="289">
        <f>SUM(DJ78:DJ79)</f>
        <v>308.60000000000008</v>
      </c>
      <c r="DK83" s="309">
        <f t="shared" si="224"/>
        <v>16.597644274727049</v>
      </c>
      <c r="DL83" s="310">
        <f>IF(DG83&lt;0,"       NM",(DJ83/DG83-1)*100)</f>
        <v>1876.6231201686589</v>
      </c>
      <c r="DM83" s="256"/>
      <c r="DN83" s="289">
        <f>SUM(DN78:DN79)</f>
        <v>325.02688602713715</v>
      </c>
      <c r="DO83" s="309">
        <f t="shared" si="225"/>
        <v>16.448089464884148</v>
      </c>
      <c r="DP83" s="310">
        <f>IF(DK83&lt;0,"       NM",(DN83/DK83-1)*100)</f>
        <v>1858.2711898582502</v>
      </c>
      <c r="DQ83" s="256"/>
      <c r="DR83" s="256"/>
      <c r="DS83" s="256"/>
      <c r="DT83" s="256"/>
      <c r="DU83" s="256"/>
      <c r="DV83" s="256"/>
      <c r="DW83" s="256"/>
      <c r="DX83" s="256"/>
      <c r="DY83" s="256"/>
      <c r="DZ83" s="256"/>
      <c r="EA83" s="256"/>
    </row>
    <row r="84" spans="1:131" hidden="1" outlineLevel="1">
      <c r="A84" s="256" t="str">
        <f>$A$16</f>
        <v>9 Mos</v>
      </c>
      <c r="B84" s="256"/>
      <c r="C84" s="256"/>
      <c r="D84" s="289">
        <f>SUM(D78:D80)</f>
        <v>0</v>
      </c>
      <c r="E84" s="256"/>
      <c r="F84" s="289">
        <f>SUM(F78:F80)</f>
        <v>0</v>
      </c>
      <c r="G84" s="309"/>
      <c r="H84" s="256"/>
      <c r="I84" s="256"/>
      <c r="J84" s="289">
        <f>SUM(J78:J80)</f>
        <v>34.098000000000006</v>
      </c>
      <c r="K84" s="309">
        <f t="shared" si="178"/>
        <v>9.944645034093762</v>
      </c>
      <c r="L84" s="256"/>
      <c r="M84" s="256"/>
      <c r="N84" s="289">
        <f>SUM(N78:N80)</f>
        <v>11.164000000000001</v>
      </c>
      <c r="O84" s="309">
        <f t="shared" si="179"/>
        <v>3.3428652703127573</v>
      </c>
      <c r="P84" s="256"/>
      <c r="Q84" s="256"/>
      <c r="R84" s="289">
        <f>SUM(R78:R80)</f>
        <v>7.8349999999999831</v>
      </c>
      <c r="S84" s="309">
        <f t="shared" si="180"/>
        <v>2.1857146045348994</v>
      </c>
      <c r="T84" s="256"/>
      <c r="U84" s="256"/>
      <c r="V84" s="289">
        <f>SUM(V78:V80)</f>
        <v>17.654000000000003</v>
      </c>
      <c r="W84" s="309">
        <f t="shared" si="181"/>
        <v>3.9801152055551183</v>
      </c>
      <c r="X84" s="256"/>
      <c r="Y84" s="256"/>
      <c r="Z84" s="289">
        <f>SUM(Z78:Z80)</f>
        <v>24.193999999999981</v>
      </c>
      <c r="AA84" s="309">
        <f t="shared" si="182"/>
        <v>4.6296154552691169</v>
      </c>
      <c r="AB84" s="310">
        <f t="shared" si="183"/>
        <v>37.045428798005986</v>
      </c>
      <c r="AC84" s="256"/>
      <c r="AD84" s="289">
        <f>SUM(AD78:AD80)</f>
        <v>39.913000000000039</v>
      </c>
      <c r="AE84" s="309">
        <f t="shared" si="184"/>
        <v>6.7138332248367991</v>
      </c>
      <c r="AF84" s="310">
        <f t="shared" si="185"/>
        <v>64.970653881127845</v>
      </c>
      <c r="AG84" s="256"/>
      <c r="AH84" s="289">
        <f>SUM(AH78:AH80)</f>
        <v>53.90000000000002</v>
      </c>
      <c r="AI84" s="309">
        <f t="shared" si="186"/>
        <v>8.293302888654333</v>
      </c>
      <c r="AJ84" s="310">
        <f t="shared" si="187"/>
        <v>35.043720091198274</v>
      </c>
      <c r="AK84" s="256"/>
      <c r="AL84" s="289">
        <f>SUM(AL78:AL80)</f>
        <v>63.759999999999977</v>
      </c>
      <c r="AM84" s="309">
        <f t="shared" si="188"/>
        <v>8.7770376396706649</v>
      </c>
      <c r="AN84" s="310">
        <f t="shared" si="189"/>
        <v>18.29313543599249</v>
      </c>
      <c r="AO84" s="256"/>
      <c r="AP84" s="289">
        <f>SUM(AP78:AP80)</f>
        <v>104.70399999999998</v>
      </c>
      <c r="AQ84" s="309">
        <f t="shared" si="190"/>
        <v>11.607338839310456</v>
      </c>
      <c r="AR84" s="310">
        <f t="shared" si="191"/>
        <v>64.215809284818093</v>
      </c>
      <c r="AS84" s="256"/>
      <c r="AT84" s="289">
        <f>SUM(AT78:AT80)</f>
        <v>176.51899999999998</v>
      </c>
      <c r="AU84" s="309">
        <f t="shared" si="192"/>
        <v>16.169704075884084</v>
      </c>
      <c r="AV84" s="310">
        <f t="shared" si="193"/>
        <v>68.588592603911991</v>
      </c>
      <c r="AW84" s="256"/>
      <c r="AX84" s="289">
        <f>SUM(AX78:AX80)</f>
        <v>151.40499999999997</v>
      </c>
      <c r="AY84" s="309">
        <f t="shared" si="194"/>
        <v>14.547318539243792</v>
      </c>
      <c r="AZ84" s="310">
        <f t="shared" si="195"/>
        <v>-14.227363626578448</v>
      </c>
      <c r="BA84" s="256"/>
      <c r="BB84" s="289">
        <f>SUM(BB78:BB80)</f>
        <v>153.50500000000005</v>
      </c>
      <c r="BC84" s="309">
        <f t="shared" si="196"/>
        <v>14.1142472018382</v>
      </c>
      <c r="BD84" s="310">
        <f t="shared" si="197"/>
        <v>1.387008355074193</v>
      </c>
      <c r="BE84" s="256"/>
      <c r="BF84" s="289">
        <f>SUM(BF78:BF80)</f>
        <v>165.941</v>
      </c>
      <c r="BG84" s="309">
        <f t="shared" si="198"/>
        <v>13.082114726790106</v>
      </c>
      <c r="BH84" s="310">
        <f t="shared" si="199"/>
        <v>8.1013647763916055</v>
      </c>
      <c r="BI84" s="256"/>
      <c r="BJ84" s="289">
        <f>SUM(BJ78:BJ80)</f>
        <v>140.8309999999999</v>
      </c>
      <c r="BK84" s="309">
        <f t="shared" si="200"/>
        <v>10.097518550464642</v>
      </c>
      <c r="BL84" s="310">
        <f t="shared" si="201"/>
        <v>-15.131884223910962</v>
      </c>
      <c r="BM84" s="592"/>
      <c r="BN84" s="289">
        <f>SUM(BN78:BN80)</f>
        <v>167.82100000000014</v>
      </c>
      <c r="BO84" s="309">
        <f t="shared" si="202"/>
        <v>10.920819648768447</v>
      </c>
      <c r="BP84" s="310">
        <f t="shared" si="203"/>
        <v>19.164814564975231</v>
      </c>
      <c r="BQ84" s="849"/>
      <c r="BR84" s="289">
        <f>SUM(BR78:BR80)</f>
        <v>191.6169999999999</v>
      </c>
      <c r="BS84" s="309">
        <f t="shared" si="204"/>
        <v>11.962253573531051</v>
      </c>
      <c r="BT84" s="310">
        <f t="shared" si="205"/>
        <v>14.179393520477014</v>
      </c>
      <c r="BU84" s="256"/>
      <c r="BV84" s="289">
        <f>SUM(BV78:BV80)</f>
        <v>255.70899999999995</v>
      </c>
      <c r="BW84" s="309">
        <f t="shared" si="206"/>
        <v>13.561046958709468</v>
      </c>
      <c r="BX84" s="310">
        <f t="shared" si="207"/>
        <v>33.44797173528449</v>
      </c>
      <c r="BY84" s="256"/>
      <c r="BZ84" s="289">
        <f>SUM(BZ78:BZ80)</f>
        <v>303.2240000000001</v>
      </c>
      <c r="CA84" s="309">
        <f t="shared" si="208"/>
        <v>15.076275341004127</v>
      </c>
      <c r="CB84" s="310">
        <f t="shared" si="209"/>
        <v>18.581669006566127</v>
      </c>
      <c r="CC84" s="256"/>
      <c r="CD84" s="289">
        <f>SUM(CD78:CD80)</f>
        <v>179.54500000000007</v>
      </c>
      <c r="CE84" s="309">
        <f t="shared" si="210"/>
        <v>10.388411868172563</v>
      </c>
      <c r="CF84" s="310">
        <f t="shared" si="211"/>
        <v>-40.787998311479299</v>
      </c>
      <c r="CG84" s="256"/>
      <c r="CH84" s="289">
        <f>SUM(CH78:CH80)</f>
        <v>291.57100000000008</v>
      </c>
      <c r="CI84" s="309">
        <f t="shared" si="212"/>
        <v>14.695563423761707</v>
      </c>
      <c r="CJ84" s="310">
        <f t="shared" si="213"/>
        <v>62.394385808571641</v>
      </c>
      <c r="CK84" s="256"/>
      <c r="CL84" s="289">
        <f>SUM(CL78:CL80)</f>
        <v>435.24200000000008</v>
      </c>
      <c r="CM84" s="309">
        <f t="shared" si="214"/>
        <v>17.725210008401561</v>
      </c>
      <c r="CN84" s="310">
        <f t="shared" si="215"/>
        <v>49.274790702779072</v>
      </c>
      <c r="CO84" s="256"/>
      <c r="CP84" s="289">
        <f>SUM(CP78:CP80)</f>
        <v>367.27299999999991</v>
      </c>
      <c r="CQ84" s="309">
        <f t="shared" si="216"/>
        <v>14.355124917920012</v>
      </c>
      <c r="CR84" s="310">
        <f t="shared" si="217"/>
        <v>-15.616369743728809</v>
      </c>
      <c r="CS84" s="256"/>
      <c r="CT84" s="289">
        <f>SUM(CT78:CT80)</f>
        <v>439.73400000000015</v>
      </c>
      <c r="CU84" s="309">
        <f t="shared" si="218"/>
        <v>16.090698122031029</v>
      </c>
      <c r="CV84" s="310">
        <f t="shared" si="219"/>
        <v>19.729465547426649</v>
      </c>
      <c r="CW84" s="256"/>
      <c r="CX84" s="289">
        <f>SUM(CX78:CX80)</f>
        <v>539.00300000000004</v>
      </c>
      <c r="CY84" s="309">
        <f t="shared" si="220"/>
        <v>18.180993310848397</v>
      </c>
      <c r="CZ84" s="310">
        <f t="shared" si="221"/>
        <v>22.574783846598145</v>
      </c>
      <c r="DA84" s="256"/>
      <c r="DB84" s="289">
        <f>SUM(DB78:DB80)</f>
        <v>470.7</v>
      </c>
      <c r="DC84" s="309">
        <f t="shared" si="222"/>
        <v>16.281000311300193</v>
      </c>
      <c r="DD84" s="310">
        <f>IF(CY84&lt;0,"       NM",(DB84/CY84-1)*100)</f>
        <v>2488.9674560252906</v>
      </c>
      <c r="DE84" s="256"/>
      <c r="DF84" s="289">
        <f>SUM(DF78:DF80)</f>
        <v>430.09999999999991</v>
      </c>
      <c r="DG84" s="309">
        <f t="shared" si="223"/>
        <v>15.514753625279559</v>
      </c>
      <c r="DH84" s="310">
        <f>IF(DC84&lt;0,"       NM",(DF84/DC84-1)*100)</f>
        <v>2541.7295729764182</v>
      </c>
      <c r="DI84" s="256"/>
      <c r="DJ84" s="289">
        <f>SUM(DJ78:DJ80)</f>
        <v>459.00000000000011</v>
      </c>
      <c r="DK84" s="309">
        <f t="shared" si="224"/>
        <v>16.187621230823492</v>
      </c>
      <c r="DL84" s="310">
        <f>IF(DG84&lt;0,"       NM",(DJ84/DG84-1)*100)</f>
        <v>2858.4743083003964</v>
      </c>
      <c r="DM84" s="256"/>
      <c r="DN84" s="289">
        <f>SUM(DN78:DN80)</f>
        <v>467.56733510316059</v>
      </c>
      <c r="DO84" s="309">
        <f t="shared" si="225"/>
        <v>15.585584122385487</v>
      </c>
      <c r="DP84" s="310">
        <f>IF(DK84&lt;0,"       NM",(DN84/DK84-1)*100)</f>
        <v>2788.4252258932711</v>
      </c>
      <c r="DQ84" s="256"/>
      <c r="DR84" s="256"/>
      <c r="DS84" s="256"/>
      <c r="DT84" s="256"/>
      <c r="DU84" s="256"/>
      <c r="DV84" s="256"/>
      <c r="DW84" s="256"/>
      <c r="DX84" s="256"/>
      <c r="DY84" s="256"/>
      <c r="DZ84" s="256"/>
      <c r="EA84" s="256"/>
    </row>
    <row r="85" spans="1:131" collapsed="1">
      <c r="A85" s="256"/>
      <c r="B85" s="256"/>
      <c r="C85" s="256"/>
      <c r="D85" s="256"/>
      <c r="E85" s="256"/>
      <c r="F85" s="256"/>
      <c r="G85" s="256"/>
      <c r="H85" s="256"/>
      <c r="I85" s="256"/>
      <c r="J85" s="256"/>
      <c r="K85" s="256"/>
      <c r="L85" s="256"/>
      <c r="M85" s="256"/>
      <c r="N85" s="256"/>
      <c r="O85" s="256"/>
      <c r="P85" s="256"/>
      <c r="Q85" s="256"/>
      <c r="R85" s="256"/>
      <c r="S85" s="256"/>
      <c r="T85" s="256"/>
      <c r="U85" s="256"/>
      <c r="V85" s="256"/>
      <c r="W85" s="256"/>
      <c r="X85" s="256"/>
      <c r="Y85" s="256"/>
      <c r="Z85" s="256"/>
      <c r="AA85" s="256"/>
      <c r="AB85" s="256"/>
      <c r="AC85" s="256"/>
      <c r="AD85" s="256"/>
      <c r="AE85" s="256"/>
      <c r="AF85" s="256"/>
      <c r="AG85" s="256"/>
      <c r="AH85" s="256"/>
      <c r="AI85" s="256"/>
      <c r="AJ85" s="256"/>
      <c r="AK85" s="256"/>
      <c r="AL85" s="256"/>
      <c r="AM85" s="256"/>
      <c r="AN85" s="256"/>
      <c r="AO85" s="256"/>
      <c r="AP85" s="256"/>
      <c r="AQ85" s="256"/>
      <c r="AR85" s="256"/>
      <c r="AS85" s="256"/>
      <c r="AT85" s="256"/>
      <c r="AU85" s="256"/>
      <c r="AV85" s="256"/>
      <c r="AW85" s="256"/>
      <c r="AX85" s="256"/>
      <c r="AY85" s="256"/>
      <c r="AZ85" s="256"/>
      <c r="BA85" s="256"/>
      <c r="BB85" s="256"/>
      <c r="BC85" s="256"/>
      <c r="BD85" s="256"/>
      <c r="BE85" s="256"/>
      <c r="BF85" s="256"/>
      <c r="BG85" s="256"/>
      <c r="BH85" s="256"/>
      <c r="BI85" s="256"/>
      <c r="BJ85" s="256"/>
      <c r="BK85" s="256"/>
      <c r="BL85" s="256"/>
      <c r="BM85" s="587"/>
      <c r="BN85" s="256"/>
      <c r="BO85" s="256"/>
      <c r="BP85" s="256"/>
      <c r="BQ85" s="599"/>
      <c r="BR85" s="256"/>
      <c r="BS85" s="256"/>
      <c r="BT85" s="256"/>
      <c r="BU85" s="256"/>
      <c r="BV85" s="256"/>
      <c r="BW85" s="256"/>
      <c r="BX85" s="256"/>
      <c r="BY85" s="256"/>
      <c r="BZ85" s="256"/>
      <c r="CA85" s="256"/>
      <c r="CB85" s="256"/>
      <c r="CC85" s="256"/>
      <c r="CD85" s="256"/>
      <c r="CE85" s="256"/>
      <c r="CF85" s="256"/>
      <c r="CG85" s="256"/>
      <c r="CH85" s="256"/>
      <c r="CI85" s="256"/>
      <c r="CJ85" s="256"/>
      <c r="CK85" s="256"/>
      <c r="CL85" s="256"/>
      <c r="CM85" s="256"/>
      <c r="CN85" s="256"/>
      <c r="CO85" s="256"/>
      <c r="CP85" s="256"/>
      <c r="CQ85" s="256"/>
      <c r="CR85" s="256"/>
      <c r="CS85" s="256"/>
      <c r="CT85" s="256"/>
      <c r="CU85" s="256"/>
      <c r="CV85" s="256"/>
      <c r="CW85" s="256"/>
      <c r="CX85" s="256"/>
      <c r="CY85" s="256"/>
      <c r="CZ85" s="256"/>
      <c r="DA85" s="256"/>
      <c r="DB85" s="256"/>
      <c r="DC85" s="256"/>
      <c r="DD85" s="256"/>
      <c r="DE85" s="256"/>
      <c r="DF85" s="256"/>
      <c r="DG85" s="256"/>
      <c r="DH85" s="256"/>
      <c r="DI85" s="256"/>
      <c r="DJ85" s="256"/>
      <c r="DK85" s="256"/>
      <c r="DL85" s="256"/>
      <c r="DM85" s="256"/>
      <c r="DN85" s="256"/>
      <c r="DO85" s="256"/>
      <c r="DP85" s="256"/>
      <c r="DQ85" s="256"/>
      <c r="DR85" s="256"/>
      <c r="DS85" s="256"/>
      <c r="DT85" s="256"/>
      <c r="DU85" s="256"/>
      <c r="DV85" s="256"/>
      <c r="DW85" s="256"/>
      <c r="DX85" s="256"/>
      <c r="DY85" s="256"/>
      <c r="DZ85" s="256"/>
      <c r="EA85" s="256"/>
    </row>
    <row r="86" spans="1:131" ht="12.75" customHeight="1" collapsed="1">
      <c r="A86" s="256"/>
      <c r="B86" s="256"/>
      <c r="C86" s="268"/>
      <c r="D86" s="268"/>
      <c r="E86" s="268" t="str">
        <f>Z86</f>
        <v>9.  Extraordinary items   (% Change)</v>
      </c>
      <c r="F86" s="268"/>
      <c r="G86" s="256"/>
      <c r="H86" s="256"/>
      <c r="I86" s="256"/>
      <c r="J86" s="268"/>
      <c r="K86" s="256"/>
      <c r="L86" s="256"/>
      <c r="M86" s="256"/>
      <c r="N86" s="268"/>
      <c r="O86" s="256"/>
      <c r="P86" s="256"/>
      <c r="Q86" s="256"/>
      <c r="R86" s="268"/>
      <c r="S86" s="256"/>
      <c r="T86" s="256"/>
      <c r="U86" s="256"/>
      <c r="V86" s="268"/>
      <c r="W86" s="256"/>
      <c r="X86" s="256"/>
      <c r="Y86" s="256"/>
      <c r="Z86" s="271" t="s">
        <v>1966</v>
      </c>
      <c r="AA86" s="312"/>
      <c r="AB86" s="312"/>
      <c r="AC86" s="312"/>
      <c r="AD86" s="311"/>
      <c r="AE86" s="312"/>
      <c r="AF86" s="312"/>
      <c r="AG86" s="312"/>
      <c r="AH86" s="311"/>
      <c r="AI86" s="312"/>
      <c r="AJ86" s="312"/>
      <c r="AK86" s="312"/>
      <c r="AL86" s="311"/>
      <c r="AM86" s="312"/>
      <c r="AN86" s="312"/>
      <c r="AO86" s="312"/>
      <c r="AP86" s="881"/>
      <c r="AQ86" s="881"/>
      <c r="AR86" s="881"/>
      <c r="AS86" s="881"/>
      <c r="AT86" s="881"/>
      <c r="AU86" s="881"/>
      <c r="AV86" s="881"/>
      <c r="AW86" s="881"/>
      <c r="AX86" s="881"/>
      <c r="AY86" s="881"/>
      <c r="AZ86" s="881"/>
      <c r="BA86" s="881"/>
      <c r="BB86" s="311"/>
      <c r="BC86" s="311"/>
      <c r="BD86" s="311"/>
      <c r="BE86" s="311"/>
      <c r="BF86" s="311"/>
      <c r="BG86" s="311"/>
      <c r="BH86" s="311"/>
      <c r="BI86" s="311"/>
      <c r="BJ86" s="881"/>
      <c r="BK86" s="311"/>
      <c r="BL86" s="271" t="s">
        <v>1966</v>
      </c>
      <c r="BM86" s="311"/>
      <c r="BN86" s="311"/>
      <c r="BO86" s="311"/>
      <c r="BP86" s="311"/>
      <c r="BQ86" s="311"/>
      <c r="BR86" s="311"/>
      <c r="BS86" s="311"/>
      <c r="BT86" s="311"/>
      <c r="BU86" s="311"/>
      <c r="BV86" s="311" t="s">
        <v>1966</v>
      </c>
      <c r="BW86" s="311"/>
      <c r="BX86" s="311"/>
      <c r="BY86" s="311"/>
      <c r="BZ86" s="311"/>
      <c r="CA86" s="311"/>
      <c r="CB86" s="311"/>
      <c r="CC86" s="311"/>
      <c r="CE86" s="311"/>
      <c r="CF86" s="311"/>
      <c r="CG86" s="311"/>
      <c r="CH86" s="311"/>
      <c r="CI86" s="311"/>
      <c r="CJ86" s="311"/>
      <c r="CK86" s="311"/>
      <c r="CL86" s="311"/>
      <c r="CM86" s="311"/>
      <c r="CN86" s="311"/>
      <c r="CO86" s="311"/>
      <c r="CP86" s="311"/>
      <c r="CR86" s="311"/>
      <c r="CS86" s="256"/>
      <c r="CT86" s="311"/>
      <c r="CU86" s="311"/>
      <c r="CV86" s="311"/>
      <c r="CW86" s="256"/>
      <c r="CX86" s="311"/>
      <c r="CY86" s="311"/>
      <c r="CZ86" s="311"/>
      <c r="DA86" s="256"/>
      <c r="DB86" s="311" t="s">
        <v>1966</v>
      </c>
      <c r="DC86" s="311"/>
      <c r="DD86" s="311"/>
      <c r="DE86" s="256"/>
      <c r="DF86" s="311"/>
      <c r="DG86" s="311"/>
      <c r="DH86" s="311"/>
      <c r="DI86" s="256"/>
      <c r="DJ86" s="311"/>
      <c r="DK86" s="311"/>
      <c r="DL86" s="311"/>
      <c r="DM86" s="256"/>
      <c r="DN86" s="311"/>
      <c r="DO86" s="311"/>
      <c r="DP86" s="311"/>
      <c r="DQ86" s="256"/>
      <c r="DR86" s="256"/>
      <c r="DS86" s="256"/>
      <c r="DT86" s="256"/>
      <c r="DU86" s="256"/>
      <c r="DV86" s="256"/>
      <c r="DW86" s="256"/>
      <c r="DX86" s="256"/>
      <c r="DY86" s="256"/>
      <c r="DZ86" s="256"/>
      <c r="EA86" s="256"/>
    </row>
    <row r="87" spans="1:131">
      <c r="A87" s="256"/>
      <c r="B87" s="256"/>
      <c r="C87" s="256"/>
      <c r="D87" s="256"/>
      <c r="E87" s="256"/>
      <c r="F87" s="256"/>
      <c r="G87" s="256"/>
      <c r="H87" s="256"/>
      <c r="I87" s="256"/>
      <c r="J87" s="256"/>
      <c r="K87" s="256"/>
      <c r="L87" s="256"/>
      <c r="M87" s="256"/>
      <c r="N87" s="256"/>
      <c r="O87" s="256"/>
      <c r="P87" s="256"/>
      <c r="Q87" s="256"/>
      <c r="R87" s="256"/>
      <c r="S87" s="256"/>
      <c r="T87" s="256"/>
      <c r="U87" s="256"/>
      <c r="V87" s="256"/>
      <c r="W87" s="256"/>
      <c r="X87" s="256"/>
      <c r="Y87" s="256"/>
      <c r="Z87" s="256"/>
      <c r="AA87" s="256"/>
      <c r="AB87" s="256"/>
      <c r="AC87" s="256"/>
      <c r="AD87" s="256"/>
      <c r="AE87" s="256"/>
      <c r="AF87" s="256"/>
      <c r="AG87" s="256"/>
      <c r="AH87" s="256"/>
      <c r="AI87" s="256"/>
      <c r="AJ87" s="256"/>
      <c r="AK87" s="256"/>
      <c r="AL87" s="256"/>
      <c r="AM87" s="256"/>
      <c r="AN87" s="256"/>
      <c r="AO87" s="256"/>
      <c r="AP87" s="256"/>
      <c r="AQ87" s="256"/>
      <c r="AR87" s="256"/>
      <c r="AS87" s="256"/>
      <c r="AT87" s="256"/>
      <c r="AU87" s="256"/>
      <c r="AV87" s="256"/>
      <c r="AW87" s="256"/>
      <c r="AX87" s="256"/>
      <c r="AY87" s="256"/>
      <c r="AZ87" s="256"/>
      <c r="BA87" s="256"/>
      <c r="BB87" s="256"/>
      <c r="BC87" s="256"/>
      <c r="BD87" s="256"/>
      <c r="BE87" s="256"/>
      <c r="BF87" s="256"/>
      <c r="BG87" s="256"/>
      <c r="BH87" s="256"/>
      <c r="BI87" s="256"/>
      <c r="BJ87" s="256"/>
      <c r="BK87" s="256"/>
      <c r="BL87" s="256"/>
      <c r="BM87" s="587"/>
      <c r="BN87" s="256"/>
      <c r="BO87" s="256"/>
      <c r="BP87" s="256"/>
      <c r="BQ87" s="599"/>
      <c r="BR87" s="256"/>
      <c r="BS87" s="256"/>
      <c r="BT87" s="256"/>
      <c r="BU87" s="256"/>
      <c r="BV87" s="256"/>
      <c r="BW87" s="256"/>
      <c r="BX87" s="256"/>
      <c r="BY87" s="256"/>
      <c r="BZ87" s="256"/>
      <c r="CA87" s="256"/>
      <c r="CB87" s="256"/>
      <c r="CC87" s="256"/>
      <c r="CD87" s="256"/>
      <c r="CE87" s="256"/>
      <c r="CF87" s="256"/>
      <c r="CG87" s="256"/>
      <c r="CH87" s="256"/>
      <c r="CI87" s="256"/>
      <c r="CJ87" s="256"/>
      <c r="CK87" s="256"/>
      <c r="CL87" s="256"/>
      <c r="CM87" s="256"/>
      <c r="CN87" s="256"/>
      <c r="CO87" s="256"/>
      <c r="CP87" s="256"/>
      <c r="CQ87" s="256"/>
      <c r="CR87" s="256"/>
      <c r="CS87" s="256"/>
      <c r="CT87" s="256"/>
      <c r="CU87" s="256"/>
      <c r="CV87" s="256"/>
      <c r="CW87" s="256"/>
      <c r="CX87" s="256"/>
      <c r="CY87" s="256"/>
      <c r="CZ87" s="256"/>
      <c r="DA87" s="256"/>
      <c r="DB87" s="256"/>
      <c r="DC87" s="256"/>
      <c r="DD87" s="256"/>
      <c r="DE87" s="256"/>
      <c r="DF87" s="256"/>
      <c r="DG87" s="256"/>
      <c r="DH87" s="256"/>
      <c r="DI87" s="256"/>
      <c r="DJ87" s="256"/>
      <c r="DK87" s="256"/>
      <c r="DL87" s="256"/>
      <c r="DM87" s="256"/>
      <c r="DN87" s="256"/>
      <c r="DO87" s="256"/>
      <c r="DP87" s="256"/>
      <c r="DQ87" s="256"/>
      <c r="DR87" s="256"/>
      <c r="DS87" s="256"/>
      <c r="DT87" s="256"/>
      <c r="DU87" s="256"/>
      <c r="DV87" s="256"/>
      <c r="DW87" s="256"/>
      <c r="DX87" s="256"/>
      <c r="DY87" s="256"/>
      <c r="DZ87" s="256"/>
      <c r="EA87" s="256"/>
    </row>
    <row r="88" spans="1:131">
      <c r="A88" s="256" t="str">
        <f>$A$10</f>
        <v>1Q</v>
      </c>
      <c r="B88" s="256" t="str">
        <f>$B$10</f>
        <v>Apr</v>
      </c>
      <c r="C88" s="256"/>
      <c r="D88" s="305"/>
      <c r="E88" s="256"/>
      <c r="F88" s="305"/>
      <c r="G88" s="310"/>
      <c r="H88" s="256"/>
      <c r="I88" s="256"/>
      <c r="J88" s="305">
        <v>-6.335</v>
      </c>
      <c r="K88" s="310"/>
      <c r="L88" s="256"/>
      <c r="M88" s="256"/>
      <c r="N88" s="305"/>
      <c r="O88" s="310"/>
      <c r="P88" s="256"/>
      <c r="Q88" s="256"/>
      <c r="R88" s="305"/>
      <c r="S88" s="310"/>
      <c r="T88" s="256"/>
      <c r="U88" s="256"/>
      <c r="V88" s="305"/>
      <c r="W88" s="310"/>
      <c r="X88" s="256"/>
      <c r="Y88" s="256"/>
      <c r="Z88" s="305"/>
      <c r="AA88" s="310"/>
      <c r="AB88" s="310"/>
      <c r="AC88" s="256"/>
      <c r="AD88" s="305"/>
      <c r="AE88" s="310"/>
      <c r="AF88" s="256"/>
      <c r="AG88" s="256"/>
      <c r="AH88" s="305"/>
      <c r="AI88" s="310"/>
      <c r="AJ88" s="256"/>
      <c r="AK88" s="256"/>
      <c r="AL88" s="305"/>
      <c r="AM88" s="310"/>
      <c r="AN88" s="256"/>
      <c r="AO88" s="256"/>
      <c r="AP88" s="305"/>
      <c r="AQ88" s="310"/>
      <c r="AR88" s="256"/>
      <c r="AS88" s="256"/>
      <c r="AT88" s="305"/>
      <c r="AU88" s="310"/>
      <c r="AV88" s="256"/>
      <c r="AW88" s="256"/>
      <c r="AX88" s="305"/>
      <c r="AY88" s="310"/>
      <c r="AZ88" s="256"/>
      <c r="BA88" s="256"/>
      <c r="BB88" s="305"/>
      <c r="BC88" s="310"/>
      <c r="BD88" s="256"/>
      <c r="BE88" s="256"/>
      <c r="BF88" s="305"/>
      <c r="BG88" s="310"/>
      <c r="BH88" s="256"/>
      <c r="BI88" s="256"/>
      <c r="BJ88" s="305"/>
      <c r="BK88" s="310"/>
      <c r="BL88" s="256"/>
      <c r="BM88" s="587"/>
      <c r="BN88" s="305"/>
      <c r="BO88" s="310"/>
      <c r="BP88" s="256"/>
      <c r="BQ88" s="599"/>
      <c r="BR88" s="305"/>
      <c r="BS88" s="310"/>
      <c r="BT88" s="256"/>
      <c r="BU88" s="256"/>
      <c r="BV88" s="305"/>
      <c r="BW88" s="310"/>
      <c r="BX88" s="256"/>
      <c r="BY88" s="256"/>
      <c r="BZ88" s="305"/>
      <c r="CA88" s="310"/>
      <c r="CB88" s="256"/>
      <c r="CC88" s="256"/>
      <c r="CD88" s="305"/>
      <c r="CE88" s="310"/>
      <c r="CF88" s="256"/>
      <c r="CG88" s="256"/>
      <c r="CH88" s="305"/>
      <c r="CI88" s="310"/>
      <c r="CJ88" s="256"/>
      <c r="CK88" s="256"/>
      <c r="CL88" s="305"/>
      <c r="CM88" s="310"/>
      <c r="CN88" s="256"/>
      <c r="CO88" s="256"/>
      <c r="CP88" s="305"/>
      <c r="CQ88" s="310"/>
      <c r="CR88" s="256"/>
      <c r="CS88" s="256"/>
      <c r="CT88" s="305"/>
      <c r="CU88" s="310"/>
      <c r="CV88" s="256"/>
      <c r="CW88" s="256"/>
      <c r="CX88" s="305"/>
      <c r="CY88" s="310"/>
      <c r="CZ88" s="256"/>
      <c r="DA88" s="256"/>
      <c r="DB88" s="610"/>
      <c r="DC88" s="310"/>
      <c r="DD88" s="256"/>
      <c r="DE88" s="256"/>
      <c r="DF88" s="610"/>
      <c r="DG88" s="310"/>
      <c r="DH88" s="256"/>
      <c r="DI88" s="256"/>
      <c r="DJ88" s="610"/>
      <c r="DK88" s="310"/>
      <c r="DL88" s="256"/>
      <c r="DM88" s="256"/>
      <c r="DN88" s="610"/>
      <c r="DO88" s="310"/>
      <c r="DP88" s="256"/>
      <c r="DQ88" s="256"/>
      <c r="DR88" s="256"/>
      <c r="DS88" s="256"/>
      <c r="DT88" s="256"/>
      <c r="DU88" s="256"/>
      <c r="DV88" s="256"/>
      <c r="DW88" s="256"/>
      <c r="DX88" s="256"/>
      <c r="DY88" s="256"/>
      <c r="DZ88" s="256"/>
      <c r="EA88" s="256"/>
    </row>
    <row r="89" spans="1:131">
      <c r="A89" s="256" t="str">
        <f>$A$11</f>
        <v>2Q</v>
      </c>
      <c r="B89" s="256" t="str">
        <f>$B$11</f>
        <v>Jul</v>
      </c>
      <c r="C89" s="256"/>
      <c r="D89" s="289"/>
      <c r="E89" s="256"/>
      <c r="F89" s="289"/>
      <c r="G89" s="310"/>
      <c r="H89" s="256"/>
      <c r="I89" s="256"/>
      <c r="J89" s="289"/>
      <c r="K89" s="310"/>
      <c r="L89" s="256"/>
      <c r="M89" s="256"/>
      <c r="N89" s="289"/>
      <c r="O89" s="310"/>
      <c r="P89" s="256"/>
      <c r="Q89" s="256"/>
      <c r="R89" s="289">
        <f>+-(115-57.5)*(1-0.43)</f>
        <v>-32.775000000000006</v>
      </c>
      <c r="S89" s="310"/>
      <c r="T89" s="256"/>
      <c r="U89" s="256"/>
      <c r="V89" s="289"/>
      <c r="W89" s="310"/>
      <c r="X89" s="256"/>
      <c r="Y89" s="256"/>
      <c r="Z89" s="289"/>
      <c r="AA89" s="310"/>
      <c r="AB89" s="310"/>
      <c r="AC89" s="256"/>
      <c r="AD89" s="289"/>
      <c r="AE89" s="310"/>
      <c r="AF89" s="256"/>
      <c r="AG89" s="256"/>
      <c r="AH89" s="289"/>
      <c r="AI89" s="310"/>
      <c r="AJ89" s="256"/>
      <c r="AK89" s="256"/>
      <c r="AL89" s="289"/>
      <c r="AM89" s="310"/>
      <c r="AN89" s="256"/>
      <c r="AO89" s="256"/>
      <c r="AP89" s="289"/>
      <c r="AQ89" s="310"/>
      <c r="AR89" s="256"/>
      <c r="AS89" s="256"/>
      <c r="AT89" s="289"/>
      <c r="AU89" s="310"/>
      <c r="AV89" s="256"/>
      <c r="AW89" s="256"/>
      <c r="AX89" s="289"/>
      <c r="AY89" s="310"/>
      <c r="AZ89" s="256"/>
      <c r="BA89" s="256"/>
      <c r="BB89" s="289"/>
      <c r="BC89" s="310"/>
      <c r="BD89" s="256"/>
      <c r="BE89" s="256"/>
      <c r="BF89" s="289"/>
      <c r="BG89" s="310"/>
      <c r="BH89" s="256"/>
      <c r="BI89" s="256"/>
      <c r="BJ89" s="289"/>
      <c r="BK89" s="310"/>
      <c r="BL89" s="256"/>
      <c r="BM89" s="587"/>
      <c r="BN89" s="289"/>
      <c r="BO89" s="310"/>
      <c r="BP89" s="256"/>
      <c r="BQ89" s="599"/>
      <c r="BR89" s="289"/>
      <c r="BS89" s="310"/>
      <c r="BT89" s="256"/>
      <c r="BU89" s="256"/>
      <c r="BV89" s="289"/>
      <c r="BW89" s="310"/>
      <c r="BX89" s="256"/>
      <c r="BY89" s="256"/>
      <c r="BZ89" s="1019"/>
      <c r="CA89" s="310"/>
      <c r="CB89" s="256"/>
      <c r="CC89" s="256"/>
      <c r="CD89" s="289">
        <f>2.676+5.662</f>
        <v>8.338000000000001</v>
      </c>
      <c r="CE89" s="310"/>
      <c r="CF89" s="256"/>
      <c r="CG89" s="256"/>
      <c r="CH89" s="289"/>
      <c r="CI89" s="310"/>
      <c r="CJ89" s="256"/>
      <c r="CK89" s="256"/>
      <c r="CL89" s="289"/>
      <c r="CM89" s="310"/>
      <c r="CN89" s="256"/>
      <c r="CO89" s="256"/>
      <c r="CP89" s="289"/>
      <c r="CQ89" s="310"/>
      <c r="CR89" s="256"/>
      <c r="CS89" s="256"/>
      <c r="CT89" s="289"/>
      <c r="CU89" s="310"/>
      <c r="CV89" s="256"/>
      <c r="CW89" s="256"/>
      <c r="CX89" s="289"/>
      <c r="CY89" s="310"/>
      <c r="CZ89" s="256"/>
      <c r="DA89" s="256"/>
      <c r="DB89" s="289"/>
      <c r="DC89" s="310"/>
      <c r="DD89" s="256"/>
      <c r="DE89" s="256"/>
      <c r="DF89" s="289"/>
      <c r="DG89" s="310"/>
      <c r="DH89" s="256"/>
      <c r="DI89" s="256"/>
      <c r="DJ89" s="289"/>
      <c r="DK89" s="310"/>
      <c r="DL89" s="256"/>
      <c r="DM89" s="256"/>
      <c r="DN89" s="289"/>
      <c r="DO89" s="310"/>
      <c r="DP89" s="256"/>
      <c r="DQ89" s="256"/>
      <c r="DR89" s="256"/>
      <c r="DS89" s="256"/>
      <c r="DT89" s="256"/>
      <c r="DU89" s="256"/>
      <c r="DV89" s="256"/>
      <c r="DW89" s="256"/>
      <c r="DX89" s="256"/>
      <c r="DY89" s="256"/>
      <c r="DZ89" s="256"/>
      <c r="EA89" s="256"/>
    </row>
    <row r="90" spans="1:131">
      <c r="A90" s="256" t="str">
        <f>$A$12</f>
        <v>3Q</v>
      </c>
      <c r="B90" s="256" t="str">
        <f>$B$12</f>
        <v>Oct</v>
      </c>
      <c r="C90" s="256"/>
      <c r="D90" s="289"/>
      <c r="E90" s="256"/>
      <c r="F90" s="289"/>
      <c r="G90" s="310"/>
      <c r="H90" s="256"/>
      <c r="I90" s="256"/>
      <c r="J90" s="289"/>
      <c r="K90" s="310"/>
      <c r="L90" s="256"/>
      <c r="M90" s="256"/>
      <c r="N90" s="289"/>
      <c r="O90" s="310"/>
      <c r="P90" s="256"/>
      <c r="Q90" s="256"/>
      <c r="R90" s="289"/>
      <c r="S90" s="310"/>
      <c r="T90" s="256"/>
      <c r="U90" s="256"/>
      <c r="V90" s="289"/>
      <c r="W90" s="310"/>
      <c r="X90" s="256"/>
      <c r="Y90" s="256"/>
      <c r="Z90" s="289"/>
      <c r="AA90" s="310"/>
      <c r="AB90" s="310"/>
      <c r="AC90" s="256"/>
      <c r="AD90" s="289"/>
      <c r="AE90" s="310"/>
      <c r="AF90" s="256"/>
      <c r="AG90" s="256"/>
      <c r="AH90" s="289"/>
      <c r="AI90" s="310"/>
      <c r="AJ90" s="256"/>
      <c r="AK90" s="256"/>
      <c r="AL90" s="289"/>
      <c r="AM90" s="310"/>
      <c r="AN90" s="256"/>
      <c r="AO90" s="256"/>
      <c r="AP90" s="289"/>
      <c r="AQ90" s="310"/>
      <c r="AR90" s="256"/>
      <c r="AS90" s="256"/>
      <c r="AT90" s="289"/>
      <c r="AU90" s="310"/>
      <c r="AV90" s="256"/>
      <c r="AW90" s="256"/>
      <c r="AX90" s="289"/>
      <c r="AY90" s="310"/>
      <c r="AZ90" s="256"/>
      <c r="BA90" s="256"/>
      <c r="BB90" s="616">
        <v>8.0150000000000006</v>
      </c>
      <c r="BC90" s="310"/>
      <c r="BD90" s="256"/>
      <c r="BE90" s="256"/>
      <c r="BF90" s="289"/>
      <c r="BG90" s="310"/>
      <c r="BH90" s="256"/>
      <c r="BI90" s="256"/>
      <c r="BJ90" s="289"/>
      <c r="BK90" s="310"/>
      <c r="BL90" s="256"/>
      <c r="BM90" s="587"/>
      <c r="BN90" s="289"/>
      <c r="BO90" s="310"/>
      <c r="BP90" s="256"/>
      <c r="BQ90" s="599"/>
      <c r="BR90" s="289"/>
      <c r="BS90" s="310"/>
      <c r="BT90" s="256"/>
      <c r="BU90" s="256"/>
      <c r="BV90" s="314">
        <f>105.051-10</f>
        <v>95.051000000000002</v>
      </c>
      <c r="BW90" s="1024"/>
      <c r="BX90" s="256"/>
      <c r="BY90" s="256"/>
      <c r="BZ90" s="314"/>
      <c r="CA90" s="310"/>
      <c r="CB90" s="256"/>
      <c r="CC90" s="256"/>
      <c r="CD90" s="314">
        <f>-3.44+5.558+0.03</f>
        <v>2.1479999999999997</v>
      </c>
      <c r="CE90" s="310"/>
      <c r="CF90" s="256"/>
      <c r="CG90" s="256"/>
      <c r="CH90" s="314"/>
      <c r="CI90" s="310"/>
      <c r="CJ90" s="256"/>
      <c r="CK90" s="256"/>
      <c r="CL90" s="314"/>
      <c r="CM90" s="310"/>
      <c r="CN90" s="256"/>
      <c r="CO90" s="256"/>
      <c r="CP90" s="314"/>
      <c r="CQ90" s="310"/>
      <c r="CR90" s="256"/>
      <c r="CS90" s="256"/>
      <c r="CT90" s="314"/>
      <c r="CU90" s="310"/>
      <c r="CV90" s="256"/>
      <c r="CW90" s="256"/>
      <c r="CX90" s="2043">
        <v>60.956000000000003</v>
      </c>
      <c r="CY90" s="310"/>
      <c r="CZ90" s="256"/>
      <c r="DA90" s="256"/>
      <c r="DB90" s="314"/>
      <c r="DC90" s="310"/>
      <c r="DD90" s="256"/>
      <c r="DE90" s="256"/>
      <c r="DF90" s="314"/>
      <c r="DG90" s="310"/>
      <c r="DH90" s="256"/>
      <c r="DI90" s="256"/>
      <c r="DJ90" s="314"/>
      <c r="DK90" s="310"/>
      <c r="DL90" s="256"/>
      <c r="DM90" s="256"/>
      <c r="DN90" s="314"/>
      <c r="DO90" s="310"/>
      <c r="DP90" s="256"/>
      <c r="DQ90" s="256"/>
      <c r="DR90" s="256"/>
      <c r="DS90" s="256"/>
      <c r="DT90" s="256"/>
      <c r="DU90" s="256"/>
      <c r="DV90" s="256"/>
      <c r="DW90" s="256"/>
      <c r="DX90" s="256"/>
      <c r="DY90" s="256"/>
      <c r="DZ90" s="256"/>
      <c r="EA90" s="256"/>
    </row>
    <row r="91" spans="1:131">
      <c r="A91" s="256" t="str">
        <f>$A$13</f>
        <v>4Q</v>
      </c>
      <c r="B91" s="256" t="str">
        <f>$B$13</f>
        <v>Jan</v>
      </c>
      <c r="C91" s="587"/>
      <c r="D91" s="313"/>
      <c r="E91" s="587"/>
      <c r="F91" s="313"/>
      <c r="G91" s="310"/>
      <c r="H91" s="256"/>
      <c r="I91" s="256"/>
      <c r="J91" s="313"/>
      <c r="K91" s="310"/>
      <c r="L91" s="256"/>
      <c r="M91" s="256"/>
      <c r="N91" s="313"/>
      <c r="O91" s="310"/>
      <c r="P91" s="256"/>
      <c r="Q91" s="256"/>
      <c r="R91" s="313"/>
      <c r="S91" s="310"/>
      <c r="T91" s="256"/>
      <c r="U91" s="256"/>
      <c r="V91" s="313"/>
      <c r="W91" s="310"/>
      <c r="X91" s="256"/>
      <c r="Y91" s="256"/>
      <c r="Z91" s="313"/>
      <c r="AA91" s="310"/>
      <c r="AB91" s="310"/>
      <c r="AC91" s="256"/>
      <c r="AD91" s="313"/>
      <c r="AE91" s="310"/>
      <c r="AF91" s="256"/>
      <c r="AG91" s="256"/>
      <c r="AH91" s="313"/>
      <c r="AI91" s="310"/>
      <c r="AJ91" s="256"/>
      <c r="AK91" s="256"/>
      <c r="AL91" s="313"/>
      <c r="AM91" s="310"/>
      <c r="AN91" s="256"/>
      <c r="AO91" s="256"/>
      <c r="AP91" s="313"/>
      <c r="AQ91" s="310"/>
      <c r="AR91" s="256"/>
      <c r="AS91" s="256"/>
      <c r="AT91" s="313"/>
      <c r="AU91" s="310"/>
      <c r="AV91" s="256"/>
      <c r="AW91" s="256"/>
      <c r="AX91" s="313"/>
      <c r="AY91" s="310"/>
      <c r="AZ91" s="256"/>
      <c r="BA91" s="256"/>
      <c r="BB91" s="313"/>
      <c r="BC91" s="310"/>
      <c r="BD91" s="256"/>
      <c r="BE91" s="256"/>
      <c r="BF91" s="313"/>
      <c r="BG91" s="310"/>
      <c r="BH91" s="256"/>
      <c r="BI91" s="256"/>
      <c r="BJ91" s="905">
        <v>193.59700000000001</v>
      </c>
      <c r="BK91" s="310"/>
      <c r="BL91" s="256"/>
      <c r="BM91" s="587"/>
      <c r="BN91" s="313"/>
      <c r="BO91" s="310"/>
      <c r="BP91" s="256"/>
      <c r="BQ91" s="599"/>
      <c r="BR91" s="313"/>
      <c r="BS91" s="310"/>
      <c r="BT91" s="256"/>
      <c r="BU91" s="256"/>
      <c r="BV91" s="1029">
        <f>-(19.212+15.532+47.981)</f>
        <v>-82.724999999999994</v>
      </c>
      <c r="BW91" s="1049"/>
      <c r="BX91" s="256"/>
      <c r="BY91" s="256"/>
      <c r="BZ91" s="1029">
        <v>-97.838999999999999</v>
      </c>
      <c r="CA91" s="1173"/>
      <c r="CB91" s="256"/>
      <c r="CC91" s="256"/>
      <c r="CD91" s="313"/>
      <c r="CE91" s="310"/>
      <c r="CF91" s="256"/>
      <c r="CG91" s="256"/>
      <c r="CH91" s="313"/>
      <c r="CI91" s="310"/>
      <c r="CJ91" s="256"/>
      <c r="CK91" s="256"/>
      <c r="CL91" s="313"/>
      <c r="CM91" s="310"/>
      <c r="CN91" s="256"/>
      <c r="CO91" s="256"/>
      <c r="CP91" s="313"/>
      <c r="CQ91" s="310"/>
      <c r="CR91" s="256"/>
      <c r="CS91" s="256"/>
      <c r="CT91" s="313"/>
      <c r="CU91" s="310"/>
      <c r="CV91" s="256"/>
      <c r="CW91" s="256"/>
      <c r="CX91" s="313"/>
      <c r="CY91" s="310"/>
      <c r="CZ91" s="256"/>
      <c r="DA91" s="256"/>
      <c r="DB91" s="313"/>
      <c r="DC91" s="310"/>
      <c r="DD91" s="256"/>
      <c r="DE91" s="256"/>
      <c r="DF91" s="313"/>
      <c r="DG91" s="310"/>
      <c r="DH91" s="256"/>
      <c r="DI91" s="256"/>
      <c r="DJ91" s="313"/>
      <c r="DK91" s="310"/>
      <c r="DL91" s="256"/>
      <c r="DM91" s="256"/>
      <c r="DN91" s="313"/>
      <c r="DO91" s="310"/>
      <c r="DP91" s="256"/>
      <c r="DQ91" s="256"/>
      <c r="DR91" s="256"/>
      <c r="DS91" s="256"/>
      <c r="DT91" s="256"/>
      <c r="DU91" s="256"/>
      <c r="DV91" s="256"/>
      <c r="DW91" s="256"/>
      <c r="DX91" s="256"/>
      <c r="DY91" s="256"/>
      <c r="DZ91" s="256"/>
      <c r="EA91" s="256"/>
    </row>
    <row r="92" spans="1:131">
      <c r="A92" s="256"/>
      <c r="B92" s="256" t="str">
        <f>$B$14</f>
        <v>Year</v>
      </c>
      <c r="C92" s="256"/>
      <c r="D92" s="305"/>
      <c r="E92" s="256"/>
      <c r="F92" s="305">
        <f>SUM(F88:F91)</f>
        <v>0</v>
      </c>
      <c r="G92" s="310"/>
      <c r="H92" s="256"/>
      <c r="I92" s="256"/>
      <c r="J92" s="305">
        <f>SUM(J88:J91)</f>
        <v>-6.335</v>
      </c>
      <c r="K92" s="310"/>
      <c r="L92" s="256"/>
      <c r="M92" s="256"/>
      <c r="N92" s="305">
        <f>SUM(N88:N91)</f>
        <v>0</v>
      </c>
      <c r="O92" s="310"/>
      <c r="P92" s="256"/>
      <c r="Q92" s="256"/>
      <c r="R92" s="305">
        <f>SUM(R88:R91)</f>
        <v>-32.775000000000006</v>
      </c>
      <c r="S92" s="310"/>
      <c r="T92" s="256"/>
      <c r="U92" s="256"/>
      <c r="V92" s="305">
        <f>SUM(V88:V91)</f>
        <v>0</v>
      </c>
      <c r="W92" s="310"/>
      <c r="X92" s="256"/>
      <c r="Y92" s="256"/>
      <c r="Z92" s="305">
        <f>SUM(Z88:Z91)</f>
        <v>0</v>
      </c>
      <c r="AA92" s="310"/>
      <c r="AB92" s="310"/>
      <c r="AC92" s="256"/>
      <c r="AD92" s="305">
        <f>SUM(AD88:AD91)</f>
        <v>0</v>
      </c>
      <c r="AE92" s="310"/>
      <c r="AF92" s="256"/>
      <c r="AG92" s="256"/>
      <c r="AH92" s="305">
        <f>SUM(AH88:AH91)</f>
        <v>0</v>
      </c>
      <c r="AI92" s="310"/>
      <c r="AJ92" s="256"/>
      <c r="AK92" s="256"/>
      <c r="AL92" s="305">
        <f>SUM(AL88:AL91)</f>
        <v>0</v>
      </c>
      <c r="AM92" s="310"/>
      <c r="AN92" s="256"/>
      <c r="AO92" s="256"/>
      <c r="AP92" s="305">
        <f>SUM(AP88:AP91)</f>
        <v>0</v>
      </c>
      <c r="AQ92" s="310"/>
      <c r="AR92" s="256"/>
      <c r="AS92" s="256"/>
      <c r="AT92" s="305">
        <f>SUM(AT88:AT91)</f>
        <v>0</v>
      </c>
      <c r="AU92" s="310"/>
      <c r="AV92" s="256"/>
      <c r="AW92" s="256"/>
      <c r="AX92" s="305">
        <f>SUM(AX88:AX91)</f>
        <v>0</v>
      </c>
      <c r="AY92" s="310"/>
      <c r="AZ92" s="256"/>
      <c r="BA92" s="256"/>
      <c r="BB92" s="305">
        <f>SUM(BB88:BB91)</f>
        <v>8.0150000000000006</v>
      </c>
      <c r="BC92" s="310"/>
      <c r="BD92" s="256"/>
      <c r="BE92" s="256"/>
      <c r="BF92" s="305">
        <f>SUM(BF88:BF91)</f>
        <v>0</v>
      </c>
      <c r="BG92" s="310"/>
      <c r="BH92" s="256"/>
      <c r="BI92" s="256"/>
      <c r="BJ92" s="305">
        <f>SUM(BJ88:BJ91)</f>
        <v>193.59700000000001</v>
      </c>
      <c r="BK92" s="310"/>
      <c r="BL92" s="256"/>
      <c r="BM92" s="587"/>
      <c r="BN92" s="305">
        <f>SUM(BN88:BN91)</f>
        <v>0</v>
      </c>
      <c r="BO92" s="310"/>
      <c r="BP92" s="256"/>
      <c r="BQ92" s="599"/>
      <c r="BR92" s="305">
        <f>SUM(BR88:BR91)</f>
        <v>0</v>
      </c>
      <c r="BS92" s="310"/>
      <c r="BT92" s="256"/>
      <c r="BU92" s="256"/>
      <c r="BV92" s="305">
        <f>SUM(BV88:BV91)</f>
        <v>12.326000000000008</v>
      </c>
      <c r="BW92" s="1050"/>
      <c r="BX92" s="256"/>
      <c r="BY92" s="256"/>
      <c r="BZ92" s="305">
        <f>SUM(BZ88:BZ91)</f>
        <v>-97.838999999999999</v>
      </c>
      <c r="CA92" s="310"/>
      <c r="CB92" s="256"/>
      <c r="CC92" s="256"/>
      <c r="CD92" s="305">
        <f>SUM(CD88:CD91)</f>
        <v>10.486000000000001</v>
      </c>
      <c r="CE92" s="310"/>
      <c r="CF92" s="256"/>
      <c r="CG92" s="256"/>
      <c r="CH92" s="305">
        <f>SUM(CH88:CH91)</f>
        <v>0</v>
      </c>
      <c r="CI92" s="310"/>
      <c r="CJ92" s="256"/>
      <c r="CK92" s="256"/>
      <c r="CL92" s="305">
        <f>SUM(CL88:CL91)</f>
        <v>0</v>
      </c>
      <c r="CM92" s="310"/>
      <c r="CN92" s="256"/>
      <c r="CO92" s="256"/>
      <c r="CP92" s="305">
        <f>SUM(CP88:CP91)</f>
        <v>0</v>
      </c>
      <c r="CQ92" s="310"/>
      <c r="CR92" s="256"/>
      <c r="CS92" s="256"/>
      <c r="CT92" s="305">
        <f>SUM(CT88:CT91)</f>
        <v>0</v>
      </c>
      <c r="CU92" s="310"/>
      <c r="CV92" s="256"/>
      <c r="CW92" s="256"/>
      <c r="CX92" s="305">
        <f>SUM(CX88:CX91)</f>
        <v>60.956000000000003</v>
      </c>
      <c r="CY92" s="310"/>
      <c r="CZ92" s="256"/>
      <c r="DA92" s="256"/>
      <c r="DB92" s="305">
        <f>SUM(DB88:DB91)</f>
        <v>0</v>
      </c>
      <c r="DC92" s="310"/>
      <c r="DD92" s="256"/>
      <c r="DE92" s="256"/>
      <c r="DF92" s="305">
        <f>SUM(DF88:DF91)</f>
        <v>0</v>
      </c>
      <c r="DG92" s="310"/>
      <c r="DH92" s="256"/>
      <c r="DI92" s="256"/>
      <c r="DJ92" s="305">
        <f>SUM(DJ88:DJ91)</f>
        <v>0</v>
      </c>
      <c r="DK92" s="310"/>
      <c r="DL92" s="256"/>
      <c r="DM92" s="256"/>
      <c r="DN92" s="305">
        <f>SUM(DN88:DN91)</f>
        <v>0</v>
      </c>
      <c r="DO92" s="310"/>
      <c r="DP92" s="256"/>
      <c r="DQ92" s="256"/>
      <c r="DR92" s="256"/>
      <c r="DS92" s="256"/>
      <c r="DT92" s="256"/>
      <c r="DU92" s="256"/>
      <c r="DV92" s="256"/>
      <c r="DW92" s="256"/>
      <c r="DX92" s="256"/>
      <c r="DY92" s="256"/>
      <c r="DZ92" s="256"/>
      <c r="EA92" s="256"/>
    </row>
    <row r="93" spans="1:131" hidden="1" outlineLevel="1">
      <c r="A93" s="256" t="str">
        <f>$A$15</f>
        <v>6 Mos</v>
      </c>
      <c r="B93" s="256"/>
      <c r="C93" s="256"/>
      <c r="D93" s="289"/>
      <c r="E93" s="256"/>
      <c r="F93" s="289">
        <f>SUM(F88:F89)</f>
        <v>0</v>
      </c>
      <c r="G93" s="310"/>
      <c r="H93" s="256"/>
      <c r="I93" s="256"/>
      <c r="J93" s="289">
        <f>SUM(J88:J89)</f>
        <v>-6.335</v>
      </c>
      <c r="K93" s="310"/>
      <c r="L93" s="256"/>
      <c r="M93" s="256"/>
      <c r="N93" s="289">
        <f>SUM(N88:N89)</f>
        <v>0</v>
      </c>
      <c r="O93" s="310"/>
      <c r="P93" s="256"/>
      <c r="Q93" s="256"/>
      <c r="R93" s="289">
        <f>SUM(R88:R89)</f>
        <v>-32.775000000000006</v>
      </c>
      <c r="S93" s="310"/>
      <c r="T93" s="256"/>
      <c r="U93" s="256"/>
      <c r="V93" s="289">
        <f>SUM(V88:V89)</f>
        <v>0</v>
      </c>
      <c r="W93" s="310"/>
      <c r="X93" s="256"/>
      <c r="Y93" s="256"/>
      <c r="Z93" s="289">
        <f>SUM(Z88:Z89)</f>
        <v>0</v>
      </c>
      <c r="AA93" s="310"/>
      <c r="AB93" s="310"/>
      <c r="AC93" s="256"/>
      <c r="AD93" s="289">
        <f>SUM(AD88:AD89)</f>
        <v>0</v>
      </c>
      <c r="AE93" s="310"/>
      <c r="AF93" s="256"/>
      <c r="AG93" s="256"/>
      <c r="AH93" s="289">
        <f>SUM(AH88:AH89)</f>
        <v>0</v>
      </c>
      <c r="AI93" s="310"/>
      <c r="AJ93" s="256"/>
      <c r="AK93" s="256"/>
      <c r="AL93" s="289">
        <f>SUM(AL88:AL89)</f>
        <v>0</v>
      </c>
      <c r="AM93" s="310"/>
      <c r="AN93" s="256"/>
      <c r="AO93" s="256"/>
      <c r="AP93" s="289">
        <f>SUM(AP88:AP89)</f>
        <v>0</v>
      </c>
      <c r="AQ93" s="310"/>
      <c r="AR93" s="256"/>
      <c r="AS93" s="256"/>
      <c r="AT93" s="289">
        <f>SUM(AT88:AT89)</f>
        <v>0</v>
      </c>
      <c r="AU93" s="310"/>
      <c r="AV93" s="256"/>
      <c r="AW93" s="256"/>
      <c r="AX93" s="289">
        <f>SUM(AX88:AX89)</f>
        <v>0</v>
      </c>
      <c r="AY93" s="310"/>
      <c r="AZ93" s="256"/>
      <c r="BA93" s="256"/>
      <c r="BB93" s="289">
        <f>SUM(BB88:BB89)</f>
        <v>0</v>
      </c>
      <c r="BC93" s="310"/>
      <c r="BD93" s="256"/>
      <c r="BE93" s="256"/>
      <c r="BF93" s="289">
        <f>SUM(BF88:BF89)</f>
        <v>0</v>
      </c>
      <c r="BG93" s="310"/>
      <c r="BH93" s="256"/>
      <c r="BI93" s="256"/>
      <c r="BJ93" s="289">
        <f>SUM(BJ88:BJ89)</f>
        <v>0</v>
      </c>
      <c r="BK93" s="310"/>
      <c r="BL93" s="256"/>
      <c r="BM93" s="587"/>
      <c r="BN93" s="289">
        <f>SUM(BN88:BN89)</f>
        <v>0</v>
      </c>
      <c r="BO93" s="310"/>
      <c r="BP93" s="256"/>
      <c r="BQ93" s="599"/>
      <c r="BR93" s="289">
        <f>SUM(BR88:BR89)</f>
        <v>0</v>
      </c>
      <c r="BS93" s="310"/>
      <c r="BT93" s="256"/>
      <c r="BU93" s="256"/>
      <c r="BV93" s="289">
        <f>SUM(BV88:BV89)</f>
        <v>0</v>
      </c>
      <c r="BW93" s="387"/>
      <c r="BX93" s="256"/>
      <c r="BY93" s="256"/>
      <c r="BZ93" s="289">
        <f>SUM(BZ88:BZ89)</f>
        <v>0</v>
      </c>
      <c r="CA93" s="310"/>
      <c r="CB93" s="256"/>
      <c r="CC93" s="256"/>
      <c r="CD93" s="289">
        <f>SUM(CD88:CD89)</f>
        <v>8.338000000000001</v>
      </c>
      <c r="CE93" s="310"/>
      <c r="CF93" s="256"/>
      <c r="CG93" s="256"/>
      <c r="CH93" s="289">
        <f>SUM(CH88:CH89)</f>
        <v>0</v>
      </c>
      <c r="CI93" s="310"/>
      <c r="CJ93" s="256"/>
      <c r="CK93" s="256"/>
      <c r="CL93" s="289">
        <f>SUM(CL88:CL89)</f>
        <v>0</v>
      </c>
      <c r="CM93" s="310"/>
      <c r="CN93" s="256"/>
      <c r="CO93" s="256"/>
      <c r="CP93" s="289">
        <f>SUM(CP88:CP89)</f>
        <v>0</v>
      </c>
      <c r="CQ93" s="310"/>
      <c r="CR93" s="256"/>
      <c r="CS93" s="256"/>
      <c r="CT93" s="289">
        <f>SUM(CT88:CT89)</f>
        <v>0</v>
      </c>
      <c r="CU93" s="310"/>
      <c r="CV93" s="256"/>
      <c r="CW93" s="256"/>
      <c r="CX93" s="289">
        <f>SUM(CX88:CX89)</f>
        <v>0</v>
      </c>
      <c r="CY93" s="310"/>
      <c r="CZ93" s="256"/>
      <c r="DA93" s="256"/>
      <c r="DB93" s="289">
        <f>SUM(DB88:DB89)</f>
        <v>0</v>
      </c>
      <c r="DC93" s="310"/>
      <c r="DD93" s="256"/>
      <c r="DE93" s="256"/>
      <c r="DF93" s="289">
        <f>SUM(DF88:DF89)</f>
        <v>0</v>
      </c>
      <c r="DG93" s="310"/>
      <c r="DH93" s="256"/>
      <c r="DI93" s="256"/>
      <c r="DJ93" s="289">
        <f>SUM(DJ88:DJ89)</f>
        <v>0</v>
      </c>
      <c r="DK93" s="310"/>
      <c r="DL93" s="256"/>
      <c r="DM93" s="256"/>
      <c r="DN93" s="289">
        <f>SUM(DN88:DN89)</f>
        <v>0</v>
      </c>
      <c r="DO93" s="310"/>
      <c r="DP93" s="256"/>
      <c r="DQ93" s="256"/>
      <c r="DR93" s="256"/>
      <c r="DS93" s="256"/>
      <c r="DT93" s="256"/>
      <c r="DU93" s="256"/>
      <c r="DV93" s="256"/>
      <c r="DW93" s="256"/>
      <c r="DX93" s="256"/>
      <c r="DY93" s="256"/>
      <c r="DZ93" s="256"/>
      <c r="EA93" s="256"/>
    </row>
    <row r="94" spans="1:131" hidden="1" outlineLevel="1">
      <c r="A94" s="256" t="str">
        <f>$A$16</f>
        <v>9 Mos</v>
      </c>
      <c r="B94" s="256"/>
      <c r="C94" s="256"/>
      <c r="D94" s="289"/>
      <c r="E94" s="256"/>
      <c r="F94" s="289">
        <f>SUM(F88:F90)</f>
        <v>0</v>
      </c>
      <c r="G94" s="310"/>
      <c r="H94" s="256"/>
      <c r="I94" s="256"/>
      <c r="J94" s="289">
        <f>SUM(J88:J90)</f>
        <v>-6.335</v>
      </c>
      <c r="K94" s="310"/>
      <c r="L94" s="256"/>
      <c r="M94" s="256"/>
      <c r="N94" s="289">
        <f>SUM(N88:N90)</f>
        <v>0</v>
      </c>
      <c r="O94" s="310"/>
      <c r="P94" s="256"/>
      <c r="Q94" s="256"/>
      <c r="R94" s="289">
        <f>SUM(R88:R90)</f>
        <v>-32.775000000000006</v>
      </c>
      <c r="S94" s="310"/>
      <c r="T94" s="256"/>
      <c r="U94" s="256"/>
      <c r="V94" s="289">
        <f>SUM(V88:V90)</f>
        <v>0</v>
      </c>
      <c r="W94" s="310"/>
      <c r="X94" s="256"/>
      <c r="Y94" s="256"/>
      <c r="Z94" s="289">
        <f>SUM(Z88:Z90)</f>
        <v>0</v>
      </c>
      <c r="AA94" s="310"/>
      <c r="AB94" s="310"/>
      <c r="AC94" s="256"/>
      <c r="AD94" s="289">
        <f>SUM(AD88:AD90)</f>
        <v>0</v>
      </c>
      <c r="AE94" s="310"/>
      <c r="AF94" s="256"/>
      <c r="AG94" s="256"/>
      <c r="AH94" s="289">
        <f>SUM(AH88:AH90)</f>
        <v>0</v>
      </c>
      <c r="AI94" s="310"/>
      <c r="AJ94" s="256"/>
      <c r="AK94" s="256"/>
      <c r="AL94" s="289">
        <f>SUM(AL88:AL90)</f>
        <v>0</v>
      </c>
      <c r="AM94" s="310"/>
      <c r="AN94" s="256"/>
      <c r="AO94" s="256"/>
      <c r="AP94" s="289">
        <f>SUM(AP88:AP90)</f>
        <v>0</v>
      </c>
      <c r="AQ94" s="310"/>
      <c r="AR94" s="256"/>
      <c r="AS94" s="256"/>
      <c r="AT94" s="289">
        <f>SUM(AT88:AT90)</f>
        <v>0</v>
      </c>
      <c r="AU94" s="310"/>
      <c r="AV94" s="256"/>
      <c r="AW94" s="256"/>
      <c r="AX94" s="289">
        <f>SUM(AX88:AX90)</f>
        <v>0</v>
      </c>
      <c r="AY94" s="310"/>
      <c r="AZ94" s="256"/>
      <c r="BA94" s="256"/>
      <c r="BB94" s="289">
        <f>SUM(BB88:BB90)</f>
        <v>8.0150000000000006</v>
      </c>
      <c r="BC94" s="310"/>
      <c r="BD94" s="256"/>
      <c r="BE94" s="256"/>
      <c r="BF94" s="289">
        <f>SUM(BF88:BF90)</f>
        <v>0</v>
      </c>
      <c r="BG94" s="310"/>
      <c r="BH94" s="256"/>
      <c r="BI94" s="256"/>
      <c r="BJ94" s="289">
        <f>SUM(BJ88:BJ90)</f>
        <v>0</v>
      </c>
      <c r="BK94" s="310"/>
      <c r="BL94" s="256"/>
      <c r="BM94" s="587"/>
      <c r="BN94" s="289">
        <f>SUM(BN88:BN90)</f>
        <v>0</v>
      </c>
      <c r="BO94" s="310"/>
      <c r="BP94" s="256"/>
      <c r="BQ94" s="599"/>
      <c r="BR94" s="289">
        <f>SUM(BR88:BR90)</f>
        <v>0</v>
      </c>
      <c r="BS94" s="310"/>
      <c r="BT94" s="256"/>
      <c r="BU94" s="256"/>
      <c r="BV94" s="289">
        <f>SUM(BV88:BV90)</f>
        <v>95.051000000000002</v>
      </c>
      <c r="BW94" s="1027"/>
      <c r="BX94" s="256"/>
      <c r="BY94" s="256"/>
      <c r="BZ94" s="289">
        <f>SUM(BZ88:BZ90)</f>
        <v>0</v>
      </c>
      <c r="CA94" s="310"/>
      <c r="CB94" s="256"/>
      <c r="CC94" s="256"/>
      <c r="CD94" s="289">
        <f>SUM(CD88:CD90)</f>
        <v>10.486000000000001</v>
      </c>
      <c r="CE94" s="310"/>
      <c r="CF94" s="256"/>
      <c r="CG94" s="256"/>
      <c r="CH94" s="289">
        <f>SUM(CH88:CH90)</f>
        <v>0</v>
      </c>
      <c r="CI94" s="310"/>
      <c r="CJ94" s="256"/>
      <c r="CK94" s="256"/>
      <c r="CL94" s="289">
        <f>SUM(CL88:CL90)</f>
        <v>0</v>
      </c>
      <c r="CM94" s="310"/>
      <c r="CN94" s="256"/>
      <c r="CO94" s="256"/>
      <c r="CP94" s="289">
        <f>SUM(CP88:CP90)</f>
        <v>0</v>
      </c>
      <c r="CQ94" s="310"/>
      <c r="CR94" s="256"/>
      <c r="CS94" s="256"/>
      <c r="CT94" s="289">
        <f>SUM(CT88:CT90)</f>
        <v>0</v>
      </c>
      <c r="CU94" s="310"/>
      <c r="CV94" s="256"/>
      <c r="CW94" s="256"/>
      <c r="CX94" s="289">
        <f>SUM(CX88:CX90)</f>
        <v>60.956000000000003</v>
      </c>
      <c r="CY94" s="310"/>
      <c r="CZ94" s="256"/>
      <c r="DA94" s="256"/>
      <c r="DB94" s="289">
        <f>SUM(DB88:DB90)</f>
        <v>0</v>
      </c>
      <c r="DC94" s="310"/>
      <c r="DD94" s="256"/>
      <c r="DE94" s="256"/>
      <c r="DF94" s="289">
        <f>SUM(DF88:DF90)</f>
        <v>0</v>
      </c>
      <c r="DG94" s="310"/>
      <c r="DH94" s="256"/>
      <c r="DI94" s="256"/>
      <c r="DJ94" s="289">
        <f>SUM(DJ88:DJ90)</f>
        <v>0</v>
      </c>
      <c r="DK94" s="310"/>
      <c r="DL94" s="256"/>
      <c r="DM94" s="256"/>
      <c r="DN94" s="289">
        <f>SUM(DN88:DN90)</f>
        <v>0</v>
      </c>
      <c r="DO94" s="310"/>
      <c r="DP94" s="256"/>
      <c r="DQ94" s="256"/>
      <c r="DR94" s="256"/>
      <c r="DS94" s="256"/>
      <c r="DT94" s="256"/>
      <c r="DU94" s="256"/>
      <c r="DV94" s="256"/>
      <c r="DW94" s="256"/>
      <c r="DX94" s="256"/>
      <c r="DY94" s="256"/>
      <c r="DZ94" s="256"/>
      <c r="EA94" s="256"/>
    </row>
    <row r="95" spans="1:131" collapsed="1">
      <c r="A95" s="256"/>
      <c r="B95" s="256"/>
      <c r="C95" s="256"/>
      <c r="D95" s="256"/>
      <c r="E95" s="256"/>
      <c r="F95" s="256"/>
      <c r="G95" s="256"/>
      <c r="H95" s="256"/>
      <c r="I95" s="256"/>
      <c r="J95" s="256"/>
      <c r="K95" s="256"/>
      <c r="L95" s="256"/>
      <c r="M95" s="256"/>
      <c r="N95" s="256"/>
      <c r="O95" s="256"/>
      <c r="P95" s="256"/>
      <c r="Q95" s="256"/>
      <c r="R95" s="256"/>
      <c r="S95" s="256"/>
      <c r="T95" s="256"/>
      <c r="U95" s="256"/>
      <c r="V95" s="256"/>
      <c r="W95" s="256"/>
      <c r="X95" s="256"/>
      <c r="Y95" s="256"/>
      <c r="Z95" s="256"/>
      <c r="AA95" s="256"/>
      <c r="AB95" s="256"/>
      <c r="AC95" s="256"/>
      <c r="AD95" s="256"/>
      <c r="AE95" s="256"/>
      <c r="AF95" s="256"/>
      <c r="AG95" s="256"/>
      <c r="AH95" s="256"/>
      <c r="AI95" s="256"/>
      <c r="AJ95" s="256"/>
      <c r="AK95" s="256"/>
      <c r="AL95" s="256"/>
      <c r="AM95" s="256"/>
      <c r="AN95" s="256"/>
      <c r="AO95" s="256"/>
      <c r="AP95" s="256"/>
      <c r="AQ95" s="256"/>
      <c r="AR95" s="256"/>
      <c r="AS95" s="256"/>
      <c r="AT95" s="256"/>
      <c r="AU95" s="256"/>
      <c r="AV95" s="256"/>
      <c r="AW95" s="256"/>
      <c r="AX95" s="256"/>
      <c r="AY95" s="256"/>
      <c r="AZ95" s="256"/>
      <c r="BA95" s="256"/>
      <c r="BB95" s="256"/>
      <c r="BC95" s="256"/>
      <c r="BD95" s="256"/>
      <c r="BE95" s="256"/>
      <c r="BF95" s="256"/>
      <c r="BG95" s="256"/>
      <c r="BH95" s="256"/>
      <c r="BI95" s="256"/>
      <c r="BJ95" s="256"/>
      <c r="BK95" s="256"/>
      <c r="BL95" s="256"/>
      <c r="BM95" s="587"/>
      <c r="BN95" s="256"/>
      <c r="BO95" s="256"/>
      <c r="BP95" s="256"/>
      <c r="BQ95" s="599"/>
      <c r="BR95" s="256"/>
      <c r="BS95" s="256"/>
      <c r="BT95" s="256"/>
      <c r="BU95" s="256"/>
      <c r="BV95" s="256"/>
      <c r="BW95" s="256"/>
      <c r="BX95" s="256"/>
      <c r="BY95" s="256"/>
      <c r="BZ95" s="1017"/>
      <c r="CA95" s="1254"/>
      <c r="CB95" s="256"/>
      <c r="CC95" s="256"/>
      <c r="CD95" s="256"/>
      <c r="CE95" s="256"/>
      <c r="CF95" s="256"/>
      <c r="CG95" s="256"/>
      <c r="CH95" s="256"/>
      <c r="CI95" s="256"/>
      <c r="CJ95" s="256"/>
      <c r="CK95" s="256"/>
      <c r="CL95" s="256"/>
      <c r="CM95" s="256"/>
      <c r="CN95" s="256"/>
      <c r="CO95" s="256"/>
      <c r="CP95" s="256"/>
      <c r="CQ95" s="256"/>
      <c r="CR95" s="256"/>
      <c r="CS95" s="256"/>
      <c r="CT95" s="256"/>
      <c r="CU95" s="256"/>
      <c r="CV95" s="256"/>
      <c r="CW95" s="256"/>
      <c r="CX95" s="256"/>
      <c r="CY95" s="256"/>
      <c r="CZ95" s="256"/>
      <c r="DA95" s="256"/>
      <c r="DB95" s="256"/>
      <c r="DC95" s="256"/>
      <c r="DD95" s="256"/>
      <c r="DE95" s="256"/>
      <c r="DF95" s="256"/>
      <c r="DG95" s="256"/>
      <c r="DH95" s="256"/>
      <c r="DI95" s="256"/>
      <c r="DJ95" s="256"/>
      <c r="DK95" s="256"/>
      <c r="DL95" s="256"/>
      <c r="DM95" s="256"/>
      <c r="DN95" s="256"/>
      <c r="DO95" s="256"/>
      <c r="DP95" s="256"/>
      <c r="DQ95" s="256"/>
      <c r="DR95" s="256"/>
      <c r="DS95" s="256"/>
      <c r="DT95" s="256"/>
      <c r="DU95" s="256"/>
      <c r="DV95" s="256"/>
      <c r="DW95" s="256"/>
      <c r="DX95" s="256"/>
      <c r="DY95" s="256"/>
      <c r="DZ95" s="256"/>
      <c r="EA95" s="256"/>
    </row>
    <row r="96" spans="1:131" ht="12.75" customHeight="1">
      <c r="A96" s="256"/>
      <c r="B96" s="256"/>
      <c r="C96" s="268"/>
      <c r="D96" s="598"/>
      <c r="E96" s="268" t="str">
        <f>Z96</f>
        <v>7.  Income Taxes/(Credit)   (% Tax Rate)</v>
      </c>
      <c r="F96" s="598"/>
      <c r="G96" s="256"/>
      <c r="H96" s="256"/>
      <c r="I96" s="256"/>
      <c r="J96" s="598"/>
      <c r="K96" s="256"/>
      <c r="L96" s="256"/>
      <c r="M96" s="256"/>
      <c r="N96" s="598"/>
      <c r="O96" s="256"/>
      <c r="P96" s="256"/>
      <c r="Q96" s="256"/>
      <c r="R96" s="598"/>
      <c r="S96" s="256"/>
      <c r="T96" s="256"/>
      <c r="U96" s="256"/>
      <c r="V96" s="598"/>
      <c r="W96" s="256"/>
      <c r="X96" s="256"/>
      <c r="Y96" s="256"/>
      <c r="Z96" s="599" t="s">
        <v>1540</v>
      </c>
      <c r="AA96" s="312"/>
      <c r="AB96" s="312"/>
      <c r="AC96" s="312"/>
      <c r="AD96" s="600"/>
      <c r="AE96" s="312"/>
      <c r="AF96" s="312"/>
      <c r="AG96" s="312"/>
      <c r="AH96" s="600"/>
      <c r="AI96" s="312"/>
      <c r="AJ96" s="312"/>
      <c r="AK96" s="312"/>
      <c r="AL96" s="600"/>
      <c r="AM96" s="312"/>
      <c r="AN96" s="312"/>
      <c r="AO96" s="312"/>
      <c r="AP96" s="256"/>
      <c r="AQ96" s="256"/>
      <c r="AR96" s="256"/>
      <c r="AS96" s="256"/>
      <c r="AT96" s="256"/>
      <c r="AU96" s="256"/>
      <c r="AV96" s="256"/>
      <c r="AW96" s="256"/>
      <c r="AX96" s="256"/>
      <c r="AY96" s="256"/>
      <c r="AZ96" s="256"/>
      <c r="BA96" s="256"/>
      <c r="BB96" s="600"/>
      <c r="BC96" s="600"/>
      <c r="BD96" s="600"/>
      <c r="BE96" s="600"/>
      <c r="BF96" s="600"/>
      <c r="BG96" s="600"/>
      <c r="BH96" s="600"/>
      <c r="BI96" s="600"/>
      <c r="BJ96" s="600" t="s">
        <v>1540</v>
      </c>
      <c r="BK96" s="600"/>
      <c r="BL96" s="600"/>
      <c r="BM96" s="600"/>
      <c r="BN96" s="600"/>
      <c r="BO96" s="600"/>
      <c r="BP96" s="600"/>
      <c r="BQ96" s="600"/>
      <c r="BR96" s="600"/>
      <c r="BS96" s="600"/>
      <c r="BT96" s="600"/>
      <c r="BU96" s="600"/>
      <c r="BV96" s="600" t="s">
        <v>1540</v>
      </c>
      <c r="BW96" s="600"/>
      <c r="BX96" s="600"/>
      <c r="BY96" s="600"/>
      <c r="BZ96" s="600"/>
      <c r="CA96" s="1255"/>
      <c r="CB96" s="600"/>
      <c r="CC96" s="600"/>
      <c r="CE96" s="600"/>
      <c r="CF96" s="600"/>
      <c r="CG96" s="600"/>
      <c r="CH96" s="600"/>
      <c r="CI96" s="600"/>
      <c r="CJ96" s="600"/>
      <c r="CK96" s="600"/>
      <c r="CL96" s="600"/>
      <c r="CM96" s="600"/>
      <c r="CN96" s="600"/>
      <c r="CO96" s="600"/>
      <c r="CP96" s="600"/>
      <c r="CR96" s="600"/>
      <c r="CS96" s="880"/>
      <c r="CT96" s="600"/>
      <c r="CU96" s="600"/>
      <c r="CV96" s="600"/>
      <c r="CW96" s="880"/>
      <c r="CX96" s="600"/>
      <c r="CY96" s="600"/>
      <c r="CZ96" s="600"/>
      <c r="DA96" s="880"/>
      <c r="DB96" s="600" t="s">
        <v>1540</v>
      </c>
      <c r="DC96" s="600"/>
      <c r="DD96" s="600"/>
      <c r="DE96" s="880"/>
      <c r="DF96" s="600"/>
      <c r="DG96" s="600"/>
      <c r="DH96" s="600"/>
      <c r="DI96" s="880"/>
      <c r="DJ96" s="600"/>
      <c r="DK96" s="600"/>
      <c r="DL96" s="600"/>
      <c r="DM96" s="880"/>
      <c r="DN96" s="600"/>
      <c r="DO96" s="600"/>
      <c r="DP96" s="600"/>
      <c r="DQ96" s="880"/>
      <c r="DR96" s="880"/>
      <c r="DS96" s="880"/>
      <c r="DT96" s="880"/>
      <c r="DU96" s="880"/>
      <c r="DV96" s="880"/>
      <c r="DW96" s="880"/>
      <c r="DX96" s="880"/>
      <c r="DY96" s="880"/>
      <c r="DZ96" s="880"/>
      <c r="EA96" s="880"/>
    </row>
    <row r="97" spans="1:131">
      <c r="A97" s="256"/>
      <c r="B97" s="256"/>
      <c r="C97" s="256"/>
      <c r="D97" s="256"/>
      <c r="E97" s="256"/>
      <c r="F97" s="256"/>
      <c r="G97" s="256"/>
      <c r="H97" s="256"/>
      <c r="I97" s="256"/>
      <c r="J97" s="256"/>
      <c r="K97" s="256"/>
      <c r="L97" s="256"/>
      <c r="M97" s="256"/>
      <c r="N97" s="256"/>
      <c r="O97" s="256"/>
      <c r="P97" s="256"/>
      <c r="Q97" s="256"/>
      <c r="R97" s="256"/>
      <c r="S97" s="256"/>
      <c r="T97" s="256"/>
      <c r="U97" s="256"/>
      <c r="V97" s="256"/>
      <c r="W97" s="256"/>
      <c r="X97" s="256"/>
      <c r="Y97" s="256"/>
      <c r="Z97" s="256"/>
      <c r="AA97" s="256"/>
      <c r="AB97" s="256"/>
      <c r="AC97" s="256"/>
      <c r="AD97" s="256"/>
      <c r="AE97" s="256"/>
      <c r="AF97" s="256"/>
      <c r="AG97" s="256"/>
      <c r="AH97" s="256"/>
      <c r="AI97" s="256"/>
      <c r="AJ97" s="256"/>
      <c r="AK97" s="256"/>
      <c r="AL97" s="256"/>
      <c r="AM97" s="256"/>
      <c r="AN97" s="256"/>
      <c r="AO97" s="256"/>
      <c r="AP97" s="256"/>
      <c r="AQ97" s="256"/>
      <c r="AR97" s="256"/>
      <c r="AS97" s="256"/>
      <c r="AT97" s="256"/>
      <c r="AU97" s="256"/>
      <c r="AV97" s="256"/>
      <c r="AW97" s="256"/>
      <c r="AX97" s="256"/>
      <c r="AY97" s="256"/>
      <c r="AZ97" s="256"/>
      <c r="BA97" s="256"/>
      <c r="BB97" s="256"/>
      <c r="BC97" s="256"/>
      <c r="BD97" s="256"/>
      <c r="BE97" s="256"/>
      <c r="BF97" s="256"/>
      <c r="BG97" s="256"/>
      <c r="BH97" s="256"/>
      <c r="BI97" s="256"/>
      <c r="BJ97" s="256"/>
      <c r="BK97" s="256"/>
      <c r="BL97" s="256"/>
      <c r="BM97" s="587"/>
      <c r="BN97" s="256"/>
      <c r="BO97" s="256"/>
      <c r="BP97" s="256"/>
      <c r="BQ97" s="599"/>
      <c r="BR97" s="256"/>
      <c r="BS97" s="256"/>
      <c r="BT97" s="256"/>
      <c r="BU97" s="256"/>
      <c r="BV97" s="256"/>
      <c r="BW97" s="256"/>
      <c r="BX97" s="256"/>
      <c r="BY97" s="256"/>
      <c r="BZ97" s="256"/>
      <c r="CA97" s="256"/>
      <c r="CB97" s="256"/>
      <c r="CC97" s="256"/>
      <c r="CD97" s="256"/>
      <c r="CE97" s="256"/>
      <c r="CF97" s="256"/>
      <c r="CG97" s="256"/>
      <c r="CH97" s="256"/>
      <c r="CI97" s="256"/>
      <c r="CJ97" s="256"/>
      <c r="CK97" s="256"/>
      <c r="CL97" s="256"/>
      <c r="CM97" s="256"/>
      <c r="CN97" s="256"/>
      <c r="CO97" s="256"/>
      <c r="CP97" s="256"/>
      <c r="CQ97" s="256"/>
      <c r="CR97" s="256"/>
      <c r="CS97" s="256"/>
      <c r="CT97" s="256"/>
      <c r="CU97" s="256"/>
      <c r="CV97" s="256"/>
      <c r="CW97" s="256"/>
      <c r="CX97" s="256"/>
      <c r="CY97" s="256"/>
      <c r="CZ97" s="256"/>
      <c r="DA97" s="256"/>
      <c r="DB97" s="256"/>
      <c r="DC97" s="256"/>
      <c r="DD97" s="256"/>
      <c r="DE97" s="256"/>
      <c r="DF97" s="256"/>
      <c r="DG97" s="256"/>
      <c r="DH97" s="256"/>
      <c r="DI97" s="256"/>
      <c r="DJ97" s="256"/>
      <c r="DK97" s="256"/>
      <c r="DL97" s="256"/>
      <c r="DM97" s="256"/>
      <c r="DN97" s="256"/>
      <c r="DO97" s="256"/>
      <c r="DP97" s="256"/>
      <c r="DQ97" s="256"/>
      <c r="DR97" s="256"/>
      <c r="DS97" s="256"/>
      <c r="DT97" s="256"/>
      <c r="DU97" s="256"/>
      <c r="DV97" s="256"/>
      <c r="DW97" s="256"/>
      <c r="DX97" s="256"/>
      <c r="DY97" s="256"/>
      <c r="DZ97" s="256"/>
      <c r="EA97" s="256"/>
    </row>
    <row r="98" spans="1:131">
      <c r="A98" s="256" t="str">
        <f>$A$10</f>
        <v>1Q</v>
      </c>
      <c r="B98" s="256" t="str">
        <f>$B$10</f>
        <v>Apr</v>
      </c>
      <c r="C98" s="256"/>
      <c r="D98" s="294"/>
      <c r="E98" s="256"/>
      <c r="F98" s="294"/>
      <c r="G98" s="309"/>
      <c r="H98" s="238"/>
      <c r="I98" s="256"/>
      <c r="J98" s="601">
        <f>8.502-J99</f>
        <v>3.221000000000001</v>
      </c>
      <c r="K98" s="309">
        <f>J98/J78*100</f>
        <v>42.049608355091337</v>
      </c>
      <c r="L98" s="238"/>
      <c r="M98" s="256"/>
      <c r="N98" s="601">
        <f>5.106-N99</f>
        <v>2.266</v>
      </c>
      <c r="O98" s="309">
        <f>N98/N78*100</f>
        <v>42.20525237474375</v>
      </c>
      <c r="P98" s="238"/>
      <c r="Q98" s="256"/>
      <c r="R98" s="294">
        <v>0.79800000000000004</v>
      </c>
      <c r="S98" s="309">
        <f>R98/R78*100</f>
        <v>43.487738419618744</v>
      </c>
      <c r="T98" s="238"/>
      <c r="U98" s="256"/>
      <c r="V98" s="294">
        <v>1.421</v>
      </c>
      <c r="W98" s="309">
        <f>V98/V78*100</f>
        <v>43.099787685775084</v>
      </c>
      <c r="X98" s="238"/>
      <c r="Y98" s="256"/>
      <c r="Z98" s="294">
        <v>1.6359999999999999</v>
      </c>
      <c r="AA98" s="309">
        <f t="shared" ref="AA98:AA104" si="226">Z98/Z78*100</f>
        <v>43.097997892518542</v>
      </c>
      <c r="AB98" s="238"/>
      <c r="AC98" s="256"/>
      <c r="AD98" s="294">
        <v>3.8610000000000002</v>
      </c>
      <c r="AE98" s="309">
        <f t="shared" ref="AE98:AE104" si="227">AD98/AD78*100</f>
        <v>43.197583351980214</v>
      </c>
      <c r="AF98" s="238"/>
      <c r="AG98" s="256"/>
      <c r="AH98" s="294">
        <v>6.6989999999999998</v>
      </c>
      <c r="AI98" s="309">
        <f t="shared" ref="AI98:AI104" si="228">AH98/AH78*100</f>
        <v>43.000192566916958</v>
      </c>
      <c r="AJ98" s="238"/>
      <c r="AK98" s="256"/>
      <c r="AL98" s="294">
        <v>8.2170000000000005</v>
      </c>
      <c r="AM98" s="309">
        <f t="shared" ref="AM98:AM104" si="229">AL98/AL78*100</f>
        <v>42.493664994570011</v>
      </c>
      <c r="AN98" s="238"/>
      <c r="AO98" s="238"/>
      <c r="AP98" s="294">
        <v>11.7</v>
      </c>
      <c r="AQ98" s="309">
        <f t="shared" ref="AQ98:AQ104" si="230">AP98/AP78*100</f>
        <v>42.000215385719933</v>
      </c>
      <c r="AR98" s="256"/>
      <c r="AS98" s="256"/>
      <c r="AT98" s="294">
        <v>20.285</v>
      </c>
      <c r="AU98" s="309">
        <f t="shared" ref="AU98:AU104" si="231">AT98/AT78*100</f>
        <v>40.001971997633618</v>
      </c>
      <c r="AV98" s="256"/>
      <c r="AW98" s="256"/>
      <c r="AX98" s="294">
        <v>20.506</v>
      </c>
      <c r="AY98" s="309">
        <f t="shared" ref="AY98:AY104" si="232">AX98/AX78*100</f>
        <v>39.997659358664272</v>
      </c>
      <c r="AZ98" s="256"/>
      <c r="BA98" s="294"/>
      <c r="BB98" s="294">
        <v>21.805</v>
      </c>
      <c r="BC98" s="309">
        <f t="shared" ref="BC98:BC104" si="233">BB98/BB78*100</f>
        <v>39.99889936530063</v>
      </c>
      <c r="BD98" s="256"/>
      <c r="BE98" s="256"/>
      <c r="BF98" s="294">
        <v>20.792999999999999</v>
      </c>
      <c r="BG98" s="309">
        <f t="shared" ref="BG98:BG104" si="234">BF98/BF78*100</f>
        <v>36.700437729454961</v>
      </c>
      <c r="BH98" s="256"/>
      <c r="BI98" s="256"/>
      <c r="BJ98" s="607">
        <v>22.56</v>
      </c>
      <c r="BK98" s="309">
        <f>BJ98/BJ78*100</f>
        <v>37.998349362483388</v>
      </c>
      <c r="BL98" s="256"/>
      <c r="BM98" s="587"/>
      <c r="BN98" s="607">
        <v>22.047000000000001</v>
      </c>
      <c r="BO98" s="309">
        <f t="shared" ref="BO98:BO104" si="235">BN98/BN78*100</f>
        <v>35.499557201513547</v>
      </c>
      <c r="BP98" s="256"/>
      <c r="BQ98" s="599"/>
      <c r="BR98" s="607">
        <f>54.471-BR99</f>
        <v>27.520999999999997</v>
      </c>
      <c r="BS98" s="309">
        <f t="shared" ref="BS98:BS104" si="236">BR98/BR78*100</f>
        <v>38.759788180947602</v>
      </c>
      <c r="BT98" s="256"/>
      <c r="BU98" s="256"/>
      <c r="BV98" s="607">
        <v>31.004999999999999</v>
      </c>
      <c r="BW98" s="309">
        <f>BV98/BV78*100</f>
        <v>36.548708034703871</v>
      </c>
      <c r="BX98" s="256"/>
      <c r="BY98" s="256"/>
      <c r="BZ98" s="607">
        <f>37.411+1.224</f>
        <v>38.634999999999998</v>
      </c>
      <c r="CA98" s="309">
        <f t="shared" ref="CA98:CA104" si="237">BZ98/BZ78*100</f>
        <v>36.731919262984739</v>
      </c>
      <c r="CB98" s="256"/>
      <c r="CC98" s="256"/>
      <c r="CD98" s="607">
        <f>17.655+1.976</f>
        <v>19.631</v>
      </c>
      <c r="CE98" s="309">
        <f t="shared" ref="CE98:CE104" si="238">CD98/CD78*100</f>
        <v>41.70242596762543</v>
      </c>
      <c r="CF98" s="256"/>
      <c r="CG98" s="256"/>
      <c r="CH98" s="607">
        <f>28.854+3.096</f>
        <v>31.95</v>
      </c>
      <c r="CI98" s="309">
        <f t="shared" ref="CI98:CI104" si="239">CH98/CH78*100</f>
        <v>33.939175049660591</v>
      </c>
      <c r="CJ98" s="256"/>
      <c r="CK98" s="256"/>
      <c r="CL98" s="607">
        <f>44.756+3.218</f>
        <v>47.974000000000004</v>
      </c>
      <c r="CM98" s="309">
        <f t="shared" ref="CM98:CM104" si="240">CL98/CL78*100</f>
        <v>35.790808713816752</v>
      </c>
      <c r="CN98" s="256"/>
      <c r="CO98" s="256"/>
      <c r="CP98" s="607">
        <v>42.896999999999998</v>
      </c>
      <c r="CQ98" s="309">
        <f t="shared" ref="CQ98:CQ104" si="241">CP98/CP78*100</f>
        <v>34.474528051691308</v>
      </c>
      <c r="CR98" s="256"/>
      <c r="CS98" s="256"/>
      <c r="CT98" s="607">
        <f>44.869+(9*0.35)</f>
        <v>48.018999999999998</v>
      </c>
      <c r="CU98" s="309">
        <f t="shared" ref="CU98:CU104" si="242">CT98/CT78*100</f>
        <v>34.835250932199685</v>
      </c>
      <c r="CV98" s="256"/>
      <c r="CW98" s="256"/>
      <c r="CX98" s="607">
        <v>67.908000000000001</v>
      </c>
      <c r="CY98" s="309">
        <f t="shared" ref="CY98:CY104" si="243">CX98/CX78*100</f>
        <v>35.091490670070343</v>
      </c>
      <c r="CZ98" s="256"/>
      <c r="DA98" s="256"/>
      <c r="DB98" s="607">
        <v>55.8</v>
      </c>
      <c r="DC98" s="309">
        <f t="shared" ref="DC98:DC104" si="244">DB98/DB78*100</f>
        <v>34.72308649657748</v>
      </c>
      <c r="DD98" s="256"/>
      <c r="DE98" s="256"/>
      <c r="DF98" s="2171">
        <v>35.6</v>
      </c>
      <c r="DG98" s="309">
        <f t="shared" ref="DG98:DG104" si="245">DF98/DF78*100</f>
        <v>28.919577579203921</v>
      </c>
      <c r="DH98" s="256"/>
      <c r="DI98" s="256"/>
      <c r="DJ98" s="2171">
        <v>43.2</v>
      </c>
      <c r="DK98" s="309">
        <f t="shared" ref="DK98:DK104" si="246">DJ98/DJ78*100</f>
        <v>31.741366642174867</v>
      </c>
      <c r="DL98" s="256"/>
      <c r="DM98" s="256"/>
      <c r="DN98" s="2185">
        <f>(DO98/100)*DN78</f>
        <v>43.846916757869799</v>
      </c>
      <c r="DO98" s="2116">
        <v>28</v>
      </c>
      <c r="DP98" s="256"/>
      <c r="DQ98" s="256"/>
      <c r="DR98" s="256"/>
      <c r="DS98" s="256"/>
      <c r="DT98" s="256"/>
      <c r="DU98" s="256"/>
      <c r="DV98" s="256"/>
      <c r="DW98" s="256"/>
      <c r="DX98" s="256"/>
      <c r="DY98" s="256"/>
      <c r="DZ98" s="256"/>
      <c r="EA98" s="256"/>
    </row>
    <row r="99" spans="1:131">
      <c r="A99" s="256" t="str">
        <f>$A$11</f>
        <v>2Q</v>
      </c>
      <c r="B99" s="256" t="str">
        <f>$B$11</f>
        <v>Jul</v>
      </c>
      <c r="C99" s="256"/>
      <c r="D99" s="295"/>
      <c r="E99" s="256"/>
      <c r="F99" s="295"/>
      <c r="G99" s="309"/>
      <c r="H99" s="238"/>
      <c r="I99" s="256"/>
      <c r="J99" s="295">
        <v>5.2809999999999997</v>
      </c>
      <c r="K99" s="309">
        <f>J99/J79*100</f>
        <v>42.197363164202969</v>
      </c>
      <c r="L99" s="256"/>
      <c r="M99" s="256"/>
      <c r="N99" s="295">
        <v>2.84</v>
      </c>
      <c r="O99" s="309">
        <f>N99/N79*100</f>
        <v>42.205379699806819</v>
      </c>
      <c r="P99" s="256"/>
      <c r="Q99" s="256"/>
      <c r="R99" s="295">
        <f>-24.665+(115-57.5)*0.43</f>
        <v>5.9999999999998721E-2</v>
      </c>
      <c r="S99" s="309">
        <f>R99/R79*100</f>
        <v>21.052631578946713</v>
      </c>
      <c r="T99" s="256"/>
      <c r="U99" s="256"/>
      <c r="V99" s="295">
        <v>2.613</v>
      </c>
      <c r="W99" s="309">
        <f>V99/V79*100</f>
        <v>43.097476496783663</v>
      </c>
      <c r="X99" s="256"/>
      <c r="Y99" s="256"/>
      <c r="Z99" s="295">
        <v>4.0369999999999999</v>
      </c>
      <c r="AA99" s="309">
        <f t="shared" si="226"/>
        <v>43.199571963616933</v>
      </c>
      <c r="AB99" s="256"/>
      <c r="AC99" s="256"/>
      <c r="AD99" s="295">
        <v>6.2720000000000002</v>
      </c>
      <c r="AE99" s="309">
        <f t="shared" si="227"/>
        <v>43.201542912246865</v>
      </c>
      <c r="AF99" s="256"/>
      <c r="AG99" s="256"/>
      <c r="AH99" s="295">
        <v>7.83</v>
      </c>
      <c r="AI99" s="309">
        <f t="shared" si="228"/>
        <v>42.998352553542034</v>
      </c>
      <c r="AJ99" s="256"/>
      <c r="AK99" s="256"/>
      <c r="AL99" s="295">
        <v>9.9969999999999999</v>
      </c>
      <c r="AM99" s="309">
        <f t="shared" si="229"/>
        <v>42.500637700875764</v>
      </c>
      <c r="AN99" s="256"/>
      <c r="AO99" s="256"/>
      <c r="AP99" s="295">
        <v>16.640999999999998</v>
      </c>
      <c r="AQ99" s="309">
        <f t="shared" si="230"/>
        <v>41.999394275907321</v>
      </c>
      <c r="AR99" s="256"/>
      <c r="AS99" s="256"/>
      <c r="AT99" s="295">
        <v>26.108000000000001</v>
      </c>
      <c r="AU99" s="309">
        <f t="shared" si="231"/>
        <v>39.998161567570072</v>
      </c>
      <c r="AV99" s="256"/>
      <c r="AW99" s="256"/>
      <c r="AX99" s="295">
        <v>24.036999999999999</v>
      </c>
      <c r="AY99" s="309">
        <f t="shared" si="232"/>
        <v>40.002329877348608</v>
      </c>
      <c r="AZ99" s="256"/>
      <c r="BA99" s="295"/>
      <c r="BB99" s="295">
        <v>21.81</v>
      </c>
      <c r="BC99" s="309">
        <f t="shared" si="233"/>
        <v>40.000733621891278</v>
      </c>
      <c r="BD99" s="256"/>
      <c r="BE99" s="256"/>
      <c r="BF99" s="295">
        <v>23.856000000000002</v>
      </c>
      <c r="BG99" s="309">
        <f t="shared" si="234"/>
        <v>36.699844622555879</v>
      </c>
      <c r="BH99" s="256"/>
      <c r="BI99" s="256"/>
      <c r="BJ99" s="295">
        <v>20.282</v>
      </c>
      <c r="BK99" s="309">
        <f>BJ99/BJ79*100</f>
        <v>38.00119913063034</v>
      </c>
      <c r="BL99" s="256"/>
      <c r="BM99" s="587"/>
      <c r="BN99" s="295">
        <v>19.658999999999999</v>
      </c>
      <c r="BO99" s="309">
        <f t="shared" si="235"/>
        <v>28.000284859706564</v>
      </c>
      <c r="BP99" s="256"/>
      <c r="BQ99" s="599"/>
      <c r="BR99" s="295">
        <v>26.95</v>
      </c>
      <c r="BS99" s="309">
        <f t="shared" si="236"/>
        <v>37.606050457691424</v>
      </c>
      <c r="BT99" s="256"/>
      <c r="BU99" s="256"/>
      <c r="BV99" s="295">
        <v>43.33</v>
      </c>
      <c r="BW99" s="309">
        <f>BV99/BV79*100</f>
        <v>39.376948172920514</v>
      </c>
      <c r="BX99" s="256"/>
      <c r="BY99" s="256"/>
      <c r="BZ99" s="295">
        <v>48.348999999999997</v>
      </c>
      <c r="CA99" s="309">
        <f t="shared" si="237"/>
        <v>36.910732962309808</v>
      </c>
      <c r="CB99" s="256"/>
      <c r="CC99" s="256"/>
      <c r="CD99" s="295">
        <f>20.705-(4.442-2.676)+5.662</f>
        <v>24.600999999999999</v>
      </c>
      <c r="CE99" s="309">
        <f t="shared" si="238"/>
        <v>33.709235406960786</v>
      </c>
      <c r="CF99" s="309"/>
      <c r="CG99" s="256"/>
      <c r="CH99" s="295">
        <f>34.81+1.553</f>
        <v>36.363</v>
      </c>
      <c r="CI99" s="309">
        <f t="shared" si="239"/>
        <v>34.166118575589593</v>
      </c>
      <c r="CJ99" s="309"/>
      <c r="CK99" s="256"/>
      <c r="CL99" s="295">
        <f>40.878+13.506</f>
        <v>54.384</v>
      </c>
      <c r="CM99" s="309">
        <f t="shared" si="240"/>
        <v>32.876712328767113</v>
      </c>
      <c r="CN99" s="309"/>
      <c r="CO99" s="256"/>
      <c r="CP99" s="295">
        <v>48.529000000000003</v>
      </c>
      <c r="CQ99" s="309">
        <f t="shared" si="241"/>
        <v>34.582056580916422</v>
      </c>
      <c r="CR99" s="309"/>
      <c r="CS99" s="256"/>
      <c r="CT99" s="1729">
        <v>55.411000000000001</v>
      </c>
      <c r="CU99" s="309">
        <f t="shared" si="242"/>
        <v>34.163830521850642</v>
      </c>
      <c r="CV99" s="309"/>
      <c r="CW99" s="256"/>
      <c r="CX99" s="1729">
        <v>68.25</v>
      </c>
      <c r="CY99" s="309">
        <f t="shared" si="243"/>
        <v>35.47850496439154</v>
      </c>
      <c r="CZ99" s="309"/>
      <c r="DA99" s="256"/>
      <c r="DB99" s="2104">
        <f>54.3+3.3</f>
        <v>57.599999999999994</v>
      </c>
      <c r="DC99" s="309">
        <f t="shared" si="244"/>
        <v>34.123222748815152</v>
      </c>
      <c r="DD99" s="309"/>
      <c r="DE99" s="256"/>
      <c r="DF99" s="2104">
        <v>55.8</v>
      </c>
      <c r="DG99" s="309">
        <f t="shared" si="245"/>
        <v>34.551083591331263</v>
      </c>
      <c r="DH99" s="309"/>
      <c r="DI99" s="256"/>
      <c r="DJ99" s="2104">
        <v>57.5</v>
      </c>
      <c r="DK99" s="309">
        <f t="shared" si="246"/>
        <v>33.333333333333321</v>
      </c>
      <c r="DL99" s="309"/>
      <c r="DM99" s="256"/>
      <c r="DN99" s="2185">
        <f>(DO99/100)*DN79</f>
        <v>47.160611329728617</v>
      </c>
      <c r="DO99" s="2116">
        <v>28</v>
      </c>
      <c r="DP99" s="309"/>
      <c r="DQ99" s="256"/>
      <c r="DR99" s="256"/>
      <c r="DS99" s="256"/>
      <c r="DT99" s="256"/>
      <c r="DU99" s="256"/>
      <c r="DV99" s="256"/>
      <c r="DW99" s="256"/>
      <c r="DX99" s="256"/>
      <c r="DY99" s="256"/>
      <c r="DZ99" s="256"/>
      <c r="EA99" s="256"/>
    </row>
    <row r="100" spans="1:131">
      <c r="A100" s="256" t="str">
        <f>$A$12</f>
        <v>3Q</v>
      </c>
      <c r="B100" s="256" t="str">
        <f>$B$12</f>
        <v>Oct</v>
      </c>
      <c r="C100" s="256"/>
      <c r="D100" s="295"/>
      <c r="E100" s="256"/>
      <c r="F100" s="295"/>
      <c r="G100" s="309"/>
      <c r="H100" s="238"/>
      <c r="I100" s="256"/>
      <c r="J100" s="602">
        <f>23.261-J101-J99-J98</f>
        <v>5.8859999999999983</v>
      </c>
      <c r="K100" s="309">
        <f>J100/J80*100</f>
        <v>42.275371687136385</v>
      </c>
      <c r="L100" s="256"/>
      <c r="M100" s="256"/>
      <c r="N100" s="602">
        <f>4.213-N101-N99-N98</f>
        <v>-0.99000000000000021</v>
      </c>
      <c r="O100" s="309">
        <f>N100/N80*100</f>
        <v>105.99571734475207</v>
      </c>
      <c r="P100" s="256"/>
      <c r="Q100" s="256"/>
      <c r="R100" s="295">
        <v>2.46</v>
      </c>
      <c r="S100" s="309">
        <f>R100/R80*100</f>
        <v>43.044619422572261</v>
      </c>
      <c r="T100" s="256"/>
      <c r="U100" s="256"/>
      <c r="V100" s="295">
        <v>3.5739999999999998</v>
      </c>
      <c r="W100" s="309">
        <f>V100/V80*100</f>
        <v>43.091391367253436</v>
      </c>
      <c r="X100" s="256"/>
      <c r="Y100" s="256"/>
      <c r="Z100" s="295">
        <v>4.7789999999999999</v>
      </c>
      <c r="AA100" s="309">
        <f t="shared" si="226"/>
        <v>43.237130190898412</v>
      </c>
      <c r="AB100" s="256"/>
      <c r="AC100" s="256"/>
      <c r="AD100" s="295">
        <v>7.11</v>
      </c>
      <c r="AE100" s="309">
        <f t="shared" si="227"/>
        <v>43.203500030382166</v>
      </c>
      <c r="AF100" s="256"/>
      <c r="AG100" s="256"/>
      <c r="AH100" s="295">
        <v>8.6479999999999997</v>
      </c>
      <c r="AI100" s="309">
        <f t="shared" si="228"/>
        <v>43.001342548853827</v>
      </c>
      <c r="AJ100" s="256"/>
      <c r="AK100" s="256"/>
      <c r="AL100" s="295">
        <v>8.7789999999999999</v>
      </c>
      <c r="AM100" s="309">
        <f t="shared" si="229"/>
        <v>42.002774986842759</v>
      </c>
      <c r="AN100" s="256"/>
      <c r="AO100" s="256"/>
      <c r="AP100" s="295">
        <v>15.263</v>
      </c>
      <c r="AQ100" s="309">
        <f t="shared" si="230"/>
        <v>41.002014775016789</v>
      </c>
      <c r="AR100" s="256"/>
      <c r="AS100" s="256"/>
      <c r="AT100" s="295">
        <v>24.216000000000001</v>
      </c>
      <c r="AU100" s="309">
        <f t="shared" si="231"/>
        <v>40.002643055371998</v>
      </c>
      <c r="AV100" s="256"/>
      <c r="AW100" s="256"/>
      <c r="AX100" s="295">
        <v>16.02</v>
      </c>
      <c r="AY100" s="309">
        <f t="shared" si="232"/>
        <v>40.001997602876557</v>
      </c>
      <c r="AZ100" s="256"/>
      <c r="BA100" s="256"/>
      <c r="BB100" s="295">
        <f>9.283+8.015</f>
        <v>17.298000000000002</v>
      </c>
      <c r="BC100" s="309">
        <f t="shared" si="233"/>
        <v>38.900757865383312</v>
      </c>
      <c r="BD100" s="256"/>
      <c r="BE100" s="256"/>
      <c r="BF100" s="295">
        <v>16.251000000000001</v>
      </c>
      <c r="BG100" s="309">
        <f t="shared" si="234"/>
        <v>36.698884422564468</v>
      </c>
      <c r="BH100" s="256"/>
      <c r="BI100" s="256"/>
      <c r="BJ100" s="295">
        <v>10.73</v>
      </c>
      <c r="BK100" s="309">
        <f>BJ100/BJ80*100</f>
        <v>38.201367131871258</v>
      </c>
      <c r="BL100" s="256"/>
      <c r="BM100" s="587"/>
      <c r="BN100" s="295">
        <v>11.717000000000001</v>
      </c>
      <c r="BO100" s="309">
        <f t="shared" si="235"/>
        <v>33.000056328507846</v>
      </c>
      <c r="BP100" s="256"/>
      <c r="BQ100" s="599"/>
      <c r="BR100" s="295">
        <v>16.324000000000002</v>
      </c>
      <c r="BS100" s="309">
        <f t="shared" si="236"/>
        <v>33.348995893685306</v>
      </c>
      <c r="BT100" s="256"/>
      <c r="BU100" s="256"/>
      <c r="BV100" s="295">
        <f>52.787-(105.051-66.497)+(10-6.025)</f>
        <v>18.207999999999998</v>
      </c>
      <c r="BW100" s="309">
        <f>BV100/(BV80+BV90)*100</f>
        <v>11.680105716246819</v>
      </c>
      <c r="BX100" s="256"/>
      <c r="BY100" s="256"/>
      <c r="BZ100" s="295">
        <v>21.498000000000001</v>
      </c>
      <c r="CA100" s="309">
        <f t="shared" si="237"/>
        <v>32.060727175112575</v>
      </c>
      <c r="CB100" s="256"/>
      <c r="CC100" s="256"/>
      <c r="CD100" s="295">
        <f>12.182+5.558+(4-3.44)</f>
        <v>18.3</v>
      </c>
      <c r="CE100" s="309">
        <f t="shared" si="238"/>
        <v>30.760955438637776</v>
      </c>
      <c r="CF100" s="256"/>
      <c r="CG100" s="256"/>
      <c r="CH100" s="295">
        <f>29.502+(6.095+0.326-3.894)</f>
        <v>32.028999999999996</v>
      </c>
      <c r="CI100" s="309">
        <f t="shared" si="239"/>
        <v>35.195929759785464</v>
      </c>
      <c r="CJ100" s="309"/>
      <c r="CK100" s="256"/>
      <c r="CL100" s="295">
        <v>46.094999999999999</v>
      </c>
      <c r="CM100" s="309">
        <f t="shared" si="240"/>
        <v>33.947298650798317</v>
      </c>
      <c r="CN100" s="309"/>
      <c r="CO100" s="256"/>
      <c r="CP100" s="295">
        <v>39.332999999999998</v>
      </c>
      <c r="CQ100" s="309">
        <f t="shared" si="241"/>
        <v>38.369166536600609</v>
      </c>
      <c r="CR100" s="309"/>
      <c r="CS100" s="256"/>
      <c r="CT100" s="295">
        <v>45.085999999999999</v>
      </c>
      <c r="CU100" s="309">
        <f t="shared" si="242"/>
        <v>32.274367197342798</v>
      </c>
      <c r="CV100" s="309"/>
      <c r="CW100" s="256"/>
      <c r="CX100" s="295">
        <v>21.068999999999999</v>
      </c>
      <c r="CY100" s="309">
        <f t="shared" si="243"/>
        <v>13.760155698947193</v>
      </c>
      <c r="CZ100" s="309"/>
      <c r="DA100" s="256"/>
      <c r="DB100" s="2127">
        <v>50.2</v>
      </c>
      <c r="DC100" s="309">
        <f t="shared" si="244"/>
        <v>35.552407932011334</v>
      </c>
      <c r="DD100" s="309"/>
      <c r="DE100" s="256"/>
      <c r="DF100" s="2127">
        <v>50.4</v>
      </c>
      <c r="DG100" s="309">
        <f t="shared" si="245"/>
        <v>34.639175257731956</v>
      </c>
      <c r="DH100" s="309"/>
      <c r="DI100" s="256"/>
      <c r="DJ100" s="2430">
        <v>50.2</v>
      </c>
      <c r="DK100" s="309">
        <f t="shared" si="246"/>
        <v>33.377659574468069</v>
      </c>
      <c r="DL100" s="309"/>
      <c r="DM100" s="256"/>
      <c r="DN100" s="2185">
        <f>(DO100/100)*DN80</f>
        <v>39.911325741286568</v>
      </c>
      <c r="DO100" s="2116">
        <v>28</v>
      </c>
      <c r="DP100" s="309"/>
      <c r="DQ100" s="256"/>
      <c r="DR100" s="256"/>
      <c r="DS100" s="256"/>
      <c r="DT100" s="256"/>
      <c r="DU100" s="1019"/>
      <c r="DV100" s="256"/>
      <c r="DW100" s="256"/>
      <c r="DX100" s="256"/>
      <c r="DY100" s="256"/>
      <c r="DZ100" s="256"/>
      <c r="EA100" s="256"/>
    </row>
    <row r="101" spans="1:131">
      <c r="A101" s="256" t="str">
        <f>$A$13</f>
        <v>4Q</v>
      </c>
      <c r="B101" s="256" t="str">
        <f>$B$13</f>
        <v>Jan</v>
      </c>
      <c r="C101" s="587"/>
      <c r="D101" s="292"/>
      <c r="E101" s="587"/>
      <c r="F101" s="292"/>
      <c r="G101" s="309"/>
      <c r="H101" s="238"/>
      <c r="I101" s="256"/>
      <c r="J101" s="292">
        <v>8.8729999999999993</v>
      </c>
      <c r="K101" s="309">
        <f>J101/J81*100</f>
        <v>42.310810166420303</v>
      </c>
      <c r="L101" s="256"/>
      <c r="M101" s="256"/>
      <c r="N101" s="292">
        <v>9.7000000000000003E-2</v>
      </c>
      <c r="O101" s="309">
        <f>N101/N81*100</f>
        <v>1.1071795457139579</v>
      </c>
      <c r="P101" s="256"/>
      <c r="Q101" s="256"/>
      <c r="R101" s="292">
        <v>13.648999999999999</v>
      </c>
      <c r="S101" s="309">
        <f>R101/R81*100</f>
        <v>43.104373914416541</v>
      </c>
      <c r="T101" s="256"/>
      <c r="U101" s="256"/>
      <c r="V101" s="292">
        <v>14.617000000000001</v>
      </c>
      <c r="W101" s="309">
        <f>V101/V81*100</f>
        <v>43.102736494456224</v>
      </c>
      <c r="X101" s="256"/>
      <c r="Y101" s="256"/>
      <c r="Z101" s="292">
        <v>19.367999999999999</v>
      </c>
      <c r="AA101" s="309">
        <f t="shared" si="226"/>
        <v>43.192613902455349</v>
      </c>
      <c r="AB101" s="256"/>
      <c r="AC101" s="256"/>
      <c r="AD101" s="292">
        <v>27.204000000000001</v>
      </c>
      <c r="AE101" s="309">
        <f t="shared" si="227"/>
        <v>43.199466437997216</v>
      </c>
      <c r="AF101" s="256"/>
      <c r="AG101" s="256"/>
      <c r="AH101" s="292">
        <v>31.759</v>
      </c>
      <c r="AI101" s="309">
        <f t="shared" si="228"/>
        <v>43.000081236968235</v>
      </c>
      <c r="AJ101" s="256"/>
      <c r="AK101" s="256"/>
      <c r="AL101" s="292">
        <v>38.593000000000004</v>
      </c>
      <c r="AM101" s="309">
        <f t="shared" si="229"/>
        <v>42.000043531255415</v>
      </c>
      <c r="AN101" s="256"/>
      <c r="AO101" s="256"/>
      <c r="AP101" s="292">
        <v>58.774999999999999</v>
      </c>
      <c r="AQ101" s="309">
        <f t="shared" si="230"/>
        <v>40.999902339662661</v>
      </c>
      <c r="AR101" s="256"/>
      <c r="AS101" s="256"/>
      <c r="AT101" s="292">
        <f>127.057-SUM(AT98:AT100)</f>
        <v>56.447999999999993</v>
      </c>
      <c r="AU101" s="309">
        <f t="shared" si="231"/>
        <v>39.999433114610042</v>
      </c>
      <c r="AV101" s="256"/>
      <c r="AW101" s="256"/>
      <c r="AX101" s="292">
        <v>55.161999999999999</v>
      </c>
      <c r="AY101" s="309">
        <f t="shared" si="232"/>
        <v>39.999419898917381</v>
      </c>
      <c r="AZ101" s="256"/>
      <c r="BA101" s="256"/>
      <c r="BB101" s="292">
        <v>56.844999999999999</v>
      </c>
      <c r="BC101" s="309">
        <f t="shared" si="233"/>
        <v>38.899761859141044</v>
      </c>
      <c r="BD101" s="256"/>
      <c r="BE101" s="256"/>
      <c r="BF101" s="292">
        <v>66.268000000000001</v>
      </c>
      <c r="BG101" s="309">
        <f t="shared" si="234"/>
        <v>37.493776309238228</v>
      </c>
      <c r="BH101" s="256"/>
      <c r="BI101" s="256"/>
      <c r="BJ101" s="292">
        <v>114.277</v>
      </c>
      <c r="BK101" s="309">
        <f>BJ101/(BJ81+BJ91)*100</f>
        <v>34.49174053851749</v>
      </c>
      <c r="BL101" s="256"/>
      <c r="BM101" s="587"/>
      <c r="BN101" s="292">
        <v>59.896000000000001</v>
      </c>
      <c r="BO101" s="309">
        <f>BN101/BN81*100</f>
        <v>29.925107292920909</v>
      </c>
      <c r="BP101" s="256"/>
      <c r="BQ101" s="599"/>
      <c r="BR101" s="292">
        <v>80.819999999999993</v>
      </c>
      <c r="BS101" s="309">
        <f>BR101/BR81*100</f>
        <v>35.340262625114249</v>
      </c>
      <c r="BT101" s="256"/>
      <c r="BU101" s="256"/>
      <c r="BV101" s="292">
        <f>71.048+(19.212-11.633)+(15.532-9.852)+(47.981-29.052)</f>
        <v>103.23600000000002</v>
      </c>
      <c r="BW101" s="309">
        <f>BV101/(BV81+BV91)*100</f>
        <v>52.025096379167024</v>
      </c>
      <c r="BX101" s="256"/>
      <c r="BY101" s="256"/>
      <c r="BZ101" s="292">
        <f>25.122+28.51492</f>
        <v>53.636920000000003</v>
      </c>
      <c r="CA101" s="309">
        <f t="shared" si="237"/>
        <v>33.444897551972275</v>
      </c>
      <c r="CB101" s="256"/>
      <c r="CC101" s="256"/>
      <c r="CD101" s="292">
        <v>71.78</v>
      </c>
      <c r="CE101" s="309">
        <f t="shared" si="238"/>
        <v>34.18306847566754</v>
      </c>
      <c r="CF101" s="309"/>
      <c r="CG101" s="256"/>
      <c r="CH101" s="292">
        <f>85.865+(6.086+0.323-3.887)</f>
        <v>88.387</v>
      </c>
      <c r="CI101" s="309">
        <f t="shared" si="239"/>
        <v>32.317238151650116</v>
      </c>
      <c r="CJ101" s="256"/>
      <c r="CK101" s="256"/>
      <c r="CL101" s="292">
        <f>94.032</f>
        <v>94.031999999999996</v>
      </c>
      <c r="CM101" s="309">
        <f t="shared" si="240"/>
        <v>34.516402559217681</v>
      </c>
      <c r="CN101" s="256"/>
      <c r="CO101" s="256"/>
      <c r="CP101" s="292">
        <v>96.66</v>
      </c>
      <c r="CQ101" s="309">
        <f t="shared" si="241"/>
        <v>34.983333514294081</v>
      </c>
      <c r="CR101" s="256"/>
      <c r="CS101" s="256"/>
      <c r="CT101" s="292">
        <v>107.45</v>
      </c>
      <c r="CU101" s="309">
        <f t="shared" si="242"/>
        <v>36.147537123133738</v>
      </c>
      <c r="CV101" s="256"/>
      <c r="CW101" s="256"/>
      <c r="CX101" s="292">
        <v>96.131</v>
      </c>
      <c r="CY101" s="309">
        <f t="shared" si="243"/>
        <v>32.886323906223801</v>
      </c>
      <c r="CZ101" s="256"/>
      <c r="DA101" s="256"/>
      <c r="DB101" s="2146">
        <f>85.6+((28.3+8.8)*0.35)-0.028</f>
        <v>98.556999999999988</v>
      </c>
      <c r="DC101" s="309">
        <f t="shared" si="244"/>
        <v>34.472542847149349</v>
      </c>
      <c r="DD101" s="256"/>
      <c r="DE101" s="256"/>
      <c r="DF101" s="2200">
        <v>102.7</v>
      </c>
      <c r="DG101" s="309">
        <f t="shared" si="245"/>
        <v>36.098418277680153</v>
      </c>
      <c r="DH101" s="256"/>
      <c r="DI101" s="256"/>
      <c r="DJ101" s="2445">
        <v>93.3</v>
      </c>
      <c r="DK101" s="309">
        <f t="shared" si="246"/>
        <v>30.955540809555416</v>
      </c>
      <c r="DL101" s="256"/>
      <c r="DM101" s="256"/>
      <c r="DN101" s="273">
        <f>(DO101/100)*DN81</f>
        <v>81.674162776727826</v>
      </c>
      <c r="DO101" s="2116">
        <v>28</v>
      </c>
      <c r="DP101" s="256"/>
      <c r="DQ101" s="256"/>
      <c r="DR101" s="256"/>
      <c r="DS101" s="256"/>
      <c r="DT101" s="256"/>
      <c r="DU101" s="256"/>
      <c r="DV101" s="256"/>
      <c r="DW101" s="256"/>
      <c r="DX101" s="256"/>
      <c r="DY101" s="256"/>
      <c r="DZ101" s="256"/>
      <c r="EA101" s="256"/>
    </row>
    <row r="102" spans="1:131">
      <c r="A102" s="256"/>
      <c r="B102" s="256" t="str">
        <f>$B$14</f>
        <v>Year</v>
      </c>
      <c r="C102" s="256"/>
      <c r="D102" s="305"/>
      <c r="E102" s="256"/>
      <c r="F102" s="305">
        <f>SUM(F98:F101)</f>
        <v>0</v>
      </c>
      <c r="G102" s="309"/>
      <c r="H102" s="256"/>
      <c r="I102" s="256"/>
      <c r="J102" s="305">
        <f>SUM(J98:J101)</f>
        <v>23.260999999999996</v>
      </c>
      <c r="K102" s="309">
        <f>J102/J$10*100</f>
        <v>23.954482261469536</v>
      </c>
      <c r="L102" s="256"/>
      <c r="M102" s="256"/>
      <c r="N102" s="305">
        <f>SUM(N98:N101)</f>
        <v>4.2130000000000001</v>
      </c>
      <c r="O102" s="309">
        <f>N102/N$10*100</f>
        <v>3.9286446968425368</v>
      </c>
      <c r="P102" s="256"/>
      <c r="Q102" s="256"/>
      <c r="R102" s="305">
        <f>SUM(R98:R101)</f>
        <v>16.966999999999999</v>
      </c>
      <c r="S102" s="309">
        <f>R102/R$10*100</f>
        <v>15.497666261725779</v>
      </c>
      <c r="T102" s="256"/>
      <c r="U102" s="256"/>
      <c r="V102" s="305">
        <f>SUM(V98:V101)</f>
        <v>22.225000000000001</v>
      </c>
      <c r="W102" s="309">
        <f>V102/V$10*100</f>
        <v>16.938882833995137</v>
      </c>
      <c r="X102" s="256"/>
      <c r="Y102" s="256"/>
      <c r="Z102" s="305">
        <f>SUM(Z98:Z101)</f>
        <v>29.82</v>
      </c>
      <c r="AA102" s="309">
        <f t="shared" si="226"/>
        <v>43.195480553342527</v>
      </c>
      <c r="AB102" s="256"/>
      <c r="AC102" s="256"/>
      <c r="AD102" s="305">
        <f>SUM(AD98:AD101)</f>
        <v>44.447000000000003</v>
      </c>
      <c r="AE102" s="309">
        <f t="shared" si="227"/>
        <v>43.200241043484986</v>
      </c>
      <c r="AF102" s="256"/>
      <c r="AG102" s="256"/>
      <c r="AH102" s="305">
        <f>SUM(AH98:AH101)</f>
        <v>54.936</v>
      </c>
      <c r="AI102" s="309">
        <f t="shared" si="228"/>
        <v>43.000046963790908</v>
      </c>
      <c r="AJ102" s="256"/>
      <c r="AK102" s="256"/>
      <c r="AL102" s="305">
        <f>SUM(AL98:AL101)</f>
        <v>65.585999999999999</v>
      </c>
      <c r="AM102" s="309">
        <f t="shared" si="229"/>
        <v>42.137386924342096</v>
      </c>
      <c r="AN102" s="256"/>
      <c r="AO102" s="256"/>
      <c r="AP102" s="305">
        <f>SUM(AP98:AP101)</f>
        <v>102.37899999999999</v>
      </c>
      <c r="AQ102" s="309">
        <f t="shared" si="230"/>
        <v>41.272202468777472</v>
      </c>
      <c r="AR102" s="256"/>
      <c r="AS102" s="256"/>
      <c r="AT102" s="305">
        <f>SUM(AT98:AT101)</f>
        <v>127.057</v>
      </c>
      <c r="AU102" s="309">
        <f t="shared" si="231"/>
        <v>40.000188892491842</v>
      </c>
      <c r="AV102" s="256"/>
      <c r="AW102" s="256"/>
      <c r="AX102" s="305">
        <f>SUM(AX98:AX101)</f>
        <v>115.72499999999999</v>
      </c>
      <c r="AY102" s="309">
        <f t="shared" si="232"/>
        <v>40.000069129521066</v>
      </c>
      <c r="AZ102" s="256"/>
      <c r="BA102" s="256"/>
      <c r="BB102" s="607">
        <v>109.74299999999999</v>
      </c>
      <c r="BC102" s="309">
        <f t="shared" si="233"/>
        <v>36.625316633126076</v>
      </c>
      <c r="BD102" s="256"/>
      <c r="BE102" s="256"/>
      <c r="BF102" s="305">
        <f>SUM(BF98:BF101)</f>
        <v>127.16800000000001</v>
      </c>
      <c r="BG102" s="309">
        <f t="shared" si="234"/>
        <v>37.109298627018987</v>
      </c>
      <c r="BH102" s="256"/>
      <c r="BI102" s="256"/>
      <c r="BJ102" s="305">
        <f>SUM(BJ98:BJ101)</f>
        <v>167.84899999999999</v>
      </c>
      <c r="BK102" s="309">
        <f>BJ102/(BJ82+BJ92)*100</f>
        <v>35.550081754026287</v>
      </c>
      <c r="BL102" s="256"/>
      <c r="BM102" s="587"/>
      <c r="BN102" s="305">
        <f>SUM(BN98:BN101)</f>
        <v>113.319</v>
      </c>
      <c r="BO102" s="309">
        <f t="shared" si="235"/>
        <v>30.795382282443857</v>
      </c>
      <c r="BP102" s="256"/>
      <c r="BQ102" s="599"/>
      <c r="BR102" s="305">
        <f>SUM(BR98:BR101)</f>
        <v>151.61500000000001</v>
      </c>
      <c r="BS102" s="309">
        <f t="shared" si="236"/>
        <v>36.072356462403775</v>
      </c>
      <c r="BT102" s="256"/>
      <c r="BU102" s="256"/>
      <c r="BV102" s="305">
        <f>SUM(BV98:BV101)</f>
        <v>195.779</v>
      </c>
      <c r="BW102" s="309">
        <f>BV102/BV82*100</f>
        <v>36.466810339207527</v>
      </c>
      <c r="BX102" s="256"/>
      <c r="BY102" s="256"/>
      <c r="BZ102" s="305">
        <f>SUM(BZ98:BZ101)</f>
        <v>162.11892</v>
      </c>
      <c r="CA102" s="309">
        <f t="shared" si="237"/>
        <v>34.969719455217664</v>
      </c>
      <c r="CB102" s="256"/>
      <c r="CC102" s="256"/>
      <c r="CD102" s="305">
        <f>SUM(CD98:CD101)</f>
        <v>134.31200000000001</v>
      </c>
      <c r="CE102" s="309">
        <f t="shared" si="238"/>
        <v>34.480350779910246</v>
      </c>
      <c r="CF102" s="256"/>
      <c r="CG102" s="256"/>
      <c r="CH102" s="305">
        <f>SUM(CH98:CH101)</f>
        <v>188.72899999999998</v>
      </c>
      <c r="CI102" s="309">
        <f t="shared" si="239"/>
        <v>33.39928398124831</v>
      </c>
      <c r="CJ102" s="256"/>
      <c r="CK102" s="256"/>
      <c r="CL102" s="305">
        <f>SUM(CL98:CL101)</f>
        <v>242.48500000000001</v>
      </c>
      <c r="CM102" s="309">
        <f t="shared" si="240"/>
        <v>34.26531330325335</v>
      </c>
      <c r="CN102" s="256"/>
      <c r="CO102" s="256"/>
      <c r="CP102" s="305">
        <f>SUM(CP98:CP101)</f>
        <v>227.41900000000001</v>
      </c>
      <c r="CQ102" s="309">
        <f t="shared" si="241"/>
        <v>35.336774522356336</v>
      </c>
      <c r="CR102" s="256"/>
      <c r="CS102" s="256"/>
      <c r="CT102" s="305">
        <f>SUM(CT98:CT101)</f>
        <v>255.96600000000001</v>
      </c>
      <c r="CU102" s="309">
        <f t="shared" si="242"/>
        <v>34.731366046665606</v>
      </c>
      <c r="CV102" s="256"/>
      <c r="CW102" s="256"/>
      <c r="CX102" s="305">
        <f>SUM(CX98:CX101)</f>
        <v>253.358</v>
      </c>
      <c r="CY102" s="309">
        <f t="shared" si="243"/>
        <v>30.476738087562371</v>
      </c>
      <c r="CZ102" s="256"/>
      <c r="DA102" s="256"/>
      <c r="DB102" s="305">
        <f>SUM(DB98:DB101)</f>
        <v>262.15699999999998</v>
      </c>
      <c r="DC102" s="309">
        <f t="shared" si="244"/>
        <v>34.649352365847214</v>
      </c>
      <c r="DD102" s="256"/>
      <c r="DE102" s="256"/>
      <c r="DF102" s="305">
        <f>SUM(DF98:DF101)</f>
        <v>244.5</v>
      </c>
      <c r="DG102" s="309">
        <f t="shared" si="245"/>
        <v>34.214945424013443</v>
      </c>
      <c r="DH102" s="256"/>
      <c r="DI102" s="256"/>
      <c r="DJ102" s="305">
        <f>SUM(DJ98:DJ101)</f>
        <v>244.2</v>
      </c>
      <c r="DK102" s="309">
        <f t="shared" si="246"/>
        <v>32.114676486059963</v>
      </c>
      <c r="DL102" s="256"/>
      <c r="DM102" s="256"/>
      <c r="DN102" s="305">
        <f>SUM(DN98:DN101)</f>
        <v>212.5930166056128</v>
      </c>
      <c r="DO102" s="309">
        <f>DN102/DN82*100</f>
        <v>28.000000000000004</v>
      </c>
      <c r="DP102" s="256"/>
      <c r="DQ102" s="256"/>
      <c r="DR102" s="305"/>
      <c r="DS102" s="256"/>
      <c r="DT102" s="256"/>
      <c r="DU102" s="256"/>
      <c r="DV102" s="256"/>
      <c r="DW102" s="256"/>
      <c r="DX102" s="256"/>
      <c r="DY102" s="256"/>
      <c r="DZ102" s="256"/>
      <c r="EA102" s="256"/>
    </row>
    <row r="103" spans="1:131" hidden="1" outlineLevel="1">
      <c r="A103" s="256" t="str">
        <f>$A$15</f>
        <v>6 Mos</v>
      </c>
      <c r="B103" s="256"/>
      <c r="C103" s="256"/>
      <c r="D103" s="289"/>
      <c r="E103" s="256"/>
      <c r="F103" s="289">
        <f>SUM(F98:F99)</f>
        <v>0</v>
      </c>
      <c r="G103" s="309"/>
      <c r="H103" s="256"/>
      <c r="I103" s="256"/>
      <c r="J103" s="289">
        <f>SUM(J98:J99)</f>
        <v>8.5020000000000007</v>
      </c>
      <c r="K103" s="309">
        <f>J103/J$10*100</f>
        <v>8.7554708820349099</v>
      </c>
      <c r="L103" s="256"/>
      <c r="M103" s="256"/>
      <c r="N103" s="289">
        <f>SUM(N98:N99)</f>
        <v>5.1059999999999999</v>
      </c>
      <c r="O103" s="309">
        <f>N103/N$10*100</f>
        <v>4.7613719017512439</v>
      </c>
      <c r="P103" s="256"/>
      <c r="Q103" s="256"/>
      <c r="R103" s="289">
        <f>SUM(R98:R99)</f>
        <v>0.85799999999999876</v>
      </c>
      <c r="S103" s="309">
        <f>R103/R$10*100</f>
        <v>0.78369762789890374</v>
      </c>
      <c r="T103" s="256"/>
      <c r="U103" s="256"/>
      <c r="V103" s="289">
        <f>SUM(V98:V99)</f>
        <v>4.0339999999999998</v>
      </c>
      <c r="W103" s="309">
        <f>V103/V$10*100</f>
        <v>3.0745310844695788</v>
      </c>
      <c r="X103" s="256"/>
      <c r="Y103" s="256"/>
      <c r="Z103" s="289">
        <f>SUM(Z98:Z99)</f>
        <v>5.673</v>
      </c>
      <c r="AA103" s="309">
        <f t="shared" si="226"/>
        <v>43.170230576059716</v>
      </c>
      <c r="AB103" s="256"/>
      <c r="AC103" s="256"/>
      <c r="AD103" s="289">
        <f>SUM(AD98:AD99)</f>
        <v>10.133000000000001</v>
      </c>
      <c r="AE103" s="309">
        <f t="shared" si="227"/>
        <v>43.20003410641197</v>
      </c>
      <c r="AF103" s="256"/>
      <c r="AG103" s="256"/>
      <c r="AH103" s="289">
        <f>SUM(AH98:AH99)</f>
        <v>14.529</v>
      </c>
      <c r="AI103" s="309">
        <f t="shared" si="228"/>
        <v>42.999200923377416</v>
      </c>
      <c r="AJ103" s="256"/>
      <c r="AK103" s="256"/>
      <c r="AL103" s="289">
        <f>SUM(AL98:AL99)</f>
        <v>18.213999999999999</v>
      </c>
      <c r="AM103" s="309">
        <f t="shared" si="229"/>
        <v>42.497491775356409</v>
      </c>
      <c r="AN103" s="256"/>
      <c r="AO103" s="256"/>
      <c r="AP103" s="289">
        <f>SUM(AP98:AP99)</f>
        <v>28.340999999999998</v>
      </c>
      <c r="AQ103" s="309">
        <f t="shared" si="230"/>
        <v>41.999733250344555</v>
      </c>
      <c r="AR103" s="256"/>
      <c r="AS103" s="256"/>
      <c r="AT103" s="289">
        <f>SUM(AT98:AT99)</f>
        <v>46.393000000000001</v>
      </c>
      <c r="AU103" s="309">
        <f t="shared" si="231"/>
        <v>39.999827560935671</v>
      </c>
      <c r="AV103" s="256"/>
      <c r="AW103" s="256"/>
      <c r="AX103" s="289">
        <f>SUM(AX98:AX99)</f>
        <v>44.542999999999999</v>
      </c>
      <c r="AY103" s="309">
        <f t="shared" si="232"/>
        <v>40.000179602539589</v>
      </c>
      <c r="AZ103" s="256"/>
      <c r="BA103" s="256"/>
      <c r="BB103" s="289">
        <f>SUM(BB98:BB99)</f>
        <v>43.614999999999995</v>
      </c>
      <c r="BC103" s="309">
        <f t="shared" si="233"/>
        <v>39.999816577706838</v>
      </c>
      <c r="BD103" s="256"/>
      <c r="BE103" s="256"/>
      <c r="BF103" s="289">
        <f>SUM(BF98:BF99)</f>
        <v>44.649000000000001</v>
      </c>
      <c r="BG103" s="309">
        <f t="shared" si="234"/>
        <v>36.700120829531727</v>
      </c>
      <c r="BH103" s="256"/>
      <c r="BI103" s="256"/>
      <c r="BJ103" s="289">
        <f>SUM(BJ98:BJ99)</f>
        <v>42.841999999999999</v>
      </c>
      <c r="BK103" s="309">
        <f>BJ103/BJ83*100</f>
        <v>37.999698429170806</v>
      </c>
      <c r="BL103" s="256"/>
      <c r="BM103" s="587"/>
      <c r="BN103" s="289">
        <f>SUM(BN98:BN99)</f>
        <v>41.706000000000003</v>
      </c>
      <c r="BO103" s="309">
        <f t="shared" si="235"/>
        <v>31.520235800929576</v>
      </c>
      <c r="BP103" s="256"/>
      <c r="BQ103" s="599"/>
      <c r="BR103" s="289">
        <f>SUM(BR98:BR99)</f>
        <v>54.470999999999997</v>
      </c>
      <c r="BS103" s="309">
        <f t="shared" si="236"/>
        <v>38.180250651863076</v>
      </c>
      <c r="BT103" s="256"/>
      <c r="BU103" s="256"/>
      <c r="BV103" s="289">
        <f>SUM(BV98:BV99)</f>
        <v>74.334999999999994</v>
      </c>
      <c r="BW103" s="309">
        <f>BV103/BV83*100</f>
        <v>38.145747699760349</v>
      </c>
      <c r="BX103" s="256"/>
      <c r="BY103" s="256"/>
      <c r="BZ103" s="289">
        <f>SUM(BZ98:BZ99)</f>
        <v>86.983999999999995</v>
      </c>
      <c r="CA103" s="309">
        <f t="shared" si="237"/>
        <v>36.831096244230842</v>
      </c>
      <c r="CB103" s="256"/>
      <c r="CC103" s="256"/>
      <c r="CD103" s="289">
        <f>SUM(CD98:CD99)</f>
        <v>44.231999999999999</v>
      </c>
      <c r="CE103" s="309">
        <f t="shared" si="238"/>
        <v>36.843420460792622</v>
      </c>
      <c r="CF103" s="256"/>
      <c r="CG103" s="256"/>
      <c r="CH103" s="289">
        <f>SUM(CH98:CH99)</f>
        <v>68.313000000000002</v>
      </c>
      <c r="CI103" s="309">
        <f t="shared" si="239"/>
        <v>34.059600436757428</v>
      </c>
      <c r="CJ103" s="256"/>
      <c r="CK103" s="256"/>
      <c r="CL103" s="289">
        <f>SUM(CL98:CL99)</f>
        <v>102.358</v>
      </c>
      <c r="CM103" s="309">
        <f t="shared" si="240"/>
        <v>34.181087164143207</v>
      </c>
      <c r="CN103" s="256"/>
      <c r="CO103" s="256"/>
      <c r="CP103" s="289">
        <f>SUM(CP98:CP99)</f>
        <v>91.426000000000002</v>
      </c>
      <c r="CQ103" s="309">
        <f t="shared" si="241"/>
        <v>34.53152088109654</v>
      </c>
      <c r="CR103" s="256"/>
      <c r="CS103" s="256"/>
      <c r="CT103" s="289">
        <f>SUM(CT98:CT99)</f>
        <v>103.43</v>
      </c>
      <c r="CU103" s="309">
        <f t="shared" si="242"/>
        <v>34.472300175311119</v>
      </c>
      <c r="CV103" s="256"/>
      <c r="CW103" s="256"/>
      <c r="CX103" s="289">
        <f>SUM(CX98:CX99)</f>
        <v>136.15800000000002</v>
      </c>
      <c r="CY103" s="309">
        <f t="shared" si="243"/>
        <v>35.284422641861482</v>
      </c>
      <c r="CZ103" s="256"/>
      <c r="DA103" s="256"/>
      <c r="DB103" s="289">
        <f>SUM(DB98:DB99)</f>
        <v>113.39999999999999</v>
      </c>
      <c r="DC103" s="309">
        <f t="shared" si="244"/>
        <v>34.415781487101668</v>
      </c>
      <c r="DD103" s="256"/>
      <c r="DE103" s="256"/>
      <c r="DF103" s="289">
        <f>SUM(DF98:DF99)</f>
        <v>91.4</v>
      </c>
      <c r="DG103" s="309">
        <f t="shared" si="245"/>
        <v>32.115249472944498</v>
      </c>
      <c r="DH103" s="256"/>
      <c r="DI103" s="256"/>
      <c r="DJ103" s="289">
        <f>SUM(DJ98:DJ99)</f>
        <v>100.7</v>
      </c>
      <c r="DK103" s="309">
        <f t="shared" si="246"/>
        <v>32.631237848347368</v>
      </c>
      <c r="DL103" s="256"/>
      <c r="DM103" s="256"/>
      <c r="DN103" s="289">
        <f>SUM(DN98:DN99)</f>
        <v>91.007528087598416</v>
      </c>
      <c r="DO103" s="309">
        <f>DN103/DN83*100</f>
        <v>28.000000000000004</v>
      </c>
      <c r="DP103" s="256"/>
      <c r="DQ103" s="256"/>
      <c r="DR103" s="256"/>
      <c r="DS103" s="256"/>
      <c r="DT103" s="256"/>
      <c r="DU103" s="256"/>
      <c r="DV103" s="256"/>
      <c r="DW103" s="256"/>
      <c r="DX103" s="256"/>
      <c r="DY103" s="256"/>
      <c r="DZ103" s="256"/>
      <c r="EA103" s="256"/>
    </row>
    <row r="104" spans="1:131" hidden="1" outlineLevel="1">
      <c r="A104" s="256" t="str">
        <f>$A$16</f>
        <v>9 Mos</v>
      </c>
      <c r="B104" s="256"/>
      <c r="C104" s="256"/>
      <c r="D104" s="289"/>
      <c r="E104" s="256"/>
      <c r="F104" s="289">
        <f>SUM(F98:F100)</f>
        <v>0</v>
      </c>
      <c r="G104" s="309"/>
      <c r="H104" s="256"/>
      <c r="I104" s="256"/>
      <c r="J104" s="289">
        <f>SUM(J98:J100)</f>
        <v>14.387999999999998</v>
      </c>
      <c r="K104" s="309">
        <f>J104/J$10*100</f>
        <v>14.816950723443693</v>
      </c>
      <c r="L104" s="256"/>
      <c r="M104" s="256"/>
      <c r="N104" s="289">
        <f>SUM(N98:N100)</f>
        <v>4.1159999999999997</v>
      </c>
      <c r="O104" s="309">
        <f>N104/N$10*100</f>
        <v>3.8381916857830238</v>
      </c>
      <c r="P104" s="256"/>
      <c r="Q104" s="256"/>
      <c r="R104" s="289">
        <f>SUM(R98:R100)</f>
        <v>3.3179999999999987</v>
      </c>
      <c r="S104" s="309">
        <f>R104/R$10*100</f>
        <v>3.0306628547419177</v>
      </c>
      <c r="T104" s="256"/>
      <c r="U104" s="256"/>
      <c r="V104" s="289">
        <f>SUM(V98:V100)</f>
        <v>7.6079999999999997</v>
      </c>
      <c r="W104" s="309">
        <f>V104/V$10*100</f>
        <v>5.7984711181568054</v>
      </c>
      <c r="X104" s="256"/>
      <c r="Y104" s="256"/>
      <c r="Z104" s="289">
        <f>SUM(Z98:Z100)</f>
        <v>10.452</v>
      </c>
      <c r="AA104" s="309">
        <f t="shared" si="226"/>
        <v>43.200793585186439</v>
      </c>
      <c r="AB104" s="256"/>
      <c r="AC104" s="256"/>
      <c r="AD104" s="289">
        <f>SUM(AD98:AD100)</f>
        <v>17.243000000000002</v>
      </c>
      <c r="AE104" s="309">
        <f t="shared" si="227"/>
        <v>43.201463182421726</v>
      </c>
      <c r="AF104" s="256"/>
      <c r="AG104" s="256"/>
      <c r="AH104" s="289">
        <f>SUM(AH98:AH100)</f>
        <v>23.177</v>
      </c>
      <c r="AI104" s="309">
        <f t="shared" si="228"/>
        <v>42.999999999999986</v>
      </c>
      <c r="AJ104" s="256"/>
      <c r="AK104" s="256"/>
      <c r="AL104" s="289">
        <f>SUM(AL98:AL100)</f>
        <v>26.992999999999999</v>
      </c>
      <c r="AM104" s="309">
        <f t="shared" si="229"/>
        <v>42.335319949811804</v>
      </c>
      <c r="AN104" s="256"/>
      <c r="AO104" s="256"/>
      <c r="AP104" s="289">
        <f>SUM(AP98:AP100)</f>
        <v>43.603999999999999</v>
      </c>
      <c r="AQ104" s="309">
        <f t="shared" si="230"/>
        <v>41.645018337408317</v>
      </c>
      <c r="AR104" s="256"/>
      <c r="AS104" s="256"/>
      <c r="AT104" s="289">
        <f>SUM(AT98:AT100)</f>
        <v>70.609000000000009</v>
      </c>
      <c r="AU104" s="309">
        <f t="shared" si="231"/>
        <v>40.000793115755258</v>
      </c>
      <c r="AV104" s="256"/>
      <c r="AW104" s="256"/>
      <c r="AX104" s="289">
        <f>SUM(AX98:AX100)</f>
        <v>60.563000000000002</v>
      </c>
      <c r="AY104" s="309">
        <f t="shared" si="232"/>
        <v>40.000660480169095</v>
      </c>
      <c r="AZ104" s="256"/>
      <c r="BA104" s="256"/>
      <c r="BB104" s="289">
        <f>SUM(BB98:BB100)</f>
        <v>60.912999999999997</v>
      </c>
      <c r="BC104" s="309">
        <f t="shared" si="233"/>
        <v>39.681443601185613</v>
      </c>
      <c r="BD104" s="256"/>
      <c r="BE104" s="256"/>
      <c r="BF104" s="289">
        <f>SUM(BF98:BF100)</f>
        <v>60.900000000000006</v>
      </c>
      <c r="BG104" s="309">
        <f t="shared" si="234"/>
        <v>36.699790889533027</v>
      </c>
      <c r="BH104" s="256"/>
      <c r="BI104" s="256"/>
      <c r="BJ104" s="289">
        <f>SUM(BJ98:BJ100)</f>
        <v>53.572000000000003</v>
      </c>
      <c r="BK104" s="309">
        <f>BJ104/BJ84*100</f>
        <v>38.039920188026812</v>
      </c>
      <c r="BL104" s="256"/>
      <c r="BM104" s="587"/>
      <c r="BN104" s="289">
        <f>SUM(BN98:BN100)</f>
        <v>53.423000000000002</v>
      </c>
      <c r="BO104" s="309">
        <f t="shared" si="235"/>
        <v>31.833322408995272</v>
      </c>
      <c r="BP104" s="256"/>
      <c r="BQ104" s="599"/>
      <c r="BR104" s="289">
        <f>SUM(BR98:BR100)</f>
        <v>70.795000000000002</v>
      </c>
      <c r="BS104" s="309">
        <f t="shared" si="236"/>
        <v>36.946095596946009</v>
      </c>
      <c r="BT104" s="256"/>
      <c r="BU104" s="256"/>
      <c r="BV104" s="289">
        <f>SUM(BV98:BV100)</f>
        <v>92.542999999999992</v>
      </c>
      <c r="BW104" s="309">
        <f>BV104/BV84*100</f>
        <v>36.190748076915561</v>
      </c>
      <c r="BX104" s="256"/>
      <c r="BY104" s="256"/>
      <c r="BZ104" s="289">
        <f>SUM(BZ98:BZ100)</f>
        <v>108.482</v>
      </c>
      <c r="CA104" s="309">
        <f t="shared" si="237"/>
        <v>35.776191858164246</v>
      </c>
      <c r="CB104" s="256"/>
      <c r="CC104" s="256"/>
      <c r="CD104" s="289">
        <f>SUM(CD98:CD100)</f>
        <v>62.531999999999996</v>
      </c>
      <c r="CE104" s="309">
        <f t="shared" si="238"/>
        <v>34.828037539335526</v>
      </c>
      <c r="CF104" s="256"/>
      <c r="CG104" s="256"/>
      <c r="CH104" s="289">
        <f>SUM(CH98:CH100)</f>
        <v>100.342</v>
      </c>
      <c r="CI104" s="309">
        <f t="shared" si="239"/>
        <v>34.414259305623659</v>
      </c>
      <c r="CJ104" s="256"/>
      <c r="CK104" s="256"/>
      <c r="CL104" s="289">
        <f>SUM(CL98:CL100)</f>
        <v>148.453</v>
      </c>
      <c r="CM104" s="309">
        <f t="shared" si="240"/>
        <v>34.10815132730756</v>
      </c>
      <c r="CN104" s="256"/>
      <c r="CO104" s="256"/>
      <c r="CP104" s="289">
        <f>SUM(CP98:CP100)</f>
        <v>130.75900000000001</v>
      </c>
      <c r="CQ104" s="309">
        <f t="shared" si="241"/>
        <v>35.60267158217458</v>
      </c>
      <c r="CR104" s="256"/>
      <c r="CS104" s="256"/>
      <c r="CT104" s="289">
        <f>SUM(CT98:CT100)</f>
        <v>148.51600000000002</v>
      </c>
      <c r="CU104" s="309">
        <f t="shared" si="242"/>
        <v>33.774054314653853</v>
      </c>
      <c r="CV104" s="256"/>
      <c r="CW104" s="256"/>
      <c r="CX104" s="289">
        <f>SUM(CX98:CX100)</f>
        <v>157.227</v>
      </c>
      <c r="CY104" s="309">
        <f t="shared" si="243"/>
        <v>29.169967514095468</v>
      </c>
      <c r="CZ104" s="256"/>
      <c r="DA104" s="256"/>
      <c r="DB104" s="289">
        <f>SUM(DB98:DB100)</f>
        <v>163.6</v>
      </c>
      <c r="DC104" s="309">
        <f t="shared" si="244"/>
        <v>34.756745272997662</v>
      </c>
      <c r="DD104" s="256"/>
      <c r="DE104" s="256"/>
      <c r="DF104" s="289">
        <f>SUM(DF98:DF100)</f>
        <v>141.80000000000001</v>
      </c>
      <c r="DG104" s="309">
        <f t="shared" si="245"/>
        <v>32.969076958846784</v>
      </c>
      <c r="DH104" s="256"/>
      <c r="DI104" s="256"/>
      <c r="DJ104" s="289">
        <f>SUM(DJ98:DJ100)</f>
        <v>150.9</v>
      </c>
      <c r="DK104" s="309">
        <f t="shared" si="246"/>
        <v>32.875816993464049</v>
      </c>
      <c r="DL104" s="256"/>
      <c r="DM104" s="256"/>
      <c r="DN104" s="289">
        <f>SUM(DN98:DN100)</f>
        <v>130.91885382888498</v>
      </c>
      <c r="DO104" s="309">
        <f>DN104/DN84*100</f>
        <v>28.000000000000004</v>
      </c>
      <c r="DP104" s="256"/>
      <c r="DQ104" s="256"/>
      <c r="DR104" s="256"/>
      <c r="DS104" s="256"/>
      <c r="DT104" s="256"/>
      <c r="DU104" s="256"/>
      <c r="DV104" s="256"/>
      <c r="DW104" s="256"/>
      <c r="DX104" s="256"/>
      <c r="DY104" s="256"/>
      <c r="DZ104" s="256"/>
      <c r="EA104" s="256"/>
    </row>
    <row r="105" spans="1:131" collapsed="1">
      <c r="A105" s="256"/>
      <c r="B105" s="256"/>
      <c r="C105" s="256"/>
      <c r="D105" s="256"/>
      <c r="E105" s="256"/>
      <c r="F105" s="256"/>
      <c r="G105" s="256"/>
      <c r="H105" s="256"/>
      <c r="I105" s="256"/>
      <c r="J105" s="256"/>
      <c r="K105" s="256"/>
      <c r="L105" s="256"/>
      <c r="M105" s="256"/>
      <c r="N105" s="256"/>
      <c r="O105" s="256"/>
      <c r="P105" s="256"/>
      <c r="Q105" s="256"/>
      <c r="R105" s="256"/>
      <c r="S105" s="256"/>
      <c r="T105" s="256"/>
      <c r="U105" s="256"/>
      <c r="V105" s="256"/>
      <c r="W105" s="256"/>
      <c r="X105" s="256"/>
      <c r="Y105" s="256"/>
      <c r="Z105" s="256"/>
      <c r="AA105" s="256"/>
      <c r="AB105" s="256"/>
      <c r="AC105" s="256"/>
      <c r="AD105" s="256"/>
      <c r="AE105" s="256"/>
      <c r="AF105" s="256"/>
      <c r="AG105" s="256"/>
      <c r="AH105" s="256"/>
      <c r="AI105" s="256"/>
      <c r="AJ105" s="256"/>
      <c r="AK105" s="256"/>
      <c r="AL105" s="256"/>
      <c r="AM105" s="256"/>
      <c r="AN105" s="256"/>
      <c r="AO105" s="256"/>
      <c r="AP105" s="256"/>
      <c r="AQ105" s="256"/>
      <c r="AR105" s="256"/>
      <c r="AS105" s="256"/>
      <c r="AT105" s="256"/>
      <c r="AU105" s="256"/>
      <c r="AV105" s="256"/>
      <c r="AW105" s="256"/>
      <c r="AX105" s="256"/>
      <c r="AY105" s="256"/>
      <c r="AZ105" s="256"/>
      <c r="BA105" s="256"/>
      <c r="BB105" s="256"/>
      <c r="BC105" s="256"/>
      <c r="BD105" s="256"/>
      <c r="BE105" s="256"/>
      <c r="BF105" s="256"/>
      <c r="BG105" s="256"/>
      <c r="BH105" s="256"/>
      <c r="BI105" s="256"/>
      <c r="BJ105" s="256"/>
      <c r="BK105" s="256"/>
      <c r="BL105" s="256"/>
      <c r="BM105" s="587"/>
      <c r="BN105" s="256"/>
      <c r="BO105" s="256"/>
      <c r="BP105" s="256"/>
      <c r="BQ105" s="599"/>
      <c r="BR105" s="256"/>
      <c r="BS105" s="256"/>
      <c r="BT105" s="256"/>
      <c r="BU105" s="256"/>
      <c r="BV105" s="256"/>
      <c r="BW105" s="256"/>
      <c r="BX105" s="256"/>
      <c r="BY105" s="256"/>
      <c r="BZ105" s="616"/>
      <c r="CA105" s="256"/>
      <c r="CB105" s="256"/>
      <c r="CC105" s="256"/>
      <c r="CD105" s="616"/>
      <c r="CE105" s="1284"/>
      <c r="CF105" s="256"/>
      <c r="CG105" s="256"/>
      <c r="CH105" s="616"/>
      <c r="CI105" s="256"/>
      <c r="CJ105" s="256"/>
      <c r="CK105" s="256"/>
      <c r="CL105" s="616"/>
      <c r="CM105" s="256"/>
      <c r="CN105" s="256"/>
      <c r="CO105" s="256"/>
      <c r="CP105" s="616"/>
      <c r="CQ105" s="256"/>
      <c r="CR105" s="256"/>
      <c r="CS105" s="256"/>
      <c r="CT105" s="616"/>
      <c r="CU105" s="256"/>
      <c r="CV105" s="256"/>
      <c r="CW105" s="256"/>
      <c r="CX105" s="616"/>
      <c r="CY105" s="256"/>
      <c r="CZ105" s="256"/>
      <c r="DA105" s="256"/>
      <c r="DB105" s="616"/>
      <c r="DC105" s="256"/>
      <c r="DD105" s="256"/>
      <c r="DE105" s="256"/>
      <c r="DF105" s="616"/>
      <c r="DG105" s="256"/>
      <c r="DH105" s="256"/>
      <c r="DI105" s="256"/>
      <c r="DJ105" s="616"/>
      <c r="DK105" s="256"/>
      <c r="DL105" s="256"/>
      <c r="DM105" s="256"/>
      <c r="DN105" s="616"/>
      <c r="DO105" s="256"/>
      <c r="DP105" s="256"/>
      <c r="DQ105" s="256"/>
      <c r="DR105" s="256"/>
      <c r="DS105" s="256"/>
      <c r="DT105" s="256"/>
      <c r="DU105" s="256"/>
      <c r="DV105" s="256"/>
      <c r="DW105" s="256"/>
      <c r="DX105" s="256"/>
      <c r="DY105" s="256"/>
      <c r="DZ105" s="256"/>
      <c r="EA105" s="256"/>
    </row>
    <row r="106" spans="1:131" ht="12.75" customHeight="1" collapsed="1">
      <c r="A106" s="256"/>
      <c r="B106" s="256"/>
      <c r="C106" s="268"/>
      <c r="D106" s="268"/>
      <c r="E106" s="268" t="str">
        <f>Z106</f>
        <v>8.  Net Earnings before items  (% Change)</v>
      </c>
      <c r="F106" s="268"/>
      <c r="G106" s="256"/>
      <c r="H106" s="256"/>
      <c r="I106" s="256"/>
      <c r="J106" s="268"/>
      <c r="K106" s="256"/>
      <c r="L106" s="256"/>
      <c r="M106" s="256"/>
      <c r="N106" s="268"/>
      <c r="O106" s="256"/>
      <c r="P106" s="256"/>
      <c r="Q106" s="256"/>
      <c r="R106" s="268"/>
      <c r="S106" s="256"/>
      <c r="T106" s="256"/>
      <c r="U106" s="256"/>
      <c r="V106" s="268"/>
      <c r="W106" s="256"/>
      <c r="X106" s="256"/>
      <c r="Y106" s="256"/>
      <c r="Z106" s="271" t="s">
        <v>1967</v>
      </c>
      <c r="AA106" s="312"/>
      <c r="AB106" s="312"/>
      <c r="AC106" s="312"/>
      <c r="AD106" s="311"/>
      <c r="AE106" s="312"/>
      <c r="AF106" s="312"/>
      <c r="AG106" s="312"/>
      <c r="AH106" s="311"/>
      <c r="AI106" s="312"/>
      <c r="AJ106" s="312"/>
      <c r="AK106" s="312"/>
      <c r="AL106" s="311"/>
      <c r="AM106" s="312"/>
      <c r="AN106" s="312"/>
      <c r="AO106" s="312"/>
      <c r="AP106" s="256"/>
      <c r="AQ106" s="256"/>
      <c r="AR106" s="256"/>
      <c r="AS106" s="256"/>
      <c r="AT106" s="256"/>
      <c r="AU106" s="256"/>
      <c r="AV106" s="256"/>
      <c r="AW106" s="256"/>
      <c r="AX106" s="256"/>
      <c r="AY106" s="256"/>
      <c r="AZ106" s="256"/>
      <c r="BA106" s="256"/>
      <c r="BB106" s="311"/>
      <c r="BC106" s="311"/>
      <c r="BD106" s="311"/>
      <c r="BE106" s="311"/>
      <c r="BF106" s="311"/>
      <c r="BG106" s="311"/>
      <c r="BH106" s="311"/>
      <c r="BI106" s="311"/>
      <c r="BJ106" s="311" t="s">
        <v>1967</v>
      </c>
      <c r="BK106" s="311"/>
      <c r="BL106" s="311"/>
      <c r="BM106" s="311"/>
      <c r="BN106" s="311"/>
      <c r="BO106" s="311"/>
      <c r="BP106" s="311"/>
      <c r="BQ106" s="311"/>
      <c r="BR106" s="311"/>
      <c r="BS106" s="311"/>
      <c r="BT106" s="311"/>
      <c r="BU106" s="311"/>
      <c r="BV106" s="311" t="s">
        <v>1967</v>
      </c>
      <c r="BW106" s="311"/>
      <c r="BX106" s="311"/>
      <c r="BY106" s="311"/>
      <c r="BZ106" s="311"/>
      <c r="CA106" s="311"/>
      <c r="CB106" s="311"/>
      <c r="CC106" s="311"/>
      <c r="CE106" s="311"/>
      <c r="CF106" s="311"/>
      <c r="CG106" s="311"/>
      <c r="CH106" s="311"/>
      <c r="CI106" s="311"/>
      <c r="CJ106" s="311"/>
      <c r="CK106" s="311"/>
      <c r="CL106" s="311"/>
      <c r="CM106" s="311"/>
      <c r="CN106" s="311"/>
      <c r="CO106" s="311"/>
      <c r="CP106" s="311"/>
      <c r="CR106" s="311"/>
      <c r="CS106" s="881"/>
      <c r="CT106" s="311"/>
      <c r="CU106" s="311"/>
      <c r="CV106" s="311"/>
      <c r="CW106" s="881"/>
      <c r="CX106" s="311"/>
      <c r="CY106" s="311"/>
      <c r="CZ106" s="311"/>
      <c r="DA106" s="881"/>
      <c r="DB106" s="311" t="s">
        <v>1967</v>
      </c>
      <c r="DC106" s="311"/>
      <c r="DD106" s="311"/>
      <c r="DE106" s="881"/>
      <c r="DF106" s="311"/>
      <c r="DG106" s="311"/>
      <c r="DH106" s="311"/>
      <c r="DI106" s="881"/>
      <c r="DJ106" s="311"/>
      <c r="DK106" s="311"/>
      <c r="DL106" s="311"/>
      <c r="DM106" s="881"/>
      <c r="DN106" s="311"/>
      <c r="DO106" s="311"/>
      <c r="DP106" s="311"/>
      <c r="DQ106" s="881"/>
      <c r="DR106" s="881"/>
      <c r="DS106" s="881"/>
      <c r="DT106" s="881"/>
      <c r="DU106" s="881"/>
      <c r="DV106" s="881"/>
      <c r="DW106" s="881"/>
      <c r="DX106" s="881"/>
      <c r="DY106" s="881"/>
      <c r="DZ106" s="881"/>
      <c r="EA106" s="881"/>
    </row>
    <row r="107" spans="1:131">
      <c r="A107" s="256"/>
      <c r="B107" s="256"/>
      <c r="C107" s="256"/>
      <c r="D107" s="256"/>
      <c r="E107" s="256"/>
      <c r="F107" s="256"/>
      <c r="G107" s="256"/>
      <c r="H107" s="256"/>
      <c r="I107" s="256"/>
      <c r="J107" s="256"/>
      <c r="K107" s="256"/>
      <c r="L107" s="256"/>
      <c r="M107" s="256"/>
      <c r="N107" s="256"/>
      <c r="O107" s="256"/>
      <c r="P107" s="256"/>
      <c r="Q107" s="256"/>
      <c r="R107" s="256"/>
      <c r="S107" s="256"/>
      <c r="T107" s="256"/>
      <c r="U107" s="256"/>
      <c r="V107" s="256"/>
      <c r="W107" s="256"/>
      <c r="X107" s="256"/>
      <c r="Y107" s="256"/>
      <c r="Z107" s="256"/>
      <c r="AA107" s="256"/>
      <c r="AB107" s="256"/>
      <c r="AC107" s="256"/>
      <c r="AD107" s="256"/>
      <c r="AE107" s="256"/>
      <c r="AF107" s="256"/>
      <c r="AG107" s="256"/>
      <c r="AH107" s="256"/>
      <c r="AI107" s="256"/>
      <c r="AJ107" s="256"/>
      <c r="AK107" s="256"/>
      <c r="AL107" s="256"/>
      <c r="AM107" s="256"/>
      <c r="AN107" s="256"/>
      <c r="AO107" s="256"/>
      <c r="AP107" s="256"/>
      <c r="AQ107" s="256"/>
      <c r="AR107" s="256"/>
      <c r="AS107" s="256"/>
      <c r="AT107" s="256"/>
      <c r="AU107" s="256"/>
      <c r="AV107" s="256"/>
      <c r="AW107" s="256"/>
      <c r="AX107" s="256"/>
      <c r="AY107" s="256"/>
      <c r="AZ107" s="256"/>
      <c r="BA107" s="256"/>
      <c r="BB107" s="256"/>
      <c r="BC107" s="256"/>
      <c r="BD107" s="256"/>
      <c r="BE107" s="256"/>
      <c r="BF107" s="256"/>
      <c r="BG107" s="256"/>
      <c r="BH107" s="256"/>
      <c r="BI107" s="256"/>
      <c r="BJ107" s="256"/>
      <c r="BK107" s="256"/>
      <c r="BL107" s="256"/>
      <c r="BM107" s="587"/>
      <c r="BN107" s="256"/>
      <c r="BO107" s="256"/>
      <c r="BP107" s="256"/>
      <c r="BQ107" s="599"/>
      <c r="BR107" s="256"/>
      <c r="BS107" s="256"/>
      <c r="BT107" s="256"/>
      <c r="BU107" s="256"/>
      <c r="BV107" s="256"/>
      <c r="BW107" s="256"/>
      <c r="BX107" s="256"/>
      <c r="BY107" s="256"/>
      <c r="BZ107" s="256"/>
      <c r="CA107" s="256"/>
      <c r="CB107" s="256"/>
      <c r="CC107" s="256"/>
      <c r="CD107" s="256"/>
      <c r="CE107" s="256"/>
      <c r="CF107" s="256"/>
      <c r="CG107" s="256"/>
      <c r="CH107" s="616"/>
      <c r="CI107" s="256"/>
      <c r="CJ107" s="256"/>
      <c r="CK107" s="256"/>
      <c r="CL107" s="616"/>
      <c r="CM107" s="256"/>
      <c r="CN107" s="256"/>
      <c r="CO107" s="256"/>
      <c r="CP107" s="616"/>
      <c r="CQ107" s="256"/>
      <c r="CR107" s="256"/>
      <c r="CS107" s="256"/>
      <c r="CT107" s="616"/>
      <c r="CU107" s="256"/>
      <c r="CV107" s="256"/>
      <c r="CW107" s="256"/>
      <c r="CX107" s="616"/>
      <c r="CY107" s="256"/>
      <c r="CZ107" s="256"/>
      <c r="DA107" s="256"/>
      <c r="DB107" s="616"/>
      <c r="DC107" s="256"/>
      <c r="DD107" s="256"/>
      <c r="DE107" s="256"/>
      <c r="DF107" s="616"/>
      <c r="DG107" s="256"/>
      <c r="DH107" s="256"/>
      <c r="DI107" s="256"/>
      <c r="DJ107" s="616"/>
      <c r="DK107" s="256"/>
      <c r="DL107" s="256"/>
      <c r="DM107" s="256"/>
      <c r="DN107" s="616"/>
      <c r="DO107" s="256"/>
      <c r="DP107" s="256"/>
      <c r="DQ107" s="256"/>
      <c r="DR107" s="256"/>
      <c r="DS107" s="256"/>
      <c r="DT107" s="256"/>
      <c r="DU107" s="256"/>
      <c r="DV107" s="256"/>
      <c r="DW107" s="256"/>
      <c r="DX107" s="256"/>
      <c r="DY107" s="256"/>
      <c r="DZ107" s="256"/>
      <c r="EA107" s="256"/>
    </row>
    <row r="108" spans="1:131">
      <c r="A108" s="256" t="str">
        <f>$A$10</f>
        <v>1Q</v>
      </c>
      <c r="B108" s="256" t="str">
        <f>$B$10</f>
        <v>Apr</v>
      </c>
      <c r="C108" s="256"/>
      <c r="D108" s="305">
        <f>D78-D98</f>
        <v>0</v>
      </c>
      <c r="E108" s="256"/>
      <c r="F108" s="305">
        <f>F78-F98</f>
        <v>0</v>
      </c>
      <c r="G108" s="310"/>
      <c r="H108" s="256"/>
      <c r="I108" s="256"/>
      <c r="J108" s="305">
        <f>J78-J98</f>
        <v>4.4390000000000098</v>
      </c>
      <c r="K108" s="310"/>
      <c r="L108" s="256"/>
      <c r="M108" s="256"/>
      <c r="N108" s="305">
        <f>N78-N98</f>
        <v>3.1030000000000193</v>
      </c>
      <c r="O108" s="310">
        <f t="shared" ref="O108:O114" si="247">IF(J108&lt;0,"       NM",(N108/J108-1)*100)</f>
        <v>-30.096868664113263</v>
      </c>
      <c r="P108" s="256"/>
      <c r="Q108" s="256"/>
      <c r="R108" s="305">
        <f>R78-R98</f>
        <v>1.036999999999991</v>
      </c>
      <c r="S108" s="310">
        <f t="shared" ref="S108:S114" si="248">IF(N108&lt;0,"       NM",(R108/N108-1)*100)</f>
        <v>-66.580728327425561</v>
      </c>
      <c r="T108" s="256"/>
      <c r="U108" s="256"/>
      <c r="V108" s="305">
        <f>V78-V98</f>
        <v>1.8759999999999899</v>
      </c>
      <c r="W108" s="310">
        <f t="shared" ref="W108:W114" si="249">IF(R108&lt;0,"       NM",(V108/R108-1)*100)</f>
        <v>80.906460945034326</v>
      </c>
      <c r="X108" s="256"/>
      <c r="Y108" s="256"/>
      <c r="Z108" s="305">
        <f>Z78-Z98</f>
        <v>2.1599999999999913</v>
      </c>
      <c r="AA108" s="310">
        <f t="shared" ref="AA108:AA114" si="250">IF(V108&lt;0,"       NM",(Z108/V108-1)*100)</f>
        <v>15.138592750533197</v>
      </c>
      <c r="AB108" s="310"/>
      <c r="AC108" s="256"/>
      <c r="AD108" s="305">
        <f>AD78-AD98</f>
        <v>5.0770000000000195</v>
      </c>
      <c r="AE108" s="310">
        <f t="shared" ref="AE108:AE114" si="251">IF(Z108&lt;0,"       NM",(AD108/Z108-1)*100)</f>
        <v>135.04629629629815</v>
      </c>
      <c r="AF108" s="256"/>
      <c r="AG108" s="256"/>
      <c r="AH108" s="305">
        <f>AH78-AH98</f>
        <v>8.8800000000000168</v>
      </c>
      <c r="AI108" s="310">
        <f t="shared" ref="AI108:AI114" si="252">IF(AD108&lt;0,"       NM",(AH108/AD108-1)*100)</f>
        <v>74.906440811502506</v>
      </c>
      <c r="AJ108" s="256"/>
      <c r="AK108" s="256"/>
      <c r="AL108" s="305">
        <f>AL78-AL98</f>
        <v>11.119999999999992</v>
      </c>
      <c r="AM108" s="310">
        <f t="shared" ref="AM108:AM114" si="253">IF(AH108&lt;0,"       NM",(AL108/AH108-1)*100)</f>
        <v>25.2252252252249</v>
      </c>
      <c r="AN108" s="256"/>
      <c r="AO108" s="256"/>
      <c r="AP108" s="305">
        <f>AP78-AP98</f>
        <v>16.156999999999993</v>
      </c>
      <c r="AQ108" s="310">
        <f t="shared" ref="AQ108:AQ114" si="254">IF(AL108&lt;0,"       NM",(AP108/AL108-1)*100)</f>
        <v>45.296762589928093</v>
      </c>
      <c r="AR108" s="256"/>
      <c r="AS108" s="256"/>
      <c r="AT108" s="305">
        <f>AT78-AT98</f>
        <v>30.424999999999979</v>
      </c>
      <c r="AU108" s="310">
        <f t="shared" ref="AU108:AU114" si="255">IF(AP108&lt;0,"       NM",(AT108/AP108-1)*100)</f>
        <v>88.308473107631329</v>
      </c>
      <c r="AV108" s="256"/>
      <c r="AW108" s="256"/>
      <c r="AX108" s="305">
        <f>AX78-AX98</f>
        <v>30.762</v>
      </c>
      <c r="AY108" s="310">
        <f t="shared" ref="AY108:AY114" si="256">IF(AT108&lt;0,"       NM",(AX108/AT108-1)*100)</f>
        <v>1.1076417419885631</v>
      </c>
      <c r="AZ108" s="256"/>
      <c r="BA108" s="256"/>
      <c r="BB108" s="305">
        <f>BB78-BB98</f>
        <v>32.709000000000032</v>
      </c>
      <c r="BC108" s="310">
        <f t="shared" ref="BC108:BC114" si="257">IF(AX108&lt;0,"       NM",(BB108/AX108-1)*100)</f>
        <v>6.3292373707822369</v>
      </c>
      <c r="BD108" s="256"/>
      <c r="BE108" s="256"/>
      <c r="BF108" s="305">
        <f>BF78-BF98</f>
        <v>35.862999999999992</v>
      </c>
      <c r="BG108" s="310">
        <f t="shared" ref="BG108:BG114" si="258">IF(BB108&lt;0,"       NM",(BF108/BB108-1)*100)</f>
        <v>9.6426060105780032</v>
      </c>
      <c r="BH108" s="256"/>
      <c r="BI108" s="256"/>
      <c r="BJ108" s="305">
        <f>BJ78-BJ98</f>
        <v>36.810999999999964</v>
      </c>
      <c r="BK108" s="310">
        <f t="shared" ref="BK108:BK114" si="259">IF(BF108&lt;0,"       NM",(BJ108/BF108-1)*100)</f>
        <v>2.6433929119147104</v>
      </c>
      <c r="BL108" s="256"/>
      <c r="BM108" s="587"/>
      <c r="BN108" s="305">
        <f>BN78-BN98</f>
        <v>40.058000000000035</v>
      </c>
      <c r="BO108" s="310">
        <f t="shared" ref="BO108:BO114" si="260">IF(BJ108&lt;0,"       NM",(BN108/BJ108-1)*100)</f>
        <v>8.8207329330908468</v>
      </c>
      <c r="BP108" s="256"/>
      <c r="BQ108" s="599"/>
      <c r="BR108" s="305">
        <f>BR78-BR98</f>
        <v>43.482999999999905</v>
      </c>
      <c r="BS108" s="310">
        <f t="shared" ref="BS108:BS114" si="261">IF(BN108&lt;0,"       NM",(BR108/BN108-1)*100)</f>
        <v>8.5501023515898602</v>
      </c>
      <c r="BT108" s="256"/>
      <c r="BU108" s="256"/>
      <c r="BV108" s="305">
        <f>BV78-BV98</f>
        <v>53.827000000000041</v>
      </c>
      <c r="BW108" s="310">
        <f>IF(BR108&lt;0,"       NM",(BV108/BR108-1)*100)</f>
        <v>23.788607041832812</v>
      </c>
      <c r="BX108" s="256"/>
      <c r="BY108" s="256"/>
      <c r="BZ108" s="305">
        <f>BZ78-BZ98</f>
        <v>66.546000000000049</v>
      </c>
      <c r="CA108" s="310">
        <f>IF(BV108&lt;0,"       NM",(BZ108/BV108-1)*100)</f>
        <v>23.629405317034191</v>
      </c>
      <c r="CB108" s="256"/>
      <c r="CC108" s="256"/>
      <c r="CD108" s="305">
        <f>CD78-CD98</f>
        <v>27.443000000000012</v>
      </c>
      <c r="CE108" s="310">
        <f>IF(BZ108&lt;0,"       NM",(CD108/BZ108-1)*100)</f>
        <v>-58.760857151444121</v>
      </c>
      <c r="CF108" s="256"/>
      <c r="CG108" s="256"/>
      <c r="CH108" s="305">
        <f>CH78-CH98</f>
        <v>62.189000000000036</v>
      </c>
      <c r="CI108" s="310">
        <f>IF(CD108&lt;0,"       NM",(CH108/CD108-1)*100)</f>
        <v>126.61152206391431</v>
      </c>
      <c r="CJ108" s="256"/>
      <c r="CK108" s="256"/>
      <c r="CL108" s="305">
        <f>CL78-CL98</f>
        <v>86.066000000000074</v>
      </c>
      <c r="CM108" s="310">
        <f>IF(CH108&lt;0,"       NM",(CL108/CH108-1)*100)</f>
        <v>38.394249786939859</v>
      </c>
      <c r="CN108" s="256"/>
      <c r="CO108" s="256"/>
      <c r="CP108" s="305">
        <f>CP78-CP98</f>
        <v>81.533999999999963</v>
      </c>
      <c r="CQ108" s="310">
        <f>IF(CL108&lt;0,"       NM",(CP108/CL108-1)*100)</f>
        <v>-5.2657263030698616</v>
      </c>
      <c r="CR108" s="256"/>
      <c r="CS108" s="256"/>
      <c r="CT108" s="305">
        <f>CT78-CT98</f>
        <v>89.827000000000055</v>
      </c>
      <c r="CU108" s="310">
        <f t="shared" ref="CU108:CU114" si="262">IF(CP108&lt;0,"       NM",(CT108/CP108-1)*100)</f>
        <v>10.171216915642667</v>
      </c>
      <c r="CV108" s="256"/>
      <c r="CW108" s="256"/>
      <c r="CX108" s="305">
        <f>CX78-CX98+CX88-CX68</f>
        <v>125.60899999999994</v>
      </c>
      <c r="CY108" s="310">
        <f t="shared" ref="CY108:CY114" si="263">IF(CT108&lt;0,"       NM",(CX108/CT108-1)*100)</f>
        <v>39.834348247186099</v>
      </c>
      <c r="CZ108" s="256"/>
      <c r="DA108" s="256"/>
      <c r="DB108" s="305">
        <f>DB78-DB98+DB88-DB68</f>
        <v>104.89999999999999</v>
      </c>
      <c r="DC108" s="310">
        <f>IF(CX108&lt;0,"       NM",(DB108/CX108-1)*100)</f>
        <v>-16.486875940418244</v>
      </c>
      <c r="DD108" s="256"/>
      <c r="DE108" s="256"/>
      <c r="DF108" s="305">
        <f>DF78-DF98+DF88-DF68</f>
        <v>87.499999999999915</v>
      </c>
      <c r="DG108" s="310">
        <f>IF(DB108&lt;0,"       NM",(DF108/DB108-1)*100)</f>
        <v>-16.587225929456693</v>
      </c>
      <c r="DH108" s="256"/>
      <c r="DI108" s="256"/>
      <c r="DJ108" s="305">
        <f>DJ78-DJ98+DJ88-DJ68</f>
        <v>92.90000000000002</v>
      </c>
      <c r="DK108" s="310">
        <f>IF(DF108&lt;0,"       NM",(DJ108/DF108-1)*100)</f>
        <v>6.1714285714286943</v>
      </c>
      <c r="DL108" s="256"/>
      <c r="DM108" s="256"/>
      <c r="DN108" s="305">
        <f>DN78-DN98+DN88-DN68</f>
        <v>112.74921452023662</v>
      </c>
      <c r="DO108" s="310">
        <f>IF(DJ108&lt;0,"       NM",(DN108/DJ108-1)*100)</f>
        <v>21.366215845249293</v>
      </c>
      <c r="DP108" s="256"/>
      <c r="DQ108" s="256"/>
      <c r="DR108" s="305"/>
      <c r="DS108" s="256"/>
      <c r="DT108" s="256"/>
      <c r="DU108" s="256"/>
      <c r="DV108" s="256"/>
      <c r="DW108" s="256"/>
      <c r="DX108" s="256"/>
      <c r="DY108" s="256"/>
      <c r="DZ108" s="256"/>
      <c r="EA108" s="256"/>
    </row>
    <row r="109" spans="1:131">
      <c r="A109" s="256" t="str">
        <f>$A$11</f>
        <v>2Q</v>
      </c>
      <c r="B109" s="256" t="str">
        <f>$B$11</f>
        <v>Jul</v>
      </c>
      <c r="C109" s="256"/>
      <c r="D109" s="289">
        <f>D79-D99</f>
        <v>0</v>
      </c>
      <c r="E109" s="256"/>
      <c r="F109" s="289">
        <f>F79-F99</f>
        <v>0</v>
      </c>
      <c r="G109" s="310"/>
      <c r="H109" s="256"/>
      <c r="I109" s="256"/>
      <c r="J109" s="289">
        <f>J79-J99</f>
        <v>7.2339999999999973</v>
      </c>
      <c r="K109" s="310"/>
      <c r="L109" s="256"/>
      <c r="M109" s="256"/>
      <c r="N109" s="289">
        <f>N79-N99</f>
        <v>3.8889999999999976</v>
      </c>
      <c r="O109" s="310">
        <f t="shared" si="247"/>
        <v>-46.239977882222846</v>
      </c>
      <c r="P109" s="256"/>
      <c r="Q109" s="256"/>
      <c r="R109" s="289">
        <f>R79-R99</f>
        <v>0.22500000000000409</v>
      </c>
      <c r="S109" s="310">
        <f t="shared" si="248"/>
        <v>-94.214451015685157</v>
      </c>
      <c r="T109" s="256"/>
      <c r="U109" s="256"/>
      <c r="V109" s="616">
        <f>V79-V99</f>
        <v>3.4500000000000148</v>
      </c>
      <c r="W109" s="310">
        <f t="shared" si="249"/>
        <v>1433.3333333333121</v>
      </c>
      <c r="X109" s="256"/>
      <c r="Y109" s="256"/>
      <c r="Z109" s="616">
        <f>Z79-Z99</f>
        <v>5.3079999999999936</v>
      </c>
      <c r="AA109" s="310">
        <f t="shared" si="250"/>
        <v>53.855072463767264</v>
      </c>
      <c r="AB109" s="310"/>
      <c r="AC109" s="256"/>
      <c r="AD109" s="289">
        <f>AD79-AD99</f>
        <v>8.2460000000000004</v>
      </c>
      <c r="AE109" s="310">
        <f t="shared" si="251"/>
        <v>55.35041446872664</v>
      </c>
      <c r="AF109" s="256"/>
      <c r="AG109" s="256"/>
      <c r="AH109" s="289">
        <f>AH79-AH99</f>
        <v>10.37999999999999</v>
      </c>
      <c r="AI109" s="310">
        <f t="shared" si="252"/>
        <v>25.879214164443233</v>
      </c>
      <c r="AJ109" s="256"/>
      <c r="AK109" s="256"/>
      <c r="AL109" s="289">
        <f>AL79-AL99</f>
        <v>13.525000000000006</v>
      </c>
      <c r="AM109" s="310">
        <f t="shared" si="253"/>
        <v>30.298651252408646</v>
      </c>
      <c r="AN109" s="256"/>
      <c r="AO109" s="256"/>
      <c r="AP109" s="289">
        <f>AP79-AP99</f>
        <v>22.981000000000002</v>
      </c>
      <c r="AQ109" s="310">
        <f t="shared" si="254"/>
        <v>69.9149722735674</v>
      </c>
      <c r="AR109" s="256"/>
      <c r="AS109" s="256"/>
      <c r="AT109" s="288">
        <f>AT79-AT99</f>
        <v>39.164999999999964</v>
      </c>
      <c r="AU109" s="310">
        <f t="shared" si="255"/>
        <v>70.423393237892</v>
      </c>
      <c r="AV109" s="256"/>
      <c r="AW109" s="256"/>
      <c r="AX109" s="289">
        <f>AX79-AX99</f>
        <v>36.051999999999985</v>
      </c>
      <c r="AY109" s="310">
        <f t="shared" si="256"/>
        <v>-7.9484233371632351</v>
      </c>
      <c r="AZ109" s="256"/>
      <c r="BA109" s="256"/>
      <c r="BB109" s="289">
        <f>BB79-BB99</f>
        <v>32.713999999999999</v>
      </c>
      <c r="BC109" s="310">
        <f t="shared" si="257"/>
        <v>-9.2588483301896947</v>
      </c>
      <c r="BD109" s="256"/>
      <c r="BE109" s="256"/>
      <c r="BF109" s="289">
        <f>BF79-BF99</f>
        <v>41.146999999999998</v>
      </c>
      <c r="BG109" s="310">
        <f t="shared" si="258"/>
        <v>25.777954392614788</v>
      </c>
      <c r="BH109" s="256"/>
      <c r="BI109" s="256"/>
      <c r="BJ109" s="289">
        <f>BJ79-BJ99</f>
        <v>33.089999999999932</v>
      </c>
      <c r="BK109" s="310">
        <f t="shared" si="259"/>
        <v>-19.581014411743425</v>
      </c>
      <c r="BL109" s="256"/>
      <c r="BM109" s="587"/>
      <c r="BN109" s="289">
        <f>BN79-BN99</f>
        <v>50.551000000000066</v>
      </c>
      <c r="BO109" s="310">
        <f t="shared" si="260"/>
        <v>52.76820791780046</v>
      </c>
      <c r="BP109" s="256"/>
      <c r="BQ109" s="599"/>
      <c r="BR109" s="289">
        <f>BR79-BR99</f>
        <v>44.714000000000041</v>
      </c>
      <c r="BS109" s="310">
        <f t="shared" si="261"/>
        <v>-11.546754762517097</v>
      </c>
      <c r="BT109" s="256"/>
      <c r="BU109" s="256"/>
      <c r="BV109" s="289">
        <f>BV79-BV99</f>
        <v>66.708999999999975</v>
      </c>
      <c r="BW109" s="310">
        <f t="shared" ref="BW109:BW114" si="264">IF(BR109&lt;0,"       NM",(BV109/BR109-1)*100)</f>
        <v>49.190410162365048</v>
      </c>
      <c r="BX109" s="256"/>
      <c r="BY109" s="256"/>
      <c r="BZ109" s="289">
        <f>BZ79-BZ99</f>
        <v>82.640000000000015</v>
      </c>
      <c r="CA109" s="310">
        <f t="shared" ref="CA109:CA114" si="265">IF(BV109&lt;0,"       NM",(BZ109/BV109-1)*100)</f>
        <v>23.881335352051526</v>
      </c>
      <c r="CB109" s="256"/>
      <c r="CC109" s="256"/>
      <c r="CD109" s="289">
        <f>CD79-CD99</f>
        <v>48.379000000000048</v>
      </c>
      <c r="CE109" s="310">
        <f t="shared" ref="CE109:CE114" si="266">IF(BZ109&lt;0,"       NM",(CD109/BZ109-1)*100)</f>
        <v>-41.458131655372654</v>
      </c>
      <c r="CF109" s="256"/>
      <c r="CG109" s="256"/>
      <c r="CH109" s="289">
        <f>CH79-CH99</f>
        <v>70.066999999999993</v>
      </c>
      <c r="CI109" s="310">
        <f t="shared" ref="CI109:CI114" si="267">IF(CD109&lt;0,"       NM",(CH109/CD109-1)*100)</f>
        <v>44.829368114264298</v>
      </c>
      <c r="CJ109" s="256"/>
      <c r="CK109" s="256"/>
      <c r="CL109" s="289">
        <f>CL79-CL99</f>
        <v>111.03400000000003</v>
      </c>
      <c r="CM109" s="310">
        <f t="shared" ref="CM109:CM114" si="268">IF(CH109&lt;0,"       NM",(CL109/CH109-1)*100)</f>
        <v>58.468323176388367</v>
      </c>
      <c r="CN109" s="256"/>
      <c r="CO109" s="256"/>
      <c r="CP109" s="289">
        <f>CP79-CP99</f>
        <v>91.800999999999988</v>
      </c>
      <c r="CQ109" s="310">
        <f t="shared" ref="CQ109:CQ114" si="269">IF(CL109&lt;0,"       NM",(CP109/CL109-1)*100)</f>
        <v>-17.321721274564585</v>
      </c>
      <c r="CR109" s="256"/>
      <c r="CS109" s="256"/>
      <c r="CT109" s="289">
        <f>CT79-CT99</f>
        <v>106.78100000000003</v>
      </c>
      <c r="CU109" s="310">
        <f t="shared" si="262"/>
        <v>16.317905033714286</v>
      </c>
      <c r="CV109" s="256"/>
      <c r="CW109" s="256"/>
      <c r="CX109" s="289">
        <f>CX79-CX99+CX89-CX69</f>
        <v>124.12</v>
      </c>
      <c r="CY109" s="310">
        <f t="shared" si="263"/>
        <v>16.237907492906011</v>
      </c>
      <c r="CZ109" s="256"/>
      <c r="DA109" s="256"/>
      <c r="DB109" s="289">
        <f>DB79-DB99+DB89-DB69</f>
        <v>111.20000000000005</v>
      </c>
      <c r="DC109" s="310">
        <f>IF(CX109&lt;0,"       NM",(DB109/CX109-1)*100)</f>
        <v>-10.409281340638055</v>
      </c>
      <c r="DD109" s="256"/>
      <c r="DE109" s="256"/>
      <c r="DF109" s="289">
        <f>DF79-DF99+DF89-DF69</f>
        <v>105.70000000000003</v>
      </c>
      <c r="DG109" s="310">
        <f>IF(DB109&lt;0,"       NM",(DF109/DB109-1)*100)</f>
        <v>-4.9460431654676391</v>
      </c>
      <c r="DH109" s="256"/>
      <c r="DI109" s="256"/>
      <c r="DJ109" s="289">
        <f>DJ79-DJ99+DJ89-DJ69</f>
        <v>115.00000000000006</v>
      </c>
      <c r="DK109" s="310">
        <f>IF(DF109&lt;0,"       NM",(DJ109/DF109-1)*100)</f>
        <v>8.7984862819300069</v>
      </c>
      <c r="DL109" s="256"/>
      <c r="DM109" s="256"/>
      <c r="DN109" s="289">
        <f>DN79-DN99+DN89-DN69</f>
        <v>121.27014341930214</v>
      </c>
      <c r="DO109" s="310">
        <f>IF(DJ109&lt;0,"       NM",(DN109/DJ109-1)*100)</f>
        <v>5.4522986254800676</v>
      </c>
      <c r="DP109" s="256"/>
      <c r="DQ109" s="256"/>
      <c r="DR109" s="305"/>
      <c r="DS109" s="256"/>
      <c r="DT109" s="256"/>
      <c r="DU109" s="256"/>
      <c r="DV109" s="256"/>
      <c r="DW109" s="256"/>
      <c r="DX109" s="256"/>
      <c r="DY109" s="256"/>
      <c r="DZ109" s="256"/>
      <c r="EA109" s="256"/>
    </row>
    <row r="110" spans="1:131">
      <c r="A110" s="256" t="str">
        <f>$A$12</f>
        <v>3Q</v>
      </c>
      <c r="B110" s="256" t="str">
        <f>$B$12</f>
        <v>Oct</v>
      </c>
      <c r="C110" s="256"/>
      <c r="D110" s="289">
        <f>D80-D100</f>
        <v>0</v>
      </c>
      <c r="E110" s="256"/>
      <c r="F110" s="289">
        <f>F80-F100</f>
        <v>0</v>
      </c>
      <c r="G110" s="310"/>
      <c r="H110" s="256"/>
      <c r="I110" s="256"/>
      <c r="J110" s="289">
        <f>J80-J100</f>
        <v>8.0370000000000026</v>
      </c>
      <c r="K110" s="310"/>
      <c r="L110" s="256"/>
      <c r="M110" s="256"/>
      <c r="N110" s="289">
        <f>N80-N100</f>
        <v>5.5999999999985173E-2</v>
      </c>
      <c r="O110" s="310">
        <f t="shared" si="247"/>
        <v>-99.303222595496024</v>
      </c>
      <c r="P110" s="256"/>
      <c r="Q110" s="256"/>
      <c r="R110" s="289">
        <f>R80-R100</f>
        <v>3.2549999999999892</v>
      </c>
      <c r="S110" s="310">
        <f t="shared" si="248"/>
        <v>5712.5000000015198</v>
      </c>
      <c r="T110" s="256"/>
      <c r="U110" s="256"/>
      <c r="V110" s="289">
        <f>V80-V100</f>
        <v>4.7199999999999989</v>
      </c>
      <c r="W110" s="310">
        <f t="shared" si="249"/>
        <v>45.007680491551902</v>
      </c>
      <c r="X110" s="256"/>
      <c r="Y110" s="256"/>
      <c r="Z110" s="289">
        <f>Z80-Z100</f>
        <v>6.2739999999999974</v>
      </c>
      <c r="AA110" s="310">
        <f t="shared" si="250"/>
        <v>32.923728813559293</v>
      </c>
      <c r="AB110" s="310"/>
      <c r="AC110" s="256"/>
      <c r="AD110" s="289">
        <f>AD80-AD100</f>
        <v>9.3470000000000155</v>
      </c>
      <c r="AE110" s="310">
        <f t="shared" si="251"/>
        <v>48.979917118266172</v>
      </c>
      <c r="AF110" s="256"/>
      <c r="AG110" s="256"/>
      <c r="AH110" s="289">
        <f>AH80-AH100</f>
        <v>11.463000000000015</v>
      </c>
      <c r="AI110" s="310">
        <f t="shared" si="252"/>
        <v>22.638279661923576</v>
      </c>
      <c r="AJ110" s="256"/>
      <c r="AK110" s="256"/>
      <c r="AL110" s="289">
        <f>AL80-AL100</f>
        <v>12.121999999999986</v>
      </c>
      <c r="AM110" s="310">
        <f t="shared" si="253"/>
        <v>5.7489313443249479</v>
      </c>
      <c r="AN110" s="256"/>
      <c r="AO110" s="256"/>
      <c r="AP110" s="289">
        <f>AP80-AP100</f>
        <v>21.962000000000003</v>
      </c>
      <c r="AQ110" s="310">
        <f t="shared" si="254"/>
        <v>81.174723642963457</v>
      </c>
      <c r="AR110" s="256"/>
      <c r="AS110" s="256"/>
      <c r="AT110" s="288">
        <f>AT80-AT100</f>
        <v>36.320000000000022</v>
      </c>
      <c r="AU110" s="310">
        <f t="shared" si="255"/>
        <v>65.376559511884238</v>
      </c>
      <c r="AV110" s="256"/>
      <c r="AW110" s="256"/>
      <c r="AX110" s="289">
        <f>AX80-AX100</f>
        <v>24.027999999999995</v>
      </c>
      <c r="AY110" s="310">
        <f t="shared" si="256"/>
        <v>-33.843612334801819</v>
      </c>
      <c r="AZ110" s="256"/>
      <c r="BA110" s="256"/>
      <c r="BB110" s="289">
        <f>BB80-BB100</f>
        <v>27.169000000000011</v>
      </c>
      <c r="BC110" s="310">
        <f t="shared" si="257"/>
        <v>13.072249042783479</v>
      </c>
      <c r="BD110" s="256"/>
      <c r="BE110" s="256"/>
      <c r="BF110" s="289">
        <f>BF80-BF100</f>
        <v>28.031000000000002</v>
      </c>
      <c r="BG110" s="310">
        <f t="shared" si="258"/>
        <v>3.1727336302403097</v>
      </c>
      <c r="BH110" s="256"/>
      <c r="BI110" s="256"/>
      <c r="BJ110" s="289">
        <f>BJ80-BJ100</f>
        <v>17.358000000000004</v>
      </c>
      <c r="BK110" s="310">
        <f t="shared" si="259"/>
        <v>-38.075701901466218</v>
      </c>
      <c r="BL110" s="256"/>
      <c r="BM110" s="587"/>
      <c r="BN110" s="289">
        <f>BN80-BN100</f>
        <v>23.789000000000016</v>
      </c>
      <c r="BO110" s="310">
        <f t="shared" si="260"/>
        <v>37.049199216499652</v>
      </c>
      <c r="BP110" s="256"/>
      <c r="BQ110" s="599"/>
      <c r="BR110" s="289">
        <f>BR80-BR100</f>
        <v>32.624999999999943</v>
      </c>
      <c r="BS110" s="310">
        <f t="shared" si="261"/>
        <v>37.143217453444535</v>
      </c>
      <c r="BT110" s="256"/>
      <c r="BU110" s="256"/>
      <c r="BV110" s="289">
        <f>BV80-BV100</f>
        <v>42.629999999999953</v>
      </c>
      <c r="BW110" s="310">
        <f t="shared" si="264"/>
        <v>30.666666666666753</v>
      </c>
      <c r="BX110" s="256"/>
      <c r="BY110" s="256"/>
      <c r="BZ110" s="289">
        <f>(BZ80+BZ90)-BZ100</f>
        <v>45.55600000000004</v>
      </c>
      <c r="CA110" s="310">
        <f t="shared" si="265"/>
        <v>6.8637110016422476</v>
      </c>
      <c r="CB110" s="256"/>
      <c r="CC110" s="256"/>
      <c r="CD110" s="289">
        <f>CD80-CD100</f>
        <v>41.191000000000003</v>
      </c>
      <c r="CE110" s="310">
        <f t="shared" si="266"/>
        <v>-9.5816138379138494</v>
      </c>
      <c r="CF110" s="256"/>
      <c r="CG110" s="256"/>
      <c r="CH110" s="289">
        <f>(CH80+CH90)-CH100</f>
        <v>58.973000000000084</v>
      </c>
      <c r="CI110" s="310">
        <f t="shared" si="267"/>
        <v>43.169624432521857</v>
      </c>
      <c r="CJ110" s="256"/>
      <c r="CK110" s="256"/>
      <c r="CL110" s="289">
        <f>(CL80+CL90)-CL100</f>
        <v>89.689000000000021</v>
      </c>
      <c r="CM110" s="310">
        <f t="shared" si="268"/>
        <v>52.084852390076634</v>
      </c>
      <c r="CN110" s="256"/>
      <c r="CO110" s="256"/>
      <c r="CP110" s="289">
        <f>(CP80+CP90)-CP100</f>
        <v>63.178999999999959</v>
      </c>
      <c r="CQ110" s="310">
        <f t="shared" si="269"/>
        <v>-29.557693808605357</v>
      </c>
      <c r="CR110" s="256"/>
      <c r="CS110" s="256"/>
      <c r="CT110" s="289">
        <f>(CT80+CT90)-CT100</f>
        <v>94.61</v>
      </c>
      <c r="CU110" s="310">
        <f t="shared" si="262"/>
        <v>49.749125500561988</v>
      </c>
      <c r="CV110" s="256"/>
      <c r="CW110" s="256"/>
      <c r="CX110" s="289">
        <f>CX80-CX100+CX90-CX70</f>
        <v>99.224000000000103</v>
      </c>
      <c r="CY110" s="310">
        <f t="shared" si="263"/>
        <v>4.8768629108974837</v>
      </c>
      <c r="CZ110" s="256"/>
      <c r="DA110" s="256"/>
      <c r="DB110" s="289">
        <f>DB80-DB100+DB90-DB70</f>
        <v>90.999999999999986</v>
      </c>
      <c r="DC110" s="310">
        <f>IF(CX110&lt;0,"       NM",(DB110/CX110-1)*100)</f>
        <v>-8.2883173425785213</v>
      </c>
      <c r="DD110" s="256"/>
      <c r="DE110" s="256"/>
      <c r="DF110" s="289">
        <f>DF80-DF100+DF90-DF70</f>
        <v>95.1</v>
      </c>
      <c r="DG110" s="310">
        <f>IF(DB110&lt;0,"       NM",(DF110/DB110-1)*100)</f>
        <v>4.5054945054945117</v>
      </c>
      <c r="DH110" s="256"/>
      <c r="DI110" s="256"/>
      <c r="DJ110" s="289">
        <f>DJ80-DJ100+DJ90-DJ70</f>
        <v>100.20000000000006</v>
      </c>
      <c r="DK110" s="310">
        <f>IF(DF110&lt;0,"       NM",(DJ110/DF110-1)*100)</f>
        <v>5.3627760252366707</v>
      </c>
      <c r="DL110" s="256"/>
      <c r="DM110" s="256"/>
      <c r="DN110" s="289">
        <f>DN80-DN100+DN90-DN70</f>
        <v>102.62912333473687</v>
      </c>
      <c r="DO110" s="310">
        <f>IF(DJ110&lt;0,"       NM",(DN110/DJ110-1)*100)</f>
        <v>2.4242747851664914</v>
      </c>
      <c r="DP110" s="256"/>
      <c r="DQ110" s="256"/>
      <c r="DR110" s="305"/>
      <c r="DS110" s="256"/>
      <c r="DT110" s="256"/>
      <c r="DU110" s="256"/>
      <c r="DV110" s="256"/>
      <c r="DW110" s="256"/>
      <c r="DX110" s="256"/>
      <c r="DY110" s="256"/>
      <c r="DZ110" s="256"/>
      <c r="EA110" s="256"/>
    </row>
    <row r="111" spans="1:131">
      <c r="A111" s="256" t="str">
        <f>$A$13</f>
        <v>4Q</v>
      </c>
      <c r="B111" s="256" t="str">
        <f>$B$13</f>
        <v>Jan</v>
      </c>
      <c r="C111" s="587"/>
      <c r="D111" s="313">
        <f>D81-D101</f>
        <v>0</v>
      </c>
      <c r="E111" s="587"/>
      <c r="F111" s="313">
        <f>F81-F101</f>
        <v>0</v>
      </c>
      <c r="G111" s="310"/>
      <c r="H111" s="256"/>
      <c r="I111" s="256"/>
      <c r="J111" s="313">
        <f>J81-J101</f>
        <v>12.097999999999994</v>
      </c>
      <c r="K111" s="310"/>
      <c r="L111" s="256"/>
      <c r="M111" s="256"/>
      <c r="N111" s="313">
        <f>N81-N101</f>
        <v>8.6640000000000139</v>
      </c>
      <c r="O111" s="310">
        <f t="shared" si="247"/>
        <v>-28.384857001157059</v>
      </c>
      <c r="P111" s="256"/>
      <c r="Q111" s="256"/>
      <c r="R111" s="313">
        <f>R81-R101</f>
        <v>18.016000000000005</v>
      </c>
      <c r="S111" s="310">
        <f t="shared" si="248"/>
        <v>107.94090489381323</v>
      </c>
      <c r="T111" s="256"/>
      <c r="U111" s="256"/>
      <c r="V111" s="313">
        <f>V81-V101</f>
        <v>19.295000000000012</v>
      </c>
      <c r="W111" s="310">
        <f t="shared" si="249"/>
        <v>7.0992451154529679</v>
      </c>
      <c r="X111" s="256"/>
      <c r="Y111" s="256"/>
      <c r="Z111" s="313">
        <f>Z81-Z101</f>
        <v>25.472999999999995</v>
      </c>
      <c r="AA111" s="310">
        <f t="shared" si="250"/>
        <v>32.018657683337537</v>
      </c>
      <c r="AB111" s="310"/>
      <c r="AC111" s="256"/>
      <c r="AD111" s="313">
        <f>AD81-AD101</f>
        <v>35.769000000000034</v>
      </c>
      <c r="AE111" s="310">
        <f t="shared" si="251"/>
        <v>40.419267459663331</v>
      </c>
      <c r="AF111" s="256"/>
      <c r="AG111" s="256"/>
      <c r="AH111" s="313">
        <f>AH81-AH101</f>
        <v>42.099000000000004</v>
      </c>
      <c r="AI111" s="310">
        <f t="shared" si="252"/>
        <v>17.696888367021614</v>
      </c>
      <c r="AJ111" s="256"/>
      <c r="AK111" s="256"/>
      <c r="AL111" s="313">
        <f>AL81-AL101</f>
        <v>53.295000000000059</v>
      </c>
      <c r="AM111" s="310">
        <f t="shared" si="253"/>
        <v>26.594455925319018</v>
      </c>
      <c r="AN111" s="256"/>
      <c r="AO111" s="256"/>
      <c r="AP111" s="313">
        <f>AP81-AP101</f>
        <v>84.578999999999951</v>
      </c>
      <c r="AQ111" s="310">
        <f t="shared" si="254"/>
        <v>58.699690402476513</v>
      </c>
      <c r="AR111" s="256"/>
      <c r="AS111" s="256"/>
      <c r="AT111" s="318">
        <f>AT81-AT101</f>
        <v>84.674000000000021</v>
      </c>
      <c r="AU111" s="310">
        <f t="shared" si="255"/>
        <v>0.11232102531368859</v>
      </c>
      <c r="AV111" s="256"/>
      <c r="AW111" s="256"/>
      <c r="AX111" s="313">
        <f>AX81-AX101</f>
        <v>82.745000000000005</v>
      </c>
      <c r="AY111" s="310">
        <f t="shared" si="256"/>
        <v>-2.2781491366889672</v>
      </c>
      <c r="AZ111" s="256"/>
      <c r="BA111" s="256"/>
      <c r="BB111" s="313">
        <f>BB81-BB101</f>
        <v>89.287000000000006</v>
      </c>
      <c r="BC111" s="310">
        <f t="shared" si="257"/>
        <v>7.9062178983624332</v>
      </c>
      <c r="BD111" s="256"/>
      <c r="BE111" s="256"/>
      <c r="BF111" s="313">
        <f>BF81-BF101</f>
        <v>110.47599999999994</v>
      </c>
      <c r="BG111" s="310">
        <f t="shared" si="258"/>
        <v>23.731338268728862</v>
      </c>
      <c r="BH111" s="256"/>
      <c r="BI111" s="256"/>
      <c r="BJ111" s="313">
        <f>(BJ81+BJ91)-BJ101</f>
        <v>217.04000000000002</v>
      </c>
      <c r="BK111" s="310">
        <f t="shared" si="259"/>
        <v>96.458959411999118</v>
      </c>
      <c r="BL111" s="256"/>
      <c r="BM111" s="587"/>
      <c r="BN111" s="313">
        <f>BN81-BN101</f>
        <v>140.25700000000001</v>
      </c>
      <c r="BO111" s="310">
        <f t="shared" si="260"/>
        <v>-35.377349797272394</v>
      </c>
      <c r="BP111" s="256"/>
      <c r="BQ111" s="599"/>
      <c r="BR111" s="313">
        <f>BR81-BR101</f>
        <v>147.87099999999992</v>
      </c>
      <c r="BS111" s="310">
        <f t="shared" si="261"/>
        <v>5.4286060588775831</v>
      </c>
      <c r="BT111" s="256"/>
      <c r="BU111" s="256"/>
      <c r="BV111" s="313">
        <f>BV81-BV101</f>
        <v>177.92399999999984</v>
      </c>
      <c r="BW111" s="310">
        <f t="shared" si="264"/>
        <v>20.323795740882211</v>
      </c>
      <c r="BX111" s="256"/>
      <c r="BY111" s="256"/>
      <c r="BZ111" s="313">
        <f>BZ81-BZ101</f>
        <v>106.73707999999996</v>
      </c>
      <c r="CA111" s="310">
        <f t="shared" si="265"/>
        <v>-40.009734493379156</v>
      </c>
      <c r="CB111" s="256"/>
      <c r="CC111" s="256"/>
      <c r="CD111" s="313">
        <f>CD81-CD101</f>
        <v>138.20700000000002</v>
      </c>
      <c r="CE111" s="310">
        <f t="shared" si="266"/>
        <v>29.48358714703463</v>
      </c>
      <c r="CF111" s="256"/>
      <c r="CG111" s="256"/>
      <c r="CH111" s="313">
        <f>CH81-CH101</f>
        <v>185.11099999999993</v>
      </c>
      <c r="CI111" s="310">
        <f t="shared" si="267"/>
        <v>33.937499547779716</v>
      </c>
      <c r="CJ111" s="256"/>
      <c r="CK111" s="256"/>
      <c r="CL111" s="313">
        <f>CL81-CL101</f>
        <v>178.3950000000001</v>
      </c>
      <c r="CM111" s="310">
        <f t="shared" si="268"/>
        <v>-3.6280934142216559</v>
      </c>
      <c r="CN111" s="256"/>
      <c r="CO111" s="256"/>
      <c r="CP111" s="313">
        <f>CP81-CP101</f>
        <v>179.64300000000006</v>
      </c>
      <c r="CQ111" s="310">
        <f t="shared" si="269"/>
        <v>0.69957117632217791</v>
      </c>
      <c r="CR111" s="256"/>
      <c r="CS111" s="256"/>
      <c r="CT111" s="313">
        <f>CT81-CT101</f>
        <v>189.80400000000014</v>
      </c>
      <c r="CU111" s="310">
        <f t="shared" si="262"/>
        <v>5.6562181660293476</v>
      </c>
      <c r="CV111" s="256"/>
      <c r="CW111" s="256"/>
      <c r="CX111" s="313">
        <f>CX81-CX101+CX91-CX71</f>
        <v>196.18200000000004</v>
      </c>
      <c r="CY111" s="310">
        <f t="shared" si="263"/>
        <v>3.3603085287980727</v>
      </c>
      <c r="CZ111" s="256"/>
      <c r="DA111" s="256"/>
      <c r="DB111" s="313">
        <f>DB81-DB101+DB91-DB71</f>
        <v>187.34299999999999</v>
      </c>
      <c r="DC111" s="310">
        <f>IF(CX111&lt;0,"       NM",(DB111/CX111-1)*100)</f>
        <v>-4.505510189517925</v>
      </c>
      <c r="DD111" s="256"/>
      <c r="DE111" s="256"/>
      <c r="DF111" s="313">
        <f>DF81-DF101+DF91-DF71</f>
        <v>181.7999999999999</v>
      </c>
      <c r="DG111" s="310">
        <f>IF(DB111&lt;0,"       NM",(DF111/DB111-1)*100)</f>
        <v>-2.9587441217446608</v>
      </c>
      <c r="DH111" s="256"/>
      <c r="DI111" s="256"/>
      <c r="DJ111" s="313">
        <f>DJ81-DJ101+DJ91-DJ71</f>
        <v>208.09999999999991</v>
      </c>
      <c r="DK111" s="310">
        <f>IF(DF111&lt;0,"       NM",(DJ111/DF111-1)*100)</f>
        <v>14.466446644664476</v>
      </c>
      <c r="DL111" s="256"/>
      <c r="DM111" s="256"/>
      <c r="DN111" s="313">
        <f>DN81-DN101+DN91-DN71</f>
        <v>210.01927571158581</v>
      </c>
      <c r="DO111" s="310">
        <f>IF(DJ111&lt;0,"       NM",(DN111/DJ111-1)*100)</f>
        <v>0.92228530109845774</v>
      </c>
      <c r="DP111" s="256"/>
      <c r="DQ111" s="256"/>
      <c r="DR111" s="305"/>
      <c r="DS111" s="256"/>
      <c r="DT111" s="256"/>
      <c r="DU111" s="256"/>
      <c r="DV111" s="256"/>
      <c r="DW111" s="256"/>
      <c r="DX111" s="256"/>
      <c r="DY111" s="256"/>
      <c r="DZ111" s="256"/>
      <c r="EA111" s="256"/>
    </row>
    <row r="112" spans="1:131">
      <c r="A112" s="256"/>
      <c r="B112" s="256" t="str">
        <f>$B$14</f>
        <v>Year</v>
      </c>
      <c r="C112" s="256"/>
      <c r="D112" s="305">
        <f>SUM(D108:D111)</f>
        <v>0</v>
      </c>
      <c r="E112" s="256"/>
      <c r="F112" s="305">
        <f>SUM(F108:F111)</f>
        <v>0</v>
      </c>
      <c r="G112" s="310"/>
      <c r="H112" s="256"/>
      <c r="I112" s="256"/>
      <c r="J112" s="305">
        <f>SUM(J108:J111)</f>
        <v>31.808</v>
      </c>
      <c r="K112" s="310"/>
      <c r="L112" s="256"/>
      <c r="M112" s="256"/>
      <c r="N112" s="305">
        <f>SUM(N108:N111)</f>
        <v>15.712000000000016</v>
      </c>
      <c r="O112" s="310">
        <f t="shared" si="247"/>
        <v>-50.603621730382244</v>
      </c>
      <c r="P112" s="256"/>
      <c r="Q112" s="256"/>
      <c r="R112" s="305">
        <f>SUM(R108:R111)</f>
        <v>22.532999999999991</v>
      </c>
      <c r="S112" s="310">
        <f t="shared" si="248"/>
        <v>43.412678207739106</v>
      </c>
      <c r="T112" s="256"/>
      <c r="U112" s="256"/>
      <c r="V112" s="305">
        <f>SUM(V108:V111)</f>
        <v>29.341000000000015</v>
      </c>
      <c r="W112" s="310">
        <f t="shared" si="249"/>
        <v>30.213464696223436</v>
      </c>
      <c r="X112" s="256"/>
      <c r="Y112" s="256"/>
      <c r="Z112" s="305">
        <f>SUM(Z108:Z111)</f>
        <v>39.214999999999975</v>
      </c>
      <c r="AA112" s="310">
        <f t="shared" si="250"/>
        <v>33.652568078797444</v>
      </c>
      <c r="AB112" s="310"/>
      <c r="AC112" s="256"/>
      <c r="AD112" s="305">
        <f>SUM(AD108:AD111)</f>
        <v>58.439000000000071</v>
      </c>
      <c r="AE112" s="310">
        <f t="shared" si="251"/>
        <v>49.022057886013279</v>
      </c>
      <c r="AF112" s="256"/>
      <c r="AG112" s="256"/>
      <c r="AH112" s="609">
        <f>SUM(AH108:AH111)</f>
        <v>72.822000000000031</v>
      </c>
      <c r="AI112" s="310">
        <f t="shared" si="252"/>
        <v>24.611988569277266</v>
      </c>
      <c r="AJ112" s="256"/>
      <c r="AK112" s="256"/>
      <c r="AL112" s="305">
        <f>SUM(AL108:AL111)</f>
        <v>90.06200000000004</v>
      </c>
      <c r="AM112" s="310">
        <f t="shared" si="253"/>
        <v>23.67416440086787</v>
      </c>
      <c r="AN112" s="256"/>
      <c r="AO112" s="256"/>
      <c r="AP112" s="609">
        <f>SUM(AP108:AP111)</f>
        <v>145.67899999999995</v>
      </c>
      <c r="AQ112" s="310">
        <f t="shared" si="254"/>
        <v>61.754124936154952</v>
      </c>
      <c r="AR112" s="256"/>
      <c r="AS112" s="256"/>
      <c r="AT112" s="305">
        <f>SUM(AT108:AT111)</f>
        <v>190.584</v>
      </c>
      <c r="AU112" s="310">
        <f t="shared" si="255"/>
        <v>30.82462125632388</v>
      </c>
      <c r="AV112" s="256"/>
      <c r="AW112" s="256"/>
      <c r="AX112" s="305">
        <f>SUM(AX108:AX111)</f>
        <v>173.58699999999999</v>
      </c>
      <c r="AY112" s="310">
        <f t="shared" si="256"/>
        <v>-8.9183771985056559</v>
      </c>
      <c r="AZ112" s="256"/>
      <c r="BA112" s="256"/>
      <c r="BB112" s="305">
        <f>SUM(BB108:BB111)</f>
        <v>181.87900000000005</v>
      </c>
      <c r="BC112" s="310">
        <f t="shared" si="257"/>
        <v>4.776855409679337</v>
      </c>
      <c r="BD112" s="256"/>
      <c r="BE112" s="256"/>
      <c r="BF112" s="305">
        <f>SUM(BF108:BF111)</f>
        <v>215.51699999999994</v>
      </c>
      <c r="BG112" s="310">
        <f t="shared" si="258"/>
        <v>18.494713518328055</v>
      </c>
      <c r="BH112" s="256"/>
      <c r="BI112" s="256"/>
      <c r="BJ112" s="305">
        <f>SUM(BJ108:BJ111)</f>
        <v>304.29899999999992</v>
      </c>
      <c r="BK112" s="310">
        <f t="shared" si="259"/>
        <v>41.194894138281434</v>
      </c>
      <c r="BL112" s="256"/>
      <c r="BM112" s="587"/>
      <c r="BN112" s="305">
        <f>SUM(BN108:BN111)</f>
        <v>254.65500000000011</v>
      </c>
      <c r="BO112" s="310">
        <f t="shared" si="260"/>
        <v>-16.314217266569997</v>
      </c>
      <c r="BP112" s="256"/>
      <c r="BQ112" s="599"/>
      <c r="BR112" s="305">
        <f>SUM(BR108:BR111)</f>
        <v>268.69299999999981</v>
      </c>
      <c r="BS112" s="310">
        <f t="shared" si="261"/>
        <v>5.5125562034908704</v>
      </c>
      <c r="BT112" s="256"/>
      <c r="BU112" s="256"/>
      <c r="BV112" s="305">
        <f>SUM(BV108:BV111)</f>
        <v>341.0899999999998</v>
      </c>
      <c r="BW112" s="310">
        <f t="shared" si="264"/>
        <v>26.944133267334848</v>
      </c>
      <c r="BX112" s="256"/>
      <c r="BY112" s="256"/>
      <c r="BZ112" s="305">
        <f>SUM(BZ108:BZ111)</f>
        <v>301.47908000000007</v>
      </c>
      <c r="CA112" s="310">
        <f t="shared" si="265"/>
        <v>-11.613040546483266</v>
      </c>
      <c r="CB112" s="256"/>
      <c r="CC112" s="256"/>
      <c r="CD112" s="305">
        <f>SUM(CD108:CD111)</f>
        <v>255.22000000000008</v>
      </c>
      <c r="CE112" s="310">
        <f t="shared" si="266"/>
        <v>-15.344043109060824</v>
      </c>
      <c r="CF112" s="256"/>
      <c r="CG112" s="256"/>
      <c r="CH112" s="305">
        <f>SUM(CH108:CH111)</f>
        <v>376.34000000000003</v>
      </c>
      <c r="CI112" s="310">
        <f t="shared" si="267"/>
        <v>47.457095838884065</v>
      </c>
      <c r="CJ112" s="256"/>
      <c r="CK112" s="256"/>
      <c r="CL112" s="305">
        <f>SUM(CL108:CL111)</f>
        <v>465.1840000000002</v>
      </c>
      <c r="CM112" s="310">
        <f t="shared" si="268"/>
        <v>23.607376308657102</v>
      </c>
      <c r="CN112" s="256"/>
      <c r="CO112" s="256"/>
      <c r="CP112" s="305">
        <f>SUM(CP108:CP111)</f>
        <v>416.15699999999993</v>
      </c>
      <c r="CQ112" s="310">
        <f t="shared" si="269"/>
        <v>-10.539270482217844</v>
      </c>
      <c r="CR112" s="256"/>
      <c r="CS112" s="256"/>
      <c r="CT112" s="305">
        <f>SUM(CT108:CT111)</f>
        <v>481.02200000000022</v>
      </c>
      <c r="CU112" s="310">
        <f t="shared" si="262"/>
        <v>15.586665609373451</v>
      </c>
      <c r="CV112" s="256"/>
      <c r="CW112" s="256"/>
      <c r="CX112" s="305">
        <f>SUM(CX108:CX111)</f>
        <v>545.1350000000001</v>
      </c>
      <c r="CY112" s="310">
        <f t="shared" si="263"/>
        <v>13.328496409727597</v>
      </c>
      <c r="CZ112" s="256"/>
      <c r="DA112" s="256"/>
      <c r="DB112" s="305">
        <f>SUM(DB108:DB111)</f>
        <v>494.44299999999998</v>
      </c>
      <c r="DC112" s="310">
        <f>IF(CX112&lt;0,"       NM",(DB112/CX112-1)*100)</f>
        <v>-9.2989809863611939</v>
      </c>
      <c r="DD112" s="256"/>
      <c r="DE112" s="256"/>
      <c r="DF112" s="305">
        <f>SUM(DF108:DF111)</f>
        <v>470.09999999999985</v>
      </c>
      <c r="DG112" s="310">
        <f>IF(DB112&lt;0,"       NM",(DF112/DB112-1)*100)</f>
        <v>-4.9233177535125687</v>
      </c>
      <c r="DH112" s="256"/>
      <c r="DI112" s="256"/>
      <c r="DJ112" s="305">
        <f>SUM(DJ108:DJ111)</f>
        <v>516.20000000000005</v>
      </c>
      <c r="DK112" s="310">
        <f>IF(DF112&lt;0,"       NM",(DJ112/DF112-1)*100)</f>
        <v>9.8064241650713146</v>
      </c>
      <c r="DL112" s="256"/>
      <c r="DM112" s="256"/>
      <c r="DN112" s="305">
        <f>SUM(DN108:DN111)</f>
        <v>546.66775698586139</v>
      </c>
      <c r="DO112" s="310">
        <f>IF(DJ112&lt;0,"       NM",(DN112/DJ112-1)*100)</f>
        <v>5.9023163475128593</v>
      </c>
      <c r="DP112" s="256"/>
      <c r="DQ112" s="256"/>
      <c r="DR112" s="305"/>
      <c r="DS112" s="305"/>
      <c r="DT112" s="256"/>
      <c r="DU112" s="256"/>
      <c r="DV112" s="256"/>
      <c r="DW112" s="256"/>
      <c r="DX112" s="256"/>
      <c r="DY112" s="256"/>
      <c r="DZ112" s="256"/>
      <c r="EA112" s="256"/>
    </row>
    <row r="113" spans="1:133" hidden="1" outlineLevel="1">
      <c r="A113" s="256" t="str">
        <f>$A$15</f>
        <v>6 Mos</v>
      </c>
      <c r="B113" s="256"/>
      <c r="C113" s="256"/>
      <c r="D113" s="289">
        <f>SUM(D108:D109)</f>
        <v>0</v>
      </c>
      <c r="E113" s="256"/>
      <c r="F113" s="289">
        <f>SUM(F108:F109)</f>
        <v>0</v>
      </c>
      <c r="G113" s="310"/>
      <c r="H113" s="256"/>
      <c r="I113" s="256"/>
      <c r="J113" s="289">
        <f>SUM(J108:J109)</f>
        <v>11.673000000000007</v>
      </c>
      <c r="K113" s="310"/>
      <c r="L113" s="256"/>
      <c r="M113" s="256"/>
      <c r="N113" s="289">
        <f>SUM(N108:N109)</f>
        <v>6.9920000000000169</v>
      </c>
      <c r="O113" s="310">
        <f t="shared" si="247"/>
        <v>-40.101087980810313</v>
      </c>
      <c r="P113" s="256"/>
      <c r="Q113" s="256"/>
      <c r="R113" s="289">
        <f>SUM(R108:R109)</f>
        <v>1.2619999999999951</v>
      </c>
      <c r="S113" s="310">
        <f t="shared" si="248"/>
        <v>-81.950800915331925</v>
      </c>
      <c r="T113" s="256"/>
      <c r="U113" s="256"/>
      <c r="V113" s="289">
        <f>SUM(V108:V109)</f>
        <v>5.326000000000005</v>
      </c>
      <c r="W113" s="310">
        <f t="shared" si="249"/>
        <v>322.02852614897193</v>
      </c>
      <c r="X113" s="256"/>
      <c r="Y113" s="256"/>
      <c r="Z113" s="289">
        <f>SUM(Z108:Z109)</f>
        <v>7.4679999999999849</v>
      </c>
      <c r="AA113" s="310">
        <f t="shared" si="250"/>
        <v>40.217799474276731</v>
      </c>
      <c r="AB113" s="310"/>
      <c r="AC113" s="256"/>
      <c r="AD113" s="289">
        <f>SUM(AD108:AD109)</f>
        <v>13.32300000000002</v>
      </c>
      <c r="AE113" s="310">
        <f t="shared" si="251"/>
        <v>78.401178361007595</v>
      </c>
      <c r="AF113" s="256"/>
      <c r="AG113" s="256"/>
      <c r="AH113" s="289">
        <f>SUM(AH108:AH109)</f>
        <v>19.260000000000005</v>
      </c>
      <c r="AI113" s="310">
        <f t="shared" si="252"/>
        <v>44.562035577572431</v>
      </c>
      <c r="AJ113" s="256"/>
      <c r="AK113" s="256"/>
      <c r="AL113" s="289">
        <f>SUM(AL108:AL109)</f>
        <v>24.644999999999996</v>
      </c>
      <c r="AM113" s="310">
        <f t="shared" si="253"/>
        <v>27.959501557632336</v>
      </c>
      <c r="AN113" s="256"/>
      <c r="AO113" s="256"/>
      <c r="AP113" s="289">
        <f>SUM(AP108:AP109)</f>
        <v>39.137999999999991</v>
      </c>
      <c r="AQ113" s="310">
        <f t="shared" si="254"/>
        <v>58.807060255629942</v>
      </c>
      <c r="AR113" s="256"/>
      <c r="AS113" s="256"/>
      <c r="AT113" s="289">
        <f>SUM(AT108:AT109)</f>
        <v>69.589999999999947</v>
      </c>
      <c r="AU113" s="310">
        <f t="shared" si="255"/>
        <v>77.806735142316839</v>
      </c>
      <c r="AV113" s="256"/>
      <c r="AW113" s="256"/>
      <c r="AX113" s="289">
        <f>SUM(AX108:AX109)</f>
        <v>66.813999999999993</v>
      </c>
      <c r="AY113" s="310">
        <f t="shared" si="256"/>
        <v>-3.989078890645148</v>
      </c>
      <c r="AZ113" s="256"/>
      <c r="BA113" s="256"/>
      <c r="BB113" s="289">
        <f>SUM(BB108:BB109)</f>
        <v>65.42300000000003</v>
      </c>
      <c r="BC113" s="310">
        <f t="shared" si="257"/>
        <v>-2.0818990032028695</v>
      </c>
      <c r="BD113" s="256"/>
      <c r="BE113" s="256"/>
      <c r="BF113" s="289">
        <f>SUM(BF108:BF109)</f>
        <v>77.009999999999991</v>
      </c>
      <c r="BG113" s="310">
        <f t="shared" si="258"/>
        <v>17.710896779420015</v>
      </c>
      <c r="BH113" s="256"/>
      <c r="BI113" s="256"/>
      <c r="BJ113" s="289">
        <f>SUM(BJ108:BJ109)</f>
        <v>69.900999999999897</v>
      </c>
      <c r="BK113" s="310">
        <f t="shared" si="259"/>
        <v>-9.2312686664070895</v>
      </c>
      <c r="BL113" s="256"/>
      <c r="BM113" s="587"/>
      <c r="BN113" s="289">
        <f>SUM(BN108:BN109)</f>
        <v>90.609000000000094</v>
      </c>
      <c r="BO113" s="310">
        <f t="shared" si="260"/>
        <v>29.624755010658266</v>
      </c>
      <c r="BP113" s="256"/>
      <c r="BQ113" s="599"/>
      <c r="BR113" s="289">
        <f>SUM(BR108:BR109)</f>
        <v>88.196999999999946</v>
      </c>
      <c r="BS113" s="310">
        <f t="shared" si="261"/>
        <v>-2.661987219812767</v>
      </c>
      <c r="BT113" s="256"/>
      <c r="BU113" s="256"/>
      <c r="BV113" s="289">
        <f>SUM(BV108:BV109)</f>
        <v>120.53600000000002</v>
      </c>
      <c r="BW113" s="310">
        <f t="shared" si="264"/>
        <v>36.666780049208114</v>
      </c>
      <c r="BX113" s="256"/>
      <c r="BY113" s="256"/>
      <c r="BZ113" s="289">
        <f>SUM(BZ108:BZ109)</f>
        <v>149.18600000000006</v>
      </c>
      <c r="CA113" s="310">
        <f t="shared" si="265"/>
        <v>23.768832547952524</v>
      </c>
      <c r="CB113" s="256"/>
      <c r="CC113" s="256"/>
      <c r="CD113" s="289">
        <f>SUM(CD108:CD109)</f>
        <v>75.82200000000006</v>
      </c>
      <c r="CE113" s="310">
        <f t="shared" si="266"/>
        <v>-49.176196157816399</v>
      </c>
      <c r="CF113" s="256"/>
      <c r="CG113" s="256"/>
      <c r="CH113" s="289">
        <f>SUM(CH108:CH109)</f>
        <v>132.25600000000003</v>
      </c>
      <c r="CI113" s="310">
        <f t="shared" si="267"/>
        <v>74.429585080847133</v>
      </c>
      <c r="CJ113" s="256"/>
      <c r="CK113" s="256"/>
      <c r="CL113" s="289">
        <f>SUM(CL108:CL109)</f>
        <v>197.10000000000011</v>
      </c>
      <c r="CM113" s="310">
        <f t="shared" si="268"/>
        <v>49.02915557706271</v>
      </c>
      <c r="CN113" s="256"/>
      <c r="CO113" s="256"/>
      <c r="CP113" s="289">
        <f>SUM(CP108:CP109)</f>
        <v>173.33499999999995</v>
      </c>
      <c r="CQ113" s="310">
        <f t="shared" si="269"/>
        <v>-12.057331303906714</v>
      </c>
      <c r="CR113" s="256"/>
      <c r="CS113" s="256"/>
      <c r="CT113" s="289">
        <f>SUM(CT108:CT109)</f>
        <v>196.60800000000009</v>
      </c>
      <c r="CU113" s="310">
        <f t="shared" si="262"/>
        <v>13.426601667291749</v>
      </c>
      <c r="CV113" s="256"/>
      <c r="CW113" s="256"/>
      <c r="CX113" s="289">
        <f>SUM(CX108:CX109)</f>
        <v>249.72899999999993</v>
      </c>
      <c r="CY113" s="310">
        <f t="shared" si="263"/>
        <v>27.018737792968661</v>
      </c>
      <c r="CZ113" s="256"/>
      <c r="DA113" s="256"/>
      <c r="DB113" s="289">
        <f>SUM(DB108:DB109)</f>
        <v>216.10000000000002</v>
      </c>
      <c r="DC113" s="310">
        <f>IF(CY113&lt;0,"       NM",(DB113/CY113-1)*100)</f>
        <v>699.81530468176697</v>
      </c>
      <c r="DD113" s="256"/>
      <c r="DE113" s="256"/>
      <c r="DF113" s="289">
        <f>SUM(DF108:DF109)</f>
        <v>193.19999999999993</v>
      </c>
      <c r="DG113" s="310">
        <f>IF(DC113&lt;0,"       NM",(DF113/DC113-1)*100)</f>
        <v>-72.392715805514513</v>
      </c>
      <c r="DH113" s="256"/>
      <c r="DI113" s="256"/>
      <c r="DJ113" s="289">
        <f>SUM(DJ108:DJ109)</f>
        <v>207.90000000000009</v>
      </c>
      <c r="DK113" s="310" t="str">
        <f>IF(DG113&lt;0,"       NM",(DJ113/DG113-1)*100)</f>
        <v xml:space="preserve">       NM</v>
      </c>
      <c r="DL113" s="256"/>
      <c r="DM113" s="256"/>
      <c r="DN113" s="289">
        <f>SUM(DN108:DN109)</f>
        <v>234.01935793953876</v>
      </c>
      <c r="DO113" s="310" t="e">
        <f>IF(DK113&lt;0,"       NM",(DN113/DK113-1)*100)</f>
        <v>#VALUE!</v>
      </c>
      <c r="DP113" s="256"/>
      <c r="DQ113" s="256"/>
      <c r="DR113" s="256"/>
      <c r="DS113" s="256"/>
      <c r="DT113" s="256"/>
      <c r="DU113" s="256"/>
      <c r="DV113" s="256"/>
      <c r="DW113" s="256"/>
      <c r="DX113" s="256"/>
      <c r="DY113" s="256"/>
      <c r="DZ113" s="256"/>
      <c r="EA113" s="256"/>
    </row>
    <row r="114" spans="1:133" hidden="1" outlineLevel="1">
      <c r="A114" s="256" t="str">
        <f>$A$16</f>
        <v>9 Mos</v>
      </c>
      <c r="B114" s="256"/>
      <c r="C114" s="256"/>
      <c r="D114" s="289">
        <f>SUM(D108:D110)</f>
        <v>0</v>
      </c>
      <c r="E114" s="256"/>
      <c r="F114" s="289">
        <f>SUM(F108:F110)</f>
        <v>0</v>
      </c>
      <c r="G114" s="310"/>
      <c r="H114" s="256"/>
      <c r="I114" s="256"/>
      <c r="J114" s="289">
        <f>SUM(J108:J110)</f>
        <v>19.710000000000008</v>
      </c>
      <c r="K114" s="310"/>
      <c r="L114" s="256"/>
      <c r="M114" s="256"/>
      <c r="N114" s="289">
        <f>SUM(N108:N110)</f>
        <v>7.0480000000000018</v>
      </c>
      <c r="O114" s="310">
        <f t="shared" si="247"/>
        <v>-64.241501775748361</v>
      </c>
      <c r="P114" s="256"/>
      <c r="Q114" s="256"/>
      <c r="R114" s="289">
        <f>SUM(R108:R110)</f>
        <v>4.5169999999999844</v>
      </c>
      <c r="S114" s="310">
        <f t="shared" si="248"/>
        <v>-35.91089670828628</v>
      </c>
      <c r="T114" s="256"/>
      <c r="U114" s="256"/>
      <c r="V114" s="289">
        <f>SUM(V108:V110)</f>
        <v>10.046000000000003</v>
      </c>
      <c r="W114" s="310">
        <f t="shared" si="249"/>
        <v>122.40425060881196</v>
      </c>
      <c r="X114" s="256"/>
      <c r="Y114" s="256"/>
      <c r="Z114" s="289">
        <f>SUM(Z108:Z110)</f>
        <v>13.741999999999983</v>
      </c>
      <c r="AA114" s="310">
        <f t="shared" si="250"/>
        <v>36.790762492534121</v>
      </c>
      <c r="AB114" s="310"/>
      <c r="AC114" s="256"/>
      <c r="AD114" s="289">
        <f>SUM(AD108:AD110)</f>
        <v>22.670000000000037</v>
      </c>
      <c r="AE114" s="310">
        <f t="shared" si="251"/>
        <v>64.968709067094068</v>
      </c>
      <c r="AF114" s="256"/>
      <c r="AG114" s="256"/>
      <c r="AH114" s="289">
        <f>SUM(AH108:AH110)</f>
        <v>30.72300000000002</v>
      </c>
      <c r="AI114" s="310">
        <f t="shared" si="252"/>
        <v>35.522717247463476</v>
      </c>
      <c r="AJ114" s="256"/>
      <c r="AK114" s="256"/>
      <c r="AL114" s="289">
        <f>SUM(AL108:AL110)</f>
        <v>36.766999999999982</v>
      </c>
      <c r="AM114" s="310">
        <f t="shared" si="253"/>
        <v>19.672558018422535</v>
      </c>
      <c r="AN114" s="256"/>
      <c r="AO114" s="256"/>
      <c r="AP114" s="289">
        <f>SUM(AP108:AP110)</f>
        <v>61.099999999999994</v>
      </c>
      <c r="AQ114" s="310">
        <f t="shared" si="254"/>
        <v>66.181630266271469</v>
      </c>
      <c r="AR114" s="256"/>
      <c r="AS114" s="256"/>
      <c r="AT114" s="289">
        <f>SUM(AT108:AT110)</f>
        <v>105.90999999999997</v>
      </c>
      <c r="AU114" s="310">
        <f t="shared" si="255"/>
        <v>73.338788870703723</v>
      </c>
      <c r="AV114" s="256"/>
      <c r="AW114" s="256"/>
      <c r="AX114" s="289">
        <f>SUM(AX108:AX110)</f>
        <v>90.841999999999985</v>
      </c>
      <c r="AY114" s="310">
        <f t="shared" si="256"/>
        <v>-14.227174015673672</v>
      </c>
      <c r="AZ114" s="256"/>
      <c r="BA114" s="256"/>
      <c r="BB114" s="289">
        <f>SUM(BB108:BB110)</f>
        <v>92.592000000000041</v>
      </c>
      <c r="BC114" s="310">
        <f t="shared" si="257"/>
        <v>1.926421699214087</v>
      </c>
      <c r="BD114" s="256"/>
      <c r="BE114" s="256"/>
      <c r="BF114" s="289">
        <f>SUM(BF108:BF110)</f>
        <v>105.041</v>
      </c>
      <c r="BG114" s="310">
        <f t="shared" si="258"/>
        <v>13.445006048038643</v>
      </c>
      <c r="BH114" s="256"/>
      <c r="BI114" s="256"/>
      <c r="BJ114" s="289">
        <f>SUM(BJ108:BJ110)</f>
        <v>87.258999999999901</v>
      </c>
      <c r="BK114" s="310">
        <f t="shared" si="259"/>
        <v>-16.928627869117861</v>
      </c>
      <c r="BL114" s="256"/>
      <c r="BM114" s="587"/>
      <c r="BN114" s="289">
        <f>SUM(BN108:BN110)</f>
        <v>114.39800000000011</v>
      </c>
      <c r="BO114" s="310">
        <f t="shared" si="260"/>
        <v>31.10166286572187</v>
      </c>
      <c r="BP114" s="256"/>
      <c r="BQ114" s="599"/>
      <c r="BR114" s="289">
        <f>SUM(BR108:BR110)</f>
        <v>120.82199999999989</v>
      </c>
      <c r="BS114" s="310">
        <f t="shared" si="261"/>
        <v>5.6154827881604419</v>
      </c>
      <c r="BT114" s="256"/>
      <c r="BU114" s="256"/>
      <c r="BV114" s="289">
        <f>SUM(BV108:BV110)</f>
        <v>163.16599999999997</v>
      </c>
      <c r="BW114" s="310">
        <f t="shared" si="264"/>
        <v>35.046597473970074</v>
      </c>
      <c r="BX114" s="256"/>
      <c r="BY114" s="256"/>
      <c r="BZ114" s="289">
        <f>SUM(BZ108:BZ110)</f>
        <v>194.7420000000001</v>
      </c>
      <c r="CA114" s="310">
        <f t="shared" si="265"/>
        <v>19.352070897123252</v>
      </c>
      <c r="CB114" s="256"/>
      <c r="CC114" s="256"/>
      <c r="CD114" s="289">
        <f>SUM(CD108:CD110)</f>
        <v>117.01300000000006</v>
      </c>
      <c r="CE114" s="310">
        <f t="shared" si="266"/>
        <v>-39.913834714648097</v>
      </c>
      <c r="CF114" s="256"/>
      <c r="CG114" s="256"/>
      <c r="CH114" s="289">
        <f>SUM(CH108:CH110)</f>
        <v>191.2290000000001</v>
      </c>
      <c r="CI114" s="310">
        <f t="shared" si="267"/>
        <v>63.425431362327259</v>
      </c>
      <c r="CJ114" s="256"/>
      <c r="CK114" s="256"/>
      <c r="CL114" s="289">
        <f>SUM(CL108:CL110)</f>
        <v>286.7890000000001</v>
      </c>
      <c r="CM114" s="310">
        <f t="shared" si="268"/>
        <v>49.971500138577277</v>
      </c>
      <c r="CN114" s="256"/>
      <c r="CO114" s="256"/>
      <c r="CP114" s="289">
        <f>SUM(CP108:CP110)</f>
        <v>236.5139999999999</v>
      </c>
      <c r="CQ114" s="310">
        <f t="shared" si="269"/>
        <v>-17.530309739913385</v>
      </c>
      <c r="CR114" s="256"/>
      <c r="CS114" s="256"/>
      <c r="CT114" s="289">
        <f>SUM(CT108:CT110)</f>
        <v>291.21800000000007</v>
      </c>
      <c r="CU114" s="310">
        <f t="shared" si="262"/>
        <v>23.129286215615231</v>
      </c>
      <c r="CV114" s="256"/>
      <c r="CW114" s="256"/>
      <c r="CX114" s="289">
        <f>SUM(CX108:CX110)</f>
        <v>348.95300000000003</v>
      </c>
      <c r="CY114" s="310">
        <f t="shared" si="263"/>
        <v>19.825354202006729</v>
      </c>
      <c r="CZ114" s="256"/>
      <c r="DA114" s="256"/>
      <c r="DB114" s="289">
        <f>SUM(DB108:DB110)</f>
        <v>307.10000000000002</v>
      </c>
      <c r="DC114" s="310">
        <f>IF(CY114&lt;0,"       NM",(DB114/CY114-1)*100)</f>
        <v>1449.0265488871582</v>
      </c>
      <c r="DD114" s="256"/>
      <c r="DE114" s="256"/>
      <c r="DF114" s="289">
        <f>SUM(DF108:DF110)</f>
        <v>288.29999999999995</v>
      </c>
      <c r="DG114" s="310">
        <f>IF(DC114&lt;0,"       NM",(DF114/DC114-1)*100)</f>
        <v>-80.1038842096156</v>
      </c>
      <c r="DH114" s="256"/>
      <c r="DI114" s="256"/>
      <c r="DJ114" s="289">
        <f>SUM(DJ108:DJ110)</f>
        <v>308.10000000000014</v>
      </c>
      <c r="DK114" s="310" t="str">
        <f>IF(DG114&lt;0,"       NM",(DJ114/DG114-1)*100)</f>
        <v xml:space="preserve">       NM</v>
      </c>
      <c r="DL114" s="256"/>
      <c r="DM114" s="256"/>
      <c r="DN114" s="289">
        <f>SUM(DN108:DN110)</f>
        <v>336.64848127427564</v>
      </c>
      <c r="DO114" s="310" t="e">
        <f>IF(DK114&lt;0,"       NM",(DN114/DK114-1)*100)</f>
        <v>#VALUE!</v>
      </c>
      <c r="DP114" s="256"/>
      <c r="DQ114" s="256"/>
      <c r="DR114" s="256"/>
      <c r="DS114" s="256"/>
      <c r="DT114" s="256"/>
      <c r="DU114" s="256"/>
      <c r="DV114" s="256"/>
      <c r="DW114" s="256"/>
      <c r="DX114" s="256"/>
      <c r="DY114" s="256"/>
      <c r="DZ114" s="256"/>
      <c r="EA114" s="256"/>
    </row>
    <row r="115" spans="1:133" collapsed="1">
      <c r="A115" s="256"/>
      <c r="B115" s="256"/>
      <c r="C115" s="256"/>
      <c r="D115" s="289"/>
      <c r="E115" s="256"/>
      <c r="F115" s="289"/>
      <c r="G115" s="310"/>
      <c r="H115" s="256"/>
      <c r="I115" s="256"/>
      <c r="J115" s="289"/>
      <c r="K115" s="310"/>
      <c r="L115" s="256"/>
      <c r="M115" s="256"/>
      <c r="N115" s="289"/>
      <c r="O115" s="310"/>
      <c r="P115" s="256"/>
      <c r="Q115" s="256"/>
      <c r="R115" s="289"/>
      <c r="S115" s="310"/>
      <c r="T115" s="256"/>
      <c r="U115" s="256"/>
      <c r="V115" s="289"/>
      <c r="W115" s="310"/>
      <c r="X115" s="256"/>
      <c r="Y115" s="256"/>
      <c r="Z115" s="289"/>
      <c r="AA115" s="310"/>
      <c r="AB115" s="310"/>
      <c r="AC115" s="256"/>
      <c r="AD115" s="289"/>
      <c r="AE115" s="310"/>
      <c r="AF115" s="256"/>
      <c r="AG115" s="256"/>
      <c r="AH115" s="289"/>
      <c r="AI115" s="310"/>
      <c r="AJ115" s="256"/>
      <c r="AK115" s="256"/>
      <c r="AL115" s="289"/>
      <c r="AM115" s="310"/>
      <c r="AN115" s="256"/>
      <c r="AO115" s="256"/>
      <c r="AP115" s="289"/>
      <c r="AQ115" s="310"/>
      <c r="AR115" s="256"/>
      <c r="AS115" s="256"/>
      <c r="AT115" s="289"/>
      <c r="AU115" s="310"/>
      <c r="AV115" s="256"/>
      <c r="AW115" s="256"/>
      <c r="AX115" s="289"/>
      <c r="AY115" s="310"/>
      <c r="AZ115" s="256"/>
      <c r="BA115" s="256"/>
      <c r="BB115" s="289"/>
      <c r="BC115" s="310"/>
      <c r="BD115" s="256"/>
      <c r="BE115" s="256"/>
      <c r="BF115" s="289"/>
      <c r="BG115" s="310"/>
      <c r="BH115" s="256"/>
      <c r="BI115" s="256"/>
      <c r="BJ115" s="289"/>
      <c r="BK115" s="310"/>
      <c r="BL115" s="256"/>
      <c r="BM115" s="587"/>
      <c r="BN115" s="289"/>
      <c r="BO115" s="310"/>
      <c r="BP115" s="256"/>
      <c r="BQ115" s="599"/>
      <c r="BR115" s="289"/>
      <c r="BS115" s="310"/>
      <c r="BT115" s="256"/>
      <c r="BU115" s="256"/>
      <c r="BV115" s="289"/>
      <c r="BW115" s="310"/>
      <c r="BX115" s="256"/>
      <c r="BY115" s="256"/>
      <c r="BZ115" s="289"/>
      <c r="CA115" s="310"/>
      <c r="CB115" s="256"/>
      <c r="CC115" s="256"/>
      <c r="CD115" s="289"/>
      <c r="CE115" s="1027"/>
      <c r="CF115" s="256"/>
      <c r="CG115" s="256"/>
      <c r="CH115" s="289"/>
      <c r="CI115" s="310"/>
      <c r="CJ115" s="256"/>
      <c r="CK115" s="256"/>
      <c r="CL115" s="289"/>
      <c r="CM115" s="310"/>
      <c r="CN115" s="256"/>
      <c r="CO115" s="256"/>
      <c r="CP115" s="289"/>
      <c r="CQ115" s="310"/>
      <c r="CR115" s="256"/>
      <c r="CS115" s="256"/>
      <c r="CT115" s="289"/>
      <c r="CU115" s="310"/>
      <c r="CV115" s="256"/>
      <c r="CW115" s="256"/>
      <c r="CX115" s="289"/>
      <c r="CY115" s="310"/>
      <c r="CZ115" s="256"/>
      <c r="DA115" s="256"/>
      <c r="DB115" s="289"/>
      <c r="DC115" s="310"/>
      <c r="DD115" s="256"/>
      <c r="DE115" s="256"/>
      <c r="DF115" s="289"/>
      <c r="DG115" s="310"/>
      <c r="DH115" s="256"/>
      <c r="DI115" s="256"/>
      <c r="DJ115" s="289"/>
      <c r="DK115" s="310"/>
      <c r="DL115" s="256"/>
      <c r="DM115" s="256"/>
      <c r="DN115" s="289"/>
      <c r="DO115" s="310"/>
      <c r="DP115" s="256"/>
      <c r="DQ115" s="256"/>
      <c r="DR115" s="256"/>
      <c r="DS115" s="256"/>
      <c r="DT115" s="256"/>
      <c r="DU115" s="256"/>
      <c r="DV115" s="256"/>
      <c r="DW115" s="256"/>
      <c r="DX115" s="256"/>
      <c r="DY115" s="256"/>
      <c r="DZ115" s="256"/>
      <c r="EA115" s="256"/>
    </row>
    <row r="116" spans="1:133" hidden="1" outlineLevel="1">
      <c r="A116" s="256"/>
      <c r="B116" s="256"/>
      <c r="C116" s="268"/>
      <c r="D116" s="268"/>
      <c r="E116" s="268" t="str">
        <f>Z116</f>
        <v>9.  Addback for Fully Diluted EPS calculation (interest and fees related to convertible)</v>
      </c>
      <c r="F116" s="268"/>
      <c r="G116" s="256"/>
      <c r="H116" s="256"/>
      <c r="I116" s="256"/>
      <c r="J116" s="268"/>
      <c r="K116" s="256"/>
      <c r="L116" s="256"/>
      <c r="M116" s="256"/>
      <c r="N116" s="268"/>
      <c r="O116" s="256"/>
      <c r="P116" s="256"/>
      <c r="Q116" s="256"/>
      <c r="R116" s="268"/>
      <c r="S116" s="256"/>
      <c r="T116" s="256"/>
      <c r="U116" s="256"/>
      <c r="V116" s="268"/>
      <c r="W116" s="256"/>
      <c r="X116" s="256"/>
      <c r="Y116" s="256"/>
      <c r="Z116" s="311" t="s">
        <v>535</v>
      </c>
      <c r="AA116" s="312"/>
      <c r="AB116" s="312"/>
      <c r="AC116" s="312"/>
      <c r="AD116" s="311"/>
      <c r="AE116" s="312"/>
      <c r="AF116" s="312"/>
      <c r="AG116" s="312"/>
      <c r="AH116" s="311"/>
      <c r="AI116" s="312"/>
      <c r="AJ116" s="312"/>
      <c r="AK116" s="312"/>
      <c r="AL116" s="311"/>
      <c r="AM116" s="312"/>
      <c r="AN116" s="312"/>
      <c r="AO116" s="312"/>
      <c r="AP116" s="881" t="s">
        <v>1966</v>
      </c>
      <c r="AQ116" s="881"/>
      <c r="AR116" s="881"/>
      <c r="AS116" s="881"/>
      <c r="AT116" s="881"/>
      <c r="AU116" s="881"/>
      <c r="AV116" s="881"/>
      <c r="AW116" s="881"/>
      <c r="AX116" s="881"/>
      <c r="AY116" s="881"/>
      <c r="AZ116" s="881"/>
      <c r="BA116" s="881"/>
      <c r="BB116" s="881"/>
      <c r="BC116" s="881"/>
      <c r="BD116" s="881"/>
      <c r="BE116" s="881"/>
      <c r="BF116" s="881"/>
      <c r="BG116" s="881"/>
      <c r="BH116" s="881"/>
      <c r="BI116" s="881"/>
      <c r="BJ116" s="881"/>
      <c r="BK116" s="881"/>
      <c r="BL116" s="881"/>
      <c r="BM116" s="881"/>
      <c r="BN116" s="881"/>
      <c r="BO116" s="881"/>
      <c r="BP116" s="881"/>
      <c r="BQ116" s="881"/>
      <c r="BR116" s="881"/>
      <c r="BS116" s="881"/>
      <c r="BT116" s="881"/>
      <c r="BU116" s="881"/>
      <c r="BV116" s="311" t="s">
        <v>535</v>
      </c>
      <c r="BW116" s="311"/>
      <c r="BX116" s="311"/>
      <c r="BY116" s="311"/>
      <c r="BZ116" s="311"/>
      <c r="CA116" s="311"/>
      <c r="CB116" s="311"/>
      <c r="CC116" s="311"/>
      <c r="CD116" s="311"/>
      <c r="CE116" s="311"/>
      <c r="CF116" s="311"/>
      <c r="CG116" s="311"/>
      <c r="CH116" s="311"/>
      <c r="CI116" s="311"/>
      <c r="CJ116" s="311"/>
      <c r="CK116" s="311"/>
      <c r="CL116" s="311"/>
      <c r="CM116" s="311"/>
      <c r="CN116" s="311"/>
      <c r="CO116" s="311"/>
      <c r="CP116" s="311"/>
      <c r="CQ116" s="311"/>
      <c r="CR116" s="881"/>
      <c r="CS116" s="256"/>
      <c r="CT116" s="881"/>
      <c r="CU116" s="881"/>
      <c r="CV116" s="881"/>
      <c r="CW116" s="256"/>
      <c r="CX116" s="881"/>
      <c r="CY116" s="881"/>
      <c r="CZ116" s="881"/>
      <c r="DA116" s="256"/>
      <c r="DB116" s="881"/>
      <c r="DC116" s="881"/>
      <c r="DD116" s="881"/>
      <c r="DE116" s="256"/>
      <c r="DF116" s="881"/>
      <c r="DG116" s="881"/>
      <c r="DH116" s="881"/>
      <c r="DI116" s="256"/>
      <c r="DJ116" s="881"/>
      <c r="DK116" s="881"/>
      <c r="DL116" s="881"/>
      <c r="DM116" s="256"/>
      <c r="DN116" s="881"/>
      <c r="DO116" s="881"/>
      <c r="DP116" s="881"/>
      <c r="DQ116" s="256"/>
      <c r="DR116" s="256"/>
      <c r="DS116" s="256"/>
      <c r="DT116" s="256"/>
      <c r="DU116" s="256"/>
      <c r="DV116" s="256"/>
      <c r="DW116" s="256"/>
      <c r="DX116" s="256"/>
      <c r="DY116" s="256"/>
      <c r="DZ116" s="256"/>
      <c r="EA116" s="256"/>
    </row>
    <row r="117" spans="1:133" hidden="1" outlineLevel="1">
      <c r="A117" s="256"/>
      <c r="B117" s="256"/>
      <c r="C117" s="256"/>
      <c r="D117" s="256"/>
      <c r="E117" s="256"/>
      <c r="F117" s="256"/>
      <c r="G117" s="256"/>
      <c r="H117" s="256"/>
      <c r="I117" s="256"/>
      <c r="J117" s="256"/>
      <c r="K117" s="256"/>
      <c r="L117" s="256"/>
      <c r="M117" s="256"/>
      <c r="N117" s="256"/>
      <c r="O117" s="256"/>
      <c r="P117" s="256"/>
      <c r="Q117" s="256"/>
      <c r="R117" s="256"/>
      <c r="S117" s="256"/>
      <c r="T117" s="256"/>
      <c r="U117" s="256"/>
      <c r="V117" s="256"/>
      <c r="W117" s="256"/>
      <c r="X117" s="256"/>
      <c r="Y117" s="256"/>
      <c r="Z117" s="256"/>
      <c r="AA117" s="256"/>
      <c r="AB117" s="256"/>
      <c r="AC117" s="256"/>
      <c r="AD117" s="256"/>
      <c r="AE117" s="256"/>
      <c r="AF117" s="256"/>
      <c r="AG117" s="256"/>
      <c r="AH117" s="256"/>
      <c r="AI117" s="256"/>
      <c r="AJ117" s="256"/>
      <c r="AK117" s="256"/>
      <c r="AL117" s="256"/>
      <c r="AM117" s="256"/>
      <c r="AN117" s="256"/>
      <c r="AO117" s="256"/>
      <c r="AP117" s="256"/>
      <c r="AQ117" s="256"/>
      <c r="AR117" s="256"/>
      <c r="AS117" s="256"/>
      <c r="AT117" s="256"/>
      <c r="AU117" s="256"/>
      <c r="AV117" s="256"/>
      <c r="AW117" s="256"/>
      <c r="AX117" s="256"/>
      <c r="AY117" s="256"/>
      <c r="AZ117" s="256"/>
      <c r="BA117" s="256"/>
      <c r="BB117" s="256"/>
      <c r="BC117" s="256"/>
      <c r="BD117" s="256"/>
      <c r="BE117" s="256"/>
      <c r="BF117" s="256"/>
      <c r="BG117" s="256"/>
      <c r="BH117" s="256"/>
      <c r="BI117" s="256"/>
      <c r="BJ117" s="256"/>
      <c r="BK117" s="256"/>
      <c r="BL117" s="256"/>
      <c r="BM117" s="587"/>
      <c r="BN117" s="256"/>
      <c r="BO117" s="256"/>
      <c r="BP117" s="256"/>
      <c r="BQ117" s="599"/>
      <c r="BR117" s="256"/>
      <c r="BS117" s="256"/>
      <c r="BT117" s="256"/>
      <c r="BU117" s="256"/>
      <c r="BV117" s="256"/>
      <c r="BW117" s="256"/>
      <c r="BX117" s="256"/>
      <c r="BY117" s="256"/>
      <c r="BZ117" s="256"/>
      <c r="CA117" s="256"/>
      <c r="CB117" s="256"/>
      <c r="CC117" s="256"/>
      <c r="CD117" s="256"/>
      <c r="CE117" s="256"/>
      <c r="CF117" s="256"/>
      <c r="CG117" s="256"/>
      <c r="CH117" s="256"/>
      <c r="CI117" s="256"/>
      <c r="CJ117" s="256"/>
      <c r="CK117" s="256"/>
      <c r="CL117" s="256"/>
      <c r="CM117" s="256"/>
      <c r="CN117" s="256"/>
      <c r="CO117" s="256"/>
      <c r="CP117" s="256"/>
      <c r="CQ117" s="256"/>
      <c r="CR117" s="256"/>
      <c r="CS117" s="256"/>
      <c r="CT117" s="256"/>
      <c r="CU117" s="256"/>
      <c r="CV117" s="256"/>
      <c r="CW117" s="256"/>
      <c r="CX117" s="256"/>
      <c r="CY117" s="256"/>
      <c r="CZ117" s="256"/>
      <c r="DA117" s="256"/>
      <c r="DB117" s="256"/>
      <c r="DC117" s="256"/>
      <c r="DD117" s="256"/>
      <c r="DE117" s="256"/>
      <c r="DF117" s="256"/>
      <c r="DG117" s="256"/>
      <c r="DH117" s="256"/>
      <c r="DI117" s="256"/>
      <c r="DJ117" s="256"/>
      <c r="DK117" s="256"/>
      <c r="DL117" s="256"/>
      <c r="DM117" s="256"/>
      <c r="DN117" s="256"/>
      <c r="DO117" s="256"/>
      <c r="DP117" s="256"/>
      <c r="DQ117" s="256"/>
      <c r="DR117" s="256"/>
      <c r="DS117" s="256"/>
      <c r="DT117" s="256"/>
      <c r="DU117" s="256"/>
      <c r="DV117" s="256"/>
      <c r="DW117" s="256"/>
      <c r="DX117" s="256"/>
      <c r="DY117" s="256"/>
      <c r="DZ117" s="256"/>
      <c r="EA117" s="256"/>
      <c r="EB117" s="621"/>
      <c r="EC117" s="621"/>
    </row>
    <row r="118" spans="1:133" hidden="1" outlineLevel="1">
      <c r="A118" s="256" t="str">
        <f>$A$10</f>
        <v>1Q</v>
      </c>
      <c r="B118" s="256" t="str">
        <f>$B$10</f>
        <v>Apr</v>
      </c>
      <c r="C118" s="256"/>
      <c r="D118" s="305"/>
      <c r="E118" s="256"/>
      <c r="F118" s="305"/>
      <c r="G118" s="310"/>
      <c r="H118" s="256"/>
      <c r="I118" s="256"/>
      <c r="J118" s="305"/>
      <c r="K118" s="310"/>
      <c r="L118" s="256"/>
      <c r="M118" s="256"/>
      <c r="N118" s="305"/>
      <c r="O118" s="310"/>
      <c r="P118" s="256"/>
      <c r="Q118" s="256"/>
      <c r="R118" s="305">
        <v>0.46100000000000002</v>
      </c>
      <c r="S118" s="310"/>
      <c r="T118" s="256"/>
      <c r="U118" s="256"/>
      <c r="V118" s="607">
        <v>0.46700000000000003</v>
      </c>
      <c r="W118" s="310"/>
      <c r="X118" s="256"/>
      <c r="Y118" s="256"/>
      <c r="Z118" s="607">
        <v>0.442</v>
      </c>
      <c r="AA118" s="310"/>
      <c r="AB118" s="310"/>
      <c r="AC118" s="256"/>
      <c r="AD118" s="607">
        <v>0.45300000000000001</v>
      </c>
      <c r="AE118" s="310"/>
      <c r="AF118" s="256"/>
      <c r="AG118" s="256"/>
      <c r="AH118" s="607">
        <v>0</v>
      </c>
      <c r="AI118" s="310"/>
      <c r="AJ118" s="256"/>
      <c r="AK118" s="256"/>
      <c r="AL118" s="305"/>
      <c r="AM118" s="310"/>
      <c r="AN118" s="256"/>
      <c r="AO118" s="256"/>
      <c r="AP118" s="305"/>
      <c r="AQ118" s="310"/>
      <c r="AR118" s="256"/>
      <c r="AS118" s="256"/>
      <c r="AT118" s="305"/>
      <c r="AU118" s="310"/>
      <c r="AV118" s="256"/>
      <c r="AW118" s="256"/>
      <c r="AX118" s="305"/>
      <c r="AY118" s="310"/>
      <c r="AZ118" s="256"/>
      <c r="BA118" s="256"/>
      <c r="BB118" s="305"/>
      <c r="BC118" s="310"/>
      <c r="BD118" s="256"/>
      <c r="BE118" s="256"/>
      <c r="BF118" s="305"/>
      <c r="BG118" s="310"/>
      <c r="BH118" s="256"/>
      <c r="BI118" s="256"/>
      <c r="BJ118" s="305"/>
      <c r="BK118" s="310"/>
      <c r="BL118" s="256"/>
      <c r="BM118" s="587"/>
      <c r="BN118" s="305"/>
      <c r="BO118" s="310"/>
      <c r="BP118" s="256"/>
      <c r="BQ118" s="599"/>
      <c r="BR118" s="305"/>
      <c r="BS118" s="310"/>
      <c r="BT118" s="256"/>
      <c r="BU118" s="256"/>
      <c r="BV118" s="305"/>
      <c r="BW118" s="310"/>
      <c r="BX118" s="256"/>
      <c r="BY118" s="256"/>
      <c r="BZ118" s="305"/>
      <c r="CA118" s="310"/>
      <c r="CB118" s="256"/>
      <c r="CC118" s="256"/>
      <c r="CD118" s="305"/>
      <c r="CE118" s="310"/>
      <c r="CF118" s="256"/>
      <c r="CG118" s="256"/>
      <c r="CH118" s="305"/>
      <c r="CI118" s="310"/>
      <c r="CJ118" s="256"/>
      <c r="CK118" s="256"/>
      <c r="CL118" s="305"/>
      <c r="CM118" s="310"/>
      <c r="CN118" s="256"/>
      <c r="CO118" s="256"/>
      <c r="CP118" s="305"/>
      <c r="CQ118" s="310"/>
      <c r="CR118" s="256"/>
      <c r="CS118" s="256"/>
      <c r="CT118" s="305"/>
      <c r="CU118" s="310"/>
      <c r="CV118" s="256"/>
      <c r="CW118" s="256"/>
      <c r="CX118" s="305"/>
      <c r="CY118" s="310"/>
      <c r="CZ118" s="256"/>
      <c r="DA118" s="256"/>
      <c r="DB118" s="305"/>
      <c r="DC118" s="310"/>
      <c r="DD118" s="256"/>
      <c r="DE118" s="256"/>
      <c r="DF118" s="305"/>
      <c r="DG118" s="310"/>
      <c r="DH118" s="256"/>
      <c r="DI118" s="256"/>
      <c r="DJ118" s="305"/>
      <c r="DK118" s="310"/>
      <c r="DL118" s="256"/>
      <c r="DM118" s="256"/>
      <c r="DN118" s="305"/>
      <c r="DO118" s="310"/>
      <c r="DP118" s="256"/>
      <c r="DQ118" s="256"/>
      <c r="DR118" s="256"/>
      <c r="DS118" s="256"/>
      <c r="DT118" s="256"/>
      <c r="DU118" s="256"/>
      <c r="DV118" s="256"/>
      <c r="DW118" s="256"/>
      <c r="DX118" s="256"/>
      <c r="DY118" s="256"/>
      <c r="DZ118" s="256"/>
      <c r="EA118" s="256"/>
      <c r="EB118" s="621"/>
      <c r="EC118" s="621"/>
    </row>
    <row r="119" spans="1:133" hidden="1" outlineLevel="1">
      <c r="A119" s="256" t="str">
        <f>$A$11</f>
        <v>2Q</v>
      </c>
      <c r="B119" s="256" t="str">
        <f>$B$11</f>
        <v>Jul</v>
      </c>
      <c r="C119" s="256"/>
      <c r="D119" s="289"/>
      <c r="E119" s="256"/>
      <c r="F119" s="289"/>
      <c r="G119" s="310"/>
      <c r="H119" s="256"/>
      <c r="I119" s="256"/>
      <c r="J119" s="1610">
        <v>0.4</v>
      </c>
      <c r="K119" s="310"/>
      <c r="L119" s="256"/>
      <c r="M119" s="256"/>
      <c r="N119" s="1610">
        <v>0.3</v>
      </c>
      <c r="O119" s="310"/>
      <c r="P119" s="256"/>
      <c r="Q119" s="256"/>
      <c r="R119" s="289">
        <v>0.46100000000000002</v>
      </c>
      <c r="S119" s="310"/>
      <c r="T119" s="256"/>
      <c r="U119" s="256"/>
      <c r="V119" s="314">
        <v>0.49399999999999999</v>
      </c>
      <c r="W119" s="310"/>
      <c r="X119" s="256"/>
      <c r="Y119" s="256"/>
      <c r="Z119" s="314">
        <v>0.42799999999999999</v>
      </c>
      <c r="AA119" s="310"/>
      <c r="AB119" s="310"/>
      <c r="AC119" s="256"/>
      <c r="AD119" s="314">
        <v>0.22900000000000001</v>
      </c>
      <c r="AE119" s="310"/>
      <c r="AF119" s="256"/>
      <c r="AG119" s="256"/>
      <c r="AH119" s="314">
        <v>0</v>
      </c>
      <c r="AI119" s="310"/>
      <c r="AJ119" s="256"/>
      <c r="AK119" s="256"/>
      <c r="AL119" s="289"/>
      <c r="AM119" s="310"/>
      <c r="AN119" s="256"/>
      <c r="AO119" s="256"/>
      <c r="AP119" s="289"/>
      <c r="AQ119" s="310"/>
      <c r="AR119" s="256"/>
      <c r="AS119" s="256"/>
      <c r="AT119" s="289"/>
      <c r="AU119" s="310"/>
      <c r="AV119" s="256"/>
      <c r="AW119" s="256"/>
      <c r="AX119" s="289"/>
      <c r="AY119" s="310"/>
      <c r="AZ119" s="256"/>
      <c r="BA119" s="256"/>
      <c r="BB119" s="289"/>
      <c r="BC119" s="310"/>
      <c r="BD119" s="256"/>
      <c r="BE119" s="256"/>
      <c r="BF119" s="289"/>
      <c r="BG119" s="310"/>
      <c r="BH119" s="256"/>
      <c r="BI119" s="256"/>
      <c r="BJ119" s="289"/>
      <c r="BK119" s="310"/>
      <c r="BL119" s="256"/>
      <c r="BM119" s="587"/>
      <c r="BN119" s="289"/>
      <c r="BO119" s="310"/>
      <c r="BP119" s="256"/>
      <c r="BQ119" s="599"/>
      <c r="BR119" s="289"/>
      <c r="BS119" s="310"/>
      <c r="BT119" s="256"/>
      <c r="BU119" s="256"/>
      <c r="BV119" s="289"/>
      <c r="BW119" s="310"/>
      <c r="BX119" s="256"/>
      <c r="BY119" s="256"/>
      <c r="BZ119" s="289"/>
      <c r="CA119" s="310"/>
      <c r="CB119" s="256"/>
      <c r="CC119" s="256"/>
      <c r="CD119" s="289"/>
      <c r="CE119" s="310"/>
      <c r="CF119" s="256"/>
      <c r="CG119" s="256"/>
      <c r="CH119" s="289"/>
      <c r="CI119" s="310"/>
      <c r="CJ119" s="256"/>
      <c r="CK119" s="256"/>
      <c r="CL119" s="289"/>
      <c r="CM119" s="310"/>
      <c r="CN119" s="256"/>
      <c r="CO119" s="256"/>
      <c r="CP119" s="289"/>
      <c r="CQ119" s="310"/>
      <c r="CR119" s="256"/>
      <c r="CS119" s="256"/>
      <c r="CT119" s="289"/>
      <c r="CU119" s="310"/>
      <c r="CV119" s="256"/>
      <c r="CW119" s="256"/>
      <c r="CX119" s="289"/>
      <c r="CY119" s="310"/>
      <c r="CZ119" s="256"/>
      <c r="DA119" s="256"/>
      <c r="DB119" s="289"/>
      <c r="DC119" s="310"/>
      <c r="DD119" s="256"/>
      <c r="DE119" s="256"/>
      <c r="DF119" s="289"/>
      <c r="DG119" s="310"/>
      <c r="DH119" s="256"/>
      <c r="DI119" s="256"/>
      <c r="DJ119" s="289"/>
      <c r="DK119" s="310"/>
      <c r="DL119" s="256"/>
      <c r="DM119" s="256"/>
      <c r="DN119" s="289"/>
      <c r="DO119" s="310"/>
      <c r="DP119" s="256"/>
      <c r="DQ119" s="256"/>
      <c r="DR119" s="256"/>
      <c r="DS119" s="256"/>
      <c r="DT119" s="256"/>
      <c r="DU119" s="256"/>
      <c r="DV119" s="256"/>
      <c r="DW119" s="256"/>
      <c r="DX119" s="256"/>
      <c r="DY119" s="256"/>
      <c r="DZ119" s="256"/>
      <c r="EA119" s="256"/>
      <c r="EB119" s="621"/>
      <c r="EC119" s="621"/>
    </row>
    <row r="120" spans="1:133" hidden="1" outlineLevel="1">
      <c r="A120" s="256" t="str">
        <f>$A$12</f>
        <v>3Q</v>
      </c>
      <c r="B120" s="256" t="str">
        <f>$B$12</f>
        <v>Oct</v>
      </c>
      <c r="C120" s="256"/>
      <c r="D120" s="289"/>
      <c r="E120" s="256"/>
      <c r="F120" s="289"/>
      <c r="G120" s="310"/>
      <c r="H120" s="256"/>
      <c r="I120" s="256"/>
      <c r="J120" s="1610">
        <v>0.4</v>
      </c>
      <c r="K120" s="310"/>
      <c r="L120" s="256"/>
      <c r="M120" s="256"/>
      <c r="N120" s="289"/>
      <c r="O120" s="310"/>
      <c r="P120" s="256"/>
      <c r="Q120" s="256"/>
      <c r="R120" s="289"/>
      <c r="S120" s="310"/>
      <c r="T120" s="256"/>
      <c r="U120" s="256"/>
      <c r="V120" s="314">
        <v>0.42799999999999999</v>
      </c>
      <c r="W120" s="310"/>
      <c r="X120" s="256"/>
      <c r="Y120" s="256"/>
      <c r="Z120" s="314">
        <v>0.42799999999999999</v>
      </c>
      <c r="AA120" s="310"/>
      <c r="AB120" s="310"/>
      <c r="AC120" s="256"/>
      <c r="AD120" s="314">
        <v>0</v>
      </c>
      <c r="AE120" s="310"/>
      <c r="AF120" s="256"/>
      <c r="AG120" s="256"/>
      <c r="AH120" s="314">
        <v>0</v>
      </c>
      <c r="AI120" s="310"/>
      <c r="AJ120" s="256"/>
      <c r="AK120" s="256"/>
      <c r="AL120" s="289"/>
      <c r="AM120" s="310"/>
      <c r="AN120" s="256"/>
      <c r="AO120" s="256"/>
      <c r="AP120" s="289"/>
      <c r="AQ120" s="310"/>
      <c r="AR120" s="256"/>
      <c r="AS120" s="256"/>
      <c r="AT120" s="289"/>
      <c r="AU120" s="310"/>
      <c r="AV120" s="256"/>
      <c r="AW120" s="256"/>
      <c r="AX120" s="289"/>
      <c r="AY120" s="310"/>
      <c r="AZ120" s="256"/>
      <c r="BA120" s="256"/>
      <c r="BB120" s="289"/>
      <c r="BC120" s="310"/>
      <c r="BD120" s="256"/>
      <c r="BE120" s="256"/>
      <c r="BF120" s="289"/>
      <c r="BG120" s="310"/>
      <c r="BH120" s="256"/>
      <c r="BI120" s="256"/>
      <c r="BJ120" s="289"/>
      <c r="BK120" s="310"/>
      <c r="BL120" s="256"/>
      <c r="BM120" s="587"/>
      <c r="BN120" s="289"/>
      <c r="BO120" s="310"/>
      <c r="BP120" s="256"/>
      <c r="BQ120" s="599"/>
      <c r="BR120" s="289"/>
      <c r="BS120" s="310"/>
      <c r="BT120" s="256"/>
      <c r="BU120" s="256"/>
      <c r="BV120" s="289"/>
      <c r="BW120" s="310"/>
      <c r="BX120" s="256"/>
      <c r="BY120" s="256"/>
      <c r="BZ120" s="289"/>
      <c r="CA120" s="310"/>
      <c r="CB120" s="256"/>
      <c r="CC120" s="256"/>
      <c r="CD120" s="289"/>
      <c r="CE120" s="310"/>
      <c r="CF120" s="256"/>
      <c r="CG120" s="256"/>
      <c r="CH120" s="289"/>
      <c r="CI120" s="310"/>
      <c r="CJ120" s="256"/>
      <c r="CK120" s="256"/>
      <c r="CL120" s="289"/>
      <c r="CM120" s="310"/>
      <c r="CN120" s="256"/>
      <c r="CO120" s="256"/>
      <c r="CP120" s="289"/>
      <c r="CQ120" s="310"/>
      <c r="CR120" s="256"/>
      <c r="CS120" s="256"/>
      <c r="CT120" s="289"/>
      <c r="CU120" s="310"/>
      <c r="CV120" s="256"/>
      <c r="CW120" s="256"/>
      <c r="CX120" s="289"/>
      <c r="CY120" s="310"/>
      <c r="CZ120" s="256"/>
      <c r="DA120" s="256"/>
      <c r="DB120" s="289"/>
      <c r="DC120" s="310"/>
      <c r="DD120" s="256"/>
      <c r="DE120" s="256"/>
      <c r="DF120" s="289"/>
      <c r="DG120" s="310"/>
      <c r="DH120" s="256"/>
      <c r="DI120" s="256"/>
      <c r="DJ120" s="289"/>
      <c r="DK120" s="310"/>
      <c r="DL120" s="256"/>
      <c r="DM120" s="256"/>
      <c r="DN120" s="289"/>
      <c r="DO120" s="310"/>
      <c r="DP120" s="256"/>
      <c r="DQ120" s="256"/>
      <c r="DR120" s="256"/>
      <c r="DS120" s="256"/>
      <c r="DT120" s="256"/>
      <c r="DU120" s="256"/>
      <c r="DV120" s="256"/>
      <c r="DW120" s="256"/>
      <c r="DX120" s="256"/>
      <c r="DY120" s="256"/>
      <c r="DZ120" s="256"/>
      <c r="EA120" s="256"/>
      <c r="EB120" s="621"/>
      <c r="EC120" s="621"/>
    </row>
    <row r="121" spans="1:133" hidden="1" outlineLevel="1">
      <c r="A121" s="256" t="str">
        <f>$A$13</f>
        <v>4Q</v>
      </c>
      <c r="B121" s="256" t="str">
        <f>$B$13</f>
        <v>Jan</v>
      </c>
      <c r="C121" s="587"/>
      <c r="D121" s="313"/>
      <c r="E121" s="587"/>
      <c r="F121" s="313"/>
      <c r="G121" s="310"/>
      <c r="H121" s="256"/>
      <c r="I121" s="256"/>
      <c r="J121" s="1611">
        <v>0.4</v>
      </c>
      <c r="K121" s="310"/>
      <c r="L121" s="256"/>
      <c r="M121" s="256"/>
      <c r="N121" s="1611">
        <v>0.45</v>
      </c>
      <c r="O121" s="310"/>
      <c r="P121" s="256"/>
      <c r="Q121" s="256"/>
      <c r="R121" s="1612">
        <v>0.46</v>
      </c>
      <c r="S121" s="310"/>
      <c r="T121" s="256"/>
      <c r="U121" s="256"/>
      <c r="V121" s="1612">
        <f>+V122-SUM(V118:V120)</f>
        <v>0.32299999999999995</v>
      </c>
      <c r="W121" s="310"/>
      <c r="X121" s="256"/>
      <c r="Y121" s="256"/>
      <c r="Z121" s="1612">
        <f>+Z122-SUM(Z118:Z120)</f>
        <v>0.5129999999999999</v>
      </c>
      <c r="AA121" s="310"/>
      <c r="AB121" s="310"/>
      <c r="AC121" s="256"/>
      <c r="AD121" s="1029">
        <v>0</v>
      </c>
      <c r="AE121" s="310"/>
      <c r="AF121" s="256"/>
      <c r="AG121" s="256"/>
      <c r="AH121" s="1029">
        <v>0</v>
      </c>
      <c r="AI121" s="310"/>
      <c r="AJ121" s="256"/>
      <c r="AK121" s="256"/>
      <c r="AL121" s="313"/>
      <c r="AM121" s="310"/>
      <c r="AN121" s="256"/>
      <c r="AO121" s="256"/>
      <c r="AP121" s="313"/>
      <c r="AQ121" s="310"/>
      <c r="AR121" s="256"/>
      <c r="AS121" s="256"/>
      <c r="AT121" s="313"/>
      <c r="AU121" s="310"/>
      <c r="AV121" s="256"/>
      <c r="AW121" s="256"/>
      <c r="AX121" s="313"/>
      <c r="AY121" s="310"/>
      <c r="AZ121" s="256"/>
      <c r="BA121" s="256"/>
      <c r="BB121" s="313"/>
      <c r="BC121" s="310"/>
      <c r="BD121" s="256"/>
      <c r="BE121" s="256"/>
      <c r="BF121" s="313"/>
      <c r="BG121" s="310"/>
      <c r="BH121" s="256"/>
      <c r="BI121" s="256"/>
      <c r="BJ121" s="313"/>
      <c r="BK121" s="310"/>
      <c r="BL121" s="256"/>
      <c r="BM121" s="587"/>
      <c r="BN121" s="313"/>
      <c r="BO121" s="310"/>
      <c r="BP121" s="256"/>
      <c r="BQ121" s="599"/>
      <c r="BR121" s="313"/>
      <c r="BS121" s="310"/>
      <c r="BT121" s="256"/>
      <c r="BU121" s="256"/>
      <c r="BV121" s="313"/>
      <c r="BW121" s="310"/>
      <c r="BX121" s="256"/>
      <c r="BY121" s="256"/>
      <c r="BZ121" s="313"/>
      <c r="CA121" s="310"/>
      <c r="CB121" s="256"/>
      <c r="CC121" s="256"/>
      <c r="CD121" s="313"/>
      <c r="CE121" s="310"/>
      <c r="CF121" s="256"/>
      <c r="CG121" s="256"/>
      <c r="CH121" s="313"/>
      <c r="CI121" s="310"/>
      <c r="CJ121" s="256"/>
      <c r="CK121" s="256"/>
      <c r="CL121" s="313"/>
      <c r="CM121" s="310"/>
      <c r="CN121" s="256"/>
      <c r="CO121" s="256"/>
      <c r="CP121" s="313"/>
      <c r="CQ121" s="310"/>
      <c r="CR121" s="256"/>
      <c r="CS121" s="256"/>
      <c r="CT121" s="313"/>
      <c r="CU121" s="310"/>
      <c r="CV121" s="256"/>
      <c r="CW121" s="256"/>
      <c r="CX121" s="313"/>
      <c r="CY121" s="310"/>
      <c r="CZ121" s="256"/>
      <c r="DA121" s="256"/>
      <c r="DB121" s="313"/>
      <c r="DC121" s="310"/>
      <c r="DD121" s="256"/>
      <c r="DE121" s="256"/>
      <c r="DF121" s="313"/>
      <c r="DG121" s="310"/>
      <c r="DH121" s="256"/>
      <c r="DI121" s="256"/>
      <c r="DJ121" s="313"/>
      <c r="DK121" s="310"/>
      <c r="DL121" s="256"/>
      <c r="DM121" s="256"/>
      <c r="DN121" s="313"/>
      <c r="DO121" s="310"/>
      <c r="DP121" s="256"/>
      <c r="DQ121" s="256"/>
      <c r="DR121" s="256"/>
      <c r="DS121" s="256"/>
      <c r="DT121" s="256"/>
      <c r="DU121" s="256"/>
      <c r="DV121" s="256"/>
      <c r="DW121" s="256"/>
      <c r="DX121" s="256"/>
      <c r="DY121" s="256"/>
      <c r="DZ121" s="256"/>
      <c r="EA121" s="256"/>
      <c r="EB121" s="621"/>
      <c r="EC121" s="621"/>
    </row>
    <row r="122" spans="1:133" hidden="1" outlineLevel="1">
      <c r="A122" s="256"/>
      <c r="B122" s="256" t="str">
        <f>$B$14</f>
        <v>Year</v>
      </c>
      <c r="C122" s="256"/>
      <c r="D122" s="305"/>
      <c r="E122" s="256"/>
      <c r="F122" s="305">
        <f>SUM(F118:F121)</f>
        <v>0</v>
      </c>
      <c r="G122" s="310"/>
      <c r="H122" s="256"/>
      <c r="I122" s="256"/>
      <c r="J122" s="305">
        <f>SUM(J118:J121)</f>
        <v>1.2000000000000002</v>
      </c>
      <c r="K122" s="310"/>
      <c r="L122" s="256"/>
      <c r="M122" s="256"/>
      <c r="N122" s="305">
        <f>SUM(N118:N121)</f>
        <v>0.75</v>
      </c>
      <c r="O122" s="310"/>
      <c r="P122" s="256"/>
      <c r="Q122" s="256"/>
      <c r="R122" s="607">
        <v>1.8440000000000001</v>
      </c>
      <c r="S122" s="310"/>
      <c r="T122" s="256"/>
      <c r="U122" s="256"/>
      <c r="V122" s="607">
        <v>1.712</v>
      </c>
      <c r="W122" s="310"/>
      <c r="X122" s="256"/>
      <c r="Y122" s="256"/>
      <c r="Z122" s="607">
        <v>1.8109999999999999</v>
      </c>
      <c r="AA122" s="310"/>
      <c r="AB122" s="310"/>
      <c r="AC122" s="256"/>
      <c r="AD122" s="305">
        <f>SUM(AD118:AD121)</f>
        <v>0.68200000000000005</v>
      </c>
      <c r="AE122" s="310"/>
      <c r="AF122" s="256"/>
      <c r="AG122" s="256"/>
      <c r="AH122" s="305">
        <f>SUM(AH118:AH121)</f>
        <v>0</v>
      </c>
      <c r="AI122" s="310"/>
      <c r="AJ122" s="256"/>
      <c r="AK122" s="256"/>
      <c r="AL122" s="305">
        <f>SUM(AL118:AL121)</f>
        <v>0</v>
      </c>
      <c r="AM122" s="310"/>
      <c r="AN122" s="256"/>
      <c r="AO122" s="256"/>
      <c r="AP122" s="305">
        <f>SUM(AP118:AP121)</f>
        <v>0</v>
      </c>
      <c r="AQ122" s="310"/>
      <c r="AR122" s="256"/>
      <c r="AS122" s="256"/>
      <c r="AT122" s="305">
        <f>SUM(AT118:AT121)</f>
        <v>0</v>
      </c>
      <c r="AU122" s="310"/>
      <c r="AV122" s="256"/>
      <c r="AW122" s="256"/>
      <c r="AX122" s="305">
        <f>SUM(AX118:AX121)</f>
        <v>0</v>
      </c>
      <c r="AY122" s="310"/>
      <c r="AZ122" s="256"/>
      <c r="BA122" s="256"/>
      <c r="BB122" s="305">
        <f>SUM(BB118:BB121)</f>
        <v>0</v>
      </c>
      <c r="BC122" s="310"/>
      <c r="BD122" s="256"/>
      <c r="BE122" s="256"/>
      <c r="BF122" s="305">
        <f>SUM(BF118:BF121)</f>
        <v>0</v>
      </c>
      <c r="BG122" s="310"/>
      <c r="BH122" s="256"/>
      <c r="BI122" s="256"/>
      <c r="BJ122" s="305">
        <f>SUM(BJ118:BJ121)</f>
        <v>0</v>
      </c>
      <c r="BK122" s="310"/>
      <c r="BL122" s="256"/>
      <c r="BM122" s="587"/>
      <c r="BN122" s="305">
        <f>SUM(BN118:BN121)</f>
        <v>0</v>
      </c>
      <c r="BO122" s="310"/>
      <c r="BP122" s="256"/>
      <c r="BQ122" s="599"/>
      <c r="BR122" s="305">
        <f>SUM(BR118:BR121)</f>
        <v>0</v>
      </c>
      <c r="BS122" s="310"/>
      <c r="BT122" s="256"/>
      <c r="BU122" s="256"/>
      <c r="BV122" s="305">
        <f>SUM(BV118:BV121)</f>
        <v>0</v>
      </c>
      <c r="BW122" s="310"/>
      <c r="BX122" s="256"/>
      <c r="BY122" s="256"/>
      <c r="BZ122" s="305">
        <f>SUM(BZ118:BZ121)</f>
        <v>0</v>
      </c>
      <c r="CA122" s="310"/>
      <c r="CB122" s="256"/>
      <c r="CC122" s="256"/>
      <c r="CD122" s="305">
        <f>SUM(CD118:CD121)</f>
        <v>0</v>
      </c>
      <c r="CE122" s="310"/>
      <c r="CF122" s="256"/>
      <c r="CG122" s="256"/>
      <c r="CH122" s="305">
        <f>SUM(CH118:CH121)</f>
        <v>0</v>
      </c>
      <c r="CI122" s="310"/>
      <c r="CJ122" s="256"/>
      <c r="CK122" s="256"/>
      <c r="CL122" s="305">
        <f>SUM(CL118:CL121)</f>
        <v>0</v>
      </c>
      <c r="CM122" s="310"/>
      <c r="CN122" s="256"/>
      <c r="CO122" s="256"/>
      <c r="CP122" s="305">
        <f>SUM(CP118:CP121)</f>
        <v>0</v>
      </c>
      <c r="CQ122" s="310"/>
      <c r="CR122" s="256"/>
      <c r="CS122" s="256"/>
      <c r="CT122" s="305">
        <f>SUM(CT118:CT121)</f>
        <v>0</v>
      </c>
      <c r="CU122" s="310"/>
      <c r="CV122" s="256"/>
      <c r="CW122" s="256"/>
      <c r="CX122" s="305">
        <f>SUM(CX118:CX121)</f>
        <v>0</v>
      </c>
      <c r="CY122" s="310"/>
      <c r="CZ122" s="256"/>
      <c r="DA122" s="256"/>
      <c r="DB122" s="305">
        <f>SUM(DB118:DB121)</f>
        <v>0</v>
      </c>
      <c r="DC122" s="310"/>
      <c r="DD122" s="256"/>
      <c r="DE122" s="256"/>
      <c r="DF122" s="305">
        <f>SUM(DF118:DF121)</f>
        <v>0</v>
      </c>
      <c r="DG122" s="310"/>
      <c r="DH122" s="256"/>
      <c r="DI122" s="256"/>
      <c r="DJ122" s="305">
        <f>SUM(DJ118:DJ121)</f>
        <v>0</v>
      </c>
      <c r="DK122" s="310"/>
      <c r="DL122" s="256"/>
      <c r="DM122" s="256"/>
      <c r="DN122" s="305">
        <f>SUM(DN118:DN121)</f>
        <v>0</v>
      </c>
      <c r="DO122" s="310"/>
      <c r="DP122" s="256"/>
      <c r="DQ122" s="256"/>
      <c r="DR122" s="256"/>
      <c r="DS122" s="256"/>
      <c r="DT122" s="256"/>
      <c r="DU122" s="256"/>
      <c r="DV122" s="256"/>
      <c r="DW122" s="256"/>
      <c r="DX122" s="256"/>
      <c r="DY122" s="256"/>
      <c r="DZ122" s="256"/>
      <c r="EA122" s="256"/>
      <c r="EB122" s="621"/>
      <c r="EC122" s="621"/>
    </row>
    <row r="123" spans="1:133" hidden="1" outlineLevel="1">
      <c r="A123" s="256" t="str">
        <f>$A$15</f>
        <v>6 Mos</v>
      </c>
      <c r="B123" s="256"/>
      <c r="C123" s="256"/>
      <c r="D123" s="289"/>
      <c r="E123" s="256"/>
      <c r="F123" s="289">
        <f>SUM(F118:F119)</f>
        <v>0</v>
      </c>
      <c r="G123" s="310"/>
      <c r="H123" s="256"/>
      <c r="I123" s="256"/>
      <c r="J123" s="289">
        <f>SUM(J118:J119)</f>
        <v>0.4</v>
      </c>
      <c r="K123" s="310"/>
      <c r="L123" s="256"/>
      <c r="M123" s="256"/>
      <c r="N123" s="289">
        <f>SUM(N118:N119)</f>
        <v>0.3</v>
      </c>
      <c r="O123" s="310"/>
      <c r="P123" s="256"/>
      <c r="Q123" s="256"/>
      <c r="R123" s="289">
        <f>SUM(R118:R119)</f>
        <v>0.92200000000000004</v>
      </c>
      <c r="S123" s="310"/>
      <c r="T123" s="256"/>
      <c r="U123" s="256"/>
      <c r="V123" s="289">
        <f>SUM(V118:V119)</f>
        <v>0.96100000000000008</v>
      </c>
      <c r="W123" s="310"/>
      <c r="X123" s="256"/>
      <c r="Y123" s="256"/>
      <c r="Z123" s="289">
        <f>SUM(Z118:Z119)</f>
        <v>0.87</v>
      </c>
      <c r="AA123" s="310"/>
      <c r="AB123" s="310"/>
      <c r="AC123" s="256"/>
      <c r="AD123" s="289">
        <f>SUM(AD118:AD119)</f>
        <v>0.68200000000000005</v>
      </c>
      <c r="AE123" s="310"/>
      <c r="AF123" s="256"/>
      <c r="AG123" s="256"/>
      <c r="AH123" s="289">
        <f>SUM(AH118:AH119)</f>
        <v>0</v>
      </c>
      <c r="AI123" s="310"/>
      <c r="AJ123" s="256"/>
      <c r="AK123" s="256"/>
      <c r="AL123" s="289">
        <f>SUM(AL118:AL119)</f>
        <v>0</v>
      </c>
      <c r="AM123" s="310"/>
      <c r="AN123" s="256"/>
      <c r="AO123" s="256"/>
      <c r="AP123" s="289">
        <f>SUM(AP118:AP119)</f>
        <v>0</v>
      </c>
      <c r="AQ123" s="310"/>
      <c r="AR123" s="256"/>
      <c r="AS123" s="256"/>
      <c r="AT123" s="289">
        <f>SUM(AT118:AT119)</f>
        <v>0</v>
      </c>
      <c r="AU123" s="310"/>
      <c r="AV123" s="256"/>
      <c r="AW123" s="256"/>
      <c r="AX123" s="289">
        <f>SUM(AX118:AX119)</f>
        <v>0</v>
      </c>
      <c r="AY123" s="310"/>
      <c r="AZ123" s="256"/>
      <c r="BA123" s="256"/>
      <c r="BB123" s="289">
        <f>SUM(BB118:BB119)</f>
        <v>0</v>
      </c>
      <c r="BC123" s="310"/>
      <c r="BD123" s="256"/>
      <c r="BE123" s="256"/>
      <c r="BF123" s="289">
        <f>SUM(BF118:BF119)</f>
        <v>0</v>
      </c>
      <c r="BG123" s="310"/>
      <c r="BH123" s="256"/>
      <c r="BI123" s="256"/>
      <c r="BJ123" s="289">
        <f>SUM(BJ118:BJ119)</f>
        <v>0</v>
      </c>
      <c r="BK123" s="310"/>
      <c r="BL123" s="256"/>
      <c r="BM123" s="587"/>
      <c r="BN123" s="289">
        <f>SUM(BN118:BN119)</f>
        <v>0</v>
      </c>
      <c r="BO123" s="310"/>
      <c r="BP123" s="256"/>
      <c r="BQ123" s="599"/>
      <c r="BR123" s="289">
        <f>SUM(BR118:BR119)</f>
        <v>0</v>
      </c>
      <c r="BS123" s="310"/>
      <c r="BT123" s="256"/>
      <c r="BU123" s="256"/>
      <c r="BV123" s="289">
        <f>SUM(BV118:BV119)</f>
        <v>0</v>
      </c>
      <c r="BW123" s="310"/>
      <c r="BX123" s="256"/>
      <c r="BY123" s="256"/>
      <c r="BZ123" s="289">
        <f>SUM(BZ118:BZ119)</f>
        <v>0</v>
      </c>
      <c r="CA123" s="310"/>
      <c r="CB123" s="256"/>
      <c r="CC123" s="256"/>
      <c r="CD123" s="289">
        <f>SUM(CD118:CD119)</f>
        <v>0</v>
      </c>
      <c r="CE123" s="310"/>
      <c r="CF123" s="256"/>
      <c r="CG123" s="256"/>
      <c r="CH123" s="289">
        <f>SUM(CH118:CH119)</f>
        <v>0</v>
      </c>
      <c r="CI123" s="310"/>
      <c r="CJ123" s="256"/>
      <c r="CK123" s="256"/>
      <c r="CL123" s="289">
        <f>SUM(CL118:CL119)</f>
        <v>0</v>
      </c>
      <c r="CM123" s="310"/>
      <c r="CN123" s="256"/>
      <c r="CO123" s="256"/>
      <c r="CP123" s="289">
        <f>SUM(CP118:CP119)</f>
        <v>0</v>
      </c>
      <c r="CQ123" s="310"/>
      <c r="CR123" s="256"/>
      <c r="CS123" s="256"/>
      <c r="CT123" s="289">
        <f>SUM(CT118:CT119)</f>
        <v>0</v>
      </c>
      <c r="CU123" s="310"/>
      <c r="CV123" s="256"/>
      <c r="CW123" s="256"/>
      <c r="CX123" s="289">
        <f>SUM(CX118:CX119)</f>
        <v>0</v>
      </c>
      <c r="CY123" s="310"/>
      <c r="CZ123" s="256"/>
      <c r="DA123" s="256"/>
      <c r="DB123" s="289">
        <f>SUM(DB118:DB119)</f>
        <v>0</v>
      </c>
      <c r="DC123" s="310"/>
      <c r="DD123" s="256"/>
      <c r="DE123" s="256"/>
      <c r="DF123" s="289">
        <f>SUM(DF118:DF119)</f>
        <v>0</v>
      </c>
      <c r="DG123" s="310"/>
      <c r="DH123" s="256"/>
      <c r="DI123" s="256"/>
      <c r="DJ123" s="289">
        <f>SUM(DJ118:DJ119)</f>
        <v>0</v>
      </c>
      <c r="DK123" s="310"/>
      <c r="DL123" s="256"/>
      <c r="DM123" s="256"/>
      <c r="DN123" s="289">
        <f>SUM(DN118:DN119)</f>
        <v>0</v>
      </c>
      <c r="DO123" s="310"/>
      <c r="DP123" s="256"/>
      <c r="DQ123" s="256"/>
      <c r="DR123" s="256"/>
      <c r="DS123" s="256"/>
      <c r="DT123" s="256"/>
      <c r="DU123" s="256"/>
      <c r="DV123" s="256"/>
      <c r="DW123" s="256"/>
      <c r="DX123" s="256"/>
      <c r="DY123" s="256"/>
      <c r="DZ123" s="256"/>
      <c r="EA123" s="256"/>
      <c r="EB123" s="621"/>
      <c r="EC123" s="621"/>
    </row>
    <row r="124" spans="1:133" hidden="1" outlineLevel="1">
      <c r="A124" s="256" t="str">
        <f>$A$16</f>
        <v>9 Mos</v>
      </c>
      <c r="B124" s="256"/>
      <c r="C124" s="256"/>
      <c r="D124" s="289"/>
      <c r="E124" s="256"/>
      <c r="F124" s="289">
        <f>SUM(F118:F120)</f>
        <v>0</v>
      </c>
      <c r="G124" s="310"/>
      <c r="H124" s="256"/>
      <c r="I124" s="256"/>
      <c r="J124" s="289">
        <f>SUM(J118:J120)</f>
        <v>0.8</v>
      </c>
      <c r="K124" s="310"/>
      <c r="L124" s="256"/>
      <c r="M124" s="256"/>
      <c r="N124" s="289">
        <f>SUM(N118:N120)</f>
        <v>0.3</v>
      </c>
      <c r="O124" s="310"/>
      <c r="P124" s="256"/>
      <c r="Q124" s="256"/>
      <c r="R124" s="289">
        <f>SUM(R118:R120)</f>
        <v>0.92200000000000004</v>
      </c>
      <c r="S124" s="310"/>
      <c r="T124" s="256"/>
      <c r="U124" s="256"/>
      <c r="V124" s="289">
        <f>SUM(V118:V120)</f>
        <v>1.389</v>
      </c>
      <c r="W124" s="310"/>
      <c r="X124" s="256"/>
      <c r="Y124" s="256"/>
      <c r="Z124" s="289">
        <f>SUM(Z118:Z120)</f>
        <v>1.298</v>
      </c>
      <c r="AA124" s="310"/>
      <c r="AB124" s="310"/>
      <c r="AC124" s="256"/>
      <c r="AD124" s="289">
        <f>SUM(AD118:AD120)</f>
        <v>0.68200000000000005</v>
      </c>
      <c r="AE124" s="310"/>
      <c r="AF124" s="256"/>
      <c r="AG124" s="256"/>
      <c r="AH124" s="289">
        <f>SUM(AH118:AH120)</f>
        <v>0</v>
      </c>
      <c r="AI124" s="310"/>
      <c r="AJ124" s="256"/>
      <c r="AK124" s="256"/>
      <c r="AL124" s="289">
        <f>SUM(AL118:AL120)</f>
        <v>0</v>
      </c>
      <c r="AM124" s="310"/>
      <c r="AN124" s="256"/>
      <c r="AO124" s="256"/>
      <c r="AP124" s="289">
        <f>SUM(AP118:AP120)</f>
        <v>0</v>
      </c>
      <c r="AQ124" s="310"/>
      <c r="AR124" s="256"/>
      <c r="AS124" s="256"/>
      <c r="AT124" s="289">
        <f>SUM(AT118:AT120)</f>
        <v>0</v>
      </c>
      <c r="AU124" s="310"/>
      <c r="AV124" s="256"/>
      <c r="AW124" s="256"/>
      <c r="AX124" s="289">
        <f>SUM(AX118:AX120)</f>
        <v>0</v>
      </c>
      <c r="AY124" s="310"/>
      <c r="AZ124" s="256"/>
      <c r="BA124" s="256"/>
      <c r="BB124" s="289">
        <f>SUM(BB118:BB120)</f>
        <v>0</v>
      </c>
      <c r="BC124" s="310"/>
      <c r="BD124" s="256"/>
      <c r="BE124" s="256"/>
      <c r="BF124" s="289">
        <f>SUM(BF118:BF120)</f>
        <v>0</v>
      </c>
      <c r="BG124" s="310"/>
      <c r="BH124" s="256"/>
      <c r="BI124" s="256"/>
      <c r="BJ124" s="289">
        <f>SUM(BJ118:BJ120)</f>
        <v>0</v>
      </c>
      <c r="BK124" s="310"/>
      <c r="BL124" s="256"/>
      <c r="BM124" s="587"/>
      <c r="BN124" s="289">
        <f>SUM(BN118:BN120)</f>
        <v>0</v>
      </c>
      <c r="BO124" s="310"/>
      <c r="BP124" s="256"/>
      <c r="BQ124" s="599"/>
      <c r="BR124" s="289">
        <f>SUM(BR118:BR120)</f>
        <v>0</v>
      </c>
      <c r="BS124" s="310"/>
      <c r="BT124" s="256"/>
      <c r="BU124" s="256"/>
      <c r="BV124" s="289">
        <f>SUM(BV118:BV120)</f>
        <v>0</v>
      </c>
      <c r="BW124" s="310"/>
      <c r="BX124" s="256"/>
      <c r="BY124" s="256"/>
      <c r="BZ124" s="289">
        <f>SUM(BZ118:BZ120)</f>
        <v>0</v>
      </c>
      <c r="CA124" s="310"/>
      <c r="CB124" s="256"/>
      <c r="CC124" s="256"/>
      <c r="CD124" s="289">
        <f>SUM(CD118:CD120)</f>
        <v>0</v>
      </c>
      <c r="CE124" s="310"/>
      <c r="CF124" s="256"/>
      <c r="CG124" s="256"/>
      <c r="CH124" s="289">
        <f>SUM(CH118:CH120)</f>
        <v>0</v>
      </c>
      <c r="CI124" s="310"/>
      <c r="CJ124" s="256"/>
      <c r="CK124" s="256"/>
      <c r="CL124" s="289">
        <f>SUM(CL118:CL120)</f>
        <v>0</v>
      </c>
      <c r="CM124" s="310"/>
      <c r="CN124" s="256"/>
      <c r="CO124" s="256"/>
      <c r="CP124" s="289">
        <f>SUM(CP118:CP120)</f>
        <v>0</v>
      </c>
      <c r="CQ124" s="310"/>
      <c r="CR124" s="256"/>
      <c r="CS124" s="256"/>
      <c r="CT124" s="289">
        <f>SUM(CT118:CT120)</f>
        <v>0</v>
      </c>
      <c r="CU124" s="310"/>
      <c r="CV124" s="256"/>
      <c r="CW124" s="256"/>
      <c r="CX124" s="289">
        <f>SUM(CX118:CX120)</f>
        <v>0</v>
      </c>
      <c r="CY124" s="310"/>
      <c r="CZ124" s="256"/>
      <c r="DA124" s="256"/>
      <c r="DB124" s="289">
        <f>SUM(DB118:DB120)</f>
        <v>0</v>
      </c>
      <c r="DC124" s="310"/>
      <c r="DD124" s="256"/>
      <c r="DE124" s="256"/>
      <c r="DF124" s="289">
        <f>SUM(DF118:DF120)</f>
        <v>0</v>
      </c>
      <c r="DG124" s="310"/>
      <c r="DH124" s="256"/>
      <c r="DI124" s="256"/>
      <c r="DJ124" s="289">
        <f>SUM(DJ118:DJ120)</f>
        <v>0</v>
      </c>
      <c r="DK124" s="310"/>
      <c r="DL124" s="256"/>
      <c r="DM124" s="256"/>
      <c r="DN124" s="289">
        <f>SUM(DN118:DN120)</f>
        <v>0</v>
      </c>
      <c r="DO124" s="310"/>
      <c r="DP124" s="256"/>
      <c r="DQ124" s="256"/>
      <c r="DR124" s="256"/>
      <c r="DS124" s="256"/>
      <c r="DT124" s="256"/>
      <c r="DU124" s="256"/>
      <c r="DV124" s="256"/>
      <c r="DW124" s="256"/>
      <c r="DX124" s="256"/>
      <c r="DY124" s="256"/>
      <c r="DZ124" s="256"/>
      <c r="EA124" s="256"/>
      <c r="EB124" s="621"/>
      <c r="EC124" s="621"/>
    </row>
    <row r="125" spans="1:133" hidden="1" outlineLevel="1">
      <c r="A125" s="256"/>
      <c r="B125" s="256"/>
      <c r="C125" s="256"/>
      <c r="D125" s="256"/>
      <c r="E125" s="256"/>
      <c r="F125" s="256"/>
      <c r="G125" s="256"/>
      <c r="H125" s="256"/>
      <c r="I125" s="256"/>
      <c r="J125" s="256"/>
      <c r="K125" s="256"/>
      <c r="L125" s="256"/>
      <c r="M125" s="256"/>
      <c r="N125" s="256"/>
      <c r="O125" s="256"/>
      <c r="P125" s="256"/>
      <c r="Q125" s="256"/>
      <c r="R125" s="256"/>
      <c r="S125" s="256"/>
      <c r="T125" s="256"/>
      <c r="U125" s="256"/>
      <c r="V125" s="256"/>
      <c r="W125" s="256"/>
      <c r="X125" s="256"/>
      <c r="Y125" s="256"/>
      <c r="Z125" s="256"/>
      <c r="AA125" s="256"/>
      <c r="AB125" s="256"/>
      <c r="AC125" s="256"/>
      <c r="AD125" s="256"/>
      <c r="AE125" s="256"/>
      <c r="AF125" s="256"/>
      <c r="AG125" s="256"/>
      <c r="AH125" s="256"/>
      <c r="AI125" s="256"/>
      <c r="AJ125" s="256"/>
      <c r="AK125" s="256"/>
      <c r="AL125" s="256"/>
      <c r="AM125" s="256"/>
      <c r="AN125" s="256"/>
      <c r="AO125" s="256"/>
      <c r="AP125" s="256"/>
      <c r="AQ125" s="256"/>
      <c r="AR125" s="256"/>
      <c r="AS125" s="256"/>
      <c r="AT125" s="256"/>
      <c r="AU125" s="256"/>
      <c r="AV125" s="256"/>
      <c r="AW125" s="256"/>
      <c r="AX125" s="256"/>
      <c r="AY125" s="256"/>
      <c r="AZ125" s="256"/>
      <c r="BA125" s="256"/>
      <c r="BB125" s="256"/>
      <c r="BC125" s="256"/>
      <c r="BD125" s="256"/>
      <c r="BE125" s="256"/>
      <c r="BF125" s="256"/>
      <c r="BG125" s="256"/>
      <c r="BH125" s="256"/>
      <c r="BI125" s="256"/>
      <c r="BJ125" s="256"/>
      <c r="BK125" s="305"/>
      <c r="BL125" s="256"/>
      <c r="BM125" s="587"/>
      <c r="BN125" s="256"/>
      <c r="BO125" s="256"/>
      <c r="BP125" s="256"/>
      <c r="BQ125" s="599"/>
      <c r="BR125" s="256"/>
      <c r="BS125" s="256"/>
      <c r="BT125" s="256"/>
      <c r="BU125" s="256"/>
      <c r="BV125" s="256"/>
      <c r="BW125" s="256"/>
      <c r="BX125" s="256"/>
      <c r="BY125" s="256"/>
      <c r="BZ125" s="256"/>
      <c r="CA125" s="256"/>
      <c r="CB125" s="256"/>
      <c r="CC125" s="256"/>
      <c r="CD125" s="256"/>
      <c r="CE125" s="256"/>
      <c r="CF125" s="256"/>
      <c r="CG125" s="256"/>
      <c r="CH125" s="256"/>
      <c r="CI125" s="256"/>
      <c r="CJ125" s="256"/>
      <c r="CK125" s="256"/>
      <c r="CL125" s="256"/>
      <c r="CM125" s="256"/>
      <c r="CN125" s="256"/>
      <c r="CO125" s="256"/>
      <c r="CP125" s="256"/>
      <c r="CQ125" s="256"/>
      <c r="CR125" s="256"/>
      <c r="CS125" s="256"/>
      <c r="CT125" s="256"/>
      <c r="CU125" s="256"/>
      <c r="CV125" s="256"/>
      <c r="CW125" s="256"/>
      <c r="CX125" s="256"/>
      <c r="CY125" s="256"/>
      <c r="CZ125" s="256"/>
      <c r="DA125" s="256"/>
      <c r="DB125" s="256"/>
      <c r="DC125" s="256"/>
      <c r="DD125" s="256"/>
      <c r="DE125" s="256"/>
      <c r="DF125" s="256"/>
      <c r="DG125" s="256"/>
      <c r="DH125" s="256"/>
      <c r="DI125" s="256"/>
      <c r="DJ125" s="256"/>
      <c r="DK125" s="256"/>
      <c r="DL125" s="256"/>
      <c r="DM125" s="256"/>
      <c r="DN125" s="256"/>
      <c r="DO125" s="256"/>
      <c r="DP125" s="256"/>
      <c r="DQ125" s="256"/>
      <c r="DR125" s="256"/>
      <c r="DS125" s="256"/>
      <c r="DT125" s="256"/>
      <c r="DU125" s="256"/>
      <c r="DV125" s="256"/>
      <c r="DW125" s="256"/>
      <c r="DX125" s="256"/>
      <c r="DY125" s="256"/>
      <c r="DZ125" s="256"/>
      <c r="EA125" s="256"/>
      <c r="EB125" s="621"/>
      <c r="EC125" s="621"/>
    </row>
    <row r="126" spans="1:133" hidden="1" outlineLevel="1">
      <c r="A126" s="256"/>
      <c r="B126" s="256"/>
      <c r="C126" s="268"/>
      <c r="D126" s="268"/>
      <c r="E126" s="268" t="str">
        <f>Z126</f>
        <v>8.  Net Earnings   (% Change)</v>
      </c>
      <c r="F126" s="268"/>
      <c r="G126" s="256"/>
      <c r="H126" s="256"/>
      <c r="I126" s="256"/>
      <c r="J126" s="268"/>
      <c r="K126" s="256"/>
      <c r="L126" s="256"/>
      <c r="M126" s="256"/>
      <c r="N126" s="268"/>
      <c r="O126" s="256"/>
      <c r="P126" s="256"/>
      <c r="Q126" s="256"/>
      <c r="R126" s="268"/>
      <c r="S126" s="256"/>
      <c r="T126" s="256"/>
      <c r="U126" s="256"/>
      <c r="V126" s="268"/>
      <c r="W126" s="256"/>
      <c r="X126" s="256"/>
      <c r="Y126" s="256"/>
      <c r="Z126" s="311" t="s">
        <v>1541</v>
      </c>
      <c r="AA126" s="312"/>
      <c r="AB126" s="312"/>
      <c r="AC126" s="312"/>
      <c r="AD126" s="311"/>
      <c r="AE126" s="312"/>
      <c r="AF126" s="312"/>
      <c r="AG126" s="312"/>
      <c r="AH126" s="311"/>
      <c r="AI126" s="312"/>
      <c r="AJ126" s="312"/>
      <c r="AK126" s="312"/>
      <c r="AL126" s="311" t="str">
        <f>+Z126</f>
        <v>8.  Net Earnings   (% Change)</v>
      </c>
      <c r="AM126" s="312"/>
      <c r="AN126" s="312"/>
      <c r="AO126" s="312"/>
      <c r="AP126" s="311"/>
      <c r="AQ126" s="312"/>
      <c r="AR126" s="312"/>
      <c r="AS126" s="312"/>
      <c r="AT126" s="311"/>
      <c r="AU126" s="312"/>
      <c r="AV126" s="312"/>
      <c r="AW126" s="312"/>
      <c r="AX126" s="311"/>
      <c r="AY126" s="312"/>
      <c r="AZ126" s="312"/>
      <c r="BA126" s="312"/>
      <c r="BB126" s="311"/>
      <c r="BC126" s="312"/>
      <c r="BD126" s="312"/>
      <c r="BE126" s="312"/>
      <c r="BF126" s="311"/>
      <c r="BG126" s="312"/>
      <c r="BH126" s="312"/>
      <c r="BI126" s="256"/>
      <c r="BJ126" s="311"/>
      <c r="BK126" s="312"/>
      <c r="BL126" s="312"/>
      <c r="BM126" s="588"/>
      <c r="BN126" s="311"/>
      <c r="BO126" s="312"/>
      <c r="BP126" s="312"/>
      <c r="BQ126" s="599"/>
      <c r="BR126" s="311"/>
      <c r="BS126" s="312"/>
      <c r="BT126" s="312"/>
      <c r="BU126" s="256"/>
      <c r="BV126" s="268" t="s">
        <v>1541</v>
      </c>
      <c r="BW126" s="312"/>
      <c r="BX126" s="312"/>
      <c r="BY126" s="256"/>
      <c r="BZ126" s="311"/>
      <c r="CA126" s="312"/>
      <c r="CB126" s="312"/>
      <c r="CC126" s="256"/>
      <c r="CD126" s="311"/>
      <c r="CE126" s="312"/>
      <c r="CF126" s="312"/>
      <c r="CG126" s="256"/>
      <c r="CH126" s="311"/>
      <c r="CI126" s="312"/>
      <c r="CJ126" s="312"/>
      <c r="CK126" s="256"/>
      <c r="CL126" s="311"/>
      <c r="CM126" s="312"/>
      <c r="CN126" s="312"/>
      <c r="CO126" s="256"/>
      <c r="CP126" s="311"/>
      <c r="CQ126" s="312"/>
      <c r="CR126" s="312"/>
      <c r="CS126" s="256"/>
      <c r="CT126" s="311"/>
      <c r="CU126" s="312"/>
      <c r="CV126" s="312"/>
      <c r="CW126" s="256"/>
      <c r="CX126" s="311"/>
      <c r="CY126" s="312"/>
      <c r="CZ126" s="312"/>
      <c r="DA126" s="256"/>
      <c r="DB126" s="311"/>
      <c r="DC126" s="312"/>
      <c r="DD126" s="312"/>
      <c r="DE126" s="256"/>
      <c r="DF126" s="311"/>
      <c r="DG126" s="312"/>
      <c r="DH126" s="312"/>
      <c r="DI126" s="256"/>
      <c r="DJ126" s="311"/>
      <c r="DK126" s="312"/>
      <c r="DL126" s="312"/>
      <c r="DM126" s="256"/>
      <c r="DN126" s="311"/>
      <c r="DO126" s="312"/>
      <c r="DP126" s="312"/>
      <c r="DQ126" s="256"/>
      <c r="DR126" s="256"/>
      <c r="DS126" s="256"/>
      <c r="DT126" s="256"/>
      <c r="DU126" s="256"/>
      <c r="DV126" s="256"/>
      <c r="DW126" s="256"/>
      <c r="DX126" s="256"/>
      <c r="DY126" s="256"/>
      <c r="DZ126" s="256"/>
      <c r="EA126" s="256"/>
    </row>
    <row r="127" spans="1:133" hidden="1" outlineLevel="1">
      <c r="A127" s="256"/>
      <c r="B127" s="256"/>
      <c r="C127" s="256"/>
      <c r="D127" s="256"/>
      <c r="E127" s="256"/>
      <c r="F127" s="256"/>
      <c r="G127" s="256"/>
      <c r="H127" s="256"/>
      <c r="I127" s="256"/>
      <c r="J127" s="256"/>
      <c r="K127" s="256"/>
      <c r="L127" s="256"/>
      <c r="M127" s="256"/>
      <c r="N127" s="256"/>
      <c r="O127" s="256"/>
      <c r="P127" s="256"/>
      <c r="Q127" s="256"/>
      <c r="R127" s="256"/>
      <c r="S127" s="256"/>
      <c r="T127" s="256"/>
      <c r="U127" s="256"/>
      <c r="V127" s="256"/>
      <c r="W127" s="256"/>
      <c r="X127" s="256"/>
      <c r="Y127" s="256"/>
      <c r="Z127" s="256"/>
      <c r="AA127" s="256"/>
      <c r="AB127" s="256"/>
      <c r="AC127" s="256"/>
      <c r="AD127" s="256"/>
      <c r="AE127" s="256"/>
      <c r="AF127" s="256"/>
      <c r="AG127" s="256"/>
      <c r="AH127" s="256"/>
      <c r="AI127" s="256"/>
      <c r="AJ127" s="256"/>
      <c r="AK127" s="256"/>
      <c r="AL127" s="256"/>
      <c r="AM127" s="256"/>
      <c r="AN127" s="256"/>
      <c r="AO127" s="256"/>
      <c r="AP127" s="256"/>
      <c r="AQ127" s="256"/>
      <c r="AR127" s="256"/>
      <c r="AS127" s="256"/>
      <c r="AT127" s="256"/>
      <c r="AU127" s="256"/>
      <c r="AV127" s="256"/>
      <c r="AW127" s="256"/>
      <c r="AX127" s="256"/>
      <c r="AY127" s="256"/>
      <c r="AZ127" s="256"/>
      <c r="BA127" s="256"/>
      <c r="BB127" s="256"/>
      <c r="BC127" s="256"/>
      <c r="BD127" s="256"/>
      <c r="BE127" s="256"/>
      <c r="BF127" s="256"/>
      <c r="BG127" s="256"/>
      <c r="BH127" s="256"/>
      <c r="BI127" s="256"/>
      <c r="BJ127" s="256"/>
      <c r="BK127" s="256"/>
      <c r="BL127" s="256"/>
      <c r="BM127" s="587"/>
      <c r="BN127" s="256"/>
      <c r="BO127" s="256"/>
      <c r="BP127" s="256"/>
      <c r="BQ127" s="599"/>
      <c r="BR127" s="256"/>
      <c r="BS127" s="256"/>
      <c r="BT127" s="256"/>
      <c r="BU127" s="256"/>
      <c r="BV127" s="256"/>
      <c r="BW127" s="256"/>
      <c r="BX127" s="256"/>
      <c r="BY127" s="256"/>
      <c r="BZ127" s="256"/>
      <c r="CA127" s="256"/>
      <c r="CB127" s="256"/>
      <c r="CC127" s="256"/>
      <c r="CD127" s="256"/>
      <c r="CE127" s="256"/>
      <c r="CF127" s="256"/>
      <c r="CG127" s="256"/>
      <c r="CH127" s="256"/>
      <c r="CI127" s="256"/>
      <c r="CJ127" s="256"/>
      <c r="CK127" s="256"/>
      <c r="CL127" s="256"/>
      <c r="CM127" s="256"/>
      <c r="CN127" s="256"/>
      <c r="CO127" s="256"/>
      <c r="CP127" s="256"/>
      <c r="CQ127" s="256"/>
      <c r="CR127" s="256"/>
      <c r="CS127" s="256"/>
      <c r="CT127" s="256"/>
      <c r="CU127" s="256"/>
      <c r="CV127" s="256"/>
      <c r="CW127" s="256"/>
      <c r="CX127" s="256"/>
      <c r="CY127" s="256"/>
      <c r="CZ127" s="256"/>
      <c r="DA127" s="256"/>
      <c r="DB127" s="256"/>
      <c r="DC127" s="256"/>
      <c r="DD127" s="256"/>
      <c r="DE127" s="256"/>
      <c r="DF127" s="256"/>
      <c r="DG127" s="256"/>
      <c r="DH127" s="256"/>
      <c r="DI127" s="256"/>
      <c r="DJ127" s="256"/>
      <c r="DK127" s="256"/>
      <c r="DL127" s="256"/>
      <c r="DM127" s="256"/>
      <c r="DN127" s="256"/>
      <c r="DO127" s="256"/>
      <c r="DP127" s="256"/>
      <c r="DQ127" s="256"/>
      <c r="DR127" s="256"/>
      <c r="DS127" s="256"/>
      <c r="DT127" s="256"/>
      <c r="DU127" s="256"/>
      <c r="DV127" s="256"/>
      <c r="DW127" s="256"/>
      <c r="DX127" s="256"/>
      <c r="DY127" s="256"/>
      <c r="DZ127" s="256"/>
      <c r="EA127" s="256"/>
    </row>
    <row r="128" spans="1:133" hidden="1" outlineLevel="1">
      <c r="A128" s="256" t="str">
        <f>$A$10</f>
        <v>1Q</v>
      </c>
      <c r="B128" s="256" t="str">
        <f>$B$10</f>
        <v>Apr</v>
      </c>
      <c r="C128" s="256"/>
      <c r="D128" s="305"/>
      <c r="E128" s="256"/>
      <c r="F128" s="305">
        <f>F108+F88+F118</f>
        <v>0</v>
      </c>
      <c r="G128" s="310"/>
      <c r="H128" s="256"/>
      <c r="I128" s="256"/>
      <c r="J128" s="305">
        <f>J108+J88</f>
        <v>-1.8959999999999901</v>
      </c>
      <c r="K128" s="310"/>
      <c r="L128" s="256"/>
      <c r="M128" s="256"/>
      <c r="N128" s="305">
        <f>N108+N88</f>
        <v>3.1030000000000193</v>
      </c>
      <c r="O128" s="310" t="str">
        <f t="shared" ref="O128:O134" si="270">IF(J128&lt;0,"       NM",(N128/J128-1)*100)</f>
        <v xml:space="preserve">       NM</v>
      </c>
      <c r="P128" s="256"/>
      <c r="Q128" s="256"/>
      <c r="R128" s="305">
        <f>R108+R88</f>
        <v>1.036999999999991</v>
      </c>
      <c r="S128" s="608">
        <f t="shared" ref="S128:S134" si="271">IF(N128&lt;0,"       NM",(R128/N128-1)*100)</f>
        <v>-66.580728327425561</v>
      </c>
      <c r="T128" s="256"/>
      <c r="U128" s="256"/>
      <c r="V128" s="305">
        <f>V108+V88</f>
        <v>1.8759999999999899</v>
      </c>
      <c r="W128" s="310">
        <f t="shared" ref="W128:W134" si="272">IF(R128&lt;0,"       NM",(V128/R128-1)*100)</f>
        <v>80.906460945034326</v>
      </c>
      <c r="X128" s="256"/>
      <c r="Y128" s="256"/>
      <c r="Z128" s="305">
        <f>Z108+Z88</f>
        <v>2.1599999999999913</v>
      </c>
      <c r="AA128" s="310">
        <f t="shared" ref="AA128:AA134" si="273">IF(V128&lt;0,"       NM",(Z128/V128-1)*100)</f>
        <v>15.138592750533197</v>
      </c>
      <c r="AB128" s="310"/>
      <c r="AC128" s="256"/>
      <c r="AD128" s="305">
        <f>AD108+AD88</f>
        <v>5.0770000000000195</v>
      </c>
      <c r="AE128" s="310">
        <f t="shared" ref="AE128:AE134" si="274">IF(Z128&lt;0,"       NM",(AD128/Z128-1)*100)</f>
        <v>135.04629629629815</v>
      </c>
      <c r="AF128" s="256"/>
      <c r="AG128" s="256"/>
      <c r="AH128" s="305">
        <f>AH108+AH88+AH118</f>
        <v>8.8800000000000168</v>
      </c>
      <c r="AI128" s="310">
        <f t="shared" ref="AI128:AI134" si="275">IF(AD128&lt;0,"       NM",(AH128/AD128-1)*100)</f>
        <v>74.906440811502506</v>
      </c>
      <c r="AJ128" s="256"/>
      <c r="AK128" s="256"/>
      <c r="AL128" s="305">
        <f>AL108+AL88+AL118</f>
        <v>11.119999999999992</v>
      </c>
      <c r="AM128" s="310">
        <f t="shared" ref="AM128:AM134" si="276">IF(AH128&lt;0,"       NM",(AL128/AH128-1)*100)</f>
        <v>25.2252252252249</v>
      </c>
      <c r="AN128" s="256"/>
      <c r="AO128" s="256"/>
      <c r="AP128" s="305">
        <f>AP108+AP88+AP118</f>
        <v>16.156999999999993</v>
      </c>
      <c r="AQ128" s="310">
        <f t="shared" ref="AQ128:AQ134" si="277">IF(AL128&lt;0,"       NM",(AP128/AL128-1)*100)</f>
        <v>45.296762589928093</v>
      </c>
      <c r="AR128" s="256"/>
      <c r="AS128" s="256"/>
      <c r="AT128" s="305">
        <f>AT108+AT88+AT118</f>
        <v>30.424999999999979</v>
      </c>
      <c r="AU128" s="310">
        <f t="shared" ref="AU128:AU134" si="278">IF(AP128&lt;0,"       NM",(AT128/AP128-1)*100)</f>
        <v>88.308473107631329</v>
      </c>
      <c r="AV128" s="256"/>
      <c r="AW128" s="256"/>
      <c r="AX128" s="305">
        <f>AX108+AX88+AX118</f>
        <v>30.762</v>
      </c>
      <c r="AY128" s="310">
        <f t="shared" ref="AY128:AY134" si="279">IF(AT128&lt;0,"       NM",(AX128/AT128-1)*100)</f>
        <v>1.1076417419885631</v>
      </c>
      <c r="AZ128" s="256"/>
      <c r="BA128" s="256"/>
      <c r="BB128" s="305">
        <f>BB108+BB88+BB118</f>
        <v>32.709000000000032</v>
      </c>
      <c r="BC128" s="310">
        <f t="shared" ref="BC128:BC134" si="280">IF(AX128&lt;0,"       NM",(BB128/AX128-1)*100)</f>
        <v>6.3292373707822369</v>
      </c>
      <c r="BD128" s="256"/>
      <c r="BE128" s="256"/>
      <c r="BF128" s="305">
        <f>BF108+BF88+BF118</f>
        <v>35.862999999999992</v>
      </c>
      <c r="BG128" s="310">
        <f t="shared" ref="BG128:BG134" si="281">IF(BB128&lt;0,"       NM",(BF128/BB128-1)*100)</f>
        <v>9.6426060105780032</v>
      </c>
      <c r="BH128" s="256"/>
      <c r="BI128" s="256"/>
      <c r="BJ128" s="305">
        <f>BJ108+BJ88+BJ118</f>
        <v>36.810999999999964</v>
      </c>
      <c r="BK128" s="310">
        <f t="shared" ref="BK128:BK134" si="282">IF(BF128&lt;0,"       NM",(BJ128/BF128-1)*100)</f>
        <v>2.6433929119147104</v>
      </c>
      <c r="BL128" s="256"/>
      <c r="BM128" s="587"/>
      <c r="BN128" s="305">
        <f>BN108+BN88+BN118</f>
        <v>40.058000000000035</v>
      </c>
      <c r="BO128" s="310">
        <f t="shared" ref="BO128:BO134" si="283">IF(BJ128&lt;0,"       NM",(BN128/BJ128-1)*100)</f>
        <v>8.8207329330908468</v>
      </c>
      <c r="BP128" s="256"/>
      <c r="BQ128" s="599"/>
      <c r="BR128" s="305">
        <f>BR108+BR88+BR118</f>
        <v>43.482999999999905</v>
      </c>
      <c r="BS128" s="310">
        <f t="shared" ref="BS128:BS134" si="284">IF(BN128&lt;0,"       NM",(BR128/BN128-1)*100)</f>
        <v>8.5501023515898602</v>
      </c>
      <c r="BT128" s="256"/>
      <c r="BU128" s="256"/>
      <c r="BV128" s="305">
        <f>BV108+BV88+BV118</f>
        <v>53.827000000000041</v>
      </c>
      <c r="BW128" s="310">
        <f t="shared" ref="BW128:BW134" si="285">IF(BR128&lt;0,"       NM",(BV128/BR128-1)*100)</f>
        <v>23.788607041832812</v>
      </c>
      <c r="BX128" s="256"/>
      <c r="BY128" s="256"/>
      <c r="BZ128" s="305">
        <f>BZ108+BZ88+BZ118</f>
        <v>66.546000000000049</v>
      </c>
      <c r="CA128" s="310">
        <f t="shared" ref="CA128:CA134" si="286">IF(BV128&lt;0,"       NM",(BZ128/BV128-1)*100)</f>
        <v>23.629405317034191</v>
      </c>
      <c r="CB128" s="256"/>
      <c r="CC128" s="256"/>
      <c r="CD128" s="305">
        <f>CD108+CD88+CD118</f>
        <v>27.443000000000012</v>
      </c>
      <c r="CE128" s="310">
        <f t="shared" ref="CE128:CE134" si="287">IF(BZ128&lt;0,"       NM",(CD128/BZ128-1)*100)</f>
        <v>-58.760857151444121</v>
      </c>
      <c r="CF128" s="256"/>
      <c r="CG128" s="256"/>
      <c r="CH128" s="305">
        <f>CH108+CH88+CH118</f>
        <v>62.189000000000036</v>
      </c>
      <c r="CI128" s="310">
        <f t="shared" ref="CI128:CI134" si="288">IF(CD128&lt;0,"       NM",(CH128/CD128-1)*100)</f>
        <v>126.61152206391431</v>
      </c>
      <c r="CJ128" s="256"/>
      <c r="CK128" s="256"/>
      <c r="CL128" s="305">
        <f>CL108+CL88+CL118</f>
        <v>86.066000000000074</v>
      </c>
      <c r="CM128" s="310">
        <f t="shared" ref="CM128:CM134" si="289">IF(CH128&lt;0,"       NM",(CL128/CH128-1)*100)</f>
        <v>38.394249786939859</v>
      </c>
      <c r="CN128" s="256"/>
      <c r="CO128" s="256"/>
      <c r="CP128" s="305">
        <f>CP108+CP88+CP118</f>
        <v>81.533999999999963</v>
      </c>
      <c r="CQ128" s="310">
        <f t="shared" ref="CQ128:CQ134" si="290">IF(CL128&lt;0,"       NM",(CP128/CL128-1)*100)</f>
        <v>-5.2657263030698616</v>
      </c>
      <c r="CR128" s="256"/>
      <c r="CS128" s="256"/>
      <c r="CT128" s="305">
        <f>CT108+CT88+CT118</f>
        <v>89.827000000000055</v>
      </c>
      <c r="CU128" s="310">
        <f t="shared" ref="CU128:CU134" si="291">IF(CP128&lt;0,"       NM",(CT128/CP128-1)*100)</f>
        <v>10.171216915642667</v>
      </c>
      <c r="CV128" s="256"/>
      <c r="CW128" s="256"/>
      <c r="CX128" s="305">
        <f>CX108+CX88+CX118</f>
        <v>125.60899999999994</v>
      </c>
      <c r="CY128" s="310">
        <f t="shared" ref="CY128:CY134" si="292">IF(CT128&lt;0,"       NM",(CX128/CT128-1)*100)</f>
        <v>39.834348247186099</v>
      </c>
      <c r="CZ128" s="256"/>
      <c r="DA128" s="256"/>
      <c r="DB128" s="305">
        <f>DB108+DB88+DB118</f>
        <v>104.89999999999999</v>
      </c>
      <c r="DC128" s="310">
        <f t="shared" ref="DC128:DC134" si="293">IF(CY128&lt;0,"       NM",(DB128/CY128-1)*100)</f>
        <v>163.34057067799557</v>
      </c>
      <c r="DD128" s="256"/>
      <c r="DE128" s="256"/>
      <c r="DF128" s="305">
        <f>DF108+DF88+DF118</f>
        <v>87.499999999999915</v>
      </c>
      <c r="DG128" s="310">
        <f t="shared" ref="DG128:DG134" si="294">IF(DC128&lt;0,"       NM",(DF128/DC128-1)*100)</f>
        <v>-46.430945088042677</v>
      </c>
      <c r="DH128" s="256"/>
      <c r="DI128" s="256"/>
      <c r="DJ128" s="305">
        <f>DJ108+DJ88+DJ118</f>
        <v>92.90000000000002</v>
      </c>
      <c r="DK128" s="310" t="str">
        <f t="shared" ref="DK128:DK134" si="295">IF(DG128&lt;0,"       NM",(DJ128/DG128-1)*100)</f>
        <v xml:space="preserve">       NM</v>
      </c>
      <c r="DL128" s="256"/>
      <c r="DM128" s="256"/>
      <c r="DN128" s="305">
        <f>DN108+DN88+DN118</f>
        <v>112.74921452023662</v>
      </c>
      <c r="DO128" s="310" t="e">
        <f t="shared" ref="DO128:DO134" si="296">IF(DK128&lt;0,"       NM",(DN128/DK128-1)*100)</f>
        <v>#VALUE!</v>
      </c>
      <c r="DP128" s="256"/>
      <c r="DQ128" s="256"/>
      <c r="DR128" s="256"/>
      <c r="DS128" s="256"/>
      <c r="DT128" s="256"/>
      <c r="DU128" s="256"/>
      <c r="DV128" s="256"/>
      <c r="DW128" s="256"/>
      <c r="DX128" s="256"/>
      <c r="DY128" s="256"/>
      <c r="DZ128" s="256"/>
      <c r="EA128" s="256"/>
    </row>
    <row r="129" spans="1:131" hidden="1" outlineLevel="1">
      <c r="A129" s="256" t="str">
        <f>$A$11</f>
        <v>2Q</v>
      </c>
      <c r="B129" s="256" t="str">
        <f>$B$11</f>
        <v>Jul</v>
      </c>
      <c r="C129" s="256"/>
      <c r="D129" s="289"/>
      <c r="E129" s="256"/>
      <c r="F129" s="289">
        <f>F109+F89+F119</f>
        <v>0</v>
      </c>
      <c r="G129" s="310"/>
      <c r="H129" s="256"/>
      <c r="I129" s="256"/>
      <c r="J129" s="289">
        <f>J109+J89</f>
        <v>7.2339999999999973</v>
      </c>
      <c r="K129" s="310"/>
      <c r="L129" s="256"/>
      <c r="M129" s="256"/>
      <c r="N129" s="289">
        <f>N109+N89</f>
        <v>3.8889999999999976</v>
      </c>
      <c r="O129" s="310">
        <f t="shared" si="270"/>
        <v>-46.239977882222846</v>
      </c>
      <c r="P129" s="256"/>
      <c r="Q129" s="256"/>
      <c r="R129" s="289">
        <f>R109+R89</f>
        <v>-32.550000000000004</v>
      </c>
      <c r="S129" s="608">
        <f t="shared" si="271"/>
        <v>-936.97608639753207</v>
      </c>
      <c r="T129" s="256"/>
      <c r="U129" s="256"/>
      <c r="V129" s="289">
        <f>V109+V89</f>
        <v>3.4500000000000148</v>
      </c>
      <c r="W129" s="310" t="str">
        <f t="shared" si="272"/>
        <v xml:space="preserve">       NM</v>
      </c>
      <c r="X129" s="256"/>
      <c r="Y129" s="256"/>
      <c r="Z129" s="289">
        <f>Z109+Z89</f>
        <v>5.3079999999999936</v>
      </c>
      <c r="AA129" s="310">
        <f t="shared" si="273"/>
        <v>53.855072463767264</v>
      </c>
      <c r="AB129" s="310"/>
      <c r="AC129" s="256"/>
      <c r="AD129" s="289">
        <f>AD109+AD89</f>
        <v>8.2460000000000004</v>
      </c>
      <c r="AE129" s="310">
        <f t="shared" si="274"/>
        <v>55.35041446872664</v>
      </c>
      <c r="AF129" s="256"/>
      <c r="AG129" s="256"/>
      <c r="AH129" s="289">
        <f>AH109+AH89+AH119</f>
        <v>10.37999999999999</v>
      </c>
      <c r="AI129" s="310">
        <f t="shared" si="275"/>
        <v>25.879214164443233</v>
      </c>
      <c r="AJ129" s="256"/>
      <c r="AK129" s="256"/>
      <c r="AL129" s="289">
        <f>AL109+AL89+AL119</f>
        <v>13.525000000000006</v>
      </c>
      <c r="AM129" s="310">
        <f t="shared" si="276"/>
        <v>30.298651252408646</v>
      </c>
      <c r="AN129" s="256"/>
      <c r="AO129" s="256"/>
      <c r="AP129" s="289">
        <f>AP109+AP89+AP119</f>
        <v>22.981000000000002</v>
      </c>
      <c r="AQ129" s="310">
        <f t="shared" si="277"/>
        <v>69.9149722735674</v>
      </c>
      <c r="AR129" s="256"/>
      <c r="AS129" s="256"/>
      <c r="AT129" s="288">
        <f>AT109+AT89+AT119</f>
        <v>39.164999999999964</v>
      </c>
      <c r="AU129" s="310">
        <f t="shared" si="278"/>
        <v>70.423393237892</v>
      </c>
      <c r="AV129" s="256"/>
      <c r="AW129" s="256"/>
      <c r="AX129" s="289">
        <f>AX109+AX89+AX119</f>
        <v>36.051999999999985</v>
      </c>
      <c r="AY129" s="310">
        <f t="shared" si="279"/>
        <v>-7.9484233371632351</v>
      </c>
      <c r="AZ129" s="256"/>
      <c r="BA129" s="256"/>
      <c r="BB129" s="289">
        <f>BB109+BB89+BB119</f>
        <v>32.713999999999999</v>
      </c>
      <c r="BC129" s="310">
        <f t="shared" si="280"/>
        <v>-9.2588483301896947</v>
      </c>
      <c r="BD129" s="256"/>
      <c r="BE129" s="256"/>
      <c r="BF129" s="289">
        <f>BF109+BF89+BF119</f>
        <v>41.146999999999998</v>
      </c>
      <c r="BG129" s="310">
        <f t="shared" si="281"/>
        <v>25.777954392614788</v>
      </c>
      <c r="BH129" s="256"/>
      <c r="BI129" s="256"/>
      <c r="BJ129" s="289">
        <f>BJ109+BJ89+BJ119</f>
        <v>33.089999999999932</v>
      </c>
      <c r="BK129" s="310">
        <f t="shared" si="282"/>
        <v>-19.581014411743425</v>
      </c>
      <c r="BL129" s="256"/>
      <c r="BM129" s="587"/>
      <c r="BN129" s="289">
        <f>BN109+BN89+BN119</f>
        <v>50.551000000000066</v>
      </c>
      <c r="BO129" s="310">
        <f t="shared" si="283"/>
        <v>52.76820791780046</v>
      </c>
      <c r="BP129" s="256"/>
      <c r="BQ129" s="599"/>
      <c r="BR129" s="289">
        <f>BR109+BR89+BR119</f>
        <v>44.714000000000041</v>
      </c>
      <c r="BS129" s="310">
        <f t="shared" si="284"/>
        <v>-11.546754762517097</v>
      </c>
      <c r="BT129" s="256"/>
      <c r="BU129" s="256"/>
      <c r="BV129" s="289">
        <f>BV109+BV89+BV119</f>
        <v>66.708999999999975</v>
      </c>
      <c r="BW129" s="310">
        <f t="shared" si="285"/>
        <v>49.190410162365048</v>
      </c>
      <c r="BX129" s="256"/>
      <c r="BY129" s="256"/>
      <c r="BZ129" s="289">
        <f>BZ109+BZ89+BZ119</f>
        <v>82.640000000000015</v>
      </c>
      <c r="CA129" s="310">
        <f t="shared" si="286"/>
        <v>23.881335352051526</v>
      </c>
      <c r="CB129" s="256"/>
      <c r="CC129" s="256"/>
      <c r="CD129" s="289">
        <f>CD109+CD89+CD119</f>
        <v>56.717000000000048</v>
      </c>
      <c r="CE129" s="310">
        <f t="shared" si="287"/>
        <v>-31.368586640851838</v>
      </c>
      <c r="CF129" s="256"/>
      <c r="CG129" s="256"/>
      <c r="CH129" s="289">
        <f>CH109+CH89+CH119</f>
        <v>70.066999999999993</v>
      </c>
      <c r="CI129" s="310">
        <f t="shared" si="288"/>
        <v>23.537916321384998</v>
      </c>
      <c r="CJ129" s="256"/>
      <c r="CK129" s="256"/>
      <c r="CL129" s="289">
        <f>CL109+CL89+CL119</f>
        <v>111.03400000000003</v>
      </c>
      <c r="CM129" s="310">
        <f t="shared" si="289"/>
        <v>58.468323176388367</v>
      </c>
      <c r="CN129" s="256"/>
      <c r="CO129" s="256"/>
      <c r="CP129" s="289">
        <f>CP109+CP89+CP119</f>
        <v>91.800999999999988</v>
      </c>
      <c r="CQ129" s="310">
        <f t="shared" si="290"/>
        <v>-17.321721274564585</v>
      </c>
      <c r="CR129" s="256"/>
      <c r="CS129" s="256"/>
      <c r="CT129" s="289">
        <f>CT109+CT89+CT119</f>
        <v>106.78100000000003</v>
      </c>
      <c r="CU129" s="310">
        <f t="shared" si="291"/>
        <v>16.317905033714286</v>
      </c>
      <c r="CV129" s="256"/>
      <c r="CW129" s="256"/>
      <c r="CX129" s="289">
        <f>CX109+CX89+CX119</f>
        <v>124.12</v>
      </c>
      <c r="CY129" s="310">
        <f t="shared" si="292"/>
        <v>16.237907492906011</v>
      </c>
      <c r="CZ129" s="256"/>
      <c r="DA129" s="256"/>
      <c r="DB129" s="289">
        <f>DB109+DB89+DB119</f>
        <v>111.20000000000005</v>
      </c>
      <c r="DC129" s="310">
        <f t="shared" si="293"/>
        <v>584.81730203587438</v>
      </c>
      <c r="DD129" s="256"/>
      <c r="DE129" s="256"/>
      <c r="DF129" s="289">
        <f>DF109+DF89+DF119</f>
        <v>105.70000000000003</v>
      </c>
      <c r="DG129" s="310">
        <f t="shared" si="294"/>
        <v>-81.925979338840406</v>
      </c>
      <c r="DH129" s="256"/>
      <c r="DI129" s="256"/>
      <c r="DJ129" s="289">
        <f>DJ109+DJ89+DJ119</f>
        <v>115.00000000000006</v>
      </c>
      <c r="DK129" s="310" t="str">
        <f t="shared" si="295"/>
        <v xml:space="preserve">       NM</v>
      </c>
      <c r="DL129" s="256"/>
      <c r="DM129" s="256"/>
      <c r="DN129" s="289">
        <f>DN109+DN89+DN119</f>
        <v>121.27014341930214</v>
      </c>
      <c r="DO129" s="310" t="e">
        <f t="shared" si="296"/>
        <v>#VALUE!</v>
      </c>
      <c r="DP129" s="256"/>
      <c r="DQ129" s="256"/>
      <c r="DR129" s="256"/>
      <c r="DS129" s="256"/>
      <c r="DT129" s="256"/>
      <c r="DU129" s="256"/>
      <c r="DV129" s="256"/>
      <c r="DW129" s="256"/>
      <c r="DX129" s="256"/>
      <c r="DY129" s="256"/>
      <c r="DZ129" s="256"/>
      <c r="EA129" s="256"/>
    </row>
    <row r="130" spans="1:131" hidden="1" outlineLevel="1">
      <c r="A130" s="256" t="str">
        <f>$A$12</f>
        <v>3Q</v>
      </c>
      <c r="B130" s="256" t="str">
        <f>$B$12</f>
        <v>Oct</v>
      </c>
      <c r="C130" s="256"/>
      <c r="D130" s="289"/>
      <c r="E130" s="256"/>
      <c r="F130" s="289">
        <f>F110+F90+F120</f>
        <v>0</v>
      </c>
      <c r="G130" s="310"/>
      <c r="H130" s="256"/>
      <c r="I130" s="256"/>
      <c r="J130" s="289">
        <f>J110+J90</f>
        <v>8.0370000000000026</v>
      </c>
      <c r="K130" s="310"/>
      <c r="L130" s="256"/>
      <c r="M130" s="256"/>
      <c r="N130" s="289">
        <f>N110+N90</f>
        <v>5.5999999999985173E-2</v>
      </c>
      <c r="O130" s="310">
        <f t="shared" si="270"/>
        <v>-99.303222595496024</v>
      </c>
      <c r="P130" s="256"/>
      <c r="Q130" s="256"/>
      <c r="R130" s="289">
        <f>R110+R90</f>
        <v>3.2549999999999892</v>
      </c>
      <c r="S130" s="608">
        <f t="shared" si="271"/>
        <v>5712.5000000015198</v>
      </c>
      <c r="T130" s="256"/>
      <c r="U130" s="256"/>
      <c r="V130" s="289">
        <f>V110+V90</f>
        <v>4.7199999999999989</v>
      </c>
      <c r="W130" s="310">
        <f t="shared" si="272"/>
        <v>45.007680491551902</v>
      </c>
      <c r="X130" s="256"/>
      <c r="Y130" s="256"/>
      <c r="Z130" s="289">
        <f>Z110+Z90</f>
        <v>6.2739999999999974</v>
      </c>
      <c r="AA130" s="310">
        <f t="shared" si="273"/>
        <v>32.923728813559293</v>
      </c>
      <c r="AB130" s="310"/>
      <c r="AC130" s="256"/>
      <c r="AD130" s="289">
        <f>AD110+AD90</f>
        <v>9.3470000000000155</v>
      </c>
      <c r="AE130" s="310">
        <f t="shared" si="274"/>
        <v>48.979917118266172</v>
      </c>
      <c r="AF130" s="256"/>
      <c r="AG130" s="256"/>
      <c r="AH130" s="289">
        <f>AH110+AH90+AH120</f>
        <v>11.463000000000015</v>
      </c>
      <c r="AI130" s="310">
        <f t="shared" si="275"/>
        <v>22.638279661923576</v>
      </c>
      <c r="AJ130" s="256"/>
      <c r="AK130" s="256"/>
      <c r="AL130" s="289">
        <f>AL110+AL90+AL120</f>
        <v>12.121999999999986</v>
      </c>
      <c r="AM130" s="310">
        <f t="shared" si="276"/>
        <v>5.7489313443249479</v>
      </c>
      <c r="AN130" s="256"/>
      <c r="AO130" s="256"/>
      <c r="AP130" s="616">
        <f>AP110+AP90+AP120</f>
        <v>21.962000000000003</v>
      </c>
      <c r="AQ130" s="310">
        <f t="shared" si="277"/>
        <v>81.174723642963457</v>
      </c>
      <c r="AR130" s="256"/>
      <c r="AS130" s="256"/>
      <c r="AT130" s="288">
        <f>AT110+AT90+AT120</f>
        <v>36.320000000000022</v>
      </c>
      <c r="AU130" s="310">
        <f t="shared" si="278"/>
        <v>65.376559511884238</v>
      </c>
      <c r="AV130" s="256"/>
      <c r="AW130" s="256"/>
      <c r="AX130" s="289">
        <f>AX110+AX90+AX120</f>
        <v>24.027999999999995</v>
      </c>
      <c r="AY130" s="310">
        <f t="shared" si="279"/>
        <v>-33.843612334801819</v>
      </c>
      <c r="AZ130" s="256"/>
      <c r="BA130" s="256"/>
      <c r="BB130" s="289">
        <f>BB110+BB90+BB120</f>
        <v>35.184000000000012</v>
      </c>
      <c r="BC130" s="310">
        <f t="shared" si="280"/>
        <v>46.429165973031552</v>
      </c>
      <c r="BD130" s="256"/>
      <c r="BE130" s="256"/>
      <c r="BF130" s="289">
        <f>BF110+BF90+BF120</f>
        <v>28.031000000000002</v>
      </c>
      <c r="BG130" s="310">
        <f t="shared" si="281"/>
        <v>-20.330263756252865</v>
      </c>
      <c r="BH130" s="256"/>
      <c r="BI130" s="256"/>
      <c r="BJ130" s="289">
        <f>BJ110+BJ90+BJ120</f>
        <v>17.358000000000004</v>
      </c>
      <c r="BK130" s="310">
        <f t="shared" si="282"/>
        <v>-38.075701901466218</v>
      </c>
      <c r="BL130" s="256"/>
      <c r="BM130" s="587"/>
      <c r="BN130" s="289">
        <f>BN110+BN90+BN120</f>
        <v>23.789000000000016</v>
      </c>
      <c r="BO130" s="310">
        <f t="shared" si="283"/>
        <v>37.049199216499652</v>
      </c>
      <c r="BP130" s="256"/>
      <c r="BQ130" s="599"/>
      <c r="BR130" s="289">
        <f>BR110+BR90+BR120</f>
        <v>32.624999999999943</v>
      </c>
      <c r="BS130" s="310">
        <f t="shared" si="284"/>
        <v>37.143217453444535</v>
      </c>
      <c r="BT130" s="256"/>
      <c r="BU130" s="256"/>
      <c r="BV130" s="289">
        <f>BV110+BV90+BV120</f>
        <v>137.68099999999995</v>
      </c>
      <c r="BW130" s="310">
        <f t="shared" si="285"/>
        <v>322.01072796934926</v>
      </c>
      <c r="BX130" s="256"/>
      <c r="BY130" s="256"/>
      <c r="BZ130" s="289">
        <f>BZ110+BZ90+BZ120</f>
        <v>45.55600000000004</v>
      </c>
      <c r="CA130" s="310">
        <f t="shared" si="286"/>
        <v>-66.911919582222637</v>
      </c>
      <c r="CB130" s="256"/>
      <c r="CC130" s="256"/>
      <c r="CD130" s="289">
        <f>CD110+CD90+CD120</f>
        <v>43.338999999999999</v>
      </c>
      <c r="CE130" s="310">
        <f t="shared" si="287"/>
        <v>-4.8665378874353298</v>
      </c>
      <c r="CF130" s="256"/>
      <c r="CG130" s="256"/>
      <c r="CH130" s="289">
        <f>CH110+CH90+CH120</f>
        <v>58.973000000000084</v>
      </c>
      <c r="CI130" s="310">
        <f t="shared" si="288"/>
        <v>36.073744202681389</v>
      </c>
      <c r="CJ130" s="256"/>
      <c r="CK130" s="256"/>
      <c r="CL130" s="289">
        <f>CL110+CL90+CL120</f>
        <v>89.689000000000021</v>
      </c>
      <c r="CM130" s="310">
        <f t="shared" si="289"/>
        <v>52.084852390076634</v>
      </c>
      <c r="CN130" s="256"/>
      <c r="CO130" s="256"/>
      <c r="CP130" s="289">
        <f>CP110+CP90+CP120</f>
        <v>63.178999999999959</v>
      </c>
      <c r="CQ130" s="310">
        <f t="shared" si="290"/>
        <v>-29.557693808605357</v>
      </c>
      <c r="CR130" s="256"/>
      <c r="CS130" s="256"/>
      <c r="CT130" s="289">
        <f>CT110+CT90+CT120</f>
        <v>94.61</v>
      </c>
      <c r="CU130" s="310">
        <f t="shared" si="291"/>
        <v>49.749125500561988</v>
      </c>
      <c r="CV130" s="256"/>
      <c r="CW130" s="256"/>
      <c r="CX130" s="289">
        <f>CX110+CX90+CX120</f>
        <v>160.18000000000012</v>
      </c>
      <c r="CY130" s="310">
        <f t="shared" si="292"/>
        <v>69.305570235704607</v>
      </c>
      <c r="CZ130" s="256"/>
      <c r="DA130" s="256"/>
      <c r="DB130" s="289">
        <f>DB110+DB90+DB120</f>
        <v>90.999999999999986</v>
      </c>
      <c r="DC130" s="310">
        <f t="shared" si="293"/>
        <v>31.302577398200128</v>
      </c>
      <c r="DD130" s="256"/>
      <c r="DE130" s="256"/>
      <c r="DF130" s="289">
        <f>DF110+DF90+DF120</f>
        <v>95.1</v>
      </c>
      <c r="DG130" s="310">
        <f t="shared" si="294"/>
        <v>203.80884867796274</v>
      </c>
      <c r="DH130" s="256"/>
      <c r="DI130" s="256"/>
      <c r="DJ130" s="289">
        <f>DJ110+DJ90+DJ120</f>
        <v>100.20000000000006</v>
      </c>
      <c r="DK130" s="310">
        <f t="shared" si="295"/>
        <v>-50.836285740308782</v>
      </c>
      <c r="DL130" s="256"/>
      <c r="DM130" s="256"/>
      <c r="DN130" s="289">
        <f>DN110+DN90+DN120</f>
        <v>102.62912333473687</v>
      </c>
      <c r="DO130" s="310" t="str">
        <f t="shared" si="296"/>
        <v xml:space="preserve">       NM</v>
      </c>
      <c r="DP130" s="256"/>
      <c r="DQ130" s="256"/>
      <c r="DR130" s="256"/>
      <c r="DS130" s="256"/>
      <c r="DT130" s="256"/>
      <c r="DU130" s="256"/>
      <c r="DV130" s="256"/>
      <c r="DW130" s="256"/>
      <c r="DX130" s="256"/>
      <c r="DY130" s="256"/>
      <c r="DZ130" s="256"/>
      <c r="EA130" s="256"/>
    </row>
    <row r="131" spans="1:131" hidden="1" outlineLevel="1">
      <c r="A131" s="256" t="str">
        <f>$A$13</f>
        <v>4Q</v>
      </c>
      <c r="B131" s="256" t="str">
        <f>$B$13</f>
        <v>Jan</v>
      </c>
      <c r="C131" s="587"/>
      <c r="D131" s="313"/>
      <c r="E131" s="587"/>
      <c r="F131" s="313">
        <f>F111+F91+F121</f>
        <v>0</v>
      </c>
      <c r="G131" s="310"/>
      <c r="H131" s="256"/>
      <c r="I131" s="256"/>
      <c r="J131" s="313">
        <f>J111+J91</f>
        <v>12.097999999999994</v>
      </c>
      <c r="K131" s="310"/>
      <c r="L131" s="256"/>
      <c r="M131" s="256"/>
      <c r="N131" s="313">
        <f>N111+N91</f>
        <v>8.6640000000000139</v>
      </c>
      <c r="O131" s="310">
        <f t="shared" si="270"/>
        <v>-28.384857001157059</v>
      </c>
      <c r="P131" s="256"/>
      <c r="Q131" s="256"/>
      <c r="R131" s="313">
        <f>R111+R91</f>
        <v>18.016000000000005</v>
      </c>
      <c r="S131" s="608">
        <f t="shared" si="271"/>
        <v>107.94090489381323</v>
      </c>
      <c r="T131" s="256"/>
      <c r="U131" s="256"/>
      <c r="V131" s="313">
        <f>V111+V91</f>
        <v>19.295000000000012</v>
      </c>
      <c r="W131" s="310">
        <f t="shared" si="272"/>
        <v>7.0992451154529679</v>
      </c>
      <c r="X131" s="256"/>
      <c r="Y131" s="256"/>
      <c r="Z131" s="313">
        <f>Z111+Z91</f>
        <v>25.472999999999995</v>
      </c>
      <c r="AA131" s="310">
        <f t="shared" si="273"/>
        <v>32.018657683337537</v>
      </c>
      <c r="AB131" s="310"/>
      <c r="AC131" s="256"/>
      <c r="AD131" s="313">
        <f>AD111+AD91</f>
        <v>35.769000000000034</v>
      </c>
      <c r="AE131" s="310">
        <f t="shared" si="274"/>
        <v>40.419267459663331</v>
      </c>
      <c r="AF131" s="256"/>
      <c r="AG131" s="256"/>
      <c r="AH131" s="313">
        <f>AH111+AH91+AH121</f>
        <v>42.099000000000004</v>
      </c>
      <c r="AI131" s="310">
        <f t="shared" si="275"/>
        <v>17.696888367021614</v>
      </c>
      <c r="AJ131" s="256"/>
      <c r="AK131" s="256"/>
      <c r="AL131" s="313">
        <f>AL111+AL91+AL121</f>
        <v>53.295000000000059</v>
      </c>
      <c r="AM131" s="310">
        <f t="shared" si="276"/>
        <v>26.594455925319018</v>
      </c>
      <c r="AN131" s="256"/>
      <c r="AO131" s="256"/>
      <c r="AP131" s="313">
        <f>AP111+AP91+AP121</f>
        <v>84.578999999999951</v>
      </c>
      <c r="AQ131" s="310">
        <f t="shared" si="277"/>
        <v>58.699690402476513</v>
      </c>
      <c r="AR131" s="256"/>
      <c r="AS131" s="256"/>
      <c r="AT131" s="318">
        <f>AT111+AT91+AT121</f>
        <v>84.674000000000021</v>
      </c>
      <c r="AU131" s="310">
        <f t="shared" si="278"/>
        <v>0.11232102531368859</v>
      </c>
      <c r="AV131" s="256"/>
      <c r="AW131" s="256"/>
      <c r="AX131" s="313">
        <f>AX111+AX91+AX121</f>
        <v>82.745000000000005</v>
      </c>
      <c r="AY131" s="310">
        <f t="shared" si="279"/>
        <v>-2.2781491366889672</v>
      </c>
      <c r="AZ131" s="256"/>
      <c r="BA131" s="256"/>
      <c r="BB131" s="313">
        <f>BB111+BB91+BB121</f>
        <v>89.287000000000006</v>
      </c>
      <c r="BC131" s="310">
        <f t="shared" si="280"/>
        <v>7.9062178983624332</v>
      </c>
      <c r="BD131" s="256"/>
      <c r="BE131" s="256"/>
      <c r="BF131" s="313">
        <f>BF111+BF91+BF121</f>
        <v>110.47599999999994</v>
      </c>
      <c r="BG131" s="310">
        <f t="shared" si="281"/>
        <v>23.731338268728862</v>
      </c>
      <c r="BH131" s="256"/>
      <c r="BI131" s="256"/>
      <c r="BJ131" s="313">
        <f>BJ111+BJ121</f>
        <v>217.04000000000002</v>
      </c>
      <c r="BK131" s="310">
        <f t="shared" si="282"/>
        <v>96.458959411999118</v>
      </c>
      <c r="BL131" s="256"/>
      <c r="BM131" s="587"/>
      <c r="BN131" s="313">
        <f>BN111+BN91+BN121</f>
        <v>140.25700000000001</v>
      </c>
      <c r="BO131" s="310">
        <f t="shared" si="283"/>
        <v>-35.377349797272394</v>
      </c>
      <c r="BP131" s="256"/>
      <c r="BQ131" s="599"/>
      <c r="BR131" s="313">
        <f>BR111+BR91+BR121</f>
        <v>147.87099999999992</v>
      </c>
      <c r="BS131" s="310">
        <f t="shared" si="284"/>
        <v>5.4286060588775831</v>
      </c>
      <c r="BT131" s="256"/>
      <c r="BU131" s="256"/>
      <c r="BV131" s="313">
        <f>BV111+BV91+BV121</f>
        <v>95.198999999999842</v>
      </c>
      <c r="BW131" s="310">
        <f t="shared" si="285"/>
        <v>-35.620236557540096</v>
      </c>
      <c r="BX131" s="256"/>
      <c r="BY131" s="256"/>
      <c r="BZ131" s="313">
        <f>BZ111+BZ91+BZ121</f>
        <v>8.8980799999999647</v>
      </c>
      <c r="CA131" s="310">
        <f t="shared" si="286"/>
        <v>-90.653179130032896</v>
      </c>
      <c r="CB131" s="256"/>
      <c r="CC131" s="256"/>
      <c r="CD131" s="313">
        <f>CD111+CD91+CD121</f>
        <v>138.20700000000002</v>
      </c>
      <c r="CE131" s="310">
        <f t="shared" si="287"/>
        <v>1453.2227177098944</v>
      </c>
      <c r="CF131" s="256"/>
      <c r="CG131" s="256"/>
      <c r="CH131" s="313">
        <f>CH111+CH91+CH121</f>
        <v>185.11099999999993</v>
      </c>
      <c r="CI131" s="310">
        <f t="shared" si="288"/>
        <v>33.937499547779716</v>
      </c>
      <c r="CJ131" s="256"/>
      <c r="CK131" s="256"/>
      <c r="CL131" s="313">
        <f>CL111+CL91+CL121</f>
        <v>178.3950000000001</v>
      </c>
      <c r="CM131" s="310">
        <f t="shared" si="289"/>
        <v>-3.6280934142216559</v>
      </c>
      <c r="CN131" s="256"/>
      <c r="CO131" s="256"/>
      <c r="CP131" s="313">
        <f>CP111+CP91+CP121</f>
        <v>179.64300000000006</v>
      </c>
      <c r="CQ131" s="310">
        <f t="shared" si="290"/>
        <v>0.69957117632217791</v>
      </c>
      <c r="CR131" s="256"/>
      <c r="CS131" s="256"/>
      <c r="CT131" s="313">
        <f>CT111+CT91+CT121</f>
        <v>189.80400000000014</v>
      </c>
      <c r="CU131" s="310">
        <f t="shared" si="291"/>
        <v>5.6562181660293476</v>
      </c>
      <c r="CV131" s="256"/>
      <c r="CW131" s="256"/>
      <c r="CX131" s="313">
        <f>CX111+CX91+CX121</f>
        <v>196.18200000000004</v>
      </c>
      <c r="CY131" s="310">
        <f t="shared" si="292"/>
        <v>3.3603085287980727</v>
      </c>
      <c r="CZ131" s="256"/>
      <c r="DA131" s="256"/>
      <c r="DB131" s="313">
        <f>DB111+DB91+DB121</f>
        <v>187.34299999999999</v>
      </c>
      <c r="DC131" s="310">
        <f t="shared" si="293"/>
        <v>5475.1725888994333</v>
      </c>
      <c r="DD131" s="256"/>
      <c r="DE131" s="256"/>
      <c r="DF131" s="313">
        <f>DF111+DF91+DF121</f>
        <v>181.7999999999999</v>
      </c>
      <c r="DG131" s="310">
        <f t="shared" si="294"/>
        <v>-96.679556725415594</v>
      </c>
      <c r="DH131" s="256"/>
      <c r="DI131" s="256"/>
      <c r="DJ131" s="313">
        <f>DJ111+DJ91+DJ121</f>
        <v>208.09999999999991</v>
      </c>
      <c r="DK131" s="310" t="str">
        <f t="shared" si="295"/>
        <v xml:space="preserve">       NM</v>
      </c>
      <c r="DL131" s="256"/>
      <c r="DM131" s="256"/>
      <c r="DN131" s="313">
        <f>DN111+DN91+DN121</f>
        <v>210.01927571158581</v>
      </c>
      <c r="DO131" s="310" t="e">
        <f t="shared" si="296"/>
        <v>#VALUE!</v>
      </c>
      <c r="DP131" s="256"/>
      <c r="DQ131" s="256"/>
      <c r="DR131" s="256"/>
      <c r="DS131" s="256"/>
      <c r="DT131" s="256"/>
      <c r="DU131" s="256"/>
      <c r="DV131" s="256"/>
      <c r="DW131" s="256"/>
      <c r="DX131" s="256"/>
      <c r="DY131" s="256"/>
      <c r="DZ131" s="256"/>
      <c r="EA131" s="256"/>
    </row>
    <row r="132" spans="1:131" hidden="1" outlineLevel="1">
      <c r="A132" s="256"/>
      <c r="B132" s="256" t="str">
        <f>$B$14</f>
        <v>Year</v>
      </c>
      <c r="C132" s="256"/>
      <c r="D132" s="305"/>
      <c r="E132" s="256"/>
      <c r="F132" s="305">
        <f>F112+F92+F122</f>
        <v>0</v>
      </c>
      <c r="G132" s="310"/>
      <c r="H132" s="256"/>
      <c r="I132" s="256"/>
      <c r="J132" s="305">
        <f>J112+J92+J122</f>
        <v>26.672999999999998</v>
      </c>
      <c r="K132" s="310"/>
      <c r="L132" s="256"/>
      <c r="M132" s="256"/>
      <c r="N132" s="305">
        <f>SUM(N128:N131)</f>
        <v>15.712000000000016</v>
      </c>
      <c r="O132" s="310">
        <f t="shared" si="270"/>
        <v>-41.09399017733282</v>
      </c>
      <c r="P132" s="256"/>
      <c r="Q132" s="256"/>
      <c r="R132" s="305">
        <f>SUM(R128:R131)</f>
        <v>-10.242000000000019</v>
      </c>
      <c r="S132" s="608">
        <f t="shared" si="271"/>
        <v>-165.18584521384935</v>
      </c>
      <c r="T132" s="256"/>
      <c r="U132" s="256"/>
      <c r="V132" s="305">
        <f>SUM(V128:V131)</f>
        <v>29.341000000000015</v>
      </c>
      <c r="W132" s="310" t="str">
        <f t="shared" si="272"/>
        <v xml:space="preserve">       NM</v>
      </c>
      <c r="X132" s="256"/>
      <c r="Y132" s="256"/>
      <c r="Z132" s="305">
        <f>SUM(Z128:Z131)</f>
        <v>39.214999999999975</v>
      </c>
      <c r="AA132" s="310">
        <f t="shared" si="273"/>
        <v>33.652568078797444</v>
      </c>
      <c r="AB132" s="310"/>
      <c r="AC132" s="256"/>
      <c r="AD132" s="305">
        <f>SUM(AD128:AD131)</f>
        <v>58.439000000000071</v>
      </c>
      <c r="AE132" s="310">
        <f t="shared" si="274"/>
        <v>49.022057886013279</v>
      </c>
      <c r="AF132" s="256"/>
      <c r="AG132" s="256"/>
      <c r="AH132" s="305">
        <f>SUM(AH128:AH131)</f>
        <v>72.822000000000031</v>
      </c>
      <c r="AI132" s="310">
        <f t="shared" si="275"/>
        <v>24.611988569277266</v>
      </c>
      <c r="AJ132" s="256"/>
      <c r="AK132" s="256"/>
      <c r="AL132" s="305">
        <f>SUM(AL128:AL131)</f>
        <v>90.06200000000004</v>
      </c>
      <c r="AM132" s="310">
        <f t="shared" si="276"/>
        <v>23.67416440086787</v>
      </c>
      <c r="AN132" s="256"/>
      <c r="AO132" s="256"/>
      <c r="AP132" s="305">
        <f>SUM(AP128:AP131)</f>
        <v>145.67899999999995</v>
      </c>
      <c r="AQ132" s="310">
        <f t="shared" si="277"/>
        <v>61.754124936154952</v>
      </c>
      <c r="AR132" s="256"/>
      <c r="AS132" s="256"/>
      <c r="AT132" s="305">
        <f>SUM(AT128:AT131)</f>
        <v>190.584</v>
      </c>
      <c r="AU132" s="310">
        <f t="shared" si="278"/>
        <v>30.82462125632388</v>
      </c>
      <c r="AV132" s="256"/>
      <c r="AW132" s="256"/>
      <c r="AX132" s="305">
        <f>SUM(AX128:AX131)</f>
        <v>173.58699999999999</v>
      </c>
      <c r="AY132" s="310">
        <f t="shared" si="279"/>
        <v>-8.9183771985056559</v>
      </c>
      <c r="AZ132" s="256"/>
      <c r="BA132" s="256"/>
      <c r="BB132" s="305">
        <f>SUM(BB128:BB131)</f>
        <v>189.89400000000006</v>
      </c>
      <c r="BC132" s="310">
        <f t="shared" si="280"/>
        <v>9.3941366576990593</v>
      </c>
      <c r="BD132" s="256"/>
      <c r="BE132" s="256"/>
      <c r="BF132" s="305">
        <f>SUM(BF128:BF131)</f>
        <v>215.51699999999994</v>
      </c>
      <c r="BG132" s="310">
        <f t="shared" si="281"/>
        <v>13.493317324401954</v>
      </c>
      <c r="BH132" s="256"/>
      <c r="BI132" s="256"/>
      <c r="BJ132" s="305">
        <f>SUM(BJ128:BJ131)</f>
        <v>304.29899999999992</v>
      </c>
      <c r="BK132" s="310">
        <f t="shared" si="282"/>
        <v>41.194894138281434</v>
      </c>
      <c r="BL132" s="256"/>
      <c r="BM132" s="587"/>
      <c r="BN132" s="305">
        <f>SUM(BN128:BN131)</f>
        <v>254.65500000000011</v>
      </c>
      <c r="BO132" s="310">
        <f t="shared" si="283"/>
        <v>-16.314217266569997</v>
      </c>
      <c r="BP132" s="256"/>
      <c r="BQ132" s="599"/>
      <c r="BR132" s="305">
        <f>SUM(BR128:BR131)</f>
        <v>268.69299999999981</v>
      </c>
      <c r="BS132" s="310">
        <f t="shared" si="284"/>
        <v>5.5125562034908704</v>
      </c>
      <c r="BT132" s="256"/>
      <c r="BU132" s="256"/>
      <c r="BV132" s="305">
        <f>SUM(BV128:BV131)</f>
        <v>353.41599999999983</v>
      </c>
      <c r="BW132" s="310">
        <f t="shared" si="285"/>
        <v>31.531524825730518</v>
      </c>
      <c r="BX132" s="256"/>
      <c r="BY132" s="256"/>
      <c r="BZ132" s="305">
        <f>SUM(BZ128:BZ131)</f>
        <v>203.64008000000007</v>
      </c>
      <c r="CA132" s="310">
        <f t="shared" si="286"/>
        <v>-42.379496117889346</v>
      </c>
      <c r="CB132" s="256"/>
      <c r="CC132" s="256"/>
      <c r="CD132" s="305">
        <f>SUM(CD128:CD131)</f>
        <v>265.70600000000007</v>
      </c>
      <c r="CE132" s="310">
        <f t="shared" si="287"/>
        <v>30.478243772051151</v>
      </c>
      <c r="CF132" s="256"/>
      <c r="CG132" s="256"/>
      <c r="CH132" s="305">
        <f>SUM(CH128:CH131)</f>
        <v>376.34000000000003</v>
      </c>
      <c r="CI132" s="310">
        <f t="shared" si="288"/>
        <v>41.637749994354635</v>
      </c>
      <c r="CJ132" s="256"/>
      <c r="CK132" s="256"/>
      <c r="CL132" s="305">
        <f>SUM(CL128:CL131)</f>
        <v>465.1840000000002</v>
      </c>
      <c r="CM132" s="310">
        <f t="shared" si="289"/>
        <v>23.607376308657102</v>
      </c>
      <c r="CN132" s="256"/>
      <c r="CO132" s="256"/>
      <c r="CP132" s="305">
        <f>SUM(CP128:CP131)</f>
        <v>416.15699999999993</v>
      </c>
      <c r="CQ132" s="310">
        <f t="shared" si="290"/>
        <v>-10.539270482217844</v>
      </c>
      <c r="CR132" s="256"/>
      <c r="CS132" s="256"/>
      <c r="CT132" s="305">
        <f>SUM(CT128:CT131)</f>
        <v>481.02200000000022</v>
      </c>
      <c r="CU132" s="310">
        <f t="shared" si="291"/>
        <v>15.586665609373451</v>
      </c>
      <c r="CV132" s="256"/>
      <c r="CW132" s="256"/>
      <c r="CX132" s="305">
        <f>SUM(CX128:CX131)</f>
        <v>606.09100000000012</v>
      </c>
      <c r="CY132" s="310">
        <f t="shared" si="292"/>
        <v>26.000681881493961</v>
      </c>
      <c r="CZ132" s="256"/>
      <c r="DA132" s="256"/>
      <c r="DB132" s="305">
        <f>SUM(DB128:DB131)</f>
        <v>494.44299999999998</v>
      </c>
      <c r="DC132" s="310">
        <f t="shared" si="293"/>
        <v>1801.6539729749197</v>
      </c>
      <c r="DD132" s="256"/>
      <c r="DE132" s="256"/>
      <c r="DF132" s="305">
        <f>SUM(DF128:DF131)</f>
        <v>470.09999999999985</v>
      </c>
      <c r="DG132" s="310">
        <f t="shared" si="294"/>
        <v>-73.907309225213581</v>
      </c>
      <c r="DH132" s="256"/>
      <c r="DI132" s="256"/>
      <c r="DJ132" s="305">
        <f>SUM(DJ128:DJ131)</f>
        <v>516.20000000000005</v>
      </c>
      <c r="DK132" s="310" t="str">
        <f t="shared" si="295"/>
        <v xml:space="preserve">       NM</v>
      </c>
      <c r="DL132" s="256"/>
      <c r="DM132" s="256"/>
      <c r="DN132" s="305">
        <f>SUM(DN128:DN131)</f>
        <v>546.66775698586139</v>
      </c>
      <c r="DO132" s="310" t="e">
        <f t="shared" si="296"/>
        <v>#VALUE!</v>
      </c>
      <c r="DP132" s="256"/>
      <c r="DQ132" s="256"/>
      <c r="DR132" s="256"/>
      <c r="DS132" s="256"/>
      <c r="DT132" s="256"/>
      <c r="DU132" s="256"/>
      <c r="DV132" s="256"/>
      <c r="DW132" s="256"/>
      <c r="DX132" s="256"/>
      <c r="DY132" s="256"/>
      <c r="DZ132" s="256"/>
      <c r="EA132" s="256"/>
    </row>
    <row r="133" spans="1:131" hidden="1" outlineLevel="1">
      <c r="A133" s="256" t="str">
        <f>$A$15</f>
        <v>6 Mos</v>
      </c>
      <c r="B133" s="256"/>
      <c r="C133" s="256"/>
      <c r="D133" s="289"/>
      <c r="E133" s="256"/>
      <c r="F133" s="289">
        <f>SUM(F128:F129)</f>
        <v>0</v>
      </c>
      <c r="G133" s="310"/>
      <c r="H133" s="256"/>
      <c r="I133" s="256"/>
      <c r="J133" s="289">
        <f>SUM(J128:J129)</f>
        <v>5.3380000000000072</v>
      </c>
      <c r="K133" s="310"/>
      <c r="L133" s="256"/>
      <c r="M133" s="256"/>
      <c r="N133" s="289">
        <f>SUM(N128:N129)</f>
        <v>6.9920000000000169</v>
      </c>
      <c r="O133" s="310">
        <f t="shared" si="270"/>
        <v>30.985387785687667</v>
      </c>
      <c r="P133" s="256"/>
      <c r="Q133" s="256"/>
      <c r="R133" s="289">
        <f>SUM(R128:R129)</f>
        <v>-31.513000000000012</v>
      </c>
      <c r="S133" s="608">
        <f t="shared" si="271"/>
        <v>-550.70080091533089</v>
      </c>
      <c r="T133" s="256"/>
      <c r="U133" s="256"/>
      <c r="V133" s="289">
        <f>SUM(V128:V129)</f>
        <v>5.326000000000005</v>
      </c>
      <c r="W133" s="310" t="str">
        <f t="shared" si="272"/>
        <v xml:space="preserve">       NM</v>
      </c>
      <c r="X133" s="256"/>
      <c r="Y133" s="256"/>
      <c r="Z133" s="289">
        <f>SUM(Z128:Z129)</f>
        <v>7.4679999999999849</v>
      </c>
      <c r="AA133" s="310">
        <f t="shared" si="273"/>
        <v>40.217799474276731</v>
      </c>
      <c r="AB133" s="310"/>
      <c r="AC133" s="256"/>
      <c r="AD133" s="289">
        <f>SUM(AD128:AD129)</f>
        <v>13.32300000000002</v>
      </c>
      <c r="AE133" s="310">
        <f t="shared" si="274"/>
        <v>78.401178361007595</v>
      </c>
      <c r="AF133" s="256"/>
      <c r="AG133" s="256"/>
      <c r="AH133" s="289">
        <f>SUM(AH128:AH129)</f>
        <v>19.260000000000005</v>
      </c>
      <c r="AI133" s="310">
        <f t="shared" si="275"/>
        <v>44.562035577572431</v>
      </c>
      <c r="AJ133" s="256"/>
      <c r="AK133" s="256"/>
      <c r="AL133" s="289">
        <f>SUM(AL128:AL129)</f>
        <v>24.644999999999996</v>
      </c>
      <c r="AM133" s="310">
        <f t="shared" si="276"/>
        <v>27.959501557632336</v>
      </c>
      <c r="AN133" s="256"/>
      <c r="AO133" s="256"/>
      <c r="AP133" s="289">
        <f>SUM(AP128:AP129)</f>
        <v>39.137999999999991</v>
      </c>
      <c r="AQ133" s="310">
        <f t="shared" si="277"/>
        <v>58.807060255629942</v>
      </c>
      <c r="AR133" s="256"/>
      <c r="AS133" s="256"/>
      <c r="AT133" s="289">
        <f>SUM(AT128:AT129)</f>
        <v>69.589999999999947</v>
      </c>
      <c r="AU133" s="310">
        <f t="shared" si="278"/>
        <v>77.806735142316839</v>
      </c>
      <c r="AV133" s="256"/>
      <c r="AW133" s="256"/>
      <c r="AX133" s="289">
        <f>SUM(AX128:AX129)</f>
        <v>66.813999999999993</v>
      </c>
      <c r="AY133" s="310">
        <f t="shared" si="279"/>
        <v>-3.989078890645148</v>
      </c>
      <c r="AZ133" s="256"/>
      <c r="BA133" s="256"/>
      <c r="BB133" s="289">
        <f>SUM(BB128:BB129)</f>
        <v>65.42300000000003</v>
      </c>
      <c r="BC133" s="310">
        <f t="shared" si="280"/>
        <v>-2.0818990032028695</v>
      </c>
      <c r="BD133" s="256"/>
      <c r="BE133" s="256"/>
      <c r="BF133" s="289">
        <f>SUM(BF128:BF129)</f>
        <v>77.009999999999991</v>
      </c>
      <c r="BG133" s="310">
        <f t="shared" si="281"/>
        <v>17.710896779420015</v>
      </c>
      <c r="BH133" s="256"/>
      <c r="BI133" s="256"/>
      <c r="BJ133" s="289">
        <f>SUM(BJ128:BJ129)</f>
        <v>69.900999999999897</v>
      </c>
      <c r="BK133" s="310">
        <f t="shared" si="282"/>
        <v>-9.2312686664070895</v>
      </c>
      <c r="BL133" s="256"/>
      <c r="BM133" s="587"/>
      <c r="BN133" s="289">
        <f>SUM(BN128:BN129)</f>
        <v>90.609000000000094</v>
      </c>
      <c r="BO133" s="310">
        <f t="shared" si="283"/>
        <v>29.624755010658266</v>
      </c>
      <c r="BP133" s="256"/>
      <c r="BQ133" s="599"/>
      <c r="BR133" s="289">
        <f>SUM(BR128:BR129)</f>
        <v>88.196999999999946</v>
      </c>
      <c r="BS133" s="310">
        <f t="shared" si="284"/>
        <v>-2.661987219812767</v>
      </c>
      <c r="BT133" s="256"/>
      <c r="BU133" s="256"/>
      <c r="BV133" s="289">
        <f>SUM(BV128:BV129)</f>
        <v>120.53600000000002</v>
      </c>
      <c r="BW133" s="310">
        <f t="shared" si="285"/>
        <v>36.666780049208114</v>
      </c>
      <c r="BX133" s="256"/>
      <c r="BY133" s="256"/>
      <c r="BZ133" s="289">
        <f>SUM(BZ128:BZ129)</f>
        <v>149.18600000000006</v>
      </c>
      <c r="CA133" s="310">
        <f t="shared" si="286"/>
        <v>23.768832547952524</v>
      </c>
      <c r="CB133" s="256"/>
      <c r="CC133" s="256"/>
      <c r="CD133" s="289">
        <f>SUM(CD128:CD129)</f>
        <v>84.160000000000053</v>
      </c>
      <c r="CE133" s="310">
        <f t="shared" si="287"/>
        <v>-43.587199871301586</v>
      </c>
      <c r="CF133" s="256"/>
      <c r="CG133" s="256"/>
      <c r="CH133" s="289">
        <f>SUM(CH128:CH129)</f>
        <v>132.25600000000003</v>
      </c>
      <c r="CI133" s="310">
        <f t="shared" si="288"/>
        <v>57.148288973383956</v>
      </c>
      <c r="CJ133" s="256"/>
      <c r="CK133" s="256"/>
      <c r="CL133" s="289">
        <f>SUM(CL128:CL129)</f>
        <v>197.10000000000011</v>
      </c>
      <c r="CM133" s="310">
        <f t="shared" si="289"/>
        <v>49.02915557706271</v>
      </c>
      <c r="CN133" s="256"/>
      <c r="CO133" s="256"/>
      <c r="CP133" s="289">
        <f>SUM(CP128:CP129)</f>
        <v>173.33499999999995</v>
      </c>
      <c r="CQ133" s="310">
        <f t="shared" si="290"/>
        <v>-12.057331303906714</v>
      </c>
      <c r="CR133" s="256"/>
      <c r="CS133" s="256"/>
      <c r="CT133" s="289">
        <f>SUM(CT128:CT129)</f>
        <v>196.60800000000009</v>
      </c>
      <c r="CU133" s="310">
        <f t="shared" si="291"/>
        <v>13.426601667291749</v>
      </c>
      <c r="CV133" s="256"/>
      <c r="CW133" s="256"/>
      <c r="CX133" s="289">
        <f>SUM(CX128:CX129)</f>
        <v>249.72899999999993</v>
      </c>
      <c r="CY133" s="310">
        <f t="shared" si="292"/>
        <v>27.018737792968661</v>
      </c>
      <c r="CZ133" s="256"/>
      <c r="DA133" s="256"/>
      <c r="DB133" s="289">
        <f>SUM(DB128:DB129)</f>
        <v>216.10000000000002</v>
      </c>
      <c r="DC133" s="310">
        <f t="shared" si="293"/>
        <v>699.81530468176697</v>
      </c>
      <c r="DD133" s="256"/>
      <c r="DE133" s="256"/>
      <c r="DF133" s="289">
        <f>SUM(DF128:DF129)</f>
        <v>193.19999999999993</v>
      </c>
      <c r="DG133" s="310">
        <f t="shared" si="294"/>
        <v>-72.392715805514513</v>
      </c>
      <c r="DH133" s="256"/>
      <c r="DI133" s="256"/>
      <c r="DJ133" s="289">
        <f>SUM(DJ128:DJ129)</f>
        <v>207.90000000000009</v>
      </c>
      <c r="DK133" s="310" t="str">
        <f t="shared" si="295"/>
        <v xml:space="preserve">       NM</v>
      </c>
      <c r="DL133" s="256"/>
      <c r="DM133" s="256"/>
      <c r="DN133" s="289">
        <f>SUM(DN128:DN129)</f>
        <v>234.01935793953876</v>
      </c>
      <c r="DO133" s="310" t="e">
        <f t="shared" si="296"/>
        <v>#VALUE!</v>
      </c>
      <c r="DP133" s="256"/>
      <c r="DQ133" s="256"/>
      <c r="DR133" s="256"/>
      <c r="DS133" s="256"/>
      <c r="DT133" s="256"/>
      <c r="DU133" s="256"/>
      <c r="DV133" s="256"/>
      <c r="DW133" s="256"/>
      <c r="DX133" s="256"/>
      <c r="DY133" s="256"/>
      <c r="DZ133" s="256"/>
      <c r="EA133" s="256"/>
    </row>
    <row r="134" spans="1:131" hidden="1" outlineLevel="1">
      <c r="A134" s="256" t="str">
        <f>$A$16</f>
        <v>9 Mos</v>
      </c>
      <c r="B134" s="256"/>
      <c r="C134" s="256"/>
      <c r="D134" s="289"/>
      <c r="E134" s="256"/>
      <c r="F134" s="289">
        <f>SUM(F128:F130)</f>
        <v>0</v>
      </c>
      <c r="G134" s="310"/>
      <c r="H134" s="256"/>
      <c r="I134" s="256"/>
      <c r="J134" s="289">
        <f>SUM(J128:J130)</f>
        <v>13.375000000000011</v>
      </c>
      <c r="K134" s="310"/>
      <c r="L134" s="256"/>
      <c r="M134" s="256"/>
      <c r="N134" s="289">
        <f>SUM(N128:N130)</f>
        <v>7.0480000000000018</v>
      </c>
      <c r="O134" s="310">
        <f t="shared" si="270"/>
        <v>-47.304672897196284</v>
      </c>
      <c r="P134" s="256"/>
      <c r="Q134" s="256"/>
      <c r="R134" s="289">
        <f>SUM(R128:R130)</f>
        <v>-28.258000000000024</v>
      </c>
      <c r="S134" s="608">
        <f t="shared" si="271"/>
        <v>-500.93643586833167</v>
      </c>
      <c r="T134" s="256"/>
      <c r="U134" s="256"/>
      <c r="V134" s="289">
        <f>SUM(V128:V130)</f>
        <v>10.046000000000003</v>
      </c>
      <c r="W134" s="310" t="str">
        <f t="shared" si="272"/>
        <v xml:space="preserve">       NM</v>
      </c>
      <c r="X134" s="256"/>
      <c r="Y134" s="256"/>
      <c r="Z134" s="289">
        <f>SUM(Z128:Z130)</f>
        <v>13.741999999999983</v>
      </c>
      <c r="AA134" s="310">
        <f t="shared" si="273"/>
        <v>36.790762492534121</v>
      </c>
      <c r="AB134" s="310"/>
      <c r="AC134" s="256"/>
      <c r="AD134" s="289">
        <f>SUM(AD128:AD130)</f>
        <v>22.670000000000037</v>
      </c>
      <c r="AE134" s="310">
        <f t="shared" si="274"/>
        <v>64.968709067094068</v>
      </c>
      <c r="AF134" s="256"/>
      <c r="AG134" s="256"/>
      <c r="AH134" s="289">
        <f>SUM(AH128:AH130)</f>
        <v>30.72300000000002</v>
      </c>
      <c r="AI134" s="310">
        <f t="shared" si="275"/>
        <v>35.522717247463476</v>
      </c>
      <c r="AJ134" s="256"/>
      <c r="AK134" s="256"/>
      <c r="AL134" s="289">
        <f>SUM(AL128:AL130)</f>
        <v>36.766999999999982</v>
      </c>
      <c r="AM134" s="310">
        <f t="shared" si="276"/>
        <v>19.672558018422535</v>
      </c>
      <c r="AN134" s="256"/>
      <c r="AO134" s="256"/>
      <c r="AP134" s="289">
        <f>SUM(AP128:AP130)</f>
        <v>61.099999999999994</v>
      </c>
      <c r="AQ134" s="310">
        <f t="shared" si="277"/>
        <v>66.181630266271469</v>
      </c>
      <c r="AR134" s="256"/>
      <c r="AS134" s="256"/>
      <c r="AT134" s="289">
        <f>SUM(AT128:AT130)</f>
        <v>105.90999999999997</v>
      </c>
      <c r="AU134" s="310">
        <f t="shared" si="278"/>
        <v>73.338788870703723</v>
      </c>
      <c r="AV134" s="256"/>
      <c r="AW134" s="256"/>
      <c r="AX134" s="289">
        <f>SUM(AX128:AX130)</f>
        <v>90.841999999999985</v>
      </c>
      <c r="AY134" s="310">
        <f t="shared" si="279"/>
        <v>-14.227174015673672</v>
      </c>
      <c r="AZ134" s="256"/>
      <c r="BA134" s="256"/>
      <c r="BB134" s="289">
        <f>SUM(BB128:BB130)</f>
        <v>100.60700000000004</v>
      </c>
      <c r="BC134" s="310">
        <f t="shared" si="280"/>
        <v>10.74943308161429</v>
      </c>
      <c r="BD134" s="256"/>
      <c r="BE134" s="256"/>
      <c r="BF134" s="289">
        <f>SUM(BF128:BF130)</f>
        <v>105.041</v>
      </c>
      <c r="BG134" s="310">
        <f t="shared" si="281"/>
        <v>4.4072480046119633</v>
      </c>
      <c r="BH134" s="256"/>
      <c r="BI134" s="256"/>
      <c r="BJ134" s="289">
        <f>SUM(BJ128:BJ130)</f>
        <v>87.258999999999901</v>
      </c>
      <c r="BK134" s="310">
        <f t="shared" si="282"/>
        <v>-16.928627869117861</v>
      </c>
      <c r="BL134" s="256"/>
      <c r="BM134" s="587"/>
      <c r="BN134" s="289">
        <f>SUM(BN128:BN130)</f>
        <v>114.39800000000011</v>
      </c>
      <c r="BO134" s="310">
        <f t="shared" si="283"/>
        <v>31.10166286572187</v>
      </c>
      <c r="BP134" s="256"/>
      <c r="BQ134" s="599"/>
      <c r="BR134" s="289">
        <f>SUM(BR128:BR130)</f>
        <v>120.82199999999989</v>
      </c>
      <c r="BS134" s="310">
        <f t="shared" si="284"/>
        <v>5.6154827881604419</v>
      </c>
      <c r="BT134" s="256"/>
      <c r="BU134" s="256"/>
      <c r="BV134" s="289">
        <f>SUM(BV128:BV130)</f>
        <v>258.21699999999998</v>
      </c>
      <c r="BW134" s="310">
        <f t="shared" si="285"/>
        <v>113.71687275496201</v>
      </c>
      <c r="BX134" s="256"/>
      <c r="BY134" s="256"/>
      <c r="BZ134" s="289">
        <f>SUM(BZ128:BZ130)</f>
        <v>194.7420000000001</v>
      </c>
      <c r="CA134" s="310">
        <f t="shared" si="286"/>
        <v>-24.58203758853983</v>
      </c>
      <c r="CB134" s="256"/>
      <c r="CC134" s="256"/>
      <c r="CD134" s="289">
        <f>SUM(CD128:CD130)</f>
        <v>127.49900000000005</v>
      </c>
      <c r="CE134" s="310">
        <f t="shared" si="287"/>
        <v>-34.529274630023323</v>
      </c>
      <c r="CF134" s="256"/>
      <c r="CG134" s="256"/>
      <c r="CH134" s="289">
        <f>SUM(CH128:CH130)</f>
        <v>191.2290000000001</v>
      </c>
      <c r="CI134" s="310">
        <f t="shared" si="288"/>
        <v>49.98470576239815</v>
      </c>
      <c r="CJ134" s="256"/>
      <c r="CK134" s="256"/>
      <c r="CL134" s="289">
        <f>SUM(CL128:CL130)</f>
        <v>286.7890000000001</v>
      </c>
      <c r="CM134" s="310">
        <f t="shared" si="289"/>
        <v>49.971500138577277</v>
      </c>
      <c r="CN134" s="256"/>
      <c r="CO134" s="256"/>
      <c r="CP134" s="289">
        <f>SUM(CP128:CP130)</f>
        <v>236.5139999999999</v>
      </c>
      <c r="CQ134" s="310">
        <f t="shared" si="290"/>
        <v>-17.530309739913385</v>
      </c>
      <c r="CR134" s="256"/>
      <c r="CS134" s="256"/>
      <c r="CT134" s="289">
        <f>SUM(CT128:CT130)</f>
        <v>291.21800000000007</v>
      </c>
      <c r="CU134" s="310">
        <f t="shared" si="291"/>
        <v>23.129286215615231</v>
      </c>
      <c r="CV134" s="256"/>
      <c r="CW134" s="256"/>
      <c r="CX134" s="289">
        <f>SUM(CX128:CX130)</f>
        <v>409.90900000000005</v>
      </c>
      <c r="CY134" s="310">
        <f t="shared" si="292"/>
        <v>40.756752673255072</v>
      </c>
      <c r="CZ134" s="256"/>
      <c r="DA134" s="256"/>
      <c r="DB134" s="289">
        <f>SUM(DB128:DB130)</f>
        <v>307.10000000000002</v>
      </c>
      <c r="DC134" s="310">
        <f t="shared" si="293"/>
        <v>653.49477045437345</v>
      </c>
      <c r="DD134" s="256"/>
      <c r="DE134" s="256"/>
      <c r="DF134" s="289">
        <f>SUM(DF128:DF130)</f>
        <v>288.29999999999995</v>
      </c>
      <c r="DG134" s="310">
        <f t="shared" si="294"/>
        <v>-55.8833500994131</v>
      </c>
      <c r="DH134" s="256"/>
      <c r="DI134" s="256"/>
      <c r="DJ134" s="289">
        <f>SUM(DJ128:DJ130)</f>
        <v>308.10000000000014</v>
      </c>
      <c r="DK134" s="310" t="str">
        <f t="shared" si="295"/>
        <v xml:space="preserve">       NM</v>
      </c>
      <c r="DL134" s="256"/>
      <c r="DM134" s="256"/>
      <c r="DN134" s="289">
        <f>SUM(DN128:DN130)</f>
        <v>336.64848127427564</v>
      </c>
      <c r="DO134" s="310" t="e">
        <f t="shared" si="296"/>
        <v>#VALUE!</v>
      </c>
      <c r="DP134" s="256"/>
      <c r="DQ134" s="256"/>
      <c r="DR134" s="256"/>
      <c r="DS134" s="256"/>
      <c r="DT134" s="256"/>
      <c r="DU134" s="256"/>
      <c r="DV134" s="256"/>
      <c r="DW134" s="256"/>
      <c r="DX134" s="256"/>
      <c r="DY134" s="256"/>
      <c r="DZ134" s="256"/>
      <c r="EA134" s="256"/>
    </row>
    <row r="135" spans="1:131" hidden="1" outlineLevel="1">
      <c r="A135" s="256"/>
      <c r="B135" s="256"/>
      <c r="C135" s="256"/>
      <c r="D135" s="256"/>
      <c r="E135" s="256"/>
      <c r="F135" s="256"/>
      <c r="G135" s="256"/>
      <c r="H135" s="256"/>
      <c r="I135" s="256"/>
      <c r="J135" s="256"/>
      <c r="K135" s="256"/>
      <c r="L135" s="256"/>
      <c r="M135" s="256"/>
      <c r="N135" s="256"/>
      <c r="O135" s="256"/>
      <c r="P135" s="256"/>
      <c r="Q135" s="256"/>
      <c r="R135" s="256"/>
      <c r="S135" s="256"/>
      <c r="T135" s="256"/>
      <c r="U135" s="256"/>
      <c r="V135" s="256"/>
      <c r="W135" s="256"/>
      <c r="X135" s="256"/>
      <c r="Y135" s="256"/>
      <c r="Z135" s="256"/>
      <c r="AA135" s="256"/>
      <c r="AB135" s="256"/>
      <c r="AC135" s="256"/>
      <c r="AD135" s="256"/>
      <c r="AE135" s="256"/>
      <c r="AF135" s="256"/>
      <c r="AG135" s="256"/>
      <c r="AH135" s="256"/>
      <c r="AI135" s="256"/>
      <c r="AJ135" s="256"/>
      <c r="AK135" s="256"/>
      <c r="AL135" s="256"/>
      <c r="AM135" s="256"/>
      <c r="AN135" s="256"/>
      <c r="AO135" s="256"/>
      <c r="AP135" s="256"/>
      <c r="AQ135" s="256"/>
      <c r="AR135" s="256"/>
      <c r="AS135" s="256"/>
      <c r="AT135" s="256"/>
      <c r="AU135" s="256"/>
      <c r="AV135" s="256"/>
      <c r="AW135" s="256"/>
      <c r="AX135" s="256"/>
      <c r="AY135" s="256"/>
      <c r="AZ135" s="256"/>
      <c r="BA135" s="256"/>
      <c r="BB135" s="256"/>
      <c r="BC135" s="256"/>
      <c r="BD135" s="256"/>
      <c r="BE135" s="256"/>
      <c r="BF135" s="256"/>
      <c r="BG135" s="256"/>
      <c r="BH135" s="256"/>
      <c r="BI135" s="256"/>
      <c r="BJ135" s="256"/>
      <c r="BK135" s="256"/>
      <c r="BL135" s="256"/>
      <c r="BM135" s="587"/>
      <c r="BN135" s="256"/>
      <c r="BO135" s="256"/>
      <c r="BP135" s="256"/>
      <c r="BQ135" s="599"/>
      <c r="BR135" s="256"/>
      <c r="BS135" s="256"/>
      <c r="BT135" s="256"/>
      <c r="BU135" s="256"/>
      <c r="BV135" s="256"/>
      <c r="BW135" s="256"/>
      <c r="BX135" s="256"/>
      <c r="BY135" s="256"/>
      <c r="BZ135" s="256"/>
      <c r="CA135" s="256"/>
      <c r="CB135" s="256"/>
      <c r="CC135" s="256"/>
      <c r="CD135" s="256"/>
      <c r="CE135" s="256"/>
      <c r="CF135" s="256"/>
      <c r="CG135" s="256"/>
      <c r="CH135" s="256"/>
      <c r="CI135" s="256"/>
      <c r="CJ135" s="256"/>
      <c r="CK135" s="256"/>
      <c r="CL135" s="256"/>
      <c r="CM135" s="256"/>
      <c r="CN135" s="256"/>
      <c r="CO135" s="256"/>
      <c r="CP135" s="256"/>
      <c r="CQ135" s="256"/>
      <c r="CR135" s="256"/>
      <c r="CS135" s="256"/>
      <c r="CT135" s="256"/>
      <c r="CU135" s="256"/>
      <c r="CV135" s="256"/>
      <c r="CW135" s="256"/>
      <c r="CX135" s="256"/>
      <c r="CY135" s="256"/>
      <c r="CZ135" s="256"/>
      <c r="DA135" s="256"/>
      <c r="DB135" s="256"/>
      <c r="DC135" s="256"/>
      <c r="DD135" s="256"/>
      <c r="DE135" s="256"/>
      <c r="DF135" s="256"/>
      <c r="DG135" s="256"/>
      <c r="DH135" s="256"/>
      <c r="DI135" s="256"/>
      <c r="DJ135" s="256"/>
      <c r="DK135" s="256"/>
      <c r="DL135" s="256"/>
      <c r="DM135" s="256"/>
      <c r="DN135" s="256"/>
      <c r="DO135" s="256"/>
      <c r="DP135" s="256"/>
      <c r="DQ135" s="256"/>
      <c r="DR135" s="256"/>
      <c r="DS135" s="256"/>
      <c r="DT135" s="256"/>
      <c r="DU135" s="256"/>
      <c r="DV135" s="256"/>
      <c r="DW135" s="256"/>
      <c r="DX135" s="256"/>
      <c r="DY135" s="256"/>
      <c r="DZ135" s="256"/>
      <c r="EA135" s="256"/>
    </row>
    <row r="136" spans="1:131" ht="12.75" customHeight="1" collapsed="1">
      <c r="A136" s="256"/>
      <c r="B136" s="256"/>
      <c r="C136" s="268"/>
      <c r="D136" s="268"/>
      <c r="E136" s="268" t="str">
        <f>Z136</f>
        <v>9.  Earnings Per Share -- Fully Diluted   (% Change)</v>
      </c>
      <c r="F136" s="268"/>
      <c r="G136" s="256"/>
      <c r="H136" s="256"/>
      <c r="I136" s="256"/>
      <c r="J136" s="268"/>
      <c r="K136" s="256"/>
      <c r="L136" s="256"/>
      <c r="M136" s="256"/>
      <c r="N136" s="268"/>
      <c r="O136" s="256"/>
      <c r="P136" s="256"/>
      <c r="Q136" s="256"/>
      <c r="R136" s="268"/>
      <c r="S136" s="256"/>
      <c r="T136" s="256"/>
      <c r="U136" s="256"/>
      <c r="V136" s="268"/>
      <c r="W136" s="256"/>
      <c r="X136" s="256"/>
      <c r="Y136" s="256"/>
      <c r="Z136" s="271" t="s">
        <v>1542</v>
      </c>
      <c r="AA136" s="312"/>
      <c r="AB136" s="312"/>
      <c r="AC136" s="312"/>
      <c r="AD136" s="311"/>
      <c r="AE136" s="312"/>
      <c r="AF136" s="312"/>
      <c r="AG136" s="312"/>
      <c r="AH136" s="311"/>
      <c r="AI136" s="312"/>
      <c r="AJ136" s="312"/>
      <c r="AK136" s="312"/>
      <c r="AL136" s="311"/>
      <c r="AM136" s="312"/>
      <c r="AN136" s="312"/>
      <c r="AO136" s="312"/>
      <c r="AP136" s="256"/>
      <c r="AQ136" s="256"/>
      <c r="AR136" s="256"/>
      <c r="AS136" s="256"/>
      <c r="AT136" s="256"/>
      <c r="AU136" s="256"/>
      <c r="AV136" s="256"/>
      <c r="AW136" s="256"/>
      <c r="AX136" s="256"/>
      <c r="AY136" s="256"/>
      <c r="AZ136" s="256"/>
      <c r="BA136" s="256"/>
      <c r="BB136" s="311"/>
      <c r="BC136" s="311"/>
      <c r="BD136" s="311"/>
      <c r="BE136" s="311"/>
      <c r="BF136" s="311"/>
      <c r="BG136" s="311"/>
      <c r="BH136" s="311"/>
      <c r="BI136" s="311"/>
      <c r="BJ136" s="311" t="s">
        <v>1965</v>
      </c>
      <c r="BK136" s="311"/>
      <c r="BL136" s="311"/>
      <c r="BM136" s="311"/>
      <c r="BN136" s="311"/>
      <c r="BO136" s="311"/>
      <c r="BP136" s="311"/>
      <c r="BQ136" s="311"/>
      <c r="BR136" s="311"/>
      <c r="BS136" s="311"/>
      <c r="BT136" s="311"/>
      <c r="BU136" s="311"/>
      <c r="BV136" s="311" t="s">
        <v>1965</v>
      </c>
      <c r="BW136" s="311"/>
      <c r="BX136" s="311"/>
      <c r="BY136" s="311"/>
      <c r="BZ136" s="311"/>
      <c r="CA136" s="311"/>
      <c r="CB136" s="311"/>
      <c r="CC136" s="311"/>
      <c r="CE136" s="311"/>
      <c r="CF136" s="311"/>
      <c r="CG136" s="311"/>
      <c r="CH136" s="311"/>
      <c r="CI136" s="311"/>
      <c r="CJ136" s="311"/>
      <c r="CK136" s="311"/>
      <c r="CL136" s="311"/>
      <c r="CM136" s="311"/>
      <c r="CN136" s="311"/>
      <c r="CO136" s="311"/>
      <c r="CQ136" s="311"/>
      <c r="CR136" s="311"/>
      <c r="CS136" s="881"/>
      <c r="CT136" s="311"/>
      <c r="CU136" s="311"/>
      <c r="CV136" s="311"/>
      <c r="CW136" s="881"/>
      <c r="CX136" s="311"/>
      <c r="CY136" s="311"/>
      <c r="CZ136" s="311"/>
      <c r="DA136" s="881"/>
      <c r="DB136" s="311" t="s">
        <v>1965</v>
      </c>
      <c r="DC136" s="311"/>
      <c r="DD136" s="311"/>
      <c r="DE136" s="881"/>
      <c r="DF136" s="311"/>
      <c r="DG136" s="311"/>
      <c r="DH136" s="311"/>
      <c r="DI136" s="881"/>
      <c r="DJ136" s="311"/>
      <c r="DK136" s="311"/>
      <c r="DL136" s="311"/>
      <c r="DM136" s="881"/>
      <c r="DN136" s="311"/>
      <c r="DO136" s="311"/>
      <c r="DP136" s="311"/>
      <c r="DQ136" s="881"/>
      <c r="DR136" s="881"/>
      <c r="DS136" s="881"/>
      <c r="DT136" s="881"/>
      <c r="DU136" s="881"/>
      <c r="DV136" s="881"/>
      <c r="DW136" s="881"/>
      <c r="DX136" s="881"/>
      <c r="DY136" s="881"/>
      <c r="DZ136" s="881"/>
      <c r="EA136" s="881"/>
    </row>
    <row r="137" spans="1:131">
      <c r="A137" s="256"/>
      <c r="B137" s="256"/>
      <c r="C137" s="256"/>
      <c r="D137" s="256"/>
      <c r="E137" s="256"/>
      <c r="F137" s="256"/>
      <c r="G137" s="256"/>
      <c r="H137" s="256"/>
      <c r="I137" s="256"/>
      <c r="J137" s="256"/>
      <c r="K137" s="256"/>
      <c r="L137" s="256"/>
      <c r="M137" s="256"/>
      <c r="N137" s="256"/>
      <c r="O137" s="256"/>
      <c r="P137" s="256"/>
      <c r="Q137" s="256"/>
      <c r="R137" s="256"/>
      <c r="S137" s="256"/>
      <c r="T137" s="256"/>
      <c r="U137" s="256"/>
      <c r="V137" s="256"/>
      <c r="W137" s="256"/>
      <c r="X137" s="256"/>
      <c r="Y137" s="256"/>
      <c r="Z137" s="256"/>
      <c r="AA137" s="256"/>
      <c r="AB137" s="256"/>
      <c r="AC137" s="256"/>
      <c r="AD137" s="256"/>
      <c r="AE137" s="256"/>
      <c r="AF137" s="256"/>
      <c r="AG137" s="256"/>
      <c r="AH137" s="256"/>
      <c r="AI137" s="256"/>
      <c r="AJ137" s="256"/>
      <c r="AK137" s="256"/>
      <c r="AL137" s="256"/>
      <c r="AM137" s="256"/>
      <c r="AN137" s="256"/>
      <c r="AO137" s="256"/>
      <c r="AP137" s="256"/>
      <c r="AQ137" s="256"/>
      <c r="AR137" s="256"/>
      <c r="AS137" s="256"/>
      <c r="AT137" s="256"/>
      <c r="AU137" s="256"/>
      <c r="AV137" s="256"/>
      <c r="AW137" s="256"/>
      <c r="AX137" s="256"/>
      <c r="AY137" s="256"/>
      <c r="AZ137" s="256"/>
      <c r="BA137" s="256"/>
      <c r="BB137" s="256"/>
      <c r="BC137" s="256"/>
      <c r="BD137" s="256"/>
      <c r="BE137" s="256"/>
      <c r="BF137" s="256"/>
      <c r="BG137" s="256"/>
      <c r="BH137" s="256"/>
      <c r="BI137" s="256"/>
      <c r="BJ137" s="256"/>
      <c r="BK137" s="256"/>
      <c r="BL137" s="256"/>
      <c r="BM137" s="587"/>
      <c r="BN137" s="256"/>
      <c r="BO137" s="256"/>
      <c r="BP137" s="256"/>
      <c r="BQ137" s="599"/>
      <c r="BR137" s="256"/>
      <c r="BS137" s="256"/>
      <c r="BT137" s="256"/>
      <c r="BU137" s="831"/>
      <c r="BV137" s="256"/>
      <c r="BW137" s="256"/>
      <c r="BX137" s="256"/>
      <c r="BY137" s="831"/>
      <c r="BZ137" s="256"/>
      <c r="CA137" s="256"/>
      <c r="CB137" s="256"/>
      <c r="CC137" s="831"/>
      <c r="CD137" s="256"/>
      <c r="CE137" s="256"/>
      <c r="CF137" s="256"/>
      <c r="CG137" s="831"/>
      <c r="CH137" s="256"/>
      <c r="CI137" s="256"/>
      <c r="CJ137" s="256"/>
      <c r="CK137" s="831"/>
      <c r="CL137" s="256"/>
      <c r="CM137" s="256"/>
      <c r="CN137" s="256"/>
      <c r="CO137" s="831"/>
      <c r="CP137" s="256"/>
      <c r="CQ137" s="256"/>
      <c r="CR137" s="256"/>
      <c r="CS137" s="256"/>
      <c r="CT137" s="256"/>
      <c r="CU137" s="256"/>
      <c r="CV137" s="256"/>
      <c r="CW137" s="256"/>
      <c r="CX137" s="256"/>
      <c r="CY137" s="256"/>
      <c r="CZ137" s="256"/>
      <c r="DA137" s="256"/>
      <c r="DB137" s="256"/>
      <c r="DC137" s="256"/>
      <c r="DD137" s="256"/>
      <c r="DE137" s="256"/>
      <c r="DF137" s="256"/>
      <c r="DG137" s="256"/>
      <c r="DH137" s="256"/>
      <c r="DI137" s="256"/>
      <c r="DJ137" s="256"/>
      <c r="DK137" s="256"/>
      <c r="DL137" s="256"/>
      <c r="DM137" s="256"/>
      <c r="DN137" s="256"/>
      <c r="DO137" s="256"/>
      <c r="DP137" s="256"/>
      <c r="DQ137" s="256"/>
      <c r="DR137" s="256"/>
      <c r="DS137" s="256"/>
      <c r="DT137" s="256"/>
      <c r="DU137" s="1478"/>
      <c r="DV137" s="1478"/>
      <c r="DW137" s="1478"/>
      <c r="DX137" s="1478"/>
      <c r="DY137" s="1478"/>
      <c r="DZ137" s="256"/>
      <c r="EA137" s="256"/>
    </row>
    <row r="138" spans="1:131">
      <c r="A138" s="256" t="str">
        <f>$A$10</f>
        <v>1Q</v>
      </c>
      <c r="B138" s="256" t="str">
        <f>$B$10</f>
        <v>Apr</v>
      </c>
      <c r="C138" s="256"/>
      <c r="D138" s="610"/>
      <c r="E138" s="256"/>
      <c r="F138" s="610"/>
      <c r="G138" s="310"/>
      <c r="H138" s="256"/>
      <c r="I138" s="256"/>
      <c r="J138" s="610">
        <f>J128/J168</f>
        <v>-0.11961390448552077</v>
      </c>
      <c r="K138" s="310"/>
      <c r="L138" s="256"/>
      <c r="M138" s="256"/>
      <c r="N138" s="610">
        <f>N128/N168</f>
        <v>0.18544194107452455</v>
      </c>
      <c r="O138" s="310" t="str">
        <f t="shared" ref="O138:O144" si="297">IF(J138&lt;0,"       NM",(N138/J138-1)*100)</f>
        <v xml:space="preserve">       NM</v>
      </c>
      <c r="P138" s="256"/>
      <c r="Q138" s="256"/>
      <c r="R138" s="610">
        <f>R128/R168</f>
        <v>6.2289764536280094E-2</v>
      </c>
      <c r="S138" s="310">
        <f t="shared" ref="S138:S144" si="298">IF(N138&lt;0,"       NM",(R138/N138-1)*100)</f>
        <v>-66.41009893697813</v>
      </c>
      <c r="T138" s="256"/>
      <c r="U138" s="256"/>
      <c r="V138" s="610">
        <f>V128/V168</f>
        <v>0.11236224245328161</v>
      </c>
      <c r="W138" s="310">
        <f t="shared" ref="W138:W144" si="299">IF(R138&lt;0,"       NM",(V138/R138-1)*100)</f>
        <v>80.38636570513485</v>
      </c>
      <c r="X138" s="256"/>
      <c r="Y138" s="256"/>
      <c r="Z138" s="610">
        <f>Z128/Z168</f>
        <v>0.12888597171668903</v>
      </c>
      <c r="AA138" s="310">
        <f t="shared" ref="AA138:AA144" si="300">IF(V138&lt;0,"       NM",(Z138/V138-1)*100)</f>
        <v>14.705766726111502</v>
      </c>
      <c r="AB138" s="256"/>
      <c r="AC138" s="256"/>
      <c r="AD138" s="610">
        <f>AD108/AD168</f>
        <v>7.171714318002062E-2</v>
      </c>
      <c r="AE138" s="310">
        <f t="shared" ref="AE138:AE144" si="301">IF(Z138&lt;0,"       NM",(AD138/Z138-1)*100)</f>
        <v>-44.356129511390264</v>
      </c>
      <c r="AF138" s="256"/>
      <c r="AG138" s="256"/>
      <c r="AH138" s="610">
        <f>AH108/AH168</f>
        <v>0.12334018556586501</v>
      </c>
      <c r="AI138" s="310">
        <f t="shared" ref="AI138:AI144" si="302">IF(AD138&lt;0,"       NM",(AH138/AD138-1)*100)</f>
        <v>71.981453940884023</v>
      </c>
      <c r="AJ138" s="256"/>
      <c r="AK138" s="256"/>
      <c r="AL138" s="610">
        <f>AL108/AL168</f>
        <v>0.15298682002036143</v>
      </c>
      <c r="AM138" s="310">
        <f t="shared" ref="AM138:AM144" si="303">IF(AH138&lt;0,"       NM",(AL138/AH138-1)*100)</f>
        <v>24.036476285877484</v>
      </c>
      <c r="AN138" s="256"/>
      <c r="AO138" s="256"/>
      <c r="AP138" s="610">
        <f>AP108/AP168</f>
        <v>0.11111798850100406</v>
      </c>
      <c r="AQ138" s="310">
        <f t="shared" ref="AQ138:AQ144" si="304">IF(AL138&lt;0,"       NM",(AP138/AL138-1)*100)</f>
        <v>-27.367606904820253</v>
      </c>
      <c r="AR138" s="256"/>
      <c r="AS138" s="256"/>
      <c r="AT138" s="610">
        <f>AT108/AT168</f>
        <v>0.20038067388498101</v>
      </c>
      <c r="AU138" s="310">
        <f t="shared" ref="AU138:AU144" si="305">IF(AP138&lt;0,"       NM",(AT138/AP138-1)*100)</f>
        <v>80.331444609592069</v>
      </c>
      <c r="AV138" s="256"/>
      <c r="AW138" s="256"/>
      <c r="AX138" s="610">
        <f>AX108/AX168</f>
        <v>0.20331253635065827</v>
      </c>
      <c r="AY138" s="310">
        <f t="shared" ref="AY138:AY144" si="306">IF(AT138&lt;0,"       NM",(AX138/AT138-1)*100)</f>
        <v>1.4631463248597321</v>
      </c>
      <c r="AZ138" s="256"/>
      <c r="BA138" s="256"/>
      <c r="BB138" s="610">
        <f>BB108/BB168</f>
        <v>0.2177971913890574</v>
      </c>
      <c r="BC138" s="310">
        <f t="shared" ref="BC138:BC144" si="307">IF(AX138&lt;0,"       NM",(BB138/AX138-1)*100)</f>
        <v>7.1243295167087384</v>
      </c>
      <c r="BD138" s="256"/>
      <c r="BE138" s="256"/>
      <c r="BF138" s="610">
        <f>BF108/BF168</f>
        <v>0.24324122682076529</v>
      </c>
      <c r="BG138" s="310">
        <f t="shared" ref="BG138:BG144" si="308">IF(BB138&lt;0,"       NM",(BF138/BB138-1)*100)</f>
        <v>11.682444236049161</v>
      </c>
      <c r="BH138" s="256"/>
      <c r="BI138" s="256"/>
      <c r="BJ138" s="610">
        <f>BJ108/BJ168</f>
        <v>0.24657543422489245</v>
      </c>
      <c r="BK138" s="310">
        <f t="shared" ref="BK138:BK144" si="309">IF(BF138&lt;0,"       NM",(BJ138/BF138-1)*100)</f>
        <v>1.3707410736684134</v>
      </c>
      <c r="BL138" s="256"/>
      <c r="BM138" s="593"/>
      <c r="BN138" s="610">
        <f>BN108/BN168</f>
        <v>0.27383532146153083</v>
      </c>
      <c r="BO138" s="310">
        <f t="shared" ref="BO138:BO144" si="310">IF(BJ138&lt;0,"       NM",(BN138/BJ138-1)*100)</f>
        <v>11.055394598545298</v>
      </c>
      <c r="BP138" s="256"/>
      <c r="BQ138" s="599"/>
      <c r="BR138" s="610">
        <f>BR108/BR168</f>
        <v>0.30119764212042854</v>
      </c>
      <c r="BS138" s="310">
        <f t="shared" ref="BS138:BS144" si="311">IF(BN138&lt;0,"       NM",(BR138/BN138-1)*100)</f>
        <v>9.9922539257747403</v>
      </c>
      <c r="BT138" s="256"/>
      <c r="BU138" s="830"/>
      <c r="BV138" s="610">
        <f>BV108/BV168</f>
        <v>0.38523804070882628</v>
      </c>
      <c r="BW138" s="310">
        <f t="shared" ref="BW138:BW144" si="312">IF(BR138&lt;0,"       NM",(BV138/BR138-1)*100)</f>
        <v>27.902077186512521</v>
      </c>
      <c r="BX138" s="256"/>
      <c r="BY138" s="830"/>
      <c r="BZ138" s="610">
        <f>BZ108/BZ168</f>
        <v>0.51676981976035385</v>
      </c>
      <c r="CA138" s="310">
        <f t="shared" ref="CA138:CA144" si="313">IF(BV138&lt;0,"       NM",(BZ138/BV138-1)*100)</f>
        <v>34.142988270190841</v>
      </c>
      <c r="CB138" s="256"/>
      <c r="CC138" s="830"/>
      <c r="CD138" s="610">
        <f>CD108/CD168</f>
        <v>0.22102219644985674</v>
      </c>
      <c r="CE138" s="310">
        <f t="shared" ref="CE138:CE144" si="314">IF(BZ138&lt;0,"       NM",(CD138/BZ138-1)*100)</f>
        <v>-57.230049434320037</v>
      </c>
      <c r="CF138" s="256"/>
      <c r="CG138" s="830"/>
      <c r="CH138" s="610">
        <f>CH108/CH168</f>
        <v>0.48379919559991624</v>
      </c>
      <c r="CI138" s="310">
        <f>IF(CD138&lt;0,"       NM",(CH138/CD138-1)*100)</f>
        <v>118.89167846980277</v>
      </c>
      <c r="CJ138" s="1281"/>
      <c r="CK138" s="830"/>
      <c r="CL138" s="610">
        <f>CL108/CL168</f>
        <v>0.6652135939589281</v>
      </c>
      <c r="CM138" s="310">
        <f>IF(CH138&lt;0,"       NM",(CL138/CH138-1)*100)</f>
        <v>37.497871019412507</v>
      </c>
      <c r="CN138" s="1513">
        <v>67</v>
      </c>
      <c r="CO138" s="830"/>
      <c r="CP138" s="610">
        <f>CP108/CP168</f>
        <v>0.63613950222360904</v>
      </c>
      <c r="CQ138" s="310">
        <f>IF(CL138&lt;0,"       NM",(CP138/CL138-1)*100)</f>
        <v>-4.3706400469492142</v>
      </c>
      <c r="CR138" s="1513"/>
      <c r="CS138" s="256"/>
      <c r="CT138" s="610">
        <f>CT108/CT168</f>
        <v>0.69936391027787115</v>
      </c>
      <c r="CU138" s="310">
        <f t="shared" ref="CU138:CU144" si="315">IF(CP138&lt;0,"       NM",(CT138/CP138-1)*100)</f>
        <v>9.9387646629808035</v>
      </c>
      <c r="CV138" s="1513">
        <v>0.53</v>
      </c>
      <c r="CW138" s="256"/>
      <c r="CX138" s="610">
        <f>CX108/CX168</f>
        <v>0.96774914287915526</v>
      </c>
      <c r="CY138" s="310">
        <f t="shared" ref="CY138:CY144" si="316">IF(CT138&lt;0,"       NM",(CX138/CT138-1)*100)</f>
        <v>38.375619424606768</v>
      </c>
      <c r="CZ138" s="1513">
        <v>0.53</v>
      </c>
      <c r="DA138" s="256"/>
      <c r="DB138" s="610">
        <f>DB108/DB168</f>
        <v>0.80816640986132493</v>
      </c>
      <c r="DC138" s="310">
        <f t="shared" ref="DC138:DC145" si="317">IF(CX138&lt;0,"       NM",(DB138/CX138-1)*100)</f>
        <v>-16.490092932870493</v>
      </c>
      <c r="DD138" s="1513">
        <v>0.53</v>
      </c>
      <c r="DE138" s="256"/>
      <c r="DF138" s="610">
        <f>DF108/DF168</f>
        <v>0.69169960474308234</v>
      </c>
      <c r="DG138" s="310">
        <f t="shared" ref="DG138:DG145" si="318">IF(DB138&lt;0,"       NM",(DF138/DB138-1)*100)</f>
        <v>-14.411240518920776</v>
      </c>
      <c r="DH138" s="1513"/>
      <c r="DI138" s="256"/>
      <c r="DJ138" s="320">
        <f>DJ108/DJ168</f>
        <v>0.7414205905826019</v>
      </c>
      <c r="DK138" s="310">
        <f t="shared" ref="DK138:DK145" si="319">IF(DF138&lt;0,"       NM",(DJ138/DF138-1)*100)</f>
        <v>7.1882339527991279</v>
      </c>
      <c r="DL138" s="1513"/>
      <c r="DM138" s="256"/>
      <c r="DN138" s="320">
        <f>DN108/DN168</f>
        <v>0.90452639005404423</v>
      </c>
      <c r="DO138" s="310">
        <f t="shared" ref="DO138:DO145" si="320">IF(DJ138&lt;0,"       NM",(DN138/DJ138-1)*100)</f>
        <v>21.999092221498074</v>
      </c>
      <c r="DP138" s="1513"/>
      <c r="DQ138" s="256"/>
      <c r="DR138" s="610"/>
      <c r="DS138" s="610"/>
      <c r="DT138" s="256"/>
      <c r="DU138" s="1278"/>
      <c r="DV138" s="1278"/>
      <c r="DW138" s="1278"/>
      <c r="DX138" s="1278"/>
      <c r="DY138" s="1278"/>
      <c r="DZ138" s="1279"/>
      <c r="EA138" s="610"/>
    </row>
    <row r="139" spans="1:131">
      <c r="A139" s="256" t="str">
        <f>$A$11</f>
        <v>2Q</v>
      </c>
      <c r="B139" s="256" t="str">
        <f>$B$11</f>
        <v>Jul</v>
      </c>
      <c r="C139" s="256"/>
      <c r="D139" s="320"/>
      <c r="E139" s="256"/>
      <c r="F139" s="320"/>
      <c r="G139" s="310"/>
      <c r="H139" s="256"/>
      <c r="I139" s="256"/>
      <c r="J139" s="320">
        <f>J129/J169</f>
        <v>0.43247444251808437</v>
      </c>
      <c r="K139" s="310"/>
      <c r="L139" s="256"/>
      <c r="M139" s="256"/>
      <c r="N139" s="320">
        <f>N129/N169</f>
        <v>0.23305567208006217</v>
      </c>
      <c r="O139" s="310">
        <f t="shared" si="297"/>
        <v>-46.111111046679554</v>
      </c>
      <c r="P139" s="256"/>
      <c r="Q139" s="256"/>
      <c r="R139" s="320">
        <f>R129/R169</f>
        <v>-1.952258141906076</v>
      </c>
      <c r="S139" s="310">
        <f t="shared" si="298"/>
        <v>-937.67887924882257</v>
      </c>
      <c r="T139" s="256"/>
      <c r="U139" s="256"/>
      <c r="V139" s="320">
        <f>V129/V169</f>
        <v>0.20514955104953408</v>
      </c>
      <c r="W139" s="310" t="str">
        <f t="shared" si="299"/>
        <v xml:space="preserve">       NM</v>
      </c>
      <c r="X139" s="256"/>
      <c r="Y139" s="256"/>
      <c r="Z139" s="320">
        <f>Z129/Z169</f>
        <v>0.31335970246177425</v>
      </c>
      <c r="AA139" s="310">
        <f t="shared" si="300"/>
        <v>52.74695989274305</v>
      </c>
      <c r="AB139" s="256"/>
      <c r="AC139" s="256"/>
      <c r="AD139" s="320">
        <f>AD109/AD169</f>
        <v>0.11552902936561309</v>
      </c>
      <c r="AE139" s="310">
        <f t="shared" si="301"/>
        <v>-63.13213586239408</v>
      </c>
      <c r="AF139" s="256"/>
      <c r="AG139" s="256"/>
      <c r="AH139" s="320">
        <f>AH109/AH169</f>
        <v>0.14282176174358113</v>
      </c>
      <c r="AI139" s="310">
        <f t="shared" si="302"/>
        <v>23.624133715860385</v>
      </c>
      <c r="AJ139" s="256"/>
      <c r="AK139" s="256"/>
      <c r="AL139" s="320">
        <f>AL109/AL169</f>
        <v>0.18645913753170848</v>
      </c>
      <c r="AM139" s="310">
        <f t="shared" si="303"/>
        <v>30.553730226681331</v>
      </c>
      <c r="AN139" s="256"/>
      <c r="AO139" s="256"/>
      <c r="AP139" s="320">
        <f>AP109/AP169</f>
        <v>0.15518056343354131</v>
      </c>
      <c r="AQ139" s="310">
        <f t="shared" si="304"/>
        <v>-16.775028841291338</v>
      </c>
      <c r="AR139" s="256"/>
      <c r="AS139" s="256"/>
      <c r="AT139" s="320">
        <f>AT109/AT169</f>
        <v>0.25843638235255278</v>
      </c>
      <c r="AU139" s="310">
        <f t="shared" si="305"/>
        <v>66.539144229381876</v>
      </c>
      <c r="AV139" s="256"/>
      <c r="AW139" s="256"/>
      <c r="AX139" s="320">
        <f>AX109/AX169</f>
        <v>0.23757182771890969</v>
      </c>
      <c r="AY139" s="310">
        <f t="shared" si="306"/>
        <v>-8.0733813264651566</v>
      </c>
      <c r="AZ139" s="256"/>
      <c r="BA139" s="256"/>
      <c r="BB139" s="320">
        <f>BB109/BB169</f>
        <v>0.21849098692954508</v>
      </c>
      <c r="BC139" s="310">
        <f t="shared" si="307"/>
        <v>-8.0316092074438572</v>
      </c>
      <c r="BD139" s="256"/>
      <c r="BE139" s="256"/>
      <c r="BF139" s="320">
        <f>BF109/BF169</f>
        <v>0.27771440913048462</v>
      </c>
      <c r="BG139" s="310">
        <f t="shared" si="308"/>
        <v>27.105659154735218</v>
      </c>
      <c r="BH139" s="256"/>
      <c r="BI139" s="256"/>
      <c r="BJ139" s="320">
        <f>(BJ109)/BJ169</f>
        <v>0.22269031980187312</v>
      </c>
      <c r="BK139" s="310">
        <f t="shared" si="309"/>
        <v>-19.81319208495168</v>
      </c>
      <c r="BL139" s="256"/>
      <c r="BM139" s="593"/>
      <c r="BN139" s="320">
        <f>BN109/BN169</f>
        <v>0.34879597046850247</v>
      </c>
      <c r="BO139" s="310">
        <f t="shared" si="310"/>
        <v>56.628258820960497</v>
      </c>
      <c r="BP139" s="256"/>
      <c r="BQ139" s="599"/>
      <c r="BR139" s="320">
        <f>BR109/BR169</f>
        <v>0.31672297895549589</v>
      </c>
      <c r="BS139" s="310">
        <f t="shared" si="311"/>
        <v>-9.1953446222231783</v>
      </c>
      <c r="BT139" s="256"/>
      <c r="BU139" s="830"/>
      <c r="BV139" s="320">
        <f>BV109/BV169</f>
        <v>0.47538927489755911</v>
      </c>
      <c r="BW139" s="310">
        <f t="shared" si="312"/>
        <v>50.096237559182001</v>
      </c>
      <c r="BX139" s="256"/>
      <c r="BY139" s="830"/>
      <c r="BZ139" s="320">
        <f>BZ109/BZ169</f>
        <v>0.64473345451992181</v>
      </c>
      <c r="CA139" s="310">
        <f t="shared" si="313"/>
        <v>35.622212903068643</v>
      </c>
      <c r="CB139" s="256"/>
      <c r="CC139" s="830"/>
      <c r="CD139" s="320">
        <f>CD109/CD169</f>
        <v>0.388514571605246</v>
      </c>
      <c r="CE139" s="310">
        <f t="shared" si="314"/>
        <v>-39.740280439683438</v>
      </c>
      <c r="CF139" s="256"/>
      <c r="CG139" s="830"/>
      <c r="CH139" s="320">
        <f>CH109/CH169</f>
        <v>0.5457569030649998</v>
      </c>
      <c r="CI139" s="310">
        <f t="shared" ref="CI139:CI144" si="321">IF(CD139&lt;0,"       NM",(CH139/CD139-1)*100)</f>
        <v>40.472698568310442</v>
      </c>
      <c r="CJ139" s="1281"/>
      <c r="CK139" s="830"/>
      <c r="CL139" s="320">
        <f>CL109/CL169</f>
        <v>0.85546327257038091</v>
      </c>
      <c r="CM139" s="310">
        <f t="shared" ref="CM139:CM144" si="322">IF(CH139&lt;0,"       NM",(CL139/CH139-1)*100)</f>
        <v>56.748044370314645</v>
      </c>
      <c r="CN139" s="1513">
        <v>86</v>
      </c>
      <c r="CO139" s="830"/>
      <c r="CP139" s="320">
        <f>CP109/CP169</f>
        <v>0.71908853779090254</v>
      </c>
      <c r="CQ139" s="310">
        <f t="shared" ref="CQ139:CQ144" si="323">IF(CL139&lt;0,"       NM",(CP139/CL139-1)*100)</f>
        <v>-15.941623580135467</v>
      </c>
      <c r="CR139" s="1513"/>
      <c r="CS139" s="256"/>
      <c r="CT139" s="320">
        <f>CT109/CT169</f>
        <v>0.82923173695940888</v>
      </c>
      <c r="CU139" s="310">
        <f t="shared" si="315"/>
        <v>15.317056715557587</v>
      </c>
      <c r="CV139" s="1513"/>
      <c r="CW139" s="256"/>
      <c r="CX139" s="320">
        <f>CX109/CX169</f>
        <v>0.95544539212365687</v>
      </c>
      <c r="CY139" s="310">
        <f t="shared" si="316"/>
        <v>15.220552897196482</v>
      </c>
      <c r="CZ139" s="1513"/>
      <c r="DA139" s="256"/>
      <c r="DB139" s="320">
        <f>DB109/DB169</f>
        <v>0.85802469135802506</v>
      </c>
      <c r="DC139" s="310">
        <f t="shared" si="317"/>
        <v>-10.196365126540197</v>
      </c>
      <c r="DD139" s="1513"/>
      <c r="DE139" s="256"/>
      <c r="DF139" s="320">
        <f>DF109/DF169</f>
        <v>0.84156050955414041</v>
      </c>
      <c r="DG139" s="310">
        <f t="shared" si="318"/>
        <v>-1.9188470879347608</v>
      </c>
      <c r="DH139" s="1513"/>
      <c r="DI139" s="256"/>
      <c r="DJ139" s="320">
        <f>DJ109/DJ169</f>
        <v>0.919264588329337</v>
      </c>
      <c r="DK139" s="310">
        <f t="shared" si="319"/>
        <v>9.233332350203117</v>
      </c>
      <c r="DL139" s="1513"/>
      <c r="DM139" s="256"/>
      <c r="DN139" s="320">
        <f>DN109/DN169</f>
        <v>0.97484038118410077</v>
      </c>
      <c r="DO139" s="310">
        <f t="shared" si="320"/>
        <v>6.0456797270703966</v>
      </c>
      <c r="DP139" s="1513"/>
      <c r="DQ139" s="256"/>
      <c r="DR139" s="610"/>
      <c r="DS139" s="610"/>
      <c r="DT139" s="256"/>
      <c r="DU139" s="1278"/>
      <c r="DV139" s="1278"/>
      <c r="DW139" s="1278"/>
      <c r="DX139" s="1278"/>
      <c r="DY139" s="1278"/>
      <c r="DZ139" s="1279"/>
      <c r="EA139" s="610"/>
    </row>
    <row r="140" spans="1:131">
      <c r="A140" s="256" t="str">
        <f>$A$12</f>
        <v>3Q</v>
      </c>
      <c r="B140" s="256" t="str">
        <f>$B$12</f>
        <v>Oct</v>
      </c>
      <c r="C140" s="256"/>
      <c r="D140" s="320"/>
      <c r="E140" s="256"/>
      <c r="F140" s="320"/>
      <c r="G140" s="310"/>
      <c r="H140" s="256"/>
      <c r="I140" s="256"/>
      <c r="J140" s="320">
        <f>J130/J170</f>
        <v>0.48125748502994031</v>
      </c>
      <c r="K140" s="310"/>
      <c r="L140" s="256"/>
      <c r="M140" s="256"/>
      <c r="N140" s="320">
        <f>N130/N170</f>
        <v>3.3708541503632817E-3</v>
      </c>
      <c r="O140" s="310">
        <f t="shared" si="297"/>
        <v>-99.299573667897633</v>
      </c>
      <c r="P140" s="256"/>
      <c r="Q140" s="256"/>
      <c r="R140" s="320">
        <f>R130/R170</f>
        <v>0.19489850907131245</v>
      </c>
      <c r="S140" s="310">
        <f t="shared" si="298"/>
        <v>5681.87309143316</v>
      </c>
      <c r="T140" s="256"/>
      <c r="U140" s="256"/>
      <c r="V140" s="320">
        <f>V130/V170</f>
        <v>0.27955460791281678</v>
      </c>
      <c r="W140" s="310">
        <f t="shared" si="299"/>
        <v>43.435990990843877</v>
      </c>
      <c r="X140" s="256"/>
      <c r="Y140" s="256"/>
      <c r="Z140" s="320">
        <f>Z130/Z170</f>
        <v>0.36677189290307477</v>
      </c>
      <c r="AA140" s="310">
        <f t="shared" si="300"/>
        <v>31.198657622362646</v>
      </c>
      <c r="AB140" s="256"/>
      <c r="AC140" s="256"/>
      <c r="AD140" s="320">
        <f>AD110/AD170</f>
        <v>0.1303808062491284</v>
      </c>
      <c r="AE140" s="310">
        <f t="shared" si="301"/>
        <v>-64.451799941064849</v>
      </c>
      <c r="AF140" s="256"/>
      <c r="AG140" s="256"/>
      <c r="AH140" s="320">
        <f>AH110/AH170</f>
        <v>0.15795348068125467</v>
      </c>
      <c r="AI140" s="310">
        <f t="shared" si="302"/>
        <v>21.14780175499229</v>
      </c>
      <c r="AJ140" s="256"/>
      <c r="AK140" s="256"/>
      <c r="AL140" s="320">
        <f>AL110/AL170</f>
        <v>0.17061224489795898</v>
      </c>
      <c r="AM140" s="310">
        <f t="shared" si="303"/>
        <v>8.0142356864229658</v>
      </c>
      <c r="AN140" s="256"/>
      <c r="AO140" s="256"/>
      <c r="AP140" s="320">
        <f>AP110/AP170</f>
        <v>0.14524748022539088</v>
      </c>
      <c r="AQ140" s="310">
        <f t="shared" si="304"/>
        <v>-14.86690752339519</v>
      </c>
      <c r="AR140" s="256"/>
      <c r="AS140" s="256"/>
      <c r="AT140" s="320">
        <f>AT110/AT170</f>
        <v>0.23873376452647646</v>
      </c>
      <c r="AU140" s="310">
        <f t="shared" si="305"/>
        <v>64.363446550684557</v>
      </c>
      <c r="AV140" s="256"/>
      <c r="AW140" s="256"/>
      <c r="AX140" s="320">
        <f>AX110/AX170</f>
        <v>0.16006501725355393</v>
      </c>
      <c r="AY140" s="310">
        <f t="shared" si="306"/>
        <v>-32.952501473329662</v>
      </c>
      <c r="AZ140" s="256"/>
      <c r="BA140" s="256"/>
      <c r="BB140" s="320">
        <f>BB130/BB170</f>
        <v>0.2376237623762377</v>
      </c>
      <c r="BC140" s="310">
        <f t="shared" si="307"/>
        <v>48.454525825480907</v>
      </c>
      <c r="BD140" s="256"/>
      <c r="BE140" s="256"/>
      <c r="BF140" s="320">
        <f>BF110/BF170</f>
        <v>0.18802782417376024</v>
      </c>
      <c r="BG140" s="310">
        <f t="shared" si="308"/>
        <v>-20.871623993542588</v>
      </c>
      <c r="BH140" s="256"/>
      <c r="BI140" s="256"/>
      <c r="BJ140" s="320">
        <f>BJ110/BJ170</f>
        <v>0.11749416184384204</v>
      </c>
      <c r="BK140" s="310">
        <f t="shared" si="309"/>
        <v>-37.512353631628827</v>
      </c>
      <c r="BL140" s="256"/>
      <c r="BM140" s="593"/>
      <c r="BN140" s="320">
        <f>BN110/BN170</f>
        <v>0.16406998958570426</v>
      </c>
      <c r="BO140" s="310">
        <f t="shared" si="310"/>
        <v>39.640971952091334</v>
      </c>
      <c r="BP140" s="256"/>
      <c r="BQ140" s="599"/>
      <c r="BR140" s="320">
        <f>BR110/BR170</f>
        <v>0.23492856731378492</v>
      </c>
      <c r="BS140" s="310">
        <f t="shared" si="311"/>
        <v>43.188018666306235</v>
      </c>
      <c r="BT140" s="256"/>
      <c r="BU140" s="830"/>
      <c r="BV140" s="320">
        <f>BV110/BV170</f>
        <v>0.30561987855499045</v>
      </c>
      <c r="BW140" s="310">
        <f t="shared" si="312"/>
        <v>30.090555631229776</v>
      </c>
      <c r="BX140" s="256"/>
      <c r="BY140" s="830"/>
      <c r="BZ140" s="320">
        <f>BZ110/BZ170</f>
        <v>0.36474271211138631</v>
      </c>
      <c r="CA140" s="310">
        <f t="shared" si="313"/>
        <v>19.345218588508082</v>
      </c>
      <c r="CB140" s="256"/>
      <c r="CC140" s="830"/>
      <c r="CD140" s="320">
        <f>CD110/CD170</f>
        <v>0.32800082814416082</v>
      </c>
      <c r="CE140" s="310">
        <f t="shared" si="314"/>
        <v>-10.073370281900285</v>
      </c>
      <c r="CF140" s="256"/>
      <c r="CG140" s="830"/>
      <c r="CH140" s="320">
        <f>CH110/CH170</f>
        <v>0.4610687619717766</v>
      </c>
      <c r="CI140" s="310">
        <f t="shared" si="321"/>
        <v>40.569389589812445</v>
      </c>
      <c r="CJ140" s="1281"/>
      <c r="CK140" s="830"/>
      <c r="CL140" s="320">
        <f>CL110/CL170</f>
        <v>0.69627829705306965</v>
      </c>
      <c r="CM140" s="310">
        <f t="shared" si="322"/>
        <v>51.013981965599072</v>
      </c>
      <c r="CN140" s="1513">
        <v>60</v>
      </c>
      <c r="CO140" s="830"/>
      <c r="CP140" s="320">
        <f>CP110/CP170</f>
        <v>0.49396412878610152</v>
      </c>
      <c r="CQ140" s="310">
        <f t="shared" si="323"/>
        <v>-29.056509318650782</v>
      </c>
      <c r="CR140" s="1513"/>
      <c r="CS140" s="256"/>
      <c r="CT140" s="320">
        <f>CT110/CT170</f>
        <v>0.73355870175384197</v>
      </c>
      <c r="CU140" s="310">
        <f t="shared" si="315"/>
        <v>48.5044477939188</v>
      </c>
      <c r="CV140" s="1513"/>
      <c r="CW140" s="256"/>
      <c r="CX140" s="320">
        <f>CX110/CX170</f>
        <v>0.76339072766160498</v>
      </c>
      <c r="CY140" s="310">
        <f t="shared" si="316"/>
        <v>4.0667537357867323</v>
      </c>
      <c r="CZ140" s="1513"/>
      <c r="DA140" s="256"/>
      <c r="DB140" s="320">
        <f>DB110/DB170</f>
        <v>0.70487993803253279</v>
      </c>
      <c r="DC140" s="310">
        <f t="shared" si="317"/>
        <v>-7.6645926533979054</v>
      </c>
      <c r="DD140" s="1513"/>
      <c r="DE140" s="256"/>
      <c r="DF140" s="320">
        <f>DF110/DF170</f>
        <v>0.7614091273018414</v>
      </c>
      <c r="DG140" s="310">
        <f t="shared" si="318"/>
        <v>8.0196904776568712</v>
      </c>
      <c r="DH140" s="1513"/>
      <c r="DI140" s="256"/>
      <c r="DJ140" s="320">
        <f>DJ110/DJ170</f>
        <v>0.80160000000000042</v>
      </c>
      <c r="DK140" s="310">
        <f t="shared" si="319"/>
        <v>5.2784858044164773</v>
      </c>
      <c r="DL140" s="1513"/>
      <c r="DM140" s="256"/>
      <c r="DN140" s="320">
        <f>DN110/DN170</f>
        <v>0.82665423547915318</v>
      </c>
      <c r="DO140" s="310">
        <f t="shared" si="320"/>
        <v>3.1255283781378207</v>
      </c>
      <c r="DP140" s="1513"/>
      <c r="DQ140" s="256"/>
      <c r="DR140" s="610"/>
      <c r="DS140" s="610"/>
      <c r="DT140" s="256"/>
      <c r="DU140" s="1278"/>
      <c r="DV140" s="1278"/>
      <c r="DW140" s="1278"/>
      <c r="DX140" s="1278"/>
      <c r="DY140" s="1278"/>
      <c r="DZ140" s="1279"/>
      <c r="EA140" s="610"/>
    </row>
    <row r="141" spans="1:131">
      <c r="A141" s="256" t="str">
        <f>$A$13</f>
        <v>4Q</v>
      </c>
      <c r="B141" s="256" t="str">
        <f>$B$13</f>
        <v>Jan</v>
      </c>
      <c r="C141" s="587"/>
      <c r="D141" s="611"/>
      <c r="E141" s="587"/>
      <c r="F141" s="611"/>
      <c r="G141" s="310"/>
      <c r="H141" s="256"/>
      <c r="I141" s="256"/>
      <c r="J141" s="611">
        <f>J131/J171</f>
        <v>0.72252747252747218</v>
      </c>
      <c r="K141" s="310"/>
      <c r="L141" s="256"/>
      <c r="M141" s="256"/>
      <c r="N141" s="611">
        <f>N131/N171</f>
        <v>0.5193310555655466</v>
      </c>
      <c r="O141" s="310">
        <f t="shared" si="297"/>
        <v>-28.123002195490855</v>
      </c>
      <c r="P141" s="256"/>
      <c r="Q141" s="256"/>
      <c r="R141" s="611">
        <f>R131/R171</f>
        <v>1.0796428357403969</v>
      </c>
      <c r="S141" s="310">
        <f t="shared" si="298"/>
        <v>107.89105988754631</v>
      </c>
      <c r="T141" s="256"/>
      <c r="U141" s="256"/>
      <c r="V141" s="611">
        <f>V131/V171</f>
        <v>1.1445604460790135</v>
      </c>
      <c r="W141" s="310">
        <f t="shared" si="299"/>
        <v>6.0128783510240646</v>
      </c>
      <c r="X141" s="256"/>
      <c r="Y141" s="256"/>
      <c r="Z141" s="611">
        <f>Z131/Z171</f>
        <v>1.4632927389705879</v>
      </c>
      <c r="AA141" s="310">
        <f t="shared" si="300"/>
        <v>27.847571876476596</v>
      </c>
      <c r="AB141" s="256"/>
      <c r="AC141" s="256"/>
      <c r="AD141" s="611">
        <f>AD111/AD171</f>
        <v>0.99723987955838167</v>
      </c>
      <c r="AE141" s="310">
        <f t="shared" si="301"/>
        <v>-31.849598306629325</v>
      </c>
      <c r="AF141" s="256"/>
      <c r="AG141" s="256"/>
      <c r="AH141" s="611">
        <f>AH111/AH171</f>
        <v>1.1694491513653158</v>
      </c>
      <c r="AI141" s="310">
        <f t="shared" si="302"/>
        <v>17.268590570525056</v>
      </c>
      <c r="AJ141" s="256"/>
      <c r="AK141" s="256"/>
      <c r="AL141" s="611">
        <f>AL111/AL171</f>
        <v>1.4886871508379906</v>
      </c>
      <c r="AM141" s="310">
        <f t="shared" si="303"/>
        <v>27.298151364680436</v>
      </c>
      <c r="AN141" s="256"/>
      <c r="AO141" s="256"/>
      <c r="AP141" s="611">
        <f>AP111/AP171</f>
        <v>0.5560237716449502</v>
      </c>
      <c r="AQ141" s="310">
        <f t="shared" si="304"/>
        <v>-62.650059058280902</v>
      </c>
      <c r="AR141" s="256"/>
      <c r="AS141" s="256"/>
      <c r="AT141" s="611">
        <f>AT111/AT171</f>
        <v>0.55814903925381509</v>
      </c>
      <c r="AU141" s="310">
        <f t="shared" si="305"/>
        <v>0.38222603371389496</v>
      </c>
      <c r="AV141" s="256"/>
      <c r="AW141" s="256"/>
      <c r="AX141" s="611">
        <f>AX111/AX171</f>
        <v>0.55278312222756676</v>
      </c>
      <c r="AY141" s="310">
        <f t="shared" si="306"/>
        <v>-0.96137709623616008</v>
      </c>
      <c r="AZ141" s="256"/>
      <c r="BA141" s="256"/>
      <c r="BB141" s="611">
        <f>BB111/BB171</f>
        <v>0.60409055235311637</v>
      </c>
      <c r="BC141" s="310">
        <f t="shared" si="307"/>
        <v>9.2816564150501879</v>
      </c>
      <c r="BD141" s="256"/>
      <c r="BE141" s="256"/>
      <c r="BF141" s="611">
        <f>BF111/BF171</f>
        <v>0.73751460329116425</v>
      </c>
      <c r="BG141" s="310">
        <f t="shared" si="308"/>
        <v>22.086763386436136</v>
      </c>
      <c r="BH141" s="256"/>
      <c r="BI141" s="256"/>
      <c r="BJ141" s="611">
        <f>BJ111/BJ171</f>
        <v>1.479602966841187</v>
      </c>
      <c r="BK141" s="310">
        <f t="shared" si="309"/>
        <v>100.62015860275145</v>
      </c>
      <c r="BL141" s="256"/>
      <c r="BM141" s="593"/>
      <c r="BN141" s="611">
        <f>BN111/BN171</f>
        <v>0.96934198613616429</v>
      </c>
      <c r="BO141" s="310">
        <f t="shared" si="310"/>
        <v>-34.486344792507538</v>
      </c>
      <c r="BP141" s="256"/>
      <c r="BQ141" s="599"/>
      <c r="BR141" s="611">
        <f>(BR111/BR171)</f>
        <v>1.0690345715070626</v>
      </c>
      <c r="BS141" s="310">
        <f t="shared" si="311"/>
        <v>10.284562806185349</v>
      </c>
      <c r="BT141" s="256"/>
      <c r="BU141" s="830"/>
      <c r="BV141" s="611">
        <f>(BV111/BV171)</f>
        <v>1.3419820037259667</v>
      </c>
      <c r="BW141" s="310">
        <f t="shared" si="312"/>
        <v>25.532142691523884</v>
      </c>
      <c r="BX141" s="256"/>
      <c r="BY141" s="830"/>
      <c r="BZ141" s="611">
        <f>(BZ111/BZ171)</f>
        <v>0.8622222581244493</v>
      </c>
      <c r="CA141" s="310">
        <f t="shared" si="313"/>
        <v>-35.750087875208536</v>
      </c>
      <c r="CB141" s="256"/>
      <c r="CC141" s="830"/>
      <c r="CD141" s="611">
        <f>(CD111/CD171)</f>
        <v>1.085978077240404</v>
      </c>
      <c r="CE141" s="310">
        <f t="shared" si="314"/>
        <v>25.951060414826223</v>
      </c>
      <c r="CF141" s="256"/>
      <c r="CG141" s="830"/>
      <c r="CH141" s="611">
        <f>(CH111/CH171)</f>
        <v>1.437275317757952</v>
      </c>
      <c r="CI141" s="310">
        <f t="shared" si="321"/>
        <v>32.348465211216329</v>
      </c>
      <c r="CJ141" s="1281"/>
      <c r="CK141" s="830"/>
      <c r="CL141" s="611">
        <f>(CL111/CL171)</f>
        <v>1.3899753786698257</v>
      </c>
      <c r="CM141" s="310">
        <f t="shared" si="322"/>
        <v>-3.2909449222234599</v>
      </c>
      <c r="CN141" s="1513">
        <v>162</v>
      </c>
      <c r="CO141" s="830"/>
      <c r="CP141" s="611">
        <f>(CP111/CP171)</f>
        <v>1.4035486592912061</v>
      </c>
      <c r="CQ141" s="310">
        <f t="shared" si="323"/>
        <v>0.97651230587765259</v>
      </c>
      <c r="CR141" s="1513"/>
      <c r="CS141" s="256"/>
      <c r="CT141" s="611">
        <f>(CT111/CT171)</f>
        <v>1.4681280601471203</v>
      </c>
      <c r="CU141" s="310">
        <f t="shared" si="315"/>
        <v>4.6011515474302822</v>
      </c>
      <c r="CV141" s="1513"/>
      <c r="CW141" s="256"/>
      <c r="CX141" s="611">
        <f>(CX111/CX171)</f>
        <v>1.509196790547038</v>
      </c>
      <c r="CY141" s="310">
        <f t="shared" si="316"/>
        <v>2.7973534131485955</v>
      </c>
      <c r="CZ141" s="1513"/>
      <c r="DA141" s="256"/>
      <c r="DB141" s="611">
        <f>(DB111/DB171)</f>
        <v>1.4647615324472243</v>
      </c>
      <c r="DC141" s="310">
        <f>IF(CX141&lt;0,"       NM",(DB141/CX141-1)*100)</f>
        <v>-2.944298475728091</v>
      </c>
      <c r="DD141" s="1513"/>
      <c r="DE141" s="256"/>
      <c r="DF141" s="611">
        <f>(DF111/DF171)</f>
        <v>1.4543999999999992</v>
      </c>
      <c r="DG141" s="310">
        <f t="shared" si="318"/>
        <v>-0.70738698536912947</v>
      </c>
      <c r="DH141" s="1513"/>
      <c r="DI141" s="256"/>
      <c r="DJ141" s="611">
        <f>(DJ111/DJ171)</f>
        <v>1.6661329063250592</v>
      </c>
      <c r="DK141" s="310">
        <f t="shared" si="319"/>
        <v>14.558093119159787</v>
      </c>
      <c r="DL141" s="1513"/>
      <c r="DM141" s="256"/>
      <c r="DN141" s="611">
        <f>(DN111/DN171)</f>
        <v>1.6950708289877787</v>
      </c>
      <c r="DO141" s="310">
        <f t="shared" si="320"/>
        <v>1.736831590857113</v>
      </c>
      <c r="DP141" s="1513"/>
      <c r="DQ141" s="256"/>
      <c r="DR141" s="610"/>
      <c r="DS141" s="610"/>
      <c r="DT141" s="256"/>
      <c r="DU141" s="1278"/>
      <c r="DV141" s="1278"/>
      <c r="DW141" s="1278"/>
      <c r="DX141" s="1278"/>
      <c r="DY141" s="1278"/>
      <c r="DZ141" s="1279"/>
      <c r="EA141" s="610"/>
    </row>
    <row r="142" spans="1:131">
      <c r="A142" s="256"/>
      <c r="B142" s="256" t="str">
        <f>$B$14</f>
        <v>Year</v>
      </c>
      <c r="C142" s="256"/>
      <c r="D142" s="610"/>
      <c r="E142" s="256"/>
      <c r="F142" s="610"/>
      <c r="G142" s="310"/>
      <c r="H142" s="256"/>
      <c r="I142" s="256"/>
      <c r="J142" s="610">
        <f>J112/J172</f>
        <v>1.9140690817186186</v>
      </c>
      <c r="K142" s="310"/>
      <c r="L142" s="256"/>
      <c r="M142" s="256"/>
      <c r="N142" s="610">
        <f>N112/N172</f>
        <v>0.94202290305174274</v>
      </c>
      <c r="O142" s="310">
        <f t="shared" si="297"/>
        <v>-50.784278788625947</v>
      </c>
      <c r="P142" s="256"/>
      <c r="Q142" s="256"/>
      <c r="R142" s="610">
        <f>R112/R172</f>
        <v>1.3513853904282112</v>
      </c>
      <c r="S142" s="310">
        <f t="shared" si="298"/>
        <v>43.45568308905365</v>
      </c>
      <c r="T142" s="256"/>
      <c r="U142" s="256"/>
      <c r="V142" s="610">
        <f>V132/V172</f>
        <v>0.87371210767673202</v>
      </c>
      <c r="W142" s="310">
        <f t="shared" si="299"/>
        <v>-35.34693257266305</v>
      </c>
      <c r="X142" s="256"/>
      <c r="Y142" s="256"/>
      <c r="Z142" s="610">
        <f>Z132/Z172</f>
        <v>1.1351531291611179</v>
      </c>
      <c r="AA142" s="310">
        <f t="shared" si="300"/>
        <v>29.923016882480624</v>
      </c>
      <c r="AB142" s="256"/>
      <c r="AC142" s="256"/>
      <c r="AD142" s="610">
        <f>AD132/AD172</f>
        <v>1.6374054356962755</v>
      </c>
      <c r="AE142" s="310">
        <f t="shared" si="301"/>
        <v>44.245335156352319</v>
      </c>
      <c r="AF142" s="256"/>
      <c r="AG142" s="256"/>
      <c r="AH142" s="610">
        <f>AH132/AH172</f>
        <v>2.0170064258807896</v>
      </c>
      <c r="AI142" s="310">
        <f t="shared" si="302"/>
        <v>23.183078662682945</v>
      </c>
      <c r="AJ142" s="256"/>
      <c r="AK142" s="256"/>
      <c r="AL142" s="610">
        <f>AL132/AL172</f>
        <v>0.62570864828812833</v>
      </c>
      <c r="AM142" s="310">
        <f t="shared" si="303"/>
        <v>-68.978351270502628</v>
      </c>
      <c r="AN142" s="256"/>
      <c r="AO142" s="256"/>
      <c r="AP142" s="610">
        <f>AP112/AP172</f>
        <v>0.97336068312108259</v>
      </c>
      <c r="AQ142" s="310">
        <f t="shared" si="304"/>
        <v>55.561328069236836</v>
      </c>
      <c r="AR142" s="256"/>
      <c r="AS142" s="256"/>
      <c r="AT142" s="610">
        <f>AT112/AT172</f>
        <v>1.2553617537018495</v>
      </c>
      <c r="AU142" s="310">
        <f t="shared" si="305"/>
        <v>28.971898646710279</v>
      </c>
      <c r="AV142" s="256"/>
      <c r="AW142" s="256"/>
      <c r="AX142" s="610">
        <f>AX112/AX172</f>
        <v>1.1532717234598084</v>
      </c>
      <c r="AY142" s="310">
        <f t="shared" si="306"/>
        <v>-8.1323196234866053</v>
      </c>
      <c r="AZ142" s="256"/>
      <c r="BA142" s="256"/>
      <c r="BB142" s="888">
        <f>BB112/BB172</f>
        <v>1.2240243352558366</v>
      </c>
      <c r="BC142" s="310">
        <f t="shared" si="307"/>
        <v>6.1349472424218288</v>
      </c>
      <c r="BD142" s="256"/>
      <c r="BE142" s="256"/>
      <c r="BF142" s="610">
        <f>BF112/BF172</f>
        <v>1.4515666253569692</v>
      </c>
      <c r="BG142" s="310">
        <f t="shared" si="308"/>
        <v>18.589686785399849</v>
      </c>
      <c r="BH142" s="256"/>
      <c r="BI142" s="256"/>
      <c r="BJ142" s="610">
        <f>BJ112/BJ172</f>
        <v>2.0547831430249905</v>
      </c>
      <c r="BK142" s="310">
        <f t="shared" si="309"/>
        <v>41.556240487389154</v>
      </c>
      <c r="BL142" s="256"/>
      <c r="BM142" s="593"/>
      <c r="BN142" s="610">
        <f>BN112/BN172</f>
        <v>1.749268433417138</v>
      </c>
      <c r="BO142" s="310">
        <f t="shared" si="310"/>
        <v>-14.868464861848285</v>
      </c>
      <c r="BP142" s="256"/>
      <c r="BQ142" s="850"/>
      <c r="BR142" s="610">
        <f>BR112/BR172</f>
        <v>1.9077754347100617</v>
      </c>
      <c r="BS142" s="310">
        <f t="shared" si="311"/>
        <v>9.0613309121051024</v>
      </c>
      <c r="BT142" s="256"/>
      <c r="BU142" s="610"/>
      <c r="BV142" s="610">
        <f>BV112/BV172</f>
        <v>2.4691617199942075</v>
      </c>
      <c r="BW142" s="310">
        <f t="shared" si="312"/>
        <v>29.426224652560528</v>
      </c>
      <c r="BX142" s="256"/>
      <c r="BY142" s="610"/>
      <c r="BZ142" s="610">
        <f>BZ112/BZ172</f>
        <v>2.3849306225773281</v>
      </c>
      <c r="CA142" s="310">
        <f t="shared" si="313"/>
        <v>-3.4113236380919232</v>
      </c>
      <c r="CB142" s="256"/>
      <c r="CC142" s="610"/>
      <c r="CD142" s="610">
        <f>CD112/CD172</f>
        <v>2.0355231570468093</v>
      </c>
      <c r="CE142" s="310">
        <f t="shared" si="314"/>
        <v>-14.650634371616389</v>
      </c>
      <c r="CF142" s="256"/>
      <c r="CG142" s="610"/>
      <c r="CH142" s="610">
        <f>CH112/CH172</f>
        <v>2.9308599286637698</v>
      </c>
      <c r="CI142" s="310">
        <f t="shared" si="321"/>
        <v>43.985585156198304</v>
      </c>
      <c r="CJ142" s="1281"/>
      <c r="CK142" s="610"/>
      <c r="CL142" s="610">
        <f>CL112/CL172</f>
        <v>3.603765801394843</v>
      </c>
      <c r="CM142" s="310">
        <f t="shared" si="322"/>
        <v>22.959332383989526</v>
      </c>
      <c r="CN142" s="1513">
        <f>SUM(CN138:CN141)</f>
        <v>375</v>
      </c>
      <c r="CO142" s="610"/>
      <c r="CP142" s="610">
        <f>CP112/CP172</f>
        <v>3.2529610514981617</v>
      </c>
      <c r="CQ142" s="310">
        <f t="shared" si="323"/>
        <v>-9.7343936656733234</v>
      </c>
      <c r="CR142" s="1513"/>
      <c r="CS142" s="256"/>
      <c r="CT142" s="610">
        <f>CT112/CT172</f>
        <v>3.7326939156379941</v>
      </c>
      <c r="CU142" s="310">
        <f t="shared" si="315"/>
        <v>14.747574795550955</v>
      </c>
      <c r="CV142" s="1513"/>
      <c r="CW142" s="256"/>
      <c r="CX142" s="610">
        <f>CX112/CX172</f>
        <v>4.1965742879137808</v>
      </c>
      <c r="CY142" s="310">
        <f t="shared" si="316"/>
        <v>12.427495603975869</v>
      </c>
      <c r="CZ142" s="1513"/>
      <c r="DA142" s="256"/>
      <c r="DB142" s="610">
        <f>DB112/DB172</f>
        <v>3.8299225406661503</v>
      </c>
      <c r="DC142" s="310">
        <f t="shared" si="317"/>
        <v>-8.736929745378152</v>
      </c>
      <c r="DD142" s="1513"/>
      <c r="DE142" s="256"/>
      <c r="DF142" s="610">
        <f>DF112/DF172</f>
        <v>3.7458167330677279</v>
      </c>
      <c r="DG142" s="310">
        <f t="shared" si="318"/>
        <v>-2.1960185018204958</v>
      </c>
      <c r="DH142" s="1513"/>
      <c r="DI142" s="256"/>
      <c r="DJ142" s="610">
        <f>DJ112/DJ172</f>
        <v>4.1262989608313356</v>
      </c>
      <c r="DK142" s="310">
        <f t="shared" si="319"/>
        <v>10.157523842657469</v>
      </c>
      <c r="DL142" s="1513"/>
      <c r="DM142" s="256"/>
      <c r="DN142" s="610">
        <f>DN112/DN172</f>
        <v>4.3988554173072734</v>
      </c>
      <c r="DO142" s="310">
        <f t="shared" si="320"/>
        <v>6.6053492261022528</v>
      </c>
      <c r="DP142" s="1513"/>
      <c r="DQ142" s="256"/>
      <c r="DR142" s="610"/>
      <c r="DS142" s="610"/>
      <c r="DT142" s="256"/>
      <c r="DU142" s="1278"/>
      <c r="DV142" s="1278"/>
      <c r="DW142" s="1278"/>
      <c r="DX142" s="1278"/>
      <c r="DY142" s="1278"/>
      <c r="DZ142" s="256"/>
      <c r="EA142" s="256"/>
    </row>
    <row r="143" spans="1:131" hidden="1" outlineLevel="3">
      <c r="A143" s="256" t="str">
        <f>$A$15</f>
        <v>6 Mos</v>
      </c>
      <c r="B143" s="256"/>
      <c r="C143" s="256"/>
      <c r="D143" s="320"/>
      <c r="E143" s="256"/>
      <c r="F143" s="320">
        <f>SUM(F138:F139)</f>
        <v>0</v>
      </c>
      <c r="G143" s="310"/>
      <c r="H143" s="256"/>
      <c r="I143" s="256"/>
      <c r="J143" s="320">
        <f>SUM(J138:J139)</f>
        <v>0.31286053803256358</v>
      </c>
      <c r="K143" s="310" t="e">
        <f>IF(F143&lt;0,"       NM",(J143/F143-1)*100)</f>
        <v>#DIV/0!</v>
      </c>
      <c r="L143" s="256"/>
      <c r="M143" s="256"/>
      <c r="N143" s="320">
        <f>SUM(N138:N139)</f>
        <v>0.41849761315458672</v>
      </c>
      <c r="O143" s="310">
        <f t="shared" si="297"/>
        <v>33.764908731003999</v>
      </c>
      <c r="P143" s="256"/>
      <c r="Q143" s="256"/>
      <c r="R143" s="320">
        <f>SUM(R138:R139)</f>
        <v>-1.8899683773697959</v>
      </c>
      <c r="S143" s="310">
        <f t="shared" si="298"/>
        <v>-551.60792271273249</v>
      </c>
      <c r="T143" s="256"/>
      <c r="U143" s="256"/>
      <c r="V143" s="320">
        <f>SUM(V138:V139)</f>
        <v>0.31751179350281566</v>
      </c>
      <c r="W143" s="310" t="str">
        <f t="shared" si="299"/>
        <v xml:space="preserve">       NM</v>
      </c>
      <c r="X143" s="256"/>
      <c r="Y143" s="256"/>
      <c r="Z143" s="320">
        <f>SUM(Z138:Z139)</f>
        <v>0.44224567417846328</v>
      </c>
      <c r="AA143" s="310">
        <f t="shared" si="300"/>
        <v>39.284802400431616</v>
      </c>
      <c r="AB143" s="256"/>
      <c r="AC143" s="256"/>
      <c r="AD143" s="320">
        <f>SUM(AD138:AD139)</f>
        <v>0.18724617254563369</v>
      </c>
      <c r="AE143" s="310">
        <f t="shared" si="301"/>
        <v>-57.660146050389052</v>
      </c>
      <c r="AF143" s="256"/>
      <c r="AG143" s="256"/>
      <c r="AH143" s="320">
        <f>SUM(AH138:AH139)</f>
        <v>0.26616194730944615</v>
      </c>
      <c r="AI143" s="310">
        <f t="shared" si="302"/>
        <v>42.145467483229822</v>
      </c>
      <c r="AJ143" s="256"/>
      <c r="AK143" s="256"/>
      <c r="AL143" s="320">
        <f>SUM(AL138:AL139)</f>
        <v>0.33944595755206991</v>
      </c>
      <c r="AM143" s="310">
        <f t="shared" si="303"/>
        <v>27.533616650851322</v>
      </c>
      <c r="AN143" s="256"/>
      <c r="AO143" s="256"/>
      <c r="AP143" s="320">
        <f>SUM(AP138:AP139)</f>
        <v>0.26629855193454538</v>
      </c>
      <c r="AQ143" s="310">
        <f t="shared" si="304"/>
        <v>-21.549057807325322</v>
      </c>
      <c r="AR143" s="256"/>
      <c r="AS143" s="256"/>
      <c r="AT143" s="320">
        <f>SUM(AT138:AT139)</f>
        <v>0.45881705623753377</v>
      </c>
      <c r="AU143" s="310">
        <f t="shared" si="305"/>
        <v>72.294236263931438</v>
      </c>
      <c r="AV143" s="256"/>
      <c r="AW143" s="256"/>
      <c r="AX143" s="320">
        <f>SUM(AX138:AX139)</f>
        <v>0.44088436406956799</v>
      </c>
      <c r="AY143" s="310">
        <f t="shared" si="306"/>
        <v>-3.9084624087474817</v>
      </c>
      <c r="AZ143" s="256"/>
      <c r="BA143" s="256"/>
      <c r="BB143" s="320">
        <f>SUM(BB138:BB139)</f>
        <v>0.43628817831860245</v>
      </c>
      <c r="BC143" s="310">
        <f t="shared" si="307"/>
        <v>-1.0424923461881508</v>
      </c>
      <c r="BD143" s="256"/>
      <c r="BE143" s="256"/>
      <c r="BF143" s="320">
        <f>SUM(BF138:BF139)</f>
        <v>0.52095563595124994</v>
      </c>
      <c r="BG143" s="310">
        <f t="shared" si="308"/>
        <v>19.406314871731055</v>
      </c>
      <c r="BH143" s="256"/>
      <c r="BI143" s="256"/>
      <c r="BJ143" s="320">
        <f>SUM(BJ138:BJ139)</f>
        <v>0.46926575402676557</v>
      </c>
      <c r="BK143" s="310">
        <f t="shared" si="309"/>
        <v>-9.9221274053596034</v>
      </c>
      <c r="BL143" s="586"/>
      <c r="BM143" s="593"/>
      <c r="BN143" s="320">
        <f>SUM(BN138:BN139)</f>
        <v>0.6226312919300333</v>
      </c>
      <c r="BO143" s="310">
        <f t="shared" si="310"/>
        <v>32.68202219898626</v>
      </c>
      <c r="BP143" s="256"/>
      <c r="BQ143" s="599"/>
      <c r="BR143" s="320">
        <f>SUM(BR138:BR139)</f>
        <v>0.61792062107592449</v>
      </c>
      <c r="BS143" s="310">
        <f t="shared" si="311"/>
        <v>-0.75657470402855642</v>
      </c>
      <c r="BT143" s="256"/>
      <c r="BU143" s="256"/>
      <c r="BV143" s="320">
        <f>SUM(BV138:BV139)</f>
        <v>0.86062731560638539</v>
      </c>
      <c r="BW143" s="310">
        <f t="shared" si="312"/>
        <v>39.277972971327536</v>
      </c>
      <c r="BX143" s="256"/>
      <c r="BY143" s="256"/>
      <c r="BZ143" s="320">
        <f>SUM(BZ138:BZ139)</f>
        <v>1.1615032742802756</v>
      </c>
      <c r="CA143" s="310">
        <f t="shared" si="313"/>
        <v>34.960075426132306</v>
      </c>
      <c r="CB143" s="256"/>
      <c r="CC143" s="256"/>
      <c r="CD143" s="320">
        <f>SUM(CD138:CD139)</f>
        <v>0.60953676805510271</v>
      </c>
      <c r="CE143" s="310">
        <f t="shared" si="314"/>
        <v>-47.521734845491373</v>
      </c>
      <c r="CF143" s="256"/>
      <c r="CG143" s="256"/>
      <c r="CH143" s="320">
        <f>SUM(CH138:CH139)</f>
        <v>1.0295560986649162</v>
      </c>
      <c r="CI143" s="310">
        <f t="shared" si="321"/>
        <v>68.907956438789157</v>
      </c>
      <c r="CJ143" s="256"/>
      <c r="CK143" s="256"/>
      <c r="CL143" s="320">
        <f>SUM(CL138:CL139)</f>
        <v>1.5206768665293091</v>
      </c>
      <c r="CM143" s="310">
        <f t="shared" si="322"/>
        <v>47.702186262725952</v>
      </c>
      <c r="CN143" s="256"/>
      <c r="CO143" s="256"/>
      <c r="CP143" s="320">
        <f>SUM(CP138:CP139)</f>
        <v>1.3552280400145116</v>
      </c>
      <c r="CQ143" s="310">
        <f t="shared" si="323"/>
        <v>-10.879946302622912</v>
      </c>
      <c r="CR143" s="256"/>
      <c r="CS143" s="256"/>
      <c r="CT143" s="320">
        <f>SUM(CT138:CT139)</f>
        <v>1.5285956472372799</v>
      </c>
      <c r="CU143" s="310">
        <f t="shared" si="315"/>
        <v>12.792504442345498</v>
      </c>
      <c r="CV143" s="256"/>
      <c r="CW143" s="256"/>
      <c r="CX143" s="320">
        <f>SUM(CX138:CX139)</f>
        <v>1.9231945350028121</v>
      </c>
      <c r="CY143" s="310">
        <f t="shared" si="316"/>
        <v>25.814471503874415</v>
      </c>
      <c r="CZ143" s="256"/>
      <c r="DA143" s="256"/>
      <c r="DB143" s="320">
        <f>SUM(DB138:DB139)</f>
        <v>1.66619110121935</v>
      </c>
      <c r="DC143" s="310">
        <f t="shared" si="317"/>
        <v>-13.363361277598806</v>
      </c>
      <c r="DD143" s="256"/>
      <c r="DE143" s="256"/>
      <c r="DF143" s="320">
        <f>SUM(DF138:DF139)</f>
        <v>1.5332601142972226</v>
      </c>
      <c r="DG143" s="310">
        <f t="shared" si="318"/>
        <v>-7.9781356907287488</v>
      </c>
      <c r="DH143" s="256"/>
      <c r="DI143" s="256"/>
      <c r="DJ143" s="320">
        <f>SUM(DJ138:DJ139)</f>
        <v>1.660685178911939</v>
      </c>
      <c r="DK143" s="310">
        <f t="shared" si="319"/>
        <v>8.3107271510237002</v>
      </c>
      <c r="DL143" s="256"/>
      <c r="DM143" s="256"/>
      <c r="DN143" s="320">
        <f>SUM(DN138:DN139)</f>
        <v>1.879366771238145</v>
      </c>
      <c r="DO143" s="310">
        <f t="shared" si="320"/>
        <v>13.168154632986106</v>
      </c>
      <c r="DP143" s="256"/>
      <c r="DQ143" s="256"/>
      <c r="DR143" s="256"/>
      <c r="DS143" s="256"/>
      <c r="DT143" s="256"/>
      <c r="DU143" s="256"/>
      <c r="DV143" s="256"/>
      <c r="DW143" s="256"/>
      <c r="DX143" s="256"/>
      <c r="DY143" s="256"/>
      <c r="DZ143" s="256"/>
      <c r="EA143" s="256"/>
    </row>
    <row r="144" spans="1:131" hidden="1" outlineLevel="3">
      <c r="A144" s="256" t="str">
        <f>$A$16</f>
        <v>9 Mos</v>
      </c>
      <c r="B144" s="256"/>
      <c r="C144" s="256"/>
      <c r="D144" s="320"/>
      <c r="E144" s="256"/>
      <c r="F144" s="320">
        <f>SUM(F138:F140)</f>
        <v>0</v>
      </c>
      <c r="G144" s="310"/>
      <c r="H144" s="256"/>
      <c r="I144" s="256"/>
      <c r="J144" s="320">
        <f>SUM(J138:J140)</f>
        <v>0.7941180230625039</v>
      </c>
      <c r="K144" s="310" t="e">
        <f>IF(F144&lt;0,"       NM",(J144/F144-1)*100)</f>
        <v>#DIV/0!</v>
      </c>
      <c r="L144" s="256"/>
      <c r="M144" s="256"/>
      <c r="N144" s="320">
        <f>SUM(N138:N140)</f>
        <v>0.42186846730494998</v>
      </c>
      <c r="O144" s="310">
        <f t="shared" si="297"/>
        <v>-46.87584778922146</v>
      </c>
      <c r="P144" s="256"/>
      <c r="Q144" s="256"/>
      <c r="R144" s="320">
        <f>SUM(R138:R140)</f>
        <v>-1.6950698682984835</v>
      </c>
      <c r="S144" s="310">
        <f t="shared" si="298"/>
        <v>-501.8005609964664</v>
      </c>
      <c r="T144" s="256"/>
      <c r="U144" s="256"/>
      <c r="V144" s="320">
        <f>SUM(V138:V140)</f>
        <v>0.59706640141563239</v>
      </c>
      <c r="W144" s="310" t="str">
        <f t="shared" si="299"/>
        <v xml:space="preserve">       NM</v>
      </c>
      <c r="X144" s="256"/>
      <c r="Y144" s="256"/>
      <c r="Z144" s="320">
        <f>SUM(Z138:Z140)</f>
        <v>0.80901756708153805</v>
      </c>
      <c r="AA144" s="310">
        <f t="shared" si="300"/>
        <v>35.498759461824307</v>
      </c>
      <c r="AB144" s="256"/>
      <c r="AC144" s="256"/>
      <c r="AD144" s="320">
        <f>SUM(AD138:AD140)</f>
        <v>0.31762697879476209</v>
      </c>
      <c r="AE144" s="310">
        <f t="shared" si="301"/>
        <v>-60.739174065085585</v>
      </c>
      <c r="AF144" s="256"/>
      <c r="AG144" s="256"/>
      <c r="AH144" s="320">
        <f>SUM(AH138:AH140)</f>
        <v>0.42411542799070079</v>
      </c>
      <c r="AI144" s="310">
        <f t="shared" si="302"/>
        <v>33.52626077293872</v>
      </c>
      <c r="AJ144" s="256"/>
      <c r="AK144" s="256"/>
      <c r="AL144" s="320">
        <f>SUM(AL138:AL140)</f>
        <v>0.51005820245002886</v>
      </c>
      <c r="AM144" s="310">
        <f t="shared" si="303"/>
        <v>20.264005689793606</v>
      </c>
      <c r="AN144" s="256"/>
      <c r="AO144" s="256"/>
      <c r="AP144" s="320">
        <f>SUM(AP138:AP140)</f>
        <v>0.41154603215993624</v>
      </c>
      <c r="AQ144" s="310">
        <f t="shared" si="304"/>
        <v>-19.313907671104257</v>
      </c>
      <c r="AR144" s="256"/>
      <c r="AS144" s="256"/>
      <c r="AT144" s="320">
        <f>SUM(AT138:AT140)</f>
        <v>0.6975508207640102</v>
      </c>
      <c r="AU144" s="310">
        <f t="shared" si="305"/>
        <v>69.495212261681075</v>
      </c>
      <c r="AV144" s="256"/>
      <c r="AW144" s="256"/>
      <c r="AX144" s="320">
        <f>SUM(AX138:AX140)</f>
        <v>0.60094938132312192</v>
      </c>
      <c r="AY144" s="310">
        <f t="shared" si="306"/>
        <v>-13.848659705551359</v>
      </c>
      <c r="AZ144" s="256"/>
      <c r="BA144" s="256"/>
      <c r="BB144" s="320">
        <f>SUM(BB138:BB140)</f>
        <v>0.67391194069484017</v>
      </c>
      <c r="BC144" s="310">
        <f t="shared" si="307"/>
        <v>12.141215489909518</v>
      </c>
      <c r="BD144" s="256"/>
      <c r="BE144" s="256"/>
      <c r="BF144" s="320">
        <f>SUM(BF138:BF140)</f>
        <v>0.70898346012501023</v>
      </c>
      <c r="BG144" s="310">
        <f t="shared" si="308"/>
        <v>5.20416946374469</v>
      </c>
      <c r="BH144" s="256"/>
      <c r="BI144" s="256"/>
      <c r="BJ144" s="320">
        <f>SUM(BJ138:BJ140)</f>
        <v>0.58675991587060761</v>
      </c>
      <c r="BK144" s="310">
        <f t="shared" si="309"/>
        <v>-17.239265953094563</v>
      </c>
      <c r="BL144" s="586"/>
      <c r="BM144" s="593"/>
      <c r="BN144" s="320">
        <f>SUM(BN138:BN140)</f>
        <v>0.78670128151573759</v>
      </c>
      <c r="BO144" s="310">
        <f t="shared" si="310"/>
        <v>34.07549838309356</v>
      </c>
      <c r="BP144" s="256"/>
      <c r="BQ144" s="599"/>
      <c r="BR144" s="320">
        <f>SUM(BR138:BR140)</f>
        <v>0.85284918838970936</v>
      </c>
      <c r="BS144" s="310">
        <f t="shared" si="311"/>
        <v>8.408262250002263</v>
      </c>
      <c r="BT144" s="256"/>
      <c r="BU144" s="256"/>
      <c r="BV144" s="320">
        <f>SUM(BV138:BV140)</f>
        <v>1.1662471941613759</v>
      </c>
      <c r="BW144" s="310">
        <f t="shared" si="312"/>
        <v>36.747177582874045</v>
      </c>
      <c r="BX144" s="256"/>
      <c r="BY144" s="256"/>
      <c r="BZ144" s="320">
        <f>SUM(BZ138:BZ140)</f>
        <v>1.526245986391662</v>
      </c>
      <c r="CA144" s="310">
        <f t="shared" si="313"/>
        <v>30.868137907002957</v>
      </c>
      <c r="CB144" s="256"/>
      <c r="CC144" s="256"/>
      <c r="CD144" s="320">
        <f>SUM(CD138:CD140)</f>
        <v>0.93753759619926358</v>
      </c>
      <c r="CE144" s="310">
        <f t="shared" si="314"/>
        <v>-38.572313731957323</v>
      </c>
      <c r="CF144" s="256"/>
      <c r="CG144" s="256"/>
      <c r="CH144" s="320">
        <f>SUM(CH138:CH140)</f>
        <v>1.4906248606366928</v>
      </c>
      <c r="CI144" s="310">
        <f t="shared" si="321"/>
        <v>58.99360907547824</v>
      </c>
      <c r="CJ144" s="256"/>
      <c r="CK144" s="256"/>
      <c r="CL144" s="320">
        <f>SUM(CL138:CL140)</f>
        <v>2.2169551635823788</v>
      </c>
      <c r="CM144" s="310">
        <f t="shared" si="322"/>
        <v>48.726565759506222</v>
      </c>
      <c r="CN144" s="256"/>
      <c r="CO144" s="256"/>
      <c r="CP144" s="320">
        <f>SUM(CP138:CP140)</f>
        <v>1.849192168800613</v>
      </c>
      <c r="CQ144" s="310">
        <f t="shared" si="323"/>
        <v>-16.588652798349667</v>
      </c>
      <c r="CR144" s="256"/>
      <c r="CS144" s="256"/>
      <c r="CT144" s="320">
        <f>SUM(CT138:CT140)</f>
        <v>2.262154348991122</v>
      </c>
      <c r="CU144" s="310">
        <f t="shared" si="315"/>
        <v>22.332031638353556</v>
      </c>
      <c r="CV144" s="256"/>
      <c r="CW144" s="256"/>
      <c r="CX144" s="320">
        <f>SUM(CX138:CX140)</f>
        <v>2.6865852626644173</v>
      </c>
      <c r="CY144" s="310">
        <f t="shared" si="316"/>
        <v>18.762243781578537</v>
      </c>
      <c r="CZ144" s="256"/>
      <c r="DA144" s="256"/>
      <c r="DB144" s="320">
        <f>SUM(DB138:DB140)</f>
        <v>2.3710710392518828</v>
      </c>
      <c r="DC144" s="310">
        <f t="shared" si="317"/>
        <v>-11.74406142240294</v>
      </c>
      <c r="DD144" s="256"/>
      <c r="DE144" s="256"/>
      <c r="DF144" s="320">
        <f>SUM(DF138:DF140)</f>
        <v>2.2946692415990642</v>
      </c>
      <c r="DG144" s="310">
        <f t="shared" si="318"/>
        <v>-3.2222483589915862</v>
      </c>
      <c r="DH144" s="256"/>
      <c r="DI144" s="256"/>
      <c r="DJ144" s="320">
        <f>SUM(DJ138:DJ140)</f>
        <v>2.4622851789119395</v>
      </c>
      <c r="DK144" s="310">
        <f t="shared" si="319"/>
        <v>7.3045794258378871</v>
      </c>
      <c r="DL144" s="256"/>
      <c r="DM144" s="256"/>
      <c r="DN144" s="320">
        <f>SUM(DN138:DN140)</f>
        <v>2.7060210067172981</v>
      </c>
      <c r="DO144" s="310">
        <f t="shared" si="320"/>
        <v>9.8987651752451722</v>
      </c>
      <c r="DP144" s="256"/>
      <c r="DQ144" s="256"/>
      <c r="DR144" s="256"/>
      <c r="DS144" s="256"/>
      <c r="DT144" s="256"/>
      <c r="DU144" s="256"/>
      <c r="DV144" s="256"/>
      <c r="DW144" s="256"/>
      <c r="DX144" s="256"/>
      <c r="DY144" s="256"/>
      <c r="DZ144" s="256"/>
      <c r="EA144" s="256"/>
    </row>
    <row r="145" spans="1:131" hidden="1" outlineLevel="2" collapsed="1">
      <c r="A145" s="256"/>
      <c r="B145" s="256"/>
      <c r="C145" s="256"/>
      <c r="D145" s="256"/>
      <c r="E145" s="256"/>
      <c r="F145" s="256"/>
      <c r="G145" s="256"/>
      <c r="H145" s="256"/>
      <c r="I145" s="256"/>
      <c r="J145" s="256"/>
      <c r="K145" s="256"/>
      <c r="L145" s="256"/>
      <c r="M145" s="256"/>
      <c r="N145" s="256"/>
      <c r="O145" s="256"/>
      <c r="P145" s="256"/>
      <c r="Q145" s="256"/>
      <c r="R145" s="256"/>
      <c r="S145" s="256"/>
      <c r="T145" s="256"/>
      <c r="U145" s="256"/>
      <c r="V145" s="256"/>
      <c r="W145" s="256"/>
      <c r="X145" s="256"/>
      <c r="Y145" s="256"/>
      <c r="Z145" s="256"/>
      <c r="AA145" s="256"/>
      <c r="AB145" s="256"/>
      <c r="AC145" s="256"/>
      <c r="AD145" s="256"/>
      <c r="AE145" s="256"/>
      <c r="AF145" s="256"/>
      <c r="AG145" s="256"/>
      <c r="AH145" s="256"/>
      <c r="AI145" s="256"/>
      <c r="AJ145" s="256"/>
      <c r="AK145" s="256"/>
      <c r="AL145" s="256"/>
      <c r="AM145" s="256"/>
      <c r="AN145" s="256"/>
      <c r="AO145" s="256"/>
      <c r="AP145" s="256"/>
      <c r="AQ145" s="256"/>
      <c r="AR145" s="256"/>
      <c r="AS145" s="256"/>
      <c r="AT145" s="256"/>
      <c r="AU145" s="256"/>
      <c r="AV145" s="256"/>
      <c r="AW145" s="256"/>
      <c r="AX145" s="256"/>
      <c r="AY145" s="256"/>
      <c r="AZ145" s="256"/>
      <c r="BA145" s="256"/>
      <c r="BB145" s="256"/>
      <c r="BC145" s="256"/>
      <c r="BD145" s="256"/>
      <c r="BE145" s="256"/>
      <c r="BF145" s="256"/>
      <c r="BG145" s="256"/>
      <c r="BH145" s="256"/>
      <c r="BI145" s="256"/>
      <c r="BJ145" s="256"/>
      <c r="BK145" s="256"/>
      <c r="BL145" s="256"/>
      <c r="BM145" s="587"/>
      <c r="BN145" s="256"/>
      <c r="BO145" s="256"/>
      <c r="BP145" s="256"/>
      <c r="BQ145" s="599"/>
      <c r="BR145" s="256"/>
      <c r="BS145" s="256"/>
      <c r="BT145" s="256"/>
      <c r="BU145" s="256"/>
      <c r="BV145" s="1028"/>
      <c r="BW145" s="616"/>
      <c r="BX145" s="256"/>
      <c r="BY145" s="256"/>
      <c r="BZ145" s="256"/>
      <c r="CA145" s="256"/>
      <c r="CB145" s="256"/>
      <c r="CC145" s="256"/>
      <c r="CD145" s="610"/>
      <c r="CE145" s="616"/>
      <c r="CF145" s="256"/>
      <c r="CG145" s="256"/>
      <c r="CH145" s="1028"/>
      <c r="CI145" s="1028"/>
      <c r="CJ145" s="256"/>
      <c r="CK145" s="256"/>
      <c r="CL145" s="1028"/>
      <c r="CM145" s="256"/>
      <c r="CN145" s="256"/>
      <c r="CO145" s="256"/>
      <c r="CP145" s="1017"/>
      <c r="CQ145" s="256"/>
      <c r="CR145" s="256"/>
      <c r="CS145" s="256"/>
      <c r="CT145" s="1028"/>
      <c r="CU145" s="256"/>
      <c r="CV145" s="256"/>
      <c r="CW145" s="256"/>
      <c r="CX145" s="1028"/>
      <c r="CY145" s="256"/>
      <c r="CZ145" s="256"/>
      <c r="DA145" s="256"/>
      <c r="DB145" s="1028"/>
      <c r="DC145" s="310" t="e">
        <f t="shared" si="317"/>
        <v>#DIV/0!</v>
      </c>
      <c r="DD145" s="256"/>
      <c r="DE145" s="256"/>
      <c r="DF145" s="1028"/>
      <c r="DG145" s="310" t="e">
        <f t="shared" si="318"/>
        <v>#DIV/0!</v>
      </c>
      <c r="DH145" s="256"/>
      <c r="DI145" s="256"/>
      <c r="DJ145" s="1028"/>
      <c r="DK145" s="310" t="e">
        <f t="shared" si="319"/>
        <v>#DIV/0!</v>
      </c>
      <c r="DL145" s="256"/>
      <c r="DM145" s="256"/>
      <c r="DN145" s="1028"/>
      <c r="DO145" s="310" t="e">
        <f t="shared" si="320"/>
        <v>#DIV/0!</v>
      </c>
      <c r="DP145" s="256"/>
      <c r="DQ145" s="256"/>
      <c r="DR145" s="256"/>
      <c r="DS145" s="1019"/>
      <c r="DT145" s="256"/>
      <c r="DU145" s="1023"/>
      <c r="DV145" s="256"/>
      <c r="DW145" s="256"/>
      <c r="DX145" s="256"/>
      <c r="DY145" s="1023"/>
      <c r="DZ145" s="256"/>
      <c r="EA145" s="256"/>
    </row>
    <row r="146" spans="1:131" collapsed="1">
      <c r="A146" s="256"/>
      <c r="B146" s="256"/>
      <c r="C146" s="256"/>
      <c r="D146" s="256"/>
      <c r="E146" s="256"/>
      <c r="F146" s="256"/>
      <c r="G146" s="256"/>
      <c r="H146" s="256"/>
      <c r="I146" s="256"/>
      <c r="J146" s="256"/>
      <c r="K146" s="256"/>
      <c r="L146" s="256"/>
      <c r="M146" s="256"/>
      <c r="N146" s="256"/>
      <c r="O146" s="256"/>
      <c r="P146" s="256"/>
      <c r="Q146" s="256"/>
      <c r="R146" s="256"/>
      <c r="S146" s="256"/>
      <c r="T146" s="256"/>
      <c r="U146" s="256"/>
      <c r="V146" s="256"/>
      <c r="W146" s="256"/>
      <c r="X146" s="256"/>
      <c r="Y146" s="256"/>
      <c r="Z146" s="256"/>
      <c r="AA146" s="256"/>
      <c r="AB146" s="256"/>
      <c r="AC146" s="256"/>
      <c r="AD146" s="256"/>
      <c r="AE146" s="256"/>
      <c r="AF146" s="256"/>
      <c r="AG146" s="256"/>
      <c r="AH146" s="256"/>
      <c r="AI146" s="256"/>
      <c r="AJ146" s="256"/>
      <c r="AK146" s="256"/>
      <c r="AL146" s="256"/>
      <c r="AM146" s="256"/>
      <c r="AN146" s="256"/>
      <c r="AO146" s="256"/>
      <c r="AP146" s="256"/>
      <c r="AQ146" s="256"/>
      <c r="AR146" s="256"/>
      <c r="AS146" s="256"/>
      <c r="AT146" s="256"/>
      <c r="AU146" s="256"/>
      <c r="AV146" s="256"/>
      <c r="AW146" s="256"/>
      <c r="AX146" s="256"/>
      <c r="AY146" s="256"/>
      <c r="AZ146" s="256"/>
      <c r="BA146" s="256"/>
      <c r="BB146" s="311"/>
      <c r="BC146" s="312"/>
      <c r="BD146" s="312"/>
      <c r="BE146" s="312"/>
      <c r="BF146" s="312"/>
      <c r="BG146" s="312"/>
      <c r="BH146" s="312"/>
      <c r="BI146" s="312"/>
      <c r="BJ146" s="311" t="s">
        <v>812</v>
      </c>
      <c r="BK146" s="312"/>
      <c r="BL146" s="312"/>
      <c r="BM146" s="588"/>
      <c r="BN146" s="312"/>
      <c r="BO146" s="312"/>
      <c r="BP146" s="312"/>
      <c r="BQ146" s="600"/>
      <c r="BR146" s="312"/>
      <c r="BS146" s="312"/>
      <c r="BT146" s="312"/>
      <c r="BU146" s="312"/>
      <c r="BV146" s="311" t="s">
        <v>812</v>
      </c>
      <c r="BW146" s="312"/>
      <c r="BX146" s="312"/>
      <c r="BY146" s="312"/>
      <c r="BZ146" s="312"/>
      <c r="CA146" s="312"/>
      <c r="CB146" s="312"/>
      <c r="CC146" s="312"/>
      <c r="CE146" s="312"/>
      <c r="CF146" s="312"/>
      <c r="CG146" s="312"/>
      <c r="CH146" s="312"/>
      <c r="CI146" s="312"/>
      <c r="CJ146" s="312"/>
      <c r="CK146" s="312"/>
      <c r="CL146" s="1819"/>
      <c r="CM146" s="312"/>
      <c r="CN146" s="312"/>
      <c r="CO146" s="312"/>
      <c r="CQ146" s="312"/>
      <c r="CR146" s="312"/>
      <c r="CS146" s="256"/>
      <c r="CT146" s="1818"/>
      <c r="CU146" s="312"/>
      <c r="CV146" s="1818"/>
      <c r="CW146" s="256"/>
      <c r="CX146" s="2042"/>
      <c r="CY146" s="312"/>
      <c r="CZ146" s="312"/>
      <c r="DA146" s="256"/>
      <c r="DB146" s="311" t="s">
        <v>3096</v>
      </c>
      <c r="DC146" s="312"/>
      <c r="DD146" s="312"/>
      <c r="DE146" s="256"/>
      <c r="DF146" s="2042"/>
      <c r="DG146" s="312"/>
      <c r="DH146" s="312"/>
      <c r="DI146" s="256"/>
      <c r="DJ146" s="2042"/>
      <c r="DK146" s="312"/>
      <c r="DL146" s="312"/>
      <c r="DM146" s="256"/>
      <c r="DN146" s="2042"/>
      <c r="DO146" s="312"/>
      <c r="DP146" s="312"/>
      <c r="DQ146" s="256"/>
      <c r="DR146" s="610"/>
      <c r="DS146" s="256"/>
      <c r="DT146" s="256"/>
      <c r="DU146" s="256"/>
      <c r="DV146" s="256"/>
      <c r="DW146" s="256"/>
      <c r="DX146" s="256"/>
      <c r="DY146" s="256"/>
      <c r="DZ146" s="256"/>
      <c r="EA146" s="256"/>
    </row>
    <row r="147" spans="1:131">
      <c r="A147" s="256"/>
      <c r="B147" s="256"/>
      <c r="C147" s="256"/>
      <c r="D147" s="256"/>
      <c r="E147" s="256"/>
      <c r="F147" s="256"/>
      <c r="G147" s="256"/>
      <c r="H147" s="256"/>
      <c r="I147" s="256"/>
      <c r="J147" s="256"/>
      <c r="K147" s="256"/>
      <c r="L147" s="256"/>
      <c r="M147" s="256"/>
      <c r="N147" s="256"/>
      <c r="O147" s="256"/>
      <c r="P147" s="256"/>
      <c r="Q147" s="256"/>
      <c r="R147" s="256"/>
      <c r="S147" s="256"/>
      <c r="T147" s="256"/>
      <c r="U147" s="256"/>
      <c r="V147" s="256"/>
      <c r="W147" s="256"/>
      <c r="X147" s="256"/>
      <c r="Y147" s="256"/>
      <c r="Z147" s="256"/>
      <c r="AA147" s="256"/>
      <c r="AB147" s="256"/>
      <c r="AC147" s="256"/>
      <c r="AD147" s="256"/>
      <c r="AE147" s="256"/>
      <c r="AF147" s="256"/>
      <c r="AG147" s="256"/>
      <c r="AH147" s="256"/>
      <c r="AI147" s="256"/>
      <c r="AJ147" s="256"/>
      <c r="AK147" s="256"/>
      <c r="AL147" s="256"/>
      <c r="AM147" s="256"/>
      <c r="AN147" s="256"/>
      <c r="AO147" s="256"/>
      <c r="AP147" s="256"/>
      <c r="AQ147" s="256"/>
      <c r="AR147" s="256"/>
      <c r="AS147" s="256"/>
      <c r="AT147" s="256"/>
      <c r="AU147" s="256"/>
      <c r="AV147" s="256"/>
      <c r="AW147" s="256"/>
      <c r="AX147" s="256"/>
      <c r="AY147" s="256"/>
      <c r="AZ147" s="256"/>
      <c r="BA147" s="256"/>
      <c r="BB147" s="256"/>
      <c r="BC147" s="256"/>
      <c r="BD147" s="256"/>
      <c r="BE147" s="256"/>
      <c r="BF147" s="256"/>
      <c r="BG147" s="256"/>
      <c r="BH147" s="256"/>
      <c r="BI147" s="256"/>
      <c r="BJ147" s="256"/>
      <c r="BK147" s="256"/>
      <c r="BL147" s="256"/>
      <c r="BM147" s="587"/>
      <c r="BN147" s="256"/>
      <c r="BO147" s="256"/>
      <c r="BP147" s="256"/>
      <c r="BQ147" s="599"/>
      <c r="BR147" s="256"/>
      <c r="BS147" s="256"/>
      <c r="BT147" s="256"/>
      <c r="BU147" s="256"/>
      <c r="BV147" s="256"/>
      <c r="BW147" s="256"/>
      <c r="BX147" s="256"/>
      <c r="BY147" s="256"/>
      <c r="BZ147" s="256"/>
      <c r="CA147" s="256"/>
      <c r="CB147" s="256"/>
      <c r="CC147" s="256"/>
      <c r="CD147" s="256"/>
      <c r="CE147" s="256"/>
      <c r="CF147" s="256"/>
      <c r="CG147" s="256"/>
      <c r="CH147" s="256"/>
      <c r="CI147" s="256"/>
      <c r="CJ147" s="256"/>
      <c r="CK147" s="256"/>
      <c r="CL147" s="256"/>
      <c r="CM147" s="256"/>
      <c r="CN147" s="256"/>
      <c r="CO147" s="256"/>
      <c r="CP147" s="256"/>
      <c r="CQ147" s="256"/>
      <c r="CR147" s="256"/>
      <c r="CS147" s="256"/>
      <c r="CT147" s="256"/>
      <c r="CU147" s="256"/>
      <c r="CV147" s="256"/>
      <c r="CW147" s="256"/>
      <c r="CX147" s="256"/>
      <c r="CY147" s="256"/>
      <c r="CZ147" s="256"/>
      <c r="DA147" s="256"/>
      <c r="DB147" s="256"/>
      <c r="DC147" s="256"/>
      <c r="DD147" s="256"/>
      <c r="DE147" s="256"/>
      <c r="DF147" s="256"/>
      <c r="DG147" s="610"/>
      <c r="DH147" s="256"/>
      <c r="DI147" s="256"/>
      <c r="DJ147" s="256"/>
      <c r="DK147" s="610"/>
      <c r="DL147" s="256"/>
      <c r="DM147" s="256"/>
      <c r="DN147" s="256"/>
      <c r="DO147" s="610"/>
      <c r="DP147" s="256"/>
      <c r="DQ147" s="256"/>
      <c r="DR147" s="256"/>
      <c r="DS147" s="256"/>
      <c r="DT147" s="256"/>
      <c r="DU147" s="256"/>
      <c r="DV147" s="256"/>
      <c r="DW147" s="256"/>
      <c r="DX147" s="256"/>
      <c r="DY147" s="256"/>
      <c r="DZ147" s="256"/>
      <c r="EA147" s="256"/>
    </row>
    <row r="148" spans="1:131">
      <c r="A148" s="256" t="str">
        <f>$A$10</f>
        <v>1Q</v>
      </c>
      <c r="B148" s="256" t="str">
        <f>$B$10</f>
        <v>Apr</v>
      </c>
      <c r="C148" s="256"/>
      <c r="D148" s="256"/>
      <c r="E148" s="256"/>
      <c r="F148" s="256"/>
      <c r="G148" s="256"/>
      <c r="H148" s="256"/>
      <c r="I148" s="256"/>
      <c r="J148" s="256"/>
      <c r="K148" s="256"/>
      <c r="L148" s="256"/>
      <c r="M148" s="256"/>
      <c r="N148" s="256"/>
      <c r="O148" s="256"/>
      <c r="P148" s="256"/>
      <c r="Q148" s="256"/>
      <c r="R148" s="256"/>
      <c r="S148" s="256"/>
      <c r="T148" s="256"/>
      <c r="U148" s="256"/>
      <c r="V148" s="256"/>
      <c r="W148" s="256"/>
      <c r="X148" s="256"/>
      <c r="Y148" s="256"/>
      <c r="Z148" s="256"/>
      <c r="AA148" s="256"/>
      <c r="AB148" s="256"/>
      <c r="AC148" s="256"/>
      <c r="AD148" s="256"/>
      <c r="AE148" s="256"/>
      <c r="AF148" s="256"/>
      <c r="AG148" s="256"/>
      <c r="AH148" s="256"/>
      <c r="AI148" s="256"/>
      <c r="AJ148" s="256"/>
      <c r="AK148" s="256"/>
      <c r="AL148" s="256"/>
      <c r="AM148" s="256"/>
      <c r="AN148" s="256"/>
      <c r="AO148" s="256"/>
      <c r="AP148" s="256"/>
      <c r="AQ148" s="256"/>
      <c r="AR148" s="256"/>
      <c r="AS148" s="256"/>
      <c r="AT148" s="256"/>
      <c r="AU148" s="256"/>
      <c r="AV148" s="256"/>
      <c r="AW148" s="256"/>
      <c r="AX148" s="256"/>
      <c r="AY148" s="256"/>
      <c r="AZ148" s="256"/>
      <c r="BA148" s="256"/>
      <c r="BB148" s="256"/>
      <c r="BC148" s="256"/>
      <c r="BD148" s="256"/>
      <c r="BE148" s="256"/>
      <c r="BF148" s="256"/>
      <c r="BG148" s="256"/>
      <c r="BH148" s="256"/>
      <c r="BI148" s="256"/>
      <c r="BJ148" s="256"/>
      <c r="BK148" s="256"/>
      <c r="BL148" s="256"/>
      <c r="BM148" s="587"/>
      <c r="BN148" s="256"/>
      <c r="BO148" s="256"/>
      <c r="BP148" s="256"/>
      <c r="BQ148" s="599"/>
      <c r="BR148" s="305">
        <f>BR108+BR196</f>
        <v>43.140999999999906</v>
      </c>
      <c r="BS148" s="310"/>
      <c r="BT148" s="256"/>
      <c r="BU148" s="256"/>
      <c r="BV148" s="305">
        <f>BV108</f>
        <v>53.827000000000041</v>
      </c>
      <c r="BW148" s="310">
        <f>IF(BR148&lt;0,"       NM",(BV148/BR148-1)*100)</f>
        <v>24.769940427899574</v>
      </c>
      <c r="BX148" s="256"/>
      <c r="BY148" s="256"/>
      <c r="BZ148" s="305">
        <f>BZ108+BZ196</f>
        <v>64.39</v>
      </c>
      <c r="CA148" s="310">
        <f>IF(BV148&lt;0,"       NM",(BZ148/BV148-1)*100)</f>
        <v>19.623980530217079</v>
      </c>
      <c r="CB148" s="256"/>
      <c r="CC148" s="256"/>
      <c r="CD148" s="289">
        <f>CD108+CD196</f>
        <v>24.341000000000012</v>
      </c>
      <c r="CE148" s="310">
        <f>IF(BZ148&lt;0,"       NM",(CD148/BZ148-1)*100)</f>
        <v>-62.197546202826516</v>
      </c>
      <c r="CF148" s="256"/>
      <c r="CG148" s="256"/>
      <c r="CH148" s="305">
        <f>CH108+CH196</f>
        <v>64.424999999999997</v>
      </c>
      <c r="CI148" s="310">
        <f>IF(CD148&lt;0,"       NM",(CH148/CD148-1)*100)</f>
        <v>164.67688262602178</v>
      </c>
      <c r="CJ148" s="609"/>
      <c r="CK148" s="256"/>
      <c r="CL148" s="305">
        <f>CL108+CL196</f>
        <v>81.063000000000073</v>
      </c>
      <c r="CM148" s="310">
        <f>IF(CH148&lt;0,"       NM",(CL148/CH148-1)*100)</f>
        <v>25.825378346915141</v>
      </c>
      <c r="CN148" s="256"/>
      <c r="CO148" s="256"/>
      <c r="CP148" s="305">
        <f>CP108+CP196</f>
        <v>81.533999999999963</v>
      </c>
      <c r="CQ148" s="310">
        <f>IF(CL148&lt;0,"       NM",(CP148/CL148-1)*100)</f>
        <v>0.58102956959389385</v>
      </c>
      <c r="CR148" s="256"/>
      <c r="CS148" s="256"/>
      <c r="CT148" s="305">
        <f>CT108+CT196</f>
        <v>89.827000000000055</v>
      </c>
      <c r="CU148" s="310">
        <f t="shared" ref="CU148:CU154" si="324">IF(CP148&lt;0,"       NM",(CT148/CP148-1)*100)</f>
        <v>10.171216915642667</v>
      </c>
      <c r="CV148" s="256"/>
      <c r="CW148" s="256"/>
      <c r="CX148" s="305">
        <f>CX108+CX196</f>
        <v>125.60899999999994</v>
      </c>
      <c r="CY148" s="310">
        <f t="shared" ref="CY148:CY154" si="325">IF(CT148&lt;0,"       NM",(CX148/CT148-1)*100)</f>
        <v>39.834348247186099</v>
      </c>
      <c r="CZ148" s="256"/>
      <c r="DA148" s="256"/>
      <c r="DB148" s="305">
        <f>DB108+DB196</f>
        <v>104.89999999999999</v>
      </c>
      <c r="DC148" s="310">
        <f t="shared" ref="DC148:DC154" si="326">IF(CX148&lt;0,"       NM",(DB148/CX148-1)*100)</f>
        <v>-16.486875940418244</v>
      </c>
      <c r="DD148" s="256"/>
      <c r="DE148" s="256"/>
      <c r="DF148" s="305">
        <f>DF108+DF196</f>
        <v>87.499999999999915</v>
      </c>
      <c r="DG148" s="310">
        <f t="shared" ref="DG148:DG154" si="327">IF(DB148&lt;0,"       NM",(DF148/DB148-1)*100)</f>
        <v>-16.587225929456693</v>
      </c>
      <c r="DH148" s="256"/>
      <c r="DI148" s="256"/>
      <c r="DJ148" s="305">
        <f>DJ108+DJ196</f>
        <v>92.90000000000002</v>
      </c>
      <c r="DK148" s="310">
        <f t="shared" ref="DK148:DK154" si="328">IF(DF148&lt;0,"       NM",(DJ148/DF148-1)*100)</f>
        <v>6.1714285714286943</v>
      </c>
      <c r="DL148" s="256"/>
      <c r="DM148" s="256"/>
      <c r="DN148" s="305">
        <f>DN108+DN196</f>
        <v>112.74921452023662</v>
      </c>
      <c r="DO148" s="310">
        <f t="shared" ref="DO148:DO154" si="329">IF(DJ148&lt;0,"       NM",(DN148/DJ148-1)*100)</f>
        <v>21.366215845249293</v>
      </c>
      <c r="DP148" s="256"/>
      <c r="DQ148" s="256"/>
      <c r="DR148" s="256"/>
      <c r="DS148" s="256"/>
      <c r="DT148" s="256"/>
      <c r="DU148" s="256"/>
      <c r="DV148" s="256"/>
      <c r="DW148" s="256"/>
      <c r="DX148" s="256"/>
      <c r="DY148" s="256"/>
      <c r="DZ148" s="256"/>
      <c r="EA148" s="256"/>
    </row>
    <row r="149" spans="1:131">
      <c r="A149" s="256" t="str">
        <f>$A$11</f>
        <v>2Q</v>
      </c>
      <c r="B149" s="256" t="str">
        <f>$B$11</f>
        <v>Jul</v>
      </c>
      <c r="C149" s="256"/>
      <c r="D149" s="256"/>
      <c r="E149" s="256"/>
      <c r="F149" s="256"/>
      <c r="G149" s="256"/>
      <c r="H149" s="256"/>
      <c r="I149" s="256"/>
      <c r="J149" s="256"/>
      <c r="K149" s="256"/>
      <c r="L149" s="256"/>
      <c r="M149" s="256"/>
      <c r="N149" s="256"/>
      <c r="O149" s="256"/>
      <c r="P149" s="256"/>
      <c r="Q149" s="256"/>
      <c r="R149" s="256"/>
      <c r="S149" s="256"/>
      <c r="T149" s="256"/>
      <c r="U149" s="256"/>
      <c r="V149" s="256"/>
      <c r="W149" s="256"/>
      <c r="X149" s="256"/>
      <c r="Y149" s="256"/>
      <c r="Z149" s="256"/>
      <c r="AA149" s="256"/>
      <c r="AB149" s="256"/>
      <c r="AC149" s="256"/>
      <c r="AD149" s="256"/>
      <c r="AE149" s="256"/>
      <c r="AF149" s="256"/>
      <c r="AG149" s="256"/>
      <c r="AH149" s="256"/>
      <c r="AI149" s="256"/>
      <c r="AJ149" s="256"/>
      <c r="AK149" s="256"/>
      <c r="AL149" s="256"/>
      <c r="AM149" s="256"/>
      <c r="AN149" s="256"/>
      <c r="AO149" s="256"/>
      <c r="AP149" s="256"/>
      <c r="AQ149" s="256"/>
      <c r="AR149" s="256"/>
      <c r="AS149" s="256"/>
      <c r="AT149" s="256"/>
      <c r="AU149" s="256"/>
      <c r="AV149" s="256"/>
      <c r="AW149" s="256"/>
      <c r="AX149" s="256"/>
      <c r="AY149" s="256"/>
      <c r="AZ149" s="256"/>
      <c r="BA149" s="256"/>
      <c r="BB149" s="256"/>
      <c r="BC149" s="256"/>
      <c r="BD149" s="256"/>
      <c r="BE149" s="256"/>
      <c r="BF149" s="256"/>
      <c r="BG149" s="256"/>
      <c r="BH149" s="256"/>
      <c r="BI149" s="256"/>
      <c r="BJ149" s="256"/>
      <c r="BK149" s="256"/>
      <c r="BL149" s="256"/>
      <c r="BM149" s="587"/>
      <c r="BN149" s="256"/>
      <c r="BO149" s="256"/>
      <c r="BP149" s="256"/>
      <c r="BQ149" s="599"/>
      <c r="BR149" s="289">
        <f>BR109+BR197</f>
        <v>41.144000000000041</v>
      </c>
      <c r="BS149" s="310"/>
      <c r="BT149" s="256"/>
      <c r="BU149" s="256"/>
      <c r="BV149" s="289">
        <f>BV109</f>
        <v>66.708999999999975</v>
      </c>
      <c r="BW149" s="310">
        <f t="shared" ref="BW149:BW154" si="330">IF(BR149&lt;0,"       NM",(BV149/BR149-1)*100)</f>
        <v>62.135426793699942</v>
      </c>
      <c r="BX149" s="256"/>
      <c r="BY149" s="256"/>
      <c r="BZ149" s="289">
        <f>BZ109+BZ197</f>
        <v>80.77000000000001</v>
      </c>
      <c r="CA149" s="310">
        <f t="shared" ref="CA149:CA154" si="331">IF(BV149&lt;0,"       NM",(BZ149/BV149-1)*100)</f>
        <v>21.078115396723152</v>
      </c>
      <c r="CB149" s="256"/>
      <c r="CC149" s="256"/>
      <c r="CD149" s="289">
        <f>CD109+CD197+CD89</f>
        <v>56.776000000000053</v>
      </c>
      <c r="CE149" s="310">
        <f t="shared" ref="CE149:CE154" si="332">IF(BZ149&lt;0,"       NM",(CD149/BZ149-1)*100)</f>
        <v>-29.706574223102578</v>
      </c>
      <c r="CF149" s="256"/>
      <c r="CG149" s="256"/>
      <c r="CH149" s="289">
        <f>CH109+CH197</f>
        <v>67.674999999999997</v>
      </c>
      <c r="CI149" s="310">
        <f t="shared" ref="CI149:CI154" si="333">IF(CD149&lt;0,"       NM",(CH149/CD149-1)*100)</f>
        <v>19.196491475271117</v>
      </c>
      <c r="CJ149" s="616"/>
      <c r="CK149" s="256"/>
      <c r="CL149" s="289">
        <f>CL109+CL197</f>
        <v>90.043000000000035</v>
      </c>
      <c r="CM149" s="310">
        <f t="shared" ref="CM149:CM154" si="334">IF(CH149&lt;0,"       NM",(CL149/CH149-1)*100)</f>
        <v>33.052087181381665</v>
      </c>
      <c r="CN149" s="256"/>
      <c r="CO149" s="256"/>
      <c r="CP149" s="289">
        <f>CP109+CP197</f>
        <v>91.800999999999988</v>
      </c>
      <c r="CQ149" s="310">
        <f t="shared" ref="CQ149:CQ154" si="335">IF(CL149&lt;0,"       NM",(CP149/CL149-1)*100)</f>
        <v>1.9524005197516292</v>
      </c>
      <c r="CR149" s="256"/>
      <c r="CS149" s="256"/>
      <c r="CT149" s="289">
        <f>CT109+CT197</f>
        <v>106.78100000000003</v>
      </c>
      <c r="CU149" s="310">
        <f t="shared" si="324"/>
        <v>16.317905033714286</v>
      </c>
      <c r="CV149" s="256"/>
      <c r="CW149" s="256"/>
      <c r="CX149" s="289">
        <f>CX109+CX197</f>
        <v>124.12</v>
      </c>
      <c r="CY149" s="310">
        <f t="shared" si="325"/>
        <v>16.237907492906011</v>
      </c>
      <c r="CZ149" s="256"/>
      <c r="DA149" s="256"/>
      <c r="DB149" s="289">
        <f>DB109+DB197</f>
        <v>111.20000000000005</v>
      </c>
      <c r="DC149" s="310">
        <f t="shared" si="326"/>
        <v>-10.409281340638055</v>
      </c>
      <c r="DD149" s="256"/>
      <c r="DE149" s="256"/>
      <c r="DF149" s="289">
        <f>DF109+DF197</f>
        <v>105.70000000000003</v>
      </c>
      <c r="DG149" s="310">
        <f t="shared" si="327"/>
        <v>-4.9460431654676391</v>
      </c>
      <c r="DH149" s="256"/>
      <c r="DI149" s="256"/>
      <c r="DJ149" s="289">
        <f>DJ109+DJ197</f>
        <v>115.00000000000006</v>
      </c>
      <c r="DK149" s="310">
        <f t="shared" si="328"/>
        <v>8.7984862819300069</v>
      </c>
      <c r="DL149" s="256"/>
      <c r="DM149" s="256"/>
      <c r="DN149" s="289">
        <f>DN109+DN197</f>
        <v>121.27014341930214</v>
      </c>
      <c r="DO149" s="310">
        <f t="shared" si="329"/>
        <v>5.4522986254800676</v>
      </c>
      <c r="DP149" s="256"/>
      <c r="DQ149" s="256"/>
      <c r="DR149" s="256"/>
      <c r="DS149" s="256"/>
      <c r="DT149" s="256"/>
      <c r="DU149" s="256"/>
      <c r="DV149" s="256"/>
      <c r="DW149" s="256"/>
      <c r="DX149" s="256"/>
      <c r="DY149" s="256"/>
      <c r="DZ149" s="256"/>
      <c r="EA149" s="256"/>
    </row>
    <row r="150" spans="1:131">
      <c r="A150" s="256" t="str">
        <f>$A$12</f>
        <v>3Q</v>
      </c>
      <c r="B150" s="256" t="str">
        <f>$B$12</f>
        <v>Oct</v>
      </c>
      <c r="C150" s="256"/>
      <c r="D150" s="256"/>
      <c r="E150" s="256"/>
      <c r="F150" s="256"/>
      <c r="G150" s="256"/>
      <c r="H150" s="256"/>
      <c r="I150" s="256"/>
      <c r="J150" s="256"/>
      <c r="K150" s="256"/>
      <c r="L150" s="256"/>
      <c r="M150" s="256"/>
      <c r="N150" s="256"/>
      <c r="O150" s="256"/>
      <c r="P150" s="256"/>
      <c r="Q150" s="256"/>
      <c r="R150" s="256"/>
      <c r="S150" s="256"/>
      <c r="T150" s="256"/>
      <c r="U150" s="256"/>
      <c r="V150" s="256"/>
      <c r="W150" s="256"/>
      <c r="X150" s="256"/>
      <c r="Y150" s="256"/>
      <c r="Z150" s="256"/>
      <c r="AA150" s="256"/>
      <c r="AB150" s="256"/>
      <c r="AC150" s="256"/>
      <c r="AD150" s="256"/>
      <c r="AE150" s="256"/>
      <c r="AF150" s="256"/>
      <c r="AG150" s="256"/>
      <c r="AH150" s="256"/>
      <c r="AI150" s="256"/>
      <c r="AJ150" s="256"/>
      <c r="AK150" s="256"/>
      <c r="AL150" s="256"/>
      <c r="AM150" s="256"/>
      <c r="AN150" s="256"/>
      <c r="AO150" s="256"/>
      <c r="AP150" s="256"/>
      <c r="AQ150" s="256"/>
      <c r="AR150" s="256"/>
      <c r="AS150" s="256"/>
      <c r="AT150" s="256"/>
      <c r="AU150" s="256"/>
      <c r="AV150" s="256"/>
      <c r="AW150" s="256"/>
      <c r="AX150" s="256"/>
      <c r="AY150" s="256"/>
      <c r="AZ150" s="256"/>
      <c r="BA150" s="256"/>
      <c r="BB150" s="256"/>
      <c r="BC150" s="256"/>
      <c r="BD150" s="256"/>
      <c r="BE150" s="256"/>
      <c r="BF150" s="256"/>
      <c r="BG150" s="256"/>
      <c r="BH150" s="256"/>
      <c r="BI150" s="256"/>
      <c r="BJ150" s="256"/>
      <c r="BK150" s="256"/>
      <c r="BL150" s="256"/>
      <c r="BM150" s="587"/>
      <c r="BN150" s="256"/>
      <c r="BO150" s="256"/>
      <c r="BP150" s="256"/>
      <c r="BQ150" s="599"/>
      <c r="BR150" s="289">
        <f>BR110+BR198</f>
        <v>29.141999999999943</v>
      </c>
      <c r="BS150" s="310"/>
      <c r="BT150" s="256"/>
      <c r="BU150" s="256"/>
      <c r="BV150" s="289">
        <f>(BV80+BV90)-52.787</f>
        <v>103.10199999999995</v>
      </c>
      <c r="BW150" s="310">
        <f t="shared" si="330"/>
        <v>253.79177818955512</v>
      </c>
      <c r="BX150" s="256"/>
      <c r="BY150" s="256"/>
      <c r="BZ150" s="289">
        <f>BZ110+BZ198</f>
        <v>43.777000000000044</v>
      </c>
      <c r="CA150" s="310">
        <f t="shared" si="331"/>
        <v>-57.540105914531182</v>
      </c>
      <c r="CB150" s="256"/>
      <c r="CC150" s="256"/>
      <c r="CD150" s="289">
        <f>CD110+CD90</f>
        <v>43.338999999999999</v>
      </c>
      <c r="CE150" s="310">
        <f t="shared" si="332"/>
        <v>-1.0005253900451039</v>
      </c>
      <c r="CF150" s="256"/>
      <c r="CG150" s="256"/>
      <c r="CH150" s="289">
        <f>CH110+CH198</f>
        <v>55.079000000000008</v>
      </c>
      <c r="CI150" s="310">
        <f t="shared" si="333"/>
        <v>27.088765315304954</v>
      </c>
      <c r="CJ150" s="289"/>
      <c r="CK150" s="256"/>
      <c r="CL150" s="289">
        <f>CL110+CL198</f>
        <v>89.689000000000021</v>
      </c>
      <c r="CM150" s="310">
        <f t="shared" si="334"/>
        <v>62.837015922583952</v>
      </c>
      <c r="CN150" s="256"/>
      <c r="CO150" s="256"/>
      <c r="CP150" s="289">
        <f>CP110+CP198</f>
        <v>63.178999999999959</v>
      </c>
      <c r="CQ150" s="310">
        <f t="shared" si="335"/>
        <v>-29.557693808605357</v>
      </c>
      <c r="CR150" s="256"/>
      <c r="CS150" s="256"/>
      <c r="CT150" s="289">
        <f>CT110+CT198</f>
        <v>94.61</v>
      </c>
      <c r="CU150" s="310">
        <f t="shared" si="324"/>
        <v>49.749125500561988</v>
      </c>
      <c r="CV150" s="256"/>
      <c r="CW150" s="256"/>
      <c r="CX150" s="289">
        <f>CX110+CX198-CX90</f>
        <v>38.2680000000001</v>
      </c>
      <c r="CY150" s="310">
        <f t="shared" si="325"/>
        <v>-59.551844413909627</v>
      </c>
      <c r="CZ150" s="256"/>
      <c r="DA150" s="256"/>
      <c r="DB150" s="289">
        <f>DB110+DB198-DB90</f>
        <v>90.999999999999986</v>
      </c>
      <c r="DC150" s="310">
        <f t="shared" si="326"/>
        <v>137.79659245322398</v>
      </c>
      <c r="DD150" s="256"/>
      <c r="DE150" s="256"/>
      <c r="DF150" s="289">
        <f>DF110+DF198-DF90</f>
        <v>95.1</v>
      </c>
      <c r="DG150" s="310">
        <f t="shared" si="327"/>
        <v>4.5054945054945117</v>
      </c>
      <c r="DH150" s="256"/>
      <c r="DI150" s="256"/>
      <c r="DJ150" s="289">
        <f>DJ110+DJ198-DJ90</f>
        <v>100.20000000000006</v>
      </c>
      <c r="DK150" s="310">
        <f t="shared" si="328"/>
        <v>5.3627760252366707</v>
      </c>
      <c r="DL150" s="256"/>
      <c r="DM150" s="256"/>
      <c r="DN150" s="289">
        <f>DN110+DN198-DN90</f>
        <v>102.62912333473687</v>
      </c>
      <c r="DO150" s="310">
        <f t="shared" si="329"/>
        <v>2.4242747851664914</v>
      </c>
      <c r="DP150" s="256"/>
      <c r="DQ150" s="256"/>
      <c r="DR150" s="256"/>
      <c r="DS150" s="256"/>
      <c r="DT150" s="256"/>
      <c r="DU150" s="256"/>
      <c r="DV150" s="256"/>
      <c r="DW150" s="256"/>
      <c r="DX150" s="256"/>
      <c r="DY150" s="256"/>
      <c r="DZ150" s="256"/>
      <c r="EA150" s="256"/>
    </row>
    <row r="151" spans="1:131">
      <c r="A151" s="256" t="str">
        <f>$A$13</f>
        <v>4Q</v>
      </c>
      <c r="B151" s="256" t="str">
        <f>$B$13</f>
        <v>Jan</v>
      </c>
      <c r="C151" s="256"/>
      <c r="D151" s="256"/>
      <c r="E151" s="256"/>
      <c r="F151" s="256"/>
      <c r="G151" s="256"/>
      <c r="H151" s="256"/>
      <c r="I151" s="256"/>
      <c r="J151" s="256"/>
      <c r="K151" s="256"/>
      <c r="L151" s="256"/>
      <c r="M151" s="256"/>
      <c r="N151" s="256"/>
      <c r="O151" s="256"/>
      <c r="P151" s="256"/>
      <c r="Q151" s="256"/>
      <c r="R151" s="256"/>
      <c r="S151" s="256"/>
      <c r="T151" s="256"/>
      <c r="U151" s="256"/>
      <c r="V151" s="256"/>
      <c r="W151" s="256"/>
      <c r="X151" s="256"/>
      <c r="Y151" s="256"/>
      <c r="Z151" s="256"/>
      <c r="AA151" s="256"/>
      <c r="AB151" s="256"/>
      <c r="AC151" s="256"/>
      <c r="AD151" s="256"/>
      <c r="AE151" s="256"/>
      <c r="AF151" s="256"/>
      <c r="AG151" s="256"/>
      <c r="AH151" s="256"/>
      <c r="AI151" s="256"/>
      <c r="AJ151" s="256"/>
      <c r="AK151" s="256"/>
      <c r="AL151" s="256"/>
      <c r="AM151" s="256"/>
      <c r="AN151" s="256"/>
      <c r="AO151" s="256"/>
      <c r="AP151" s="256"/>
      <c r="AQ151" s="256"/>
      <c r="AR151" s="256"/>
      <c r="AS151" s="256"/>
      <c r="AT151" s="256"/>
      <c r="AU151" s="256"/>
      <c r="AV151" s="256"/>
      <c r="AW151" s="256"/>
      <c r="AX151" s="256"/>
      <c r="AY151" s="256"/>
      <c r="AZ151" s="256"/>
      <c r="BA151" s="256"/>
      <c r="BB151" s="256"/>
      <c r="BC151" s="256"/>
      <c r="BD151" s="256"/>
      <c r="BE151" s="256"/>
      <c r="BF151" s="256"/>
      <c r="BG151" s="256"/>
      <c r="BH151" s="256"/>
      <c r="BI151" s="256"/>
      <c r="BJ151" s="256"/>
      <c r="BK151" s="256"/>
      <c r="BL151" s="256"/>
      <c r="BM151" s="587"/>
      <c r="BN151" s="256"/>
      <c r="BO151" s="256"/>
      <c r="BP151" s="256"/>
      <c r="BQ151" s="599"/>
      <c r="BR151" s="313">
        <f>BR111+BR199</f>
        <v>147.87099999999992</v>
      </c>
      <c r="BS151" s="310"/>
      <c r="BT151" s="256"/>
      <c r="BU151" s="256"/>
      <c r="BV151" s="313">
        <f>BV81+BV91-71.048</f>
        <v>127.38699999999986</v>
      </c>
      <c r="BW151" s="310">
        <f t="shared" si="330"/>
        <v>-13.852614779098049</v>
      </c>
      <c r="BX151" s="256"/>
      <c r="BY151" s="256"/>
      <c r="BZ151" s="313">
        <f>BZ81+BZ91+BZ199-25.122</f>
        <v>31.084999999999972</v>
      </c>
      <c r="CA151" s="310">
        <f t="shared" si="331"/>
        <v>-75.597980955670508</v>
      </c>
      <c r="CB151" s="256"/>
      <c r="CC151" s="256"/>
      <c r="CD151" s="313">
        <f>CD111+CD199</f>
        <v>140.36700000000002</v>
      </c>
      <c r="CE151" s="310">
        <f t="shared" si="332"/>
        <v>351.55862956409891</v>
      </c>
      <c r="CF151" s="256"/>
      <c r="CG151" s="256"/>
      <c r="CH151" s="313">
        <f>CH111+CH199</f>
        <v>181.22399999999999</v>
      </c>
      <c r="CI151" s="310">
        <f t="shared" si="333"/>
        <v>29.107268802496279</v>
      </c>
      <c r="CJ151" s="289"/>
      <c r="CK151" s="256"/>
      <c r="CL151" s="313">
        <f>CL111+CL199</f>
        <v>178.3950000000001</v>
      </c>
      <c r="CM151" s="310">
        <f t="shared" si="334"/>
        <v>-1.561051516355394</v>
      </c>
      <c r="CN151" s="256"/>
      <c r="CO151" s="256"/>
      <c r="CP151" s="313">
        <f>CP111+CP199</f>
        <v>179.64300000000006</v>
      </c>
      <c r="CQ151" s="310">
        <f t="shared" si="335"/>
        <v>0.69957117632217791</v>
      </c>
      <c r="CR151" s="256"/>
      <c r="CS151" s="256"/>
      <c r="CT151" s="313">
        <f>CT51-480.211-8.135+71.869</f>
        <v>-103.59899999999985</v>
      </c>
      <c r="CU151" s="310">
        <f t="shared" si="324"/>
        <v>-157.66937759890439</v>
      </c>
      <c r="CV151" s="256"/>
      <c r="CW151" s="256"/>
      <c r="CX151" s="313">
        <f>CX111+CX199</f>
        <v>196.18200000000004</v>
      </c>
      <c r="CY151" s="310" t="str">
        <f t="shared" si="325"/>
        <v xml:space="preserve">       NM</v>
      </c>
      <c r="CZ151" s="256"/>
      <c r="DA151" s="256"/>
      <c r="DB151" s="313">
        <f>DB111+DB199</f>
        <v>187.34299999999999</v>
      </c>
      <c r="DC151" s="310">
        <f t="shared" si="326"/>
        <v>-4.505510189517925</v>
      </c>
      <c r="DD151" s="256"/>
      <c r="DE151" s="256"/>
      <c r="DF151" s="313">
        <f>DF111+DF199</f>
        <v>181.7999999999999</v>
      </c>
      <c r="DG151" s="310">
        <f t="shared" si="327"/>
        <v>-2.9587441217446608</v>
      </c>
      <c r="DH151" s="256"/>
      <c r="DI151" s="256"/>
      <c r="DJ151" s="313">
        <f>DJ111+DJ199</f>
        <v>208.09999999999991</v>
      </c>
      <c r="DK151" s="310">
        <f t="shared" si="328"/>
        <v>14.466446644664476</v>
      </c>
      <c r="DL151" s="256"/>
      <c r="DM151" s="256"/>
      <c r="DN151" s="313">
        <f>DN111+DN199</f>
        <v>210.01927571158581</v>
      </c>
      <c r="DO151" s="310">
        <f t="shared" si="329"/>
        <v>0.92228530109845774</v>
      </c>
      <c r="DP151" s="256"/>
      <c r="DQ151" s="256"/>
      <c r="DR151" s="256"/>
      <c r="DS151" s="256"/>
      <c r="DT151" s="256"/>
      <c r="DU151" s="256"/>
      <c r="DV151" s="256"/>
      <c r="DW151" s="256"/>
      <c r="DX151" s="256"/>
      <c r="DY151" s="256"/>
      <c r="DZ151" s="256"/>
      <c r="EA151" s="256"/>
    </row>
    <row r="152" spans="1:131">
      <c r="A152" s="256"/>
      <c r="B152" s="256" t="str">
        <f>$B$14</f>
        <v>Year</v>
      </c>
      <c r="C152" s="256"/>
      <c r="D152" s="256"/>
      <c r="E152" s="256"/>
      <c r="F152" s="256"/>
      <c r="G152" s="256"/>
      <c r="H152" s="256"/>
      <c r="I152" s="256"/>
      <c r="J152" s="256"/>
      <c r="K152" s="256"/>
      <c r="L152" s="256"/>
      <c r="M152" s="256"/>
      <c r="N152" s="256"/>
      <c r="O152" s="256"/>
      <c r="P152" s="256"/>
      <c r="Q152" s="256"/>
      <c r="R152" s="256"/>
      <c r="S152" s="256"/>
      <c r="T152" s="256"/>
      <c r="U152" s="256"/>
      <c r="V152" s="256"/>
      <c r="W152" s="256"/>
      <c r="X152" s="256"/>
      <c r="Y152" s="256"/>
      <c r="Z152" s="256"/>
      <c r="AA152" s="256"/>
      <c r="AB152" s="256"/>
      <c r="AC152" s="256"/>
      <c r="AD152" s="256"/>
      <c r="AE152" s="256"/>
      <c r="AF152" s="256"/>
      <c r="AG152" s="256"/>
      <c r="AH152" s="256"/>
      <c r="AI152" s="256"/>
      <c r="AJ152" s="256"/>
      <c r="AK152" s="256"/>
      <c r="AL152" s="256"/>
      <c r="AM152" s="256"/>
      <c r="AN152" s="256"/>
      <c r="AO152" s="256"/>
      <c r="AP152" s="256"/>
      <c r="AQ152" s="256"/>
      <c r="AR152" s="256"/>
      <c r="AS152" s="256"/>
      <c r="AT152" s="256"/>
      <c r="AU152" s="256"/>
      <c r="AV152" s="256"/>
      <c r="AW152" s="256"/>
      <c r="AX152" s="256"/>
      <c r="AY152" s="256"/>
      <c r="AZ152" s="256"/>
      <c r="BA152" s="256"/>
      <c r="BB152" s="256"/>
      <c r="BC152" s="256"/>
      <c r="BD152" s="256"/>
      <c r="BE152" s="256"/>
      <c r="BF152" s="256"/>
      <c r="BG152" s="256"/>
      <c r="BH152" s="256"/>
      <c r="BI152" s="256"/>
      <c r="BJ152" s="256"/>
      <c r="BK152" s="256"/>
      <c r="BL152" s="256"/>
      <c r="BM152" s="587"/>
      <c r="BN152" s="256"/>
      <c r="BO152" s="256"/>
      <c r="BP152" s="256"/>
      <c r="BQ152" s="599"/>
      <c r="BR152" s="305">
        <f>SUM(BR148:BR151)</f>
        <v>261.29799999999977</v>
      </c>
      <c r="BS152" s="310"/>
      <c r="BT152" s="256"/>
      <c r="BU152" s="256"/>
      <c r="BV152" s="305">
        <f>SUM(BV148:BV151)</f>
        <v>351.02499999999986</v>
      </c>
      <c r="BW152" s="310">
        <f t="shared" si="330"/>
        <v>34.338953991228458</v>
      </c>
      <c r="BX152" s="256"/>
      <c r="BY152" s="256"/>
      <c r="BZ152" s="305">
        <f>SUM(BZ148:BZ151)</f>
        <v>220.02200000000005</v>
      </c>
      <c r="CA152" s="310">
        <f t="shared" si="331"/>
        <v>-37.320133893597287</v>
      </c>
      <c r="CB152" s="256"/>
      <c r="CC152" s="256"/>
      <c r="CD152" s="289">
        <f>SUM(CD148:CD151)</f>
        <v>264.82300000000009</v>
      </c>
      <c r="CE152" s="310">
        <f t="shared" si="332"/>
        <v>20.362054703620558</v>
      </c>
      <c r="CF152" s="256"/>
      <c r="CG152" s="256"/>
      <c r="CH152" s="305">
        <f>SUM(CH148:CH151)</f>
        <v>368.40300000000002</v>
      </c>
      <c r="CI152" s="310">
        <f t="shared" si="333"/>
        <v>39.112916929420734</v>
      </c>
      <c r="CJ152" s="256"/>
      <c r="CK152" s="256"/>
      <c r="CL152" s="305">
        <f>SUM(CL148:CL151)</f>
        <v>439.19000000000023</v>
      </c>
      <c r="CM152" s="310">
        <f t="shared" si="334"/>
        <v>19.214555798948485</v>
      </c>
      <c r="CN152" s="256"/>
      <c r="CO152" s="256"/>
      <c r="CP152" s="305">
        <f>SUM(CP148:CP151)</f>
        <v>416.15699999999993</v>
      </c>
      <c r="CQ152" s="310">
        <f t="shared" si="335"/>
        <v>-5.2444272410574699</v>
      </c>
      <c r="CR152" s="256"/>
      <c r="CS152" s="256"/>
      <c r="CT152" s="305">
        <f>SUM(CT148:CT151)</f>
        <v>187.61900000000023</v>
      </c>
      <c r="CU152" s="310">
        <f t="shared" si="324"/>
        <v>-54.916293610344113</v>
      </c>
      <c r="CV152" s="256"/>
      <c r="CW152" s="256"/>
      <c r="CX152" s="305">
        <f>SUM(CX148:CX151)</f>
        <v>484.17900000000009</v>
      </c>
      <c r="CY152" s="310">
        <f t="shared" si="325"/>
        <v>158.06501473731313</v>
      </c>
      <c r="CZ152" s="256"/>
      <c r="DA152" s="256"/>
      <c r="DB152" s="305">
        <f>SUM(DB148:DB151)</f>
        <v>494.44299999999998</v>
      </c>
      <c r="DC152" s="310">
        <f t="shared" si="326"/>
        <v>2.1198771528711191</v>
      </c>
      <c r="DD152" s="256"/>
      <c r="DE152" s="256"/>
      <c r="DF152" s="305">
        <f>SUM(DF148:DF151)</f>
        <v>470.09999999999985</v>
      </c>
      <c r="DG152" s="310">
        <f t="shared" si="327"/>
        <v>-4.9233177535125687</v>
      </c>
      <c r="DH152" s="256"/>
      <c r="DI152" s="256"/>
      <c r="DJ152" s="305">
        <f>SUM(DJ148:DJ151)</f>
        <v>516.20000000000005</v>
      </c>
      <c r="DK152" s="310">
        <f t="shared" si="328"/>
        <v>9.8064241650713146</v>
      </c>
      <c r="DL152" s="256"/>
      <c r="DM152" s="256"/>
      <c r="DN152" s="305">
        <f>SUM(DN148:DN151)</f>
        <v>546.66775698586139</v>
      </c>
      <c r="DO152" s="310">
        <f t="shared" si="329"/>
        <v>5.9023163475128593</v>
      </c>
      <c r="DP152" s="256"/>
      <c r="DQ152" s="256"/>
      <c r="DR152" s="256"/>
      <c r="DS152" s="256"/>
      <c r="DT152" s="256"/>
      <c r="DU152" s="256"/>
      <c r="DV152" s="256"/>
      <c r="DW152" s="256"/>
      <c r="DX152" s="256"/>
      <c r="DY152" s="256"/>
      <c r="DZ152" s="256"/>
      <c r="EA152" s="256"/>
    </row>
    <row r="153" spans="1:131" hidden="1" outlineLevel="1">
      <c r="A153" s="256" t="str">
        <f>$A$15</f>
        <v>6 Mos</v>
      </c>
      <c r="B153" s="256"/>
      <c r="C153" s="256"/>
      <c r="D153" s="256"/>
      <c r="E153" s="256"/>
      <c r="F153" s="256"/>
      <c r="G153" s="256"/>
      <c r="H153" s="256"/>
      <c r="I153" s="256"/>
      <c r="J153" s="256"/>
      <c r="K153" s="256"/>
      <c r="L153" s="256"/>
      <c r="M153" s="256"/>
      <c r="N153" s="256"/>
      <c r="O153" s="256"/>
      <c r="P153" s="256"/>
      <c r="Q153" s="256"/>
      <c r="R153" s="256"/>
      <c r="S153" s="256"/>
      <c r="T153" s="256"/>
      <c r="U153" s="256"/>
      <c r="V153" s="256"/>
      <c r="W153" s="256"/>
      <c r="X153" s="256"/>
      <c r="Y153" s="256"/>
      <c r="Z153" s="256"/>
      <c r="AA153" s="256"/>
      <c r="AB153" s="256"/>
      <c r="AC153" s="256"/>
      <c r="AD153" s="256"/>
      <c r="AE153" s="256"/>
      <c r="AF153" s="256"/>
      <c r="AG153" s="256"/>
      <c r="AH153" s="256"/>
      <c r="AI153" s="256"/>
      <c r="AJ153" s="256"/>
      <c r="AK153" s="256"/>
      <c r="AL153" s="256"/>
      <c r="AM153" s="256"/>
      <c r="AN153" s="256"/>
      <c r="AO153" s="256"/>
      <c r="AP153" s="256"/>
      <c r="AQ153" s="256"/>
      <c r="AR153" s="256"/>
      <c r="AS153" s="256"/>
      <c r="AT153" s="256"/>
      <c r="AU153" s="256"/>
      <c r="AV153" s="256"/>
      <c r="AW153" s="256"/>
      <c r="AX153" s="256"/>
      <c r="AY153" s="256"/>
      <c r="AZ153" s="256"/>
      <c r="BA153" s="256"/>
      <c r="BB153" s="256"/>
      <c r="BC153" s="256"/>
      <c r="BD153" s="256"/>
      <c r="BE153" s="256"/>
      <c r="BF153" s="256"/>
      <c r="BG153" s="256"/>
      <c r="BH153" s="256"/>
      <c r="BI153" s="256"/>
      <c r="BJ153" s="256"/>
      <c r="BK153" s="256"/>
      <c r="BL153" s="256"/>
      <c r="BM153" s="587"/>
      <c r="BN153" s="256"/>
      <c r="BO153" s="256"/>
      <c r="BP153" s="256"/>
      <c r="BQ153" s="599"/>
      <c r="BR153" s="289">
        <f>SUM(BR148:BR149)</f>
        <v>84.28499999999994</v>
      </c>
      <c r="BS153" s="310"/>
      <c r="BT153" s="256"/>
      <c r="BU153" s="256"/>
      <c r="BV153" s="289">
        <f>SUM(BV148:BV149)</f>
        <v>120.53600000000002</v>
      </c>
      <c r="BW153" s="310">
        <f t="shared" si="330"/>
        <v>43.010025508690866</v>
      </c>
      <c r="BX153" s="256"/>
      <c r="BY153" s="256"/>
      <c r="BZ153" s="289">
        <f>SUM(BZ148:BZ149)</f>
        <v>145.16000000000003</v>
      </c>
      <c r="CA153" s="310">
        <f t="shared" si="331"/>
        <v>20.428751576292559</v>
      </c>
      <c r="CB153" s="256"/>
      <c r="CC153" s="256"/>
      <c r="CD153" s="289">
        <f>SUM(CD148:CD149)</f>
        <v>81.117000000000061</v>
      </c>
      <c r="CE153" s="310">
        <f t="shared" si="332"/>
        <v>-44.118903279140234</v>
      </c>
      <c r="CF153" s="256"/>
      <c r="CG153" s="256"/>
      <c r="CH153" s="289">
        <f>SUM(CH148:CH149)</f>
        <v>132.1</v>
      </c>
      <c r="CI153" s="310">
        <f t="shared" si="333"/>
        <v>62.851190256049769</v>
      </c>
      <c r="CJ153" s="256"/>
      <c r="CK153" s="256"/>
      <c r="CL153" s="289">
        <f>SUM(CL148:CL149)</f>
        <v>171.10600000000011</v>
      </c>
      <c r="CM153" s="310">
        <f t="shared" si="334"/>
        <v>29.527630582891828</v>
      </c>
      <c r="CN153" s="256"/>
      <c r="CO153" s="256"/>
      <c r="CP153" s="289">
        <f>SUM(CP148:CP149)</f>
        <v>173.33499999999995</v>
      </c>
      <c r="CQ153" s="310">
        <f t="shared" si="335"/>
        <v>1.3027012495177459</v>
      </c>
      <c r="CR153" s="256"/>
      <c r="CS153" s="256"/>
      <c r="CT153" s="289">
        <f>SUM(CT148:CT149)</f>
        <v>196.60800000000009</v>
      </c>
      <c r="CU153" s="310">
        <f t="shared" si="324"/>
        <v>13.426601667291749</v>
      </c>
      <c r="CV153" s="256"/>
      <c r="CW153" s="256"/>
      <c r="CX153" s="289">
        <f>SUM(CX148:CX149)</f>
        <v>249.72899999999993</v>
      </c>
      <c r="CY153" s="310">
        <f t="shared" si="325"/>
        <v>27.018737792968661</v>
      </c>
      <c r="CZ153" s="256"/>
      <c r="DA153" s="256"/>
      <c r="DB153" s="289">
        <f>SUM(DB148:DB149)</f>
        <v>216.10000000000002</v>
      </c>
      <c r="DC153" s="310">
        <f t="shared" si="326"/>
        <v>-13.466197357935972</v>
      </c>
      <c r="DD153" s="256"/>
      <c r="DE153" s="256"/>
      <c r="DF153" s="289">
        <f>SUM(DF148:DF149)</f>
        <v>193.19999999999993</v>
      </c>
      <c r="DG153" s="310">
        <f t="shared" si="327"/>
        <v>-10.596945858398932</v>
      </c>
      <c r="DH153" s="256"/>
      <c r="DI153" s="256"/>
      <c r="DJ153" s="289">
        <f>SUM(DJ148:DJ149)</f>
        <v>207.90000000000009</v>
      </c>
      <c r="DK153" s="310">
        <f t="shared" si="328"/>
        <v>7.6086956521739912</v>
      </c>
      <c r="DL153" s="256"/>
      <c r="DM153" s="256"/>
      <c r="DN153" s="289">
        <f>SUM(DN148:DN149)</f>
        <v>234.01935793953876</v>
      </c>
      <c r="DO153" s="310">
        <f t="shared" si="329"/>
        <v>12.563423732341828</v>
      </c>
      <c r="DP153" s="256"/>
      <c r="DQ153" s="256"/>
      <c r="DR153" s="256"/>
      <c r="DS153" s="256"/>
      <c r="DT153" s="256"/>
      <c r="DU153" s="256"/>
      <c r="DV153" s="256"/>
      <c r="DW153" s="256"/>
      <c r="DX153" s="256"/>
      <c r="DY153" s="256"/>
      <c r="DZ153" s="256"/>
      <c r="EA153" s="256"/>
    </row>
    <row r="154" spans="1:131" hidden="1" outlineLevel="1">
      <c r="A154" s="256" t="str">
        <f>$A$16</f>
        <v>9 Mos</v>
      </c>
      <c r="B154" s="256"/>
      <c r="C154" s="256"/>
      <c r="D154" s="256"/>
      <c r="E154" s="256"/>
      <c r="F154" s="256"/>
      <c r="G154" s="256"/>
      <c r="H154" s="256"/>
      <c r="I154" s="256"/>
      <c r="J154" s="256"/>
      <c r="K154" s="256"/>
      <c r="L154" s="256"/>
      <c r="M154" s="256"/>
      <c r="N154" s="256"/>
      <c r="O154" s="256"/>
      <c r="P154" s="256"/>
      <c r="Q154" s="256"/>
      <c r="R154" s="256"/>
      <c r="S154" s="256"/>
      <c r="T154" s="256"/>
      <c r="U154" s="256"/>
      <c r="V154" s="256"/>
      <c r="W154" s="256"/>
      <c r="X154" s="256"/>
      <c r="Y154" s="256"/>
      <c r="Z154" s="256"/>
      <c r="AA154" s="256"/>
      <c r="AB154" s="256"/>
      <c r="AC154" s="256"/>
      <c r="AD154" s="256"/>
      <c r="AE154" s="256"/>
      <c r="AF154" s="256"/>
      <c r="AG154" s="256"/>
      <c r="AH154" s="256"/>
      <c r="AI154" s="256"/>
      <c r="AJ154" s="256"/>
      <c r="AK154" s="256"/>
      <c r="AL154" s="256"/>
      <c r="AM154" s="256"/>
      <c r="AN154" s="256"/>
      <c r="AO154" s="256"/>
      <c r="AP154" s="256"/>
      <c r="AQ154" s="256"/>
      <c r="AR154" s="256"/>
      <c r="AS154" s="256"/>
      <c r="AT154" s="256"/>
      <c r="AU154" s="256"/>
      <c r="AV154" s="256"/>
      <c r="AW154" s="256"/>
      <c r="AX154" s="256"/>
      <c r="AY154" s="256"/>
      <c r="AZ154" s="256"/>
      <c r="BA154" s="256"/>
      <c r="BB154" s="256"/>
      <c r="BC154" s="256"/>
      <c r="BD154" s="256"/>
      <c r="BE154" s="256"/>
      <c r="BF154" s="256"/>
      <c r="BG154" s="256"/>
      <c r="BH154" s="256"/>
      <c r="BI154" s="256"/>
      <c r="BJ154" s="256"/>
      <c r="BK154" s="256"/>
      <c r="BL154" s="256"/>
      <c r="BM154" s="587"/>
      <c r="BN154" s="256"/>
      <c r="BO154" s="256"/>
      <c r="BP154" s="256"/>
      <c r="BQ154" s="599"/>
      <c r="BR154" s="289">
        <f>SUM(BR148:BR150)</f>
        <v>113.42699999999988</v>
      </c>
      <c r="BS154" s="310"/>
      <c r="BT154" s="256"/>
      <c r="BU154" s="256"/>
      <c r="BV154" s="289">
        <f>SUM(BV148:BV150)</f>
        <v>223.63799999999998</v>
      </c>
      <c r="BW154" s="310">
        <f t="shared" si="330"/>
        <v>97.164696236346032</v>
      </c>
      <c r="BX154" s="256"/>
      <c r="BY154" s="256"/>
      <c r="BZ154" s="289">
        <f>SUM(BZ148:BZ150)</f>
        <v>188.93700000000007</v>
      </c>
      <c r="CA154" s="310">
        <f t="shared" si="331"/>
        <v>-15.51659378102107</v>
      </c>
      <c r="CB154" s="256"/>
      <c r="CC154" s="256"/>
      <c r="CD154" s="289">
        <f>SUM(CD148:CD150)</f>
        <v>124.45600000000006</v>
      </c>
      <c r="CE154" s="310">
        <f t="shared" si="332"/>
        <v>-34.128307319370997</v>
      </c>
      <c r="CF154" s="256"/>
      <c r="CG154" s="256"/>
      <c r="CH154" s="289">
        <f>SUM(CH148:CH150)</f>
        <v>187.179</v>
      </c>
      <c r="CI154" s="310">
        <f t="shared" si="333"/>
        <v>50.397730924985474</v>
      </c>
      <c r="CJ154" s="256"/>
      <c r="CK154" s="256"/>
      <c r="CL154" s="289">
        <f>SUM(CL148:CL150)</f>
        <v>260.79500000000013</v>
      </c>
      <c r="CM154" s="310">
        <f t="shared" si="334"/>
        <v>39.329198254077724</v>
      </c>
      <c r="CN154" s="256"/>
      <c r="CO154" s="256"/>
      <c r="CP154" s="289">
        <f>SUM(CP148:CP150)</f>
        <v>236.5139999999999</v>
      </c>
      <c r="CQ154" s="310">
        <f t="shared" si="335"/>
        <v>-9.310377883011645</v>
      </c>
      <c r="CR154" s="256"/>
      <c r="CS154" s="256"/>
      <c r="CT154" s="289">
        <f>SUM(CT148:CT150)</f>
        <v>291.21800000000007</v>
      </c>
      <c r="CU154" s="310">
        <f t="shared" si="324"/>
        <v>23.129286215615231</v>
      </c>
      <c r="CV154" s="256"/>
      <c r="CW154" s="256"/>
      <c r="CX154" s="289">
        <f>SUM(CX148:CX150)</f>
        <v>287.99700000000001</v>
      </c>
      <c r="CY154" s="310">
        <f t="shared" si="325"/>
        <v>-1.1060442692416239</v>
      </c>
      <c r="CZ154" s="256"/>
      <c r="DA154" s="256"/>
      <c r="DB154" s="289">
        <f>SUM(DB148:DB150)</f>
        <v>307.10000000000002</v>
      </c>
      <c r="DC154" s="310">
        <f t="shared" si="326"/>
        <v>6.633055205436178</v>
      </c>
      <c r="DD154" s="256"/>
      <c r="DE154" s="256"/>
      <c r="DF154" s="289">
        <f>SUM(DF148:DF150)</f>
        <v>288.29999999999995</v>
      </c>
      <c r="DG154" s="310">
        <f t="shared" si="327"/>
        <v>-6.1217844350374691</v>
      </c>
      <c r="DH154" s="256"/>
      <c r="DI154" s="256"/>
      <c r="DJ154" s="289">
        <f>SUM(DJ148:DJ150)</f>
        <v>308.10000000000014</v>
      </c>
      <c r="DK154" s="310">
        <f t="shared" si="328"/>
        <v>6.8678459937565606</v>
      </c>
      <c r="DL154" s="256"/>
      <c r="DM154" s="256"/>
      <c r="DN154" s="289">
        <f>SUM(DN148:DN150)</f>
        <v>336.64848127427564</v>
      </c>
      <c r="DO154" s="310">
        <f t="shared" si="329"/>
        <v>9.2659789919751656</v>
      </c>
      <c r="DP154" s="256"/>
      <c r="DQ154" s="256"/>
      <c r="DR154" s="256"/>
      <c r="DS154" s="256"/>
      <c r="DT154" s="256"/>
      <c r="DU154" s="256"/>
      <c r="DV154" s="256"/>
      <c r="DW154" s="256"/>
      <c r="DX154" s="256"/>
      <c r="DY154" s="256"/>
      <c r="DZ154" s="256"/>
      <c r="EA154" s="256"/>
    </row>
    <row r="155" spans="1:131" collapsed="1">
      <c r="A155" s="256"/>
      <c r="B155" s="256"/>
      <c r="C155" s="256"/>
      <c r="D155" s="256"/>
      <c r="E155" s="256"/>
      <c r="F155" s="256"/>
      <c r="G155" s="256"/>
      <c r="H155" s="256"/>
      <c r="I155" s="256"/>
      <c r="J155" s="256"/>
      <c r="K155" s="256"/>
      <c r="L155" s="256"/>
      <c r="M155" s="256"/>
      <c r="N155" s="256"/>
      <c r="O155" s="256"/>
      <c r="P155" s="256"/>
      <c r="Q155" s="256"/>
      <c r="R155" s="256"/>
      <c r="S155" s="256"/>
      <c r="T155" s="256"/>
      <c r="U155" s="256"/>
      <c r="V155" s="256"/>
      <c r="W155" s="256"/>
      <c r="X155" s="256"/>
      <c r="Y155" s="256"/>
      <c r="Z155" s="256"/>
      <c r="AA155" s="256"/>
      <c r="AB155" s="256"/>
      <c r="AC155" s="256"/>
      <c r="AD155" s="256"/>
      <c r="AE155" s="256"/>
      <c r="AF155" s="256"/>
      <c r="AG155" s="256"/>
      <c r="AH155" s="256"/>
      <c r="AI155" s="256"/>
      <c r="AJ155" s="256"/>
      <c r="AK155" s="256"/>
      <c r="AL155" s="256"/>
      <c r="AM155" s="256"/>
      <c r="AN155" s="256"/>
      <c r="AO155" s="256"/>
      <c r="AP155" s="256"/>
      <c r="AQ155" s="256"/>
      <c r="AR155" s="256"/>
      <c r="AS155" s="256"/>
      <c r="AT155" s="256"/>
      <c r="AU155" s="256"/>
      <c r="AV155" s="256"/>
      <c r="AW155" s="256"/>
      <c r="AX155" s="256"/>
      <c r="AY155" s="256"/>
      <c r="AZ155" s="256"/>
      <c r="BA155" s="256"/>
      <c r="BB155" s="256"/>
      <c r="BC155" s="256"/>
      <c r="BD155" s="256"/>
      <c r="BE155" s="256"/>
      <c r="BF155" s="256"/>
      <c r="BG155" s="256"/>
      <c r="BH155" s="256"/>
      <c r="BI155" s="256"/>
      <c r="BJ155" s="256"/>
      <c r="BK155" s="256"/>
      <c r="BL155" s="256"/>
      <c r="BM155" s="587"/>
      <c r="BN155" s="256"/>
      <c r="BO155" s="256"/>
      <c r="BP155" s="256"/>
      <c r="BQ155" s="599"/>
      <c r="BR155" s="289"/>
      <c r="BS155" s="310"/>
      <c r="BT155" s="256"/>
      <c r="BU155" s="256"/>
      <c r="BV155" s="289"/>
      <c r="BW155" s="310"/>
      <c r="BX155" s="256"/>
      <c r="BY155" s="256"/>
      <c r="BZ155" s="616"/>
      <c r="CA155" s="310"/>
      <c r="CB155" s="256"/>
      <c r="CC155" s="256"/>
      <c r="CD155" s="289"/>
      <c r="CE155" s="310"/>
      <c r="CF155" s="256"/>
      <c r="CG155" s="256"/>
      <c r="CH155" s="289"/>
      <c r="CI155" s="310"/>
      <c r="CJ155" s="256"/>
      <c r="CK155" s="256"/>
      <c r="CL155" s="289"/>
      <c r="CM155" s="310"/>
      <c r="CN155" s="256"/>
      <c r="CO155" s="256"/>
      <c r="CP155" s="289"/>
      <c r="CQ155" s="310"/>
      <c r="CR155" s="256"/>
      <c r="CS155" s="256"/>
      <c r="CT155" s="289"/>
      <c r="CU155" s="310"/>
      <c r="CV155" s="256"/>
      <c r="CW155" s="256"/>
      <c r="CX155" s="289"/>
      <c r="CY155" s="310"/>
      <c r="CZ155" s="256"/>
      <c r="DA155" s="256"/>
      <c r="DB155" s="289"/>
      <c r="DC155" s="310"/>
      <c r="DD155" s="256"/>
      <c r="DE155" s="256"/>
      <c r="DF155" s="289"/>
      <c r="DG155" s="310"/>
      <c r="DH155" s="256"/>
      <c r="DI155" s="256"/>
      <c r="DJ155" s="289"/>
      <c r="DK155" s="310"/>
      <c r="DL155" s="256"/>
      <c r="DM155" s="256"/>
      <c r="DN155" s="289"/>
      <c r="DO155" s="310"/>
      <c r="DP155" s="256"/>
      <c r="DQ155" s="256"/>
      <c r="DR155" s="256"/>
      <c r="DS155" s="256"/>
      <c r="DT155" s="256"/>
      <c r="DU155" s="256"/>
      <c r="DV155" s="256"/>
      <c r="DW155" s="256"/>
      <c r="DX155" s="256"/>
      <c r="DY155" s="256"/>
      <c r="DZ155" s="256"/>
      <c r="EA155" s="256"/>
    </row>
    <row r="156" spans="1:131">
      <c r="A156" s="256"/>
      <c r="B156" s="256"/>
      <c r="C156" s="256"/>
      <c r="D156" s="256"/>
      <c r="E156" s="256"/>
      <c r="F156" s="256"/>
      <c r="G156" s="256"/>
      <c r="H156" s="256"/>
      <c r="I156" s="256"/>
      <c r="J156" s="256"/>
      <c r="K156" s="256"/>
      <c r="L156" s="256"/>
      <c r="M156" s="256"/>
      <c r="N156" s="256"/>
      <c r="O156" s="256"/>
      <c r="P156" s="256"/>
      <c r="Q156" s="256"/>
      <c r="R156" s="256"/>
      <c r="S156" s="256"/>
      <c r="T156" s="256"/>
      <c r="U156" s="256"/>
      <c r="V156" s="256"/>
      <c r="W156" s="256"/>
      <c r="X156" s="256"/>
      <c r="Y156" s="256"/>
      <c r="Z156" s="256"/>
      <c r="AA156" s="256"/>
      <c r="AB156" s="256"/>
      <c r="AC156" s="256"/>
      <c r="AD156" s="256"/>
      <c r="AE156" s="256"/>
      <c r="AF156" s="256"/>
      <c r="AG156" s="256"/>
      <c r="AH156" s="256"/>
      <c r="AI156" s="256"/>
      <c r="AJ156" s="256"/>
      <c r="AK156" s="256"/>
      <c r="AL156" s="256"/>
      <c r="AM156" s="256"/>
      <c r="AN156" s="256"/>
      <c r="AO156" s="256"/>
      <c r="AP156" s="256"/>
      <c r="AQ156" s="256"/>
      <c r="AR156" s="256"/>
      <c r="AS156" s="256"/>
      <c r="AT156" s="256"/>
      <c r="AU156" s="256"/>
      <c r="AV156" s="256"/>
      <c r="AW156" s="256"/>
      <c r="AX156" s="256"/>
      <c r="AY156" s="256"/>
      <c r="AZ156" s="256"/>
      <c r="BA156" s="256"/>
      <c r="BB156" s="311"/>
      <c r="BC156" s="312"/>
      <c r="BD156" s="312"/>
      <c r="BE156" s="312"/>
      <c r="BF156" s="312"/>
      <c r="BG156" s="312"/>
      <c r="BH156" s="312"/>
      <c r="BI156" s="312"/>
      <c r="BJ156" s="311" t="s">
        <v>813</v>
      </c>
      <c r="BK156" s="312"/>
      <c r="BL156" s="312"/>
      <c r="BM156" s="588"/>
      <c r="BN156" s="312"/>
      <c r="BO156" s="312"/>
      <c r="BP156" s="312"/>
      <c r="BQ156" s="600"/>
      <c r="BR156" s="312"/>
      <c r="BS156" s="312"/>
      <c r="BT156" s="312"/>
      <c r="BU156" s="312"/>
      <c r="BV156" s="311" t="s">
        <v>813</v>
      </c>
      <c r="BW156" s="312"/>
      <c r="BX156" s="312"/>
      <c r="BY156" s="312"/>
      <c r="BZ156" s="312"/>
      <c r="CA156" s="312"/>
      <c r="CB156" s="312"/>
      <c r="CC156" s="312"/>
      <c r="CE156" s="312"/>
      <c r="CF156" s="312"/>
      <c r="CG156" s="312"/>
      <c r="CH156" s="312"/>
      <c r="CI156" s="312"/>
      <c r="CJ156" s="312"/>
      <c r="CK156" s="312"/>
      <c r="CL156" s="312"/>
      <c r="CM156" s="312"/>
      <c r="CN156" s="312"/>
      <c r="CP156" s="312"/>
      <c r="CQ156" s="312"/>
      <c r="CR156" s="312"/>
      <c r="CS156" s="256"/>
      <c r="CT156" s="312"/>
      <c r="CU156" s="312"/>
      <c r="CV156" s="312"/>
      <c r="CW156" s="256"/>
      <c r="CX156" s="312"/>
      <c r="CY156" s="312"/>
      <c r="CZ156" s="312"/>
      <c r="DA156" s="256"/>
      <c r="DB156" s="311" t="s">
        <v>3095</v>
      </c>
      <c r="DC156" s="312"/>
      <c r="DD156" s="312"/>
      <c r="DE156" s="256"/>
      <c r="DF156" s="312"/>
      <c r="DG156" s="312"/>
      <c r="DH156" s="312"/>
      <c r="DI156" s="256"/>
      <c r="DJ156" s="312"/>
      <c r="DK156" s="312"/>
      <c r="DL156" s="312"/>
      <c r="DM156" s="256"/>
      <c r="DN156" s="312"/>
      <c r="DO156" s="312"/>
      <c r="DP156" s="312"/>
      <c r="DQ156" s="256"/>
      <c r="DR156" s="256"/>
      <c r="DS156" s="256"/>
      <c r="DT156" s="256"/>
      <c r="DU156" s="256"/>
      <c r="DV156" s="256"/>
      <c r="DW156" s="256"/>
      <c r="DX156" s="256"/>
      <c r="DY156" s="256"/>
      <c r="DZ156" s="256"/>
      <c r="EA156" s="256"/>
    </row>
    <row r="157" spans="1:131">
      <c r="A157" s="256"/>
      <c r="B157" s="256"/>
      <c r="C157" s="256"/>
      <c r="D157" s="256"/>
      <c r="E157" s="256"/>
      <c r="F157" s="256"/>
      <c r="G157" s="256"/>
      <c r="H157" s="256"/>
      <c r="I157" s="256"/>
      <c r="J157" s="256"/>
      <c r="K157" s="256"/>
      <c r="L157" s="256"/>
      <c r="M157" s="256"/>
      <c r="N157" s="256"/>
      <c r="O157" s="256"/>
      <c r="P157" s="256"/>
      <c r="Q157" s="256"/>
      <c r="R157" s="256"/>
      <c r="S157" s="256"/>
      <c r="T157" s="256"/>
      <c r="U157" s="256"/>
      <c r="V157" s="256"/>
      <c r="W157" s="256"/>
      <c r="X157" s="256"/>
      <c r="Y157" s="256"/>
      <c r="Z157" s="256"/>
      <c r="AA157" s="256"/>
      <c r="AB157" s="256"/>
      <c r="AC157" s="256"/>
      <c r="AD157" s="256"/>
      <c r="AE157" s="256"/>
      <c r="AF157" s="256"/>
      <c r="AG157" s="256"/>
      <c r="AH157" s="256"/>
      <c r="AI157" s="256"/>
      <c r="AJ157" s="256"/>
      <c r="AK157" s="256"/>
      <c r="AL157" s="256"/>
      <c r="AM157" s="256"/>
      <c r="AN157" s="256"/>
      <c r="AO157" s="256"/>
      <c r="AP157" s="256"/>
      <c r="AQ157" s="256"/>
      <c r="AR157" s="256"/>
      <c r="AS157" s="256"/>
      <c r="AT157" s="256"/>
      <c r="AU157" s="256"/>
      <c r="AV157" s="256"/>
      <c r="AW157" s="256"/>
      <c r="AX157" s="256"/>
      <c r="AY157" s="256"/>
      <c r="AZ157" s="256"/>
      <c r="BA157" s="256"/>
      <c r="BB157" s="311"/>
      <c r="BC157" s="312"/>
      <c r="BD157" s="312"/>
      <c r="BE157" s="312"/>
      <c r="BF157" s="312"/>
      <c r="BG157" s="312"/>
      <c r="BH157" s="312"/>
      <c r="BI157" s="312"/>
      <c r="BJ157" s="312"/>
      <c r="BK157" s="312"/>
      <c r="BL157" s="312"/>
      <c r="BM157" s="588"/>
      <c r="BN157" s="312"/>
      <c r="BO157" s="312"/>
      <c r="BP157" s="312"/>
      <c r="BQ157" s="600"/>
      <c r="BR157" s="312"/>
      <c r="BS157" s="312"/>
      <c r="BT157" s="312"/>
      <c r="BU157" s="312"/>
      <c r="BV157" s="312"/>
      <c r="BW157" s="312"/>
      <c r="BX157" s="312"/>
      <c r="BY157" s="312"/>
      <c r="BZ157" s="312"/>
      <c r="CA157" s="312"/>
      <c r="CB157" s="312"/>
      <c r="CC157" s="312"/>
      <c r="CD157" s="312"/>
      <c r="CE157" s="312"/>
      <c r="CF157" s="312"/>
      <c r="CG157" s="312"/>
      <c r="CH157" s="312"/>
      <c r="CI157" s="312"/>
      <c r="CJ157" s="312"/>
      <c r="CK157" s="312"/>
      <c r="CL157" s="312"/>
      <c r="CM157" s="312"/>
      <c r="CN157" s="312"/>
      <c r="CO157" s="312"/>
      <c r="CP157" s="312"/>
      <c r="CQ157" s="312"/>
      <c r="CR157" s="312"/>
      <c r="CS157" s="256"/>
      <c r="CT157" s="312"/>
      <c r="CU157" s="312"/>
      <c r="CV157" s="312"/>
      <c r="CW157" s="256"/>
      <c r="CX157" s="312"/>
      <c r="CY157" s="312"/>
      <c r="CZ157" s="312"/>
      <c r="DA157" s="256"/>
      <c r="DB157" s="312"/>
      <c r="DC157" s="312"/>
      <c r="DD157" s="312"/>
      <c r="DE157" s="256"/>
      <c r="DF157" s="312"/>
      <c r="DG157" s="312"/>
      <c r="DH157" s="312"/>
      <c r="DI157" s="256"/>
      <c r="DJ157" s="312"/>
      <c r="DK157" s="312"/>
      <c r="DL157" s="312"/>
      <c r="DM157" s="256"/>
      <c r="DN157" s="312"/>
      <c r="DO157" s="312"/>
      <c r="DP157" s="312"/>
      <c r="DQ157" s="256"/>
      <c r="DR157" s="256"/>
      <c r="DS157" s="256"/>
      <c r="DT157" s="256"/>
      <c r="DU157" s="256"/>
      <c r="DV157" s="256"/>
      <c r="DW157" s="256"/>
      <c r="DX157" s="256"/>
      <c r="DY157" s="256"/>
      <c r="DZ157" s="256"/>
      <c r="EA157" s="256"/>
    </row>
    <row r="158" spans="1:131">
      <c r="A158" s="256" t="str">
        <f>$A$10</f>
        <v>1Q</v>
      </c>
      <c r="B158" s="256" t="str">
        <f>$B$10</f>
        <v>Apr</v>
      </c>
      <c r="C158" s="256"/>
      <c r="D158" s="256"/>
      <c r="E158" s="256"/>
      <c r="F158" s="256"/>
      <c r="G158" s="256"/>
      <c r="H158" s="256"/>
      <c r="I158" s="256"/>
      <c r="J158" s="256"/>
      <c r="K158" s="256"/>
      <c r="L158" s="256"/>
      <c r="M158" s="256"/>
      <c r="N158" s="256"/>
      <c r="O158" s="256"/>
      <c r="P158" s="256"/>
      <c r="Q158" s="256"/>
      <c r="R158" s="256"/>
      <c r="S158" s="256"/>
      <c r="T158" s="256"/>
      <c r="U158" s="256"/>
      <c r="V158" s="256"/>
      <c r="W158" s="256"/>
      <c r="X158" s="256"/>
      <c r="Y158" s="256"/>
      <c r="Z158" s="256"/>
      <c r="AA158" s="256"/>
      <c r="AB158" s="256"/>
      <c r="AC158" s="256"/>
      <c r="AD158" s="256"/>
      <c r="AE158" s="256"/>
      <c r="AF158" s="256"/>
      <c r="AG158" s="256"/>
      <c r="AH158" s="256"/>
      <c r="AI158" s="256"/>
      <c r="AJ158" s="256"/>
      <c r="AK158" s="256"/>
      <c r="AL158" s="256"/>
      <c r="AM158" s="256"/>
      <c r="AN158" s="256"/>
      <c r="AO158" s="256"/>
      <c r="AP158" s="256"/>
      <c r="AQ158" s="256"/>
      <c r="AR158" s="256"/>
      <c r="AS158" s="256"/>
      <c r="AT158" s="256"/>
      <c r="AU158" s="256"/>
      <c r="AV158" s="256"/>
      <c r="AW158" s="256"/>
      <c r="AX158" s="256"/>
      <c r="AY158" s="256"/>
      <c r="AZ158" s="256"/>
      <c r="BA158" s="256"/>
      <c r="BB158" s="256"/>
      <c r="BC158" s="256"/>
      <c r="BD158" s="256"/>
      <c r="BE158" s="256"/>
      <c r="BF158" s="256"/>
      <c r="BG158" s="256"/>
      <c r="BH158" s="256"/>
      <c r="BI158" s="256"/>
      <c r="BJ158" s="256"/>
      <c r="BK158" s="256"/>
      <c r="BL158" s="256"/>
      <c r="BM158" s="587"/>
      <c r="BN158" s="256"/>
      <c r="BO158" s="256"/>
      <c r="BP158" s="256"/>
      <c r="BQ158" s="599"/>
      <c r="BR158" s="610">
        <f>BR148/BR168</f>
        <v>0.29882867968441479</v>
      </c>
      <c r="BS158" s="256"/>
      <c r="BT158" s="256"/>
      <c r="BU158" s="256"/>
      <c r="BV158" s="610">
        <f>BV148/BV168</f>
        <v>0.38523804070882628</v>
      </c>
      <c r="BW158" s="310">
        <f t="shared" ref="BW158:BW164" si="336">IF(BR158&lt;0,"       NM",(BV158/BR158-1)*100)</f>
        <v>28.916020080691784</v>
      </c>
      <c r="BX158" s="256"/>
      <c r="BY158" s="256"/>
      <c r="BZ158" s="610">
        <f>BZ148/BZ168</f>
        <v>0.5000271796106327</v>
      </c>
      <c r="CA158" s="310">
        <f t="shared" ref="CA158:CA164" si="337">IF(BV158&lt;0,"       NM",(BZ158/BV158-1)*100)</f>
        <v>29.796937677960855</v>
      </c>
      <c r="CB158" s="256"/>
      <c r="CC158" s="256"/>
      <c r="CD158" s="610">
        <f>CD148/CD168</f>
        <v>0.19603910956476928</v>
      </c>
      <c r="CE158" s="310">
        <f t="shared" ref="CE158:CE164" si="338">IF(BZ158&lt;0,"       NM",(CD158/BZ158-1)*100)</f>
        <v>-60.794309277862979</v>
      </c>
      <c r="CF158" s="256"/>
      <c r="CG158" s="256"/>
      <c r="CH158" s="610">
        <f>CH148/CH168</f>
        <v>0.50119415292936986</v>
      </c>
      <c r="CI158" s="310">
        <f t="shared" ref="CI158:CI164" si="339">IF(CD158&lt;0,"       NM",(CH158/CD158-1)*100)</f>
        <v>155.66028842004127</v>
      </c>
      <c r="CJ158" s="256"/>
      <c r="CK158" s="256"/>
      <c r="CL158" s="610">
        <f>CL148/CL168</f>
        <v>0.62654485589074183</v>
      </c>
      <c r="CM158" s="310">
        <f t="shared" ref="CM158:CM164" si="340">IF(CH158&lt;0,"       NM",(CL158/CH158-1)*100)</f>
        <v>25.010408088108083</v>
      </c>
      <c r="CN158" s="256"/>
      <c r="CO158" s="256"/>
      <c r="CP158" s="610">
        <f>CP148/CP168</f>
        <v>0.63613950222360904</v>
      </c>
      <c r="CQ158" s="310">
        <f t="shared" ref="CQ158:CQ164" si="341">IF(CL158&lt;0,"       NM",(CP158/CL158-1)*100)</f>
        <v>1.5313582487604505</v>
      </c>
      <c r="CR158" s="256"/>
      <c r="CS158" s="256"/>
      <c r="CT158" s="610">
        <f>CT148/CT168</f>
        <v>0.69936391027787115</v>
      </c>
      <c r="CU158" s="310">
        <f t="shared" ref="CU158:CU164" si="342">IF(CP158&lt;0,"       NM",(CT158/CP158-1)*100)</f>
        <v>9.9387646629808035</v>
      </c>
      <c r="CV158" s="256"/>
      <c r="CW158" s="256"/>
      <c r="CX158" s="610">
        <f>CX148/CX168</f>
        <v>0.96774914287915526</v>
      </c>
      <c r="CY158" s="310">
        <f t="shared" ref="CY158:CY164" si="343">IF(CT158&lt;0,"       NM",(CX158/CT158-1)*100)</f>
        <v>38.375619424606768</v>
      </c>
      <c r="CZ158" s="256"/>
      <c r="DA158" s="256"/>
      <c r="DB158" s="610">
        <f>DB148/DB168</f>
        <v>0.80816640986132493</v>
      </c>
      <c r="DC158" s="310">
        <f t="shared" ref="DC158:DC164" si="344">IF(CX158&lt;0,"       NM",(DB158/CX158-1)*100)</f>
        <v>-16.490092932870493</v>
      </c>
      <c r="DD158" s="256"/>
      <c r="DE158" s="256"/>
      <c r="DF158" s="610">
        <f>DF148/DF168</f>
        <v>0.69169960474308234</v>
      </c>
      <c r="DG158" s="310">
        <f t="shared" ref="DG158:DG164" si="345">IF(DB158&lt;0,"       NM",(DF158/DB158-1)*100)</f>
        <v>-14.411240518920776</v>
      </c>
      <c r="DH158" s="256"/>
      <c r="DI158" s="256"/>
      <c r="DJ158" s="610">
        <f>DJ148/DJ168</f>
        <v>0.7414205905826019</v>
      </c>
      <c r="DK158" s="310">
        <f t="shared" ref="DK158:DK164" si="346">IF(DF158&lt;0,"       NM",(DJ158/DF158-1)*100)</f>
        <v>7.1882339527991279</v>
      </c>
      <c r="DL158" s="256"/>
      <c r="DM158" s="256"/>
      <c r="DN158" s="610">
        <f>DN148/DN168</f>
        <v>0.90452639005404423</v>
      </c>
      <c r="DO158" s="310">
        <f t="shared" ref="DO158:DO164" si="347">IF(DJ158&lt;0,"       NM",(DN158/DJ158-1)*100)</f>
        <v>21.999092221498074</v>
      </c>
      <c r="DP158" s="256"/>
      <c r="DQ158" s="256"/>
      <c r="DR158" s="256"/>
      <c r="DS158" s="256"/>
      <c r="DT158" s="256"/>
      <c r="DU158" s="256"/>
      <c r="DV158" s="256"/>
      <c r="DW158" s="256"/>
      <c r="DX158" s="256"/>
      <c r="DY158" s="256"/>
      <c r="DZ158" s="256"/>
      <c r="EA158" s="256"/>
    </row>
    <row r="159" spans="1:131">
      <c r="A159" s="256" t="str">
        <f>$A$11</f>
        <v>2Q</v>
      </c>
      <c r="B159" s="256" t="str">
        <f>$B$11</f>
        <v>Jul</v>
      </c>
      <c r="C159" s="256"/>
      <c r="D159" s="256"/>
      <c r="E159" s="256"/>
      <c r="F159" s="256"/>
      <c r="G159" s="256"/>
      <c r="H159" s="256"/>
      <c r="I159" s="256"/>
      <c r="J159" s="256"/>
      <c r="K159" s="256"/>
      <c r="L159" s="256"/>
      <c r="M159" s="256"/>
      <c r="N159" s="256"/>
      <c r="O159" s="256"/>
      <c r="P159" s="256"/>
      <c r="Q159" s="256"/>
      <c r="R159" s="256"/>
      <c r="S159" s="256"/>
      <c r="T159" s="256"/>
      <c r="U159" s="256"/>
      <c r="V159" s="256"/>
      <c r="W159" s="256"/>
      <c r="X159" s="256"/>
      <c r="Y159" s="256"/>
      <c r="Z159" s="256"/>
      <c r="AA159" s="256"/>
      <c r="AB159" s="256"/>
      <c r="AC159" s="256"/>
      <c r="AD159" s="256"/>
      <c r="AE159" s="256"/>
      <c r="AF159" s="256"/>
      <c r="AG159" s="256"/>
      <c r="AH159" s="256"/>
      <c r="AI159" s="256"/>
      <c r="AJ159" s="256"/>
      <c r="AK159" s="256"/>
      <c r="AL159" s="256"/>
      <c r="AM159" s="256"/>
      <c r="AN159" s="256"/>
      <c r="AO159" s="256"/>
      <c r="AP159" s="256"/>
      <c r="AQ159" s="256"/>
      <c r="AR159" s="256"/>
      <c r="AS159" s="256"/>
      <c r="AT159" s="256"/>
      <c r="AU159" s="256"/>
      <c r="AV159" s="256"/>
      <c r="AW159" s="256"/>
      <c r="AX159" s="256"/>
      <c r="AY159" s="256"/>
      <c r="AZ159" s="256"/>
      <c r="BA159" s="256"/>
      <c r="BB159" s="256"/>
      <c r="BC159" s="256"/>
      <c r="BD159" s="256"/>
      <c r="BE159" s="256"/>
      <c r="BF159" s="256"/>
      <c r="BG159" s="256"/>
      <c r="BH159" s="256"/>
      <c r="BI159" s="256"/>
      <c r="BJ159" s="256"/>
      <c r="BK159" s="256"/>
      <c r="BL159" s="256"/>
      <c r="BM159" s="587"/>
      <c r="BN159" s="256"/>
      <c r="BO159" s="256"/>
      <c r="BP159" s="256"/>
      <c r="BQ159" s="599"/>
      <c r="BR159" s="320">
        <f>BR149/BR169</f>
        <v>0.29143557378326529</v>
      </c>
      <c r="BS159" s="256"/>
      <c r="BT159" s="256"/>
      <c r="BU159" s="256"/>
      <c r="BV159" s="320">
        <f>BV149/BV169</f>
        <v>0.47538927489755911</v>
      </c>
      <c r="BW159" s="310">
        <f t="shared" si="336"/>
        <v>63.119851405338892</v>
      </c>
      <c r="BX159" s="256"/>
      <c r="BY159" s="256"/>
      <c r="BZ159" s="320">
        <f>BZ149/BZ169</f>
        <v>0.63014425364925075</v>
      </c>
      <c r="CA159" s="310">
        <f t="shared" si="337"/>
        <v>32.553317233553393</v>
      </c>
      <c r="CB159" s="256"/>
      <c r="CC159" s="256"/>
      <c r="CD159" s="320">
        <f>CD149/CD169</f>
        <v>0.45594789717562262</v>
      </c>
      <c r="CE159" s="310">
        <f t="shared" si="338"/>
        <v>-27.643885580933802</v>
      </c>
      <c r="CF159" s="256"/>
      <c r="CG159" s="256"/>
      <c r="CH159" s="320">
        <f>CH149/CH169</f>
        <v>0.5271254430034662</v>
      </c>
      <c r="CI159" s="310">
        <f t="shared" si="339"/>
        <v>15.610894637030714</v>
      </c>
      <c r="CJ159" s="256"/>
      <c r="CK159" s="256"/>
      <c r="CL159" s="320">
        <f>CL149/CL169</f>
        <v>0.69373776908023499</v>
      </c>
      <c r="CM159" s="310">
        <f t="shared" si="340"/>
        <v>31.607718482993661</v>
      </c>
      <c r="CN159" s="256"/>
      <c r="CO159" s="256"/>
      <c r="CP159" s="320">
        <f>CP149/CP169</f>
        <v>0.71908853779090254</v>
      </c>
      <c r="CQ159" s="310">
        <f t="shared" si="341"/>
        <v>3.6542292838225965</v>
      </c>
      <c r="CR159" s="256"/>
      <c r="CS159" s="256"/>
      <c r="CT159" s="320">
        <f>CT149/CT169</f>
        <v>0.82923173695940888</v>
      </c>
      <c r="CU159" s="310">
        <f t="shared" si="342"/>
        <v>15.317056715557587</v>
      </c>
      <c r="CV159" s="256"/>
      <c r="CW159" s="256"/>
      <c r="CX159" s="320">
        <f>CX149/CX169</f>
        <v>0.95544539212365687</v>
      </c>
      <c r="CY159" s="310">
        <f t="shared" si="343"/>
        <v>15.220552897196482</v>
      </c>
      <c r="CZ159" s="256"/>
      <c r="DA159" s="256"/>
      <c r="DB159" s="320">
        <f>DB149/DB169</f>
        <v>0.85802469135802506</v>
      </c>
      <c r="DC159" s="310">
        <f t="shared" si="344"/>
        <v>-10.196365126540197</v>
      </c>
      <c r="DD159" s="256"/>
      <c r="DE159" s="256"/>
      <c r="DF159" s="320">
        <f>DF149/DF169</f>
        <v>0.84156050955414041</v>
      </c>
      <c r="DG159" s="310">
        <f t="shared" si="345"/>
        <v>-1.9188470879347608</v>
      </c>
      <c r="DH159" s="256"/>
      <c r="DI159" s="256"/>
      <c r="DJ159" s="320">
        <f>DJ149/DJ169</f>
        <v>0.919264588329337</v>
      </c>
      <c r="DK159" s="310">
        <f t="shared" si="346"/>
        <v>9.233332350203117</v>
      </c>
      <c r="DL159" s="256"/>
      <c r="DM159" s="256"/>
      <c r="DN159" s="320">
        <f>DN149/DN169</f>
        <v>0.97484038118410077</v>
      </c>
      <c r="DO159" s="310">
        <f t="shared" si="347"/>
        <v>6.0456797270703966</v>
      </c>
      <c r="DP159" s="256"/>
      <c r="DQ159" s="256"/>
      <c r="DR159" s="256"/>
      <c r="DS159" s="256"/>
      <c r="DT159" s="256"/>
      <c r="DU159" s="256"/>
      <c r="DV159" s="256"/>
      <c r="DW159" s="256"/>
      <c r="DX159" s="256"/>
      <c r="DY159" s="256"/>
      <c r="DZ159" s="256"/>
      <c r="EA159" s="256"/>
    </row>
    <row r="160" spans="1:131">
      <c r="A160" s="256" t="str">
        <f>$A$12</f>
        <v>3Q</v>
      </c>
      <c r="B160" s="256" t="str">
        <f>$B$12</f>
        <v>Oct</v>
      </c>
      <c r="C160" s="256"/>
      <c r="D160" s="256"/>
      <c r="E160" s="256"/>
      <c r="F160" s="256"/>
      <c r="G160" s="256"/>
      <c r="H160" s="256"/>
      <c r="I160" s="256"/>
      <c r="J160" s="256"/>
      <c r="K160" s="256"/>
      <c r="L160" s="256"/>
      <c r="M160" s="256"/>
      <c r="N160" s="256"/>
      <c r="O160" s="256"/>
      <c r="P160" s="256"/>
      <c r="Q160" s="256"/>
      <c r="R160" s="256"/>
      <c r="S160" s="256"/>
      <c r="T160" s="256"/>
      <c r="U160" s="256"/>
      <c r="V160" s="256"/>
      <c r="W160" s="256"/>
      <c r="X160" s="256"/>
      <c r="Y160" s="256"/>
      <c r="Z160" s="256"/>
      <c r="AA160" s="256"/>
      <c r="AB160" s="256"/>
      <c r="AC160" s="256"/>
      <c r="AD160" s="256"/>
      <c r="AE160" s="256"/>
      <c r="AF160" s="256"/>
      <c r="AG160" s="256"/>
      <c r="AH160" s="256"/>
      <c r="AI160" s="256"/>
      <c r="AJ160" s="256"/>
      <c r="AK160" s="256"/>
      <c r="AL160" s="256"/>
      <c r="AM160" s="256"/>
      <c r="AN160" s="256"/>
      <c r="AO160" s="256"/>
      <c r="AP160" s="256"/>
      <c r="AQ160" s="256"/>
      <c r="AR160" s="256"/>
      <c r="AS160" s="256"/>
      <c r="AT160" s="256"/>
      <c r="AU160" s="256"/>
      <c r="AV160" s="256"/>
      <c r="AW160" s="256"/>
      <c r="AX160" s="256"/>
      <c r="AY160" s="256"/>
      <c r="AZ160" s="256"/>
      <c r="BA160" s="256"/>
      <c r="BB160" s="256"/>
      <c r="BC160" s="256"/>
      <c r="BD160" s="256"/>
      <c r="BE160" s="256"/>
      <c r="BF160" s="256"/>
      <c r="BG160" s="256"/>
      <c r="BH160" s="256"/>
      <c r="BI160" s="256"/>
      <c r="BJ160" s="256"/>
      <c r="BK160" s="256"/>
      <c r="BL160" s="256"/>
      <c r="BM160" s="587"/>
      <c r="BN160" s="256"/>
      <c r="BO160" s="256"/>
      <c r="BP160" s="256"/>
      <c r="BQ160" s="599"/>
      <c r="BR160" s="320">
        <f>BR150/BR170</f>
        <v>0.2098479175067684</v>
      </c>
      <c r="BS160" s="256"/>
      <c r="BT160" s="1024"/>
      <c r="BU160" s="256"/>
      <c r="BV160" s="320">
        <f>BV150/BV170</f>
        <v>0.7391513187608878</v>
      </c>
      <c r="BW160" s="310">
        <f t="shared" si="336"/>
        <v>252.23190563091831</v>
      </c>
      <c r="BX160" s="256"/>
      <c r="BY160" s="256"/>
      <c r="BZ160" s="320">
        <f>BZ150/BZ170</f>
        <v>0.35049920335631224</v>
      </c>
      <c r="CA160" s="310">
        <f t="shared" si="337"/>
        <v>-52.580859363967768</v>
      </c>
      <c r="CB160" s="256"/>
      <c r="CC160" s="256"/>
      <c r="CD160" s="320">
        <f>CD150/CD170</f>
        <v>0.34510519023426928</v>
      </c>
      <c r="CE160" s="310">
        <f t="shared" si="338"/>
        <v>-1.5389516068484488</v>
      </c>
      <c r="CF160" s="256"/>
      <c r="CG160" s="256"/>
      <c r="CH160" s="320">
        <f>CH150/CH170</f>
        <v>0.4306242914663227</v>
      </c>
      <c r="CI160" s="310">
        <f t="shared" si="339"/>
        <v>24.780589701939903</v>
      </c>
      <c r="CJ160" s="256"/>
      <c r="CK160" s="256"/>
      <c r="CL160" s="320">
        <f>CL150/CL170</f>
        <v>0.69627829705306965</v>
      </c>
      <c r="CM160" s="310">
        <f t="shared" si="340"/>
        <v>61.690436617536392</v>
      </c>
      <c r="CN160" s="256"/>
      <c r="CO160" s="256"/>
      <c r="CP160" s="320">
        <f>CP150/CP170</f>
        <v>0.49396412878610152</v>
      </c>
      <c r="CQ160" s="310">
        <f t="shared" si="341"/>
        <v>-29.056509318650782</v>
      </c>
      <c r="CR160" s="256"/>
      <c r="CS160" s="256"/>
      <c r="CT160" s="320">
        <f>CT150/CT170</f>
        <v>0.73355870175384197</v>
      </c>
      <c r="CU160" s="310">
        <f t="shared" si="342"/>
        <v>48.5044477939188</v>
      </c>
      <c r="CV160" s="256"/>
      <c r="CW160" s="256"/>
      <c r="CX160" s="320">
        <f>CX150/CX170</f>
        <v>0.29441905553247549</v>
      </c>
      <c r="CY160" s="310">
        <f t="shared" si="343"/>
        <v>-59.864281504866831</v>
      </c>
      <c r="CZ160" s="256"/>
      <c r="DA160" s="256"/>
      <c r="DB160" s="320">
        <f>DB150/DB170</f>
        <v>0.70487993803253279</v>
      </c>
      <c r="DC160" s="310">
        <f t="shared" si="344"/>
        <v>139.41383031669358</v>
      </c>
      <c r="DD160" s="256"/>
      <c r="DE160" s="256"/>
      <c r="DF160" s="320">
        <f>DF150/DF170</f>
        <v>0.7614091273018414</v>
      </c>
      <c r="DG160" s="310">
        <f t="shared" si="345"/>
        <v>8.0196904776568712</v>
      </c>
      <c r="DH160" s="256"/>
      <c r="DI160" s="256"/>
      <c r="DJ160" s="320">
        <f>DJ150/DJ170</f>
        <v>0.80160000000000042</v>
      </c>
      <c r="DK160" s="310">
        <f t="shared" si="346"/>
        <v>5.2784858044164773</v>
      </c>
      <c r="DL160" s="256"/>
      <c r="DM160" s="256"/>
      <c r="DN160" s="320">
        <f>DN150/DN170</f>
        <v>0.82665423547915318</v>
      </c>
      <c r="DO160" s="310">
        <f t="shared" si="347"/>
        <v>3.1255283781378207</v>
      </c>
      <c r="DP160" s="256"/>
      <c r="DQ160" s="256"/>
      <c r="DR160" s="256"/>
      <c r="DS160" s="256"/>
      <c r="DT160" s="256"/>
      <c r="DU160" s="256"/>
      <c r="DV160" s="256"/>
      <c r="DW160" s="256"/>
      <c r="DX160" s="256"/>
      <c r="DY160" s="256"/>
      <c r="DZ160" s="256"/>
      <c r="EA160" s="256"/>
    </row>
    <row r="161" spans="1:131">
      <c r="A161" s="256" t="str">
        <f>$A$13</f>
        <v>4Q</v>
      </c>
      <c r="B161" s="256" t="str">
        <f>$B$13</f>
        <v>Jan</v>
      </c>
      <c r="C161" s="256"/>
      <c r="D161" s="256"/>
      <c r="E161" s="256"/>
      <c r="F161" s="256"/>
      <c r="G161" s="256"/>
      <c r="H161" s="256"/>
      <c r="I161" s="256"/>
      <c r="J161" s="256"/>
      <c r="K161" s="256"/>
      <c r="L161" s="256"/>
      <c r="M161" s="256"/>
      <c r="N161" s="256"/>
      <c r="O161" s="256"/>
      <c r="P161" s="256"/>
      <c r="Q161" s="256"/>
      <c r="R161" s="256"/>
      <c r="S161" s="256"/>
      <c r="T161" s="256"/>
      <c r="U161" s="256"/>
      <c r="V161" s="256"/>
      <c r="W161" s="256"/>
      <c r="X161" s="256"/>
      <c r="Y161" s="256"/>
      <c r="Z161" s="256"/>
      <c r="AA161" s="256"/>
      <c r="AB161" s="256"/>
      <c r="AC161" s="256"/>
      <c r="AD161" s="256"/>
      <c r="AE161" s="256"/>
      <c r="AF161" s="256"/>
      <c r="AG161" s="256"/>
      <c r="AH161" s="256"/>
      <c r="AI161" s="256"/>
      <c r="AJ161" s="256"/>
      <c r="AK161" s="256"/>
      <c r="AL161" s="256"/>
      <c r="AM161" s="256"/>
      <c r="AN161" s="256"/>
      <c r="AO161" s="256"/>
      <c r="AP161" s="256"/>
      <c r="AQ161" s="256"/>
      <c r="AR161" s="256"/>
      <c r="AS161" s="256"/>
      <c r="AT161" s="256"/>
      <c r="AU161" s="256"/>
      <c r="AV161" s="256"/>
      <c r="AW161" s="256"/>
      <c r="AX161" s="256"/>
      <c r="AY161" s="256"/>
      <c r="AZ161" s="256"/>
      <c r="BA161" s="256"/>
      <c r="BB161" s="256"/>
      <c r="BC161" s="256"/>
      <c r="BD161" s="256"/>
      <c r="BE161" s="256"/>
      <c r="BF161" s="256"/>
      <c r="BG161" s="256"/>
      <c r="BH161" s="256"/>
      <c r="BI161" s="256"/>
      <c r="BJ161" s="256"/>
      <c r="BK161" s="256"/>
      <c r="BL161" s="256"/>
      <c r="BM161" s="587"/>
      <c r="BN161" s="256"/>
      <c r="BO161" s="256"/>
      <c r="BP161" s="256"/>
      <c r="BQ161" s="599"/>
      <c r="BR161" s="611">
        <f>BR151/BR171</f>
        <v>1.0690345715070626</v>
      </c>
      <c r="BS161" s="256"/>
      <c r="BT161" s="256"/>
      <c r="BU161" s="256"/>
      <c r="BV161" s="611">
        <f>BV151/BV171</f>
        <v>0.9608094552091887</v>
      </c>
      <c r="BW161" s="310">
        <f t="shared" si="336"/>
        <v>-10.12363109504536</v>
      </c>
      <c r="BX161" s="256"/>
      <c r="BY161" s="256"/>
      <c r="BZ161" s="611">
        <f>BZ151/BZ171</f>
        <v>0.25110466666128112</v>
      </c>
      <c r="CA161" s="310">
        <f t="shared" si="337"/>
        <v>-73.865300211204698</v>
      </c>
      <c r="CB161" s="256"/>
      <c r="CC161" s="256"/>
      <c r="CD161" s="611">
        <f>CD151/CD171</f>
        <v>1.1029505362825602</v>
      </c>
      <c r="CE161" s="310">
        <f t="shared" si="338"/>
        <v>339.23936219407142</v>
      </c>
      <c r="CF161" s="256"/>
      <c r="CG161" s="256"/>
      <c r="CH161" s="611">
        <f>CH151/CH171</f>
        <v>1.4070951061004866</v>
      </c>
      <c r="CI161" s="310">
        <f t="shared" si="339"/>
        <v>27.575540317794346</v>
      </c>
      <c r="CJ161" s="256"/>
      <c r="CK161" s="256"/>
      <c r="CL161" s="611">
        <f>CL151/CL171</f>
        <v>1.3899753786698257</v>
      </c>
      <c r="CM161" s="310">
        <f t="shared" si="340"/>
        <v>-1.21667166323286</v>
      </c>
      <c r="CN161" s="256"/>
      <c r="CO161" s="256"/>
      <c r="CP161" s="611">
        <f>CP151/CP171</f>
        <v>1.4035486592912061</v>
      </c>
      <c r="CQ161" s="310">
        <f t="shared" si="341"/>
        <v>0.97651230587765259</v>
      </c>
      <c r="CR161" s="256"/>
      <c r="CS161" s="256"/>
      <c r="CT161" s="611">
        <f>CT151/128.192</f>
        <v>-0.80815495506739765</v>
      </c>
      <c r="CU161" s="310">
        <f t="shared" si="342"/>
        <v>-157.57940415656958</v>
      </c>
      <c r="CV161" s="256"/>
      <c r="CW161" s="256"/>
      <c r="CX161" s="611">
        <f>CX151/CX171</f>
        <v>1.509196790547038</v>
      </c>
      <c r="CY161" s="310" t="str">
        <f t="shared" si="343"/>
        <v xml:space="preserve">       NM</v>
      </c>
      <c r="CZ161" s="256"/>
      <c r="DA161" s="256"/>
      <c r="DB161" s="611">
        <f>DB151/DB171</f>
        <v>1.4647615324472243</v>
      </c>
      <c r="DC161" s="310">
        <f t="shared" si="344"/>
        <v>-2.944298475728091</v>
      </c>
      <c r="DD161" s="256"/>
      <c r="DE161" s="256"/>
      <c r="DF161" s="611">
        <f>DF151/DF171</f>
        <v>1.4543999999999992</v>
      </c>
      <c r="DG161" s="310">
        <f t="shared" si="345"/>
        <v>-0.70738698536912947</v>
      </c>
      <c r="DH161" s="256"/>
      <c r="DI161" s="256"/>
      <c r="DJ161" s="611">
        <f>DJ151/DJ171</f>
        <v>1.6661329063250592</v>
      </c>
      <c r="DK161" s="310">
        <f t="shared" si="346"/>
        <v>14.558093119159787</v>
      </c>
      <c r="DL161" s="256"/>
      <c r="DM161" s="256"/>
      <c r="DN161" s="611">
        <f>DN151/DN171</f>
        <v>1.6950708289877787</v>
      </c>
      <c r="DO161" s="310">
        <f t="shared" si="347"/>
        <v>1.736831590857113</v>
      </c>
      <c r="DP161" s="256"/>
      <c r="DQ161" s="256"/>
      <c r="DR161" s="256"/>
      <c r="DS161" s="256"/>
      <c r="DT161" s="256"/>
      <c r="DU161" s="256"/>
      <c r="DV161" s="256"/>
      <c r="DW161" s="256"/>
      <c r="DX161" s="256"/>
      <c r="DY161" s="256"/>
      <c r="DZ161" s="256"/>
      <c r="EA161" s="256"/>
    </row>
    <row r="162" spans="1:131">
      <c r="A162" s="256"/>
      <c r="B162" s="256" t="str">
        <f>$B$14</f>
        <v>Year</v>
      </c>
      <c r="C162" s="256"/>
      <c r="D162" s="256"/>
      <c r="E162" s="256"/>
      <c r="F162" s="256"/>
      <c r="G162" s="256"/>
      <c r="H162" s="256"/>
      <c r="I162" s="256"/>
      <c r="J162" s="256"/>
      <c r="K162" s="256"/>
      <c r="L162" s="256"/>
      <c r="M162" s="256"/>
      <c r="N162" s="256"/>
      <c r="O162" s="256"/>
      <c r="P162" s="256"/>
      <c r="Q162" s="256"/>
      <c r="R162" s="256"/>
      <c r="S162" s="256"/>
      <c r="T162" s="256"/>
      <c r="U162" s="256"/>
      <c r="V162" s="256"/>
      <c r="W162" s="256"/>
      <c r="X162" s="256"/>
      <c r="Y162" s="256"/>
      <c r="Z162" s="256"/>
      <c r="AA162" s="256"/>
      <c r="AB162" s="256"/>
      <c r="AC162" s="256"/>
      <c r="AD162" s="256"/>
      <c r="AE162" s="256"/>
      <c r="AF162" s="256"/>
      <c r="AG162" s="256"/>
      <c r="AH162" s="256"/>
      <c r="AI162" s="256"/>
      <c r="AJ162" s="256"/>
      <c r="AK162" s="256"/>
      <c r="AL162" s="256"/>
      <c r="AM162" s="256"/>
      <c r="AN162" s="256"/>
      <c r="AO162" s="256"/>
      <c r="AP162" s="256"/>
      <c r="AQ162" s="256"/>
      <c r="AR162" s="256"/>
      <c r="AS162" s="256"/>
      <c r="AT162" s="256"/>
      <c r="AU162" s="256"/>
      <c r="AV162" s="256"/>
      <c r="AW162" s="256"/>
      <c r="AX162" s="256"/>
      <c r="AY162" s="256"/>
      <c r="AZ162" s="256"/>
      <c r="BA162" s="256"/>
      <c r="BB162" s="256"/>
      <c r="BC162" s="256"/>
      <c r="BD162" s="256"/>
      <c r="BE162" s="256"/>
      <c r="BF162" s="256"/>
      <c r="BG162" s="256"/>
      <c r="BH162" s="256"/>
      <c r="BI162" s="256"/>
      <c r="BJ162" s="256"/>
      <c r="BK162" s="256"/>
      <c r="BL162" s="256"/>
      <c r="BM162" s="587"/>
      <c r="BN162" s="256"/>
      <c r="BO162" s="256"/>
      <c r="BP162" s="256"/>
      <c r="BQ162" s="599"/>
      <c r="BR162" s="610">
        <f>BR152/BR172</f>
        <v>1.8552694172861579</v>
      </c>
      <c r="BS162" s="256"/>
      <c r="BT162" s="256"/>
      <c r="BU162" s="256"/>
      <c r="BV162" s="610">
        <f>BV152/BV172</f>
        <v>2.5410815115100616</v>
      </c>
      <c r="BW162" s="310">
        <f t="shared" si="336"/>
        <v>36.965633553486413</v>
      </c>
      <c r="BX162" s="256"/>
      <c r="BY162" s="256"/>
      <c r="BZ162" s="610">
        <f>BZ152/BZ172</f>
        <v>1.7405426785855553</v>
      </c>
      <c r="CA162" s="310">
        <f t="shared" si="337"/>
        <v>-31.503862796151651</v>
      </c>
      <c r="CB162" s="256"/>
      <c r="CC162" s="256"/>
      <c r="CD162" s="610">
        <f>CD152/CD172</f>
        <v>2.1121124873387949</v>
      </c>
      <c r="CE162" s="310">
        <f t="shared" si="338"/>
        <v>21.347928627363167</v>
      </c>
      <c r="CF162" s="256"/>
      <c r="CG162" s="256"/>
      <c r="CH162" s="610">
        <f>CH152/CH172</f>
        <v>2.8690481753189103</v>
      </c>
      <c r="CI162" s="310">
        <f t="shared" si="339"/>
        <v>35.837849192105949</v>
      </c>
      <c r="CJ162" s="256"/>
      <c r="CK162" s="256"/>
      <c r="CL162" s="610">
        <f>CL152/CL172</f>
        <v>3.4023911018319661</v>
      </c>
      <c r="CM162" s="310">
        <f t="shared" si="340"/>
        <v>18.58954238207491</v>
      </c>
      <c r="CN162" s="256"/>
      <c r="CO162" s="256"/>
      <c r="CP162" s="610">
        <f>CP152/CP172</f>
        <v>3.2529610514981617</v>
      </c>
      <c r="CQ162" s="310">
        <f t="shared" si="341"/>
        <v>-4.3919128007754882</v>
      </c>
      <c r="CR162" s="256"/>
      <c r="CS162" s="256"/>
      <c r="CT162" s="610">
        <f>CT152/CT172</f>
        <v>1.4559090847364264</v>
      </c>
      <c r="CU162" s="310">
        <f t="shared" si="342"/>
        <v>-55.243574648214654</v>
      </c>
      <c r="CV162" s="256"/>
      <c r="CW162" s="256"/>
      <c r="CX162" s="610">
        <f>CX152/CX172</f>
        <v>3.7273210161662824</v>
      </c>
      <c r="CY162" s="310">
        <f t="shared" si="343"/>
        <v>156.01330847118561</v>
      </c>
      <c r="CZ162" s="256"/>
      <c r="DA162" s="256"/>
      <c r="DB162" s="610">
        <f>DB152/DB172</f>
        <v>3.8299225406661503</v>
      </c>
      <c r="DC162" s="310">
        <f t="shared" si="344"/>
        <v>2.7526881654373447</v>
      </c>
      <c r="DD162" s="256"/>
      <c r="DE162" s="256"/>
      <c r="DF162" s="610">
        <f>DF152/DF172</f>
        <v>3.7458167330677279</v>
      </c>
      <c r="DG162" s="310">
        <f t="shared" si="345"/>
        <v>-2.1960185018204958</v>
      </c>
      <c r="DH162" s="256"/>
      <c r="DI162" s="256"/>
      <c r="DJ162" s="610">
        <f>DJ152/DJ172</f>
        <v>4.1262989608313356</v>
      </c>
      <c r="DK162" s="310">
        <f t="shared" si="346"/>
        <v>10.157523842657469</v>
      </c>
      <c r="DL162" s="256"/>
      <c r="DM162" s="256"/>
      <c r="DN162" s="610">
        <f>DN152/DN172</f>
        <v>4.3988554173072734</v>
      </c>
      <c r="DO162" s="310">
        <f t="shared" si="347"/>
        <v>6.6053492261022528</v>
      </c>
      <c r="DP162" s="256"/>
      <c r="DQ162" s="256"/>
      <c r="DR162" s="256"/>
      <c r="DS162" s="256"/>
      <c r="DT162" s="256"/>
      <c r="DU162" s="256"/>
      <c r="DV162" s="256"/>
      <c r="DW162" s="256"/>
      <c r="DX162" s="256"/>
      <c r="DY162" s="256"/>
      <c r="DZ162" s="256"/>
      <c r="EA162" s="256"/>
    </row>
    <row r="163" spans="1:131" hidden="1" outlineLevel="1">
      <c r="A163" s="256" t="str">
        <f>$A$15</f>
        <v>6 Mos</v>
      </c>
      <c r="B163" s="256"/>
      <c r="C163" s="256"/>
      <c r="D163" s="256"/>
      <c r="E163" s="256"/>
      <c r="F163" s="256"/>
      <c r="G163" s="256"/>
      <c r="H163" s="256"/>
      <c r="I163" s="256"/>
      <c r="J163" s="256"/>
      <c r="K163" s="256"/>
      <c r="L163" s="256"/>
      <c r="M163" s="256"/>
      <c r="N163" s="256"/>
      <c r="O163" s="256"/>
      <c r="P163" s="256"/>
      <c r="Q163" s="256"/>
      <c r="R163" s="256"/>
      <c r="S163" s="256"/>
      <c r="T163" s="256"/>
      <c r="U163" s="256"/>
      <c r="V163" s="256"/>
      <c r="W163" s="256"/>
      <c r="X163" s="256"/>
      <c r="Y163" s="256"/>
      <c r="Z163" s="256"/>
      <c r="AA163" s="256"/>
      <c r="AB163" s="256"/>
      <c r="AC163" s="256"/>
      <c r="AD163" s="256"/>
      <c r="AE163" s="256"/>
      <c r="AF163" s="256"/>
      <c r="AG163" s="256"/>
      <c r="AH163" s="256"/>
      <c r="AI163" s="256"/>
      <c r="AJ163" s="256"/>
      <c r="AK163" s="256"/>
      <c r="AL163" s="256"/>
      <c r="AM163" s="256"/>
      <c r="AN163" s="256"/>
      <c r="AO163" s="256"/>
      <c r="AP163" s="256"/>
      <c r="AQ163" s="256"/>
      <c r="AR163" s="256"/>
      <c r="AS163" s="256"/>
      <c r="AT163" s="256"/>
      <c r="AU163" s="256"/>
      <c r="AV163" s="256"/>
      <c r="AW163" s="256"/>
      <c r="AX163" s="256"/>
      <c r="AY163" s="256"/>
      <c r="AZ163" s="256"/>
      <c r="BA163" s="256"/>
      <c r="BB163" s="256"/>
      <c r="BC163" s="256"/>
      <c r="BD163" s="256"/>
      <c r="BE163" s="256"/>
      <c r="BF163" s="256"/>
      <c r="BG163" s="256"/>
      <c r="BH163" s="256"/>
      <c r="BI163" s="256"/>
      <c r="BJ163" s="256"/>
      <c r="BK163" s="256"/>
      <c r="BL163" s="256"/>
      <c r="BM163" s="587"/>
      <c r="BN163" s="256"/>
      <c r="BO163" s="256"/>
      <c r="BP163" s="256"/>
      <c r="BQ163" s="599"/>
      <c r="BR163" s="320">
        <f>SUM(BR158:BR159)</f>
        <v>0.59026425346768008</v>
      </c>
      <c r="BS163" s="256"/>
      <c r="BT163" s="256"/>
      <c r="BU163" s="256"/>
      <c r="BV163" s="320">
        <f>SUM(BV158:BV159)</f>
        <v>0.86062731560638539</v>
      </c>
      <c r="BW163" s="310">
        <f t="shared" si="336"/>
        <v>45.803732912907805</v>
      </c>
      <c r="BX163" s="256"/>
      <c r="BY163" s="256"/>
      <c r="BZ163" s="320">
        <f>SUM(BZ158:BZ159)</f>
        <v>1.1301714332598833</v>
      </c>
      <c r="CA163" s="310">
        <f t="shared" si="337"/>
        <v>31.319493672308219</v>
      </c>
      <c r="CB163" s="256"/>
      <c r="CC163" s="256"/>
      <c r="CD163" s="320">
        <f>SUM(CD158:CD159)</f>
        <v>0.65198700674039189</v>
      </c>
      <c r="CE163" s="310">
        <f t="shared" si="338"/>
        <v>-42.310786881261819</v>
      </c>
      <c r="CF163" s="256"/>
      <c r="CG163" s="256"/>
      <c r="CH163" s="320">
        <f>SUM(CH158:CH159)</f>
        <v>1.0283195959328362</v>
      </c>
      <c r="CI163" s="310">
        <f t="shared" si="339"/>
        <v>57.720872548353142</v>
      </c>
      <c r="CJ163" s="256"/>
      <c r="CK163" s="256"/>
      <c r="CL163" s="320">
        <f>SUM(CL158:CL159)</f>
        <v>1.3202826249709769</v>
      </c>
      <c r="CM163" s="310">
        <f t="shared" si="340"/>
        <v>28.392245970309226</v>
      </c>
      <c r="CN163" s="256"/>
      <c r="CO163" s="256"/>
      <c r="CP163" s="320">
        <f>SUM(CP158:CP159)</f>
        <v>1.3552280400145116</v>
      </c>
      <c r="CQ163" s="310">
        <f t="shared" si="341"/>
        <v>2.6468132188214533</v>
      </c>
      <c r="CR163" s="256"/>
      <c r="CS163" s="256"/>
      <c r="CT163" s="320">
        <f>SUM(CT158:CT159)</f>
        <v>1.5285956472372799</v>
      </c>
      <c r="CU163" s="310">
        <f t="shared" si="342"/>
        <v>12.792504442345498</v>
      </c>
      <c r="CV163" s="256"/>
      <c r="CW163" s="256"/>
      <c r="CX163" s="320">
        <f>SUM(CX158:CX159)</f>
        <v>1.9231945350028121</v>
      </c>
      <c r="CY163" s="310">
        <f t="shared" si="343"/>
        <v>25.814471503874415</v>
      </c>
      <c r="CZ163" s="256"/>
      <c r="DA163" s="256"/>
      <c r="DB163" s="320">
        <f>SUM(DB158:DB159)</f>
        <v>1.66619110121935</v>
      </c>
      <c r="DC163" s="310">
        <f t="shared" si="344"/>
        <v>-13.363361277598806</v>
      </c>
      <c r="DD163" s="256"/>
      <c r="DE163" s="256"/>
      <c r="DF163" s="320">
        <f>SUM(DF158:DF159)</f>
        <v>1.5332601142972226</v>
      </c>
      <c r="DG163" s="310">
        <f t="shared" si="345"/>
        <v>-7.9781356907287488</v>
      </c>
      <c r="DH163" s="256"/>
      <c r="DI163" s="256"/>
      <c r="DJ163" s="320">
        <f>SUM(DJ158:DJ159)</f>
        <v>1.660685178911939</v>
      </c>
      <c r="DK163" s="310">
        <f t="shared" si="346"/>
        <v>8.3107271510237002</v>
      </c>
      <c r="DL163" s="256"/>
      <c r="DM163" s="256"/>
      <c r="DN163" s="320">
        <f>SUM(DN158:DN159)</f>
        <v>1.879366771238145</v>
      </c>
      <c r="DO163" s="310">
        <f t="shared" si="347"/>
        <v>13.168154632986106</v>
      </c>
      <c r="DP163" s="256"/>
      <c r="DQ163" s="256"/>
      <c r="DR163" s="256"/>
      <c r="DS163" s="256"/>
      <c r="DT163" s="256"/>
      <c r="DU163" s="256"/>
      <c r="DV163" s="256"/>
      <c r="DW163" s="256"/>
      <c r="DX163" s="256"/>
      <c r="DY163" s="256"/>
      <c r="DZ163" s="256"/>
      <c r="EA163" s="256"/>
    </row>
    <row r="164" spans="1:131" hidden="1" outlineLevel="1">
      <c r="A164" s="256" t="str">
        <f>$A$16</f>
        <v>9 Mos</v>
      </c>
      <c r="B164" s="256"/>
      <c r="C164" s="256"/>
      <c r="D164" s="256"/>
      <c r="E164" s="256"/>
      <c r="F164" s="256"/>
      <c r="G164" s="256"/>
      <c r="H164" s="256"/>
      <c r="I164" s="256"/>
      <c r="J164" s="256"/>
      <c r="K164" s="256"/>
      <c r="L164" s="256"/>
      <c r="M164" s="256"/>
      <c r="N164" s="256"/>
      <c r="O164" s="256"/>
      <c r="P164" s="256"/>
      <c r="Q164" s="256"/>
      <c r="R164" s="256"/>
      <c r="S164" s="256"/>
      <c r="T164" s="256"/>
      <c r="U164" s="256"/>
      <c r="V164" s="256"/>
      <c r="W164" s="256"/>
      <c r="X164" s="256"/>
      <c r="Y164" s="256"/>
      <c r="Z164" s="256"/>
      <c r="AA164" s="256"/>
      <c r="AB164" s="256"/>
      <c r="AC164" s="256"/>
      <c r="AD164" s="256"/>
      <c r="AE164" s="256"/>
      <c r="AF164" s="256"/>
      <c r="AG164" s="256"/>
      <c r="AH164" s="256"/>
      <c r="AI164" s="256"/>
      <c r="AJ164" s="256"/>
      <c r="AK164" s="256"/>
      <c r="AL164" s="256"/>
      <c r="AM164" s="256"/>
      <c r="AN164" s="256"/>
      <c r="AO164" s="256"/>
      <c r="AP164" s="256"/>
      <c r="AQ164" s="256"/>
      <c r="AR164" s="256"/>
      <c r="AS164" s="256"/>
      <c r="AT164" s="256"/>
      <c r="AU164" s="256"/>
      <c r="AV164" s="256"/>
      <c r="AW164" s="256"/>
      <c r="AX164" s="256"/>
      <c r="AY164" s="256"/>
      <c r="AZ164" s="256"/>
      <c r="BA164" s="256"/>
      <c r="BB164" s="256"/>
      <c r="BC164" s="256"/>
      <c r="BD164" s="256"/>
      <c r="BE164" s="256"/>
      <c r="BF164" s="256"/>
      <c r="BG164" s="256"/>
      <c r="BH164" s="256"/>
      <c r="BI164" s="256"/>
      <c r="BJ164" s="256"/>
      <c r="BK164" s="256"/>
      <c r="BL164" s="256"/>
      <c r="BM164" s="587"/>
      <c r="BN164" s="256"/>
      <c r="BO164" s="256"/>
      <c r="BP164" s="256"/>
      <c r="BQ164" s="599"/>
      <c r="BR164" s="320">
        <f>SUM(BR158:BR160)</f>
        <v>0.80011217097444853</v>
      </c>
      <c r="BS164" s="256"/>
      <c r="BT164" s="256"/>
      <c r="BU164" s="256"/>
      <c r="BV164" s="320">
        <f>SUM(BV158:BV160)</f>
        <v>1.5997786343672731</v>
      </c>
      <c r="BW164" s="310">
        <f t="shared" si="336"/>
        <v>99.944294362991485</v>
      </c>
      <c r="BX164" s="256"/>
      <c r="BY164" s="256"/>
      <c r="BZ164" s="320">
        <f>SUM(BZ158:BZ160)</f>
        <v>1.4806706366161957</v>
      </c>
      <c r="CA164" s="310">
        <f t="shared" si="337"/>
        <v>-7.4452799401328207</v>
      </c>
      <c r="CB164" s="256"/>
      <c r="CC164" s="256"/>
      <c r="CD164" s="320">
        <f>SUM(CD158:CD160)</f>
        <v>0.99709219697466112</v>
      </c>
      <c r="CE164" s="310">
        <f t="shared" si="338"/>
        <v>-32.659419838747219</v>
      </c>
      <c r="CF164" s="256"/>
      <c r="CG164" s="256"/>
      <c r="CH164" s="320">
        <f>SUM(CH158:CH160)</f>
        <v>1.4589438873991589</v>
      </c>
      <c r="CI164" s="310">
        <f t="shared" si="339"/>
        <v>46.319858065866981</v>
      </c>
      <c r="CJ164" s="256"/>
      <c r="CK164" s="256"/>
      <c r="CL164" s="320">
        <f>SUM(CL158:CL160)</f>
        <v>2.0165609220240466</v>
      </c>
      <c r="CM164" s="310">
        <f t="shared" si="340"/>
        <v>38.220595009924921</v>
      </c>
      <c r="CN164" s="256"/>
      <c r="CO164" s="256"/>
      <c r="CP164" s="320">
        <f>SUM(CP158:CP160)</f>
        <v>1.849192168800613</v>
      </c>
      <c r="CQ164" s="310">
        <f t="shared" si="341"/>
        <v>-8.2997122177416607</v>
      </c>
      <c r="CR164" s="256"/>
      <c r="CS164" s="256"/>
      <c r="CT164" s="320">
        <f>SUM(CT158:CT160)</f>
        <v>2.262154348991122</v>
      </c>
      <c r="CU164" s="310">
        <f t="shared" si="342"/>
        <v>22.332031638353556</v>
      </c>
      <c r="CV164" s="256"/>
      <c r="CW164" s="256"/>
      <c r="CX164" s="320">
        <f>SUM(CX158:CX160)</f>
        <v>2.2176135905352874</v>
      </c>
      <c r="CY164" s="310">
        <f t="shared" si="343"/>
        <v>-1.9689531121383941</v>
      </c>
      <c r="CZ164" s="256"/>
      <c r="DA164" s="256"/>
      <c r="DB164" s="320">
        <f>SUM(DB158:DB160)</f>
        <v>2.3710710392518828</v>
      </c>
      <c r="DC164" s="310">
        <f t="shared" si="344"/>
        <v>6.9199363392949742</v>
      </c>
      <c r="DD164" s="256"/>
      <c r="DE164" s="256"/>
      <c r="DF164" s="320">
        <f>SUM(DF158:DF160)</f>
        <v>2.2946692415990642</v>
      </c>
      <c r="DG164" s="310">
        <f t="shared" si="345"/>
        <v>-3.2222483589915862</v>
      </c>
      <c r="DH164" s="256"/>
      <c r="DI164" s="256"/>
      <c r="DJ164" s="320">
        <f>SUM(DJ158:DJ160)</f>
        <v>2.4622851789119395</v>
      </c>
      <c r="DK164" s="310">
        <f t="shared" si="346"/>
        <v>7.3045794258378871</v>
      </c>
      <c r="DL164" s="256"/>
      <c r="DM164" s="256"/>
      <c r="DN164" s="320">
        <f>SUM(DN158:DN160)</f>
        <v>2.7060210067172981</v>
      </c>
      <c r="DO164" s="310">
        <f t="shared" si="347"/>
        <v>9.8987651752451722</v>
      </c>
      <c r="DP164" s="256"/>
      <c r="DQ164" s="256"/>
      <c r="DR164" s="256"/>
      <c r="DS164" s="256"/>
      <c r="DT164" s="256"/>
      <c r="DU164" s="256"/>
      <c r="DV164" s="256"/>
      <c r="DW164" s="256"/>
      <c r="DX164" s="256"/>
      <c r="DY164" s="256"/>
      <c r="DZ164" s="256"/>
      <c r="EA164" s="256"/>
    </row>
    <row r="165" spans="1:131" collapsed="1">
      <c r="A165" s="256"/>
      <c r="B165" s="256"/>
      <c r="C165" s="256"/>
      <c r="D165" s="256"/>
      <c r="E165" s="256"/>
      <c r="F165" s="256"/>
      <c r="G165" s="256"/>
      <c r="H165" s="256"/>
      <c r="I165" s="256"/>
      <c r="J165" s="256"/>
      <c r="K165" s="256"/>
      <c r="L165" s="256"/>
      <c r="M165" s="256"/>
      <c r="N165" s="256"/>
      <c r="O165" s="256"/>
      <c r="P165" s="256"/>
      <c r="Q165" s="256"/>
      <c r="R165" s="256"/>
      <c r="S165" s="256"/>
      <c r="T165" s="256"/>
      <c r="U165" s="256"/>
      <c r="V165" s="256"/>
      <c r="W165" s="256"/>
      <c r="X165" s="256"/>
      <c r="Y165" s="256"/>
      <c r="Z165" s="256"/>
      <c r="AA165" s="256"/>
      <c r="AB165" s="256"/>
      <c r="AC165" s="256"/>
      <c r="AD165" s="256"/>
      <c r="AE165" s="256"/>
      <c r="AF165" s="256"/>
      <c r="AG165" s="256"/>
      <c r="AH165" s="256"/>
      <c r="AI165" s="256"/>
      <c r="AJ165" s="256"/>
      <c r="AK165" s="256"/>
      <c r="AL165" s="256"/>
      <c r="AM165" s="256"/>
      <c r="AN165" s="256"/>
      <c r="AO165" s="256"/>
      <c r="AP165" s="256"/>
      <c r="AQ165" s="256"/>
      <c r="AR165" s="256"/>
      <c r="AS165" s="256"/>
      <c r="AT165" s="256"/>
      <c r="AU165" s="256"/>
      <c r="AV165" s="256"/>
      <c r="AW165" s="256"/>
      <c r="AX165" s="256"/>
      <c r="AY165" s="256"/>
      <c r="AZ165" s="256"/>
      <c r="BA165" s="256"/>
      <c r="BB165" s="256"/>
      <c r="BC165" s="256"/>
      <c r="BD165" s="256"/>
      <c r="BE165" s="256"/>
      <c r="BF165" s="256"/>
      <c r="BG165" s="256"/>
      <c r="BH165" s="256"/>
      <c r="BI165" s="256"/>
      <c r="BJ165" s="256"/>
      <c r="BK165" s="256"/>
      <c r="BL165" s="256"/>
      <c r="BM165" s="587"/>
      <c r="BN165" s="256"/>
      <c r="BO165" s="256"/>
      <c r="BP165" s="256"/>
      <c r="BQ165" s="599"/>
      <c r="BR165" s="256"/>
      <c r="BS165" s="256"/>
      <c r="BT165" s="256"/>
      <c r="BU165" s="256"/>
      <c r="BV165" s="256"/>
      <c r="BW165" s="256"/>
      <c r="BX165" s="256"/>
      <c r="BY165" s="256"/>
      <c r="BZ165" s="256"/>
      <c r="CA165" s="256"/>
      <c r="CB165" s="256"/>
      <c r="CC165" s="256"/>
      <c r="CD165" s="256"/>
      <c r="CE165" s="256"/>
      <c r="CF165" s="256"/>
      <c r="CG165" s="256"/>
      <c r="CH165" s="256"/>
      <c r="CI165" s="256"/>
      <c r="CJ165" s="256"/>
      <c r="CK165" s="256"/>
      <c r="CL165" s="256"/>
      <c r="CM165" s="256"/>
      <c r="CN165" s="256"/>
      <c r="CO165" s="256"/>
      <c r="CP165" s="256"/>
      <c r="CQ165" s="256"/>
      <c r="CR165" s="256"/>
      <c r="CS165" s="256"/>
      <c r="CT165" s="610"/>
      <c r="CU165" s="256"/>
      <c r="CV165" s="256"/>
      <c r="CW165" s="256"/>
      <c r="CX165" s="610"/>
      <c r="CY165" s="256"/>
      <c r="CZ165" s="256"/>
      <c r="DA165" s="256"/>
      <c r="DB165" s="610"/>
      <c r="DC165" s="256"/>
      <c r="DD165" s="256"/>
      <c r="DE165" s="256"/>
      <c r="DF165" s="610"/>
      <c r="DG165" s="256"/>
      <c r="DH165" s="256"/>
      <c r="DI165" s="256"/>
      <c r="DJ165" s="610"/>
      <c r="DK165" s="256"/>
      <c r="DL165" s="256"/>
      <c r="DM165" s="256"/>
      <c r="DN165" s="610"/>
      <c r="DO165" s="256"/>
      <c r="DP165" s="256"/>
      <c r="DQ165" s="256"/>
      <c r="DR165" s="256"/>
      <c r="DS165" s="256"/>
      <c r="DT165" s="256"/>
      <c r="DU165" s="256"/>
      <c r="DV165" s="256"/>
      <c r="DW165" s="256"/>
      <c r="DX165" s="256"/>
      <c r="DY165" s="256"/>
      <c r="DZ165" s="256"/>
      <c r="EA165" s="256"/>
    </row>
    <row r="166" spans="1:131" ht="12.75" customHeight="1">
      <c r="C166" s="268"/>
      <c r="D166" s="598"/>
      <c r="E166" s="268" t="str">
        <f>Z166</f>
        <v>10.  Average Shares Outstanding -- Fully Diluted</v>
      </c>
      <c r="F166" s="598"/>
      <c r="G166" s="256"/>
      <c r="H166" s="256"/>
      <c r="I166" s="256"/>
      <c r="J166" s="598"/>
      <c r="K166" s="256"/>
      <c r="L166" s="256"/>
      <c r="M166" s="256"/>
      <c r="N166" s="598"/>
      <c r="O166" s="256"/>
      <c r="P166" s="256"/>
      <c r="Q166" s="256"/>
      <c r="R166" s="598"/>
      <c r="S166" s="256"/>
      <c r="T166" s="256"/>
      <c r="U166" s="256"/>
      <c r="V166" s="598"/>
      <c r="W166" s="256"/>
      <c r="X166" s="256"/>
      <c r="Y166" s="256"/>
      <c r="Z166" s="599" t="s">
        <v>1373</v>
      </c>
      <c r="AA166" s="312"/>
      <c r="AB166" s="312"/>
      <c r="AC166" s="312"/>
      <c r="AD166" s="600"/>
      <c r="AE166" s="312"/>
      <c r="AF166" s="312"/>
      <c r="AG166" s="312"/>
      <c r="AH166" s="600"/>
      <c r="AI166" s="312"/>
      <c r="AJ166" s="312"/>
      <c r="AK166" s="312"/>
      <c r="AL166" s="600"/>
      <c r="AM166" s="312"/>
      <c r="AN166" s="312"/>
      <c r="AO166" s="312"/>
      <c r="AP166" s="256"/>
      <c r="AQ166" s="256"/>
      <c r="AR166" s="256"/>
      <c r="AS166" s="256"/>
      <c r="AT166" s="256"/>
      <c r="AU166" s="256"/>
      <c r="AV166" s="256"/>
      <c r="AW166" s="256"/>
      <c r="AX166" s="256"/>
      <c r="AY166" s="256"/>
      <c r="AZ166" s="256"/>
      <c r="BA166" s="256"/>
      <c r="BB166" s="600"/>
      <c r="BC166" s="600"/>
      <c r="BD166" s="600"/>
      <c r="BE166" s="600"/>
      <c r="BF166" s="600"/>
      <c r="BG166" s="600"/>
      <c r="BH166" s="600"/>
      <c r="BI166" s="600"/>
      <c r="BJ166" s="600" t="s">
        <v>764</v>
      </c>
      <c r="BK166" s="600"/>
      <c r="BL166" s="600"/>
      <c r="BM166" s="600"/>
      <c r="BN166" s="600"/>
      <c r="BO166" s="600"/>
      <c r="BP166" s="600"/>
      <c r="BQ166" s="600"/>
      <c r="BR166" s="600"/>
      <c r="BS166" s="600"/>
      <c r="BT166" s="600"/>
      <c r="BU166" s="600"/>
      <c r="BV166" s="600" t="s">
        <v>764</v>
      </c>
      <c r="BW166" s="600"/>
      <c r="BX166" s="600"/>
      <c r="BY166" s="600"/>
      <c r="BZ166" s="600"/>
      <c r="CA166" s="600"/>
      <c r="CB166" s="600"/>
      <c r="CC166" s="600"/>
      <c r="CE166" s="600"/>
      <c r="CF166" s="600"/>
      <c r="CG166" s="600"/>
      <c r="CH166" s="600"/>
      <c r="CI166" s="600"/>
      <c r="CJ166" s="600"/>
      <c r="CK166" s="600"/>
      <c r="CL166" s="600"/>
      <c r="CM166" s="600"/>
      <c r="CO166" s="600"/>
      <c r="CP166" s="600"/>
      <c r="CQ166" s="600"/>
      <c r="CR166" s="600"/>
      <c r="CS166" s="880"/>
      <c r="CT166" s="600"/>
      <c r="CU166" s="600"/>
      <c r="CV166" s="600"/>
      <c r="CW166" s="880"/>
      <c r="CX166" s="1814"/>
      <c r="CY166" s="600"/>
      <c r="CZ166" s="600"/>
      <c r="DA166" s="880"/>
      <c r="DB166" s="600" t="s">
        <v>764</v>
      </c>
      <c r="DC166" s="600"/>
      <c r="DD166" s="600"/>
      <c r="DE166" s="880"/>
      <c r="DF166" s="1814"/>
      <c r="DG166" s="600"/>
      <c r="DH166" s="600"/>
      <c r="DI166" s="880"/>
      <c r="DJ166" s="1814"/>
      <c r="DK166" s="600"/>
      <c r="DL166" s="600"/>
      <c r="DM166" s="880"/>
      <c r="DN166" s="1814"/>
      <c r="DO166" s="600"/>
      <c r="DP166" s="600"/>
      <c r="DQ166" s="880"/>
      <c r="DR166" s="880"/>
      <c r="DS166" s="880"/>
      <c r="DT166" s="880"/>
      <c r="DU166" s="880"/>
      <c r="DV166" s="880"/>
      <c r="DW166" s="880"/>
      <c r="DX166" s="880"/>
      <c r="DY166" s="880"/>
      <c r="DZ166" s="880"/>
      <c r="EA166" s="880"/>
    </row>
    <row r="167" spans="1:131">
      <c r="C167" s="256"/>
      <c r="D167" s="256"/>
      <c r="E167" s="256"/>
      <c r="F167" s="256"/>
      <c r="G167" s="256"/>
      <c r="H167" s="256"/>
      <c r="I167" s="256"/>
      <c r="J167" s="256"/>
      <c r="K167" s="256"/>
      <c r="L167" s="256"/>
      <c r="M167" s="256"/>
      <c r="N167" s="256"/>
      <c r="O167" s="256"/>
      <c r="P167" s="256"/>
      <c r="Q167" s="256"/>
      <c r="R167" s="256"/>
      <c r="S167" s="256"/>
      <c r="T167" s="256"/>
      <c r="U167" s="256"/>
      <c r="V167" s="256"/>
      <c r="W167" s="256"/>
      <c r="X167" s="256"/>
      <c r="Y167" s="256"/>
      <c r="Z167" s="256"/>
      <c r="AA167" s="256"/>
      <c r="AB167" s="256"/>
      <c r="AC167" s="256"/>
      <c r="AD167" s="256"/>
      <c r="AE167" s="256"/>
      <c r="AF167" s="256"/>
      <c r="AG167" s="256"/>
      <c r="AH167" s="256"/>
      <c r="AI167" s="256"/>
      <c r="AJ167" s="256"/>
      <c r="AK167" s="256"/>
      <c r="AL167" s="256"/>
      <c r="AM167" s="256"/>
      <c r="AN167" s="256"/>
      <c r="AO167" s="256"/>
      <c r="AP167" s="256"/>
      <c r="AQ167" s="256"/>
      <c r="AR167" s="256"/>
      <c r="AS167" s="256"/>
      <c r="AT167" s="256"/>
      <c r="AU167" s="256"/>
      <c r="AV167" s="256"/>
      <c r="AW167" s="256"/>
      <c r="AX167" s="256"/>
      <c r="AY167" s="256"/>
      <c r="AZ167" s="256"/>
      <c r="BA167" s="256"/>
      <c r="BB167" s="256"/>
      <c r="BC167" s="256"/>
      <c r="BD167" s="256"/>
      <c r="BE167" s="256"/>
      <c r="BF167" s="256"/>
      <c r="BG167" s="256"/>
      <c r="BH167" s="256"/>
      <c r="BI167" s="256"/>
      <c r="BJ167" s="256"/>
      <c r="BK167" s="256"/>
      <c r="BL167" s="256"/>
      <c r="BM167" s="587"/>
      <c r="BN167" s="256"/>
      <c r="BO167" s="256"/>
      <c r="BP167" s="256"/>
      <c r="BQ167" s="599"/>
      <c r="BR167" s="256"/>
      <c r="BS167" s="256"/>
      <c r="BT167" s="256"/>
      <c r="BU167" s="256"/>
      <c r="BV167" s="256"/>
      <c r="BW167" s="256"/>
      <c r="BX167" s="256"/>
      <c r="BY167" s="256"/>
      <c r="BZ167" s="256"/>
      <c r="CA167" s="256"/>
      <c r="CB167" s="256"/>
      <c r="CC167" s="256"/>
      <c r="CD167" s="256"/>
      <c r="CE167" s="256"/>
      <c r="CF167" s="256"/>
      <c r="CG167" s="256"/>
      <c r="CH167" s="256"/>
      <c r="CI167" s="256"/>
      <c r="CJ167" s="256"/>
      <c r="CK167" s="256"/>
      <c r="CL167" s="256"/>
      <c r="CM167" s="256"/>
      <c r="CN167" s="256"/>
      <c r="CO167" s="256"/>
      <c r="CP167" s="1637"/>
      <c r="CQ167" s="1637"/>
      <c r="CR167" s="256"/>
      <c r="CS167" s="256"/>
      <c r="CT167" s="256"/>
      <c r="CU167" s="256"/>
      <c r="CV167" s="256"/>
      <c r="CW167" s="256"/>
      <c r="CX167" s="256"/>
      <c r="CY167" s="256"/>
      <c r="CZ167" s="256"/>
      <c r="DA167" s="256"/>
      <c r="DB167" s="256"/>
      <c r="DC167" s="256"/>
      <c r="DD167" s="256"/>
      <c r="DE167" s="256"/>
      <c r="DF167" s="256"/>
      <c r="DG167" s="256"/>
      <c r="DH167" s="256"/>
      <c r="DI167" s="256"/>
      <c r="DJ167" s="256"/>
      <c r="DK167" s="256"/>
      <c r="DL167" s="256"/>
      <c r="DM167" s="256"/>
      <c r="DN167" s="256"/>
      <c r="DO167" s="256"/>
      <c r="DP167" s="256"/>
      <c r="DQ167" s="256"/>
      <c r="DR167" s="256"/>
      <c r="DS167" s="256"/>
      <c r="DT167" s="256"/>
      <c r="DU167" s="256"/>
      <c r="DV167" s="256"/>
      <c r="DW167" s="256"/>
      <c r="DX167" s="256"/>
      <c r="DY167" s="256"/>
      <c r="DZ167" s="256"/>
      <c r="EA167" s="256"/>
    </row>
    <row r="168" spans="1:131">
      <c r="A168" s="256" t="str">
        <f>$A$10</f>
        <v>1Q</v>
      </c>
      <c r="B168" s="256" t="str">
        <f>$B$10</f>
        <v>Apr</v>
      </c>
      <c r="C168" s="256"/>
      <c r="D168" s="295"/>
      <c r="E168" s="256"/>
      <c r="F168" s="295"/>
      <c r="G168" s="288"/>
      <c r="H168" s="288"/>
      <c r="I168" s="256"/>
      <c r="J168" s="602">
        <f>16.289*2-J169</f>
        <v>15.851000000000003</v>
      </c>
      <c r="K168" s="288"/>
      <c r="L168" s="288"/>
      <c r="M168" s="256"/>
      <c r="N168" s="602">
        <f>2*16.71-N169</f>
        <v>16.733000000000001</v>
      </c>
      <c r="O168" s="288"/>
      <c r="P168" s="288"/>
      <c r="Q168" s="256"/>
      <c r="R168" s="295">
        <v>16.648</v>
      </c>
      <c r="S168" s="288"/>
      <c r="T168" s="288"/>
      <c r="U168" s="256"/>
      <c r="V168" s="295">
        <v>16.696000000000002</v>
      </c>
      <c r="W168" s="288"/>
      <c r="X168" s="288"/>
      <c r="Y168" s="256"/>
      <c r="Z168" s="295">
        <v>16.759</v>
      </c>
      <c r="AA168" s="288"/>
      <c r="AB168" s="288"/>
      <c r="AC168" s="256"/>
      <c r="AD168" s="295">
        <f>35.396*2</f>
        <v>70.792000000000002</v>
      </c>
      <c r="AE168" s="288"/>
      <c r="AF168" s="288"/>
      <c r="AG168" s="256"/>
      <c r="AH168" s="295">
        <f>35.998*2</f>
        <v>71.995999999999995</v>
      </c>
      <c r="AI168" s="288"/>
      <c r="AJ168" s="288"/>
      <c r="AK168" s="256"/>
      <c r="AL168" s="295">
        <v>72.686000000000007</v>
      </c>
      <c r="AM168" s="288"/>
      <c r="AN168" s="288"/>
      <c r="AO168" s="288"/>
      <c r="AP168" s="295">
        <f>72.702*2</f>
        <v>145.404</v>
      </c>
      <c r="AQ168" s="256"/>
      <c r="AR168" s="256"/>
      <c r="AS168" s="256"/>
      <c r="AT168" s="295">
        <v>151.83600000000001</v>
      </c>
      <c r="AU168" s="612">
        <f>(AT168/AP168-1)*100</f>
        <v>4.4235371791697675</v>
      </c>
      <c r="AV168" s="256"/>
      <c r="AW168" s="256"/>
      <c r="AX168" s="295">
        <v>151.304</v>
      </c>
      <c r="AY168" s="612">
        <f>(AX168/AT168-1)*100</f>
        <v>-0.3503780394636391</v>
      </c>
      <c r="AZ168" s="256"/>
      <c r="BA168" s="256"/>
      <c r="BB168" s="295">
        <v>150.18100000000001</v>
      </c>
      <c r="BC168" s="612">
        <f>(BB168/AX168-1)*100</f>
        <v>-0.74221434991803559</v>
      </c>
      <c r="BD168" s="256"/>
      <c r="BE168" s="256"/>
      <c r="BF168" s="295">
        <v>147.43799999999999</v>
      </c>
      <c r="BG168" s="612">
        <f>(BF168/BB168-1)*100</f>
        <v>-1.8264627349664941</v>
      </c>
      <c r="BH168" s="256"/>
      <c r="BI168" s="256"/>
      <c r="BJ168" s="295">
        <v>149.28899999999999</v>
      </c>
      <c r="BK168" s="612">
        <f>(BJ168/BF168-1)*100</f>
        <v>1.2554429658568234</v>
      </c>
      <c r="BL168" s="256"/>
      <c r="BM168" s="587"/>
      <c r="BN168" s="295">
        <v>146.285</v>
      </c>
      <c r="BO168" s="612"/>
      <c r="BP168" s="256"/>
      <c r="BQ168" s="599"/>
      <c r="BR168" s="295">
        <v>144.36699999999999</v>
      </c>
      <c r="BS168" s="612"/>
      <c r="BT168" s="256"/>
      <c r="BU168" s="256"/>
      <c r="BV168" s="295">
        <v>139.72399999999999</v>
      </c>
      <c r="BW168" s="612"/>
      <c r="BX168" s="256"/>
      <c r="BY168" s="256"/>
      <c r="BZ168" s="295">
        <v>128.773</v>
      </c>
      <c r="CA168" s="612"/>
      <c r="CB168" s="256"/>
      <c r="CC168" s="256"/>
      <c r="CD168" s="295">
        <v>124.164</v>
      </c>
      <c r="CE168" s="612"/>
      <c r="CF168" s="256"/>
      <c r="CG168" s="256"/>
      <c r="CH168" s="295">
        <v>128.54300000000001</v>
      </c>
      <c r="CI168" s="612"/>
      <c r="CJ168" s="256"/>
      <c r="CK168" s="256"/>
      <c r="CL168" s="295">
        <v>129.381</v>
      </c>
      <c r="CM168" s="612">
        <f>CL168-CL178</f>
        <v>1.7800000000000011</v>
      </c>
      <c r="CN168" s="256"/>
      <c r="CO168" s="256"/>
      <c r="CP168" s="295">
        <v>128.16999999999999</v>
      </c>
      <c r="CQ168" s="612">
        <f>CP168-CP178</f>
        <v>1.4469999999999885</v>
      </c>
      <c r="CR168" s="256"/>
      <c r="CS168" s="256"/>
      <c r="CT168" s="295">
        <v>128.441</v>
      </c>
      <c r="CU168" s="612">
        <f>CT168-CT178</f>
        <v>1.1230000000000047</v>
      </c>
      <c r="CV168" s="256"/>
      <c r="CW168" s="256"/>
      <c r="CX168" s="295">
        <v>129.79499999999999</v>
      </c>
      <c r="CY168" s="612">
        <f>CX168-CX178</f>
        <v>0.86199999999999477</v>
      </c>
      <c r="CZ168" s="256"/>
      <c r="DA168" s="256"/>
      <c r="DB168" s="295">
        <v>129.80000000000001</v>
      </c>
      <c r="DC168" s="612">
        <f>DB168-DB178</f>
        <v>0.60000000000002274</v>
      </c>
      <c r="DD168" s="256"/>
      <c r="DE168" s="256"/>
      <c r="DF168" s="2127">
        <v>126.5</v>
      </c>
      <c r="DG168" s="612">
        <f>DF168-DF178</f>
        <v>0.40000000000000568</v>
      </c>
      <c r="DH168" s="256"/>
      <c r="DI168" s="256"/>
      <c r="DJ168" s="2127">
        <v>125.3</v>
      </c>
      <c r="DK168" s="612">
        <f>DJ168-DJ178</f>
        <v>0.70000000000000284</v>
      </c>
      <c r="DL168" s="256"/>
      <c r="DM168" s="256"/>
      <c r="DN168" s="2391">
        <f>DJ171-(25/100)</f>
        <v>124.65</v>
      </c>
      <c r="DO168" s="612">
        <f>DN168-DN178</f>
        <v>0.69636871508380693</v>
      </c>
      <c r="DP168" s="256"/>
      <c r="DQ168" s="256"/>
      <c r="DR168" s="256"/>
      <c r="DS168" s="256"/>
      <c r="DT168" s="256"/>
      <c r="DU168" s="256"/>
      <c r="DV168" s="256"/>
      <c r="DW168" s="256"/>
      <c r="DX168" s="256"/>
      <c r="DY168" s="256"/>
      <c r="DZ168" s="256"/>
      <c r="EA168" s="256"/>
    </row>
    <row r="169" spans="1:131">
      <c r="A169" s="256" t="str">
        <f>$A$11</f>
        <v>2Q</v>
      </c>
      <c r="B169" s="256" t="str">
        <f>$B$11</f>
        <v>Jul</v>
      </c>
      <c r="C169" s="256"/>
      <c r="D169" s="295"/>
      <c r="E169" s="256"/>
      <c r="F169" s="295"/>
      <c r="G169" s="288"/>
      <c r="H169" s="288"/>
      <c r="I169" s="256"/>
      <c r="J169" s="295">
        <v>16.727</v>
      </c>
      <c r="K169" s="288"/>
      <c r="L169" s="288"/>
      <c r="M169" s="256"/>
      <c r="N169" s="295">
        <v>16.687000000000001</v>
      </c>
      <c r="O169" s="288"/>
      <c r="P169" s="288"/>
      <c r="Q169" s="256"/>
      <c r="R169" s="295">
        <v>16.672999999999998</v>
      </c>
      <c r="S169" s="288"/>
      <c r="T169" s="288"/>
      <c r="U169" s="256"/>
      <c r="V169" s="295">
        <v>16.817</v>
      </c>
      <c r="W169" s="288"/>
      <c r="X169" s="288"/>
      <c r="Y169" s="256"/>
      <c r="Z169" s="295">
        <v>16.939</v>
      </c>
      <c r="AA169" s="288"/>
      <c r="AB169" s="288"/>
      <c r="AC169" s="256"/>
      <c r="AD169" s="295">
        <f>35.688*2</f>
        <v>71.376000000000005</v>
      </c>
      <c r="AE169" s="288"/>
      <c r="AF169" s="288"/>
      <c r="AG169" s="256"/>
      <c r="AH169" s="295">
        <f>36.339*2</f>
        <v>72.677999999999997</v>
      </c>
      <c r="AI169" s="288"/>
      <c r="AJ169" s="288"/>
      <c r="AK169" s="256"/>
      <c r="AL169" s="295">
        <v>72.536000000000001</v>
      </c>
      <c r="AM169" s="288"/>
      <c r="AN169" s="288"/>
      <c r="AO169" s="288"/>
      <c r="AP169" s="295">
        <f>74.046*2</f>
        <v>148.09200000000001</v>
      </c>
      <c r="AQ169" s="256"/>
      <c r="AR169" s="256"/>
      <c r="AS169" s="256"/>
      <c r="AT169" s="295">
        <v>151.54599999999999</v>
      </c>
      <c r="AU169" s="612">
        <f>(AT169/AP169-1)*100</f>
        <v>2.3323339545687771</v>
      </c>
      <c r="AV169" s="256"/>
      <c r="AW169" s="256"/>
      <c r="AX169" s="295">
        <v>151.75200000000001</v>
      </c>
      <c r="AY169" s="612">
        <f>(AX169/AT169-1)*100</f>
        <v>0.13593232417881129</v>
      </c>
      <c r="AZ169" s="256"/>
      <c r="BA169" s="256"/>
      <c r="BB169" s="295">
        <v>149.727</v>
      </c>
      <c r="BC169" s="612">
        <f>(BB169/AX169-1)*100</f>
        <v>-1.3344140439664698</v>
      </c>
      <c r="BD169" s="256"/>
      <c r="BE169" s="256"/>
      <c r="BF169" s="295">
        <v>148.16300000000001</v>
      </c>
      <c r="BG169" s="612">
        <f>(BF169/BB169-1)*100</f>
        <v>-1.0445677800263065</v>
      </c>
      <c r="BH169" s="256"/>
      <c r="BI169" s="602"/>
      <c r="BJ169" s="295">
        <v>148.59200000000001</v>
      </c>
      <c r="BK169" s="612">
        <f>(BJ169/BF169-1)*100</f>
        <v>0.28954597301620311</v>
      </c>
      <c r="BL169" s="256"/>
      <c r="BM169" s="587"/>
      <c r="BN169" s="286">
        <v>144.93</v>
      </c>
      <c r="BO169" s="612"/>
      <c r="BP169" s="256"/>
      <c r="BQ169" s="599"/>
      <c r="BR169" s="295">
        <v>141.17699999999999</v>
      </c>
      <c r="BS169" s="612"/>
      <c r="BT169" s="256"/>
      <c r="BU169" s="256"/>
      <c r="BV169" s="295">
        <v>140.32499999999999</v>
      </c>
      <c r="BW169" s="612"/>
      <c r="BX169" s="256"/>
      <c r="BY169" s="256"/>
      <c r="BZ169" s="295">
        <v>128.17699999999999</v>
      </c>
      <c r="CA169" s="612"/>
      <c r="CB169" s="256"/>
      <c r="CC169" s="256"/>
      <c r="CD169" s="295">
        <v>124.523</v>
      </c>
      <c r="CE169" s="612"/>
      <c r="CF169" s="256"/>
      <c r="CG169" s="256"/>
      <c r="CH169" s="295">
        <v>128.38499999999999</v>
      </c>
      <c r="CI169" s="612"/>
      <c r="CJ169" s="256"/>
      <c r="CK169" s="256"/>
      <c r="CL169" s="295">
        <v>129.79400000000001</v>
      </c>
      <c r="CM169" s="612">
        <f>CL169-CL179</f>
        <v>1.76400000000001</v>
      </c>
      <c r="CN169" s="256"/>
      <c r="CO169" s="256"/>
      <c r="CP169" s="295">
        <v>127.663</v>
      </c>
      <c r="CQ169" s="612">
        <f>CP169-CP179</f>
        <v>1.7350380757199844</v>
      </c>
      <c r="CR169" s="256"/>
      <c r="CS169" s="256"/>
      <c r="CT169" s="1729">
        <v>128.77099999999999</v>
      </c>
      <c r="CU169" s="612">
        <f>CT169-CT179</f>
        <v>0.94499999999999318</v>
      </c>
      <c r="CV169" s="256"/>
      <c r="CW169" s="256"/>
      <c r="CX169" s="1729">
        <v>129.90799999999999</v>
      </c>
      <c r="CY169" s="612">
        <f>CX169-CX179</f>
        <v>0.65599999999997749</v>
      </c>
      <c r="CZ169" s="256"/>
      <c r="DA169" s="256"/>
      <c r="DB169" s="1729">
        <v>129.6</v>
      </c>
      <c r="DC169" s="612">
        <f>DB169-DB179</f>
        <v>0.59999999999999432</v>
      </c>
      <c r="DD169" s="256"/>
      <c r="DE169" s="256"/>
      <c r="DF169" s="2127">
        <v>125.6</v>
      </c>
      <c r="DG169" s="612">
        <f>DF169-DF179</f>
        <v>0.29999999999999716</v>
      </c>
      <c r="DH169" s="256"/>
      <c r="DI169" s="256"/>
      <c r="DJ169" s="2127">
        <v>125.1</v>
      </c>
      <c r="DK169" s="612">
        <f>DJ169-DJ179</f>
        <v>0.59999999999999432</v>
      </c>
      <c r="DL169" s="256"/>
      <c r="DM169" s="256"/>
      <c r="DN169" s="2391">
        <f>DN168-(25/100)</f>
        <v>124.4</v>
      </c>
      <c r="DO169" s="612">
        <f>DN169-DN179</f>
        <v>0.59664268585130742</v>
      </c>
      <c r="DP169" s="256"/>
      <c r="DQ169" s="256"/>
      <c r="DR169" s="256"/>
      <c r="DS169" s="256"/>
      <c r="DT169" s="256"/>
      <c r="DU169" s="256"/>
      <c r="DV169" s="256"/>
      <c r="DW169" s="256"/>
      <c r="DX169" s="256"/>
      <c r="DY169" s="256"/>
      <c r="DZ169" s="256"/>
      <c r="EA169" s="256"/>
    </row>
    <row r="170" spans="1:131">
      <c r="A170" s="256" t="str">
        <f>$A$12</f>
        <v>3Q</v>
      </c>
      <c r="B170" s="256" t="str">
        <f>$B$12</f>
        <v>Oct</v>
      </c>
      <c r="C170" s="256"/>
      <c r="D170" s="295"/>
      <c r="E170" s="256"/>
      <c r="F170" s="295"/>
      <c r="G170" s="288"/>
      <c r="H170" s="288"/>
      <c r="I170" s="256"/>
      <c r="J170" s="716">
        <v>16.7</v>
      </c>
      <c r="K170" s="288"/>
      <c r="L170" s="288"/>
      <c r="M170" s="256"/>
      <c r="N170" s="717">
        <f>+(N172*4)-N169-N168-N171</f>
        <v>16.612999999999992</v>
      </c>
      <c r="O170" s="288"/>
      <c r="P170" s="288"/>
      <c r="Q170" s="256"/>
      <c r="R170" s="295">
        <v>16.701000000000001</v>
      </c>
      <c r="S170" s="288"/>
      <c r="T170" s="288"/>
      <c r="U170" s="256"/>
      <c r="V170" s="295">
        <v>16.884</v>
      </c>
      <c r="W170" s="288"/>
      <c r="X170" s="288"/>
      <c r="Y170" s="256"/>
      <c r="Z170" s="295">
        <v>17.106000000000002</v>
      </c>
      <c r="AA170" s="288"/>
      <c r="AB170" s="288"/>
      <c r="AC170" s="256"/>
      <c r="AD170" s="295">
        <f>35.845*2</f>
        <v>71.69</v>
      </c>
      <c r="AE170" s="288"/>
      <c r="AF170" s="288"/>
      <c r="AG170" s="256"/>
      <c r="AH170" s="295">
        <f>36.286*2</f>
        <v>72.572000000000003</v>
      </c>
      <c r="AI170" s="288"/>
      <c r="AJ170" s="288"/>
      <c r="AK170" s="256"/>
      <c r="AL170" s="295">
        <v>71.05</v>
      </c>
      <c r="AM170" s="288"/>
      <c r="AN170" s="288"/>
      <c r="AO170" s="288"/>
      <c r="AP170" s="295">
        <f>75.602*2</f>
        <v>151.20400000000001</v>
      </c>
      <c r="AQ170" s="256"/>
      <c r="AR170" s="256" t="s">
        <v>1895</v>
      </c>
      <c r="AS170" s="256"/>
      <c r="AT170" s="295">
        <v>152.136</v>
      </c>
      <c r="AU170" s="612">
        <f>(AT170/AP170-1)*100</f>
        <v>0.61638580989920033</v>
      </c>
      <c r="AV170" s="256"/>
      <c r="AW170" s="256"/>
      <c r="AX170" s="295">
        <v>150.114</v>
      </c>
      <c r="AY170" s="612">
        <f>(AX170/AT170-1)*100</f>
        <v>-1.3290739864331824</v>
      </c>
      <c r="AZ170" s="256"/>
      <c r="BA170" s="256"/>
      <c r="BB170" s="295">
        <v>148.066</v>
      </c>
      <c r="BC170" s="612">
        <f>(BB170/AX170-1)*100</f>
        <v>-1.364296468017645</v>
      </c>
      <c r="BD170" s="256"/>
      <c r="BE170" s="256"/>
      <c r="BF170" s="295">
        <v>149.07900000000001</v>
      </c>
      <c r="BG170" s="612">
        <f>(BF170/BB170-1)*100</f>
        <v>0.68415436359461346</v>
      </c>
      <c r="BH170" s="256"/>
      <c r="BI170" s="256"/>
      <c r="BJ170" s="295">
        <v>147.73500000000001</v>
      </c>
      <c r="BK170" s="612">
        <f>(BJ170/BF170-1)*100</f>
        <v>-0.90153542752500204</v>
      </c>
      <c r="BL170" s="256"/>
      <c r="BM170" s="587"/>
      <c r="BN170" s="286">
        <v>144.99299999999999</v>
      </c>
      <c r="BO170" s="612"/>
      <c r="BP170" s="256"/>
      <c r="BQ170" s="599"/>
      <c r="BR170" s="295">
        <v>138.87200000000001</v>
      </c>
      <c r="BS170" s="612"/>
      <c r="BT170" s="256"/>
      <c r="BU170" s="256"/>
      <c r="BV170" s="295">
        <v>139.48699999999999</v>
      </c>
      <c r="BW170" s="612"/>
      <c r="BX170" s="256"/>
      <c r="BY170" s="256"/>
      <c r="BZ170" s="295">
        <v>124.899</v>
      </c>
      <c r="CA170" s="612"/>
      <c r="CB170" s="256"/>
      <c r="CC170" s="256"/>
      <c r="CD170" s="295">
        <v>125.58199999999999</v>
      </c>
      <c r="CE170" s="612"/>
      <c r="CF170" s="256"/>
      <c r="CG170" s="256"/>
      <c r="CH170" s="295">
        <v>127.905</v>
      </c>
      <c r="CI170" s="612"/>
      <c r="CJ170" s="256"/>
      <c r="CK170" s="256"/>
      <c r="CL170" s="295">
        <v>128.81200000000001</v>
      </c>
      <c r="CM170" s="612">
        <f>CL170-CL180</f>
        <v>1.6020000000000181</v>
      </c>
      <c r="CN170" s="256"/>
      <c r="CO170" s="256"/>
      <c r="CP170" s="295">
        <v>127.902</v>
      </c>
      <c r="CQ170" s="612">
        <f>CP170-CP180</f>
        <v>1.1650000000000063</v>
      </c>
      <c r="CR170" s="256"/>
      <c r="CS170" s="256"/>
      <c r="CT170" s="295">
        <v>128.97399999999999</v>
      </c>
      <c r="CU170" s="612">
        <f>CT170-CT180</f>
        <v>0.96999999999999886</v>
      </c>
      <c r="CV170" s="256"/>
      <c r="CW170" s="256"/>
      <c r="CX170" s="295">
        <v>129.97800000000001</v>
      </c>
      <c r="CY170" s="612">
        <f>CX170-CX180</f>
        <v>0.62600000000000477</v>
      </c>
      <c r="CZ170" s="256"/>
      <c r="DA170" s="256"/>
      <c r="DB170" s="2127">
        <v>129.1</v>
      </c>
      <c r="DC170" s="612">
        <f>DB170-DB180</f>
        <v>0.5</v>
      </c>
      <c r="DD170" s="256"/>
      <c r="DE170" s="256"/>
      <c r="DF170" s="2127">
        <v>124.9</v>
      </c>
      <c r="DG170" s="612">
        <f>DF170-DF180</f>
        <v>0.30000000000001137</v>
      </c>
      <c r="DH170" s="256"/>
      <c r="DI170" s="256"/>
      <c r="DJ170" s="2430">
        <v>125</v>
      </c>
      <c r="DK170" s="612">
        <f>DJ170-DJ180</f>
        <v>0.59999999999999432</v>
      </c>
      <c r="DL170" s="256"/>
      <c r="DM170" s="256"/>
      <c r="DN170" s="2208">
        <f>DN169-(25/100)</f>
        <v>124.15</v>
      </c>
      <c r="DO170" s="612">
        <f>DN170-DN180</f>
        <v>0.59591999999999246</v>
      </c>
      <c r="DP170" s="256"/>
      <c r="DQ170" s="256"/>
      <c r="DR170" s="256"/>
      <c r="DS170" s="256"/>
      <c r="DT170" s="256"/>
      <c r="DU170" s="256"/>
      <c r="DV170" s="256"/>
      <c r="DW170" s="256"/>
      <c r="DX170" s="256"/>
      <c r="DY170" s="256"/>
      <c r="DZ170" s="256"/>
      <c r="EA170" s="256"/>
    </row>
    <row r="171" spans="1:131">
      <c r="A171" s="256" t="str">
        <f>$A$13</f>
        <v>4Q</v>
      </c>
      <c r="B171" s="256" t="str">
        <f>$B$13</f>
        <v>Jan</v>
      </c>
      <c r="C171" s="587"/>
      <c r="D171" s="292"/>
      <c r="E171" s="587"/>
      <c r="F171" s="292"/>
      <c r="G171" s="288"/>
      <c r="H171" s="288"/>
      <c r="I171" s="256"/>
      <c r="J171" s="292">
        <v>16.744</v>
      </c>
      <c r="K171" s="288"/>
      <c r="L171" s="288"/>
      <c r="M171" s="256"/>
      <c r="N171" s="292">
        <v>16.683</v>
      </c>
      <c r="O171" s="288"/>
      <c r="P171" s="288"/>
      <c r="Q171" s="256"/>
      <c r="R171" s="292">
        <v>16.687000000000001</v>
      </c>
      <c r="S171" s="288"/>
      <c r="T171" s="288"/>
      <c r="U171" s="256"/>
      <c r="V171" s="292">
        <v>16.858000000000001</v>
      </c>
      <c r="W171" s="288"/>
      <c r="X171" s="288"/>
      <c r="Y171" s="256"/>
      <c r="Z171" s="292">
        <v>17.408000000000001</v>
      </c>
      <c r="AA171" s="288"/>
      <c r="AB171" s="288"/>
      <c r="AC171" s="256"/>
      <c r="AD171" s="292">
        <v>35.868000000000002</v>
      </c>
      <c r="AE171" s="288"/>
      <c r="AF171" s="288"/>
      <c r="AG171" s="256"/>
      <c r="AH171" s="292">
        <v>35.999000000000002</v>
      </c>
      <c r="AI171" s="288"/>
      <c r="AJ171" s="288"/>
      <c r="AK171" s="256"/>
      <c r="AL171" s="292">
        <v>35.799999999999997</v>
      </c>
      <c r="AM171" s="288"/>
      <c r="AN171" s="288"/>
      <c r="AO171" s="288"/>
      <c r="AP171" s="292">
        <f>76.057*2</f>
        <v>152.114</v>
      </c>
      <c r="AQ171" s="256"/>
      <c r="AR171" s="256"/>
      <c r="AS171" s="256"/>
      <c r="AT171" s="292">
        <v>151.70500000000001</v>
      </c>
      <c r="AU171" s="612">
        <f>(AT171/AP171-1)*100</f>
        <v>-0.26887728940135913</v>
      </c>
      <c r="AV171" s="256"/>
      <c r="AW171" s="256"/>
      <c r="AX171" s="292">
        <v>149.68799999999999</v>
      </c>
      <c r="AY171" s="612">
        <f>(AX171/AT171-1)*100</f>
        <v>-1.3295540687518703</v>
      </c>
      <c r="AZ171" s="256"/>
      <c r="BA171" s="256"/>
      <c r="BB171" s="292">
        <v>147.804</v>
      </c>
      <c r="BC171" s="612">
        <f>(BB171/AX171-1)*100</f>
        <v>-1.2586179252845775</v>
      </c>
      <c r="BD171" s="256"/>
      <c r="BE171" s="256"/>
      <c r="BF171" s="292">
        <v>149.79499999999999</v>
      </c>
      <c r="BG171" s="612">
        <f>(BF171/BB171-1)*100</f>
        <v>1.347054206922671</v>
      </c>
      <c r="BH171" s="256"/>
      <c r="BI171" s="256"/>
      <c r="BJ171" s="292">
        <v>146.68799999999999</v>
      </c>
      <c r="BK171" s="612">
        <f>(BJ171/BF171-1)*100</f>
        <v>-2.0741680296405107</v>
      </c>
      <c r="BL171" s="256"/>
      <c r="BM171" s="587"/>
      <c r="BN171" s="273">
        <f>+BN170-0.3</f>
        <v>144.69299999999998</v>
      </c>
      <c r="BO171" s="612"/>
      <c r="BP171" s="256"/>
      <c r="BQ171" s="599"/>
      <c r="BR171" s="292">
        <v>138.322</v>
      </c>
      <c r="BS171" s="612"/>
      <c r="BT171" s="256"/>
      <c r="BU171" s="256"/>
      <c r="BV171" s="292">
        <v>132.583</v>
      </c>
      <c r="BW171" s="612"/>
      <c r="BX171" s="256"/>
      <c r="BY171" s="256"/>
      <c r="BZ171" s="292">
        <v>123.79300000000001</v>
      </c>
      <c r="CA171" s="612"/>
      <c r="CB171" s="256"/>
      <c r="CC171" s="256"/>
      <c r="CD171" s="292">
        <v>127.265</v>
      </c>
      <c r="CE171" s="612"/>
      <c r="CF171" s="256"/>
      <c r="CG171" s="256"/>
      <c r="CH171" s="292">
        <v>128.79300000000001</v>
      </c>
      <c r="CI171" s="612"/>
      <c r="CJ171" s="256"/>
      <c r="CK171" s="256"/>
      <c r="CL171" s="292">
        <v>128.34399999999999</v>
      </c>
      <c r="CM171" s="612">
        <f>CL171-CL181</f>
        <v>1.5969999999999942</v>
      </c>
      <c r="CN171" s="256"/>
      <c r="CO171" s="256"/>
      <c r="CP171" s="292">
        <v>127.992</v>
      </c>
      <c r="CQ171" s="612">
        <f>CP171-CP181</f>
        <v>1.1350000000000051</v>
      </c>
      <c r="CR171" s="256"/>
      <c r="CS171" s="256"/>
      <c r="CT171" s="292">
        <v>129.28299999999999</v>
      </c>
      <c r="CU171" s="612">
        <f>CT171-CT181</f>
        <v>1.0909999999999798</v>
      </c>
      <c r="CV171" s="256"/>
      <c r="CW171" s="256"/>
      <c r="CX171" s="292">
        <v>129.99100000000001</v>
      </c>
      <c r="CY171" s="612">
        <f>CX171-CX181</f>
        <v>0.64400000000000546</v>
      </c>
      <c r="CZ171" s="256"/>
      <c r="DA171" s="256"/>
      <c r="DB171" s="2146">
        <v>127.9</v>
      </c>
      <c r="DC171" s="612">
        <f>DB171-DB181</f>
        <v>0.5</v>
      </c>
      <c r="DD171" s="256"/>
      <c r="DE171" s="256"/>
      <c r="DF171" s="2200">
        <v>125</v>
      </c>
      <c r="DG171" s="612">
        <f>DF171-DF181</f>
        <v>0.5</v>
      </c>
      <c r="DH171" s="256"/>
      <c r="DI171" s="256"/>
      <c r="DJ171" s="2445">
        <v>124.9</v>
      </c>
      <c r="DK171" s="612">
        <f>DJ171-DJ181</f>
        <v>0.70000000000000284</v>
      </c>
      <c r="DL171" s="256"/>
      <c r="DM171" s="256"/>
      <c r="DN171" s="2209">
        <f>DN170-(25/100)</f>
        <v>123.9</v>
      </c>
      <c r="DO171" s="612">
        <f>DN171-DN181</f>
        <v>0.69439551641313813</v>
      </c>
      <c r="DP171" s="256"/>
      <c r="DQ171" s="256"/>
      <c r="DR171" s="256"/>
      <c r="DS171" s="256"/>
      <c r="DT171" s="256"/>
      <c r="DU171" s="256"/>
      <c r="DV171" s="256"/>
      <c r="DW171" s="256"/>
      <c r="DX171" s="256"/>
      <c r="DY171" s="256"/>
      <c r="DZ171" s="256"/>
      <c r="EA171" s="256"/>
    </row>
    <row r="172" spans="1:131">
      <c r="A172" s="256"/>
      <c r="B172" s="256" t="str">
        <f>$B$14</f>
        <v>Year</v>
      </c>
      <c r="C172" s="256"/>
      <c r="D172" s="613"/>
      <c r="E172" s="256"/>
      <c r="F172" s="613"/>
      <c r="G172" s="614"/>
      <c r="H172" s="614"/>
      <c r="I172" s="614"/>
      <c r="J172" s="613">
        <v>16.617999999999999</v>
      </c>
      <c r="K172" s="614"/>
      <c r="L172" s="614"/>
      <c r="M172" s="614"/>
      <c r="N172" s="613">
        <v>16.678999999999998</v>
      </c>
      <c r="O172" s="614"/>
      <c r="P172" s="614"/>
      <c r="Q172" s="614"/>
      <c r="R172" s="613">
        <v>16.673999999999999</v>
      </c>
      <c r="S172" s="614"/>
      <c r="T172" s="614"/>
      <c r="U172" s="614"/>
      <c r="V172" s="613">
        <v>33.582000000000001</v>
      </c>
      <c r="W172" s="614"/>
      <c r="X172" s="614"/>
      <c r="Y172" s="614"/>
      <c r="Z172" s="613">
        <v>34.545999999999999</v>
      </c>
      <c r="AA172" s="614"/>
      <c r="AB172" s="614"/>
      <c r="AC172" s="614"/>
      <c r="AD172" s="613">
        <v>35.69</v>
      </c>
      <c r="AE172" s="614"/>
      <c r="AF172" s="614"/>
      <c r="AG172" s="614"/>
      <c r="AH172" s="613">
        <v>36.103999999999999</v>
      </c>
      <c r="AI172" s="614"/>
      <c r="AJ172" s="614"/>
      <c r="AK172" s="614"/>
      <c r="AL172" s="615">
        <v>143.93600000000001</v>
      </c>
      <c r="AM172" s="612"/>
      <c r="AN172" s="612"/>
      <c r="AO172" s="612"/>
      <c r="AP172" s="615">
        <f>74.833*2</f>
        <v>149.666</v>
      </c>
      <c r="AQ172" s="612"/>
      <c r="AR172" s="612"/>
      <c r="AS172" s="612"/>
      <c r="AT172" s="615">
        <v>151.816</v>
      </c>
      <c r="AU172" s="612">
        <f>(AT172/AP172-1)*100</f>
        <v>1.4365320112784463</v>
      </c>
      <c r="AV172" s="256"/>
      <c r="AW172" s="614"/>
      <c r="AX172" s="615">
        <v>150.517</v>
      </c>
      <c r="AY172" s="612">
        <f>(AX172/AT172-1)*100</f>
        <v>-0.85564103915266587</v>
      </c>
      <c r="AZ172" s="614"/>
      <c r="BA172" s="614"/>
      <c r="BB172" s="615">
        <v>148.59100000000001</v>
      </c>
      <c r="BC172" s="612">
        <f>(BB172/AX172-1)*100</f>
        <v>-1.2795896808998286</v>
      </c>
      <c r="BD172" s="256"/>
      <c r="BE172" s="614"/>
      <c r="BF172" s="615">
        <v>148.47200000000001</v>
      </c>
      <c r="BG172" s="612">
        <f>(BF172/BB172-1)*100</f>
        <v>-8.0085604107915653E-2</v>
      </c>
      <c r="BH172" s="256"/>
      <c r="BI172" s="256"/>
      <c r="BJ172" s="615">
        <v>148.09299999999999</v>
      </c>
      <c r="BK172" s="612">
        <f>(BJ172/BF172-1)*100</f>
        <v>-0.25526698636780809</v>
      </c>
      <c r="BL172" s="602"/>
      <c r="BM172" s="587"/>
      <c r="BN172" s="615">
        <v>145.578</v>
      </c>
      <c r="BO172" s="612"/>
      <c r="BP172" s="256"/>
      <c r="BQ172" s="599"/>
      <c r="BR172" s="615">
        <v>140.84100000000001</v>
      </c>
      <c r="BS172" s="612"/>
      <c r="BT172" s="256"/>
      <c r="BU172" s="256"/>
      <c r="BV172" s="615">
        <v>138.13999999999999</v>
      </c>
      <c r="BW172" s="612"/>
      <c r="BX172" s="256"/>
      <c r="BY172" s="256"/>
      <c r="BZ172" s="615">
        <v>126.41</v>
      </c>
      <c r="CA172" s="612"/>
      <c r="CB172" s="256"/>
      <c r="CC172" s="256"/>
      <c r="CD172" s="615">
        <v>125.383</v>
      </c>
      <c r="CE172" s="612"/>
      <c r="CF172" s="256"/>
      <c r="CG172" s="256"/>
      <c r="CH172" s="615">
        <v>128.40600000000001</v>
      </c>
      <c r="CI172" s="612"/>
      <c r="CJ172" s="256"/>
      <c r="CK172" s="256"/>
      <c r="CL172" s="612">
        <f>(CL168+CL169+CL170+CL171)/4</f>
        <v>129.08275</v>
      </c>
      <c r="CM172" s="612"/>
      <c r="CN172" s="256"/>
      <c r="CO172" s="256"/>
      <c r="CP172" s="612">
        <f>(CP168+CP169+CP170+CP171)/4</f>
        <v>127.93174999999999</v>
      </c>
      <c r="CQ172" s="612"/>
      <c r="CR172" s="256"/>
      <c r="CS172" s="256"/>
      <c r="CT172" s="612">
        <f>(CT168+CT169+CT170+CT171)/4</f>
        <v>128.86724999999998</v>
      </c>
      <c r="CU172" s="612"/>
      <c r="CV172" s="256"/>
      <c r="CW172" s="256"/>
      <c r="CX172" s="2149">
        <v>129.9</v>
      </c>
      <c r="CY172" s="612"/>
      <c r="CZ172" s="256"/>
      <c r="DA172" s="256"/>
      <c r="DB172" s="2149">
        <v>129.1</v>
      </c>
      <c r="DC172" s="612"/>
      <c r="DD172" s="256"/>
      <c r="DE172" s="256"/>
      <c r="DF172" s="2203">
        <v>125.5</v>
      </c>
      <c r="DG172" s="612"/>
      <c r="DH172" s="256"/>
      <c r="DI172" s="256"/>
      <c r="DJ172" s="2448">
        <v>125.1</v>
      </c>
      <c r="DK172" s="612"/>
      <c r="DL172" s="256"/>
      <c r="DM172" s="256"/>
      <c r="DN172" s="612">
        <f>(DN168+DN169+DN170+DN171)/4</f>
        <v>124.27500000000001</v>
      </c>
      <c r="DO172" s="612"/>
      <c r="DP172" s="256"/>
      <c r="DQ172" s="256"/>
      <c r="DR172" s="256"/>
      <c r="DS172" s="256"/>
      <c r="DT172" s="256"/>
      <c r="DU172" s="256"/>
      <c r="DV172" s="256"/>
      <c r="DW172" s="256"/>
      <c r="DX172" s="256"/>
      <c r="DY172" s="256"/>
      <c r="DZ172" s="256"/>
      <c r="EA172" s="256"/>
    </row>
    <row r="173" spans="1:131" hidden="1" outlineLevel="1">
      <c r="A173" s="256" t="str">
        <f>$A$15</f>
        <v>6 Mos</v>
      </c>
      <c r="B173" s="256"/>
      <c r="C173" s="256"/>
      <c r="D173" s="614"/>
      <c r="E173" s="256"/>
      <c r="F173" s="614">
        <f>(F168+F169)/2</f>
        <v>0</v>
      </c>
      <c r="G173" s="614"/>
      <c r="H173" s="614"/>
      <c r="I173" s="614"/>
      <c r="J173" s="614">
        <f>(J168+J169)/2</f>
        <v>16.289000000000001</v>
      </c>
      <c r="K173" s="614"/>
      <c r="L173" s="614"/>
      <c r="M173" s="614"/>
      <c r="N173" s="614">
        <f>(N168+N169)/2</f>
        <v>16.71</v>
      </c>
      <c r="O173" s="614"/>
      <c r="P173" s="614"/>
      <c r="Q173" s="614"/>
      <c r="R173" s="614">
        <f>(R168+R169)/2</f>
        <v>16.660499999999999</v>
      </c>
      <c r="S173" s="614"/>
      <c r="T173" s="614"/>
      <c r="U173" s="614"/>
      <c r="V173" s="614">
        <f>(V168+V169)/2</f>
        <v>16.756500000000003</v>
      </c>
      <c r="W173" s="614"/>
      <c r="X173" s="614"/>
      <c r="Y173" s="614"/>
      <c r="Z173" s="614">
        <f>(Z168+Z169)/2</f>
        <v>16.849</v>
      </c>
      <c r="AA173" s="614"/>
      <c r="AB173" s="614"/>
      <c r="AC173" s="614"/>
      <c r="AD173" s="614">
        <f>(AD168+AD169)/2</f>
        <v>71.084000000000003</v>
      </c>
      <c r="AE173" s="614"/>
      <c r="AF173" s="614"/>
      <c r="AG173" s="614"/>
      <c r="AH173" s="614">
        <f>(AH168+AH169)/2</f>
        <v>72.336999999999989</v>
      </c>
      <c r="AI173" s="614"/>
      <c r="AJ173" s="614"/>
      <c r="AK173" s="614"/>
      <c r="AL173" s="612">
        <f>(AL168+AL169)/2</f>
        <v>72.611000000000004</v>
      </c>
      <c r="AM173" s="612"/>
      <c r="AN173" s="612"/>
      <c r="AO173" s="612"/>
      <c r="AP173" s="612">
        <f>(AP168+AP169)/2</f>
        <v>146.74799999999999</v>
      </c>
      <c r="AQ173" s="612"/>
      <c r="AR173" s="612"/>
      <c r="AS173" s="612"/>
      <c r="AT173" s="612">
        <f>(AT168+AT169)/2</f>
        <v>151.691</v>
      </c>
      <c r="AU173" s="616"/>
      <c r="AV173" s="616"/>
      <c r="AW173" s="616"/>
      <c r="AX173" s="612">
        <f>(AX168+AX169)/2</f>
        <v>151.52800000000002</v>
      </c>
      <c r="AY173" s="616"/>
      <c r="AZ173" s="616"/>
      <c r="BA173" s="616"/>
      <c r="BB173" s="612">
        <f>(BB168+BB169)/2</f>
        <v>149.95400000000001</v>
      </c>
      <c r="BC173" s="256"/>
      <c r="BD173" s="256"/>
      <c r="BE173" s="616"/>
      <c r="BF173" s="289">
        <f>(BF168+BF169)/2</f>
        <v>147.8005</v>
      </c>
      <c r="BG173" s="289"/>
      <c r="BH173" s="289"/>
      <c r="BI173" s="289"/>
      <c r="BJ173" s="289">
        <f>(BJ168+BJ169)/2</f>
        <v>148.94049999999999</v>
      </c>
      <c r="BK173" s="289"/>
      <c r="BL173" s="289"/>
      <c r="BM173" s="594"/>
      <c r="BN173" s="289">
        <f>(BN168+BN169)/2</f>
        <v>145.60750000000002</v>
      </c>
      <c r="BO173" s="256"/>
      <c r="BP173" s="256"/>
      <c r="BQ173" s="599"/>
      <c r="BR173" s="289">
        <f>(BR168+BR169)/2</f>
        <v>142.77199999999999</v>
      </c>
      <c r="BS173" s="256"/>
      <c r="BT173" s="256"/>
      <c r="BU173" s="256"/>
      <c r="BV173" s="289">
        <f>(BV168+BV169)/2</f>
        <v>140.02449999999999</v>
      </c>
      <c r="BW173" s="256"/>
      <c r="BX173" s="256"/>
      <c r="BY173" s="256"/>
      <c r="BZ173" s="289">
        <f>(BZ168+BZ169)/2</f>
        <v>128.47499999999999</v>
      </c>
      <c r="CA173" s="256"/>
      <c r="CB173" s="256"/>
      <c r="CC173" s="256"/>
      <c r="CD173" s="289">
        <f>(CD168+CD169)/2</f>
        <v>124.34350000000001</v>
      </c>
      <c r="CE173" s="256"/>
      <c r="CF173" s="256"/>
      <c r="CG173" s="256"/>
      <c r="CH173" s="289">
        <f>(CH168+CH169)/2</f>
        <v>128.464</v>
      </c>
      <c r="CI173" s="256"/>
      <c r="CJ173" s="256"/>
      <c r="CK173" s="256"/>
      <c r="CL173" s="289">
        <f>(CL168+CL169)/2</f>
        <v>129.58750000000001</v>
      </c>
      <c r="CM173" s="256"/>
      <c r="CN173" s="256"/>
      <c r="CO173" s="256"/>
      <c r="CP173" s="289">
        <f>(CP168+CP169)/2</f>
        <v>127.91649999999998</v>
      </c>
      <c r="CQ173" s="256"/>
      <c r="CR173" s="256"/>
      <c r="CS173" s="256"/>
      <c r="CT173" s="289">
        <f>(CT168+CT169)/2</f>
        <v>128.60599999999999</v>
      </c>
      <c r="CU173" s="256"/>
      <c r="CV173" s="256"/>
      <c r="CW173" s="256"/>
      <c r="CX173" s="289">
        <f>(CX168+CX169)/2</f>
        <v>129.85149999999999</v>
      </c>
      <c r="CY173" s="256"/>
      <c r="CZ173" s="256"/>
      <c r="DA173" s="256"/>
      <c r="DB173" s="289">
        <f>(DB168+DB169)/2</f>
        <v>129.69999999999999</v>
      </c>
      <c r="DC173" s="256"/>
      <c r="DD173" s="256"/>
      <c r="DE173" s="256"/>
      <c r="DF173" s="289">
        <f>(DF168+DF169)/2</f>
        <v>126.05</v>
      </c>
      <c r="DG173" s="256"/>
      <c r="DH173" s="256"/>
      <c r="DI173" s="256"/>
      <c r="DJ173" s="289">
        <f>(DJ168+DJ169)/2</f>
        <v>125.19999999999999</v>
      </c>
      <c r="DK173" s="256"/>
      <c r="DL173" s="256"/>
      <c r="DM173" s="256"/>
      <c r="DN173" s="2237">
        <f>(DN168+DN169)/2</f>
        <v>124.52500000000001</v>
      </c>
      <c r="DO173" s="256"/>
      <c r="DP173" s="256"/>
      <c r="DQ173" s="256"/>
      <c r="DR173" s="256"/>
      <c r="DS173" s="256"/>
      <c r="DT173" s="256"/>
      <c r="DU173" s="256"/>
      <c r="DV173" s="256"/>
      <c r="DW173" s="256"/>
      <c r="DX173" s="256"/>
      <c r="DY173" s="256"/>
      <c r="DZ173" s="256"/>
      <c r="EA173" s="256"/>
    </row>
    <row r="174" spans="1:131" hidden="1" outlineLevel="1">
      <c r="A174" s="256" t="str">
        <f>$A$16</f>
        <v>9 Mos</v>
      </c>
      <c r="B174" s="256"/>
      <c r="C174" s="256"/>
      <c r="D174" s="614"/>
      <c r="E174" s="256"/>
      <c r="F174" s="614">
        <f>(F168+F169+F170)/3</f>
        <v>0</v>
      </c>
      <c r="G174" s="614"/>
      <c r="H174" s="614"/>
      <c r="I174" s="614"/>
      <c r="J174" s="614">
        <f>(J168+J169+J170)/3</f>
        <v>16.426000000000002</v>
      </c>
      <c r="K174" s="614"/>
      <c r="L174" s="614"/>
      <c r="M174" s="614"/>
      <c r="N174" s="614">
        <f>(N168+N169+N170)/3</f>
        <v>16.677666666666664</v>
      </c>
      <c r="O174" s="614"/>
      <c r="P174" s="614"/>
      <c r="Q174" s="614"/>
      <c r="R174" s="614">
        <f>(R168+R169+R170)/3</f>
        <v>16.673999999999999</v>
      </c>
      <c r="S174" s="614"/>
      <c r="T174" s="614"/>
      <c r="U174" s="614"/>
      <c r="V174" s="614">
        <f>(V168+V169+V170)/3</f>
        <v>16.799000000000003</v>
      </c>
      <c r="W174" s="614"/>
      <c r="X174" s="614"/>
      <c r="Y174" s="614"/>
      <c r="Z174" s="614">
        <f>(Z168+Z169+Z170)/3</f>
        <v>16.934666666666669</v>
      </c>
      <c r="AA174" s="614"/>
      <c r="AB174" s="614"/>
      <c r="AC174" s="614"/>
      <c r="AD174" s="614">
        <f>(AD168+AD169+AD170)/3</f>
        <v>71.286000000000001</v>
      </c>
      <c r="AE174" s="614"/>
      <c r="AF174" s="614"/>
      <c r="AG174" s="614"/>
      <c r="AH174" s="614">
        <f>(AH168+AH169+AH170)/3</f>
        <v>72.415333333333322</v>
      </c>
      <c r="AI174" s="614"/>
      <c r="AJ174" s="614"/>
      <c r="AK174" s="614"/>
      <c r="AL174" s="612">
        <f>(AL168+AL169+AL170)/3</f>
        <v>72.090666666666664</v>
      </c>
      <c r="AM174" s="612"/>
      <c r="AN174" s="612"/>
      <c r="AO174" s="612"/>
      <c r="AP174" s="612">
        <f>(AP168+AP169+AP170)/3</f>
        <v>148.23333333333332</v>
      </c>
      <c r="AQ174" s="612"/>
      <c r="AR174" s="612"/>
      <c r="AS174" s="612"/>
      <c r="AT174" s="612">
        <f>(AT168+AT169+AT170)/3</f>
        <v>151.83933333333334</v>
      </c>
      <c r="AU174" s="616"/>
      <c r="AV174" s="616"/>
      <c r="AW174" s="616"/>
      <c r="AX174" s="612">
        <f>(AX168+AX169+AX170)/3</f>
        <v>151.0566666666667</v>
      </c>
      <c r="AY174" s="616"/>
      <c r="AZ174" s="616"/>
      <c r="BA174" s="616"/>
      <c r="BB174" s="612">
        <f>(BB168+BB169+BB170)/3</f>
        <v>149.32466666666667</v>
      </c>
      <c r="BC174" s="256"/>
      <c r="BD174" s="256"/>
      <c r="BE174" s="616"/>
      <c r="BF174" s="289">
        <f>(BF168+BF169+BF170)/3</f>
        <v>148.22666666666666</v>
      </c>
      <c r="BG174" s="289"/>
      <c r="BH174" s="289"/>
      <c r="BI174" s="289"/>
      <c r="BJ174" s="289">
        <f>(BJ168+BJ169+BJ170)/3</f>
        <v>148.53866666666667</v>
      </c>
      <c r="BK174" s="289"/>
      <c r="BL174" s="289"/>
      <c r="BM174" s="594"/>
      <c r="BN174" s="289">
        <f>(BN168+BN169+BN170)/3</f>
        <v>145.40266666666668</v>
      </c>
      <c r="BO174" s="256"/>
      <c r="BP174" s="256"/>
      <c r="BQ174" s="599"/>
      <c r="BR174" s="289">
        <f>(BR168+BR169+BR170)/3</f>
        <v>141.47200000000001</v>
      </c>
      <c r="BS174" s="256"/>
      <c r="BT174" s="256"/>
      <c r="BU174" s="256"/>
      <c r="BV174" s="289">
        <f>(BV168+BV169+BV170)/3</f>
        <v>139.84533333333331</v>
      </c>
      <c r="BW174" s="256"/>
      <c r="BX174" s="256"/>
      <c r="BY174" s="256"/>
      <c r="BZ174" s="289">
        <f>(BZ168+BZ169+BZ170)/3</f>
        <v>127.283</v>
      </c>
      <c r="CA174" s="256"/>
      <c r="CB174" s="256"/>
      <c r="CC174" s="256"/>
      <c r="CD174" s="289">
        <f>(CD168+CD169+CD170)/3</f>
        <v>124.75633333333333</v>
      </c>
      <c r="CE174" s="256"/>
      <c r="CF174" s="256"/>
      <c r="CG174" s="256"/>
      <c r="CH174" s="289">
        <f>(CH168+CH169+CH170)/3</f>
        <v>128.27766666666665</v>
      </c>
      <c r="CI174" s="256"/>
      <c r="CJ174" s="256"/>
      <c r="CK174" s="256"/>
      <c r="CL174" s="289">
        <f>(CL168+CL169+CL170)/3</f>
        <v>129.32900000000001</v>
      </c>
      <c r="CM174" s="256"/>
      <c r="CN174" s="256"/>
      <c r="CO174" s="256"/>
      <c r="CP174" s="289">
        <f>(CP168+CP169+CP170)/3</f>
        <v>127.91166666666665</v>
      </c>
      <c r="CQ174" s="256"/>
      <c r="CR174" s="256"/>
      <c r="CS174" s="256"/>
      <c r="CT174" s="289">
        <f>(CT168+CT169+CT170)/3</f>
        <v>128.72866666666667</v>
      </c>
      <c r="CU174" s="256"/>
      <c r="CV174" s="256"/>
      <c r="CW174" s="256"/>
      <c r="CX174" s="289">
        <f>(CX168+CX169+CX170)/3</f>
        <v>129.89366666666666</v>
      </c>
      <c r="CY174" s="256"/>
      <c r="CZ174" s="256"/>
      <c r="DA174" s="256"/>
      <c r="DB174" s="289">
        <f>(DB168+DB169+DB170)/3</f>
        <v>129.5</v>
      </c>
      <c r="DC174" s="256"/>
      <c r="DD174" s="256"/>
      <c r="DE174" s="256"/>
      <c r="DF174" s="289">
        <f>(DF168+DF169+DF170)/3</f>
        <v>125.66666666666667</v>
      </c>
      <c r="DG174" s="256"/>
      <c r="DH174" s="256"/>
      <c r="DI174" s="256"/>
      <c r="DJ174" s="289">
        <f>(DJ168+DJ169+DJ170)/3</f>
        <v>125.13333333333333</v>
      </c>
      <c r="DK174" s="256"/>
      <c r="DL174" s="256"/>
      <c r="DM174" s="256"/>
      <c r="DN174" s="2237">
        <f>(DN168+DN169+DN170)/3</f>
        <v>124.40000000000002</v>
      </c>
      <c r="DO174" s="256"/>
      <c r="DP174" s="256"/>
      <c r="DQ174" s="256"/>
      <c r="DR174" s="256"/>
      <c r="DS174" s="256"/>
      <c r="DT174" s="256"/>
      <c r="DU174" s="256"/>
      <c r="DV174" s="256"/>
      <c r="DW174" s="256"/>
      <c r="DX174" s="256"/>
      <c r="DY174" s="256"/>
      <c r="DZ174" s="256"/>
      <c r="EA174" s="256"/>
    </row>
    <row r="175" spans="1:131" collapsed="1">
      <c r="A175" s="256"/>
      <c r="B175" s="256"/>
      <c r="C175" s="256"/>
      <c r="D175" s="256"/>
      <c r="E175" s="256"/>
      <c r="F175" s="256"/>
      <c r="G175" s="256"/>
      <c r="H175" s="256"/>
      <c r="I175" s="256"/>
      <c r="J175" s="256"/>
      <c r="K175" s="256"/>
      <c r="L175" s="256"/>
      <c r="M175" s="256"/>
      <c r="N175" s="256"/>
      <c r="O175" s="256"/>
      <c r="P175" s="256"/>
      <c r="Q175" s="256"/>
      <c r="R175" s="256"/>
      <c r="S175" s="256"/>
      <c r="T175" s="256"/>
      <c r="U175" s="256"/>
      <c r="V175" s="256"/>
      <c r="W175" s="256"/>
      <c r="X175" s="256"/>
      <c r="Y175" s="256"/>
      <c r="Z175" s="256"/>
      <c r="AA175" s="256"/>
      <c r="AB175" s="256"/>
      <c r="AC175" s="256"/>
      <c r="AD175" s="256"/>
      <c r="AE175" s="256"/>
      <c r="AF175" s="256"/>
      <c r="AG175" s="256"/>
      <c r="AH175" s="256"/>
      <c r="AI175" s="256"/>
      <c r="AJ175" s="256"/>
      <c r="AK175" s="256"/>
      <c r="AL175" s="256"/>
      <c r="AM175" s="256"/>
      <c r="AN175" s="256"/>
      <c r="AO175" s="256"/>
      <c r="AP175" s="256"/>
      <c r="AQ175" s="256"/>
      <c r="AR175" s="256"/>
      <c r="AS175" s="256"/>
      <c r="AT175" s="256"/>
      <c r="AU175" s="256"/>
      <c r="AV175" s="256"/>
      <c r="AW175" s="256"/>
      <c r="AX175" s="256"/>
      <c r="AY175" s="256"/>
      <c r="AZ175" s="256"/>
      <c r="BA175" s="256"/>
      <c r="BB175" s="256"/>
      <c r="BC175" s="256"/>
      <c r="BD175" s="256"/>
      <c r="BE175" s="256"/>
      <c r="BF175" s="256"/>
      <c r="BG175" s="256"/>
      <c r="BH175" s="256"/>
      <c r="BI175" s="256"/>
      <c r="BJ175" s="256"/>
      <c r="BK175" s="256"/>
      <c r="BL175" s="256"/>
      <c r="BM175" s="587"/>
      <c r="BN175" s="256"/>
      <c r="BO175" s="256"/>
      <c r="BP175" s="256"/>
      <c r="BQ175" s="599"/>
      <c r="BR175" s="612"/>
      <c r="BS175" s="256"/>
      <c r="BT175" s="256"/>
      <c r="BU175" s="256"/>
      <c r="BV175" s="612"/>
      <c r="BW175" s="256"/>
      <c r="BX175" s="256"/>
      <c r="BY175" s="256"/>
      <c r="BZ175" s="612"/>
      <c r="CA175" s="256"/>
      <c r="CB175" s="256"/>
      <c r="CC175" s="256"/>
      <c r="CD175" s="256"/>
      <c r="CE175" s="256"/>
      <c r="CF175" s="256"/>
      <c r="CG175" s="256"/>
      <c r="CH175" s="256"/>
      <c r="CI175" s="256"/>
      <c r="CJ175" s="256"/>
      <c r="CK175" s="256"/>
      <c r="CL175" s="256"/>
      <c r="CM175" s="256"/>
      <c r="CN175" s="256"/>
      <c r="CO175" s="256"/>
      <c r="CP175" s="256"/>
      <c r="CQ175" s="256"/>
      <c r="CR175" s="256"/>
      <c r="CS175" s="256"/>
      <c r="CT175" s="256"/>
      <c r="CU175" s="256"/>
      <c r="CV175" s="256"/>
      <c r="CW175" s="256"/>
      <c r="CX175" s="256"/>
      <c r="CY175" s="256"/>
      <c r="CZ175" s="256"/>
      <c r="DA175" s="256"/>
      <c r="DB175" s="256"/>
      <c r="DC175" s="256"/>
      <c r="DD175" s="256"/>
      <c r="DE175" s="256"/>
      <c r="DF175" s="256"/>
      <c r="DG175" s="256"/>
      <c r="DH175" s="256"/>
      <c r="DI175" s="256"/>
      <c r="DJ175" s="256"/>
      <c r="DK175" s="256"/>
      <c r="DL175" s="256"/>
      <c r="DM175" s="256"/>
      <c r="DN175" s="256"/>
      <c r="DO175" s="256"/>
      <c r="DP175" s="256"/>
      <c r="DQ175" s="256"/>
      <c r="DR175" s="256"/>
      <c r="DS175" s="256"/>
      <c r="DT175" s="256"/>
      <c r="DU175" s="256"/>
      <c r="DV175" s="256"/>
      <c r="DW175" s="256"/>
      <c r="DX175" s="256"/>
      <c r="DY175" s="256"/>
      <c r="DZ175" s="256"/>
      <c r="EA175" s="256"/>
    </row>
    <row r="176" spans="1:131">
      <c r="A176" s="256"/>
      <c r="B176" s="256"/>
      <c r="C176" s="268"/>
      <c r="D176" s="598"/>
      <c r="E176" s="268" t="str">
        <f>Z176</f>
        <v>Weighted Average Basic Shares Outstanding</v>
      </c>
      <c r="F176" s="598"/>
      <c r="G176" s="256"/>
      <c r="H176" s="256"/>
      <c r="I176" s="256"/>
      <c r="J176" s="598"/>
      <c r="K176" s="256"/>
      <c r="L176" s="256"/>
      <c r="M176" s="256"/>
      <c r="N176" s="598"/>
      <c r="O176" s="256"/>
      <c r="P176" s="256"/>
      <c r="Q176" s="256"/>
      <c r="R176" s="598"/>
      <c r="S176" s="256"/>
      <c r="T176" s="256"/>
      <c r="U176" s="256"/>
      <c r="V176" s="598"/>
      <c r="W176" s="256"/>
      <c r="X176" s="256"/>
      <c r="Y176" s="256"/>
      <c r="Z176" s="600" t="s">
        <v>1527</v>
      </c>
      <c r="AA176" s="312"/>
      <c r="AB176" s="312"/>
      <c r="AC176" s="312"/>
      <c r="AD176" s="600"/>
      <c r="AE176" s="312"/>
      <c r="AF176" s="312"/>
      <c r="AG176" s="312"/>
      <c r="AH176" s="600"/>
      <c r="AI176" s="312"/>
      <c r="AJ176" s="312"/>
      <c r="AK176" s="312"/>
      <c r="AL176" s="600"/>
      <c r="AM176" s="312"/>
      <c r="AN176" s="312"/>
      <c r="AO176" s="312"/>
      <c r="AP176" s="256"/>
      <c r="AQ176" s="312"/>
      <c r="AR176" s="312"/>
      <c r="AS176" s="312"/>
      <c r="AT176" s="600"/>
      <c r="AU176" s="312"/>
      <c r="AV176" s="312"/>
      <c r="AW176" s="312"/>
      <c r="AX176" s="256"/>
      <c r="AY176" s="256"/>
      <c r="AZ176" s="256"/>
      <c r="BA176" s="256"/>
      <c r="BB176" s="600"/>
      <c r="BC176" s="600"/>
      <c r="BD176" s="600"/>
      <c r="BE176" s="600"/>
      <c r="BF176" s="600"/>
      <c r="BG176" s="600"/>
      <c r="BH176" s="600"/>
      <c r="BI176" s="600"/>
      <c r="BJ176" s="600" t="s">
        <v>765</v>
      </c>
      <c r="BK176" s="600"/>
      <c r="BL176" s="600"/>
      <c r="BM176" s="600"/>
      <c r="BN176" s="600"/>
      <c r="BO176" s="600"/>
      <c r="BP176" s="600"/>
      <c r="BQ176" s="600"/>
      <c r="BR176" s="600"/>
      <c r="BS176" s="600"/>
      <c r="BT176" s="600"/>
      <c r="BU176" s="600"/>
      <c r="BV176" s="600" t="s">
        <v>765</v>
      </c>
      <c r="BW176" s="600"/>
      <c r="BX176" s="600"/>
      <c r="BY176" s="600"/>
      <c r="BZ176" s="600"/>
      <c r="CA176" s="600"/>
      <c r="CB176" s="600"/>
      <c r="CC176" s="600"/>
      <c r="CE176" s="600"/>
      <c r="CF176" s="600"/>
      <c r="CG176" s="600"/>
      <c r="CH176" s="600"/>
      <c r="CI176" s="600"/>
      <c r="CJ176" s="600"/>
      <c r="CK176" s="600"/>
      <c r="CL176" s="600"/>
      <c r="CM176" s="600"/>
      <c r="CO176" s="600"/>
      <c r="CP176" s="600"/>
      <c r="CQ176" s="600"/>
      <c r="CR176" s="600"/>
      <c r="CS176" s="880"/>
      <c r="CT176" s="600"/>
      <c r="CU176" s="600"/>
      <c r="CV176" s="600"/>
      <c r="CW176" s="880"/>
      <c r="CX176" s="600"/>
      <c r="CY176" s="600"/>
      <c r="CZ176" s="600"/>
      <c r="DA176" s="880"/>
      <c r="DB176" s="600" t="s">
        <v>765</v>
      </c>
      <c r="DC176" s="600"/>
      <c r="DD176" s="600"/>
      <c r="DE176" s="880"/>
      <c r="DF176" s="600"/>
      <c r="DG176" s="600"/>
      <c r="DH176" s="600"/>
      <c r="DI176" s="880"/>
      <c r="DJ176" s="600"/>
      <c r="DK176" s="600"/>
      <c r="DL176" s="600"/>
      <c r="DM176" s="880"/>
      <c r="DN176" s="600"/>
      <c r="DO176" s="600"/>
      <c r="DP176" s="600"/>
      <c r="DQ176" s="880"/>
      <c r="DR176" s="880"/>
      <c r="DS176" s="880"/>
      <c r="DT176" s="880"/>
      <c r="DU176" s="880"/>
      <c r="DV176" s="880"/>
      <c r="DW176" s="880"/>
      <c r="DX176" s="880"/>
      <c r="DY176" s="880"/>
      <c r="DZ176" s="880"/>
      <c r="EA176" s="256"/>
    </row>
    <row r="177" spans="1:133">
      <c r="A177" s="256"/>
      <c r="B177" s="256"/>
      <c r="C177" s="256"/>
      <c r="D177" s="256"/>
      <c r="E177" s="256"/>
      <c r="F177" s="256"/>
      <c r="G177" s="256"/>
      <c r="H177" s="256"/>
      <c r="I177" s="256"/>
      <c r="J177" s="256"/>
      <c r="K177" s="256"/>
      <c r="L177" s="256"/>
      <c r="M177" s="256"/>
      <c r="N177" s="256"/>
      <c r="O177" s="256"/>
      <c r="P177" s="256"/>
      <c r="Q177" s="256"/>
      <c r="R177" s="256"/>
      <c r="S177" s="256"/>
      <c r="T177" s="256"/>
      <c r="U177" s="256"/>
      <c r="V177" s="256"/>
      <c r="W177" s="256"/>
      <c r="X177" s="256"/>
      <c r="Y177" s="256"/>
      <c r="Z177" s="256"/>
      <c r="AA177" s="256"/>
      <c r="AB177" s="256"/>
      <c r="AC177" s="256"/>
      <c r="AD177" s="256"/>
      <c r="AE177" s="256"/>
      <c r="AF177" s="256"/>
      <c r="AG177" s="256"/>
      <c r="AH177" s="256"/>
      <c r="AI177" s="256"/>
      <c r="AJ177" s="256"/>
      <c r="AK177" s="256"/>
      <c r="AL177" s="256"/>
      <c r="AM177" s="256"/>
      <c r="AN177" s="256"/>
      <c r="AO177" s="256"/>
      <c r="AP177" s="256"/>
      <c r="AQ177" s="256"/>
      <c r="AR177" s="256"/>
      <c r="AS177" s="256"/>
      <c r="AT177" s="256"/>
      <c r="AU177" s="256"/>
      <c r="AV177" s="256"/>
      <c r="AW177" s="256"/>
      <c r="AX177" s="256"/>
      <c r="AY177" s="256"/>
      <c r="AZ177" s="256"/>
      <c r="BA177" s="256"/>
      <c r="BB177" s="256"/>
      <c r="BC177" s="256"/>
      <c r="BD177" s="256"/>
      <c r="BE177" s="256"/>
      <c r="BF177" s="256"/>
      <c r="BG177" s="256"/>
      <c r="BH177" s="256"/>
      <c r="BI177" s="256"/>
      <c r="BJ177" s="256"/>
      <c r="BK177" s="256"/>
      <c r="BL177" s="256"/>
      <c r="BM177" s="587"/>
      <c r="BN177" s="256"/>
      <c r="BO177" s="256"/>
      <c r="BP177" s="256"/>
      <c r="BQ177" s="599"/>
      <c r="BR177" s="256"/>
      <c r="BS177" s="256"/>
      <c r="BT177" s="256"/>
      <c r="BU177" s="256"/>
      <c r="BV177" s="256"/>
      <c r="BW177" s="256"/>
      <c r="BX177" s="256"/>
      <c r="BY177" s="256"/>
      <c r="BZ177" s="256"/>
      <c r="CA177" s="256"/>
      <c r="CB177" s="256"/>
      <c r="CC177" s="256"/>
      <c r="CD177" s="256"/>
      <c r="CE177" s="256"/>
      <c r="CF177" s="256"/>
      <c r="CG177" s="256"/>
      <c r="CH177" s="256"/>
      <c r="CI177" s="256"/>
      <c r="CJ177" s="256"/>
      <c r="CK177" s="256"/>
      <c r="CL177" s="256"/>
      <c r="CM177" s="256"/>
      <c r="CN177" s="256"/>
      <c r="CO177" s="256"/>
      <c r="CP177" s="256"/>
      <c r="CQ177" s="256"/>
      <c r="CR177" s="256"/>
      <c r="CS177" s="256"/>
      <c r="CT177" s="256"/>
      <c r="CU177" s="256"/>
      <c r="CV177" s="256"/>
      <c r="CW177" s="256"/>
      <c r="CX177" s="256"/>
      <c r="CY177" s="256"/>
      <c r="CZ177" s="256"/>
      <c r="DA177" s="256"/>
      <c r="DB177" s="256"/>
      <c r="DC177" s="256"/>
      <c r="DD177" s="256"/>
      <c r="DE177" s="256"/>
      <c r="DF177" s="256"/>
      <c r="DG177" s="256"/>
      <c r="DH177" s="256"/>
      <c r="DI177" s="256"/>
      <c r="DJ177" s="256"/>
      <c r="DK177" s="256"/>
      <c r="DL177" s="256"/>
      <c r="DM177" s="256"/>
      <c r="DN177" s="256"/>
      <c r="DO177" s="256"/>
      <c r="DP177" s="256"/>
      <c r="DQ177" s="256"/>
      <c r="DR177" s="256"/>
      <c r="DS177" s="256"/>
      <c r="DT177" s="256"/>
      <c r="DU177" s="256"/>
      <c r="DV177" s="256"/>
      <c r="DW177" s="256"/>
      <c r="DX177" s="256"/>
      <c r="DY177" s="256"/>
      <c r="DZ177" s="256"/>
      <c r="EA177" s="256"/>
    </row>
    <row r="178" spans="1:133">
      <c r="A178" s="256" t="str">
        <f>$A$10</f>
        <v>1Q</v>
      </c>
      <c r="B178" s="256" t="str">
        <f>$B$10</f>
        <v>Apr</v>
      </c>
      <c r="C178" s="256"/>
      <c r="D178" s="295"/>
      <c r="E178" s="256"/>
      <c r="F178" s="295"/>
      <c r="G178" s="288"/>
      <c r="H178" s="288"/>
      <c r="I178" s="256"/>
      <c r="J178" s="295"/>
      <c r="K178" s="288"/>
      <c r="L178" s="288"/>
      <c r="M178" s="256"/>
      <c r="N178" s="295"/>
      <c r="O178" s="288"/>
      <c r="P178" s="288"/>
      <c r="Q178" s="256"/>
      <c r="R178" s="295">
        <v>15.755000000000001</v>
      </c>
      <c r="S178" s="288"/>
      <c r="T178" s="288"/>
      <c r="U178" s="256"/>
      <c r="V178" s="295">
        <v>15.803000000000001</v>
      </c>
      <c r="W178" s="288"/>
      <c r="X178" s="288"/>
      <c r="Y178" s="256"/>
      <c r="Z178" s="295">
        <v>15.862</v>
      </c>
      <c r="AA178" s="288"/>
      <c r="AB178" s="288"/>
      <c r="AC178" s="256"/>
      <c r="AD178" s="295">
        <f>33.4*2</f>
        <v>66.8</v>
      </c>
      <c r="AE178" s="288"/>
      <c r="AF178" s="288"/>
      <c r="AG178" s="256"/>
      <c r="AH178" s="295">
        <f>35.911*2</f>
        <v>71.822000000000003</v>
      </c>
      <c r="AI178" s="288"/>
      <c r="AJ178" s="288"/>
      <c r="AK178" s="256"/>
      <c r="AL178" s="295">
        <v>70.347999999999999</v>
      </c>
      <c r="AM178" s="288"/>
      <c r="AN178" s="288"/>
      <c r="AO178" s="288"/>
      <c r="AP178" s="295">
        <v>70.08</v>
      </c>
      <c r="AQ178" s="256"/>
      <c r="AR178" s="256"/>
      <c r="AS178" s="256"/>
      <c r="AT178" s="295">
        <v>145.09800000000001</v>
      </c>
      <c r="AU178" s="612">
        <f>(AT178/AP178-1)*100</f>
        <v>107.04623287671234</v>
      </c>
      <c r="AV178" s="256"/>
      <c r="AW178" s="256"/>
      <c r="AX178" s="295">
        <v>145.91499999999999</v>
      </c>
      <c r="AY178" s="612">
        <f>(AX178/AT178-1)*100</f>
        <v>0.56306771974801162</v>
      </c>
      <c r="AZ178" s="256"/>
      <c r="BA178" s="256"/>
      <c r="BB178" s="295">
        <v>145.434</v>
      </c>
      <c r="BC178" s="612">
        <f>(BB178/AX178-1)*100</f>
        <v>-0.32964397080491592</v>
      </c>
      <c r="BD178" s="256"/>
      <c r="BE178" s="256"/>
      <c r="BF178" s="295">
        <v>144.89400000000001</v>
      </c>
      <c r="BG178" s="612">
        <f>(BF178/BB178-1)*100</f>
        <v>-0.3713024464705561</v>
      </c>
      <c r="BH178" s="256"/>
      <c r="BI178" s="256"/>
      <c r="BJ178" s="295">
        <v>146.815</v>
      </c>
      <c r="BK178" s="612">
        <f>(BJ178/BF178-1)*100</f>
        <v>1.3257967893770539</v>
      </c>
      <c r="BL178" s="256"/>
      <c r="BM178" s="587"/>
      <c r="BN178" s="1505">
        <v>144.24799999999999</v>
      </c>
      <c r="BO178" s="256"/>
      <c r="BP178" s="256"/>
      <c r="BQ178" s="599"/>
      <c r="BR178" s="1505">
        <v>141.941</v>
      </c>
      <c r="BS178" s="256"/>
      <c r="BT178" s="256"/>
      <c r="BU178" s="256"/>
      <c r="BV178" s="1505">
        <v>136.488</v>
      </c>
      <c r="BW178" s="256"/>
      <c r="BX178" s="256"/>
      <c r="BY178" s="256"/>
      <c r="BZ178" s="1505">
        <v>126.458</v>
      </c>
      <c r="CA178" s="256"/>
      <c r="CB178" s="256"/>
      <c r="CC178" s="256"/>
      <c r="CD178" s="1505">
        <v>124.001</v>
      </c>
      <c r="CE178" s="256"/>
      <c r="CF178" s="256"/>
      <c r="CG178" s="256"/>
      <c r="CH178" s="1505">
        <v>126.699</v>
      </c>
      <c r="CI178" s="602"/>
      <c r="CJ178" s="256"/>
      <c r="CK178" s="256"/>
      <c r="CL178" s="1505">
        <v>127.601</v>
      </c>
      <c r="CM178" s="1664"/>
      <c r="CN178" s="256"/>
      <c r="CO178" s="256"/>
      <c r="CP178" s="1505">
        <v>126.723</v>
      </c>
      <c r="CQ178" s="1664"/>
      <c r="CR178" s="256"/>
      <c r="CS178" s="256"/>
      <c r="CT178" s="1505">
        <v>127.318</v>
      </c>
      <c r="CU178" s="1664"/>
      <c r="CV178" s="256"/>
      <c r="CW178" s="256"/>
      <c r="CX178" s="1505">
        <v>128.93299999999999</v>
      </c>
      <c r="CY178" s="1664"/>
      <c r="CZ178" s="1028"/>
      <c r="DA178" s="256"/>
      <c r="DB178" s="1505">
        <v>129.19999999999999</v>
      </c>
      <c r="DC178" s="1664"/>
      <c r="DD178" s="1028"/>
      <c r="DE178" s="256"/>
      <c r="DF178" s="2128">
        <v>126.1</v>
      </c>
      <c r="DG178" s="1664"/>
      <c r="DH178" s="1028"/>
      <c r="DI178" s="256"/>
      <c r="DJ178" s="2128">
        <v>124.6</v>
      </c>
      <c r="DK178" s="1664"/>
      <c r="DL178" s="1028"/>
      <c r="DM178" s="256"/>
      <c r="DN178" s="2395">
        <f>DJ178*DN168/DJ168</f>
        <v>123.9536312849162</v>
      </c>
      <c r="DO178" s="1664"/>
      <c r="DP178" s="1028"/>
      <c r="DQ178" s="256"/>
      <c r="DR178" s="256"/>
      <c r="DS178" s="256"/>
      <c r="DT178" s="256"/>
      <c r="DU178" s="256"/>
      <c r="DV178" s="256"/>
      <c r="DW178" s="256"/>
      <c r="DX178" s="256"/>
      <c r="DY178" s="256"/>
      <c r="DZ178" s="256"/>
      <c r="EA178" s="256"/>
      <c r="EB178" s="621"/>
      <c r="EC178" s="621"/>
    </row>
    <row r="179" spans="1:133">
      <c r="A179" s="256" t="str">
        <f>$A$11</f>
        <v>2Q</v>
      </c>
      <c r="B179" s="256" t="str">
        <f>$B$11</f>
        <v>Jul</v>
      </c>
      <c r="C179" s="256"/>
      <c r="D179" s="295"/>
      <c r="E179" s="256"/>
      <c r="F179" s="295"/>
      <c r="G179" s="288"/>
      <c r="H179" s="288"/>
      <c r="I179" s="256"/>
      <c r="J179" s="295"/>
      <c r="K179" s="288"/>
      <c r="L179" s="288"/>
      <c r="M179" s="256"/>
      <c r="N179" s="295"/>
      <c r="O179" s="288"/>
      <c r="P179" s="288"/>
      <c r="Q179" s="256"/>
      <c r="R179" s="295">
        <v>15.78</v>
      </c>
      <c r="S179" s="288"/>
      <c r="T179" s="288"/>
      <c r="U179" s="256"/>
      <c r="V179" s="295">
        <v>15.895</v>
      </c>
      <c r="W179" s="288"/>
      <c r="X179" s="288"/>
      <c r="Y179" s="256"/>
      <c r="Z179" s="295"/>
      <c r="AA179" s="288"/>
      <c r="AB179" s="288"/>
      <c r="AC179" s="256"/>
      <c r="AD179" s="295">
        <f>34.715*2</f>
        <v>69.430000000000007</v>
      </c>
      <c r="AE179" s="288"/>
      <c r="AF179" s="288"/>
      <c r="AG179" s="256"/>
      <c r="AH179" s="295">
        <f>36.339*2</f>
        <v>72.677999999999997</v>
      </c>
      <c r="AI179" s="288"/>
      <c r="AJ179" s="288"/>
      <c r="AK179" s="256"/>
      <c r="AL179" s="295">
        <v>70.337999999999994</v>
      </c>
      <c r="AM179" s="288"/>
      <c r="AN179" s="288"/>
      <c r="AO179" s="288"/>
      <c r="AP179" s="295">
        <v>71.09</v>
      </c>
      <c r="AQ179" s="256"/>
      <c r="AR179" s="256"/>
      <c r="AS179" s="256"/>
      <c r="AT179" s="295">
        <v>145.16499999999999</v>
      </c>
      <c r="AU179" s="612">
        <f>(AT179/AP179-1)*100</f>
        <v>104.19890279926851</v>
      </c>
      <c r="AV179" s="256"/>
      <c r="AW179" s="256"/>
      <c r="AX179" s="295">
        <v>146.042</v>
      </c>
      <c r="AY179" s="612">
        <f>(AX179/AT179-1)*100</f>
        <v>0.60414011641924947</v>
      </c>
      <c r="AZ179" s="256"/>
      <c r="BA179" s="256"/>
      <c r="BB179" s="295">
        <v>145.78</v>
      </c>
      <c r="BC179" s="612">
        <f>(BB179/AX179-1)*100</f>
        <v>-0.179400446446909</v>
      </c>
      <c r="BD179" s="256"/>
      <c r="BE179" s="256"/>
      <c r="BF179" s="295">
        <v>145.29400000000001</v>
      </c>
      <c r="BG179" s="612">
        <f>(BF179/BB179-1)*100</f>
        <v>-0.33337906434351972</v>
      </c>
      <c r="BH179" s="256"/>
      <c r="BI179" s="602"/>
      <c r="BJ179" s="295">
        <v>146.37</v>
      </c>
      <c r="BK179" s="612">
        <f>(BJ179/BF179-1)*100</f>
        <v>0.74056740126915432</v>
      </c>
      <c r="BL179" s="256"/>
      <c r="BM179" s="587"/>
      <c r="BN179" s="1505">
        <v>142.989</v>
      </c>
      <c r="BO179" s="256"/>
      <c r="BP179" s="256"/>
      <c r="BQ179" s="599"/>
      <c r="BR179" s="1505" t="s">
        <v>2382</v>
      </c>
      <c r="BS179" s="256"/>
      <c r="BT179" s="256"/>
      <c r="BU179" s="256"/>
      <c r="BV179" s="1505">
        <v>136.74299999999999</v>
      </c>
      <c r="BW179" s="256"/>
      <c r="BX179" s="256"/>
      <c r="BY179" s="256"/>
      <c r="BZ179" s="1505">
        <v>125.714</v>
      </c>
      <c r="CA179" s="256"/>
      <c r="CB179" s="256"/>
      <c r="CC179" s="256"/>
      <c r="CD179" s="1505">
        <v>124.081</v>
      </c>
      <c r="CE179" s="256"/>
      <c r="CF179" s="256"/>
      <c r="CG179" s="256"/>
      <c r="CH179" s="1505">
        <v>126.89700000000001</v>
      </c>
      <c r="CI179" s="602"/>
      <c r="CJ179" s="256"/>
      <c r="CK179" s="256"/>
      <c r="CL179" s="1505">
        <v>128.03</v>
      </c>
      <c r="CM179" s="1664"/>
      <c r="CN179" s="256"/>
      <c r="CO179" s="256"/>
      <c r="CP179" s="2128">
        <f>CL179*CP169/CL169</f>
        <v>125.92796192428001</v>
      </c>
      <c r="CQ179" s="1664"/>
      <c r="CR179" s="256"/>
      <c r="CS179" s="256"/>
      <c r="CT179" s="1505">
        <v>127.82599999999999</v>
      </c>
      <c r="CU179" s="1664"/>
      <c r="CV179" s="256"/>
      <c r="CW179" s="256"/>
      <c r="CX179" s="1505">
        <v>129.25200000000001</v>
      </c>
      <c r="CY179" s="1664"/>
      <c r="CZ179" s="256"/>
      <c r="DA179" s="256"/>
      <c r="DB179" s="1505">
        <v>129</v>
      </c>
      <c r="DC179" s="1664"/>
      <c r="DD179" s="256"/>
      <c r="DE179" s="256"/>
      <c r="DF179" s="2128">
        <v>125.3</v>
      </c>
      <c r="DG179" s="1664"/>
      <c r="DH179" s="256"/>
      <c r="DI179" s="256"/>
      <c r="DJ179" s="2128">
        <v>124.5</v>
      </c>
      <c r="DK179" s="1664"/>
      <c r="DL179" s="256"/>
      <c r="DM179" s="256"/>
      <c r="DN179" s="2395">
        <f>DJ179*DN169/DJ169</f>
        <v>123.8033573141487</v>
      </c>
      <c r="DO179" s="1664"/>
      <c r="DP179" s="256"/>
      <c r="DQ179" s="256"/>
      <c r="DR179" s="256"/>
      <c r="DS179" s="256"/>
      <c r="DT179" s="256"/>
      <c r="DU179" s="256"/>
      <c r="DV179" s="256"/>
      <c r="DW179" s="256"/>
      <c r="DX179" s="256"/>
      <c r="DY179" s="256"/>
      <c r="DZ179" s="256"/>
      <c r="EA179" s="256"/>
      <c r="EB179" s="621"/>
      <c r="EC179" s="621"/>
    </row>
    <row r="180" spans="1:133">
      <c r="A180" s="256" t="str">
        <f>$A$12</f>
        <v>3Q</v>
      </c>
      <c r="B180" s="256" t="str">
        <f>$B$12</f>
        <v>Oct</v>
      </c>
      <c r="C180" s="256"/>
      <c r="D180" s="295"/>
      <c r="E180" s="256"/>
      <c r="F180" s="295"/>
      <c r="G180" s="288"/>
      <c r="H180" s="288"/>
      <c r="I180" s="256"/>
      <c r="J180" s="295"/>
      <c r="K180" s="288"/>
      <c r="L180" s="288"/>
      <c r="M180" s="256"/>
      <c r="N180" s="295"/>
      <c r="O180" s="288"/>
      <c r="P180" s="288"/>
      <c r="Q180" s="256"/>
      <c r="R180" s="295">
        <v>15.797000000000001</v>
      </c>
      <c r="S180" s="288"/>
      <c r="T180" s="288"/>
      <c r="U180" s="256"/>
      <c r="V180" s="295">
        <v>15.962</v>
      </c>
      <c r="W180" s="288"/>
      <c r="X180" s="288"/>
      <c r="Y180" s="256"/>
      <c r="Z180" s="295">
        <v>16.204000000000001</v>
      </c>
      <c r="AA180" s="288"/>
      <c r="AB180" s="288"/>
      <c r="AC180" s="256"/>
      <c r="AD180" s="295">
        <f>35.845*2</f>
        <v>71.69</v>
      </c>
      <c r="AE180" s="288"/>
      <c r="AF180" s="288"/>
      <c r="AG180" s="256"/>
      <c r="AH180" s="295">
        <f>36.286*2</f>
        <v>72.572000000000003</v>
      </c>
      <c r="AI180" s="288"/>
      <c r="AJ180" s="288"/>
      <c r="AK180" s="256"/>
      <c r="AL180" s="295">
        <v>69.694000000000003</v>
      </c>
      <c r="AM180" s="288"/>
      <c r="AN180" s="288"/>
      <c r="AO180" s="288"/>
      <c r="AP180" s="295">
        <v>72.33</v>
      </c>
      <c r="AQ180" s="256"/>
      <c r="AR180" s="302" t="s">
        <v>1895</v>
      </c>
      <c r="AS180" s="643"/>
      <c r="AT180" s="295">
        <v>145.809</v>
      </c>
      <c r="AU180" s="612">
        <f>(AT180/AP180-1)*100</f>
        <v>101.58855246785565</v>
      </c>
      <c r="AV180" s="256"/>
      <c r="AW180" s="256"/>
      <c r="AX180" s="295">
        <v>145.273</v>
      </c>
      <c r="AY180" s="612">
        <f>(AX180/AT180-1)*100</f>
        <v>-0.36760419452845916</v>
      </c>
      <c r="AZ180" s="256"/>
      <c r="BA180" s="256"/>
      <c r="BB180" s="295">
        <v>145.137</v>
      </c>
      <c r="BC180" s="612">
        <f>(BB180/AX180-1)*100</f>
        <v>-9.3616845525312797E-2</v>
      </c>
      <c r="BD180" s="256"/>
      <c r="BE180" s="256"/>
      <c r="BF180" s="295">
        <v>146.047</v>
      </c>
      <c r="BG180" s="612">
        <f>(BF180/BB180-1)*100</f>
        <v>0.62699380585240494</v>
      </c>
      <c r="BH180" s="256"/>
      <c r="BI180" s="256"/>
      <c r="BJ180" s="295">
        <v>145.94300000000001</v>
      </c>
      <c r="BK180" s="612">
        <f>(BJ180/BF180-1)*100</f>
        <v>-7.1209952960338274E-2</v>
      </c>
      <c r="BL180" s="256"/>
      <c r="BM180" s="587"/>
      <c r="BN180" s="1505">
        <v>142.28</v>
      </c>
      <c r="BO180" s="256"/>
      <c r="BP180" s="256"/>
      <c r="BQ180" s="599"/>
      <c r="BR180" s="1505">
        <v>136.75299999999999</v>
      </c>
      <c r="BS180" s="256"/>
      <c r="BT180" s="256"/>
      <c r="BU180" s="256"/>
      <c r="BV180" s="1505">
        <v>136.124</v>
      </c>
      <c r="BW180" s="256"/>
      <c r="BX180" s="256"/>
      <c r="BY180" s="256"/>
      <c r="BZ180" s="1505">
        <v>123.399</v>
      </c>
      <c r="CA180" s="256"/>
      <c r="CB180" s="256"/>
      <c r="CC180" s="256"/>
      <c r="CD180" s="1505">
        <v>124.202</v>
      </c>
      <c r="CE180" s="256"/>
      <c r="CF180" s="256"/>
      <c r="CG180" s="256"/>
      <c r="CH180" s="1505">
        <v>126.176</v>
      </c>
      <c r="CI180" s="602"/>
      <c r="CJ180" s="256"/>
      <c r="CK180" s="256"/>
      <c r="CL180" s="1505">
        <v>127.21</v>
      </c>
      <c r="CM180" s="1664"/>
      <c r="CN180" s="256"/>
      <c r="CO180" s="256"/>
      <c r="CP180" s="1505">
        <v>126.73699999999999</v>
      </c>
      <c r="CQ180" s="1664"/>
      <c r="CR180" s="256"/>
      <c r="CS180" s="256"/>
      <c r="CT180" s="1505">
        <v>128.00399999999999</v>
      </c>
      <c r="CU180" s="1664"/>
      <c r="CV180" s="256"/>
      <c r="CW180" s="256"/>
      <c r="CX180" s="1505">
        <v>129.352</v>
      </c>
      <c r="CY180" s="1664"/>
      <c r="CZ180" s="256"/>
      <c r="DA180" s="256"/>
      <c r="DB180" s="2128">
        <v>128.6</v>
      </c>
      <c r="DC180" s="1664"/>
      <c r="DD180" s="256"/>
      <c r="DE180" s="256"/>
      <c r="DF180" s="2128">
        <v>124.6</v>
      </c>
      <c r="DG180" s="1664"/>
      <c r="DH180" s="256"/>
      <c r="DI180" s="256"/>
      <c r="DJ180" s="2431">
        <v>124.4</v>
      </c>
      <c r="DK180" s="1664"/>
      <c r="DL180" s="256"/>
      <c r="DM180" s="256"/>
      <c r="DN180" s="2396">
        <f>DJ180*DN170/DJ170</f>
        <v>123.55408000000001</v>
      </c>
      <c r="DO180" s="1664"/>
      <c r="DP180" s="256"/>
      <c r="DQ180" s="256"/>
      <c r="DR180" s="256"/>
      <c r="DS180" s="256"/>
      <c r="DT180" s="256"/>
      <c r="DU180" s="256"/>
      <c r="DV180" s="256"/>
      <c r="DW180" s="256"/>
      <c r="DX180" s="256"/>
      <c r="DY180" s="256"/>
      <c r="DZ180" s="256"/>
      <c r="EA180" s="256"/>
      <c r="EB180" s="621"/>
      <c r="EC180" s="621"/>
    </row>
    <row r="181" spans="1:133">
      <c r="A181" s="256" t="str">
        <f>$A$13</f>
        <v>4Q</v>
      </c>
      <c r="B181" s="256" t="str">
        <f>$B$13</f>
        <v>Jan</v>
      </c>
      <c r="C181" s="587"/>
      <c r="D181" s="292"/>
      <c r="E181" s="587"/>
      <c r="F181" s="292"/>
      <c r="G181" s="288"/>
      <c r="H181" s="288"/>
      <c r="I181" s="256"/>
      <c r="J181" s="292"/>
      <c r="K181" s="288"/>
      <c r="L181" s="288"/>
      <c r="M181" s="256"/>
      <c r="N181" s="292"/>
      <c r="O181" s="288"/>
      <c r="P181" s="288"/>
      <c r="Q181" s="256"/>
      <c r="R181" s="292"/>
      <c r="S181" s="288"/>
      <c r="T181" s="288"/>
      <c r="U181" s="256"/>
      <c r="V181" s="292"/>
      <c r="W181" s="288"/>
      <c r="X181" s="288"/>
      <c r="Y181" s="256"/>
      <c r="Z181" s="292"/>
      <c r="AA181" s="288"/>
      <c r="AB181" s="288"/>
      <c r="AC181" s="256"/>
      <c r="AD181" s="292"/>
      <c r="AE181" s="288"/>
      <c r="AF181" s="288"/>
      <c r="AG181" s="256"/>
      <c r="AH181" s="292"/>
      <c r="AI181" s="288"/>
      <c r="AJ181" s="288"/>
      <c r="AK181" s="256"/>
      <c r="AL181" s="292">
        <f>AL180</f>
        <v>69.694000000000003</v>
      </c>
      <c r="AM181" s="288"/>
      <c r="AN181" s="288"/>
      <c r="AO181" s="288"/>
      <c r="AP181" s="292">
        <v>144.87</v>
      </c>
      <c r="AQ181" s="256"/>
      <c r="AR181" s="256"/>
      <c r="AS181" s="256"/>
      <c r="AT181" s="292">
        <v>145.898</v>
      </c>
      <c r="AU181" s="612">
        <f>(AT181/AP181-1)*100</f>
        <v>0.70960171187961496</v>
      </c>
      <c r="AV181" s="256"/>
      <c r="AW181" s="256"/>
      <c r="AX181" s="292">
        <v>144.90899999999999</v>
      </c>
      <c r="AY181" s="612">
        <f>(AX181/AT181-1)*100</f>
        <v>-0.67787084127267638</v>
      </c>
      <c r="AZ181" s="256"/>
      <c r="BA181" s="256"/>
      <c r="BB181" s="292">
        <v>144.96199999999999</v>
      </c>
      <c r="BC181" s="612">
        <f>(BB181/AX181-1)*100</f>
        <v>3.6574677901302088E-2</v>
      </c>
      <c r="BD181" s="256"/>
      <c r="BE181" s="256"/>
      <c r="BF181" s="292">
        <v>146.68199999999999</v>
      </c>
      <c r="BG181" s="612">
        <f>(BF181/BB181-1)*100</f>
        <v>1.186517846056212</v>
      </c>
      <c r="BH181" s="256"/>
      <c r="BI181" s="256"/>
      <c r="BJ181" s="292">
        <v>144.85400000000001</v>
      </c>
      <c r="BK181" s="612">
        <f>(BJ181/BF181-1)*100</f>
        <v>-1.2462333483317489</v>
      </c>
      <c r="BL181" s="256"/>
      <c r="BM181" s="587"/>
      <c r="BN181" s="1505">
        <v>142.386</v>
      </c>
      <c r="BO181" s="256"/>
      <c r="BP181" s="256"/>
      <c r="BQ181" s="599"/>
      <c r="BR181" s="1505">
        <v>135.584</v>
      </c>
      <c r="BS181" s="256"/>
      <c r="BT181" s="256"/>
      <c r="BU181" s="256"/>
      <c r="BV181" s="1505">
        <v>129.637</v>
      </c>
      <c r="BW181" s="256"/>
      <c r="BX181" s="256"/>
      <c r="BY181" s="256"/>
      <c r="BZ181" s="1505">
        <v>123.363</v>
      </c>
      <c r="CA181" s="256"/>
      <c r="CB181" s="256"/>
      <c r="CC181" s="256"/>
      <c r="CD181" s="1505">
        <v>125.09699999999999</v>
      </c>
      <c r="CE181" s="256"/>
      <c r="CF181" s="256"/>
      <c r="CG181" s="256"/>
      <c r="CH181" s="1505">
        <v>126.628</v>
      </c>
      <c r="CI181" s="602"/>
      <c r="CJ181" s="256"/>
      <c r="CK181" s="256"/>
      <c r="CL181" s="1505">
        <v>126.747</v>
      </c>
      <c r="CM181" s="1664"/>
      <c r="CN181" s="256"/>
      <c r="CO181" s="256"/>
      <c r="CP181" s="1505">
        <v>126.857</v>
      </c>
      <c r="CQ181" s="1664"/>
      <c r="CR181" s="256"/>
      <c r="CS181" s="256"/>
      <c r="CT181" s="1505">
        <v>128.19200000000001</v>
      </c>
      <c r="CU181" s="1664"/>
      <c r="CV181" s="256"/>
      <c r="CW181" s="256"/>
      <c r="CX181" s="1505">
        <v>129.34700000000001</v>
      </c>
      <c r="CY181" s="1664"/>
      <c r="CZ181" s="256"/>
      <c r="DA181" s="256"/>
      <c r="DB181" s="2147">
        <v>127.4</v>
      </c>
      <c r="DC181" s="1664"/>
      <c r="DD181" s="256"/>
      <c r="DE181" s="256"/>
      <c r="DF181" s="2201">
        <v>124.5</v>
      </c>
      <c r="DG181" s="1664"/>
      <c r="DH181" s="256"/>
      <c r="DI181" s="256"/>
      <c r="DJ181" s="2446">
        <v>124.2</v>
      </c>
      <c r="DK181" s="1664"/>
      <c r="DL181" s="256"/>
      <c r="DM181" s="256"/>
      <c r="DN181" s="1997">
        <f>DJ181*DN171/DJ171</f>
        <v>123.20560448358687</v>
      </c>
      <c r="DO181" s="1664"/>
      <c r="DP181" s="256"/>
      <c r="DQ181" s="256"/>
      <c r="DR181" s="256"/>
      <c r="DS181" s="256"/>
      <c r="DT181" s="256"/>
      <c r="DU181" s="256"/>
      <c r="DV181" s="256"/>
      <c r="DW181" s="256"/>
      <c r="DX181" s="256"/>
      <c r="DY181" s="256"/>
      <c r="DZ181" s="256"/>
      <c r="EA181" s="256"/>
      <c r="EB181" s="621"/>
      <c r="EC181" s="621"/>
    </row>
    <row r="182" spans="1:133">
      <c r="A182" s="256"/>
      <c r="B182" s="256" t="str">
        <f>$B$14</f>
        <v>Year</v>
      </c>
      <c r="C182" s="256"/>
      <c r="D182" s="613"/>
      <c r="E182" s="256"/>
      <c r="F182" s="613"/>
      <c r="G182" s="614"/>
      <c r="H182" s="614"/>
      <c r="I182" s="614"/>
      <c r="J182" s="613"/>
      <c r="K182" s="614"/>
      <c r="L182" s="614"/>
      <c r="M182" s="614"/>
      <c r="N182" s="613"/>
      <c r="O182" s="614"/>
      <c r="P182" s="614"/>
      <c r="Q182" s="614"/>
      <c r="R182" s="613"/>
      <c r="S182" s="614"/>
      <c r="T182" s="614"/>
      <c r="U182" s="614"/>
      <c r="V182" s="613"/>
      <c r="W182" s="614"/>
      <c r="X182" s="614"/>
      <c r="Y182" s="614"/>
      <c r="Z182" s="613"/>
      <c r="AA182" s="614"/>
      <c r="AB182" s="614"/>
      <c r="AC182" s="614"/>
      <c r="AD182" s="613">
        <v>33.682000000000002</v>
      </c>
      <c r="AE182" s="614"/>
      <c r="AF182" s="614"/>
      <c r="AG182" s="614"/>
      <c r="AH182" s="615">
        <v>34.953000000000003</v>
      </c>
      <c r="AI182" s="614"/>
      <c r="AJ182" s="614"/>
      <c r="AK182" s="614"/>
      <c r="AL182" s="615">
        <v>34.965000000000003</v>
      </c>
      <c r="AM182" s="612"/>
      <c r="AN182" s="612"/>
      <c r="AO182" s="612"/>
      <c r="AP182" s="615">
        <v>149.666</v>
      </c>
      <c r="AQ182" s="612"/>
      <c r="AR182" s="612"/>
      <c r="AS182" s="612"/>
      <c r="AT182" s="615">
        <v>145.49</v>
      </c>
      <c r="AU182" s="612">
        <f>(AT182/AP182-1)*100</f>
        <v>-2.7902128739994314</v>
      </c>
      <c r="AV182" s="256"/>
      <c r="AW182" s="614"/>
      <c r="AX182" s="615">
        <v>145.535</v>
      </c>
      <c r="AY182" s="612">
        <f>(AX182/AT182-1)*100</f>
        <v>3.0929960822034808E-2</v>
      </c>
      <c r="AZ182" s="614"/>
      <c r="BA182" s="614"/>
      <c r="BB182" s="615">
        <v>145.328</v>
      </c>
      <c r="BC182" s="612">
        <f>(BB182/AX182-1)*100</f>
        <v>-0.14223382691448405</v>
      </c>
      <c r="BD182" s="256"/>
      <c r="BE182" s="614"/>
      <c r="BF182" s="615">
        <v>145.72999999999999</v>
      </c>
      <c r="BG182" s="612">
        <f>(BF182/BB182-1)*100</f>
        <v>0.27661565562038248</v>
      </c>
      <c r="BH182" s="256"/>
      <c r="BI182" s="256"/>
      <c r="BJ182" s="615">
        <v>145.995</v>
      </c>
      <c r="BK182" s="612">
        <f>(BJ182/BF182-1)*100</f>
        <v>0.18184313456393042</v>
      </c>
      <c r="BL182" s="256"/>
      <c r="BM182" s="587"/>
      <c r="BN182" s="782">
        <v>142.976</v>
      </c>
      <c r="BO182" s="256"/>
      <c r="BP182" s="256"/>
      <c r="BQ182" s="599"/>
      <c r="BR182" s="782">
        <v>138.36199999999999</v>
      </c>
      <c r="BS182" s="256"/>
      <c r="BT182" s="256"/>
      <c r="BU182" s="256"/>
      <c r="BV182" s="782">
        <v>134.74799999999999</v>
      </c>
      <c r="BW182" s="256"/>
      <c r="BX182" s="256"/>
      <c r="BY182" s="256"/>
      <c r="BZ182" s="782">
        <v>124.73399999999999</v>
      </c>
      <c r="CA182" s="256"/>
      <c r="CB182" s="256"/>
      <c r="CC182" s="256"/>
      <c r="CD182" s="782">
        <v>124.345</v>
      </c>
      <c r="CE182" s="256"/>
      <c r="CF182" s="256"/>
      <c r="CG182" s="256"/>
      <c r="CH182" s="782">
        <v>126.6</v>
      </c>
      <c r="CI182" s="256"/>
      <c r="CJ182" s="256"/>
      <c r="CK182" s="256"/>
      <c r="CL182" s="1587">
        <f>CH182*CL172/CH172</f>
        <v>127.26723167141722</v>
      </c>
      <c r="CM182" s="256"/>
      <c r="CN182" s="256"/>
      <c r="CO182" s="256"/>
      <c r="CP182" s="1243">
        <f>CL182*CP172/CL172</f>
        <v>126.13242021400868</v>
      </c>
      <c r="CQ182" s="256"/>
      <c r="CR182" s="256"/>
      <c r="CS182" s="256"/>
      <c r="CT182" s="1243">
        <f>CP182*CT172/CP172</f>
        <v>127.05476262791456</v>
      </c>
      <c r="CU182" s="256"/>
      <c r="CV182" s="256"/>
      <c r="CW182" s="256"/>
      <c r="CX182" s="2148">
        <v>129.19999999999999</v>
      </c>
      <c r="CY182" s="256"/>
      <c r="CZ182" s="256"/>
      <c r="DA182" s="256"/>
      <c r="DB182" s="2148">
        <v>126.6</v>
      </c>
      <c r="DC182" s="256"/>
      <c r="DD182" s="256"/>
      <c r="DE182" s="256"/>
      <c r="DF182" s="2202">
        <v>125.1</v>
      </c>
      <c r="DG182" s="256"/>
      <c r="DH182" s="256"/>
      <c r="DI182" s="256"/>
      <c r="DJ182" s="2447">
        <v>124.5</v>
      </c>
      <c r="DK182" s="256"/>
      <c r="DL182" s="256"/>
      <c r="DM182" s="256"/>
      <c r="DN182" s="1243">
        <f>DJ182*DN172/DJ172</f>
        <v>123.67895683453239</v>
      </c>
      <c r="DO182" s="256"/>
      <c r="DP182" s="256"/>
      <c r="DQ182" s="256"/>
      <c r="DR182" s="256"/>
      <c r="DS182" s="256"/>
      <c r="DT182" s="256"/>
      <c r="DU182" s="256"/>
      <c r="DV182" s="256"/>
      <c r="DW182" s="256"/>
      <c r="DX182" s="256"/>
      <c r="DY182" s="256"/>
      <c r="DZ182" s="256"/>
      <c r="EA182" s="256"/>
    </row>
    <row r="183" spans="1:133" hidden="1" outlineLevel="1">
      <c r="A183" s="256" t="str">
        <f>$A$15</f>
        <v>6 Mos</v>
      </c>
      <c r="B183" s="256"/>
      <c r="C183" s="256"/>
      <c r="D183" s="614"/>
      <c r="E183" s="256"/>
      <c r="F183" s="614">
        <f>(F178+F179)/2</f>
        <v>0</v>
      </c>
      <c r="G183" s="614"/>
      <c r="H183" s="614"/>
      <c r="I183" s="614"/>
      <c r="J183" s="614">
        <f>(J178+J179)/2</f>
        <v>0</v>
      </c>
      <c r="K183" s="614"/>
      <c r="L183" s="614"/>
      <c r="M183" s="614"/>
      <c r="N183" s="614">
        <f>(N178+N179)/2</f>
        <v>0</v>
      </c>
      <c r="O183" s="614"/>
      <c r="P183" s="614"/>
      <c r="Q183" s="614"/>
      <c r="R183" s="614">
        <f>(R178+R179)/2</f>
        <v>15.7675</v>
      </c>
      <c r="S183" s="614"/>
      <c r="T183" s="614"/>
      <c r="U183" s="614"/>
      <c r="V183" s="614">
        <f>(V178+V179)/2</f>
        <v>15.849</v>
      </c>
      <c r="W183" s="614"/>
      <c r="X183" s="614"/>
      <c r="Y183" s="614"/>
      <c r="Z183" s="614">
        <f>(Z178+Z179)/2</f>
        <v>7.931</v>
      </c>
      <c r="AA183" s="614"/>
      <c r="AB183" s="614"/>
      <c r="AC183" s="614"/>
      <c r="AD183" s="614">
        <f>(AD178+AD179)/2</f>
        <v>68.115000000000009</v>
      </c>
      <c r="AE183" s="614"/>
      <c r="AF183" s="614"/>
      <c r="AG183" s="614"/>
      <c r="AH183" s="614">
        <f>(AH178+AH179)/2</f>
        <v>72.25</v>
      </c>
      <c r="AI183" s="614"/>
      <c r="AJ183" s="614"/>
      <c r="AK183" s="614"/>
      <c r="AL183" s="612">
        <f>(AL178+AL179)/2</f>
        <v>70.342999999999989</v>
      </c>
      <c r="AM183" s="612"/>
      <c r="AN183" s="612"/>
      <c r="AO183" s="612"/>
      <c r="AP183" s="612">
        <f>(AP178+AP179)/2</f>
        <v>70.585000000000008</v>
      </c>
      <c r="AQ183" s="612"/>
      <c r="AR183" s="612"/>
      <c r="AS183" s="612"/>
      <c r="AT183" s="612">
        <f>(AT178+AT179)/2</f>
        <v>145.13150000000002</v>
      </c>
      <c r="AU183" s="616"/>
      <c r="AV183" s="616"/>
      <c r="AW183" s="616"/>
      <c r="AX183" s="612">
        <f>(AX178+AX179)/2</f>
        <v>145.9785</v>
      </c>
      <c r="AY183" s="616"/>
      <c r="AZ183" s="616"/>
      <c r="BA183" s="616"/>
      <c r="BB183" s="612">
        <f>(BB178+BB179)/2</f>
        <v>145.607</v>
      </c>
      <c r="BC183" s="256"/>
      <c r="BD183" s="256"/>
      <c r="BE183" s="616"/>
      <c r="BF183" s="289">
        <f>(BF178+BF179)/2</f>
        <v>145.09399999999999</v>
      </c>
      <c r="BG183" s="289"/>
      <c r="BH183" s="289"/>
      <c r="BI183" s="289"/>
      <c r="BJ183" s="289">
        <f>(BJ178+BJ179)/2</f>
        <v>146.5925</v>
      </c>
      <c r="BK183" s="289"/>
      <c r="BL183" s="256"/>
      <c r="BM183" s="587"/>
      <c r="BN183" s="289">
        <f>(BN178+BN179)/2</f>
        <v>143.61849999999998</v>
      </c>
      <c r="BO183" s="256"/>
      <c r="BP183" s="256"/>
      <c r="BQ183" s="599"/>
      <c r="BR183" s="289" t="e">
        <f>(BR178+BR179)/2</f>
        <v>#VALUE!</v>
      </c>
      <c r="BS183" s="256"/>
      <c r="BT183" s="256"/>
      <c r="BU183" s="256"/>
      <c r="BV183" s="289">
        <f>(BV178+BV179)/2</f>
        <v>136.6155</v>
      </c>
      <c r="BW183" s="256"/>
      <c r="BX183" s="256"/>
      <c r="BY183" s="256"/>
      <c r="BZ183" s="289">
        <f>(BZ178+BZ179)/2</f>
        <v>126.086</v>
      </c>
      <c r="CA183" s="256"/>
      <c r="CB183" s="256"/>
      <c r="CC183" s="256"/>
      <c r="CD183" s="289">
        <f>(CD178+CD179)/2</f>
        <v>124.041</v>
      </c>
      <c r="CE183" s="256"/>
      <c r="CF183" s="256"/>
      <c r="CG183" s="256"/>
      <c r="CH183" s="289">
        <f>(CH178+CH179)/2</f>
        <v>126.798</v>
      </c>
      <c r="CI183" s="256"/>
      <c r="CJ183" s="256"/>
      <c r="CK183" s="256"/>
      <c r="CL183" s="289">
        <f>(CL178+CL179)/2</f>
        <v>127.8155</v>
      </c>
      <c r="CM183" s="256"/>
      <c r="CN183" s="256"/>
      <c r="CO183" s="256"/>
      <c r="CP183" s="289">
        <f>(CP178+CP179)/2</f>
        <v>126.32548096214001</v>
      </c>
      <c r="CQ183" s="256"/>
      <c r="CR183" s="256"/>
      <c r="CS183" s="256"/>
      <c r="CT183" s="289">
        <f>(CT178+CT179)/2</f>
        <v>127.572</v>
      </c>
      <c r="CU183" s="256"/>
      <c r="CV183" s="256"/>
      <c r="CW183" s="256"/>
      <c r="CX183" s="289">
        <f>(CX178+CX179)/2</f>
        <v>129.0925</v>
      </c>
      <c r="CY183" s="256"/>
      <c r="CZ183" s="256"/>
      <c r="DA183" s="256"/>
      <c r="DB183" s="289">
        <f>(DB178+DB179)/2</f>
        <v>129.1</v>
      </c>
      <c r="DC183" s="256"/>
      <c r="DD183" s="256"/>
      <c r="DE183" s="256"/>
      <c r="DF183" s="289">
        <f>(DF178+DF179)/2</f>
        <v>125.69999999999999</v>
      </c>
      <c r="DG183" s="256"/>
      <c r="DH183" s="256"/>
      <c r="DI183" s="256"/>
      <c r="DJ183" s="289">
        <f>(DJ178+DJ179)/2</f>
        <v>124.55</v>
      </c>
      <c r="DK183" s="256"/>
      <c r="DL183" s="256"/>
      <c r="DM183" s="256"/>
      <c r="DN183" s="2237">
        <f>(DN178+DN179)/2</f>
        <v>123.87849429953245</v>
      </c>
      <c r="DO183" s="2236"/>
      <c r="DP183" s="2236"/>
      <c r="DQ183" s="256"/>
      <c r="DR183" s="256"/>
      <c r="DS183" s="256"/>
      <c r="DT183" s="256"/>
      <c r="DU183" s="256"/>
      <c r="DV183" s="256"/>
      <c r="DW183" s="256"/>
      <c r="DX183" s="256"/>
      <c r="DY183" s="256"/>
      <c r="DZ183" s="256"/>
      <c r="EA183" s="256"/>
    </row>
    <row r="184" spans="1:133" hidden="1" outlineLevel="1">
      <c r="A184" s="256" t="str">
        <f>$A$16</f>
        <v>9 Mos</v>
      </c>
      <c r="B184" s="256"/>
      <c r="C184" s="256"/>
      <c r="D184" s="614"/>
      <c r="E184" s="256"/>
      <c r="F184" s="614">
        <f>(F178+F179+F180)/3</f>
        <v>0</v>
      </c>
      <c r="G184" s="614"/>
      <c r="H184" s="614"/>
      <c r="I184" s="614"/>
      <c r="J184" s="614">
        <f>(J178+J179+J180)/3</f>
        <v>0</v>
      </c>
      <c r="K184" s="614"/>
      <c r="L184" s="614"/>
      <c r="M184" s="614"/>
      <c r="N184" s="614">
        <f>(N178+N179+N180)/3</f>
        <v>0</v>
      </c>
      <c r="O184" s="614"/>
      <c r="P184" s="614"/>
      <c r="Q184" s="614"/>
      <c r="R184" s="614">
        <f>(R178+R179+R180)/3</f>
        <v>15.777333333333333</v>
      </c>
      <c r="S184" s="614"/>
      <c r="T184" s="614"/>
      <c r="U184" s="614"/>
      <c r="V184" s="614">
        <f>(V178+V179+V180)/3</f>
        <v>15.886666666666665</v>
      </c>
      <c r="W184" s="614"/>
      <c r="X184" s="614"/>
      <c r="Y184" s="614"/>
      <c r="Z184" s="614">
        <f>(Z178+Z179+Z180)/3</f>
        <v>10.688666666666668</v>
      </c>
      <c r="AA184" s="614"/>
      <c r="AB184" s="614"/>
      <c r="AC184" s="614"/>
      <c r="AD184" s="614">
        <f>(AD178+AD179+AD180)/3</f>
        <v>69.306666666666672</v>
      </c>
      <c r="AE184" s="614"/>
      <c r="AF184" s="614"/>
      <c r="AG184" s="614"/>
      <c r="AH184" s="614">
        <f>(AH178+AH179+AH180)/3</f>
        <v>72.35733333333333</v>
      </c>
      <c r="AI184" s="614"/>
      <c r="AJ184" s="614"/>
      <c r="AK184" s="614"/>
      <c r="AL184" s="612">
        <f>(AL178+AL179+AL180)/3</f>
        <v>70.126666666666665</v>
      </c>
      <c r="AM184" s="612"/>
      <c r="AN184" s="612"/>
      <c r="AO184" s="612"/>
      <c r="AP184" s="612">
        <f>(AP178+AP179+AP180)/3</f>
        <v>71.166666666666671</v>
      </c>
      <c r="AQ184" s="612"/>
      <c r="AR184" s="612"/>
      <c r="AS184" s="612"/>
      <c r="AT184" s="612">
        <f>(AT178+AT179+AT180)/3</f>
        <v>145.35733333333334</v>
      </c>
      <c r="AU184" s="616"/>
      <c r="AV184" s="616"/>
      <c r="AW184" s="616"/>
      <c r="AX184" s="612">
        <f>(AX178+AX179+AX180)/3</f>
        <v>145.74333333333334</v>
      </c>
      <c r="AY184" s="616"/>
      <c r="AZ184" s="616"/>
      <c r="BA184" s="616"/>
      <c r="BB184" s="612">
        <f>(BB178+BB179+BB180)/3</f>
        <v>145.45033333333333</v>
      </c>
      <c r="BC184" s="256"/>
      <c r="BD184" s="256"/>
      <c r="BE184" s="616"/>
      <c r="BF184" s="289">
        <f>(BF178+BF179+BF180)/3</f>
        <v>145.41166666666666</v>
      </c>
      <c r="BG184" s="289"/>
      <c r="BH184" s="289"/>
      <c r="BI184" s="289"/>
      <c r="BJ184" s="289">
        <f>(BJ178+BJ179+BJ180)/3</f>
        <v>146.376</v>
      </c>
      <c r="BK184" s="289"/>
      <c r="BL184" s="256"/>
      <c r="BM184" s="587"/>
      <c r="BN184" s="289">
        <f>(BN178+BN179+BN180)/3</f>
        <v>143.17233333333331</v>
      </c>
      <c r="BO184" s="256"/>
      <c r="BP184" s="256"/>
      <c r="BQ184" s="599"/>
      <c r="BR184" s="289" t="e">
        <f>(BR178+BR179+BR180)/3</f>
        <v>#VALUE!</v>
      </c>
      <c r="BS184" s="256"/>
      <c r="BT184" s="256"/>
      <c r="BU184" s="256"/>
      <c r="BV184" s="289">
        <f>(BV178+BV179+BV180)/3</f>
        <v>136.45166666666668</v>
      </c>
      <c r="BW184" s="256"/>
      <c r="BX184" s="256"/>
      <c r="BY184" s="256"/>
      <c r="BZ184" s="289">
        <f>(BZ178+BZ179+BZ180)/3</f>
        <v>125.19033333333334</v>
      </c>
      <c r="CA184" s="256"/>
      <c r="CB184" s="256"/>
      <c r="CC184" s="256"/>
      <c r="CD184" s="289">
        <f>(CD178+CD179+CD180)/3</f>
        <v>124.09466666666667</v>
      </c>
      <c r="CE184" s="256"/>
      <c r="CF184" s="256"/>
      <c r="CG184" s="256"/>
      <c r="CH184" s="289">
        <f>(CH178+CH179+CH180)/3</f>
        <v>126.59066666666666</v>
      </c>
      <c r="CI184" s="256"/>
      <c r="CJ184" s="256"/>
      <c r="CK184" s="256"/>
      <c r="CL184" s="289">
        <f>(CL178+CL179+CL180)/3</f>
        <v>127.61366666666667</v>
      </c>
      <c r="CM184" s="256"/>
      <c r="CN184" s="256"/>
      <c r="CO184" s="256"/>
      <c r="CP184" s="289">
        <f>(CP178+CP179+CP180)/3</f>
        <v>126.46265397476002</v>
      </c>
      <c r="CQ184" s="256"/>
      <c r="CR184" s="256"/>
      <c r="CS184" s="256"/>
      <c r="CT184" s="289">
        <f>(CT178+CT179+CT180)/3</f>
        <v>127.71600000000001</v>
      </c>
      <c r="CU184" s="256"/>
      <c r="CV184" s="256"/>
      <c r="CW184" s="256"/>
      <c r="CX184" s="289">
        <f>(CX178+CX179+CX180)/3</f>
        <v>129.179</v>
      </c>
      <c r="CY184" s="256"/>
      <c r="CZ184" s="256"/>
      <c r="DA184" s="256"/>
      <c r="DB184" s="289">
        <f>(DB178+DB179+DB180)/3</f>
        <v>128.93333333333331</v>
      </c>
      <c r="DC184" s="256"/>
      <c r="DD184" s="256"/>
      <c r="DE184" s="256"/>
      <c r="DF184" s="289">
        <f>(DF178+DF179+DF180)/3</f>
        <v>125.33333333333333</v>
      </c>
      <c r="DG184" s="256"/>
      <c r="DH184" s="256"/>
      <c r="DI184" s="256"/>
      <c r="DJ184" s="289">
        <f>(DJ178+DJ179+DJ180)/3</f>
        <v>124.5</v>
      </c>
      <c r="DK184" s="256"/>
      <c r="DL184" s="256"/>
      <c r="DM184" s="256"/>
      <c r="DN184" s="2237">
        <f>(DN178+DN179+DN180)/3</f>
        <v>123.77035619968831</v>
      </c>
      <c r="DO184" s="2236"/>
      <c r="DP184" s="2236"/>
      <c r="DQ184" s="256"/>
      <c r="DR184" s="256"/>
      <c r="DS184" s="256"/>
      <c r="DT184" s="256"/>
      <c r="DU184" s="256"/>
      <c r="DV184" s="256"/>
      <c r="DW184" s="256"/>
      <c r="DX184" s="256"/>
      <c r="DY184" s="256"/>
      <c r="DZ184" s="256"/>
      <c r="EA184" s="256"/>
    </row>
    <row r="185" spans="1:133" collapsed="1">
      <c r="A185" s="256" t="str">
        <f>$A$15</f>
        <v>6 Mos</v>
      </c>
      <c r="B185" s="256"/>
      <c r="C185" s="256"/>
      <c r="D185" s="256"/>
      <c r="E185" s="256"/>
      <c r="F185" s="256"/>
      <c r="G185" s="256"/>
      <c r="H185" s="256"/>
      <c r="I185" s="256"/>
      <c r="J185" s="256"/>
      <c r="K185" s="256"/>
      <c r="L185" s="256"/>
      <c r="M185" s="256"/>
      <c r="N185" s="256"/>
      <c r="O185" s="256"/>
      <c r="P185" s="256"/>
      <c r="Q185" s="256"/>
      <c r="R185" s="256"/>
      <c r="S185" s="256"/>
      <c r="T185" s="256"/>
      <c r="U185" s="256"/>
      <c r="V185" s="256"/>
      <c r="W185" s="256"/>
      <c r="X185" s="256"/>
      <c r="Y185" s="256"/>
      <c r="Z185" s="256"/>
      <c r="AA185" s="256"/>
      <c r="AB185" s="256"/>
      <c r="AC185" s="256"/>
      <c r="AD185" s="256"/>
      <c r="AE185" s="256"/>
      <c r="AF185" s="256"/>
      <c r="AG185" s="256"/>
      <c r="AH185" s="256"/>
      <c r="AI185" s="256"/>
      <c r="AJ185" s="256"/>
      <c r="AK185" s="256"/>
      <c r="AL185" s="256"/>
      <c r="AM185" s="256"/>
      <c r="AN185" s="256"/>
      <c r="AO185" s="256"/>
      <c r="AP185" s="256"/>
      <c r="AQ185" s="256"/>
      <c r="AR185" s="256"/>
      <c r="AS185" s="256"/>
      <c r="AT185" s="256"/>
      <c r="AU185" s="256"/>
      <c r="AV185" s="256"/>
      <c r="AW185" s="256"/>
      <c r="AX185" s="256"/>
      <c r="AY185" s="256"/>
      <c r="AZ185" s="256"/>
      <c r="BA185" s="256"/>
      <c r="BB185" s="256"/>
      <c r="BC185" s="256"/>
      <c r="BD185" s="256"/>
      <c r="BE185" s="256"/>
      <c r="BF185" s="256"/>
      <c r="BG185" s="256"/>
      <c r="BH185" s="256"/>
      <c r="BI185" s="256"/>
      <c r="BJ185" s="256"/>
      <c r="BK185" s="256"/>
      <c r="BL185" s="256"/>
      <c r="BM185" s="587"/>
      <c r="BN185" s="256"/>
      <c r="BO185" s="256"/>
      <c r="BP185" s="256"/>
      <c r="BQ185" s="599"/>
      <c r="BR185" s="256"/>
      <c r="BS185" s="256"/>
      <c r="BT185" s="256"/>
      <c r="BU185" s="256"/>
      <c r="BV185" s="256"/>
      <c r="BW185" s="256"/>
      <c r="BX185" s="256"/>
      <c r="BY185" s="256"/>
      <c r="BZ185" s="256"/>
      <c r="CA185" s="256"/>
      <c r="CB185" s="256"/>
      <c r="CC185" s="256"/>
      <c r="CD185" s="256"/>
      <c r="CE185" s="256"/>
      <c r="CF185" s="256"/>
      <c r="CG185" s="256"/>
      <c r="CH185" s="256"/>
      <c r="CI185" s="256"/>
      <c r="CJ185" s="256"/>
      <c r="CK185" s="256"/>
      <c r="CL185" s="256"/>
      <c r="CM185" s="256"/>
      <c r="CN185" s="256"/>
      <c r="CO185" s="256"/>
      <c r="CP185" s="256"/>
      <c r="CQ185" s="256"/>
      <c r="CR185" s="256"/>
      <c r="CS185" s="256"/>
      <c r="CT185" s="256"/>
      <c r="CU185" s="256"/>
      <c r="CV185" s="256"/>
      <c r="CW185" s="256"/>
      <c r="CX185" s="256"/>
      <c r="CY185" s="256"/>
      <c r="CZ185" s="256"/>
      <c r="DA185" s="256"/>
      <c r="DB185" s="256"/>
      <c r="DC185" s="256"/>
      <c r="DD185" s="256"/>
      <c r="DE185" s="256"/>
      <c r="DF185" s="256"/>
      <c r="DG185" s="256"/>
      <c r="DH185" s="256"/>
      <c r="DI185" s="256"/>
      <c r="DJ185" s="256"/>
      <c r="DK185" s="256"/>
      <c r="DL185" s="256"/>
      <c r="DM185" s="256"/>
      <c r="DN185" s="256"/>
      <c r="DO185" s="256"/>
      <c r="DP185" s="256"/>
      <c r="DQ185" s="256"/>
      <c r="DR185" s="256"/>
      <c r="DS185" s="256"/>
      <c r="DT185" s="256"/>
      <c r="DU185" s="256"/>
      <c r="DV185" s="256"/>
      <c r="DW185" s="256"/>
      <c r="DX185" s="256"/>
      <c r="DY185" s="256"/>
      <c r="DZ185" s="256"/>
      <c r="EA185" s="256"/>
    </row>
    <row r="186" spans="1:133" ht="11.25" customHeight="1">
      <c r="A186" s="256" t="str">
        <f>$A$16</f>
        <v>9 Mos</v>
      </c>
      <c r="B186" s="256"/>
      <c r="C186" s="908"/>
      <c r="D186" s="908"/>
      <c r="E186" s="908"/>
      <c r="F186" s="908"/>
      <c r="G186" s="908"/>
      <c r="H186" s="908"/>
      <c r="I186" s="908"/>
      <c r="J186" s="908"/>
      <c r="K186" s="908"/>
      <c r="L186" s="908"/>
      <c r="M186" s="908"/>
      <c r="N186" s="908"/>
      <c r="O186" s="908"/>
      <c r="P186" s="908"/>
      <c r="Q186" s="908"/>
      <c r="R186" s="908"/>
      <c r="S186" s="908"/>
      <c r="T186" s="908"/>
      <c r="U186" s="908"/>
      <c r="V186" s="908"/>
      <c r="W186" s="908"/>
      <c r="X186" s="908"/>
      <c r="Y186" s="908"/>
      <c r="Z186" s="2506" t="s">
        <v>2407</v>
      </c>
      <c r="AA186" s="2506"/>
      <c r="AB186" s="2506"/>
      <c r="AC186" s="2506"/>
      <c r="AD186" s="2506"/>
      <c r="AE186" s="2506"/>
      <c r="AF186" s="2506"/>
      <c r="AG186" s="2506"/>
      <c r="AH186" s="2506"/>
      <c r="AI186" s="2506"/>
      <c r="AJ186" s="2506"/>
      <c r="AK186" s="2506"/>
      <c r="AL186" s="2506"/>
      <c r="AM186" s="2506"/>
      <c r="AN186" s="2506"/>
      <c r="AO186" s="910"/>
      <c r="AP186" s="907"/>
      <c r="AQ186" s="909"/>
      <c r="AR186" s="909"/>
      <c r="AS186" s="909"/>
      <c r="AT186" s="911"/>
      <c r="AU186" s="911"/>
      <c r="AV186" s="911"/>
      <c r="AW186" s="911"/>
      <c r="AX186" s="911"/>
      <c r="AY186" s="911"/>
      <c r="AZ186" s="911"/>
      <c r="BA186" s="911"/>
      <c r="BB186" s="1025"/>
      <c r="BC186" s="1025"/>
      <c r="BD186" s="1025"/>
      <c r="BE186" s="1025"/>
      <c r="BF186" s="1025"/>
      <c r="BG186" s="1025"/>
      <c r="BH186" s="1025"/>
      <c r="BI186" s="1025"/>
      <c r="BJ186" s="1025" t="s">
        <v>835</v>
      </c>
      <c r="BK186" s="1025"/>
      <c r="BL186" s="1025"/>
      <c r="BM186" s="1025"/>
      <c r="BN186" s="1025"/>
      <c r="BO186" s="1025"/>
      <c r="BP186" s="1025"/>
      <c r="BQ186" s="1025"/>
      <c r="BR186" s="1025"/>
      <c r="BS186" s="1025"/>
      <c r="BT186" s="1025"/>
      <c r="BU186" s="1025"/>
      <c r="BV186" s="1025" t="s">
        <v>835</v>
      </c>
      <c r="BW186" s="1025"/>
      <c r="BX186" s="1025"/>
      <c r="BY186" s="1026"/>
      <c r="BZ186" s="1048"/>
      <c r="CA186" s="1048"/>
      <c r="CB186" s="1048"/>
      <c r="CC186" s="1048"/>
      <c r="CE186" s="1048"/>
      <c r="CF186" s="1048"/>
      <c r="CG186" s="1048"/>
      <c r="CH186" s="1048"/>
      <c r="CI186" s="1048"/>
      <c r="CJ186" s="1048"/>
      <c r="CK186" s="1048"/>
      <c r="CL186" s="1048"/>
      <c r="CM186" s="1048"/>
      <c r="CO186" s="1048"/>
      <c r="CP186" s="1048"/>
      <c r="CQ186" s="1048"/>
      <c r="CR186" s="1048"/>
      <c r="CS186" s="907"/>
      <c r="CT186" s="1048"/>
      <c r="CU186" s="1048"/>
      <c r="CV186" s="1048"/>
      <c r="CW186" s="907"/>
      <c r="CX186" s="1048"/>
      <c r="CY186" s="1048"/>
      <c r="CZ186" s="1048"/>
      <c r="DA186" s="907"/>
      <c r="DB186" s="1025" t="s">
        <v>835</v>
      </c>
      <c r="DC186" s="1048"/>
      <c r="DD186" s="1048"/>
      <c r="DE186" s="907"/>
      <c r="DF186" s="1048"/>
      <c r="DG186" s="1048"/>
      <c r="DH186" s="1048"/>
      <c r="DI186" s="907"/>
      <c r="DJ186" s="1048"/>
      <c r="DK186" s="1048"/>
      <c r="DL186" s="1048"/>
      <c r="DM186" s="907"/>
      <c r="DN186" s="1048"/>
      <c r="DO186" s="1048"/>
      <c r="DP186" s="1048"/>
      <c r="DQ186" s="907"/>
      <c r="DR186" s="907"/>
      <c r="DS186" s="907"/>
      <c r="DT186" s="907"/>
      <c r="DU186" s="907"/>
      <c r="DV186" s="907"/>
      <c r="DW186" s="907"/>
      <c r="DX186" s="907"/>
      <c r="DY186" s="907"/>
      <c r="DZ186" s="907"/>
      <c r="EA186" s="907"/>
    </row>
    <row r="187" spans="1:133" ht="11.25" customHeight="1">
      <c r="A187" s="256"/>
      <c r="B187" s="256"/>
      <c r="C187" s="908"/>
      <c r="D187" s="908"/>
      <c r="E187" s="908"/>
      <c r="F187" s="908"/>
      <c r="G187" s="908"/>
      <c r="H187" s="908"/>
      <c r="I187" s="908"/>
      <c r="J187" s="908"/>
      <c r="K187" s="908"/>
      <c r="L187" s="908"/>
      <c r="M187" s="908"/>
      <c r="N187" s="908"/>
      <c r="O187" s="908"/>
      <c r="P187" s="908"/>
      <c r="Q187" s="908"/>
      <c r="R187" s="908"/>
      <c r="S187" s="908"/>
      <c r="T187" s="908"/>
      <c r="U187" s="908"/>
      <c r="V187" s="908"/>
      <c r="W187" s="908"/>
      <c r="X187" s="908"/>
      <c r="Y187" s="908"/>
      <c r="Z187" s="908"/>
      <c r="AA187" s="908"/>
      <c r="AB187" s="908"/>
      <c r="AC187" s="908"/>
      <c r="AD187" s="908"/>
      <c r="AE187" s="908"/>
      <c r="AF187" s="908"/>
      <c r="AG187" s="908"/>
      <c r="AH187" s="909"/>
      <c r="AI187" s="910"/>
      <c r="AJ187" s="910"/>
      <c r="AK187" s="910"/>
      <c r="AL187" s="910"/>
      <c r="AM187" s="910"/>
      <c r="AN187" s="910"/>
      <c r="AO187" s="910"/>
      <c r="AP187" s="910"/>
      <c r="AQ187" s="910"/>
      <c r="AR187" s="910"/>
      <c r="AS187" s="910"/>
      <c r="AT187" s="910"/>
      <c r="AU187" s="910"/>
      <c r="AV187" s="910"/>
      <c r="AW187" s="910"/>
      <c r="AX187" s="910"/>
      <c r="AY187" s="910"/>
      <c r="AZ187" s="910"/>
      <c r="BA187" s="910"/>
      <c r="BB187" s="910"/>
      <c r="BC187" s="910"/>
      <c r="BD187" s="910"/>
      <c r="BE187" s="910"/>
      <c r="BF187" s="910"/>
      <c r="BG187" s="910"/>
      <c r="BH187" s="910"/>
      <c r="BI187" s="908"/>
      <c r="BJ187" s="908"/>
      <c r="BK187" s="908"/>
      <c r="BL187" s="908"/>
      <c r="BM187" s="908"/>
      <c r="BN187" s="908"/>
      <c r="BO187" s="908"/>
      <c r="BP187" s="908"/>
      <c r="BQ187" s="907"/>
      <c r="BR187" s="907"/>
      <c r="BS187" s="907"/>
      <c r="BT187" s="907"/>
      <c r="BU187" s="907"/>
      <c r="BV187" s="907"/>
      <c r="BW187" s="907"/>
      <c r="BX187" s="907"/>
      <c r="BY187" s="907"/>
      <c r="BZ187" s="908"/>
      <c r="CA187" s="908"/>
      <c r="CB187" s="908"/>
      <c r="CC187" s="908"/>
      <c r="CD187" s="908"/>
      <c r="CE187" s="908"/>
      <c r="CF187" s="908"/>
      <c r="CG187" s="908"/>
      <c r="CH187" s="908"/>
      <c r="CI187" s="908"/>
      <c r="CJ187" s="908"/>
      <c r="CK187" s="908"/>
      <c r="CL187" s="908"/>
      <c r="CM187" s="908"/>
      <c r="CN187" s="908"/>
      <c r="CO187" s="908"/>
      <c r="CP187" s="1820"/>
      <c r="CQ187" s="908"/>
      <c r="CR187" s="908"/>
      <c r="CS187" s="907"/>
      <c r="CT187" s="908"/>
      <c r="CU187" s="908"/>
      <c r="CV187" s="908"/>
      <c r="CW187" s="907"/>
      <c r="CX187" s="908"/>
      <c r="CY187" s="908"/>
      <c r="CZ187" s="908"/>
      <c r="DA187" s="907"/>
      <c r="DB187" s="908"/>
      <c r="DC187" s="908"/>
      <c r="DD187" s="908"/>
      <c r="DE187" s="907"/>
      <c r="DF187" s="908"/>
      <c r="DG187" s="908"/>
      <c r="DH187" s="908"/>
      <c r="DI187" s="907"/>
      <c r="DJ187" s="908"/>
      <c r="DK187" s="908"/>
      <c r="DL187" s="908"/>
      <c r="DM187" s="907"/>
      <c r="DN187" s="908"/>
      <c r="DO187" s="908"/>
      <c r="DP187" s="908"/>
      <c r="DQ187" s="907"/>
      <c r="DR187" s="907"/>
      <c r="DS187" s="907"/>
      <c r="DT187" s="907"/>
      <c r="DU187" s="907"/>
      <c r="DV187" s="907"/>
      <c r="DW187" s="907"/>
      <c r="DX187" s="907"/>
      <c r="DY187" s="907"/>
      <c r="DZ187" s="907"/>
      <c r="EA187" s="907"/>
    </row>
    <row r="188" spans="1:133" ht="11.25" customHeight="1">
      <c r="A188" s="256" t="str">
        <f>$A$10</f>
        <v>1Q</v>
      </c>
      <c r="B188" s="256" t="str">
        <f>$B$10</f>
        <v>Apr</v>
      </c>
      <c r="C188" s="908"/>
      <c r="D188" s="908"/>
      <c r="E188" s="908"/>
      <c r="F188" s="908"/>
      <c r="G188" s="908"/>
      <c r="H188" s="908"/>
      <c r="I188" s="908"/>
      <c r="J188" s="908"/>
      <c r="K188" s="908"/>
      <c r="L188" s="908"/>
      <c r="M188" s="908"/>
      <c r="N188" s="908"/>
      <c r="O188" s="908"/>
      <c r="P188" s="908"/>
      <c r="Q188" s="908"/>
      <c r="R188" s="908"/>
      <c r="S188" s="908"/>
      <c r="T188" s="908"/>
      <c r="U188" s="908"/>
      <c r="V188" s="908"/>
      <c r="W188" s="908"/>
      <c r="X188" s="908"/>
      <c r="Y188" s="908"/>
      <c r="Z188" s="1016">
        <v>7.0000000000000007E-2</v>
      </c>
      <c r="AA188" s="1016"/>
      <c r="AB188" s="1016"/>
      <c r="AC188" s="1016"/>
      <c r="AD188" s="1016">
        <v>7.0000000000000007E-2</v>
      </c>
      <c r="AE188" s="1016"/>
      <c r="AF188" s="1016"/>
      <c r="AG188" s="1016"/>
      <c r="AH188" s="1016">
        <v>0.05</v>
      </c>
      <c r="AI188" s="1016"/>
      <c r="AJ188" s="1016"/>
      <c r="AK188" s="1016"/>
      <c r="AL188" s="1016">
        <v>3.5000000000000003E-2</v>
      </c>
      <c r="AM188" s="1016"/>
      <c r="AN188" s="1016"/>
      <c r="AO188" s="1016"/>
      <c r="AP188" s="1016">
        <v>4.4999999999999998E-2</v>
      </c>
      <c r="AQ188" s="1016"/>
      <c r="AR188" s="1016"/>
      <c r="AS188" s="1016"/>
      <c r="AT188" s="1016">
        <v>0.03</v>
      </c>
      <c r="AU188" s="1016"/>
      <c r="AV188" s="1016"/>
      <c r="AW188" s="1016"/>
      <c r="AX188" s="1016">
        <v>0.04</v>
      </c>
      <c r="AY188" s="1016"/>
      <c r="AZ188" s="1016"/>
      <c r="BA188" s="1016"/>
      <c r="BB188" s="1016">
        <v>0.04</v>
      </c>
      <c r="BC188" s="1016"/>
      <c r="BD188" s="1016"/>
      <c r="BE188" s="1016"/>
      <c r="BF188" s="1016">
        <v>0.04</v>
      </c>
      <c r="BG188" s="1016"/>
      <c r="BH188" s="1016"/>
      <c r="BI188" s="1016"/>
      <c r="BJ188" s="1016">
        <v>0.05</v>
      </c>
      <c r="BK188" s="1016"/>
      <c r="BL188" s="1016"/>
      <c r="BM188" s="1016"/>
      <c r="BN188" s="1016">
        <v>0.06</v>
      </c>
      <c r="BO188" s="985"/>
      <c r="BP188" s="985"/>
      <c r="BQ188" s="985"/>
      <c r="BR188" s="1016">
        <v>0.08</v>
      </c>
      <c r="BS188" s="985"/>
      <c r="BT188" s="985"/>
      <c r="BU188" s="985"/>
      <c r="BV188" s="1016">
        <v>0.1</v>
      </c>
      <c r="BW188" s="907"/>
      <c r="BX188" s="907"/>
      <c r="BY188" s="985"/>
      <c r="BZ188" s="1016">
        <v>0.15</v>
      </c>
      <c r="CA188" s="908"/>
      <c r="CB188" s="908"/>
      <c r="CC188" s="985"/>
      <c r="CD188" s="1016">
        <v>0.17</v>
      </c>
      <c r="CE188" s="908"/>
      <c r="CF188" s="908"/>
      <c r="CG188" s="985"/>
      <c r="CH188" s="1016">
        <v>0.2</v>
      </c>
      <c r="CI188" s="908"/>
      <c r="CJ188" s="908"/>
      <c r="CK188" s="985"/>
      <c r="CL188" s="1016">
        <f>CH191</f>
        <v>0.25</v>
      </c>
      <c r="CM188" s="908"/>
      <c r="CN188" s="908"/>
      <c r="CO188" s="985"/>
      <c r="CP188" s="1016">
        <v>0.32</v>
      </c>
      <c r="CQ188" s="908"/>
      <c r="CR188" s="908"/>
      <c r="CS188" s="907"/>
      <c r="CT188" s="1016">
        <v>0.34</v>
      </c>
      <c r="CU188" s="908"/>
      <c r="CV188" s="908"/>
      <c r="CW188" s="907"/>
      <c r="CX188" s="1016">
        <v>0.38</v>
      </c>
      <c r="CY188" s="908"/>
      <c r="CZ188" s="908"/>
      <c r="DA188" s="907"/>
      <c r="DB188" s="1016">
        <v>0.38</v>
      </c>
      <c r="DC188" s="908"/>
      <c r="DD188" s="908"/>
      <c r="DE188" s="907"/>
      <c r="DF188" s="1016">
        <v>0.4</v>
      </c>
      <c r="DG188" s="908"/>
      <c r="DH188" s="908"/>
      <c r="DI188" s="907"/>
      <c r="DJ188" s="1016">
        <v>0.45</v>
      </c>
      <c r="DK188" s="908"/>
      <c r="DL188" s="908"/>
      <c r="DM188" s="907"/>
      <c r="DN188" s="1016">
        <v>0.5</v>
      </c>
      <c r="DO188" s="908"/>
      <c r="DP188" s="908"/>
      <c r="DQ188" s="907"/>
      <c r="DR188" s="907"/>
      <c r="DS188" s="907"/>
      <c r="DT188" s="907"/>
      <c r="DU188" s="907"/>
      <c r="DV188" s="907"/>
      <c r="DW188" s="907"/>
      <c r="DX188" s="907"/>
      <c r="DY188" s="907"/>
      <c r="DZ188" s="907"/>
      <c r="EA188" s="907"/>
    </row>
    <row r="189" spans="1:133" ht="11.25" customHeight="1">
      <c r="A189" s="256" t="str">
        <f>$A$11</f>
        <v>2Q</v>
      </c>
      <c r="B189" s="256" t="str">
        <f>$B$11</f>
        <v>Jul</v>
      </c>
      <c r="C189" s="908"/>
      <c r="D189" s="908"/>
      <c r="E189" s="908"/>
      <c r="F189" s="908"/>
      <c r="G189" s="908"/>
      <c r="H189" s="908"/>
      <c r="I189" s="908"/>
      <c r="J189" s="908"/>
      <c r="K189" s="908"/>
      <c r="L189" s="908"/>
      <c r="M189" s="908"/>
      <c r="N189" s="908"/>
      <c r="O189" s="908"/>
      <c r="P189" s="908"/>
      <c r="Q189" s="908"/>
      <c r="R189" s="908"/>
      <c r="S189" s="908"/>
      <c r="T189" s="908"/>
      <c r="U189" s="908"/>
      <c r="V189" s="908"/>
      <c r="W189" s="908"/>
      <c r="X189" s="908"/>
      <c r="Y189" s="908"/>
      <c r="Z189" s="985">
        <v>7.0000000000000007E-2</v>
      </c>
      <c r="AA189" s="985"/>
      <c r="AB189" s="985"/>
      <c r="AC189" s="985"/>
      <c r="AD189" s="985">
        <v>0.1</v>
      </c>
      <c r="AE189" s="985"/>
      <c r="AF189" s="985"/>
      <c r="AG189" s="985"/>
      <c r="AH189" s="985">
        <v>7.0000000000000007E-2</v>
      </c>
      <c r="AI189" s="985"/>
      <c r="AJ189" s="985"/>
      <c r="AK189" s="985"/>
      <c r="AL189" s="985">
        <v>4.4999999999999998E-2</v>
      </c>
      <c r="AM189" s="985"/>
      <c r="AN189" s="985"/>
      <c r="AO189" s="985"/>
      <c r="AP189" s="985">
        <v>0.06</v>
      </c>
      <c r="AQ189" s="985"/>
      <c r="AR189" s="985"/>
      <c r="AS189" s="985"/>
      <c r="AT189" s="985">
        <v>0.04</v>
      </c>
      <c r="AU189" s="985"/>
      <c r="AV189" s="985"/>
      <c r="AW189" s="985"/>
      <c r="AX189" s="985">
        <v>0.04</v>
      </c>
      <c r="AY189" s="985"/>
      <c r="AZ189" s="985"/>
      <c r="BA189" s="985"/>
      <c r="BB189" s="985">
        <v>0.04</v>
      </c>
      <c r="BC189" s="985"/>
      <c r="BD189" s="985"/>
      <c r="BE189" s="985"/>
      <c r="BF189" s="985">
        <v>0.05</v>
      </c>
      <c r="BG189" s="985"/>
      <c r="BH189" s="985"/>
      <c r="BI189" s="985"/>
      <c r="BJ189" s="985">
        <v>0.06</v>
      </c>
      <c r="BK189" s="985"/>
      <c r="BL189" s="985"/>
      <c r="BM189" s="985"/>
      <c r="BN189" s="985">
        <v>0.08</v>
      </c>
      <c r="BO189" s="985"/>
      <c r="BP189" s="985"/>
      <c r="BQ189" s="985"/>
      <c r="BR189" s="985">
        <v>0.1</v>
      </c>
      <c r="BS189" s="985"/>
      <c r="BT189" s="985"/>
      <c r="BU189" s="985"/>
      <c r="BV189" s="985">
        <v>0.12</v>
      </c>
      <c r="BW189" s="907"/>
      <c r="BX189" s="907"/>
      <c r="BY189" s="985"/>
      <c r="BZ189" s="985">
        <v>0.17</v>
      </c>
      <c r="CA189" s="908"/>
      <c r="CB189" s="908"/>
      <c r="CC189" s="985"/>
      <c r="CD189" s="985">
        <f>CD188</f>
        <v>0.17</v>
      </c>
      <c r="CE189" s="908"/>
      <c r="CF189" s="908"/>
      <c r="CG189" s="985"/>
      <c r="CH189" s="985">
        <v>0.25</v>
      </c>
      <c r="CI189" s="908"/>
      <c r="CJ189" s="908"/>
      <c r="CK189" s="985"/>
      <c r="CL189" s="985">
        <v>0.28999999999999998</v>
      </c>
      <c r="CM189" s="908"/>
      <c r="CN189" s="908"/>
      <c r="CO189" s="985"/>
      <c r="CP189" s="985">
        <f>CP188</f>
        <v>0.32</v>
      </c>
      <c r="CQ189" s="908"/>
      <c r="CR189" s="908"/>
      <c r="CS189" s="907"/>
      <c r="CT189" s="1742">
        <v>0.34</v>
      </c>
      <c r="CU189" s="908"/>
      <c r="CV189" s="908"/>
      <c r="CW189" s="907"/>
      <c r="CX189" s="1742">
        <v>0.38</v>
      </c>
      <c r="CY189" s="908"/>
      <c r="CZ189" s="908"/>
      <c r="DA189" s="907"/>
      <c r="DB189" s="1742">
        <v>0.4</v>
      </c>
      <c r="DC189" s="908"/>
      <c r="DD189" s="908"/>
      <c r="DE189" s="907"/>
      <c r="DF189" s="1742">
        <v>0.45</v>
      </c>
      <c r="DG189" s="908"/>
      <c r="DH189" s="908"/>
      <c r="DI189" s="907"/>
      <c r="DJ189" s="1742">
        <v>0.5</v>
      </c>
      <c r="DK189" s="908"/>
      <c r="DL189" s="908"/>
      <c r="DM189" s="907"/>
      <c r="DN189" s="985">
        <v>0.5</v>
      </c>
      <c r="DO189" s="908"/>
      <c r="DP189" s="908"/>
      <c r="DQ189" s="907"/>
      <c r="DR189" s="907"/>
      <c r="DS189" s="907"/>
      <c r="DT189" s="907"/>
      <c r="DU189" s="907"/>
      <c r="DV189" s="907"/>
      <c r="DW189" s="907"/>
      <c r="DX189" s="907"/>
      <c r="DY189" s="907"/>
      <c r="DZ189" s="907"/>
      <c r="EA189" s="907"/>
    </row>
    <row r="190" spans="1:133" ht="11.25" customHeight="1">
      <c r="A190" s="256" t="str">
        <f>$A$12</f>
        <v>3Q</v>
      </c>
      <c r="B190" s="256" t="str">
        <f>$B$12</f>
        <v>Oct</v>
      </c>
      <c r="C190" s="908"/>
      <c r="D190" s="908"/>
      <c r="E190" s="908"/>
      <c r="F190" s="908"/>
      <c r="G190" s="908"/>
      <c r="H190" s="908"/>
      <c r="I190" s="908"/>
      <c r="J190" s="908"/>
      <c r="K190" s="908"/>
      <c r="L190" s="908"/>
      <c r="M190" s="908"/>
      <c r="N190" s="908"/>
      <c r="O190" s="908"/>
      <c r="P190" s="908"/>
      <c r="Q190" s="908"/>
      <c r="R190" s="908"/>
      <c r="S190" s="908"/>
      <c r="T190" s="908"/>
      <c r="U190" s="908"/>
      <c r="V190" s="908"/>
      <c r="W190" s="908"/>
      <c r="X190" s="908"/>
      <c r="Y190" s="908"/>
      <c r="Z190" s="985">
        <v>7.0000000000000007E-2</v>
      </c>
      <c r="AA190" s="985"/>
      <c r="AB190" s="985"/>
      <c r="AC190" s="985"/>
      <c r="AD190" s="985">
        <v>0.05</v>
      </c>
      <c r="AE190" s="985"/>
      <c r="AF190" s="985"/>
      <c r="AG190" s="985"/>
      <c r="AH190" s="985">
        <v>7.0000000000000007E-2</v>
      </c>
      <c r="AI190" s="985"/>
      <c r="AJ190" s="985"/>
      <c r="AK190" s="985"/>
      <c r="AL190" s="985">
        <v>4.4999999999999998E-2</v>
      </c>
      <c r="AM190" s="985"/>
      <c r="AN190" s="985"/>
      <c r="AO190" s="985"/>
      <c r="AP190" s="985">
        <v>0.06</v>
      </c>
      <c r="AQ190" s="985"/>
      <c r="AR190" s="985"/>
      <c r="AS190" s="985"/>
      <c r="AT190" s="985">
        <v>0.04</v>
      </c>
      <c r="AU190" s="985"/>
      <c r="AV190" s="985"/>
      <c r="AW190" s="985"/>
      <c r="AX190" s="985">
        <v>0.04</v>
      </c>
      <c r="AY190" s="985"/>
      <c r="AZ190" s="985"/>
      <c r="BA190" s="985"/>
      <c r="BB190" s="985">
        <v>0.04</v>
      </c>
      <c r="BC190" s="985"/>
      <c r="BD190" s="985"/>
      <c r="BE190" s="985"/>
      <c r="BF190" s="985">
        <v>0.05</v>
      </c>
      <c r="BG190" s="985"/>
      <c r="BH190" s="985"/>
      <c r="BI190" s="985"/>
      <c r="BJ190" s="985">
        <v>0.06</v>
      </c>
      <c r="BK190" s="985"/>
      <c r="BL190" s="985"/>
      <c r="BM190" s="985"/>
      <c r="BN190" s="985">
        <v>0.08</v>
      </c>
      <c r="BO190" s="985"/>
      <c r="BP190" s="985"/>
      <c r="BQ190" s="985"/>
      <c r="BR190" s="985">
        <v>0.1</v>
      </c>
      <c r="BS190" s="985"/>
      <c r="BT190" s="985"/>
      <c r="BU190" s="985"/>
      <c r="BV190" s="985">
        <v>0.15</v>
      </c>
      <c r="BW190" s="907"/>
      <c r="BX190" s="907"/>
      <c r="BY190" s="985"/>
      <c r="BZ190" s="985">
        <f>+BZ189</f>
        <v>0.17</v>
      </c>
      <c r="CA190" s="908"/>
      <c r="CB190" s="908"/>
      <c r="CC190" s="985"/>
      <c r="CD190" s="985">
        <f>+CD189</f>
        <v>0.17</v>
      </c>
      <c r="CE190" s="908"/>
      <c r="CF190" s="908"/>
      <c r="CG190" s="985"/>
      <c r="CH190" s="985">
        <f>+CH189</f>
        <v>0.25</v>
      </c>
      <c r="CI190" s="908"/>
      <c r="CJ190" s="908"/>
      <c r="CK190" s="985"/>
      <c r="CL190" s="985">
        <f>+CL189</f>
        <v>0.28999999999999998</v>
      </c>
      <c r="CM190" s="908"/>
      <c r="CN190" s="908"/>
      <c r="CO190" s="985"/>
      <c r="CP190" s="985">
        <f>+CP189</f>
        <v>0.32</v>
      </c>
      <c r="CQ190" s="908"/>
      <c r="CR190" s="908"/>
      <c r="CS190" s="907"/>
      <c r="CT190" s="985">
        <f>+CT189</f>
        <v>0.34</v>
      </c>
      <c r="CU190" s="908"/>
      <c r="CV190" s="908"/>
      <c r="CW190" s="907"/>
      <c r="CX190" s="985">
        <v>0.38</v>
      </c>
      <c r="CY190" s="908"/>
      <c r="CZ190" s="908"/>
      <c r="DA190" s="907"/>
      <c r="DB190" s="985">
        <v>0.4</v>
      </c>
      <c r="DC190" s="908"/>
      <c r="DD190" s="908"/>
      <c r="DE190" s="907"/>
      <c r="DF190" s="985">
        <v>0.45</v>
      </c>
      <c r="DG190" s="908"/>
      <c r="DH190" s="908"/>
      <c r="DI190" s="907"/>
      <c r="DJ190" s="985">
        <v>0.5</v>
      </c>
      <c r="DK190" s="908"/>
      <c r="DL190" s="908"/>
      <c r="DM190" s="907"/>
      <c r="DN190" s="985">
        <v>0.5</v>
      </c>
      <c r="DO190" s="908"/>
      <c r="DP190" s="908"/>
      <c r="DQ190" s="907"/>
      <c r="DR190" s="907"/>
      <c r="DS190" s="907"/>
      <c r="DT190" s="907"/>
      <c r="DU190" s="907"/>
      <c r="DV190" s="907"/>
      <c r="DW190" s="907"/>
      <c r="DX190" s="907"/>
      <c r="DY190" s="907"/>
      <c r="DZ190" s="907"/>
      <c r="EA190" s="907"/>
    </row>
    <row r="191" spans="1:133" ht="11.25" customHeight="1">
      <c r="A191" s="256" t="str">
        <f>$A$13</f>
        <v>4Q</v>
      </c>
      <c r="B191" s="256" t="str">
        <f>$B$13</f>
        <v>Jan</v>
      </c>
      <c r="C191" s="908"/>
      <c r="D191" s="908"/>
      <c r="E191" s="908"/>
      <c r="F191" s="908"/>
      <c r="G191" s="908"/>
      <c r="H191" s="908"/>
      <c r="I191" s="908"/>
      <c r="J191" s="908"/>
      <c r="K191" s="908"/>
      <c r="L191" s="908"/>
      <c r="M191" s="908"/>
      <c r="N191" s="908"/>
      <c r="O191" s="908"/>
      <c r="P191" s="908"/>
      <c r="Q191" s="908"/>
      <c r="R191" s="908"/>
      <c r="S191" s="908"/>
      <c r="T191" s="908"/>
      <c r="U191" s="908"/>
      <c r="V191" s="908"/>
      <c r="W191" s="908"/>
      <c r="X191" s="908"/>
      <c r="Y191" s="908"/>
      <c r="Z191" s="986">
        <v>7.0000000000000007E-2</v>
      </c>
      <c r="AA191" s="982"/>
      <c r="AB191" s="982"/>
      <c r="AC191" s="982"/>
      <c r="AD191" s="986">
        <v>0.05</v>
      </c>
      <c r="AE191" s="982"/>
      <c r="AF191" s="982"/>
      <c r="AG191" s="982"/>
      <c r="AH191" s="986">
        <v>7.0000000000000007E-2</v>
      </c>
      <c r="AI191" s="931"/>
      <c r="AJ191" s="983"/>
      <c r="AK191" s="983"/>
      <c r="AL191" s="986">
        <v>4.4999999999999998E-2</v>
      </c>
      <c r="AM191" s="288"/>
      <c r="AN191" s="982"/>
      <c r="AO191" s="982"/>
      <c r="AP191" s="986">
        <v>0.06</v>
      </c>
      <c r="AQ191" s="288"/>
      <c r="AR191" s="982"/>
      <c r="AS191" s="982"/>
      <c r="AT191" s="986">
        <v>0.04</v>
      </c>
      <c r="AU191" s="288"/>
      <c r="AV191" s="982"/>
      <c r="AW191" s="982"/>
      <c r="AX191" s="986">
        <v>0.04</v>
      </c>
      <c r="AY191" s="288"/>
      <c r="AZ191" s="982"/>
      <c r="BA191" s="982"/>
      <c r="BB191" s="986">
        <v>0.04</v>
      </c>
      <c r="BC191" s="288"/>
      <c r="BD191" s="982"/>
      <c r="BE191" s="982"/>
      <c r="BF191" s="986">
        <v>0.05</v>
      </c>
      <c r="BG191" s="288"/>
      <c r="BH191" s="982"/>
      <c r="BI191" s="982"/>
      <c r="BJ191" s="986">
        <v>0.06</v>
      </c>
      <c r="BK191" s="288"/>
      <c r="BL191" s="982"/>
      <c r="BM191" s="982"/>
      <c r="BN191" s="986">
        <v>0.08</v>
      </c>
      <c r="BO191" s="238"/>
      <c r="BP191" s="238"/>
      <c r="BQ191" s="139"/>
      <c r="BR191" s="986">
        <v>0.1</v>
      </c>
      <c r="BS191" s="179"/>
      <c r="BT191" s="179"/>
      <c r="BU191" s="179"/>
      <c r="BV191" s="986">
        <v>0.15</v>
      </c>
      <c r="BW191" s="907"/>
      <c r="BX191" s="907"/>
      <c r="BY191" s="179"/>
      <c r="BZ191" s="986">
        <f>+BZ190</f>
        <v>0.17</v>
      </c>
      <c r="CA191" s="908"/>
      <c r="CB191" s="908"/>
      <c r="CC191" s="982"/>
      <c r="CD191" s="986">
        <f>+CD190</f>
        <v>0.17</v>
      </c>
      <c r="CE191" s="908"/>
      <c r="CF191" s="908"/>
      <c r="CG191" s="982"/>
      <c r="CH191" s="986">
        <f>+CH190</f>
        <v>0.25</v>
      </c>
      <c r="CI191" s="908"/>
      <c r="CJ191" s="908"/>
      <c r="CK191" s="982"/>
      <c r="CL191" s="986">
        <f>+CL190</f>
        <v>0.28999999999999998</v>
      </c>
      <c r="CM191" s="908"/>
      <c r="CN191" s="908"/>
      <c r="CO191" s="982"/>
      <c r="CP191" s="986">
        <f>+CP190</f>
        <v>0.32</v>
      </c>
      <c r="CQ191" s="908"/>
      <c r="CR191" s="908"/>
      <c r="CS191" s="907"/>
      <c r="CT191" s="986">
        <f>+CT190</f>
        <v>0.34</v>
      </c>
      <c r="CU191" s="908"/>
      <c r="CV191" s="908"/>
      <c r="CW191" s="907"/>
      <c r="CX191" s="986">
        <v>0.38</v>
      </c>
      <c r="CY191" s="908"/>
      <c r="CZ191" s="908"/>
      <c r="DA191" s="907"/>
      <c r="DB191" s="986">
        <v>0.4</v>
      </c>
      <c r="DC191" s="908"/>
      <c r="DD191" s="908"/>
      <c r="DE191" s="907"/>
      <c r="DF191" s="986">
        <v>0.45</v>
      </c>
      <c r="DG191" s="908"/>
      <c r="DH191" s="908"/>
      <c r="DI191" s="907"/>
      <c r="DJ191" s="986">
        <v>0.5</v>
      </c>
      <c r="DK191" s="908"/>
      <c r="DL191" s="908"/>
      <c r="DM191" s="907"/>
      <c r="DN191" s="986">
        <v>0.5</v>
      </c>
      <c r="DO191" s="908"/>
      <c r="DP191" s="908"/>
      <c r="DQ191" s="907"/>
      <c r="DR191" s="907"/>
      <c r="DS191" s="907"/>
      <c r="DT191" s="907"/>
      <c r="DU191" s="907"/>
      <c r="DV191" s="907"/>
      <c r="DW191" s="907"/>
      <c r="DX191" s="907"/>
      <c r="DY191" s="907"/>
      <c r="DZ191" s="907"/>
      <c r="EA191" s="907"/>
      <c r="EB191" s="1506"/>
      <c r="EC191" s="1506"/>
    </row>
    <row r="192" spans="1:133" ht="11.25" customHeight="1">
      <c r="A192" s="256"/>
      <c r="B192" s="256" t="str">
        <f>$B$14</f>
        <v>Year</v>
      </c>
      <c r="C192" s="908"/>
      <c r="D192" s="908"/>
      <c r="E192" s="908"/>
      <c r="F192" s="908"/>
      <c r="G192" s="908"/>
      <c r="H192" s="908"/>
      <c r="I192" s="908"/>
      <c r="J192" s="908"/>
      <c r="K192" s="908"/>
      <c r="L192" s="908"/>
      <c r="M192" s="908"/>
      <c r="N192" s="908"/>
      <c r="O192" s="908"/>
      <c r="P192" s="908"/>
      <c r="Q192" s="908"/>
      <c r="R192" s="908"/>
      <c r="S192" s="908"/>
      <c r="T192" s="908"/>
      <c r="U192" s="908"/>
      <c r="V192" s="908"/>
      <c r="W192" s="908"/>
      <c r="X192" s="908"/>
      <c r="Y192" s="908"/>
      <c r="Z192" s="886">
        <f>SUM(Z188:Z191)</f>
        <v>0.28000000000000003</v>
      </c>
      <c r="AA192" s="886"/>
      <c r="AB192" s="886"/>
      <c r="AC192" s="886"/>
      <c r="AD192" s="886">
        <f>SUM(AD188:AD191)</f>
        <v>0.27</v>
      </c>
      <c r="AE192" s="886"/>
      <c r="AF192" s="886"/>
      <c r="AG192" s="886"/>
      <c r="AH192" s="886">
        <f>SUM(AH188:AH191)</f>
        <v>0.26</v>
      </c>
      <c r="AI192" s="886"/>
      <c r="AJ192" s="886"/>
      <c r="AK192" s="886"/>
      <c r="AL192" s="886">
        <f>SUM(AL188:AL191)</f>
        <v>0.16999999999999998</v>
      </c>
      <c r="AM192" s="886"/>
      <c r="AN192" s="886"/>
      <c r="AO192" s="886"/>
      <c r="AP192" s="886">
        <f>SUM(AP188:AP191)</f>
        <v>0.22499999999999998</v>
      </c>
      <c r="AQ192" s="886"/>
      <c r="AR192" s="886"/>
      <c r="AS192" s="886"/>
      <c r="AT192" s="886">
        <f>SUM(AT188:AT191)</f>
        <v>0.15000000000000002</v>
      </c>
      <c r="AU192" s="886"/>
      <c r="AV192" s="886"/>
      <c r="AW192" s="886"/>
      <c r="AX192" s="886">
        <f>SUM(AX188:AX191)</f>
        <v>0.16</v>
      </c>
      <c r="AY192" s="886"/>
      <c r="AZ192" s="886"/>
      <c r="BA192" s="886"/>
      <c r="BB192" s="886">
        <f>SUM(BB188:BB191)</f>
        <v>0.16</v>
      </c>
      <c r="BC192" s="886"/>
      <c r="BD192" s="886"/>
      <c r="BE192" s="886"/>
      <c r="BF192" s="886">
        <f>SUM(BF188:BF191)</f>
        <v>0.19</v>
      </c>
      <c r="BG192" s="886"/>
      <c r="BH192" s="886"/>
      <c r="BI192" s="886"/>
      <c r="BJ192" s="886">
        <f>SUM(BJ188:BJ191)</f>
        <v>0.22999999999999998</v>
      </c>
      <c r="BK192" s="886"/>
      <c r="BL192" s="886"/>
      <c r="BM192" s="886"/>
      <c r="BN192" s="886">
        <f>SUM(BN188:BN191)</f>
        <v>0.30000000000000004</v>
      </c>
      <c r="BO192" s="886"/>
      <c r="BP192" s="886"/>
      <c r="BQ192" s="886"/>
      <c r="BR192" s="886">
        <f>SUM(BR188:BR191)</f>
        <v>0.38</v>
      </c>
      <c r="BS192" s="886"/>
      <c r="BT192" s="886"/>
      <c r="BU192" s="886"/>
      <c r="BV192" s="886">
        <f>SUM(BV188:BV191)</f>
        <v>0.52</v>
      </c>
      <c r="BW192" s="907"/>
      <c r="BX192" s="907"/>
      <c r="BY192" s="886"/>
      <c r="BZ192" s="886">
        <f>SUM(BZ188:BZ191)</f>
        <v>0.66</v>
      </c>
      <c r="CA192" s="908"/>
      <c r="CB192" s="908"/>
      <c r="CC192" s="886"/>
      <c r="CD192" s="886">
        <f>SUM(CD188:CD191)</f>
        <v>0.68</v>
      </c>
      <c r="CE192" s="908"/>
      <c r="CF192" s="908"/>
      <c r="CG192" s="886"/>
      <c r="CH192" s="886">
        <f>SUM(CH188:CH191)</f>
        <v>0.95</v>
      </c>
      <c r="CI192" s="908"/>
      <c r="CJ192" s="908"/>
      <c r="CK192" s="886"/>
      <c r="CL192" s="886">
        <f>SUM(CL188:CL191)</f>
        <v>1.1200000000000001</v>
      </c>
      <c r="CM192" s="908"/>
      <c r="CN192" s="908"/>
      <c r="CO192" s="886"/>
      <c r="CP192" s="886">
        <f>SUM(CP188:CP191)</f>
        <v>1.28</v>
      </c>
      <c r="CQ192" s="908"/>
      <c r="CR192" s="908"/>
      <c r="CS192" s="907"/>
      <c r="CT192" s="886">
        <f>SUM(CT188:CT191)</f>
        <v>1.36</v>
      </c>
      <c r="CU192" s="908"/>
      <c r="CV192" s="908"/>
      <c r="CW192" s="907"/>
      <c r="CX192" s="886">
        <f>SUM(CX188:CX191)</f>
        <v>1.52</v>
      </c>
      <c r="CY192" s="908"/>
      <c r="CZ192" s="908"/>
      <c r="DA192" s="907"/>
      <c r="DB192" s="886">
        <f>SUM(DB188:DB191)</f>
        <v>1.58</v>
      </c>
      <c r="DC192" s="908"/>
      <c r="DD192" s="908"/>
      <c r="DE192" s="907"/>
      <c r="DF192" s="886">
        <f>SUM(DF188:DF191)</f>
        <v>1.75</v>
      </c>
      <c r="DG192" s="908"/>
      <c r="DH192" s="908"/>
      <c r="DI192" s="907"/>
      <c r="DJ192" s="886">
        <f>SUM(DJ188:DJ191)</f>
        <v>1.95</v>
      </c>
      <c r="DK192" s="908"/>
      <c r="DL192" s="908"/>
      <c r="DM192" s="907"/>
      <c r="DN192" s="886">
        <f>SUM(DN188:DN191)</f>
        <v>2</v>
      </c>
      <c r="DO192" s="908"/>
      <c r="DP192" s="908"/>
      <c r="DQ192" s="907"/>
      <c r="DR192" s="907"/>
      <c r="DS192" s="907"/>
      <c r="DT192" s="907"/>
      <c r="DU192" s="907"/>
      <c r="DV192" s="907"/>
      <c r="DW192" s="907"/>
      <c r="DX192" s="907"/>
      <c r="DY192" s="907"/>
      <c r="DZ192" s="907"/>
      <c r="EA192" s="907"/>
    </row>
    <row r="193" spans="1:131" ht="11.25" customHeight="1">
      <c r="A193" s="256"/>
      <c r="B193" s="256"/>
      <c r="C193" s="256"/>
      <c r="D193" s="256"/>
      <c r="E193" s="256"/>
      <c r="F193" s="256"/>
      <c r="G193" s="256"/>
      <c r="H193" s="256"/>
      <c r="I193" s="256"/>
      <c r="J193" s="256"/>
      <c r="K193" s="256"/>
      <c r="L193" s="256"/>
      <c r="M193" s="256"/>
      <c r="N193" s="256"/>
      <c r="O193" s="256"/>
      <c r="P193" s="256"/>
      <c r="Q193" s="256"/>
      <c r="R193" s="256"/>
      <c r="S193" s="256"/>
      <c r="T193" s="256"/>
      <c r="U193" s="256"/>
      <c r="V193" s="256"/>
      <c r="W193" s="256"/>
      <c r="X193" s="256"/>
      <c r="Y193" s="256"/>
      <c r="Z193" s="256"/>
      <c r="AA193" s="256"/>
      <c r="AB193" s="256"/>
      <c r="AC193" s="256"/>
      <c r="AD193" s="256"/>
      <c r="AE193" s="256"/>
      <c r="AF193" s="256"/>
      <c r="AG193" s="256"/>
      <c r="AH193" s="256"/>
      <c r="AI193" s="256"/>
      <c r="AJ193" s="256"/>
      <c r="AK193" s="256"/>
      <c r="AL193" s="256"/>
      <c r="AM193" s="256"/>
      <c r="AN193" s="256"/>
      <c r="AO193" s="256"/>
      <c r="AP193" s="256"/>
      <c r="AQ193" s="256"/>
      <c r="AR193" s="256"/>
      <c r="AS193" s="256"/>
      <c r="AT193" s="256"/>
      <c r="AU193" s="256"/>
      <c r="AV193" s="256"/>
      <c r="AW193" s="256"/>
      <c r="AX193" s="256"/>
      <c r="AY193" s="256"/>
      <c r="AZ193" s="256"/>
      <c r="BA193" s="256"/>
      <c r="BB193" s="1019"/>
      <c r="BC193" s="256"/>
      <c r="BD193" s="256"/>
      <c r="BE193" s="256"/>
      <c r="BF193" s="1019"/>
      <c r="BG193" s="256"/>
      <c r="BH193" s="256"/>
      <c r="BI193" s="256"/>
      <c r="BJ193" s="1019"/>
      <c r="BK193" s="256"/>
      <c r="BL193" s="256"/>
      <c r="BM193" s="587"/>
      <c r="BN193" s="1019"/>
      <c r="BO193" s="256"/>
      <c r="BP193" s="256"/>
      <c r="BQ193" s="599"/>
      <c r="BR193" s="1019"/>
      <c r="BS193" s="256"/>
      <c r="BT193" s="256"/>
      <c r="BU193" s="256"/>
      <c r="BV193" s="1019"/>
      <c r="BW193" s="256"/>
      <c r="BX193" s="256"/>
      <c r="BY193" s="256"/>
      <c r="BZ193" s="1019"/>
      <c r="CA193" s="256"/>
      <c r="CB193" s="256"/>
      <c r="CC193" s="256"/>
      <c r="CD193" s="387"/>
      <c r="CE193" s="256"/>
      <c r="CF193" s="256"/>
      <c r="CG193" s="256"/>
      <c r="CH193" s="387"/>
      <c r="CI193" s="256"/>
      <c r="CJ193" s="256"/>
      <c r="CK193" s="256"/>
      <c r="CL193" s="387"/>
      <c r="CM193" s="256"/>
      <c r="CN193" s="256"/>
      <c r="CO193" s="256"/>
      <c r="CP193" s="387"/>
      <c r="CQ193" s="256"/>
      <c r="CR193" s="256"/>
      <c r="CS193" s="256"/>
      <c r="CT193" s="387"/>
      <c r="CU193" s="256"/>
      <c r="CV193" s="256"/>
      <c r="CW193" s="256"/>
      <c r="CX193" s="387"/>
      <c r="CY193" s="256"/>
      <c r="CZ193" s="256"/>
      <c r="DA193" s="256"/>
      <c r="DB193" s="387"/>
      <c r="DC193" s="256"/>
      <c r="DD193" s="256"/>
      <c r="DE193" s="256"/>
      <c r="DF193" s="387"/>
      <c r="DG193" s="256"/>
      <c r="DH193" s="256"/>
      <c r="DI193" s="256"/>
      <c r="DJ193" s="387"/>
      <c r="DK193" s="256"/>
      <c r="DL193" s="256"/>
      <c r="DM193" s="256"/>
      <c r="DN193" s="387"/>
      <c r="DO193" s="256"/>
      <c r="DP193" s="256"/>
      <c r="DQ193" s="256"/>
      <c r="DR193" s="256"/>
      <c r="DS193" s="256"/>
      <c r="DT193" s="256"/>
      <c r="DU193" s="256"/>
      <c r="DV193" s="256"/>
      <c r="DW193" s="256"/>
      <c r="DX193" s="256"/>
      <c r="DY193" s="256"/>
      <c r="DZ193" s="256"/>
      <c r="EA193" s="256"/>
    </row>
    <row r="194" spans="1:131" ht="11.25" customHeight="1">
      <c r="A194" s="256"/>
      <c r="B194" s="256"/>
      <c r="C194" s="256"/>
      <c r="D194" s="256"/>
      <c r="E194" s="256"/>
      <c r="F194" s="256"/>
      <c r="G194" s="256"/>
      <c r="H194" s="256"/>
      <c r="I194" s="256"/>
      <c r="J194" s="256"/>
      <c r="K194" s="256"/>
      <c r="L194" s="256"/>
      <c r="M194" s="256"/>
      <c r="N194" s="256"/>
      <c r="O194" s="256"/>
      <c r="P194" s="256"/>
      <c r="Q194" s="256"/>
      <c r="R194" s="256"/>
      <c r="S194" s="256"/>
      <c r="T194" s="256"/>
      <c r="U194" s="256"/>
      <c r="V194" s="256"/>
      <c r="W194" s="256"/>
      <c r="X194" s="256"/>
      <c r="Y194" s="256"/>
      <c r="Z194" s="256"/>
      <c r="AA194" s="256"/>
      <c r="AB194" s="256"/>
      <c r="AC194" s="256"/>
      <c r="AD194" s="256"/>
      <c r="AE194" s="256"/>
      <c r="AF194" s="256"/>
      <c r="AG194" s="256"/>
      <c r="AH194" s="256"/>
      <c r="AI194" s="256"/>
      <c r="AJ194" s="256"/>
      <c r="AK194" s="256"/>
      <c r="AL194" s="256"/>
      <c r="AM194" s="256"/>
      <c r="AN194" s="256"/>
      <c r="AO194" s="256"/>
      <c r="AP194" s="256"/>
      <c r="AQ194" s="256"/>
      <c r="AR194" s="256"/>
      <c r="AS194" s="256"/>
      <c r="AT194" s="256"/>
      <c r="AU194" s="256"/>
      <c r="AV194" s="256"/>
      <c r="AW194" s="256"/>
      <c r="AX194" s="256"/>
      <c r="AY194" s="256"/>
      <c r="AZ194" s="256"/>
      <c r="BA194" s="256"/>
      <c r="BB194" s="600" t="s">
        <v>432</v>
      </c>
      <c r="BC194" s="600"/>
      <c r="BD194" s="600"/>
      <c r="BE194" s="600"/>
      <c r="BF194" s="600"/>
      <c r="BG194" s="600"/>
      <c r="BH194" s="600"/>
      <c r="BI194" s="600"/>
      <c r="BJ194" s="600"/>
      <c r="BK194" s="600"/>
      <c r="BL194" s="600"/>
      <c r="BM194" s="600"/>
      <c r="BN194" s="600"/>
      <c r="BO194" s="600"/>
      <c r="BP194" s="600"/>
      <c r="BQ194" s="600"/>
      <c r="BR194" s="600"/>
      <c r="BS194" s="600"/>
      <c r="BT194" s="600"/>
      <c r="BU194" s="600"/>
      <c r="BV194" s="600" t="s">
        <v>432</v>
      </c>
      <c r="BW194" s="600"/>
      <c r="BX194" s="600"/>
      <c r="BY194" s="600"/>
      <c r="BZ194" s="600"/>
      <c r="CA194" s="600"/>
      <c r="CB194" s="600"/>
      <c r="CC194" s="600"/>
      <c r="CE194" s="600"/>
      <c r="CF194" s="600"/>
      <c r="CG194" s="600"/>
      <c r="CH194" s="600"/>
      <c r="CI194" s="600"/>
      <c r="CJ194" s="600"/>
      <c r="CK194" s="600"/>
      <c r="CL194" s="600"/>
      <c r="CM194" s="600"/>
      <c r="CN194" s="600"/>
      <c r="CP194" s="600"/>
      <c r="CQ194" s="600"/>
      <c r="CR194" s="600"/>
      <c r="CS194" s="256"/>
      <c r="CT194" s="600"/>
      <c r="CU194" s="600"/>
      <c r="CV194" s="600"/>
      <c r="CW194" s="256"/>
      <c r="CX194" s="600"/>
      <c r="CY194" s="600"/>
      <c r="CZ194" s="600"/>
      <c r="DA194" s="256"/>
      <c r="DB194" s="600" t="s">
        <v>432</v>
      </c>
      <c r="DC194" s="600"/>
      <c r="DD194" s="600"/>
      <c r="DE194" s="256"/>
      <c r="DF194" s="600"/>
      <c r="DG194" s="600"/>
      <c r="DH194" s="600"/>
      <c r="DI194" s="256"/>
      <c r="DJ194" s="600"/>
      <c r="DK194" s="600"/>
      <c r="DL194" s="600"/>
      <c r="DM194" s="256"/>
      <c r="DN194" s="600"/>
      <c r="DO194" s="600"/>
      <c r="DP194" s="600"/>
      <c r="DQ194" s="256"/>
      <c r="DR194" s="256"/>
      <c r="DS194" s="256"/>
      <c r="DT194" s="256"/>
      <c r="DU194" s="256"/>
      <c r="DV194" s="256"/>
      <c r="DW194" s="256"/>
      <c r="DX194" s="256"/>
      <c r="DY194" s="256"/>
      <c r="DZ194" s="256"/>
      <c r="EA194" s="256"/>
    </row>
    <row r="195" spans="1:131">
      <c r="A195" s="256"/>
      <c r="B195" s="256"/>
      <c r="C195" s="256"/>
      <c r="D195" s="256"/>
      <c r="E195" s="256"/>
      <c r="F195" s="256"/>
      <c r="G195" s="256"/>
      <c r="H195" s="256"/>
      <c r="I195" s="256"/>
      <c r="J195" s="256"/>
      <c r="K195" s="256"/>
      <c r="L195" s="256"/>
      <c r="M195" s="256"/>
      <c r="N195" s="256"/>
      <c r="O195" s="256"/>
      <c r="P195" s="256"/>
      <c r="Q195" s="256"/>
      <c r="R195" s="256"/>
      <c r="S195" s="256"/>
      <c r="T195" s="256"/>
      <c r="U195" s="256"/>
      <c r="V195" s="256"/>
      <c r="W195" s="256"/>
      <c r="X195" s="256"/>
      <c r="Y195" s="256"/>
      <c r="Z195" s="256"/>
      <c r="AA195" s="256"/>
      <c r="AB195" s="256"/>
      <c r="AC195" s="256"/>
      <c r="AD195" s="256"/>
      <c r="AE195" s="256"/>
      <c r="AF195" s="256"/>
      <c r="AG195" s="256"/>
      <c r="AH195" s="256"/>
      <c r="AI195" s="256"/>
      <c r="AJ195" s="256"/>
      <c r="AK195" s="256"/>
      <c r="AL195" s="256"/>
      <c r="AM195" s="256"/>
      <c r="AN195" s="256"/>
      <c r="AO195" s="256"/>
      <c r="AP195" s="256"/>
      <c r="AQ195" s="256"/>
      <c r="AR195" s="256"/>
      <c r="AS195" s="256"/>
      <c r="AT195" s="256"/>
      <c r="AU195" s="256"/>
      <c r="AV195" s="256"/>
      <c r="AW195" s="256"/>
      <c r="AX195" s="256"/>
      <c r="AY195" s="256"/>
      <c r="AZ195" s="256"/>
      <c r="BA195" s="256"/>
      <c r="BB195" s="256"/>
      <c r="BC195" s="256"/>
      <c r="BD195" s="256"/>
      <c r="BE195" s="256"/>
      <c r="BF195" s="256"/>
      <c r="BG195" s="256"/>
      <c r="BH195" s="256"/>
      <c r="BI195" s="256"/>
      <c r="BJ195" s="256"/>
      <c r="BK195" s="256"/>
      <c r="BL195" s="256"/>
      <c r="BM195" s="587"/>
      <c r="BN195" s="256"/>
      <c r="BO195" s="256"/>
      <c r="BP195" s="256"/>
      <c r="BQ195" s="599"/>
      <c r="BR195" s="256"/>
      <c r="BS195" s="256"/>
      <c r="BT195" s="256"/>
      <c r="BU195" s="256"/>
      <c r="BV195" s="256"/>
      <c r="BW195" s="256"/>
      <c r="BX195" s="256"/>
      <c r="BY195" s="256"/>
      <c r="BZ195" s="256"/>
      <c r="CA195" s="256"/>
      <c r="CB195" s="256"/>
      <c r="CC195" s="256"/>
      <c r="CD195" s="256"/>
      <c r="CE195" s="256"/>
      <c r="CF195" s="256"/>
      <c r="CG195" s="256"/>
      <c r="CH195" s="256"/>
      <c r="CI195" s="256"/>
      <c r="CJ195" s="256"/>
      <c r="CK195" s="256"/>
      <c r="CL195" s="256"/>
      <c r="CM195" s="256"/>
      <c r="CN195" s="256"/>
      <c r="CO195" s="256"/>
      <c r="CP195" s="256"/>
      <c r="CQ195" s="256"/>
      <c r="CR195" s="256"/>
      <c r="CS195" s="256"/>
      <c r="CT195" s="256"/>
      <c r="CU195" s="256"/>
      <c r="CV195" s="256"/>
      <c r="CW195" s="256"/>
      <c r="CX195" s="256"/>
      <c r="CY195" s="256"/>
      <c r="CZ195" s="256"/>
      <c r="DA195" s="256"/>
      <c r="DB195" s="256"/>
      <c r="DC195" s="256"/>
      <c r="DD195" s="256"/>
      <c r="DE195" s="256"/>
      <c r="DF195" s="256"/>
      <c r="DG195" s="256"/>
      <c r="DH195" s="256"/>
      <c r="DI195" s="256"/>
      <c r="DJ195" s="256"/>
      <c r="DK195" s="256"/>
      <c r="DL195" s="256"/>
      <c r="DM195" s="256"/>
      <c r="DN195" s="256"/>
      <c r="DO195" s="256"/>
      <c r="DP195" s="256"/>
      <c r="DQ195" s="256"/>
      <c r="DR195" s="256"/>
      <c r="DS195" s="256"/>
      <c r="DT195" s="256"/>
      <c r="DU195" s="256"/>
      <c r="DV195" s="256"/>
      <c r="DW195" s="256"/>
      <c r="DX195" s="256"/>
      <c r="DY195" s="256"/>
      <c r="DZ195" s="256"/>
      <c r="EA195" s="256"/>
    </row>
    <row r="196" spans="1:131">
      <c r="A196" s="256"/>
      <c r="B196" s="256"/>
      <c r="C196" s="256"/>
      <c r="D196" s="256"/>
      <c r="E196" s="256"/>
      <c r="F196" s="256"/>
      <c r="G196" s="256"/>
      <c r="H196" s="256"/>
      <c r="I196" s="256"/>
      <c r="J196" s="256"/>
      <c r="K196" s="256"/>
      <c r="L196" s="256"/>
      <c r="M196" s="256"/>
      <c r="N196" s="256"/>
      <c r="O196" s="256"/>
      <c r="P196" s="256"/>
      <c r="Q196" s="256"/>
      <c r="R196" s="256"/>
      <c r="S196" s="256"/>
      <c r="T196" s="256"/>
      <c r="U196" s="256"/>
      <c r="V196" s="256"/>
      <c r="W196" s="256"/>
      <c r="X196" s="256"/>
      <c r="Y196" s="256"/>
      <c r="Z196" s="256"/>
      <c r="AA196" s="256"/>
      <c r="AB196" s="256"/>
      <c r="AC196" s="256"/>
      <c r="AD196" s="256"/>
      <c r="AE196" s="256"/>
      <c r="AF196" s="256"/>
      <c r="AG196" s="256"/>
      <c r="AH196" s="256"/>
      <c r="AI196" s="256"/>
      <c r="AJ196" s="256"/>
      <c r="AK196" s="256"/>
      <c r="AL196" s="256"/>
      <c r="AM196" s="256"/>
      <c r="AN196" s="256"/>
      <c r="AO196" s="256"/>
      <c r="AP196" s="256"/>
      <c r="AQ196" s="256"/>
      <c r="AR196" s="256"/>
      <c r="AS196" s="256"/>
      <c r="AT196" s="256"/>
      <c r="AU196" s="256"/>
      <c r="AV196" s="256"/>
      <c r="AW196" s="256"/>
      <c r="AX196" s="256"/>
      <c r="AY196" s="256"/>
      <c r="AZ196" s="256"/>
      <c r="BA196" s="256"/>
      <c r="BB196" s="256"/>
      <c r="BC196" s="256"/>
      <c r="BD196" s="256"/>
      <c r="BE196" s="256"/>
      <c r="BF196" s="256"/>
      <c r="BG196" s="256"/>
      <c r="BH196" s="256"/>
      <c r="BI196" s="256"/>
      <c r="BJ196" s="256"/>
      <c r="BK196" s="256"/>
      <c r="BL196" s="256"/>
      <c r="BM196" s="587"/>
      <c r="BN196" s="256"/>
      <c r="BO196" s="256"/>
      <c r="BP196" s="256"/>
      <c r="BQ196" s="599"/>
      <c r="BR196" s="607">
        <f>-3.912-BR197</f>
        <v>-0.34200000000000008</v>
      </c>
      <c r="BS196" s="256"/>
      <c r="BT196" s="256"/>
      <c r="BU196" s="256"/>
      <c r="BV196" s="607">
        <f>-25.992-BV197</f>
        <v>0.25399999999999778</v>
      </c>
      <c r="BW196" s="256"/>
      <c r="BX196" s="256"/>
      <c r="BY196" s="256"/>
      <c r="BZ196" s="607">
        <v>-2.1560000000000499</v>
      </c>
      <c r="CA196" s="256"/>
      <c r="CB196" s="256"/>
      <c r="CC196" s="256"/>
      <c r="CD196" s="607">
        <v>-3.1020000000000003</v>
      </c>
      <c r="CE196" s="256"/>
      <c r="CF196" s="256"/>
      <c r="CG196" s="256"/>
      <c r="CH196" s="607">
        <v>2.2359999999999598</v>
      </c>
      <c r="CI196" s="256"/>
      <c r="CJ196" s="256"/>
      <c r="CK196" s="256"/>
      <c r="CL196" s="607">
        <f>-0.213-8.008+3.218</f>
        <v>-5.0029999999999983</v>
      </c>
      <c r="CM196" s="256"/>
      <c r="CN196" s="256"/>
      <c r="CO196" s="256"/>
      <c r="CP196" s="607"/>
      <c r="CQ196" s="256"/>
      <c r="CR196" s="256"/>
      <c r="CS196" s="256"/>
      <c r="CT196" s="607"/>
      <c r="CU196" s="256"/>
      <c r="CV196" s="256"/>
      <c r="CW196" s="256"/>
      <c r="CX196" s="607"/>
      <c r="CY196" s="256"/>
      <c r="CZ196" s="256"/>
      <c r="DA196" s="256"/>
      <c r="DB196" s="607"/>
      <c r="DC196" s="256"/>
      <c r="DD196" s="256"/>
      <c r="DE196" s="256"/>
      <c r="DF196" s="607"/>
      <c r="DG196" s="256"/>
      <c r="DH196" s="256"/>
      <c r="DI196" s="256"/>
      <c r="DJ196" s="607"/>
      <c r="DK196" s="256"/>
      <c r="DL196" s="256"/>
      <c r="DM196" s="256"/>
      <c r="DN196" s="607"/>
      <c r="DO196" s="256"/>
      <c r="DP196" s="256"/>
      <c r="DQ196" s="256"/>
      <c r="DR196" s="256"/>
      <c r="DS196" s="256"/>
      <c r="DT196" s="256"/>
      <c r="DU196" s="256"/>
      <c r="DV196" s="256"/>
      <c r="DW196" s="256"/>
      <c r="DX196" s="256"/>
      <c r="DY196" s="256"/>
      <c r="DZ196" s="256"/>
      <c r="EA196" s="256"/>
    </row>
    <row r="197" spans="1:131">
      <c r="A197" s="256"/>
      <c r="B197" s="256"/>
      <c r="C197" s="256"/>
      <c r="D197" s="256"/>
      <c r="E197" s="256"/>
      <c r="F197" s="256"/>
      <c r="G197" s="256"/>
      <c r="H197" s="256"/>
      <c r="I197" s="256"/>
      <c r="J197" s="256"/>
      <c r="K197" s="256"/>
      <c r="L197" s="256"/>
      <c r="M197" s="256"/>
      <c r="N197" s="256"/>
      <c r="O197" s="256"/>
      <c r="P197" s="256"/>
      <c r="Q197" s="256"/>
      <c r="R197" s="256"/>
      <c r="S197" s="256"/>
      <c r="T197" s="256"/>
      <c r="U197" s="256"/>
      <c r="V197" s="256"/>
      <c r="W197" s="256"/>
      <c r="X197" s="256"/>
      <c r="Y197" s="256"/>
      <c r="Z197" s="256"/>
      <c r="AA197" s="256"/>
      <c r="AB197" s="256"/>
      <c r="AC197" s="256"/>
      <c r="AD197" s="256"/>
      <c r="AE197" s="256"/>
      <c r="AF197" s="256"/>
      <c r="AG197" s="256"/>
      <c r="AH197" s="256"/>
      <c r="AI197" s="256"/>
      <c r="AJ197" s="256"/>
      <c r="AK197" s="256"/>
      <c r="AL197" s="256"/>
      <c r="AM197" s="256"/>
      <c r="AN197" s="256"/>
      <c r="AO197" s="256"/>
      <c r="AP197" s="256"/>
      <c r="AQ197" s="256"/>
      <c r="AR197" s="256"/>
      <c r="AS197" s="256"/>
      <c r="AT197" s="256"/>
      <c r="AU197" s="256"/>
      <c r="AV197" s="256"/>
      <c r="AW197" s="256"/>
      <c r="AX197" s="256"/>
      <c r="AY197" s="256"/>
      <c r="AZ197" s="256"/>
      <c r="BA197" s="256"/>
      <c r="BB197" s="256"/>
      <c r="BC197" s="256"/>
      <c r="BD197" s="256"/>
      <c r="BE197" s="256"/>
      <c r="BF197" s="256"/>
      <c r="BG197" s="256"/>
      <c r="BH197" s="256"/>
      <c r="BI197" s="256"/>
      <c r="BJ197" s="256"/>
      <c r="BK197" s="256"/>
      <c r="BL197" s="256"/>
      <c r="BM197" s="587"/>
      <c r="BN197" s="256"/>
      <c r="BO197" s="256"/>
      <c r="BP197" s="256"/>
      <c r="BQ197" s="599"/>
      <c r="BR197" s="295">
        <v>-3.57</v>
      </c>
      <c r="BS197" s="256"/>
      <c r="BT197" s="256"/>
      <c r="BU197" s="256"/>
      <c r="BV197" s="295">
        <v>-26.245999999999999</v>
      </c>
      <c r="BW197" s="256"/>
      <c r="BX197" s="256"/>
      <c r="BY197" s="256"/>
      <c r="BZ197" s="314">
        <v>-1.87</v>
      </c>
      <c r="CA197" s="256"/>
      <c r="CB197" s="256"/>
      <c r="CC197" s="256"/>
      <c r="CD197" s="314">
        <v>5.9000000000004597E-2</v>
      </c>
      <c r="CE197" s="256"/>
      <c r="CF197" s="256"/>
      <c r="CG197" s="256"/>
      <c r="CH197" s="295">
        <v>-2.3919999999999959</v>
      </c>
      <c r="CI197" s="256"/>
      <c r="CJ197" s="256"/>
      <c r="CK197" s="256"/>
      <c r="CL197" s="295">
        <f>-34.497+13.506</f>
        <v>-20.991</v>
      </c>
      <c r="CM197" s="256"/>
      <c r="CN197" s="256"/>
      <c r="CO197" s="256"/>
      <c r="CP197" s="295"/>
      <c r="CQ197" s="256"/>
      <c r="CR197" s="256"/>
      <c r="CS197" s="256"/>
      <c r="CT197" s="295"/>
      <c r="CU197" s="256"/>
      <c r="CV197" s="256"/>
      <c r="CW197" s="256"/>
      <c r="CX197" s="295"/>
      <c r="CY197" s="256"/>
      <c r="CZ197" s="256"/>
      <c r="DA197" s="256"/>
      <c r="DB197" s="295"/>
      <c r="DC197" s="256"/>
      <c r="DD197" s="256"/>
      <c r="DE197" s="256"/>
      <c r="DF197" s="295"/>
      <c r="DG197" s="256"/>
      <c r="DH197" s="256"/>
      <c r="DI197" s="256"/>
      <c r="DJ197" s="295"/>
      <c r="DK197" s="256"/>
      <c r="DL197" s="256"/>
      <c r="DM197" s="256"/>
      <c r="DN197" s="295"/>
      <c r="DO197" s="256"/>
      <c r="DP197" s="256"/>
      <c r="DQ197" s="256"/>
      <c r="DR197" s="256"/>
      <c r="DS197" s="256"/>
      <c r="DT197" s="256"/>
      <c r="DU197" s="256"/>
      <c r="DV197" s="256"/>
      <c r="DW197" s="256"/>
      <c r="DX197" s="256"/>
      <c r="DY197" s="256"/>
      <c r="DZ197" s="256"/>
      <c r="EA197" s="256"/>
    </row>
    <row r="198" spans="1:131">
      <c r="A198" s="256"/>
      <c r="B198" s="256"/>
      <c r="C198" s="256"/>
      <c r="D198" s="256"/>
      <c r="E198" s="256"/>
      <c r="F198" s="256"/>
      <c r="G198" s="256"/>
      <c r="H198" s="256"/>
      <c r="I198" s="256"/>
      <c r="J198" s="256"/>
      <c r="K198" s="256"/>
      <c r="L198" s="256"/>
      <c r="M198" s="256"/>
      <c r="N198" s="256"/>
      <c r="O198" s="256"/>
      <c r="P198" s="256"/>
      <c r="Q198" s="256"/>
      <c r="R198" s="256"/>
      <c r="S198" s="256"/>
      <c r="T198" s="256"/>
      <c r="U198" s="256"/>
      <c r="V198" s="256"/>
      <c r="W198" s="256"/>
      <c r="X198" s="256"/>
      <c r="Y198" s="256"/>
      <c r="Z198" s="256"/>
      <c r="AA198" s="256"/>
      <c r="AB198" s="256"/>
      <c r="AC198" s="256"/>
      <c r="AD198" s="256"/>
      <c r="AE198" s="256"/>
      <c r="AF198" s="256"/>
      <c r="AG198" s="256"/>
      <c r="AH198" s="256"/>
      <c r="AI198" s="256"/>
      <c r="AJ198" s="256"/>
      <c r="AK198" s="256"/>
      <c r="AL198" s="256"/>
      <c r="AM198" s="256"/>
      <c r="AN198" s="256"/>
      <c r="AO198" s="256"/>
      <c r="AP198" s="256"/>
      <c r="AQ198" s="256"/>
      <c r="AR198" s="256"/>
      <c r="AS198" s="256"/>
      <c r="AT198" s="256"/>
      <c r="AU198" s="256"/>
      <c r="AV198" s="256"/>
      <c r="AW198" s="256"/>
      <c r="AX198" s="256"/>
      <c r="AY198" s="256"/>
      <c r="AZ198" s="256"/>
      <c r="BA198" s="256"/>
      <c r="BB198" s="256"/>
      <c r="BC198" s="256"/>
      <c r="BD198" s="256"/>
      <c r="BE198" s="256"/>
      <c r="BF198" s="256"/>
      <c r="BG198" s="256"/>
      <c r="BH198" s="256"/>
      <c r="BI198" s="256"/>
      <c r="BJ198" s="256"/>
      <c r="BK198" s="256"/>
      <c r="BL198" s="256"/>
      <c r="BM198" s="587"/>
      <c r="BN198" s="256"/>
      <c r="BO198" s="256"/>
      <c r="BP198" s="256"/>
      <c r="BQ198" s="599"/>
      <c r="BR198" s="295">
        <v>-3.4830000000000001</v>
      </c>
      <c r="BS198" s="256"/>
      <c r="BT198" s="256"/>
      <c r="BU198" s="256"/>
      <c r="BV198" s="295">
        <v>-1.5549999999999999</v>
      </c>
      <c r="BW198" s="256"/>
      <c r="BX198" s="256"/>
      <c r="BY198" s="256"/>
      <c r="BZ198" s="314">
        <v>-1.7789999999999999</v>
      </c>
      <c r="CA198" s="256"/>
      <c r="CB198" s="256"/>
      <c r="CC198" s="256"/>
      <c r="CD198" s="314">
        <v>3.0000000000001137E-2</v>
      </c>
      <c r="CE198" s="256"/>
      <c r="CF198" s="256"/>
      <c r="CG198" s="256"/>
      <c r="CH198" s="295">
        <v>-3.8940000000000801</v>
      </c>
      <c r="CI198" s="256"/>
      <c r="CJ198" s="256"/>
      <c r="CK198" s="256"/>
      <c r="CL198" s="295">
        <v>0</v>
      </c>
      <c r="CM198" s="256"/>
      <c r="CN198" s="256"/>
      <c r="CO198" s="256"/>
      <c r="CP198" s="295"/>
      <c r="CQ198" s="256"/>
      <c r="CR198" s="256"/>
      <c r="CS198" s="256"/>
      <c r="CT198" s="295"/>
      <c r="CU198" s="256"/>
      <c r="CV198" s="256"/>
      <c r="CW198" s="256"/>
      <c r="CX198" s="295"/>
      <c r="CY198" s="256"/>
      <c r="CZ198" s="256"/>
      <c r="DA198" s="256"/>
      <c r="DB198" s="295"/>
      <c r="DC198" s="256"/>
      <c r="DD198" s="256"/>
      <c r="DE198" s="256"/>
      <c r="DF198" s="295"/>
      <c r="DG198" s="256"/>
      <c r="DH198" s="256"/>
      <c r="DI198" s="256"/>
      <c r="DJ198" s="295"/>
      <c r="DK198" s="256"/>
      <c r="DL198" s="256"/>
      <c r="DM198" s="256"/>
      <c r="DN198" s="295"/>
      <c r="DO198" s="256"/>
      <c r="DP198" s="256"/>
      <c r="DQ198" s="256"/>
      <c r="DR198" s="256"/>
      <c r="DS198" s="256"/>
      <c r="DT198" s="256"/>
      <c r="DU198" s="256"/>
      <c r="DV198" s="256"/>
      <c r="DW198" s="256"/>
      <c r="DX198" s="256"/>
      <c r="DY198" s="256"/>
      <c r="DZ198" s="256"/>
      <c r="EA198" s="256"/>
    </row>
    <row r="199" spans="1:131">
      <c r="A199" s="256"/>
      <c r="B199" s="256"/>
      <c r="C199" s="256"/>
      <c r="D199" s="256"/>
      <c r="E199" s="256"/>
      <c r="F199" s="256"/>
      <c r="G199" s="256"/>
      <c r="H199" s="256"/>
      <c r="I199" s="256"/>
      <c r="J199" s="256"/>
      <c r="K199" s="256"/>
      <c r="L199" s="256"/>
      <c r="M199" s="256"/>
      <c r="N199" s="256"/>
      <c r="O199" s="256"/>
      <c r="P199" s="256"/>
      <c r="Q199" s="256"/>
      <c r="R199" s="256"/>
      <c r="S199" s="256"/>
      <c r="T199" s="256"/>
      <c r="U199" s="256"/>
      <c r="V199" s="256"/>
      <c r="W199" s="256"/>
      <c r="X199" s="256"/>
      <c r="Y199" s="256"/>
      <c r="Z199" s="256"/>
      <c r="AA199" s="256"/>
      <c r="AB199" s="256"/>
      <c r="AC199" s="256"/>
      <c r="AD199" s="256"/>
      <c r="AE199" s="256"/>
      <c r="AF199" s="256"/>
      <c r="AG199" s="256"/>
      <c r="AH199" s="256"/>
      <c r="AI199" s="256"/>
      <c r="AJ199" s="256"/>
      <c r="AK199" s="256"/>
      <c r="AL199" s="256"/>
      <c r="AM199" s="256"/>
      <c r="AN199" s="256"/>
      <c r="AO199" s="256"/>
      <c r="AP199" s="256"/>
      <c r="AQ199" s="256"/>
      <c r="AR199" s="256"/>
      <c r="AS199" s="256"/>
      <c r="AT199" s="256"/>
      <c r="AU199" s="256"/>
      <c r="AV199" s="256"/>
      <c r="AW199" s="256"/>
      <c r="AX199" s="256"/>
      <c r="AY199" s="256"/>
      <c r="AZ199" s="256"/>
      <c r="BA199" s="256"/>
      <c r="BB199" s="256"/>
      <c r="BC199" s="256"/>
      <c r="BD199" s="256"/>
      <c r="BE199" s="256"/>
      <c r="BF199" s="256"/>
      <c r="BG199" s="256"/>
      <c r="BH199" s="256"/>
      <c r="BI199" s="256"/>
      <c r="BJ199" s="256"/>
      <c r="BK199" s="256"/>
      <c r="BL199" s="256"/>
      <c r="BM199" s="587"/>
      <c r="BN199" s="256"/>
      <c r="BO199" s="256"/>
      <c r="BP199" s="256"/>
      <c r="BQ199" s="599"/>
      <c r="BR199" s="984"/>
      <c r="BS199" s="256"/>
      <c r="BT199" s="256"/>
      <c r="BU199" s="256"/>
      <c r="BV199" s="295">
        <v>0</v>
      </c>
      <c r="BW199" s="256"/>
      <c r="BX199" s="256"/>
      <c r="BY199" s="256"/>
      <c r="BZ199" s="1029">
        <v>-6.3279999999999959</v>
      </c>
      <c r="CA199" s="256"/>
      <c r="CB199" s="256"/>
      <c r="CC199" s="256"/>
      <c r="CD199" s="1029">
        <v>2.16</v>
      </c>
      <c r="CE199" s="256"/>
      <c r="CF199" s="256"/>
      <c r="CG199" s="256"/>
      <c r="CH199" s="1514">
        <v>-3.8869999999999401</v>
      </c>
      <c r="CI199" s="256"/>
      <c r="CJ199" s="256"/>
      <c r="CK199" s="256"/>
      <c r="CL199" s="984">
        <v>0</v>
      </c>
      <c r="CM199" s="256"/>
      <c r="CN199" s="256"/>
      <c r="CO199" s="256"/>
      <c r="CP199" s="984"/>
      <c r="CQ199" s="256"/>
      <c r="CR199" s="256"/>
      <c r="CS199" s="256"/>
      <c r="CT199" s="984"/>
      <c r="CU199" s="256"/>
      <c r="CV199" s="256"/>
      <c r="CW199" s="256"/>
      <c r="CX199" s="984"/>
      <c r="CY199" s="256"/>
      <c r="CZ199" s="256"/>
      <c r="DA199" s="256"/>
      <c r="DB199" s="984"/>
      <c r="DC199" s="256"/>
      <c r="DD199" s="256"/>
      <c r="DE199" s="256"/>
      <c r="DF199" s="984"/>
      <c r="DG199" s="256"/>
      <c r="DH199" s="256"/>
      <c r="DI199" s="256"/>
      <c r="DJ199" s="984"/>
      <c r="DK199" s="256"/>
      <c r="DL199" s="256"/>
      <c r="DM199" s="256"/>
      <c r="DN199" s="984"/>
      <c r="DO199" s="256"/>
      <c r="DP199" s="256"/>
      <c r="DQ199" s="256"/>
      <c r="DR199" s="256"/>
      <c r="DS199" s="256"/>
      <c r="DT199" s="256"/>
      <c r="DU199" s="256"/>
      <c r="DV199" s="256"/>
      <c r="DW199" s="256"/>
      <c r="DX199" s="256"/>
      <c r="DY199" s="256"/>
      <c r="DZ199" s="256"/>
      <c r="EA199" s="256"/>
    </row>
    <row r="200" spans="1:131">
      <c r="A200" s="256"/>
      <c r="B200" s="256"/>
      <c r="C200" s="256"/>
      <c r="D200" s="256"/>
      <c r="E200" s="256"/>
      <c r="F200" s="256"/>
      <c r="G200" s="256"/>
      <c r="H200" s="256"/>
      <c r="I200" s="256"/>
      <c r="J200" s="256"/>
      <c r="K200" s="256"/>
      <c r="L200" s="256"/>
      <c r="M200" s="256"/>
      <c r="N200" s="256"/>
      <c r="O200" s="256"/>
      <c r="P200" s="256"/>
      <c r="Q200" s="256"/>
      <c r="R200" s="256"/>
      <c r="S200" s="256"/>
      <c r="T200" s="256"/>
      <c r="U200" s="256"/>
      <c r="V200" s="256"/>
      <c r="W200" s="256"/>
      <c r="X200" s="256"/>
      <c r="Y200" s="256"/>
      <c r="Z200" s="256"/>
      <c r="AA200" s="256"/>
      <c r="AB200" s="256"/>
      <c r="AC200" s="256"/>
      <c r="AD200" s="256"/>
      <c r="AE200" s="256"/>
      <c r="AF200" s="256"/>
      <c r="AG200" s="256"/>
      <c r="AH200" s="256"/>
      <c r="AI200" s="256"/>
      <c r="AJ200" s="256"/>
      <c r="AK200" s="256"/>
      <c r="AL200" s="256"/>
      <c r="AM200" s="256"/>
      <c r="AN200" s="256"/>
      <c r="AO200" s="256"/>
      <c r="AP200" s="256"/>
      <c r="AQ200" s="256"/>
      <c r="AR200" s="256"/>
      <c r="AS200" s="256"/>
      <c r="AT200" s="256"/>
      <c r="AU200" s="256"/>
      <c r="AV200" s="256"/>
      <c r="AW200" s="256"/>
      <c r="AX200" s="256"/>
      <c r="AY200" s="256"/>
      <c r="AZ200" s="256"/>
      <c r="BA200" s="256"/>
      <c r="BB200" s="256"/>
      <c r="BC200" s="256"/>
      <c r="BD200" s="256"/>
      <c r="BE200" s="256"/>
      <c r="BF200" s="256"/>
      <c r="BG200" s="256"/>
      <c r="BH200" s="256"/>
      <c r="BI200" s="256"/>
      <c r="BJ200" s="256"/>
      <c r="BK200" s="256"/>
      <c r="BL200" s="256"/>
      <c r="BM200" s="587"/>
      <c r="BN200" s="256"/>
      <c r="BO200" s="256"/>
      <c r="BP200" s="256"/>
      <c r="BQ200" s="599"/>
      <c r="BR200" s="886">
        <f>SUM(BR196:BR199)</f>
        <v>-7.3949999999999996</v>
      </c>
      <c r="BS200" s="256"/>
      <c r="BT200" s="256"/>
      <c r="BU200" s="256"/>
      <c r="BV200" s="886">
        <f>SUM(BV196:BV199)</f>
        <v>-27.547000000000001</v>
      </c>
      <c r="BW200" s="256"/>
      <c r="BX200" s="256"/>
      <c r="BY200" s="256"/>
      <c r="BZ200" s="886">
        <f>SUM(BZ196:BZ199)</f>
        <v>-12.133000000000045</v>
      </c>
      <c r="CA200" s="256"/>
      <c r="CB200" s="256"/>
      <c r="CC200" s="256"/>
      <c r="CD200" s="886">
        <f>SUM(CD196:CD199)</f>
        <v>-0.85299999999999443</v>
      </c>
      <c r="CE200" s="256"/>
      <c r="CF200" s="256"/>
      <c r="CG200" s="256"/>
      <c r="CH200" s="886">
        <f>SUM(CH196:CH199)</f>
        <v>-7.9370000000000562</v>
      </c>
      <c r="CI200" s="256"/>
      <c r="CJ200" s="256"/>
      <c r="CK200" s="256"/>
      <c r="CL200" s="886">
        <f>SUM(CL196:CL199)</f>
        <v>-25.994</v>
      </c>
      <c r="CM200" s="256"/>
      <c r="CN200" s="256"/>
      <c r="CO200" s="256"/>
      <c r="CP200" s="886">
        <f>SUM(CP196:CP199)</f>
        <v>0</v>
      </c>
      <c r="CQ200" s="256"/>
      <c r="CR200" s="256"/>
      <c r="CS200" s="256"/>
      <c r="CT200" s="886">
        <f>SUM(CT196:CT199)</f>
        <v>0</v>
      </c>
      <c r="CU200" s="256"/>
      <c r="CV200" s="256"/>
      <c r="CW200" s="256"/>
      <c r="CX200" s="886">
        <f>SUM(CX196:CX199)</f>
        <v>0</v>
      </c>
      <c r="CY200" s="256"/>
      <c r="CZ200" s="256"/>
      <c r="DA200" s="256"/>
      <c r="DB200" s="886">
        <f>SUM(DB196:DB199)</f>
        <v>0</v>
      </c>
      <c r="DC200" s="256"/>
      <c r="DD200" s="256"/>
      <c r="DE200" s="256"/>
      <c r="DF200" s="886">
        <f>SUM(DF196:DF199)</f>
        <v>0</v>
      </c>
      <c r="DG200" s="256"/>
      <c r="DH200" s="256"/>
      <c r="DI200" s="256"/>
      <c r="DJ200" s="886">
        <f>SUM(DJ196:DJ199)</f>
        <v>0</v>
      </c>
      <c r="DK200" s="256"/>
      <c r="DL200" s="256"/>
      <c r="DM200" s="256"/>
      <c r="DN200" s="886">
        <f>SUM(DN196:DN199)</f>
        <v>0</v>
      </c>
      <c r="DO200" s="256"/>
      <c r="DP200" s="256"/>
      <c r="DQ200" s="256"/>
      <c r="DR200" s="256"/>
      <c r="DS200" s="256"/>
      <c r="DT200" s="256"/>
      <c r="DU200" s="256"/>
      <c r="DV200" s="256"/>
      <c r="DW200" s="256"/>
      <c r="DX200" s="256"/>
      <c r="DY200" s="256"/>
      <c r="DZ200" s="256"/>
      <c r="EA200" s="256"/>
    </row>
    <row r="201" spans="1:131">
      <c r="A201" s="256" t="s">
        <v>157</v>
      </c>
      <c r="B201" s="256"/>
      <c r="C201" s="256"/>
      <c r="D201" s="256"/>
      <c r="E201" s="256"/>
      <c r="F201" s="256"/>
      <c r="G201" s="256"/>
      <c r="H201" s="256"/>
      <c r="I201" s="256"/>
      <c r="J201" s="256"/>
      <c r="K201" s="256"/>
      <c r="L201" s="256"/>
      <c r="M201" s="256"/>
      <c r="N201" s="256"/>
      <c r="O201" s="256"/>
      <c r="P201" s="256"/>
      <c r="Q201" s="256"/>
      <c r="R201" s="256"/>
      <c r="S201" s="256"/>
      <c r="T201" s="256"/>
      <c r="U201" s="256"/>
      <c r="V201" s="256"/>
      <c r="W201" s="256"/>
      <c r="X201" s="256"/>
      <c r="Y201" s="256"/>
      <c r="Z201" s="256"/>
      <c r="AA201" s="256"/>
      <c r="AB201" s="256"/>
      <c r="AC201" s="256"/>
      <c r="AD201" s="256"/>
      <c r="AE201" s="256"/>
      <c r="AF201" s="256"/>
      <c r="AG201" s="256"/>
      <c r="AH201" s="256"/>
      <c r="AI201" s="256"/>
      <c r="AJ201" s="256"/>
      <c r="AK201" s="256"/>
      <c r="AL201" s="256"/>
      <c r="AM201" s="256"/>
      <c r="AN201" s="256"/>
      <c r="AO201" s="256"/>
      <c r="AP201" s="256"/>
      <c r="AQ201" s="256"/>
      <c r="AR201" s="256"/>
      <c r="AS201" s="256"/>
      <c r="AT201" s="256"/>
      <c r="AU201" s="256"/>
      <c r="AV201" s="256"/>
      <c r="AW201" s="256"/>
      <c r="AX201" s="256"/>
      <c r="AY201" s="256"/>
      <c r="AZ201" s="256"/>
      <c r="BA201" s="256"/>
      <c r="BB201" s="256"/>
      <c r="BC201" s="256"/>
      <c r="BD201" s="256"/>
      <c r="BE201" s="256"/>
      <c r="BF201" s="256"/>
      <c r="BG201" s="256"/>
      <c r="BH201" s="256"/>
      <c r="BI201" s="256"/>
      <c r="BJ201" s="256"/>
      <c r="BK201" s="256"/>
      <c r="BL201" s="256"/>
      <c r="BM201" s="587"/>
      <c r="BN201" s="256"/>
      <c r="BO201" s="256"/>
      <c r="BP201" s="256"/>
      <c r="BQ201" s="599"/>
      <c r="BR201" s="886"/>
      <c r="BS201" s="256"/>
      <c r="BT201" s="256"/>
      <c r="BU201" s="256"/>
      <c r="BV201" s="886"/>
      <c r="BW201" s="256"/>
      <c r="BX201" s="256"/>
      <c r="BY201" s="256"/>
      <c r="BZ201" s="886"/>
      <c r="CA201" s="256"/>
      <c r="CB201" s="256"/>
      <c r="CC201" s="256"/>
      <c r="CD201" s="886"/>
      <c r="CE201" s="256"/>
      <c r="CF201" s="256"/>
      <c r="CG201" s="256"/>
      <c r="CH201" s="886"/>
      <c r="CI201" s="256"/>
      <c r="CJ201" s="256"/>
      <c r="CK201" s="256"/>
      <c r="CL201" s="886"/>
      <c r="CM201" s="256"/>
      <c r="CN201" s="256"/>
      <c r="CO201" s="256"/>
      <c r="CP201" s="886"/>
      <c r="CQ201" s="256"/>
      <c r="CR201" s="256"/>
      <c r="CS201" s="256"/>
      <c r="CT201" s="886"/>
      <c r="CU201" s="256"/>
      <c r="CV201" s="256"/>
      <c r="CW201" s="256"/>
      <c r="CX201" s="886"/>
      <c r="CY201" s="256"/>
      <c r="CZ201" s="256"/>
      <c r="DA201" s="256"/>
      <c r="DB201" s="886"/>
      <c r="DC201" s="256"/>
      <c r="DD201" s="256"/>
      <c r="DE201" s="256"/>
      <c r="DF201" s="886"/>
      <c r="DG201" s="256"/>
      <c r="DH201" s="256"/>
      <c r="DI201" s="256"/>
      <c r="DJ201" s="886"/>
      <c r="DK201" s="256"/>
      <c r="DL201" s="256"/>
      <c r="DM201" s="256"/>
      <c r="DN201" s="886"/>
      <c r="DO201" s="256"/>
      <c r="DP201" s="256"/>
      <c r="DQ201" s="256"/>
      <c r="DR201" s="256"/>
      <c r="DS201" s="256"/>
      <c r="DT201" s="256"/>
      <c r="DU201" s="256"/>
      <c r="DV201" s="256"/>
      <c r="DW201" s="256"/>
      <c r="DX201" s="256"/>
      <c r="DY201" s="256"/>
      <c r="DZ201" s="256"/>
      <c r="EA201" s="256"/>
    </row>
    <row r="202" spans="1:131">
      <c r="A202" s="256" t="s">
        <v>90</v>
      </c>
      <c r="B202" s="256"/>
      <c r="C202" s="256"/>
      <c r="D202" s="256"/>
      <c r="E202" s="256"/>
      <c r="F202" s="256"/>
      <c r="G202" s="256"/>
      <c r="H202" s="256"/>
      <c r="I202" s="256"/>
      <c r="J202" s="256"/>
      <c r="K202" s="256"/>
      <c r="L202" s="256"/>
      <c r="M202" s="256"/>
      <c r="N202" s="256"/>
      <c r="O202" s="256"/>
      <c r="P202" s="256"/>
      <c r="Q202" s="256"/>
      <c r="R202" s="256"/>
      <c r="S202" s="256"/>
      <c r="T202" s="256"/>
      <c r="U202" s="256"/>
      <c r="V202" s="256"/>
      <c r="W202" s="256"/>
      <c r="X202" s="256"/>
      <c r="Y202" s="256"/>
      <c r="Z202" s="256"/>
      <c r="AA202" s="256"/>
      <c r="AB202" s="256"/>
      <c r="AC202" s="256"/>
      <c r="AD202" s="256"/>
      <c r="AE202" s="256"/>
      <c r="AF202" s="256"/>
      <c r="AG202" s="256"/>
      <c r="AH202" s="256"/>
      <c r="AI202" s="256"/>
      <c r="AJ202" s="256"/>
      <c r="AK202" s="256"/>
      <c r="AL202" s="256"/>
      <c r="AM202" s="256"/>
      <c r="AN202" s="256"/>
      <c r="AO202" s="256"/>
      <c r="AP202" s="256"/>
      <c r="AQ202" s="256"/>
      <c r="AR202" s="256"/>
      <c r="AS202" s="256"/>
      <c r="AT202" s="256"/>
      <c r="AU202" s="256"/>
      <c r="AV202" s="256"/>
      <c r="AW202" s="256"/>
      <c r="AX202" s="256"/>
      <c r="AY202" s="256"/>
      <c r="AZ202" s="256"/>
      <c r="BA202" s="256"/>
      <c r="BB202" s="256"/>
      <c r="BC202" s="256"/>
      <c r="BD202" s="256"/>
      <c r="BE202" s="256"/>
      <c r="BF202" s="256"/>
      <c r="BG202" s="256"/>
      <c r="BH202" s="256"/>
      <c r="BI202" s="256"/>
      <c r="BJ202" s="256"/>
      <c r="BK202" s="256"/>
      <c r="BL202" s="256"/>
      <c r="BM202" s="587"/>
      <c r="BN202" s="256"/>
      <c r="BO202" s="256"/>
      <c r="BP202" s="256"/>
      <c r="BQ202" s="599"/>
      <c r="BR202" s="256"/>
      <c r="BS202" s="256"/>
      <c r="BT202" s="256"/>
      <c r="BU202" s="256"/>
      <c r="BV202" s="256"/>
      <c r="BW202" s="256"/>
      <c r="BX202" s="256"/>
      <c r="BY202" s="256"/>
      <c r="BZ202" s="256"/>
      <c r="CA202" s="256"/>
      <c r="CB202" s="256"/>
      <c r="CC202" s="256"/>
      <c r="CD202" s="256"/>
      <c r="CE202" s="256"/>
      <c r="CF202" s="256"/>
      <c r="CG202" s="256"/>
      <c r="CH202" s="256"/>
      <c r="CI202" s="256"/>
      <c r="CJ202" s="256"/>
      <c r="CK202" s="256"/>
      <c r="CL202" s="256"/>
      <c r="CM202" s="256"/>
      <c r="CN202" s="256"/>
      <c r="CO202" s="256"/>
      <c r="CP202" s="256"/>
      <c r="CQ202" s="256"/>
      <c r="CR202" s="256"/>
      <c r="CS202" s="256"/>
      <c r="CT202" s="256"/>
      <c r="CU202" s="256"/>
      <c r="CV202" s="256"/>
      <c r="CW202" s="256"/>
      <c r="CX202" s="256"/>
      <c r="CY202" s="256"/>
      <c r="CZ202" s="256"/>
      <c r="DA202" s="256"/>
      <c r="DB202" s="256"/>
      <c r="DC202" s="256"/>
      <c r="DD202" s="256"/>
      <c r="DE202" s="256"/>
      <c r="DF202" s="256"/>
      <c r="DG202" s="256"/>
      <c r="DH202" s="256"/>
      <c r="DI202" s="256"/>
      <c r="DJ202" s="256"/>
      <c r="DK202" s="256"/>
      <c r="DL202" s="256"/>
      <c r="DM202" s="256"/>
      <c r="DN202" s="256"/>
      <c r="DO202" s="256"/>
      <c r="DP202" s="256"/>
      <c r="DQ202" s="256"/>
      <c r="DR202" s="256"/>
      <c r="DS202" s="256"/>
      <c r="DT202" s="256"/>
      <c r="DU202" s="256"/>
      <c r="DV202" s="256"/>
      <c r="DW202" s="256"/>
      <c r="DX202" s="256"/>
      <c r="DY202" s="256"/>
      <c r="DZ202" s="256"/>
      <c r="EA202" s="256"/>
    </row>
    <row r="203" spans="1:131" ht="12.75" customHeight="1">
      <c r="A203" s="256" t="s">
        <v>1935</v>
      </c>
      <c r="B203" s="256"/>
      <c r="C203" s="268"/>
      <c r="D203" s="598"/>
      <c r="E203" s="268"/>
      <c r="F203" s="598"/>
      <c r="G203" s="256"/>
      <c r="H203" s="256"/>
      <c r="I203" s="256"/>
      <c r="J203" s="598"/>
      <c r="K203" s="256"/>
      <c r="L203" s="256"/>
      <c r="M203" s="256"/>
      <c r="N203" s="598"/>
      <c r="O203" s="256"/>
      <c r="P203" s="256"/>
      <c r="Q203" s="256"/>
      <c r="R203" s="598"/>
      <c r="S203" s="256"/>
      <c r="T203" s="256"/>
      <c r="U203" s="256"/>
      <c r="V203" s="598"/>
      <c r="W203" s="256"/>
      <c r="X203" s="256"/>
      <c r="Y203" s="256"/>
      <c r="Z203" s="599"/>
      <c r="AA203" s="312"/>
      <c r="AB203" s="312"/>
      <c r="AC203" s="312"/>
      <c r="AD203" s="600"/>
      <c r="AE203" s="312"/>
      <c r="AF203" s="312"/>
      <c r="AG203" s="312"/>
      <c r="AH203" s="600"/>
      <c r="AI203" s="312"/>
      <c r="AJ203" s="312"/>
      <c r="AK203" s="312"/>
      <c r="AL203" s="600"/>
      <c r="AM203" s="312"/>
      <c r="AN203" s="312"/>
      <c r="AO203" s="312"/>
      <c r="AP203" s="256"/>
      <c r="AQ203" s="256"/>
      <c r="AR203" s="256"/>
      <c r="AS203" s="256"/>
      <c r="AT203" s="256"/>
      <c r="AU203" s="256"/>
      <c r="AV203" s="256"/>
      <c r="AW203" s="256"/>
      <c r="AX203" s="256"/>
      <c r="AY203" s="256"/>
      <c r="AZ203" s="256"/>
      <c r="BA203" s="256"/>
      <c r="BB203" s="600"/>
      <c r="BC203" s="600"/>
      <c r="BD203" s="600"/>
      <c r="BE203" s="600"/>
      <c r="BF203" s="600"/>
      <c r="BG203" s="600"/>
      <c r="BH203" s="600"/>
      <c r="BI203" s="600"/>
      <c r="BJ203" s="600"/>
      <c r="BK203" s="600"/>
      <c r="BL203" s="600"/>
      <c r="BM203" s="600"/>
      <c r="BN203" s="600"/>
      <c r="BO203" s="600"/>
      <c r="BP203" s="600"/>
      <c r="BQ203" s="600"/>
      <c r="BR203" s="600"/>
      <c r="BS203" s="600"/>
      <c r="BT203" s="600"/>
      <c r="BU203" s="600"/>
      <c r="BV203" s="600"/>
      <c r="BW203" s="600"/>
      <c r="BX203" s="600"/>
      <c r="BY203" s="600"/>
      <c r="BZ203" s="600"/>
      <c r="CA203" s="600"/>
      <c r="CB203" s="600"/>
      <c r="CC203" s="600"/>
      <c r="CD203" s="600"/>
      <c r="CE203" s="600"/>
      <c r="CF203" s="600"/>
      <c r="CG203" s="600"/>
      <c r="CH203" s="600"/>
      <c r="CI203" s="600"/>
      <c r="CJ203" s="600"/>
      <c r="CK203" s="600"/>
      <c r="CL203" s="600"/>
      <c r="CM203" s="600"/>
      <c r="CN203" s="600"/>
      <c r="CO203" s="600"/>
      <c r="CP203" s="600"/>
      <c r="CQ203" s="600"/>
      <c r="CR203" s="600"/>
      <c r="CS203" s="880"/>
      <c r="CT203" s="600"/>
      <c r="CU203" s="600"/>
      <c r="CV203" s="600"/>
      <c r="CW203" s="880"/>
      <c r="CX203" s="600"/>
      <c r="CY203" s="600"/>
      <c r="CZ203" s="600"/>
      <c r="DA203" s="880"/>
      <c r="DB203" s="600"/>
      <c r="DC203" s="600"/>
      <c r="DD203" s="600"/>
      <c r="DE203" s="880"/>
      <c r="DF203" s="600"/>
      <c r="DG203" s="600"/>
      <c r="DH203" s="600"/>
      <c r="DI203" s="880"/>
      <c r="DJ203" s="600"/>
      <c r="DK203" s="600"/>
      <c r="DL203" s="600"/>
      <c r="DM203" s="880"/>
      <c r="DN203" s="600"/>
      <c r="DO203" s="600"/>
      <c r="DP203" s="600"/>
      <c r="DQ203" s="880"/>
      <c r="DR203" s="880"/>
      <c r="DS203" s="880"/>
      <c r="DT203" s="880"/>
      <c r="DU203" s="880"/>
      <c r="DV203" s="880"/>
      <c r="DW203" s="880"/>
      <c r="DX203" s="880"/>
      <c r="DY203" s="880"/>
      <c r="DZ203" s="880"/>
      <c r="EA203" s="880"/>
    </row>
    <row r="204" spans="1:131">
      <c r="A204" s="256"/>
      <c r="B204" s="256"/>
      <c r="C204" s="256"/>
      <c r="D204" s="256"/>
      <c r="E204" s="256"/>
      <c r="F204" s="256"/>
      <c r="G204" s="256"/>
      <c r="H204" s="256"/>
      <c r="I204" s="256"/>
      <c r="J204" s="256"/>
      <c r="K204" s="256"/>
      <c r="L204" s="256"/>
      <c r="M204" s="256"/>
      <c r="N204" s="256"/>
      <c r="O204" s="256"/>
      <c r="P204" s="256"/>
      <c r="Q204" s="256"/>
      <c r="R204" s="256"/>
      <c r="S204" s="256"/>
      <c r="T204" s="256"/>
      <c r="U204" s="256"/>
      <c r="V204" s="256"/>
      <c r="W204" s="256"/>
      <c r="X204" s="256"/>
      <c r="Y204" s="256"/>
      <c r="Z204" s="256"/>
      <c r="AA204" s="256"/>
      <c r="AB204" s="256"/>
      <c r="AC204" s="256"/>
      <c r="AD204" s="256"/>
      <c r="AE204" s="256"/>
      <c r="AF204" s="256"/>
      <c r="AG204" s="256"/>
      <c r="AH204" s="256"/>
      <c r="AI204" s="256"/>
      <c r="AJ204" s="256"/>
      <c r="AK204" s="256"/>
      <c r="AL204" s="256"/>
      <c r="AM204" s="256"/>
      <c r="AN204" s="256"/>
      <c r="AO204" s="256"/>
      <c r="AP204" s="256"/>
      <c r="AQ204" s="256"/>
      <c r="AR204" s="256"/>
      <c r="AS204" s="256"/>
      <c r="AT204" s="256"/>
      <c r="AU204" s="256"/>
      <c r="AV204" s="256"/>
      <c r="AW204" s="256"/>
      <c r="AX204" s="256"/>
      <c r="AY204" s="256"/>
      <c r="AZ204" s="256"/>
      <c r="BA204" s="256"/>
      <c r="BB204" s="256"/>
      <c r="BC204" s="256"/>
      <c r="BD204" s="256"/>
      <c r="BE204" s="256"/>
      <c r="BF204" s="256"/>
      <c r="BG204" s="256"/>
      <c r="BH204" s="256"/>
      <c r="BI204" s="256"/>
      <c r="BJ204" s="256"/>
      <c r="BK204" s="256"/>
      <c r="BL204" s="256"/>
      <c r="BM204" s="587"/>
      <c r="BN204" s="256"/>
      <c r="BO204" s="256"/>
      <c r="BP204" s="256"/>
      <c r="BQ204" s="599"/>
      <c r="BR204" s="256"/>
      <c r="BS204" s="256"/>
      <c r="BT204" s="256"/>
      <c r="BU204" s="256"/>
      <c r="BV204" s="256"/>
      <c r="BW204" s="256"/>
      <c r="BX204" s="256"/>
      <c r="BY204" s="256"/>
      <c r="BZ204" s="256"/>
      <c r="CA204" s="256"/>
      <c r="CB204" s="256"/>
      <c r="CC204" s="256"/>
      <c r="CD204" s="256"/>
      <c r="CE204" s="256"/>
      <c r="CF204" s="256"/>
      <c r="CG204" s="256"/>
      <c r="CH204" s="256"/>
      <c r="CI204" s="256"/>
      <c r="CJ204" s="256"/>
      <c r="CK204" s="256"/>
      <c r="CL204" s="256"/>
      <c r="CM204" s="256"/>
      <c r="CN204" s="256"/>
      <c r="CO204" s="256"/>
      <c r="CP204" s="256"/>
      <c r="CQ204" s="256"/>
      <c r="CR204" s="256"/>
      <c r="CS204" s="256"/>
      <c r="CT204" s="256"/>
      <c r="CU204" s="256"/>
      <c r="CV204" s="256"/>
      <c r="CW204" s="256"/>
      <c r="CX204" s="256"/>
      <c r="CY204" s="256"/>
      <c r="CZ204" s="256"/>
      <c r="DA204" s="256"/>
      <c r="DB204" s="256"/>
      <c r="DC204" s="256"/>
      <c r="DD204" s="256"/>
      <c r="DE204" s="256"/>
      <c r="DF204" s="256"/>
      <c r="DG204" s="256"/>
      <c r="DH204" s="256"/>
      <c r="DI204" s="256"/>
      <c r="DJ204" s="256"/>
      <c r="DK204" s="256"/>
      <c r="DL204" s="256"/>
      <c r="DM204" s="256"/>
      <c r="DN204" s="256"/>
      <c r="DO204" s="256"/>
      <c r="DP204" s="256"/>
      <c r="DQ204" s="256"/>
      <c r="DR204" s="256"/>
      <c r="DS204" s="256"/>
      <c r="DT204" s="256"/>
      <c r="DU204" s="256"/>
      <c r="DV204" s="256"/>
      <c r="DW204" s="256"/>
      <c r="DX204" s="256"/>
      <c r="DY204" s="256"/>
      <c r="DZ204" s="256"/>
      <c r="EA204" s="256"/>
    </row>
    <row r="205" spans="1:131">
      <c r="A205" s="256" t="str">
        <f>$A$10</f>
        <v>1Q</v>
      </c>
      <c r="B205" s="256" t="str">
        <f>$B$10</f>
        <v>Apr</v>
      </c>
      <c r="C205" s="256"/>
      <c r="D205" s="295"/>
      <c r="E205" s="256"/>
      <c r="F205" s="295"/>
      <c r="G205" s="288"/>
      <c r="H205" s="288"/>
      <c r="I205" s="256"/>
      <c r="J205" s="602">
        <f>16.289*2-J206</f>
        <v>15.851000000000003</v>
      </c>
      <c r="K205" s="288"/>
      <c r="L205" s="288"/>
      <c r="M205" s="256"/>
      <c r="N205" s="602">
        <f>2*16.71-N206</f>
        <v>16.733000000000001</v>
      </c>
      <c r="O205" s="288"/>
      <c r="P205" s="288"/>
      <c r="Q205" s="256"/>
      <c r="R205" s="295">
        <v>16.648</v>
      </c>
      <c r="S205" s="288"/>
      <c r="T205" s="288"/>
      <c r="U205" s="256"/>
      <c r="V205" s="295">
        <v>16.696000000000002</v>
      </c>
      <c r="W205" s="288"/>
      <c r="X205" s="288"/>
      <c r="Y205" s="256"/>
      <c r="Z205" s="295"/>
      <c r="AA205" s="288"/>
      <c r="AB205" s="288"/>
      <c r="AC205" s="256"/>
      <c r="AD205" s="295"/>
      <c r="AE205" s="288"/>
      <c r="AF205" s="288"/>
      <c r="AG205" s="256"/>
      <c r="AH205" s="295"/>
      <c r="AI205" s="288"/>
      <c r="AJ205" s="288"/>
      <c r="AK205" s="256"/>
      <c r="AL205" s="295"/>
      <c r="AM205" s="288"/>
      <c r="AN205" s="288"/>
      <c r="AO205" s="288"/>
      <c r="AP205" s="295" t="s">
        <v>2382</v>
      </c>
      <c r="AQ205" s="238"/>
      <c r="AR205" s="238"/>
      <c r="AS205" s="238"/>
      <c r="AT205" s="295">
        <v>145.26910000000001</v>
      </c>
      <c r="AU205" s="615"/>
      <c r="AV205" s="238"/>
      <c r="AW205" s="238"/>
      <c r="AX205" s="295">
        <v>145.88337999999999</v>
      </c>
      <c r="AY205" s="615"/>
      <c r="AZ205" s="238"/>
      <c r="BA205" s="238"/>
      <c r="BB205" s="295">
        <v>145.71899999999999</v>
      </c>
      <c r="BC205" s="615"/>
      <c r="BD205" s="238"/>
      <c r="BE205" s="238"/>
      <c r="BF205" s="295">
        <v>144.90799999999999</v>
      </c>
      <c r="BG205" s="615"/>
      <c r="BH205" s="238"/>
      <c r="BI205" s="238"/>
      <c r="BJ205" s="295">
        <v>146.845</v>
      </c>
      <c r="BK205" s="615"/>
      <c r="BL205" s="238"/>
      <c r="BM205" s="1245"/>
      <c r="BN205" s="295">
        <v>143.83000000000001</v>
      </c>
      <c r="BO205" s="615"/>
      <c r="BP205" s="238"/>
      <c r="BQ205" s="599"/>
      <c r="BR205" s="295">
        <v>140.59899999999999</v>
      </c>
      <c r="BS205" s="615"/>
      <c r="BT205" s="238"/>
      <c r="BU205" s="238"/>
      <c r="BV205" s="295">
        <v>136.63499999999999</v>
      </c>
      <c r="BW205" s="615"/>
      <c r="BX205" s="238"/>
      <c r="BY205" s="238"/>
      <c r="BZ205" s="295">
        <v>126.28100000000001</v>
      </c>
      <c r="CA205" s="615"/>
      <c r="CB205" s="238"/>
      <c r="CC205" s="238"/>
      <c r="CD205" s="295">
        <v>124.001</v>
      </c>
      <c r="CE205" s="612"/>
      <c r="CF205" s="256"/>
      <c r="CG205" s="238"/>
      <c r="CH205" s="295">
        <v>126.699</v>
      </c>
      <c r="CI205" s="612"/>
      <c r="CJ205" s="256"/>
      <c r="CK205" s="238"/>
      <c r="CL205" s="717">
        <v>127.15436800000001</v>
      </c>
      <c r="CM205" s="612"/>
      <c r="CN205" s="256"/>
      <c r="CO205" s="238"/>
      <c r="CP205" s="717">
        <f>CP178/CL178*CL205</f>
        <v>126.27944119610349</v>
      </c>
      <c r="CQ205" s="612"/>
      <c r="CR205" s="256"/>
      <c r="CS205" s="256"/>
      <c r="CT205" s="717">
        <f>CT178/CP178*CP205</f>
        <v>126.87235856320878</v>
      </c>
      <c r="CU205" s="612"/>
      <c r="CV205" s="256"/>
      <c r="CW205" s="256"/>
      <c r="CX205" s="717">
        <f>CX178/CT178*CT205</f>
        <v>128.48170570249451</v>
      </c>
      <c r="CY205" s="612"/>
      <c r="CZ205" s="256"/>
      <c r="DA205" s="256"/>
      <c r="DB205" s="717">
        <f>DB178/CX178*CX205</f>
        <v>128.74777114285939</v>
      </c>
      <c r="DC205" s="612"/>
      <c r="DD205" s="256"/>
      <c r="DE205" s="256"/>
      <c r="DF205" s="717">
        <f>DF178/DB178*DB205</f>
        <v>125.65862183525209</v>
      </c>
      <c r="DG205" s="612"/>
      <c r="DH205" s="256"/>
      <c r="DI205" s="256"/>
      <c r="DJ205" s="717">
        <f>DJ178/DF178*DF205</f>
        <v>124.16387217028083</v>
      </c>
      <c r="DK205" s="612"/>
      <c r="DL205" s="256"/>
      <c r="DM205" s="256"/>
      <c r="DN205" s="717">
        <f>DN178/DJ178*DJ205</f>
        <v>123.51976589006789</v>
      </c>
      <c r="DO205" s="612"/>
      <c r="DP205" s="256"/>
      <c r="DQ205" s="256"/>
      <c r="DR205" s="256"/>
      <c r="DS205" s="256"/>
      <c r="DT205" s="256"/>
      <c r="DU205" s="256"/>
      <c r="DV205" s="256"/>
      <c r="DW205" s="256"/>
      <c r="DX205" s="256"/>
      <c r="DY205" s="256"/>
      <c r="DZ205" s="256"/>
      <c r="EA205" s="256"/>
    </row>
    <row r="206" spans="1:131">
      <c r="A206" s="256" t="str">
        <f>$A$11</f>
        <v>2Q</v>
      </c>
      <c r="B206" s="256" t="str">
        <f>$B$11</f>
        <v>Jul</v>
      </c>
      <c r="C206" s="256"/>
      <c r="D206" s="295"/>
      <c r="E206" s="256"/>
      <c r="F206" s="295"/>
      <c r="G206" s="288"/>
      <c r="H206" s="288"/>
      <c r="I206" s="256"/>
      <c r="J206" s="295">
        <v>16.727</v>
      </c>
      <c r="K206" s="288"/>
      <c r="L206" s="288"/>
      <c r="M206" s="256"/>
      <c r="N206" s="295">
        <v>16.687000000000001</v>
      </c>
      <c r="O206" s="288"/>
      <c r="P206" s="288"/>
      <c r="Q206" s="256"/>
      <c r="R206" s="295">
        <v>16.672999999999998</v>
      </c>
      <c r="S206" s="288"/>
      <c r="T206" s="288"/>
      <c r="U206" s="256"/>
      <c r="V206" s="295">
        <v>16.817</v>
      </c>
      <c r="W206" s="288"/>
      <c r="X206" s="288"/>
      <c r="Y206" s="256"/>
      <c r="Z206" s="295"/>
      <c r="AA206" s="288"/>
      <c r="AB206" s="288"/>
      <c r="AC206" s="256"/>
      <c r="AD206" s="295"/>
      <c r="AE206" s="288"/>
      <c r="AF206" s="288"/>
      <c r="AG206" s="256"/>
      <c r="AH206" s="295"/>
      <c r="AI206" s="288"/>
      <c r="AJ206" s="288"/>
      <c r="AK206" s="256"/>
      <c r="AL206" s="295"/>
      <c r="AM206" s="288"/>
      <c r="AN206" s="288"/>
      <c r="AO206" s="288"/>
      <c r="AP206" s="295" t="s">
        <v>2382</v>
      </c>
      <c r="AQ206" s="238"/>
      <c r="AR206" s="238"/>
      <c r="AS206" s="238"/>
      <c r="AT206" s="295">
        <v>145.202</v>
      </c>
      <c r="AU206" s="615"/>
      <c r="AV206" s="238"/>
      <c r="AW206" s="238"/>
      <c r="AX206" s="295">
        <v>146.07274000000001</v>
      </c>
      <c r="AY206" s="615"/>
      <c r="AZ206" s="238"/>
      <c r="BA206" s="238"/>
      <c r="BB206" s="295">
        <v>145.43899999999999</v>
      </c>
      <c r="BC206" s="615"/>
      <c r="BD206" s="238"/>
      <c r="BE206" s="238"/>
      <c r="BF206" s="295">
        <v>145.38200000000001</v>
      </c>
      <c r="BG206" s="615"/>
      <c r="BH206" s="238"/>
      <c r="BI206" s="295"/>
      <c r="BJ206" s="295">
        <v>146.37100000000001</v>
      </c>
      <c r="BK206" s="615"/>
      <c r="BL206" s="238"/>
      <c r="BM206" s="1245"/>
      <c r="BN206" s="286">
        <v>142.38499999999999</v>
      </c>
      <c r="BO206" s="615"/>
      <c r="BP206" s="238"/>
      <c r="BQ206" s="599"/>
      <c r="BR206" s="295">
        <v>138.13900000000001</v>
      </c>
      <c r="BS206" s="615"/>
      <c r="BT206" s="238"/>
      <c r="BU206" s="238"/>
      <c r="BV206" s="295">
        <v>136.72200000000001</v>
      </c>
      <c r="BW206" s="615"/>
      <c r="BX206" s="238"/>
      <c r="BY206" s="238"/>
      <c r="BZ206" s="295">
        <v>136.72200000000001</v>
      </c>
      <c r="CA206" s="615"/>
      <c r="CB206" s="238"/>
      <c r="CC206" s="238"/>
      <c r="CD206" s="295">
        <v>124.081</v>
      </c>
      <c r="CE206" s="612"/>
      <c r="CF206" s="256"/>
      <c r="CG206" s="238"/>
      <c r="CH206" s="295">
        <v>126.89700000000001</v>
      </c>
      <c r="CI206" s="612"/>
      <c r="CJ206" s="256"/>
      <c r="CK206" s="238"/>
      <c r="CL206" s="717">
        <v>126.266981</v>
      </c>
      <c r="CM206" s="612"/>
      <c r="CN206" s="256"/>
      <c r="CO206" s="238"/>
      <c r="CP206" s="717">
        <f>CP179/CL179*CL206</f>
        <v>124.19388874218377</v>
      </c>
      <c r="CQ206" s="612"/>
      <c r="CR206" s="256"/>
      <c r="CS206" s="256"/>
      <c r="CT206" s="717">
        <f>CT179/CP179*CP206</f>
        <v>126.06579015313598</v>
      </c>
      <c r="CU206" s="612"/>
      <c r="CV206" s="256"/>
      <c r="CW206" s="256"/>
      <c r="CX206" s="717">
        <f>CX179/CT179*CT206</f>
        <v>127.47215362190111</v>
      </c>
      <c r="CY206" s="612"/>
      <c r="CZ206" s="256"/>
      <c r="DA206" s="256"/>
      <c r="DB206" s="717">
        <f>DB179/CX179*CX206</f>
        <v>127.22362375224556</v>
      </c>
      <c r="DC206" s="612"/>
      <c r="DD206" s="256"/>
      <c r="DE206" s="256"/>
      <c r="DF206" s="717">
        <f>DF179/DB179*DB206</f>
        <v>123.57457407873154</v>
      </c>
      <c r="DG206" s="612"/>
      <c r="DH206" s="256"/>
      <c r="DI206" s="256"/>
      <c r="DJ206" s="717">
        <f>DJ179/DF179*DF206</f>
        <v>122.78559036553933</v>
      </c>
      <c r="DK206" s="612"/>
      <c r="DL206" s="256"/>
      <c r="DM206" s="256"/>
      <c r="DN206" s="717">
        <f>DN179/DJ179*DJ206</f>
        <v>122.09854069922538</v>
      </c>
      <c r="DO206" s="612"/>
      <c r="DP206" s="256"/>
      <c r="DQ206" s="256"/>
      <c r="DR206" s="256"/>
      <c r="DS206" s="256"/>
      <c r="DT206" s="256"/>
      <c r="DU206" s="256"/>
      <c r="DV206" s="256"/>
      <c r="DW206" s="256"/>
      <c r="DX206" s="256"/>
      <c r="DY206" s="256"/>
      <c r="DZ206" s="256"/>
      <c r="EA206" s="256"/>
    </row>
    <row r="207" spans="1:131">
      <c r="A207" s="256" t="str">
        <f>$A$12</f>
        <v>3Q</v>
      </c>
      <c r="B207" s="256" t="str">
        <f>$B$12</f>
        <v>Oct</v>
      </c>
      <c r="C207" s="256"/>
      <c r="D207" s="295"/>
      <c r="E207" s="256"/>
      <c r="F207" s="295"/>
      <c r="G207" s="288"/>
      <c r="H207" s="288"/>
      <c r="I207" s="256"/>
      <c r="J207" s="716">
        <v>16.7</v>
      </c>
      <c r="K207" s="288"/>
      <c r="L207" s="288"/>
      <c r="M207" s="256"/>
      <c r="N207" s="717">
        <f>+(N209*4)-N206-N205-N208</f>
        <v>16.612999999999992</v>
      </c>
      <c r="O207" s="288"/>
      <c r="P207" s="288"/>
      <c r="Q207" s="256"/>
      <c r="R207" s="295">
        <v>16.701000000000001</v>
      </c>
      <c r="S207" s="288"/>
      <c r="T207" s="288"/>
      <c r="U207" s="256"/>
      <c r="V207" s="295">
        <v>16.884</v>
      </c>
      <c r="W207" s="288"/>
      <c r="X207" s="288"/>
      <c r="Y207" s="256"/>
      <c r="Z207" s="295"/>
      <c r="AA207" s="288"/>
      <c r="AB207" s="288"/>
      <c r="AC207" s="256"/>
      <c r="AD207" s="295"/>
      <c r="AE207" s="288"/>
      <c r="AF207" s="288"/>
      <c r="AG207" s="256"/>
      <c r="AH207" s="295"/>
      <c r="AI207" s="288"/>
      <c r="AJ207" s="288"/>
      <c r="AK207" s="256"/>
      <c r="AL207" s="295"/>
      <c r="AM207" s="288"/>
      <c r="AN207" s="288"/>
      <c r="AO207" s="288"/>
      <c r="AP207" s="295">
        <v>144.71600000000001</v>
      </c>
      <c r="AQ207" s="238"/>
      <c r="AR207" s="238"/>
      <c r="AS207" s="238"/>
      <c r="AT207" s="295">
        <v>145.86705000000001</v>
      </c>
      <c r="AU207" s="615"/>
      <c r="AV207" s="238"/>
      <c r="AW207" s="238"/>
      <c r="AX207" s="295">
        <v>144.89704</v>
      </c>
      <c r="AY207" s="615"/>
      <c r="AZ207" s="238"/>
      <c r="BA207" s="238"/>
      <c r="BB207" s="295">
        <v>145.15378999999999</v>
      </c>
      <c r="BC207" s="615"/>
      <c r="BD207" s="238"/>
      <c r="BE207" s="238"/>
      <c r="BF207" s="295">
        <v>146.285</v>
      </c>
      <c r="BG207" s="615"/>
      <c r="BH207" s="238"/>
      <c r="BI207" s="238"/>
      <c r="BJ207" s="295">
        <v>145.756</v>
      </c>
      <c r="BK207" s="615"/>
      <c r="BL207" s="238"/>
      <c r="BM207" s="1245"/>
      <c r="BN207" s="286">
        <v>142.12</v>
      </c>
      <c r="BO207" s="615"/>
      <c r="BP207" s="238"/>
      <c r="BQ207" s="599"/>
      <c r="BR207" s="295">
        <v>135.358</v>
      </c>
      <c r="BS207" s="615"/>
      <c r="BT207" s="238"/>
      <c r="BU207" s="238"/>
      <c r="BV207" s="295">
        <v>135.642</v>
      </c>
      <c r="BW207" s="615"/>
      <c r="BX207" s="238"/>
      <c r="BY207" s="238"/>
      <c r="BZ207" s="295">
        <v>123.095</v>
      </c>
      <c r="CA207" s="615"/>
      <c r="CB207" s="238"/>
      <c r="CC207" s="238"/>
      <c r="CD207" s="295">
        <v>124.202</v>
      </c>
      <c r="CE207" s="612"/>
      <c r="CF207" s="256"/>
      <c r="CG207" s="238"/>
      <c r="CH207" s="295">
        <v>126.176</v>
      </c>
      <c r="CI207" s="612"/>
      <c r="CJ207" s="256"/>
      <c r="CK207" s="238"/>
      <c r="CL207" s="717">
        <v>126.400403</v>
      </c>
      <c r="CM207" s="612"/>
      <c r="CN207" s="256"/>
      <c r="CO207" s="238"/>
      <c r="CP207" s="717">
        <f>CP180/CL180*CL207</f>
        <v>125.93041329306658</v>
      </c>
      <c r="CQ207" s="612"/>
      <c r="CR207" s="256"/>
      <c r="CS207" s="256"/>
      <c r="CT207" s="717">
        <f>CT180/CP180*CP207</f>
        <v>127.18934978077193</v>
      </c>
      <c r="CU207" s="612"/>
      <c r="CV207" s="256"/>
      <c r="CW207" s="256"/>
      <c r="CX207" s="717">
        <f>CX180/CT180*CT207</f>
        <v>128.52877076374497</v>
      </c>
      <c r="CY207" s="612"/>
      <c r="CZ207" s="256"/>
      <c r="DA207" s="256"/>
      <c r="DB207" s="717">
        <f>DB180/CX180*CX207</f>
        <v>127.78155668422291</v>
      </c>
      <c r="DC207" s="612"/>
      <c r="DD207" s="256"/>
      <c r="DE207" s="256"/>
      <c r="DF207" s="717">
        <f>DF180/DB180*DB207</f>
        <v>123.80701370804179</v>
      </c>
      <c r="DG207" s="612"/>
      <c r="DH207" s="256"/>
      <c r="DI207" s="256"/>
      <c r="DJ207" s="717">
        <f>DJ180/DF180*DF207</f>
        <v>123.60828655923275</v>
      </c>
      <c r="DK207" s="612"/>
      <c r="DL207" s="256"/>
      <c r="DM207" s="256"/>
      <c r="DN207" s="717">
        <f>DN180/DJ180*DJ207</f>
        <v>122.76775021062998</v>
      </c>
      <c r="DO207" s="612"/>
      <c r="DP207" s="256"/>
      <c r="DQ207" s="256"/>
      <c r="DR207" s="256"/>
      <c r="DS207" s="256"/>
      <c r="DT207" s="256"/>
      <c r="DU207" s="256"/>
      <c r="DV207" s="256"/>
      <c r="DW207" s="256"/>
      <c r="DX207" s="256"/>
      <c r="DY207" s="256"/>
      <c r="DZ207" s="256"/>
      <c r="EA207" s="256"/>
    </row>
    <row r="208" spans="1:131">
      <c r="A208" s="256" t="str">
        <f>$A$13</f>
        <v>4Q</v>
      </c>
      <c r="B208" s="256" t="str">
        <f>$B$13</f>
        <v>Jan</v>
      </c>
      <c r="C208" s="587"/>
      <c r="D208" s="292"/>
      <c r="E208" s="587"/>
      <c r="F208" s="292"/>
      <c r="G208" s="288"/>
      <c r="H208" s="288"/>
      <c r="I208" s="256"/>
      <c r="J208" s="292">
        <v>16.744</v>
      </c>
      <c r="K208" s="288"/>
      <c r="L208" s="288"/>
      <c r="M208" s="256"/>
      <c r="N208" s="292">
        <v>16.683</v>
      </c>
      <c r="O208" s="288"/>
      <c r="P208" s="288"/>
      <c r="Q208" s="256"/>
      <c r="R208" s="292">
        <v>16.687000000000001</v>
      </c>
      <c r="S208" s="288"/>
      <c r="T208" s="288"/>
      <c r="U208" s="256"/>
      <c r="V208" s="292">
        <v>16.858000000000001</v>
      </c>
      <c r="W208" s="288"/>
      <c r="X208" s="288"/>
      <c r="Y208" s="256"/>
      <c r="Z208" s="292"/>
      <c r="AA208" s="288"/>
      <c r="AB208" s="288"/>
      <c r="AC208" s="256"/>
      <c r="AD208" s="292"/>
      <c r="AE208" s="288"/>
      <c r="AF208" s="288"/>
      <c r="AG208" s="256"/>
      <c r="AH208" s="292"/>
      <c r="AI208" s="288"/>
      <c r="AJ208" s="288"/>
      <c r="AK208" s="256"/>
      <c r="AL208" s="292"/>
      <c r="AM208" s="288"/>
      <c r="AN208" s="288"/>
      <c r="AO208" s="288"/>
      <c r="AP208" s="292">
        <v>144.952</v>
      </c>
      <c r="AQ208" s="238"/>
      <c r="AR208" s="238"/>
      <c r="AS208" s="238"/>
      <c r="AT208" s="292">
        <v>145.89699999999999</v>
      </c>
      <c r="AU208" s="615"/>
      <c r="AV208" s="238"/>
      <c r="AW208" s="238"/>
      <c r="AX208" s="292">
        <v>145.001</v>
      </c>
      <c r="AY208" s="615"/>
      <c r="AZ208" s="238"/>
      <c r="BA208" s="238"/>
      <c r="BB208" s="292">
        <v>144.86500000000001</v>
      </c>
      <c r="BC208" s="615"/>
      <c r="BD208" s="238"/>
      <c r="BE208" s="238"/>
      <c r="BF208" s="292">
        <v>146.73500000000001</v>
      </c>
      <c r="BG208" s="615"/>
      <c r="BH208" s="238"/>
      <c r="BI208" s="238"/>
      <c r="BJ208" s="292">
        <v>144.548</v>
      </c>
      <c r="BK208" s="615"/>
      <c r="BL208" s="238"/>
      <c r="BM208" s="1245"/>
      <c r="BN208" s="292">
        <v>142.50899999999999</v>
      </c>
      <c r="BO208" s="615"/>
      <c r="BP208" s="238"/>
      <c r="BQ208" s="599"/>
      <c r="BR208" s="292">
        <v>135.875</v>
      </c>
      <c r="BS208" s="615"/>
      <c r="BT208" s="238"/>
      <c r="BU208" s="238"/>
      <c r="BV208" s="292">
        <v>126.753</v>
      </c>
      <c r="BW208" s="615"/>
      <c r="BX208" s="238"/>
      <c r="BY208" s="238"/>
      <c r="BZ208" s="292">
        <v>123.84399999999999</v>
      </c>
      <c r="CA208" s="615"/>
      <c r="CB208" s="238"/>
      <c r="CC208" s="238"/>
      <c r="CD208" s="292">
        <v>125.09699999999999</v>
      </c>
      <c r="CE208" s="612"/>
      <c r="CF208" s="256"/>
      <c r="CG208" s="238"/>
      <c r="CH208" s="292">
        <v>126.628</v>
      </c>
      <c r="CI208" s="612"/>
      <c r="CJ208" s="256"/>
      <c r="CK208" s="238"/>
      <c r="CL208" s="1985">
        <f>CL181/CH181*CH208</f>
        <v>126.74699999999999</v>
      </c>
      <c r="CM208" s="612"/>
      <c r="CN208" s="256"/>
      <c r="CO208" s="238"/>
      <c r="CP208" s="1246">
        <f>CP181/CL181*CL208</f>
        <v>126.857</v>
      </c>
      <c r="CQ208" s="612"/>
      <c r="CR208" s="256"/>
      <c r="CS208" s="256"/>
      <c r="CT208" s="1246">
        <f>CT181/CP181*CP208</f>
        <v>128.19200000000001</v>
      </c>
      <c r="CU208" s="612"/>
      <c r="CV208" s="256"/>
      <c r="CW208" s="256"/>
      <c r="CX208" s="1246">
        <f>CX181/CT181*CT208</f>
        <v>129.34700000000001</v>
      </c>
      <c r="CY208" s="612"/>
      <c r="CZ208" s="256"/>
      <c r="DA208" s="256"/>
      <c r="DB208" s="1246">
        <f>DB181/CX181*CX208</f>
        <v>127.4</v>
      </c>
      <c r="DC208" s="612"/>
      <c r="DD208" s="256"/>
      <c r="DE208" s="256"/>
      <c r="DF208" s="1246">
        <f>DF181/DB181*DB208</f>
        <v>124.5</v>
      </c>
      <c r="DG208" s="612"/>
      <c r="DH208" s="256"/>
      <c r="DI208" s="256"/>
      <c r="DJ208" s="1246">
        <f>DJ181/DF181*DF208</f>
        <v>124.2</v>
      </c>
      <c r="DK208" s="612"/>
      <c r="DL208" s="256"/>
      <c r="DM208" s="256"/>
      <c r="DN208" s="1246">
        <f>DN181/DJ181*DJ208</f>
        <v>123.20560448358687</v>
      </c>
      <c r="DO208" s="612"/>
      <c r="DP208" s="256"/>
      <c r="DQ208" s="256"/>
      <c r="DR208" s="256"/>
      <c r="DS208" s="256"/>
      <c r="DT208" s="256"/>
      <c r="DU208" s="256"/>
      <c r="DV208" s="256"/>
      <c r="DW208" s="256"/>
      <c r="DX208" s="256"/>
      <c r="DY208" s="256"/>
      <c r="DZ208" s="256"/>
      <c r="EA208" s="256"/>
    </row>
    <row r="209" spans="1:131">
      <c r="A209" s="256"/>
      <c r="B209" s="256" t="str">
        <f>$B$14</f>
        <v>Year</v>
      </c>
      <c r="C209" s="256"/>
      <c r="D209" s="613"/>
      <c r="E209" s="256"/>
      <c r="F209" s="613"/>
      <c r="G209" s="614"/>
      <c r="H209" s="614"/>
      <c r="I209" s="614"/>
      <c r="J209" s="613">
        <v>16.617999999999999</v>
      </c>
      <c r="K209" s="614"/>
      <c r="L209" s="614"/>
      <c r="M209" s="614"/>
      <c r="N209" s="613">
        <v>16.678999999999998</v>
      </c>
      <c r="O209" s="614"/>
      <c r="P209" s="614"/>
      <c r="Q209" s="614"/>
      <c r="R209" s="613">
        <v>16.673999999999999</v>
      </c>
      <c r="S209" s="614"/>
      <c r="T209" s="614"/>
      <c r="U209" s="614"/>
      <c r="V209" s="613">
        <v>33.582000000000001</v>
      </c>
      <c r="W209" s="614"/>
      <c r="X209" s="614"/>
      <c r="Y209" s="614"/>
      <c r="Z209" s="613"/>
      <c r="AA209" s="614"/>
      <c r="AB209" s="614"/>
      <c r="AC209" s="614"/>
      <c r="AD209" s="613"/>
      <c r="AE209" s="614"/>
      <c r="AF209" s="614"/>
      <c r="AG209" s="614"/>
      <c r="AH209" s="613"/>
      <c r="AI209" s="614"/>
      <c r="AJ209" s="614"/>
      <c r="AK209" s="614"/>
      <c r="AL209" s="615"/>
      <c r="AM209" s="612"/>
      <c r="AN209" s="612"/>
      <c r="AO209" s="612"/>
      <c r="AP209" s="615">
        <v>144.952</v>
      </c>
      <c r="AQ209" s="615"/>
      <c r="AR209" s="615"/>
      <c r="AS209" s="615"/>
      <c r="AT209" s="615">
        <v>145.89699999999999</v>
      </c>
      <c r="AU209" s="615"/>
      <c r="AV209" s="238"/>
      <c r="AW209" s="613"/>
      <c r="AX209" s="615">
        <v>145.001</v>
      </c>
      <c r="AY209" s="615"/>
      <c r="AZ209" s="613"/>
      <c r="BA209" s="613"/>
      <c r="BB209" s="615">
        <v>144.86500000000001</v>
      </c>
      <c r="BC209" s="615"/>
      <c r="BD209" s="238"/>
      <c r="BE209" s="613"/>
      <c r="BF209" s="615">
        <v>146.73500000000001</v>
      </c>
      <c r="BG209" s="615"/>
      <c r="BH209" s="238"/>
      <c r="BI209" s="238"/>
      <c r="BJ209" s="615">
        <v>144.548</v>
      </c>
      <c r="BK209" s="615"/>
      <c r="BL209" s="295"/>
      <c r="BM209" s="1245"/>
      <c r="BN209" s="615">
        <v>142.50899999999999</v>
      </c>
      <c r="BO209" s="615"/>
      <c r="BP209" s="238"/>
      <c r="BQ209" s="599"/>
      <c r="BR209" s="615">
        <v>135.875</v>
      </c>
      <c r="BS209" s="615"/>
      <c r="BT209" s="238"/>
      <c r="BU209" s="238"/>
      <c r="BV209" s="615">
        <v>126.753</v>
      </c>
      <c r="BW209" s="615"/>
      <c r="BX209" s="238"/>
      <c r="BY209" s="238"/>
      <c r="BZ209" s="615">
        <v>123.84399999999999</v>
      </c>
      <c r="CA209" s="615"/>
      <c r="CB209" s="238"/>
      <c r="CC209" s="238"/>
      <c r="CD209" s="615">
        <v>124.345</v>
      </c>
      <c r="CE209" s="612"/>
      <c r="CF209" s="256"/>
      <c r="CG209" s="238"/>
      <c r="CH209" s="615">
        <v>126.6</v>
      </c>
      <c r="CI209" s="612"/>
      <c r="CJ209" s="256"/>
      <c r="CK209" s="238"/>
      <c r="CL209" s="1247">
        <f>CL182/CH182*CH209</f>
        <v>127.26723167141722</v>
      </c>
      <c r="CM209" s="612"/>
      <c r="CN209" s="256"/>
      <c r="CO209" s="238"/>
      <c r="CP209" s="1247">
        <f>CP182/CL182*CL209</f>
        <v>126.13242021400868</v>
      </c>
      <c r="CQ209" s="612"/>
      <c r="CR209" s="256"/>
      <c r="CS209" s="256"/>
      <c r="CT209" s="1247">
        <f>CT182/CP182*CP209</f>
        <v>127.05476262791454</v>
      </c>
      <c r="CU209" s="612"/>
      <c r="CV209" s="256"/>
      <c r="CW209" s="256"/>
      <c r="CX209" s="1247">
        <f>CX182/CT182*CT209</f>
        <v>129.19999999999996</v>
      </c>
      <c r="CY209" s="612"/>
      <c r="CZ209" s="256"/>
      <c r="DA209" s="256"/>
      <c r="DB209" s="1247">
        <f>DB182/CX182*CX209</f>
        <v>126.59999999999997</v>
      </c>
      <c r="DC209" s="612"/>
      <c r="DD209" s="256"/>
      <c r="DE209" s="256"/>
      <c r="DF209" s="1247">
        <f>DF182/DB182*DB209</f>
        <v>125.09999999999997</v>
      </c>
      <c r="DG209" s="612"/>
      <c r="DH209" s="256"/>
      <c r="DI209" s="256"/>
      <c r="DJ209" s="1247">
        <f>DJ182/DF182*DF209</f>
        <v>124.49999999999997</v>
      </c>
      <c r="DK209" s="612"/>
      <c r="DL209" s="256"/>
      <c r="DM209" s="256"/>
      <c r="DN209" s="1247">
        <f>DN182/DJ182*DJ209</f>
        <v>123.67895683453236</v>
      </c>
      <c r="DO209" s="612"/>
      <c r="DP209" s="256"/>
      <c r="DQ209" s="256"/>
      <c r="DR209" s="256"/>
      <c r="DS209" s="256"/>
      <c r="DT209" s="256"/>
      <c r="DU209" s="256"/>
      <c r="DV209" s="256"/>
      <c r="DW209" s="256"/>
      <c r="DX209" s="256"/>
      <c r="DY209" s="256"/>
      <c r="DZ209" s="256"/>
      <c r="EA209" s="256"/>
    </row>
    <row r="210" spans="1:131">
      <c r="A210" s="256" t="str">
        <f>$A$15</f>
        <v>6 Mos</v>
      </c>
      <c r="B210" s="256"/>
      <c r="C210" s="256"/>
      <c r="D210" s="256"/>
      <c r="E210" s="256"/>
      <c r="F210" s="256"/>
      <c r="G210" s="256"/>
      <c r="H210" s="256"/>
      <c r="I210" s="256"/>
      <c r="J210" s="256"/>
      <c r="K210" s="256"/>
      <c r="L210" s="256"/>
      <c r="M210" s="256"/>
      <c r="N210" s="256"/>
      <c r="O210" s="256"/>
      <c r="P210" s="256"/>
      <c r="Q210" s="256"/>
      <c r="R210" s="256"/>
      <c r="S210" s="256"/>
      <c r="T210" s="256"/>
      <c r="U210" s="256"/>
      <c r="V210" s="256"/>
      <c r="W210" s="256"/>
      <c r="X210" s="256"/>
      <c r="Y210" s="256"/>
      <c r="Z210" s="256"/>
      <c r="AA210" s="256"/>
      <c r="AB210" s="256"/>
      <c r="AC210" s="256"/>
      <c r="AD210" s="256"/>
      <c r="AE210" s="256"/>
      <c r="AF210" s="256"/>
      <c r="AG210" s="256"/>
      <c r="AH210" s="256"/>
      <c r="AI210" s="256"/>
      <c r="AJ210" s="256"/>
      <c r="AK210" s="256"/>
      <c r="AL210" s="256"/>
      <c r="AM210" s="256"/>
      <c r="AN210" s="256"/>
      <c r="AO210" s="256"/>
      <c r="AP210" s="256"/>
      <c r="AQ210" s="256"/>
      <c r="AR210" s="256"/>
      <c r="AS210" s="256"/>
      <c r="AT210" s="256"/>
      <c r="AU210" s="256"/>
      <c r="AV210" s="256"/>
      <c r="AW210" s="256"/>
      <c r="AX210" s="256"/>
      <c r="AY210" s="256"/>
      <c r="AZ210" s="256"/>
      <c r="BA210" s="256"/>
      <c r="BB210" s="256"/>
      <c r="BC210" s="256"/>
      <c r="BD210" s="256"/>
      <c r="BE210" s="256"/>
      <c r="BF210" s="256"/>
      <c r="BG210" s="256"/>
      <c r="BH210" s="256"/>
      <c r="BI210" s="256"/>
      <c r="BJ210" s="256"/>
      <c r="BK210" s="256"/>
      <c r="BL210" s="256"/>
      <c r="BM210" s="587"/>
      <c r="BN210" s="256"/>
      <c r="BO210" s="256"/>
      <c r="BP210" s="256"/>
      <c r="BQ210" s="599"/>
      <c r="BR210" s="256"/>
      <c r="BS210" s="256"/>
      <c r="BT210" s="256"/>
      <c r="BU210" s="256"/>
      <c r="BV210" s="256"/>
      <c r="BW210" s="256"/>
      <c r="BX210" s="256"/>
      <c r="BY210" s="256"/>
      <c r="BZ210" s="256"/>
      <c r="CA210" s="256"/>
      <c r="CB210" s="256"/>
      <c r="CC210" s="256"/>
      <c r="CD210" s="256"/>
      <c r="CE210" s="256"/>
      <c r="CF210" s="256"/>
      <c r="CG210" s="256"/>
      <c r="CH210" s="256"/>
      <c r="CI210" s="256"/>
      <c r="CJ210" s="256"/>
      <c r="CK210" s="256"/>
      <c r="CL210" s="256"/>
      <c r="CM210" s="256"/>
      <c r="CN210" s="256"/>
      <c r="CO210" s="256"/>
      <c r="CP210" s="256"/>
      <c r="CQ210" s="256"/>
      <c r="CR210" s="256"/>
      <c r="CS210" s="256"/>
      <c r="CT210" s="256"/>
      <c r="CU210" s="256"/>
      <c r="CV210" s="256"/>
      <c r="CW210" s="256"/>
      <c r="CX210" s="256"/>
      <c r="CY210" s="256"/>
      <c r="CZ210" s="256"/>
      <c r="DA210" s="256"/>
      <c r="DB210" s="256"/>
      <c r="DC210" s="256"/>
      <c r="DD210" s="256"/>
      <c r="DE210" s="256"/>
      <c r="DF210" s="256"/>
      <c r="DG210" s="256"/>
      <c r="DH210" s="256"/>
      <c r="DI210" s="256"/>
      <c r="DJ210" s="256"/>
      <c r="DK210" s="256"/>
      <c r="DL210" s="256"/>
      <c r="DM210" s="256"/>
      <c r="DN210" s="256"/>
      <c r="DO210" s="256"/>
      <c r="DP210" s="256"/>
      <c r="DQ210" s="256"/>
      <c r="DR210" s="256"/>
      <c r="DS210" s="256"/>
      <c r="DT210" s="256"/>
      <c r="DU210" s="256"/>
      <c r="DV210" s="256"/>
      <c r="DW210" s="256"/>
      <c r="DX210" s="256"/>
      <c r="DY210" s="256"/>
      <c r="DZ210" s="256"/>
      <c r="EA210" s="256"/>
    </row>
    <row r="211" spans="1:131">
      <c r="A211" s="256" t="str">
        <f>$A$16</f>
        <v>9 Mos</v>
      </c>
      <c r="B211" s="256"/>
      <c r="C211" s="256"/>
      <c r="D211" s="256"/>
      <c r="E211" s="256"/>
      <c r="F211" s="256"/>
      <c r="G211" s="256"/>
      <c r="H211" s="256"/>
      <c r="I211" s="256"/>
      <c r="J211" s="256"/>
      <c r="K211" s="256"/>
      <c r="L211" s="256"/>
      <c r="M211" s="256"/>
      <c r="N211" s="256"/>
      <c r="O211" s="256"/>
      <c r="P211" s="256"/>
      <c r="Q211" s="256"/>
      <c r="R211" s="256"/>
      <c r="S211" s="256"/>
      <c r="T211" s="256"/>
      <c r="U211" s="256"/>
      <c r="V211" s="256"/>
      <c r="W211" s="256"/>
      <c r="X211" s="256"/>
      <c r="Y211" s="256"/>
      <c r="Z211" s="256"/>
      <c r="AA211" s="256"/>
      <c r="AB211" s="256"/>
      <c r="AC211" s="256"/>
      <c r="AD211" s="256"/>
      <c r="AE211" s="256"/>
      <c r="AF211" s="256"/>
      <c r="AG211" s="256"/>
      <c r="AH211" s="256"/>
      <c r="AI211" s="256"/>
      <c r="AJ211" s="256"/>
      <c r="AK211" s="256"/>
      <c r="AL211" s="256"/>
      <c r="AM211" s="256"/>
      <c r="AN211" s="256"/>
      <c r="AO211" s="256"/>
      <c r="AP211" s="256"/>
      <c r="AQ211" s="256"/>
      <c r="AR211" s="256"/>
      <c r="AS211" s="256"/>
      <c r="AT211" s="256"/>
      <c r="AU211" s="256"/>
      <c r="AV211" s="256"/>
      <c r="AW211" s="256"/>
      <c r="AX211" s="256"/>
      <c r="AY211" s="256"/>
      <c r="AZ211" s="256"/>
      <c r="BA211" s="256"/>
      <c r="BB211" s="256"/>
      <c r="BC211" s="256"/>
      <c r="BD211" s="256"/>
      <c r="BE211" s="256"/>
      <c r="BF211" s="256"/>
      <c r="BG211" s="256"/>
      <c r="BH211" s="256"/>
      <c r="BI211" s="256"/>
      <c r="BJ211" s="256"/>
      <c r="BK211" s="256"/>
      <c r="BL211" s="256"/>
      <c r="BM211" s="587"/>
      <c r="BN211" s="256"/>
      <c r="BO211" s="256"/>
      <c r="BP211" s="256"/>
      <c r="BQ211" s="599"/>
      <c r="BR211" s="256"/>
      <c r="BS211" s="256"/>
      <c r="BT211" s="256"/>
      <c r="BU211" s="256"/>
      <c r="BV211" s="256"/>
      <c r="BW211" s="256"/>
      <c r="BX211" s="256"/>
      <c r="BY211" s="256"/>
      <c r="BZ211" s="256"/>
      <c r="CA211" s="256"/>
      <c r="CB211" s="256"/>
      <c r="CC211" s="256"/>
      <c r="CD211" s="256"/>
      <c r="CE211" s="256"/>
      <c r="CF211" s="256"/>
      <c r="CG211" s="256"/>
      <c r="CH211" s="256"/>
      <c r="CI211" s="256"/>
      <c r="CJ211" s="256"/>
      <c r="CK211" s="256"/>
      <c r="CL211" s="256"/>
      <c r="CM211" s="256"/>
      <c r="CN211" s="256"/>
      <c r="CO211" s="256"/>
      <c r="CP211" s="256"/>
      <c r="CQ211" s="256"/>
      <c r="CR211" s="256"/>
      <c r="CS211" s="256"/>
      <c r="CT211" s="256"/>
      <c r="CU211" s="256"/>
      <c r="CV211" s="256"/>
      <c r="CW211" s="256"/>
      <c r="CX211" s="256"/>
      <c r="CY211" s="256"/>
      <c r="CZ211" s="256"/>
      <c r="DA211" s="256"/>
      <c r="DB211" s="256"/>
      <c r="DC211" s="256"/>
      <c r="DD211" s="256"/>
      <c r="DE211" s="256"/>
      <c r="DF211" s="256"/>
      <c r="DG211" s="256"/>
      <c r="DH211" s="256"/>
      <c r="DI211" s="256"/>
      <c r="DJ211" s="256"/>
      <c r="DK211" s="256"/>
      <c r="DL211" s="256"/>
      <c r="DM211" s="256"/>
      <c r="DN211" s="256"/>
      <c r="DO211" s="256"/>
      <c r="DP211" s="256"/>
      <c r="DQ211" s="256"/>
      <c r="DR211" s="256"/>
      <c r="DS211" s="256"/>
      <c r="DT211" s="256"/>
      <c r="DU211" s="256"/>
      <c r="DV211" s="256"/>
      <c r="DW211" s="256"/>
      <c r="DX211" s="256"/>
      <c r="DY211" s="256"/>
      <c r="DZ211" s="256"/>
      <c r="EA211" s="256"/>
    </row>
    <row r="212" spans="1:131">
      <c r="A212" s="256"/>
      <c r="B212" s="256"/>
      <c r="C212" s="256"/>
      <c r="D212" s="256"/>
      <c r="E212" s="256"/>
      <c r="F212" s="256"/>
      <c r="G212" s="256"/>
      <c r="H212" s="256"/>
      <c r="I212" s="256"/>
      <c r="J212" s="256"/>
      <c r="K212" s="256"/>
      <c r="L212" s="256"/>
      <c r="M212" s="256"/>
      <c r="N212" s="256"/>
      <c r="O212" s="256"/>
      <c r="P212" s="256"/>
      <c r="Q212" s="256"/>
      <c r="R212" s="256"/>
      <c r="S212" s="256"/>
      <c r="T212" s="256"/>
      <c r="U212" s="256"/>
      <c r="V212" s="256"/>
      <c r="W212" s="256"/>
      <c r="X212" s="256"/>
      <c r="Y212" s="256"/>
      <c r="Z212" s="256"/>
      <c r="AA212" s="256"/>
      <c r="AB212" s="256"/>
      <c r="AC212" s="256"/>
      <c r="AD212" s="256"/>
      <c r="AE212" s="256"/>
      <c r="AF212" s="256"/>
      <c r="AG212" s="256"/>
      <c r="AH212" s="256"/>
      <c r="AI212" s="256"/>
      <c r="AJ212" s="256"/>
      <c r="AK212" s="256"/>
      <c r="AL212" s="256"/>
      <c r="AM212" s="256"/>
      <c r="AN212" s="256"/>
      <c r="AO212" s="256"/>
      <c r="AP212" s="256"/>
      <c r="AQ212" s="256"/>
      <c r="AR212" s="256"/>
      <c r="AS212" s="256"/>
      <c r="AT212" s="256"/>
      <c r="AU212" s="256"/>
      <c r="AV212" s="256"/>
      <c r="AW212" s="256"/>
      <c r="AX212" s="256"/>
      <c r="AY212" s="256"/>
      <c r="AZ212" s="256"/>
      <c r="BA212" s="256"/>
      <c r="BB212" s="256"/>
      <c r="BC212" s="256"/>
      <c r="BD212" s="256"/>
      <c r="BE212" s="256"/>
      <c r="BF212" s="256"/>
      <c r="BG212" s="256"/>
      <c r="BH212" s="256"/>
      <c r="BI212" s="256"/>
      <c r="BJ212" s="256"/>
      <c r="BK212" s="256"/>
      <c r="BL212" s="256"/>
      <c r="BM212" s="587"/>
      <c r="BN212" s="256"/>
      <c r="BO212" s="256"/>
      <c r="BP212" s="256"/>
      <c r="BQ212" s="599"/>
      <c r="BR212" s="256"/>
      <c r="BS212" s="256"/>
      <c r="BT212" s="256"/>
      <c r="BU212" s="256"/>
      <c r="BV212" s="256"/>
      <c r="BW212" s="256"/>
      <c r="BX212" s="256"/>
      <c r="BY212" s="256"/>
      <c r="BZ212" s="256"/>
      <c r="CA212" s="256"/>
      <c r="CB212" s="256"/>
      <c r="CC212" s="256"/>
      <c r="CD212" s="256"/>
      <c r="CE212" s="256"/>
      <c r="CF212" s="256"/>
      <c r="CG212" s="256"/>
      <c r="CH212" s="256"/>
      <c r="CI212" s="256"/>
      <c r="CJ212" s="256"/>
      <c r="CK212" s="256"/>
      <c r="CL212" s="256"/>
      <c r="CM212" s="256"/>
      <c r="CN212" s="256"/>
      <c r="CO212" s="256"/>
      <c r="CP212" s="256"/>
      <c r="CQ212" s="256"/>
      <c r="CR212" s="256"/>
      <c r="CS212" s="256"/>
      <c r="CT212" s="256"/>
      <c r="CU212" s="256"/>
      <c r="CV212" s="256"/>
      <c r="CW212" s="256"/>
      <c r="CX212" s="256"/>
      <c r="CY212" s="256"/>
      <c r="CZ212" s="256"/>
      <c r="DA212" s="256"/>
      <c r="DB212" s="256"/>
      <c r="DC212" s="256"/>
      <c r="DD212" s="256"/>
      <c r="DE212" s="256"/>
      <c r="DF212" s="256"/>
      <c r="DG212" s="256"/>
      <c r="DH212" s="256"/>
      <c r="DI212" s="256"/>
      <c r="DJ212" s="256"/>
      <c r="DK212" s="256"/>
      <c r="DL212" s="256"/>
      <c r="DM212" s="256"/>
      <c r="DN212" s="256"/>
      <c r="DO212" s="256"/>
      <c r="DP212" s="256"/>
      <c r="DQ212" s="256"/>
      <c r="DR212" s="256"/>
      <c r="DS212" s="256"/>
      <c r="DT212" s="256"/>
      <c r="DU212" s="256"/>
      <c r="DV212" s="256"/>
      <c r="DW212" s="256"/>
      <c r="DX212" s="256"/>
      <c r="DY212" s="256"/>
      <c r="DZ212" s="256"/>
      <c r="EA212" s="256"/>
    </row>
    <row r="213" spans="1:131" ht="12.75" customHeight="1">
      <c r="A213" s="256"/>
      <c r="B213" s="256"/>
      <c r="C213" s="268"/>
      <c r="D213" s="598"/>
      <c r="E213" s="268">
        <f>Z213</f>
        <v>0</v>
      </c>
      <c r="F213" s="598"/>
      <c r="G213" s="256"/>
      <c r="H213" s="256"/>
      <c r="I213" s="256"/>
      <c r="J213" s="598"/>
      <c r="K213" s="256"/>
      <c r="L213" s="256"/>
      <c r="M213" s="256"/>
      <c r="N213" s="598"/>
      <c r="O213" s="256"/>
      <c r="P213" s="256"/>
      <c r="Q213" s="256"/>
      <c r="R213" s="598"/>
      <c r="S213" s="256"/>
      <c r="T213" s="256"/>
      <c r="U213" s="256"/>
      <c r="V213" s="598"/>
      <c r="W213" s="256"/>
      <c r="X213" s="256"/>
      <c r="Y213" s="256"/>
      <c r="Z213" s="599"/>
      <c r="AA213" s="312"/>
      <c r="AB213" s="312"/>
      <c r="AC213" s="312"/>
      <c r="AD213" s="600"/>
      <c r="AE213" s="312"/>
      <c r="AF213" s="312"/>
      <c r="AG213" s="312"/>
      <c r="AH213" s="600"/>
      <c r="AI213" s="312"/>
      <c r="AJ213" s="312"/>
      <c r="AK213" s="312"/>
      <c r="AL213" s="600"/>
      <c r="AM213" s="312"/>
      <c r="AN213" s="312"/>
      <c r="AO213" s="312"/>
      <c r="AP213" s="256"/>
      <c r="AQ213" s="256"/>
      <c r="AR213" s="256"/>
      <c r="AS213" s="256"/>
      <c r="AT213" s="256"/>
      <c r="AU213" s="256"/>
      <c r="AV213" s="256"/>
      <c r="AW213" s="256"/>
      <c r="AX213" s="256"/>
      <c r="AY213" s="256"/>
      <c r="AZ213" s="256"/>
      <c r="BA213" s="256"/>
      <c r="BB213" s="600"/>
      <c r="BC213" s="600"/>
      <c r="BD213" s="600"/>
      <c r="BE213" s="600"/>
      <c r="BF213" s="600"/>
      <c r="BG213" s="600"/>
      <c r="BH213" s="600"/>
      <c r="BI213" s="600"/>
      <c r="BJ213" s="600" t="s">
        <v>677</v>
      </c>
      <c r="BK213" s="600"/>
      <c r="BL213" s="600"/>
      <c r="BM213" s="600"/>
      <c r="BN213" s="600"/>
      <c r="BO213" s="600"/>
      <c r="BP213" s="600"/>
      <c r="BQ213" s="600"/>
      <c r="BR213" s="600"/>
      <c r="BS213" s="600"/>
      <c r="BT213" s="600"/>
      <c r="BU213" s="600"/>
      <c r="BV213" s="600" t="s">
        <v>677</v>
      </c>
      <c r="BW213" s="600"/>
      <c r="BX213" s="600"/>
      <c r="BY213" s="600"/>
      <c r="BZ213" s="600"/>
      <c r="CA213" s="600"/>
      <c r="CB213" s="600"/>
      <c r="CC213" s="600"/>
      <c r="CE213" s="600"/>
      <c r="CF213" s="600"/>
      <c r="CG213" s="600"/>
      <c r="CH213" s="600"/>
      <c r="CI213" s="600"/>
      <c r="CJ213" s="600"/>
      <c r="CK213" s="600"/>
      <c r="CL213" s="600"/>
      <c r="CM213" s="600"/>
      <c r="CN213" s="600"/>
      <c r="CP213" s="600"/>
      <c r="CQ213" s="600"/>
      <c r="CR213" s="600"/>
      <c r="CS213" s="880"/>
      <c r="CT213" s="600"/>
      <c r="CU213" s="600"/>
      <c r="CV213" s="600"/>
      <c r="CW213" s="880"/>
      <c r="CX213" s="621"/>
      <c r="CY213" s="600"/>
      <c r="CZ213" s="600"/>
      <c r="DA213" s="880"/>
      <c r="DB213" s="600" t="s">
        <v>677</v>
      </c>
      <c r="DC213" s="600"/>
      <c r="DD213" s="600"/>
      <c r="DE213" s="880"/>
      <c r="DF213" s="600"/>
      <c r="DG213" s="600"/>
      <c r="DH213" s="600"/>
      <c r="DI213" s="880"/>
      <c r="DJ213" s="600"/>
      <c r="DK213" s="600"/>
      <c r="DL213" s="600"/>
      <c r="DM213" s="880"/>
      <c r="DN213" s="600"/>
      <c r="DO213" s="600"/>
      <c r="DP213" s="600"/>
      <c r="DQ213" s="880"/>
      <c r="DR213" s="880"/>
      <c r="DS213" s="880"/>
      <c r="DT213" s="880"/>
      <c r="DU213" s="880"/>
      <c r="DV213" s="880"/>
      <c r="DW213" s="880"/>
      <c r="DX213" s="880"/>
      <c r="DY213" s="880"/>
      <c r="DZ213" s="880"/>
      <c r="EA213" s="880"/>
    </row>
    <row r="214" spans="1:131">
      <c r="A214" s="256"/>
      <c r="B214" s="256"/>
      <c r="C214" s="256"/>
      <c r="D214" s="256"/>
      <c r="E214" s="256"/>
      <c r="F214" s="256"/>
      <c r="G214" s="256"/>
      <c r="H214" s="256"/>
      <c r="I214" s="256"/>
      <c r="J214" s="256"/>
      <c r="K214" s="256"/>
      <c r="L214" s="256"/>
      <c r="M214" s="256"/>
      <c r="N214" s="256"/>
      <c r="O214" s="256"/>
      <c r="P214" s="256"/>
      <c r="Q214" s="256"/>
      <c r="R214" s="256"/>
      <c r="S214" s="256"/>
      <c r="T214" s="256"/>
      <c r="U214" s="256"/>
      <c r="V214" s="256"/>
      <c r="W214" s="256"/>
      <c r="X214" s="256"/>
      <c r="Y214" s="256"/>
      <c r="Z214" s="256"/>
      <c r="AA214" s="256"/>
      <c r="AB214" s="256"/>
      <c r="AC214" s="256"/>
      <c r="AD214" s="256"/>
      <c r="AE214" s="256"/>
      <c r="AF214" s="256"/>
      <c r="AG214" s="256"/>
      <c r="AH214" s="256"/>
      <c r="AI214" s="256"/>
      <c r="AJ214" s="256"/>
      <c r="AK214" s="256"/>
      <c r="AL214" s="256"/>
      <c r="AM214" s="256"/>
      <c r="AN214" s="256"/>
      <c r="AO214" s="256"/>
      <c r="AP214" s="256"/>
      <c r="AQ214" s="256"/>
      <c r="AR214" s="256"/>
      <c r="AS214" s="256"/>
      <c r="AT214" s="256"/>
      <c r="AU214" s="256"/>
      <c r="AV214" s="256"/>
      <c r="AW214" s="256"/>
      <c r="AX214" s="256"/>
      <c r="AY214" s="256"/>
      <c r="AZ214" s="256"/>
      <c r="BA214" s="256"/>
      <c r="BB214" s="256"/>
      <c r="BC214" s="256"/>
      <c r="BD214" s="256"/>
      <c r="BE214" s="256"/>
      <c r="BF214" s="256"/>
      <c r="BG214" s="256"/>
      <c r="BH214" s="256"/>
      <c r="BI214" s="256"/>
      <c r="BJ214" s="256"/>
      <c r="BK214" s="256"/>
      <c r="BL214" s="256"/>
      <c r="BM214" s="587"/>
      <c r="BN214" s="256"/>
      <c r="BO214" s="256"/>
      <c r="BP214" s="256"/>
      <c r="BQ214" s="599"/>
      <c r="BR214" s="256"/>
      <c r="BS214" s="256"/>
      <c r="BT214" s="256"/>
      <c r="BU214" s="256"/>
      <c r="BV214" s="256"/>
      <c r="BW214" s="256"/>
      <c r="BX214" s="256"/>
      <c r="BY214" s="256"/>
      <c r="BZ214" s="256"/>
      <c r="CA214" s="256"/>
      <c r="CB214" s="256"/>
      <c r="CC214" s="256"/>
      <c r="CD214" s="256"/>
      <c r="CE214" s="256"/>
      <c r="CF214" s="256"/>
      <c r="CG214" s="256"/>
      <c r="CH214" s="256"/>
      <c r="CI214" s="256"/>
      <c r="CJ214" s="256"/>
      <c r="CK214" s="256"/>
      <c r="CL214" s="256"/>
      <c r="CM214" s="256"/>
      <c r="CN214" s="256"/>
      <c r="CO214" s="256"/>
      <c r="CP214" s="256"/>
      <c r="CQ214" s="256"/>
      <c r="CR214" s="256"/>
      <c r="CS214" s="256"/>
      <c r="CT214" s="256"/>
      <c r="CU214" s="256"/>
      <c r="CV214" s="256"/>
      <c r="CW214" s="256"/>
      <c r="CX214" s="256"/>
      <c r="CY214" s="256"/>
      <c r="CZ214" s="256"/>
      <c r="DA214" s="256"/>
      <c r="DB214" s="256"/>
      <c r="DC214" s="256"/>
      <c r="DD214" s="256"/>
      <c r="DE214" s="256"/>
      <c r="DF214" s="256"/>
      <c r="DG214" s="256"/>
      <c r="DH214" s="256"/>
      <c r="DI214" s="256"/>
      <c r="DJ214" s="256"/>
      <c r="DK214" s="256"/>
      <c r="DL214" s="256"/>
      <c r="DM214" s="256"/>
      <c r="DN214" s="256"/>
      <c r="DO214" s="256"/>
      <c r="DP214" s="256"/>
      <c r="DQ214" s="256"/>
      <c r="DR214" s="256"/>
      <c r="DS214" s="256"/>
      <c r="DT214" s="256"/>
      <c r="DU214" s="256"/>
      <c r="DV214" s="256"/>
      <c r="DW214" s="256"/>
      <c r="DX214" s="256"/>
      <c r="DY214" s="256"/>
      <c r="DZ214" s="256"/>
      <c r="EA214" s="256"/>
    </row>
    <row r="215" spans="1:131">
      <c r="A215" s="256" t="str">
        <f>$A$10</f>
        <v>1Q</v>
      </c>
      <c r="B215" s="256" t="str">
        <f>$B$10</f>
        <v>Apr</v>
      </c>
      <c r="C215" s="256"/>
      <c r="D215" s="295"/>
      <c r="E215" s="256"/>
      <c r="F215" s="295"/>
      <c r="G215" s="288"/>
      <c r="H215" s="288"/>
      <c r="I215" s="256"/>
      <c r="J215" s="602">
        <f>16.289*2-J216</f>
        <v>15.851000000000003</v>
      </c>
      <c r="K215" s="288"/>
      <c r="L215" s="288"/>
      <c r="M215" s="256"/>
      <c r="N215" s="602">
        <f>2*16.71-N216</f>
        <v>16.733000000000001</v>
      </c>
      <c r="O215" s="288"/>
      <c r="P215" s="288"/>
      <c r="Q215" s="256"/>
      <c r="R215" s="295">
        <v>16.648</v>
      </c>
      <c r="S215" s="288"/>
      <c r="T215" s="288"/>
      <c r="U215" s="256"/>
      <c r="V215" s="295">
        <v>16.696000000000002</v>
      </c>
      <c r="W215" s="288"/>
      <c r="X215" s="288"/>
      <c r="Y215" s="256"/>
      <c r="Z215" s="295"/>
      <c r="AA215" s="288"/>
      <c r="AB215" s="288"/>
      <c r="AC215" s="256"/>
      <c r="AD215" s="295"/>
      <c r="AE215" s="288"/>
      <c r="AF215" s="288"/>
      <c r="AG215" s="256"/>
      <c r="AH215" s="295"/>
      <c r="AI215" s="288"/>
      <c r="AJ215" s="288"/>
      <c r="AK215" s="256"/>
      <c r="AL215" s="295"/>
      <c r="AM215" s="288"/>
      <c r="AN215" s="288"/>
      <c r="AO215" s="288"/>
      <c r="AP215" s="295"/>
      <c r="AQ215" s="238"/>
      <c r="AR215" s="238"/>
      <c r="AS215" s="238"/>
      <c r="AT215" s="295">
        <f>AT205+(AT168-AT178)</f>
        <v>152.00710000000001</v>
      </c>
      <c r="AU215" s="615"/>
      <c r="AV215" s="238"/>
      <c r="AW215" s="238"/>
      <c r="AX215" s="295">
        <f>AX205+(AX168-AX178)</f>
        <v>151.27238</v>
      </c>
      <c r="AY215" s="615"/>
      <c r="AZ215" s="238"/>
      <c r="BA215" s="238"/>
      <c r="BB215" s="295">
        <f>BB205+(BB168-BB178)</f>
        <v>150.46600000000001</v>
      </c>
      <c r="BC215" s="615"/>
      <c r="BD215" s="238"/>
      <c r="BE215" s="238"/>
      <c r="BF215" s="295">
        <f>BF205+(BF168-BF178)</f>
        <v>147.45199999999997</v>
      </c>
      <c r="BG215" s="615"/>
      <c r="BH215" s="238"/>
      <c r="BI215" s="238"/>
      <c r="BJ215" s="295">
        <f>BJ205+(BJ168-BJ178)</f>
        <v>149.31899999999999</v>
      </c>
      <c r="BK215" s="615"/>
      <c r="BL215" s="238"/>
      <c r="BM215" s="1245"/>
      <c r="BN215" s="295">
        <f>BN205+(BN168-BN178)</f>
        <v>145.86700000000002</v>
      </c>
      <c r="BO215" s="615"/>
      <c r="BP215" s="238"/>
      <c r="BQ215" s="599"/>
      <c r="BR215" s="295">
        <f>BR205+(BR168-BR178)</f>
        <v>143.02499999999998</v>
      </c>
      <c r="BS215" s="615"/>
      <c r="BT215" s="238"/>
      <c r="BU215" s="238"/>
      <c r="BV215" s="295">
        <f>BV205+(BV168-BV178)</f>
        <v>139.87099999999998</v>
      </c>
      <c r="BW215" s="615"/>
      <c r="BX215" s="238"/>
      <c r="BY215" s="238"/>
      <c r="BZ215" s="295">
        <f>BZ205+(BZ168-BZ178)</f>
        <v>128.596</v>
      </c>
      <c r="CA215" s="615"/>
      <c r="CB215" s="238"/>
      <c r="CC215" s="238"/>
      <c r="CD215" s="295">
        <f>CD205+(CD168-CD178)</f>
        <v>124.164</v>
      </c>
      <c r="CE215" s="612"/>
      <c r="CF215" s="256"/>
      <c r="CG215" s="238"/>
      <c r="CH215" s="295">
        <f>CH205+(CH168-CH178)</f>
        <v>128.54300000000001</v>
      </c>
      <c r="CI215" s="612"/>
      <c r="CJ215" s="256"/>
      <c r="CK215" s="238"/>
      <c r="CL215" s="295">
        <f>CL205+(CL168-CL178)</f>
        <v>128.93436800000001</v>
      </c>
      <c r="CM215" s="612"/>
      <c r="CN215" s="256"/>
      <c r="CO215" s="238"/>
      <c r="CP215" s="295">
        <f>CP205+(CP168-CP178)</f>
        <v>127.72644119610348</v>
      </c>
      <c r="CQ215" s="612"/>
      <c r="CR215" s="256"/>
      <c r="CS215" s="256"/>
      <c r="CT215" s="295">
        <f>CT205+(CT168-CT178)</f>
        <v>127.99535856320878</v>
      </c>
      <c r="CU215" s="612"/>
      <c r="CV215" s="256"/>
      <c r="CW215" s="256"/>
      <c r="CX215" s="295">
        <f>CX205+(CX168-CX178)</f>
        <v>129.3437057024945</v>
      </c>
      <c r="CY215" s="612"/>
      <c r="CZ215" s="256"/>
      <c r="DA215" s="256"/>
      <c r="DB215" s="295">
        <f>DB205+(DB168-DB178)</f>
        <v>129.34777114285941</v>
      </c>
      <c r="DC215" s="612"/>
      <c r="DD215" s="256"/>
      <c r="DE215" s="256"/>
      <c r="DF215" s="295">
        <f>DF205+(DF168-DF178)</f>
        <v>126.0586218352521</v>
      </c>
      <c r="DG215" s="612"/>
      <c r="DH215" s="256"/>
      <c r="DI215" s="256"/>
      <c r="DJ215" s="295">
        <f>DJ205+(DJ168-DJ178)</f>
        <v>124.86387217028083</v>
      </c>
      <c r="DK215" s="612"/>
      <c r="DL215" s="256"/>
      <c r="DM215" s="256"/>
      <c r="DN215" s="295">
        <f>DN205+(DN168-DN178)</f>
        <v>124.21613460515169</v>
      </c>
      <c r="DO215" s="612"/>
      <c r="DP215" s="256"/>
      <c r="DQ215" s="256"/>
      <c r="DR215" s="256"/>
      <c r="DS215" s="256"/>
      <c r="DT215" s="256"/>
      <c r="DU215" s="256"/>
      <c r="DV215" s="256"/>
      <c r="DW215" s="256"/>
      <c r="DX215" s="256"/>
      <c r="DY215" s="256"/>
      <c r="DZ215" s="256"/>
      <c r="EA215" s="256"/>
    </row>
    <row r="216" spans="1:131">
      <c r="A216" s="256" t="str">
        <f>$A$11</f>
        <v>2Q</v>
      </c>
      <c r="B216" s="256" t="str">
        <f>$B$11</f>
        <v>Jul</v>
      </c>
      <c r="C216" s="256"/>
      <c r="D216" s="295"/>
      <c r="E216" s="256"/>
      <c r="F216" s="295"/>
      <c r="G216" s="288"/>
      <c r="H216" s="288"/>
      <c r="I216" s="256"/>
      <c r="J216" s="295">
        <v>16.727</v>
      </c>
      <c r="K216" s="288"/>
      <c r="L216" s="288"/>
      <c r="M216" s="256"/>
      <c r="N216" s="295">
        <v>16.687000000000001</v>
      </c>
      <c r="O216" s="288"/>
      <c r="P216" s="288"/>
      <c r="Q216" s="256"/>
      <c r="R216" s="295">
        <v>16.672999999999998</v>
      </c>
      <c r="S216" s="288"/>
      <c r="T216" s="288"/>
      <c r="U216" s="256"/>
      <c r="V216" s="295">
        <v>16.817</v>
      </c>
      <c r="W216" s="288"/>
      <c r="X216" s="288"/>
      <c r="Y216" s="256"/>
      <c r="Z216" s="295"/>
      <c r="AA216" s="288"/>
      <c r="AB216" s="288"/>
      <c r="AC216" s="256"/>
      <c r="AD216" s="295"/>
      <c r="AE216" s="288"/>
      <c r="AF216" s="288"/>
      <c r="AG216" s="256"/>
      <c r="AH216" s="295"/>
      <c r="AI216" s="288"/>
      <c r="AJ216" s="288"/>
      <c r="AK216" s="256"/>
      <c r="AL216" s="295"/>
      <c r="AM216" s="288"/>
      <c r="AN216" s="288"/>
      <c r="AO216" s="288"/>
      <c r="AP216" s="295"/>
      <c r="AQ216" s="238"/>
      <c r="AR216" s="238"/>
      <c r="AS216" s="238"/>
      <c r="AT216" s="295">
        <f>AT206+(AT169-AT179)</f>
        <v>151.583</v>
      </c>
      <c r="AU216" s="615"/>
      <c r="AV216" s="238"/>
      <c r="AW216" s="238"/>
      <c r="AX216" s="295">
        <f>AX206+(AX169-AX179)</f>
        <v>151.78274000000002</v>
      </c>
      <c r="AY216" s="615"/>
      <c r="AZ216" s="238"/>
      <c r="BA216" s="238"/>
      <c r="BB216" s="295">
        <f>BB206+(BB169-BB179)</f>
        <v>149.386</v>
      </c>
      <c r="BC216" s="615"/>
      <c r="BD216" s="238"/>
      <c r="BE216" s="238"/>
      <c r="BF216" s="295">
        <f>BF206+(BF169-BF179)</f>
        <v>148.251</v>
      </c>
      <c r="BG216" s="615"/>
      <c r="BH216" s="238"/>
      <c r="BI216" s="295"/>
      <c r="BJ216" s="295">
        <f>BJ206+(BJ169-BJ179)</f>
        <v>148.59300000000002</v>
      </c>
      <c r="BK216" s="615"/>
      <c r="BL216" s="238"/>
      <c r="BM216" s="1245"/>
      <c r="BN216" s="295">
        <f>BN206+(BN169-BN179)</f>
        <v>144.32599999999999</v>
      </c>
      <c r="BO216" s="615"/>
      <c r="BP216" s="238"/>
      <c r="BQ216" s="599"/>
      <c r="BR216" s="295">
        <f>AVERAGE(BR215,BR217)</f>
        <v>140.251</v>
      </c>
      <c r="BS216" s="615"/>
      <c r="BT216" s="238"/>
      <c r="BU216" s="238"/>
      <c r="BV216" s="295">
        <f>BV206+(BV169-BV179)</f>
        <v>140.304</v>
      </c>
      <c r="BW216" s="615"/>
      <c r="BX216" s="238"/>
      <c r="BY216" s="238"/>
      <c r="BZ216" s="295">
        <f>BZ206+(BZ169-BZ179)</f>
        <v>139.185</v>
      </c>
      <c r="CA216" s="615"/>
      <c r="CB216" s="238"/>
      <c r="CC216" s="238"/>
      <c r="CD216" s="295">
        <f>CD206+(CD169-CD179)</f>
        <v>124.523</v>
      </c>
      <c r="CE216" s="612"/>
      <c r="CF216" s="256"/>
      <c r="CG216" s="238"/>
      <c r="CH216" s="295">
        <f>CH206+(CH169-CH179)</f>
        <v>128.38499999999999</v>
      </c>
      <c r="CI216" s="612"/>
      <c r="CJ216" s="256"/>
      <c r="CK216" s="238"/>
      <c r="CL216" s="295">
        <f>CL206+(CL169-CL179)</f>
        <v>128.030981</v>
      </c>
      <c r="CM216" s="612"/>
      <c r="CN216" s="256"/>
      <c r="CO216" s="238"/>
      <c r="CP216" s="295">
        <f>CP206+(CP169-CP179)</f>
        <v>125.92892681790376</v>
      </c>
      <c r="CQ216" s="612"/>
      <c r="CR216" s="256"/>
      <c r="CS216" s="256"/>
      <c r="CT216" s="295">
        <f>CT206+(CT169-CT179)</f>
        <v>127.01079015313597</v>
      </c>
      <c r="CU216" s="612"/>
      <c r="CV216" s="256"/>
      <c r="CW216" s="256"/>
      <c r="CX216" s="295">
        <f>CX206+(CX169-CX179)</f>
        <v>128.12815362190111</v>
      </c>
      <c r="CY216" s="612"/>
      <c r="CZ216" s="256"/>
      <c r="DA216" s="256"/>
      <c r="DB216" s="295">
        <f>DB206+(DB169-DB179)</f>
        <v>127.82362375224555</v>
      </c>
      <c r="DC216" s="612"/>
      <c r="DD216" s="256"/>
      <c r="DE216" s="256"/>
      <c r="DF216" s="295">
        <f>DF206+(DF169-DF179)</f>
        <v>123.87457407873154</v>
      </c>
      <c r="DG216" s="612"/>
      <c r="DH216" s="256"/>
      <c r="DI216" s="256"/>
      <c r="DJ216" s="295">
        <f>DJ206+(DJ169-DJ179)</f>
        <v>123.38559036553933</v>
      </c>
      <c r="DK216" s="612"/>
      <c r="DL216" s="256"/>
      <c r="DM216" s="256"/>
      <c r="DN216" s="295">
        <f>DN206+(DN169-DN179)</f>
        <v>122.69518338507669</v>
      </c>
      <c r="DO216" s="612"/>
      <c r="DP216" s="256"/>
      <c r="DQ216" s="256"/>
      <c r="DR216" s="256"/>
      <c r="DS216" s="256"/>
      <c r="DT216" s="256"/>
      <c r="DU216" s="256"/>
      <c r="DV216" s="256"/>
      <c r="DW216" s="256"/>
      <c r="DX216" s="256"/>
      <c r="DY216" s="256"/>
      <c r="DZ216" s="256"/>
      <c r="EA216" s="256"/>
    </row>
    <row r="217" spans="1:131">
      <c r="A217" s="256" t="str">
        <f>$A$12</f>
        <v>3Q</v>
      </c>
      <c r="B217" s="256" t="str">
        <f>$B$12</f>
        <v>Oct</v>
      </c>
      <c r="C217" s="256"/>
      <c r="D217" s="295"/>
      <c r="E217" s="256"/>
      <c r="F217" s="295"/>
      <c r="G217" s="288"/>
      <c r="H217" s="288"/>
      <c r="I217" s="256"/>
      <c r="J217" s="716">
        <v>16.7</v>
      </c>
      <c r="K217" s="288"/>
      <c r="L217" s="288"/>
      <c r="M217" s="256"/>
      <c r="N217" s="717">
        <f>+(N219*4)-N216-N215-N218</f>
        <v>16.612999999999992</v>
      </c>
      <c r="O217" s="288"/>
      <c r="P217" s="288"/>
      <c r="Q217" s="256"/>
      <c r="R217" s="295">
        <v>16.701000000000001</v>
      </c>
      <c r="S217" s="288"/>
      <c r="T217" s="288"/>
      <c r="U217" s="256"/>
      <c r="V217" s="295">
        <v>16.884</v>
      </c>
      <c r="W217" s="288"/>
      <c r="X217" s="288"/>
      <c r="Y217" s="256"/>
      <c r="Z217" s="295"/>
      <c r="AA217" s="288"/>
      <c r="AB217" s="288"/>
      <c r="AC217" s="256"/>
      <c r="AD217" s="295"/>
      <c r="AE217" s="288"/>
      <c r="AF217" s="288"/>
      <c r="AG217" s="256"/>
      <c r="AH217" s="295"/>
      <c r="AI217" s="288"/>
      <c r="AJ217" s="288"/>
      <c r="AK217" s="256"/>
      <c r="AL217" s="295"/>
      <c r="AM217" s="288"/>
      <c r="AN217" s="288"/>
      <c r="AO217" s="288"/>
      <c r="AP217" s="295">
        <f>AP207+(AP170-AP180)</f>
        <v>223.59000000000003</v>
      </c>
      <c r="AQ217" s="238"/>
      <c r="AR217" s="238"/>
      <c r="AS217" s="238"/>
      <c r="AT217" s="295">
        <f>AT207+(AT170-AT180)</f>
        <v>152.19405</v>
      </c>
      <c r="AU217" s="615"/>
      <c r="AV217" s="238"/>
      <c r="AW217" s="238"/>
      <c r="AX217" s="295">
        <f>AX207+(AX170-AX180)</f>
        <v>149.73804000000001</v>
      </c>
      <c r="AY217" s="615"/>
      <c r="AZ217" s="238"/>
      <c r="BA217" s="238"/>
      <c r="BB217" s="295">
        <f>BB207+(BB170-BB180)</f>
        <v>148.08278999999999</v>
      </c>
      <c r="BC217" s="615"/>
      <c r="BD217" s="238"/>
      <c r="BE217" s="238"/>
      <c r="BF217" s="295">
        <f>BF207+(BF170-BF180)</f>
        <v>149.31700000000001</v>
      </c>
      <c r="BG217" s="615"/>
      <c r="BH217" s="238"/>
      <c r="BI217" s="238"/>
      <c r="BJ217" s="295">
        <f>BJ207+(BJ170-BJ180)</f>
        <v>147.548</v>
      </c>
      <c r="BK217" s="615"/>
      <c r="BL217" s="238"/>
      <c r="BM217" s="1245"/>
      <c r="BN217" s="295">
        <f>BN207+(BN170-BN180)</f>
        <v>144.833</v>
      </c>
      <c r="BO217" s="615"/>
      <c r="BP217" s="238"/>
      <c r="BQ217" s="599"/>
      <c r="BR217" s="295">
        <f>BR207+(BR170-BR180)</f>
        <v>137.47700000000003</v>
      </c>
      <c r="BS217" s="615"/>
      <c r="BT217" s="238"/>
      <c r="BU217" s="238"/>
      <c r="BV217" s="295">
        <f>BV207+(BV170-BV180)</f>
        <v>139.005</v>
      </c>
      <c r="BW217" s="615"/>
      <c r="BX217" s="238"/>
      <c r="BY217" s="238"/>
      <c r="BZ217" s="295">
        <f>BZ207+(BZ170-BZ180)</f>
        <v>124.595</v>
      </c>
      <c r="CA217" s="615"/>
      <c r="CB217" s="238"/>
      <c r="CC217" s="238"/>
      <c r="CD217" s="295">
        <f>CD207+(CD170-CD180)</f>
        <v>125.58199999999999</v>
      </c>
      <c r="CE217" s="612"/>
      <c r="CF217" s="256"/>
      <c r="CG217" s="238"/>
      <c r="CH217" s="295">
        <f>CH207+(CH170-CH180)</f>
        <v>127.905</v>
      </c>
      <c r="CI217" s="612"/>
      <c r="CJ217" s="256"/>
      <c r="CK217" s="238"/>
      <c r="CL217" s="295">
        <f>CL207+(CL170-CL180)</f>
        <v>128.00240300000002</v>
      </c>
      <c r="CM217" s="612"/>
      <c r="CN217" s="256"/>
      <c r="CO217" s="238"/>
      <c r="CP217" s="295">
        <f>CP207+(CP170-CP180)</f>
        <v>127.09541329306658</v>
      </c>
      <c r="CQ217" s="612"/>
      <c r="CR217" s="256"/>
      <c r="CS217" s="256"/>
      <c r="CT217" s="295">
        <f>CT207+(CT170-CT180)</f>
        <v>128.15934978077195</v>
      </c>
      <c r="CU217" s="612"/>
      <c r="CV217" s="256"/>
      <c r="CW217" s="256"/>
      <c r="CX217" s="295">
        <f>CX207+(CX170-CX180)</f>
        <v>129.15477076374498</v>
      </c>
      <c r="CY217" s="612"/>
      <c r="CZ217" s="256"/>
      <c r="DA217" s="256"/>
      <c r="DB217" s="295">
        <f>DB207+(DB170-DB180)</f>
        <v>128.28155668422289</v>
      </c>
      <c r="DC217" s="612"/>
      <c r="DD217" s="256"/>
      <c r="DE217" s="256"/>
      <c r="DF217" s="295">
        <f>DF207+(DF170-DF180)</f>
        <v>124.1070137080418</v>
      </c>
      <c r="DG217" s="612"/>
      <c r="DH217" s="256"/>
      <c r="DI217" s="256"/>
      <c r="DJ217" s="295">
        <f>DJ207+(DJ170-DJ180)</f>
        <v>124.20828655923275</v>
      </c>
      <c r="DK217" s="612"/>
      <c r="DL217" s="256"/>
      <c r="DM217" s="256"/>
      <c r="DN217" s="295">
        <f>DN207+(DN170-DN180)</f>
        <v>123.36367021062998</v>
      </c>
      <c r="DO217" s="612"/>
      <c r="DP217" s="256"/>
      <c r="DQ217" s="256"/>
      <c r="DR217" s="256"/>
      <c r="DS217" s="256"/>
      <c r="DT217" s="256"/>
      <c r="DU217" s="256"/>
      <c r="DV217" s="256"/>
      <c r="DW217" s="256"/>
      <c r="DX217" s="256"/>
      <c r="DY217" s="256"/>
      <c r="DZ217" s="256"/>
      <c r="EA217" s="256"/>
    </row>
    <row r="218" spans="1:131">
      <c r="A218" s="256" t="str">
        <f>$A$13</f>
        <v>4Q</v>
      </c>
      <c r="B218" s="256" t="str">
        <f>$B$13</f>
        <v>Jan</v>
      </c>
      <c r="C218" s="587"/>
      <c r="D218" s="292"/>
      <c r="E218" s="587"/>
      <c r="F218" s="292"/>
      <c r="G218" s="288"/>
      <c r="H218" s="288"/>
      <c r="I218" s="256"/>
      <c r="J218" s="292">
        <v>16.744</v>
      </c>
      <c r="K218" s="288"/>
      <c r="L218" s="288"/>
      <c r="M218" s="256"/>
      <c r="N218" s="292">
        <v>16.683</v>
      </c>
      <c r="O218" s="288"/>
      <c r="P218" s="288"/>
      <c r="Q218" s="256"/>
      <c r="R218" s="292">
        <v>16.687000000000001</v>
      </c>
      <c r="S218" s="288"/>
      <c r="T218" s="288"/>
      <c r="U218" s="256"/>
      <c r="V218" s="292">
        <v>16.858000000000001</v>
      </c>
      <c r="W218" s="288"/>
      <c r="X218" s="288"/>
      <c r="Y218" s="256"/>
      <c r="Z218" s="292"/>
      <c r="AA218" s="288"/>
      <c r="AB218" s="288"/>
      <c r="AC218" s="256"/>
      <c r="AD218" s="292"/>
      <c r="AE218" s="288"/>
      <c r="AF218" s="288"/>
      <c r="AG218" s="256"/>
      <c r="AH218" s="292"/>
      <c r="AI218" s="288"/>
      <c r="AJ218" s="288"/>
      <c r="AK218" s="256"/>
      <c r="AL218" s="292"/>
      <c r="AM218" s="288"/>
      <c r="AN218" s="288"/>
      <c r="AO218" s="288"/>
      <c r="AP218" s="292">
        <f>AP208+(AP171-AP181)</f>
        <v>152.196</v>
      </c>
      <c r="AQ218" s="238"/>
      <c r="AR218" s="238"/>
      <c r="AS218" s="238"/>
      <c r="AT218" s="292">
        <f>AT208+(AT171-AT181)</f>
        <v>151.70400000000001</v>
      </c>
      <c r="AU218" s="615"/>
      <c r="AV218" s="238"/>
      <c r="AW218" s="238"/>
      <c r="AX218" s="292">
        <f>AX208+(AX171-AX181)</f>
        <v>149.78</v>
      </c>
      <c r="AY218" s="615"/>
      <c r="AZ218" s="238"/>
      <c r="BA218" s="238"/>
      <c r="BB218" s="292">
        <f>BB208+(BB171-BB181)</f>
        <v>147.70700000000002</v>
      </c>
      <c r="BC218" s="615"/>
      <c r="BD218" s="238"/>
      <c r="BE218" s="238"/>
      <c r="BF218" s="292">
        <f>BF208+(BF171-BF181)</f>
        <v>149.84800000000001</v>
      </c>
      <c r="BG218" s="615"/>
      <c r="BH218" s="238"/>
      <c r="BI218" s="238"/>
      <c r="BJ218" s="292">
        <f>BJ208+(BJ171-BJ181)</f>
        <v>146.38199999999998</v>
      </c>
      <c r="BK218" s="615"/>
      <c r="BL218" s="238"/>
      <c r="BM218" s="1245"/>
      <c r="BN218" s="292">
        <f>BN208+(BN171-BN181)</f>
        <v>144.81599999999997</v>
      </c>
      <c r="BO218" s="615"/>
      <c r="BP218" s="238"/>
      <c r="BQ218" s="599"/>
      <c r="BR218" s="292">
        <f>BR208+(BR171-BR181)</f>
        <v>138.613</v>
      </c>
      <c r="BS218" s="615"/>
      <c r="BT218" s="238"/>
      <c r="BU218" s="238"/>
      <c r="BV218" s="292">
        <f>BV208+(BV171-BV181)</f>
        <v>129.69900000000001</v>
      </c>
      <c r="BW218" s="615"/>
      <c r="BX218" s="238"/>
      <c r="BY218" s="238"/>
      <c r="BZ218" s="292">
        <f>BZ208+(BZ171-BZ181)</f>
        <v>124.274</v>
      </c>
      <c r="CA218" s="615"/>
      <c r="CB218" s="238"/>
      <c r="CC218" s="238"/>
      <c r="CD218" s="292">
        <f>CD208+(CD171-CD181)</f>
        <v>127.265</v>
      </c>
      <c r="CE218" s="612"/>
      <c r="CF218" s="256"/>
      <c r="CG218" s="238"/>
      <c r="CH218" s="292">
        <f>CH208+(CH171-CH181)</f>
        <v>128.79300000000001</v>
      </c>
      <c r="CI218" s="612"/>
      <c r="CJ218" s="256"/>
      <c r="CK218" s="238"/>
      <c r="CL218" s="292">
        <f>CL208+(CL171-CL181)</f>
        <v>128.34399999999999</v>
      </c>
      <c r="CM218" s="612"/>
      <c r="CN218" s="256"/>
      <c r="CO218" s="238"/>
      <c r="CP218" s="292">
        <f>CP208+(CP171-CP181)</f>
        <v>127.992</v>
      </c>
      <c r="CQ218" s="612"/>
      <c r="CR218" s="256"/>
      <c r="CS218" s="256"/>
      <c r="CT218" s="292">
        <f>CT208+(CT171-CT181)</f>
        <v>129.28299999999999</v>
      </c>
      <c r="CU218" s="612"/>
      <c r="CV218" s="256"/>
      <c r="CW218" s="256"/>
      <c r="CX218" s="292">
        <f>CX208+(CX171-CX181)</f>
        <v>129.99100000000001</v>
      </c>
      <c r="CY218" s="612"/>
      <c r="CZ218" s="256"/>
      <c r="DA218" s="256"/>
      <c r="DB218" s="292">
        <f>DB208+(DB171-DB181)</f>
        <v>127.9</v>
      </c>
      <c r="DC218" s="612"/>
      <c r="DD218" s="256"/>
      <c r="DE218" s="256"/>
      <c r="DF218" s="292">
        <f>DF208+(DF171-DF181)</f>
        <v>125</v>
      </c>
      <c r="DG218" s="612"/>
      <c r="DH218" s="256"/>
      <c r="DI218" s="256"/>
      <c r="DJ218" s="292">
        <f>DJ208+(DJ171-DJ181)</f>
        <v>124.9</v>
      </c>
      <c r="DK218" s="612"/>
      <c r="DL218" s="256"/>
      <c r="DM218" s="256"/>
      <c r="DN218" s="292">
        <f>DN208+(DN171-DN181)</f>
        <v>123.9</v>
      </c>
      <c r="DO218" s="612"/>
      <c r="DP218" s="256"/>
      <c r="DQ218" s="256"/>
      <c r="DR218" s="256"/>
      <c r="DS218" s="256"/>
      <c r="DT218" s="256"/>
      <c r="DU218" s="256"/>
      <c r="DV218" s="256"/>
      <c r="DW218" s="256"/>
      <c r="DX218" s="256"/>
      <c r="DY218" s="256"/>
      <c r="DZ218" s="256"/>
      <c r="EA218" s="256"/>
    </row>
    <row r="219" spans="1:131">
      <c r="A219" s="256"/>
      <c r="B219" s="256" t="str">
        <f>$B$14</f>
        <v>Year</v>
      </c>
      <c r="C219" s="256"/>
      <c r="D219" s="613"/>
      <c r="E219" s="256"/>
      <c r="F219" s="613"/>
      <c r="G219" s="614"/>
      <c r="H219" s="614"/>
      <c r="I219" s="614"/>
      <c r="J219" s="613">
        <v>16.617999999999999</v>
      </c>
      <c r="K219" s="614"/>
      <c r="L219" s="614"/>
      <c r="M219" s="614"/>
      <c r="N219" s="613">
        <v>16.678999999999998</v>
      </c>
      <c r="O219" s="614"/>
      <c r="P219" s="614"/>
      <c r="Q219" s="614"/>
      <c r="R219" s="613">
        <v>16.673999999999999</v>
      </c>
      <c r="S219" s="614"/>
      <c r="T219" s="614"/>
      <c r="U219" s="614"/>
      <c r="V219" s="613">
        <v>33.582000000000001</v>
      </c>
      <c r="W219" s="614"/>
      <c r="X219" s="614"/>
      <c r="Y219" s="614"/>
      <c r="Z219" s="613"/>
      <c r="AA219" s="614"/>
      <c r="AB219" s="614"/>
      <c r="AC219" s="614"/>
      <c r="AD219" s="613"/>
      <c r="AE219" s="614"/>
      <c r="AF219" s="614"/>
      <c r="AG219" s="614"/>
      <c r="AH219" s="613"/>
      <c r="AI219" s="614"/>
      <c r="AJ219" s="614"/>
      <c r="AK219" s="614"/>
      <c r="AL219" s="615"/>
      <c r="AM219" s="612"/>
      <c r="AN219" s="612"/>
      <c r="AO219" s="612"/>
      <c r="AP219" s="615">
        <f>AP209+(AP172-AP182)</f>
        <v>144.952</v>
      </c>
      <c r="AQ219" s="615"/>
      <c r="AR219" s="615"/>
      <c r="AS219" s="615"/>
      <c r="AT219" s="615">
        <f>AT209+(AT172-AT182)</f>
        <v>152.22299999999998</v>
      </c>
      <c r="AU219" s="615"/>
      <c r="AV219" s="238"/>
      <c r="AW219" s="613"/>
      <c r="AX219" s="615">
        <f>AX209+(AX172-AX182)</f>
        <v>149.983</v>
      </c>
      <c r="AY219" s="615"/>
      <c r="AZ219" s="613"/>
      <c r="BA219" s="613"/>
      <c r="BB219" s="615">
        <f>BB209+(BB172-BB182)</f>
        <v>148.12800000000001</v>
      </c>
      <c r="BC219" s="615"/>
      <c r="BD219" s="238"/>
      <c r="BE219" s="613"/>
      <c r="BF219" s="615">
        <f>BF209+(BF172-BF182)</f>
        <v>149.47700000000003</v>
      </c>
      <c r="BG219" s="615"/>
      <c r="BH219" s="238"/>
      <c r="BI219" s="238"/>
      <c r="BJ219" s="615">
        <f>BJ209+(BJ172-BJ182)</f>
        <v>146.64599999999999</v>
      </c>
      <c r="BK219" s="615"/>
      <c r="BL219" s="295"/>
      <c r="BM219" s="1245"/>
      <c r="BN219" s="615">
        <f>BN209+(BN172-BN182)</f>
        <v>145.11099999999999</v>
      </c>
      <c r="BO219" s="615"/>
      <c r="BP219" s="238"/>
      <c r="BQ219" s="599"/>
      <c r="BR219" s="615">
        <f>BR209+(BR172-BR182)</f>
        <v>138.35400000000001</v>
      </c>
      <c r="BS219" s="615"/>
      <c r="BT219" s="238"/>
      <c r="BU219" s="238"/>
      <c r="BV219" s="615">
        <f>BV209+(BV172-BV182)</f>
        <v>130.14499999999998</v>
      </c>
      <c r="BW219" s="615"/>
      <c r="BX219" s="238"/>
      <c r="BY219" s="238"/>
      <c r="BZ219" s="615">
        <f>BZ209+(BZ172-BZ182)</f>
        <v>125.52</v>
      </c>
      <c r="CA219" s="615"/>
      <c r="CB219" s="238"/>
      <c r="CC219" s="238"/>
      <c r="CD219" s="615">
        <f>CD172/BZ172*BZ219</f>
        <v>124.50023067795269</v>
      </c>
      <c r="CE219" s="612"/>
      <c r="CF219" s="256"/>
      <c r="CG219" s="238"/>
      <c r="CH219" s="615">
        <f>CH172/CD172*CD219</f>
        <v>127.50194699786408</v>
      </c>
      <c r="CI219" s="612"/>
      <c r="CJ219" s="256"/>
      <c r="CK219" s="238"/>
      <c r="CL219" s="615">
        <f>CL172/CH172*CH219</f>
        <v>128.1739322838383</v>
      </c>
      <c r="CM219" s="612"/>
      <c r="CN219" s="256"/>
      <c r="CO219" s="238"/>
      <c r="CP219" s="615">
        <f>CP172/CL172*CL219</f>
        <v>127.0310359939878</v>
      </c>
      <c r="CQ219" s="612"/>
      <c r="CR219" s="256"/>
      <c r="CS219" s="256"/>
      <c r="CT219" s="615">
        <f>CT172/CP172*CP219</f>
        <v>127.95994952930936</v>
      </c>
      <c r="CU219" s="612"/>
      <c r="CV219" s="256"/>
      <c r="CW219" s="256"/>
      <c r="CX219" s="615">
        <f>CX172/CT172*CT219</f>
        <v>128.98542836800883</v>
      </c>
      <c r="CY219" s="612"/>
      <c r="CZ219" s="256"/>
      <c r="DA219" s="256"/>
      <c r="DB219" s="615">
        <f>DB172/CX172*CX219</f>
        <v>128.19106083379475</v>
      </c>
      <c r="DC219" s="612"/>
      <c r="DD219" s="256"/>
      <c r="DE219" s="256"/>
      <c r="DF219" s="615">
        <f>DF172/DB172*DB219</f>
        <v>124.61640692983146</v>
      </c>
      <c r="DG219" s="612"/>
      <c r="DH219" s="256"/>
      <c r="DI219" s="256"/>
      <c r="DJ219" s="615">
        <f>DJ172/DF172*DF219</f>
        <v>124.21922316272442</v>
      </c>
      <c r="DK219" s="612"/>
      <c r="DL219" s="256"/>
      <c r="DM219" s="256"/>
      <c r="DN219" s="615">
        <f>DN172/DJ172*DJ219</f>
        <v>123.40003164306617</v>
      </c>
      <c r="DO219" s="612"/>
      <c r="DP219" s="256"/>
      <c r="DQ219" s="256"/>
      <c r="DR219" s="256"/>
      <c r="DS219" s="256"/>
      <c r="DT219" s="256"/>
      <c r="DU219" s="256"/>
      <c r="DV219" s="256"/>
      <c r="DW219" s="256"/>
      <c r="DX219" s="256"/>
      <c r="DY219" s="256"/>
      <c r="DZ219" s="256"/>
      <c r="EA219" s="256"/>
    </row>
    <row r="220" spans="1:131">
      <c r="A220" s="256" t="str">
        <f>$A$15</f>
        <v>6 Mos</v>
      </c>
      <c r="B220" s="256"/>
      <c r="C220" s="256"/>
      <c r="D220" s="256"/>
      <c r="E220" s="256"/>
      <c r="F220" s="256"/>
      <c r="G220" s="256"/>
      <c r="H220" s="256"/>
      <c r="I220" s="256"/>
      <c r="J220" s="256"/>
      <c r="K220" s="256"/>
      <c r="L220" s="256"/>
      <c r="M220" s="256"/>
      <c r="N220" s="256"/>
      <c r="O220" s="256"/>
      <c r="P220" s="256"/>
      <c r="Q220" s="256"/>
      <c r="R220" s="256"/>
      <c r="S220" s="256"/>
      <c r="T220" s="256"/>
      <c r="U220" s="256"/>
      <c r="V220" s="256"/>
      <c r="W220" s="256"/>
      <c r="X220" s="256"/>
      <c r="Y220" s="256"/>
      <c r="Z220" s="256"/>
      <c r="AA220" s="256"/>
      <c r="AB220" s="256"/>
      <c r="AC220" s="256"/>
      <c r="AD220" s="256"/>
      <c r="AE220" s="256"/>
      <c r="AF220" s="256"/>
      <c r="AG220" s="256"/>
      <c r="AH220" s="256"/>
      <c r="AI220" s="256"/>
      <c r="AJ220" s="256"/>
      <c r="AK220" s="256"/>
      <c r="AL220" s="256"/>
      <c r="AM220" s="256"/>
      <c r="AN220" s="256"/>
      <c r="AO220" s="256"/>
      <c r="AP220" s="256"/>
      <c r="AQ220" s="256"/>
      <c r="AR220" s="256"/>
      <c r="AS220" s="256"/>
      <c r="AT220" s="256"/>
      <c r="AU220" s="256"/>
      <c r="AV220" s="256"/>
      <c r="AW220" s="256"/>
      <c r="AX220" s="256"/>
      <c r="AY220" s="256"/>
      <c r="AZ220" s="256"/>
      <c r="BA220" s="256"/>
      <c r="BB220" s="256"/>
      <c r="BC220" s="256"/>
      <c r="BD220" s="256"/>
      <c r="BE220" s="256"/>
      <c r="BF220" s="256"/>
      <c r="BG220" s="256"/>
      <c r="BH220" s="256"/>
      <c r="BI220" s="256"/>
      <c r="BJ220" s="256"/>
      <c r="BK220" s="256"/>
      <c r="BL220" s="256"/>
      <c r="BM220" s="587"/>
      <c r="BN220" s="256"/>
      <c r="BO220" s="256"/>
      <c r="BP220" s="256"/>
      <c r="BQ220" s="599"/>
      <c r="BR220" s="256"/>
      <c r="BS220" s="256"/>
      <c r="BT220" s="256"/>
      <c r="BU220" s="256"/>
      <c r="BV220" s="256"/>
      <c r="BW220" s="256"/>
      <c r="BX220" s="256"/>
      <c r="BY220" s="256"/>
      <c r="BZ220" s="256"/>
      <c r="CA220" s="256"/>
      <c r="CB220" s="256"/>
      <c r="CC220" s="256"/>
      <c r="CD220" s="256"/>
      <c r="CE220" s="256"/>
      <c r="CF220" s="256"/>
      <c r="CG220" s="256"/>
      <c r="CH220" s="256"/>
      <c r="CI220" s="256"/>
      <c r="CJ220" s="256"/>
      <c r="CK220" s="256"/>
      <c r="CL220" s="256"/>
      <c r="CM220" s="256"/>
      <c r="CN220" s="256"/>
      <c r="CO220" s="256"/>
      <c r="CP220" s="256"/>
      <c r="CQ220" s="256"/>
      <c r="CR220" s="256"/>
      <c r="CS220" s="256"/>
      <c r="CT220" s="256"/>
      <c r="CU220" s="256"/>
      <c r="CV220" s="256"/>
      <c r="CW220" s="256"/>
      <c r="CX220" s="256"/>
      <c r="CY220" s="256"/>
      <c r="CZ220" s="256"/>
      <c r="DA220" s="256"/>
      <c r="DB220" s="256"/>
      <c r="DC220" s="256"/>
      <c r="DD220" s="256"/>
      <c r="DE220" s="256"/>
      <c r="DF220" s="256"/>
      <c r="DG220" s="256"/>
      <c r="DH220" s="256"/>
      <c r="DI220" s="256"/>
      <c r="DJ220" s="256"/>
      <c r="DK220" s="256"/>
      <c r="DL220" s="256"/>
      <c r="DM220" s="256"/>
      <c r="DN220" s="256"/>
      <c r="DO220" s="256"/>
      <c r="DP220" s="256"/>
      <c r="DQ220" s="256"/>
      <c r="DR220" s="256"/>
      <c r="DS220" s="256"/>
      <c r="DT220" s="256"/>
      <c r="DU220" s="256"/>
      <c r="DV220" s="256"/>
      <c r="DW220" s="256"/>
      <c r="DX220" s="256"/>
      <c r="DY220" s="256"/>
      <c r="DZ220" s="256"/>
      <c r="EA220" s="256"/>
    </row>
    <row r="221" spans="1:131">
      <c r="A221" s="256" t="str">
        <f>$A$16</f>
        <v>9 Mos</v>
      </c>
      <c r="B221" s="256"/>
      <c r="C221" s="256"/>
      <c r="D221" s="256"/>
      <c r="E221" s="256"/>
      <c r="F221" s="256"/>
      <c r="G221" s="256"/>
      <c r="H221" s="256"/>
      <c r="I221" s="256"/>
      <c r="J221" s="256"/>
      <c r="K221" s="256"/>
      <c r="L221" s="256"/>
      <c r="M221" s="256"/>
      <c r="N221" s="256"/>
      <c r="O221" s="256"/>
      <c r="P221" s="256"/>
      <c r="Q221" s="256"/>
      <c r="R221" s="256"/>
      <c r="S221" s="256"/>
      <c r="T221" s="256"/>
      <c r="U221" s="256"/>
      <c r="V221" s="256"/>
      <c r="W221" s="256"/>
      <c r="X221" s="256"/>
      <c r="Y221" s="256"/>
      <c r="Z221" s="256"/>
      <c r="AA221" s="256"/>
      <c r="AB221" s="256"/>
      <c r="AC221" s="256"/>
      <c r="AD221" s="256"/>
      <c r="AE221" s="256"/>
      <c r="AF221" s="256"/>
      <c r="AG221" s="256"/>
      <c r="AH221" s="256"/>
      <c r="AI221" s="256"/>
      <c r="AJ221" s="256"/>
      <c r="AK221" s="256"/>
      <c r="AL221" s="256"/>
      <c r="AM221" s="256"/>
      <c r="AN221" s="256"/>
      <c r="AO221" s="256"/>
      <c r="AP221" s="256"/>
      <c r="AQ221" s="256"/>
      <c r="AR221" s="256"/>
      <c r="AS221" s="256"/>
      <c r="AT221" s="256"/>
      <c r="AU221" s="256"/>
      <c r="AV221" s="256"/>
      <c r="AW221" s="256"/>
      <c r="AX221" s="256"/>
      <c r="AY221" s="256"/>
      <c r="AZ221" s="256"/>
      <c r="BA221" s="256"/>
      <c r="BB221" s="256"/>
      <c r="BC221" s="256"/>
      <c r="BD221" s="256"/>
      <c r="BE221" s="256"/>
      <c r="BF221" s="256"/>
      <c r="BG221" s="256"/>
      <c r="BH221" s="256"/>
      <c r="BI221" s="256"/>
      <c r="BJ221" s="256"/>
      <c r="BK221" s="256"/>
      <c r="BL221" s="256"/>
      <c r="BM221" s="587"/>
      <c r="BN221" s="256"/>
      <c r="BO221" s="256"/>
      <c r="BP221" s="256"/>
      <c r="BQ221" s="599"/>
      <c r="BR221" s="256"/>
      <c r="BS221" s="256"/>
      <c r="BT221" s="256"/>
      <c r="BU221" s="256"/>
      <c r="BV221" s="256"/>
      <c r="BW221" s="256"/>
      <c r="BX221" s="256"/>
      <c r="BY221" s="256"/>
      <c r="BZ221" s="256"/>
      <c r="CA221" s="256"/>
      <c r="CB221" s="256"/>
      <c r="CC221" s="256"/>
      <c r="CD221" s="256"/>
      <c r="CE221" s="256"/>
      <c r="CF221" s="256"/>
      <c r="CG221" s="256"/>
      <c r="CH221" s="256"/>
      <c r="CI221" s="256"/>
      <c r="CJ221" s="256"/>
      <c r="CK221" s="256"/>
      <c r="CL221" s="256"/>
      <c r="CM221" s="256"/>
      <c r="CN221" s="256"/>
      <c r="CO221" s="256"/>
      <c r="CP221" s="256"/>
      <c r="CQ221" s="256"/>
      <c r="CR221" s="256"/>
      <c r="CS221" s="256"/>
      <c r="CT221" s="256"/>
      <c r="CU221" s="256"/>
      <c r="CV221" s="256"/>
      <c r="CW221" s="256"/>
      <c r="CX221" s="256"/>
      <c r="CY221" s="256"/>
      <c r="CZ221" s="256"/>
      <c r="DA221" s="256"/>
      <c r="DB221" s="256"/>
      <c r="DC221" s="256"/>
      <c r="DD221" s="256"/>
      <c r="DE221" s="256"/>
      <c r="DF221" s="256"/>
      <c r="DG221" s="256"/>
      <c r="DH221" s="256"/>
      <c r="DI221" s="256"/>
      <c r="DJ221" s="256"/>
      <c r="DK221" s="256"/>
      <c r="DL221" s="256"/>
      <c r="DM221" s="256"/>
      <c r="DN221" s="256"/>
      <c r="DO221" s="256"/>
      <c r="DP221" s="256"/>
      <c r="DQ221" s="256"/>
      <c r="DR221" s="256"/>
      <c r="DS221" s="256"/>
      <c r="DT221" s="256"/>
      <c r="DU221" s="256"/>
      <c r="DV221" s="256"/>
      <c r="DW221" s="256"/>
      <c r="DX221" s="256"/>
      <c r="DY221" s="256"/>
      <c r="DZ221" s="256"/>
      <c r="EA221" s="256"/>
    </row>
  </sheetData>
  <mergeCells count="3">
    <mergeCell ref="Z186:AN186"/>
    <mergeCell ref="DS8:DU8"/>
    <mergeCell ref="EA8:EC8"/>
  </mergeCells>
  <phoneticPr fontId="0" type="noConversion"/>
  <dataValidations count="1">
    <dataValidation type="custom" allowBlank="1" showInputMessage="1" showErrorMessage="1" sqref="BJ20:BJ21 CV11:CV14 CR20:CR24 CP10:CP13 CR11:CR14 CN20:CN24 CN10:CN14 CU10:CV10 CV20:CV24 CT10:CT13 CL10:CL13 CM10 CQ10:CR10 CJ20:CJ24 CJ10:CJ14 CH10:CH13 CI10 CF10:CF14 CD10:CD13 CE10 CF20:CF24 CB20:CB24 BZ10:BZ13 CA10 CB10:CB14 BV10:BV13 BX10:BX14 BR10:BR13 BT10:BT14 BL13:BL14 BM10:BM14 BN10:BN13 BP10:BQ14 BJ10:BJ13 BW10 BX20:BX24 BT20:BT24 BP20:BP24 BL20:BL24 BH20:BH24 BD20:BD24 AZ20:AZ24 AV24 AR24 AN24 AJ24 AF24 AB24 X24 T24 P24 L24 CX10:CX13 CY10:CZ10 CZ20:CZ24 CZ11:CZ14 DB10:DB13 DD20:DD24 DC10:DD14 DF10:DF13 DG10:DH14 DH20:DH24 DL20:DL24 DK10:DL14 DJ10:DJ13 DP20:DP24 DO10:DP14 DN10:DN13">
      <formula1>-1</formula1>
    </dataValidation>
  </dataValidations>
  <pageMargins left="0.5" right="0.25" top="0.2" bottom="0.1" header="0.5" footer="0"/>
  <pageSetup scale="56" fitToHeight="0"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1"/>
  <sheetViews>
    <sheetView workbookViewId="0">
      <selection activeCell="B1" sqref="B1"/>
    </sheetView>
  </sheetViews>
  <sheetFormatPr defaultRowHeight="12.75"/>
  <sheetData>
    <row r="1" spans="1:2">
      <c r="B1" t="s">
        <v>162</v>
      </c>
    </row>
  </sheetData>
  <phoneticPr fontId="56" type="noConversion"/>
  <pageMargins left="0.75" right="0.75" top="1" bottom="1" header="0.5" footer="0.5"/>
  <pageSetup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Z383"/>
  <sheetViews>
    <sheetView showGridLines="0" zoomScale="85" zoomScaleNormal="85" workbookViewId="0">
      <pane xSplit="12" ySplit="5" topLeftCell="X6" activePane="bottomRight" state="frozen"/>
      <selection pane="topRight" activeCell="M1" sqref="M1"/>
      <selection pane="bottomLeft" activeCell="A6" sqref="A6"/>
      <selection pane="bottomRight" activeCell="AD90" sqref="AD90"/>
    </sheetView>
  </sheetViews>
  <sheetFormatPr defaultRowHeight="12.75" outlineLevelRow="1" outlineLevelCol="1"/>
  <cols>
    <col min="1" max="1" width="26.85546875" customWidth="1"/>
    <col min="2" max="7" width="9.85546875" hidden="1" customWidth="1" outlineLevel="1"/>
    <col min="8" max="8" width="10.28515625" hidden="1" customWidth="1" outlineLevel="1" collapsed="1"/>
    <col min="9" max="11" width="9" hidden="1" customWidth="1" outlineLevel="1"/>
    <col min="12" max="12" width="8.7109375" hidden="1" customWidth="1" outlineLevel="1" collapsed="1"/>
    <col min="13" max="23" width="8.7109375" hidden="1" customWidth="1" outlineLevel="1"/>
    <col min="24" max="24" width="8.7109375" customWidth="1" collapsed="1"/>
    <col min="25" max="32" width="8.7109375" customWidth="1"/>
    <col min="33" max="34" width="8.7109375" hidden="1" customWidth="1" outlineLevel="1"/>
    <col min="35" max="35" width="0.28515625" customWidth="1" collapsed="1"/>
    <col min="36" max="36" width="5.28515625" customWidth="1"/>
    <col min="37" max="37" width="2.140625" customWidth="1"/>
    <col min="38" max="39" width="1.5703125" customWidth="1"/>
    <col min="40" max="40" width="7.7109375" customWidth="1"/>
    <col min="41" max="41" width="3.5703125" customWidth="1"/>
  </cols>
  <sheetData>
    <row r="1" spans="1:52">
      <c r="A1" s="860" t="s">
        <v>1384</v>
      </c>
      <c r="B1" s="861"/>
      <c r="C1" s="861"/>
      <c r="D1" s="861"/>
      <c r="E1" s="861"/>
      <c r="F1" s="861"/>
      <c r="G1" s="861"/>
      <c r="H1" s="861"/>
      <c r="I1" s="861"/>
      <c r="J1" s="861"/>
      <c r="K1" s="861"/>
      <c r="L1" s="861"/>
      <c r="M1" s="861"/>
      <c r="N1" s="861"/>
      <c r="O1" s="861"/>
      <c r="P1" s="862"/>
      <c r="Q1" s="862"/>
      <c r="R1" s="862"/>
      <c r="S1" s="862"/>
      <c r="T1" s="862"/>
      <c r="U1" s="862"/>
      <c r="V1" s="862"/>
      <c r="W1" s="862"/>
      <c r="X1" s="862"/>
      <c r="Y1" s="862"/>
      <c r="Z1" s="862"/>
      <c r="AA1" s="862"/>
      <c r="AB1" s="862"/>
      <c r="AC1" s="862"/>
      <c r="AD1" s="862"/>
      <c r="AE1" s="862"/>
      <c r="AF1" s="862"/>
      <c r="AG1" s="862"/>
      <c r="AH1" s="862"/>
      <c r="AI1" s="861"/>
      <c r="AJ1" s="861"/>
      <c r="AK1" s="863"/>
      <c r="AL1" s="861"/>
      <c r="AM1" s="863"/>
      <c r="AN1" s="861"/>
      <c r="AO1" s="863"/>
      <c r="AP1" s="861"/>
      <c r="AQ1" s="861"/>
      <c r="AR1" s="861"/>
      <c r="AS1" s="861"/>
      <c r="AT1" s="861"/>
      <c r="AU1" s="861"/>
      <c r="AV1" s="861"/>
      <c r="AW1" s="861"/>
      <c r="AX1" s="861"/>
      <c r="AY1" s="861"/>
      <c r="AZ1" s="861"/>
    </row>
    <row r="2" spans="1:52">
      <c r="A2" s="864" t="s">
        <v>1937</v>
      </c>
      <c r="B2" s="865"/>
      <c r="C2" s="865"/>
      <c r="D2" s="865"/>
      <c r="E2" s="865"/>
      <c r="F2" s="865"/>
      <c r="G2" s="865"/>
      <c r="H2" s="865"/>
      <c r="I2" s="865"/>
      <c r="J2" s="865"/>
      <c r="K2" s="865"/>
      <c r="L2" s="865"/>
      <c r="M2" s="865"/>
      <c r="N2" s="865"/>
      <c r="O2" s="865"/>
      <c r="P2" s="865"/>
      <c r="Q2" s="865"/>
      <c r="R2" s="865"/>
      <c r="S2" s="865"/>
      <c r="T2" s="865"/>
      <c r="U2" s="865"/>
      <c r="V2" s="865"/>
      <c r="W2" s="865"/>
      <c r="X2" s="865"/>
      <c r="Y2" s="865"/>
      <c r="Z2" s="865"/>
      <c r="AA2" s="865"/>
      <c r="AB2" s="865"/>
      <c r="AC2" s="865"/>
      <c r="AD2" s="865"/>
      <c r="AE2" s="865"/>
      <c r="AF2" s="865"/>
      <c r="AG2" s="865"/>
      <c r="AH2" s="865"/>
      <c r="AI2" s="865"/>
      <c r="AJ2" s="865"/>
      <c r="AK2" s="866"/>
      <c r="AL2" s="865"/>
      <c r="AM2" s="866"/>
      <c r="AN2" s="865"/>
      <c r="AO2" s="866"/>
      <c r="AP2" s="861"/>
      <c r="AQ2" s="861"/>
      <c r="AR2" s="861"/>
      <c r="AS2" s="861"/>
      <c r="AT2" s="861"/>
      <c r="AU2" s="861"/>
      <c r="AV2" s="861"/>
      <c r="AW2" s="861"/>
      <c r="AX2" s="861"/>
      <c r="AY2" s="861"/>
      <c r="AZ2" s="861"/>
    </row>
    <row r="3" spans="1:52" hidden="1">
      <c r="A3" s="130"/>
      <c r="B3" s="162"/>
      <c r="C3" s="162"/>
      <c r="D3" s="162"/>
      <c r="E3" s="162"/>
      <c r="F3" s="162"/>
      <c r="G3" s="162"/>
      <c r="H3" s="162"/>
      <c r="I3" s="162"/>
      <c r="J3" s="162"/>
      <c r="K3" s="162"/>
      <c r="L3" s="162"/>
      <c r="M3" s="162"/>
      <c r="N3" s="162"/>
      <c r="O3" s="162"/>
      <c r="P3" s="162"/>
      <c r="Q3" s="162"/>
      <c r="R3" s="162"/>
      <c r="S3" s="162"/>
      <c r="T3" s="162"/>
      <c r="U3" s="162"/>
      <c r="V3" s="162"/>
      <c r="W3" s="162"/>
      <c r="X3" s="162"/>
      <c r="Y3" s="162"/>
      <c r="Z3" s="162"/>
      <c r="AA3" s="162"/>
      <c r="AB3" s="162"/>
      <c r="AC3" s="162"/>
      <c r="AD3" s="162"/>
      <c r="AE3" s="162"/>
      <c r="AF3" s="162"/>
      <c r="AG3" s="162"/>
      <c r="AH3" s="162"/>
      <c r="AI3" s="214"/>
      <c r="AJ3" s="162"/>
      <c r="AK3" s="325"/>
      <c r="AL3" s="162"/>
      <c r="AM3" s="325"/>
      <c r="AN3" s="162"/>
      <c r="AO3" s="325"/>
      <c r="AP3" s="103"/>
      <c r="AQ3" s="103"/>
      <c r="AR3" s="103"/>
      <c r="AS3" s="103"/>
      <c r="AT3" s="103"/>
      <c r="AU3" s="103"/>
      <c r="AV3" s="103"/>
      <c r="AW3" s="103"/>
      <c r="AX3" s="103"/>
      <c r="AY3" s="103"/>
      <c r="AZ3" s="103"/>
    </row>
    <row r="4" spans="1:52" ht="12.75" customHeight="1">
      <c r="A4" s="105"/>
      <c r="B4" s="103"/>
      <c r="C4" s="103"/>
      <c r="D4" s="103"/>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213"/>
      <c r="AJ4" s="214"/>
      <c r="AK4" s="326" t="s">
        <v>1968</v>
      </c>
      <c r="AL4" s="214"/>
      <c r="AM4" s="331"/>
      <c r="AN4" s="214"/>
      <c r="AO4" s="331"/>
      <c r="AP4" s="103"/>
      <c r="AQ4" s="103"/>
      <c r="AR4" s="103"/>
      <c r="AS4" s="103"/>
      <c r="AT4" s="103"/>
      <c r="AU4" s="103"/>
      <c r="AV4" s="103"/>
      <c r="AW4" s="103"/>
      <c r="AX4" s="103"/>
      <c r="AY4" s="103"/>
      <c r="AZ4" s="103"/>
    </row>
    <row r="5" spans="1:52">
      <c r="A5" s="106"/>
      <c r="B5" s="159">
        <v>1990</v>
      </c>
      <c r="C5" s="158">
        <f t="shared" ref="C5:K5" si="0">B5+1</f>
        <v>1991</v>
      </c>
      <c r="D5" s="158">
        <f t="shared" si="0"/>
        <v>1992</v>
      </c>
      <c r="E5" s="158">
        <f t="shared" si="0"/>
        <v>1993</v>
      </c>
      <c r="F5" s="158">
        <f t="shared" si="0"/>
        <v>1994</v>
      </c>
      <c r="G5" s="158">
        <f t="shared" si="0"/>
        <v>1995</v>
      </c>
      <c r="H5" s="158">
        <f t="shared" si="0"/>
        <v>1996</v>
      </c>
      <c r="I5" s="158">
        <f t="shared" si="0"/>
        <v>1997</v>
      </c>
      <c r="J5" s="158">
        <f>I5+1</f>
        <v>1998</v>
      </c>
      <c r="K5" s="158">
        <f t="shared" si="0"/>
        <v>1999</v>
      </c>
      <c r="L5" s="158">
        <v>2000</v>
      </c>
      <c r="M5" s="158">
        <f t="shared" ref="M5:S5" si="1">L5+1</f>
        <v>2001</v>
      </c>
      <c r="N5" s="158">
        <f t="shared" si="1"/>
        <v>2002</v>
      </c>
      <c r="O5" s="158">
        <f t="shared" si="1"/>
        <v>2003</v>
      </c>
      <c r="P5" s="158">
        <f t="shared" si="1"/>
        <v>2004</v>
      </c>
      <c r="Q5" s="158">
        <f t="shared" si="1"/>
        <v>2005</v>
      </c>
      <c r="R5" s="158">
        <f t="shared" si="1"/>
        <v>2006</v>
      </c>
      <c r="S5" s="158">
        <f t="shared" si="1"/>
        <v>2007</v>
      </c>
      <c r="T5" s="158">
        <f t="shared" ref="T5:Z5" si="2">S5+1</f>
        <v>2008</v>
      </c>
      <c r="U5" s="158">
        <f t="shared" si="2"/>
        <v>2009</v>
      </c>
      <c r="V5" s="158">
        <f t="shared" si="2"/>
        <v>2010</v>
      </c>
      <c r="W5" s="158">
        <f t="shared" si="2"/>
        <v>2011</v>
      </c>
      <c r="X5" s="158">
        <f t="shared" si="2"/>
        <v>2012</v>
      </c>
      <c r="Y5" s="158">
        <f t="shared" si="2"/>
        <v>2013</v>
      </c>
      <c r="Z5" s="158">
        <f t="shared" si="2"/>
        <v>2014</v>
      </c>
      <c r="AA5" s="158">
        <f t="shared" ref="AA5:AH5" si="3">Z5+1</f>
        <v>2015</v>
      </c>
      <c r="AB5" s="158">
        <f t="shared" si="3"/>
        <v>2016</v>
      </c>
      <c r="AC5" s="158">
        <f t="shared" si="3"/>
        <v>2017</v>
      </c>
      <c r="AD5" s="160">
        <f t="shared" si="3"/>
        <v>2018</v>
      </c>
      <c r="AE5" s="160">
        <f t="shared" si="3"/>
        <v>2019</v>
      </c>
      <c r="AF5" s="160">
        <f t="shared" si="3"/>
        <v>2020</v>
      </c>
      <c r="AG5" s="160">
        <f t="shared" si="3"/>
        <v>2021</v>
      </c>
      <c r="AH5" s="160">
        <f t="shared" si="3"/>
        <v>2022</v>
      </c>
      <c r="AI5" s="189"/>
      <c r="AJ5" t="str">
        <f>'yrP&amp;L'!AJ5</f>
        <v>11-'16A</v>
      </c>
      <c r="AK5" s="2143"/>
      <c r="AL5" s="2143"/>
      <c r="AM5" s="2143"/>
      <c r="AN5" s="2143" t="str">
        <f>'yrP&amp;L'!AL5</f>
        <v>'16-22E</v>
      </c>
      <c r="AO5" s="332"/>
      <c r="AP5" s="103"/>
      <c r="AQ5" s="103"/>
      <c r="AR5" s="103">
        <f t="shared" ref="AR5:AY5" si="4">R5</f>
        <v>2006</v>
      </c>
      <c r="AS5" s="103">
        <f t="shared" si="4"/>
        <v>2007</v>
      </c>
      <c r="AT5" s="103">
        <f t="shared" si="4"/>
        <v>2008</v>
      </c>
      <c r="AU5" s="103">
        <f t="shared" si="4"/>
        <v>2009</v>
      </c>
      <c r="AV5" s="103">
        <f t="shared" si="4"/>
        <v>2010</v>
      </c>
      <c r="AW5" s="103">
        <f t="shared" si="4"/>
        <v>2011</v>
      </c>
      <c r="AX5" s="103">
        <f t="shared" si="4"/>
        <v>2012</v>
      </c>
      <c r="AY5" s="103">
        <f t="shared" si="4"/>
        <v>2013</v>
      </c>
      <c r="AZ5" s="103">
        <v>2014</v>
      </c>
    </row>
    <row r="6" spans="1:52">
      <c r="A6" s="103"/>
      <c r="B6" s="103"/>
      <c r="C6" s="103"/>
      <c r="D6" s="103"/>
      <c r="E6" s="103"/>
      <c r="F6" s="103"/>
      <c r="G6" s="103"/>
      <c r="H6" s="108"/>
      <c r="I6" s="108"/>
      <c r="J6" s="103"/>
      <c r="K6" s="103"/>
      <c r="L6" s="103"/>
      <c r="M6" s="103"/>
      <c r="N6" s="103"/>
      <c r="O6" s="103"/>
      <c r="P6" s="103"/>
      <c r="Q6" s="103"/>
      <c r="R6" s="103"/>
      <c r="S6" s="103"/>
      <c r="T6" s="103"/>
      <c r="U6" s="103"/>
      <c r="V6" s="103"/>
      <c r="W6" s="103"/>
      <c r="X6" s="103"/>
      <c r="Y6" s="103"/>
      <c r="Z6" s="103"/>
      <c r="AA6" s="103"/>
      <c r="AB6" s="103"/>
      <c r="AC6" s="103"/>
      <c r="AD6" s="103"/>
      <c r="AE6" s="103"/>
      <c r="AF6" s="103"/>
      <c r="AG6" s="103"/>
      <c r="AH6" s="103"/>
      <c r="AI6" s="190"/>
      <c r="AJ6" s="162"/>
      <c r="AK6" s="325"/>
      <c r="AL6" s="239"/>
      <c r="AM6" s="333"/>
      <c r="AN6" s="239"/>
      <c r="AO6" s="333"/>
      <c r="AP6" s="103"/>
      <c r="AQ6" s="103" t="s">
        <v>1581</v>
      </c>
      <c r="AR6" s="980"/>
      <c r="AS6" s="980"/>
      <c r="AT6" s="980"/>
      <c r="AU6" s="980"/>
      <c r="AV6" s="980">
        <f>V57/V14</f>
        <v>0.51034781171299948</v>
      </c>
      <c r="AW6" s="980">
        <f>W57/W14</f>
        <v>0.49569427085892509</v>
      </c>
      <c r="AX6" s="980">
        <f>X57/X14</f>
        <v>0.48493628119820292</v>
      </c>
      <c r="AY6" s="980">
        <f>Y57/Y14</f>
        <v>0.47799599615988569</v>
      </c>
      <c r="AZ6" s="980">
        <f>Z57/Z14</f>
        <v>0.47848617462409382</v>
      </c>
    </row>
    <row r="7" spans="1:52">
      <c r="A7" s="103" t="s">
        <v>2413</v>
      </c>
      <c r="B7" s="935">
        <f>'segSales&amp;comps'!$E18+'segSales&amp;comps'!$Q18</f>
        <v>0</v>
      </c>
      <c r="C7" s="935">
        <f>'segSales&amp;comps'!$E25+'segSales&amp;comps'!$Q25</f>
        <v>225.35233644859812</v>
      </c>
      <c r="D7" s="935">
        <f>'segSales&amp;comps'!$E32+'segSales&amp;comps'!$Q32</f>
        <v>241.12700000000001</v>
      </c>
      <c r="E7" s="935">
        <f>'segSales&amp;comps'!$E39+'segSales&amp;comps'!$Q39</f>
        <v>479.072</v>
      </c>
      <c r="F7" s="935">
        <f>'segSales&amp;comps'!$E46+'segSales&amp;comps'!$Q46</f>
        <v>590.14700000000005</v>
      </c>
      <c r="G7" s="935">
        <f>'segSales&amp;comps'!$E53+'segSales&amp;comps'!$Q53</f>
        <v>710.01099999999997</v>
      </c>
      <c r="H7" s="935">
        <f>'segSales&amp;comps'!$E60+'segSales&amp;comps'!$Q60</f>
        <v>821.52600000000007</v>
      </c>
      <c r="I7" s="935">
        <f>'segSales&amp;comps'!$E67+'segSales&amp;comps'!$Q67</f>
        <v>912.51300000000003</v>
      </c>
      <c r="J7" s="935">
        <f>'segSales&amp;comps'!$E74+'segSales&amp;comps'!$Q74</f>
        <v>1056.0630000000001</v>
      </c>
      <c r="K7" s="935">
        <f>'segSales&amp;comps'!$E81+'segSales&amp;comps'!$Q81</f>
        <v>1334.0319999999999</v>
      </c>
      <c r="L7" s="107">
        <f>'segSales&amp;comps'!$E88+'segSales&amp;comps'!$Q88</f>
        <v>1512.4949999999999</v>
      </c>
      <c r="M7" s="107">
        <f>'segSales&amp;comps'!$E95+'segSales&amp;comps'!$Q95</f>
        <v>1445.8200000000002</v>
      </c>
      <c r="N7" s="107">
        <f>'segSales&amp;comps'!$E102+'segSales&amp;comps'!$Q102</f>
        <v>1503.3029999999999</v>
      </c>
      <c r="O7" s="115">
        <f>'segSales&amp;comps'!$E109+'segSales&amp;comps'!$Q109</f>
        <v>1794.606</v>
      </c>
      <c r="P7" s="115">
        <f>'segSales&amp;comps'!$E116+'segSales&amp;comps'!$Q116</f>
        <v>1974.2049999999999</v>
      </c>
      <c r="Q7" s="115">
        <f>'segSales&amp;comps'!$E123+'segSales&amp;comps'!$Q123</f>
        <v>2121.3720000000003</v>
      </c>
      <c r="R7" s="115">
        <f>'segSales&amp;comps'!E130+'segSales&amp;comps'!Q130</f>
        <v>2337.0680000000002</v>
      </c>
      <c r="S7" s="115">
        <f>'segSales&amp;comps'!E163+'segSales&amp;comps'!Q163+'segSales&amp;comps'!AG163</f>
        <v>2857.2069999999999</v>
      </c>
      <c r="T7" s="115">
        <f>'segSales&amp;comps'!E170+'segSales&amp;comps'!Q170+'segSales&amp;comps'!AG170+'segSales&amp;comps'!W170</f>
        <v>2756.2979999999998</v>
      </c>
      <c r="U7" s="115">
        <f>'segSales&amp;comps'!$Q$177+'segSales&amp;comps'!$AG$177+'segSales&amp;comps'!$E$177+'segSales&amp;comps'!W177</f>
        <v>2656.4770000000003</v>
      </c>
      <c r="V7" s="115">
        <f>'segSales&amp;comps'!$Q$184+'segSales&amp;comps'!$AG$184+'segSales&amp;comps'!$E$184+'segSales&amp;comps'!W184</f>
        <v>3031.1359999999995</v>
      </c>
      <c r="W7" s="115">
        <f>'segSales&amp;comps'!$Q$191+'segSales&amp;comps'!$AG$191+'segSales&amp;comps'!$E$191+'segSales&amp;comps'!W191</f>
        <v>3591.643</v>
      </c>
      <c r="X7" s="115">
        <f>'segSales&amp;comps'!AW198-'segSales&amp;comps'!AR198</f>
        <v>3721.741</v>
      </c>
      <c r="Y7" s="115">
        <f>'segSales&amp;comps'!AW205-'segSales&amp;comps'!AR205</f>
        <v>3919.8949999999995</v>
      </c>
      <c r="Z7" s="115">
        <f>'segSales&amp;comps'!AW212-'segSales&amp;comps'!AR212</f>
        <v>4110.8290000000006</v>
      </c>
      <c r="AA7" s="115">
        <f>'segSales&amp;comps'!AW219-'segSales&amp;comps'!AR219</f>
        <v>3996.8999999999996</v>
      </c>
      <c r="AB7" s="115">
        <f>'segSales&amp;comps'!AW226-'segSales&amp;comps'!AR226</f>
        <v>3902.9999999999995</v>
      </c>
      <c r="AC7" s="115">
        <f>'segSales&amp;comps'!AW233-'segSales&amp;comps'!AR233</f>
        <v>4045.1000000000004</v>
      </c>
      <c r="AD7" s="115">
        <f>'segSales&amp;comps'!AW240-'segSales&amp;comps'!AR240</f>
        <v>4253.6844342418171</v>
      </c>
      <c r="AE7" s="115">
        <f>AE57+AE96+AE134+AE172</f>
        <v>4489.5704669288234</v>
      </c>
      <c r="AF7" s="115">
        <f>AF57+AF96+AF134+AF172</f>
        <v>4730.4981232022246</v>
      </c>
      <c r="AG7" s="115">
        <f>AG57+AG96+AG134+AG172</f>
        <v>4931.7364864248557</v>
      </c>
      <c r="AH7" s="115">
        <f>AH57+AH96+AH134+AH172</f>
        <v>5137.8298903871491</v>
      </c>
      <c r="AI7" s="190"/>
      <c r="AJ7" s="2399">
        <f>RATE(5,,-W7,AB7)*100</f>
        <v>1.6766146362151906</v>
      </c>
      <c r="AK7" s="325" t="s">
        <v>1970</v>
      </c>
      <c r="AL7" s="239"/>
      <c r="AM7" s="333"/>
      <c r="AN7" s="2399">
        <f>RATE(6,,-AB7,AH7)*100</f>
        <v>4.6879900366725629</v>
      </c>
      <c r="AO7" s="333" t="s">
        <v>1970</v>
      </c>
      <c r="AP7" s="103"/>
      <c r="AQ7" s="103" t="s">
        <v>2239</v>
      </c>
      <c r="AR7" s="980"/>
      <c r="AS7" s="980"/>
      <c r="AT7" s="980"/>
      <c r="AU7" s="980"/>
      <c r="AV7" s="980">
        <f>V134/V14</f>
        <v>0.17714282936125944</v>
      </c>
      <c r="AW7" s="980">
        <f>W134/W14</f>
        <v>0.16923295681478984</v>
      </c>
      <c r="AX7" s="980">
        <f>X134/X14</f>
        <v>0.16846153217672324</v>
      </c>
      <c r="AY7" s="980">
        <f>Y134/Y14</f>
        <v>0.14352576076683216</v>
      </c>
      <c r="AZ7" s="980">
        <f>Z134/Z14</f>
        <v>0.13039827678606297</v>
      </c>
    </row>
    <row r="8" spans="1:52" outlineLevel="1">
      <c r="A8" s="103" t="s">
        <v>1453</v>
      </c>
      <c r="B8" s="935"/>
      <c r="C8" s="935"/>
      <c r="D8" s="935"/>
      <c r="E8" s="935"/>
      <c r="F8" s="935"/>
      <c r="G8" s="935"/>
      <c r="H8" s="935"/>
      <c r="I8" s="935"/>
      <c r="J8" s="935"/>
      <c r="K8" s="935"/>
      <c r="L8" s="107"/>
      <c r="M8" s="107"/>
      <c r="N8" s="107"/>
      <c r="O8" s="115"/>
      <c r="P8" s="115"/>
      <c r="Q8" s="115"/>
      <c r="R8" s="115"/>
      <c r="S8" s="115">
        <f>S57+S134+S172+S96</f>
        <v>3710.9659999999999</v>
      </c>
      <c r="T8" s="115">
        <f>T57+T134+T172+T96</f>
        <v>2756.2979999999998</v>
      </c>
      <c r="U8" s="115">
        <f>U57+U134+U172+U96</f>
        <v>2656.4769999999999</v>
      </c>
      <c r="V8" s="115">
        <f>V57+V134+V172+V96</f>
        <v>3031.1360000000004</v>
      </c>
      <c r="W8" s="115">
        <f>W57+W134+W172+W96</f>
        <v>3591.643</v>
      </c>
      <c r="X8" s="115">
        <f t="shared" ref="X8:AC8" si="5">X57+X96+X134+X172</f>
        <v>3721.741</v>
      </c>
      <c r="Y8" s="115">
        <f t="shared" si="5"/>
        <v>3919.895</v>
      </c>
      <c r="Z8" s="115">
        <f>Z57+Z96+Z134+Z172</f>
        <v>4110.8290000000006</v>
      </c>
      <c r="AA8" s="115">
        <f>AA57+AA96+AA134+AA172</f>
        <v>3996.8999999999996</v>
      </c>
      <c r="AB8" s="115">
        <f>AB57+AB96+AB134+AB172</f>
        <v>3903</v>
      </c>
      <c r="AC8" s="115">
        <f t="shared" si="5"/>
        <v>4045.1</v>
      </c>
      <c r="AD8" s="115">
        <f>AD57+AD96+AD134+AD172</f>
        <v>4253.6844342418181</v>
      </c>
      <c r="AE8" s="115">
        <f>AE57+AE96+AE134+AE172</f>
        <v>4489.5704669288234</v>
      </c>
      <c r="AF8" s="115">
        <f>AF57+AF96+AF134+AF172</f>
        <v>4730.4981232022246</v>
      </c>
      <c r="AG8" s="115">
        <f>AG57+AG96+AG134+AG172</f>
        <v>4931.7364864248557</v>
      </c>
      <c r="AH8" s="115">
        <f>AH57+AH96+AH134+AH172</f>
        <v>5137.8298903871491</v>
      </c>
      <c r="AI8" s="190"/>
      <c r="AJ8" s="162"/>
      <c r="AK8" s="325"/>
      <c r="AL8" s="239"/>
      <c r="AM8" s="333"/>
      <c r="AN8" s="239"/>
      <c r="AO8" s="333"/>
      <c r="AP8" s="103"/>
      <c r="AQ8" s="103" t="s">
        <v>2008</v>
      </c>
      <c r="AR8" s="980"/>
      <c r="AS8" s="980"/>
      <c r="AT8" s="980"/>
      <c r="AU8" s="980"/>
      <c r="AV8" s="980">
        <f>V172/V14</f>
        <v>0.11695205312952756</v>
      </c>
      <c r="AW8" s="980">
        <f>W172/W14</f>
        <v>0.11560479909479633</v>
      </c>
      <c r="AX8" s="980">
        <f>X172/X14</f>
        <v>0.11390053736589244</v>
      </c>
      <c r="AY8" s="980">
        <f>Y172/Y14</f>
        <v>0.11653903496042053</v>
      </c>
      <c r="AZ8" s="980"/>
    </row>
    <row r="9" spans="1:52">
      <c r="A9" s="278" t="s">
        <v>1971</v>
      </c>
      <c r="B9" s="103"/>
      <c r="C9" s="103"/>
      <c r="D9" s="108">
        <f>D7/C7-1</f>
        <v>7.0000000000000062E-2</v>
      </c>
      <c r="E9" s="108">
        <f t="shared" ref="E9:S9" si="6">E7/D7-1</f>
        <v>0.98680363459919462</v>
      </c>
      <c r="F9" s="108">
        <f t="shared" si="6"/>
        <v>0.2318545020372722</v>
      </c>
      <c r="G9" s="108">
        <f t="shared" si="6"/>
        <v>0.20310871698068422</v>
      </c>
      <c r="H9" s="108">
        <f t="shared" si="6"/>
        <v>0.15706094694307571</v>
      </c>
      <c r="I9" s="108">
        <f t="shared" si="6"/>
        <v>0.11075364626317352</v>
      </c>
      <c r="J9" s="108">
        <f t="shared" si="6"/>
        <v>0.15731282732410401</v>
      </c>
      <c r="K9" s="108">
        <f t="shared" si="6"/>
        <v>0.26321251667750856</v>
      </c>
      <c r="L9" s="108">
        <f t="shared" si="6"/>
        <v>0.13377715077299501</v>
      </c>
      <c r="M9" s="108">
        <f t="shared" si="6"/>
        <v>-4.4082790356331558E-2</v>
      </c>
      <c r="N9" s="108">
        <f t="shared" si="6"/>
        <v>3.9758061169439918E-2</v>
      </c>
      <c r="O9" s="108">
        <f t="shared" si="6"/>
        <v>0.19377530677448274</v>
      </c>
      <c r="P9" s="108">
        <f t="shared" si="6"/>
        <v>0.10007711999179758</v>
      </c>
      <c r="Q9" s="108">
        <f t="shared" si="6"/>
        <v>7.4544943407599762E-2</v>
      </c>
      <c r="R9" s="108">
        <f t="shared" si="6"/>
        <v>0.10167759355737704</v>
      </c>
      <c r="S9" s="108">
        <f t="shared" si="6"/>
        <v>0.22256049032377301</v>
      </c>
      <c r="T9" s="108">
        <f t="shared" ref="T9:AA9" si="7">T7/S7-1</f>
        <v>-3.5317357125332571E-2</v>
      </c>
      <c r="U9" s="108">
        <f t="shared" si="7"/>
        <v>-3.6215605134132578E-2</v>
      </c>
      <c r="V9" s="108">
        <f t="shared" si="7"/>
        <v>0.14103604134347836</v>
      </c>
      <c r="W9" s="108">
        <f t="shared" si="7"/>
        <v>0.18491648015793438</v>
      </c>
      <c r="X9" s="108">
        <f t="shared" si="7"/>
        <v>3.6222419655851157E-2</v>
      </c>
      <c r="Y9" s="108">
        <f t="shared" si="7"/>
        <v>5.3242286338571088E-2</v>
      </c>
      <c r="Z9" s="108">
        <f t="shared" si="7"/>
        <v>4.87089577654507E-2</v>
      </c>
      <c r="AA9" s="108">
        <f t="shared" si="7"/>
        <v>-2.7714361263871834E-2</v>
      </c>
      <c r="AB9" s="108">
        <f t="shared" ref="AB9:AH9" si="8">AB7/AA7-1</f>
        <v>-2.349320723560766E-2</v>
      </c>
      <c r="AC9" s="108">
        <f t="shared" si="8"/>
        <v>3.6407891365616507E-2</v>
      </c>
      <c r="AD9" s="108">
        <f t="shared" si="8"/>
        <v>5.1564716383233344E-2</v>
      </c>
      <c r="AE9" s="108">
        <f t="shared" si="8"/>
        <v>5.5454520976718991E-2</v>
      </c>
      <c r="AF9" s="108">
        <f t="shared" si="8"/>
        <v>5.3663854493013918E-2</v>
      </c>
      <c r="AG9" s="108">
        <f t="shared" si="8"/>
        <v>4.254062848806428E-2</v>
      </c>
      <c r="AH9" s="108">
        <f t="shared" si="8"/>
        <v>4.1789216542608809E-2</v>
      </c>
      <c r="AI9" s="190"/>
      <c r="AJ9" s="162"/>
      <c r="AK9" s="325"/>
      <c r="AL9" s="239"/>
      <c r="AM9" s="333"/>
      <c r="AN9" s="239"/>
      <c r="AO9" s="333"/>
      <c r="AP9" s="103"/>
      <c r="AQ9" s="103" t="s">
        <v>681</v>
      </c>
      <c r="AR9" s="980">
        <v>3.5000000000000003E-2</v>
      </c>
      <c r="AS9" s="980">
        <v>0.04</v>
      </c>
      <c r="AT9" s="980">
        <v>0.05</v>
      </c>
      <c r="AU9" s="980">
        <v>5.5E-2</v>
      </c>
      <c r="AV9" s="980">
        <v>0.06</v>
      </c>
      <c r="AW9" s="980">
        <v>0.06</v>
      </c>
      <c r="AX9" s="980">
        <v>7.0000000000000007E-2</v>
      </c>
      <c r="AY9" s="980">
        <v>7.0000000000000007E-2</v>
      </c>
      <c r="AZ9" s="980"/>
    </row>
    <row r="10" spans="1:52" outlineLevel="1">
      <c r="A10" s="103" t="s">
        <v>141</v>
      </c>
      <c r="B10" s="103"/>
      <c r="C10" s="936">
        <f>'segSales&amp;comps'!$AM25</f>
        <v>82.147706422018345</v>
      </c>
      <c r="D10" s="936">
        <f>'segSales&amp;comps'!$AM32</f>
        <v>89.540999999999997</v>
      </c>
      <c r="E10" s="936">
        <f>'segSales&amp;comps'!$AM39</f>
        <v>87.429000000000002</v>
      </c>
      <c r="F10" s="936">
        <f>'segSales&amp;comps'!$AM46</f>
        <v>92.683999999999997</v>
      </c>
      <c r="G10" s="936">
        <f>'segSales&amp;comps'!$AM53</f>
        <v>93.281000000000006</v>
      </c>
      <c r="H10" s="936">
        <f>'segSales&amp;comps'!$AM60</f>
        <v>100.58199999999999</v>
      </c>
      <c r="I10" s="936">
        <f>'segSales&amp;comps'!$AM67</f>
        <v>105.10300000000001</v>
      </c>
      <c r="J10" s="936">
        <f>'segSales&amp;comps'!$AM74</f>
        <v>121.866</v>
      </c>
      <c r="K10" s="936">
        <f>'segSales&amp;comps'!$AM81</f>
        <v>137.65799999999999</v>
      </c>
      <c r="L10" s="936">
        <f>'segSales&amp;comps'!$AM88</f>
        <v>155.56100000000001</v>
      </c>
      <c r="M10" s="936">
        <f>'segSales&amp;comps'!$AM95</f>
        <v>160.715</v>
      </c>
      <c r="N10" s="936">
        <f>'segSales&amp;comps'!$AM102</f>
        <v>179.17500000000001</v>
      </c>
      <c r="O10" s="936">
        <f>'segSales&amp;comps'!$AM109</f>
        <v>133.25399999999999</v>
      </c>
      <c r="P10" s="936">
        <f>'segSales&amp;comps'!$AM116</f>
        <v>142.50800000000001</v>
      </c>
      <c r="Q10" s="936">
        <f>'segSales&amp;comps'!$AM123</f>
        <v>157.483</v>
      </c>
      <c r="R10" s="936">
        <f>'segSales&amp;comps'!$AM130</f>
        <v>174.078</v>
      </c>
      <c r="S10" s="1155" t="s">
        <v>1086</v>
      </c>
      <c r="T10" s="981"/>
      <c r="U10" s="981"/>
      <c r="V10" s="981"/>
      <c r="W10" s="981"/>
      <c r="X10" s="981"/>
      <c r="Y10" s="981"/>
      <c r="Z10" s="981"/>
      <c r="AA10" s="981"/>
      <c r="AB10" s="981"/>
      <c r="AC10" s="981"/>
      <c r="AD10" s="981"/>
      <c r="AE10" s="981"/>
      <c r="AF10" s="981"/>
      <c r="AG10" s="981"/>
      <c r="AH10" s="981"/>
      <c r="AI10" s="190"/>
      <c r="AJ10" s="162"/>
      <c r="AK10" s="325"/>
      <c r="AL10" s="239"/>
      <c r="AM10" s="333"/>
      <c r="AN10" s="239"/>
      <c r="AO10" s="333"/>
      <c r="AP10" s="103"/>
      <c r="AQ10" s="103"/>
      <c r="AR10" s="103"/>
      <c r="AS10" s="980"/>
      <c r="AT10" s="980"/>
      <c r="AU10" s="980"/>
      <c r="AV10" s="980"/>
      <c r="AW10" s="103"/>
      <c r="AX10" s="103"/>
      <c r="AY10" s="103"/>
      <c r="AZ10" s="103"/>
    </row>
    <row r="11" spans="1:52" outlineLevel="1">
      <c r="A11" s="278" t="s">
        <v>1971</v>
      </c>
      <c r="B11" s="103"/>
      <c r="C11" s="936"/>
      <c r="D11" s="108">
        <f>D10/C10-1</f>
        <v>9.000000000000008E-2</v>
      </c>
      <c r="E11" s="980">
        <f t="shared" ref="E11:R11" si="9">E10/D10-1</f>
        <v>-2.3586960163500481E-2</v>
      </c>
      <c r="F11" s="980">
        <f t="shared" si="9"/>
        <v>6.0105914513490788E-2</v>
      </c>
      <c r="G11" s="980">
        <f t="shared" si="9"/>
        <v>6.44124120668077E-3</v>
      </c>
      <c r="H11" s="980">
        <f t="shared" si="9"/>
        <v>7.8268886482777633E-2</v>
      </c>
      <c r="I11" s="980">
        <f t="shared" si="9"/>
        <v>4.4948400310194758E-2</v>
      </c>
      <c r="J11" s="980">
        <f t="shared" si="9"/>
        <v>0.15949116580877787</v>
      </c>
      <c r="K11" s="980">
        <f t="shared" si="9"/>
        <v>0.12958495396583114</v>
      </c>
      <c r="L11" s="980">
        <f t="shared" si="9"/>
        <v>0.13005419227360582</v>
      </c>
      <c r="M11" s="980">
        <f t="shared" si="9"/>
        <v>3.3131697533443472E-2</v>
      </c>
      <c r="N11" s="980">
        <f t="shared" si="9"/>
        <v>0.11486171172572579</v>
      </c>
      <c r="O11" s="980">
        <f t="shared" si="9"/>
        <v>-0.25629133528673098</v>
      </c>
      <c r="P11" s="980">
        <f t="shared" si="9"/>
        <v>6.9446320560733854E-2</v>
      </c>
      <c r="Q11" s="980">
        <f t="shared" si="9"/>
        <v>0.1050818199680017</v>
      </c>
      <c r="R11" s="980">
        <f t="shared" si="9"/>
        <v>0.10537645333147072</v>
      </c>
      <c r="S11" s="980"/>
      <c r="T11" s="980"/>
      <c r="U11" s="980"/>
      <c r="V11" s="980"/>
      <c r="W11" s="980"/>
      <c r="X11" s="980"/>
      <c r="Y11" s="980"/>
      <c r="Z11" s="980"/>
      <c r="AA11" s="980"/>
      <c r="AB11" s="980"/>
      <c r="AC11" s="980"/>
      <c r="AD11" s="980"/>
      <c r="AE11" s="980"/>
      <c r="AF11" s="980"/>
      <c r="AG11" s="980"/>
      <c r="AH11" s="980"/>
      <c r="AI11" s="190"/>
      <c r="AJ11" s="162"/>
      <c r="AK11" s="325"/>
      <c r="AL11" s="239"/>
      <c r="AM11" s="333"/>
      <c r="AN11" s="239"/>
      <c r="AO11" s="333"/>
      <c r="AP11" s="103"/>
      <c r="AQ11" s="103"/>
      <c r="AR11" s="103"/>
      <c r="AS11" s="980"/>
      <c r="AT11" s="980"/>
      <c r="AU11" s="980"/>
      <c r="AV11" s="980"/>
      <c r="AW11" s="103"/>
      <c r="AX11" s="103"/>
      <c r="AY11" s="103"/>
      <c r="AZ11" s="103"/>
    </row>
    <row r="12" spans="1:52">
      <c r="A12" s="103" t="s">
        <v>585</v>
      </c>
      <c r="B12" s="103"/>
      <c r="C12" s="936"/>
      <c r="D12" s="936"/>
      <c r="E12" s="936"/>
      <c r="F12" s="936"/>
      <c r="G12" s="936"/>
      <c r="H12" s="935"/>
      <c r="I12" s="935"/>
      <c r="J12" s="936"/>
      <c r="K12" s="936"/>
      <c r="L12" s="107"/>
      <c r="M12" s="107"/>
      <c r="N12" s="107">
        <f>'segSales&amp;comps'!AR102</f>
        <v>24.124000000000002</v>
      </c>
      <c r="O12" s="115">
        <f>'segSales&amp;comps'!AR109</f>
        <v>72.185000000000002</v>
      </c>
      <c r="P12" s="115">
        <f>'segSales&amp;comps'!AR116</f>
        <v>88.117999999999995</v>
      </c>
      <c r="Q12" s="115">
        <f>'segSales&amp;comps'!AR123</f>
        <v>116.298</v>
      </c>
      <c r="R12" s="115">
        <f>'segSales&amp;comps'!AR130</f>
        <v>92.982815920398011</v>
      </c>
      <c r="S12" s="115">
        <f>'segSales&amp;comps'!$AR137</f>
        <v>81.563999999999993</v>
      </c>
      <c r="T12" s="115">
        <f>'segSales&amp;comps'!AR170</f>
        <v>92.561000000000007</v>
      </c>
      <c r="U12" s="115">
        <f>'segSales&amp;comps'!AR177</f>
        <v>53.253</v>
      </c>
      <c r="V12" s="115">
        <f>'segSales&amp;comps'!$AR$184</f>
        <v>54.154000000000003</v>
      </c>
      <c r="W12" s="115">
        <f>+'segSales&amp;comps'!AR191</f>
        <v>51.293999999999997</v>
      </c>
      <c r="X12" s="115">
        <f>+'segSales&amp;comps'!AR198</f>
        <v>72.507999999999996</v>
      </c>
      <c r="Y12" s="115">
        <f>'segSales&amp;comps'!AR205</f>
        <v>111.23500000000001</v>
      </c>
      <c r="Z12" s="115">
        <f>'segSales&amp;comps'!AR212</f>
        <v>139.833</v>
      </c>
      <c r="AA12" s="115">
        <f>'segSales&amp;comps'!AR219</f>
        <v>107.5</v>
      </c>
      <c r="AB12" s="115">
        <f>'segSales&amp;comps'!AR226</f>
        <v>98.8</v>
      </c>
      <c r="AC12" s="115">
        <f>'segSales&amp;comps'!AR233</f>
        <v>124.69999999999999</v>
      </c>
      <c r="AD12" s="115">
        <f>'segSales&amp;comps'!AR240</f>
        <v>130.935</v>
      </c>
      <c r="AE12" s="115">
        <f>AE209</f>
        <v>133.67840000000001</v>
      </c>
      <c r="AF12" s="115">
        <f>AF209</f>
        <v>139.02553600000002</v>
      </c>
      <c r="AG12" s="115">
        <f>AG209</f>
        <v>140.41579136000001</v>
      </c>
      <c r="AH12" s="115">
        <f>AH209</f>
        <v>141.8199492736</v>
      </c>
      <c r="AI12" s="190"/>
      <c r="AJ12" s="162"/>
      <c r="AK12" s="325"/>
      <c r="AL12" s="239"/>
      <c r="AM12" s="333"/>
      <c r="AN12" s="239"/>
      <c r="AO12" s="333"/>
      <c r="AP12" s="103"/>
      <c r="AQ12" s="103" t="s">
        <v>2007</v>
      </c>
      <c r="AR12" s="103"/>
      <c r="AS12" s="980"/>
      <c r="AT12" s="980"/>
      <c r="AU12" s="980"/>
      <c r="AV12" s="980">
        <f>('segSales&amp;comps'!$BR$177*'segSales&amp;comps'!$AW$177)*1/V14</f>
        <v>0.16626929721355208</v>
      </c>
      <c r="AW12" s="980">
        <f>('segSales&amp;comps'!$BR$177*'segSales&amp;comps'!$AW$177)*1.02/W14</f>
        <v>0.14363377132242475</v>
      </c>
      <c r="AX12" s="980">
        <f>('segSales&amp;comps'!$BR$177*'segSales&amp;comps'!$AW$177)*1.02/X14</f>
        <v>0.13790575684410802</v>
      </c>
      <c r="AY12" s="980">
        <f>('segSales&amp;comps'!$BR$177*'segSales&amp;comps'!$AW$177)*1.02/Y14</f>
        <v>0.12980201085055557</v>
      </c>
      <c r="AZ12" s="980"/>
    </row>
    <row r="13" spans="1:52">
      <c r="A13" s="278" t="s">
        <v>1971</v>
      </c>
      <c r="B13" s="103"/>
      <c r="C13" s="936"/>
      <c r="D13" s="108"/>
      <c r="E13" s="980"/>
      <c r="F13" s="980"/>
      <c r="G13" s="980"/>
      <c r="H13" s="980"/>
      <c r="I13" s="980"/>
      <c r="J13" s="980"/>
      <c r="K13" s="980"/>
      <c r="L13" s="980"/>
      <c r="M13" s="980"/>
      <c r="N13" s="980"/>
      <c r="O13" s="980">
        <f t="shared" ref="O13:AA13" si="10">O12/N12-1</f>
        <v>1.9922483833526776</v>
      </c>
      <c r="P13" s="980">
        <f t="shared" si="10"/>
        <v>0.22072452725635516</v>
      </c>
      <c r="Q13" s="980">
        <f t="shared" si="10"/>
        <v>0.31979845207562607</v>
      </c>
      <c r="R13" s="980">
        <f t="shared" si="10"/>
        <v>-0.20047794527508633</v>
      </c>
      <c r="S13" s="980">
        <f t="shared" si="10"/>
        <v>-0.12280565830759083</v>
      </c>
      <c r="T13" s="980">
        <f t="shared" si="10"/>
        <v>0.13482663920357041</v>
      </c>
      <c r="U13" s="980">
        <f t="shared" si="10"/>
        <v>-0.42467129784682534</v>
      </c>
      <c r="V13" s="980">
        <f t="shared" si="10"/>
        <v>1.6919234597111865E-2</v>
      </c>
      <c r="W13" s="980">
        <f t="shared" si="10"/>
        <v>-5.2812349964915017E-2</v>
      </c>
      <c r="X13" s="980">
        <f t="shared" si="10"/>
        <v>0.41357663664366195</v>
      </c>
      <c r="Y13" s="980">
        <f t="shared" si="10"/>
        <v>0.53410658134274858</v>
      </c>
      <c r="Z13" s="980">
        <f t="shared" si="10"/>
        <v>0.25709533869735224</v>
      </c>
      <c r="AA13" s="980">
        <f t="shared" si="10"/>
        <v>-0.23122581937024878</v>
      </c>
      <c r="AB13" s="980">
        <f t="shared" ref="AB13:AH13" si="11">AB12/AA12-1</f>
        <v>-8.0930232558139581E-2</v>
      </c>
      <c r="AC13" s="980">
        <f t="shared" si="11"/>
        <v>0.26214574898785425</v>
      </c>
      <c r="AD13" s="980">
        <f t="shared" si="11"/>
        <v>5.0000000000000044E-2</v>
      </c>
      <c r="AE13" s="980">
        <f t="shared" si="11"/>
        <v>2.0952380952381056E-2</v>
      </c>
      <c r="AF13" s="980">
        <f t="shared" si="11"/>
        <v>4.0000000000000036E-2</v>
      </c>
      <c r="AG13" s="980">
        <f t="shared" si="11"/>
        <v>1.0000000000000009E-2</v>
      </c>
      <c r="AH13" s="980">
        <f t="shared" si="11"/>
        <v>1.0000000000000009E-2</v>
      </c>
      <c r="AI13" s="190"/>
      <c r="AJ13" s="162"/>
      <c r="AK13" s="325"/>
      <c r="AL13" s="239"/>
      <c r="AM13" s="333"/>
      <c r="AN13" s="239"/>
      <c r="AO13" s="333"/>
      <c r="AP13" s="103"/>
      <c r="AQ13" s="103" t="s">
        <v>683</v>
      </c>
      <c r="AR13" s="103"/>
      <c r="AS13" s="980"/>
      <c r="AT13" s="980"/>
      <c r="AU13" s="980"/>
      <c r="AV13" s="980">
        <f>AV7</f>
        <v>0.17714282936125944</v>
      </c>
      <c r="AW13" s="980">
        <f>AW7-AW12</f>
        <v>2.559918549236509E-2</v>
      </c>
      <c r="AX13" s="980">
        <f>AX7-AX12</f>
        <v>3.055577533261522E-2</v>
      </c>
      <c r="AY13" s="980">
        <f>AY7-AY12</f>
        <v>1.372374991627659E-2</v>
      </c>
      <c r="AZ13" s="980"/>
    </row>
    <row r="14" spans="1:52">
      <c r="A14" s="278" t="s">
        <v>2419</v>
      </c>
      <c r="B14" s="280">
        <f>'qtrP&amp;L'!F14</f>
        <v>0</v>
      </c>
      <c r="C14" s="280">
        <f>'qtrP&amp;L'!J14</f>
        <v>491.90599999999995</v>
      </c>
      <c r="D14" s="280">
        <f>'qtrP&amp;L'!N14</f>
        <v>486.39600000000007</v>
      </c>
      <c r="E14" s="280">
        <f>'qtrP&amp;L'!R14</f>
        <v>566.50099999999998</v>
      </c>
      <c r="F14" s="280">
        <f>'qtrP&amp;L'!V14</f>
        <v>682.83100000000002</v>
      </c>
      <c r="G14" s="280">
        <f>'qtrP&amp;L'!Z14</f>
        <v>803.29199999999992</v>
      </c>
      <c r="H14" s="107">
        <f>'qtrP&amp;L'!AD14</f>
        <v>922.10800000000006</v>
      </c>
      <c r="I14" s="107">
        <f>'qtrP&amp;L'!AH14</f>
        <v>1017.616</v>
      </c>
      <c r="J14" s="107">
        <f>'qtrP&amp;L'!AL14</f>
        <v>1177.9290000000001</v>
      </c>
      <c r="K14" s="107">
        <f>'qtrP&amp;L'!AP14</f>
        <v>1471.69</v>
      </c>
      <c r="L14" s="107">
        <f>'qtrP&amp;L'!AT14</f>
        <v>1668.056</v>
      </c>
      <c r="M14" s="107">
        <f>'qtrP&amp;L'!AX14</f>
        <v>1606.5350000000001</v>
      </c>
      <c r="N14" s="107">
        <f>'qtrP&amp;L'!BB14</f>
        <v>1706.6019999999999</v>
      </c>
      <c r="O14" s="115">
        <f>+'qtrP&amp;L'!BF14</f>
        <v>2000.0450000000001</v>
      </c>
      <c r="P14" s="115">
        <f>+'qtrP&amp;L'!BJ14</f>
        <v>2204.8310000000001</v>
      </c>
      <c r="Q14" s="115">
        <f>+'qtrP&amp;L'!BN14</f>
        <v>2395.1530000000002</v>
      </c>
      <c r="R14" s="115">
        <f>'qtrP&amp;L'!BR14</f>
        <v>2560.7339999999995</v>
      </c>
      <c r="S14" s="115">
        <f>'qtrP&amp;L'!BV14</f>
        <v>2938.7709999999997</v>
      </c>
      <c r="T14" s="115">
        <f>'qtrP&amp;L'!$BZ$14</f>
        <v>2848.8589999999999</v>
      </c>
      <c r="U14" s="115">
        <f t="shared" ref="U14:Z14" si="12">+U12+U10+U7</f>
        <v>2709.7300000000005</v>
      </c>
      <c r="V14" s="115">
        <f t="shared" si="12"/>
        <v>3085.2899999999995</v>
      </c>
      <c r="W14" s="115">
        <f t="shared" si="12"/>
        <v>3642.9369999999999</v>
      </c>
      <c r="X14" s="115">
        <f t="shared" si="12"/>
        <v>3794.2489999999998</v>
      </c>
      <c r="Y14" s="115">
        <f>+Y12+Y10+Y7</f>
        <v>4031.1299999999997</v>
      </c>
      <c r="Z14" s="115">
        <f t="shared" si="12"/>
        <v>4250.6620000000003</v>
      </c>
      <c r="AA14" s="115">
        <f t="shared" ref="AA14:AF14" si="13">+AA12+AA10+AA7</f>
        <v>4104.3999999999996</v>
      </c>
      <c r="AB14" s="115">
        <f t="shared" si="13"/>
        <v>4001.7999999999997</v>
      </c>
      <c r="AC14" s="115">
        <f>+AC12+AC10+AC7</f>
        <v>4169.8</v>
      </c>
      <c r="AD14" s="115">
        <f>+AD12+AD10+AD7</f>
        <v>4384.6194342418175</v>
      </c>
      <c r="AE14" s="115">
        <f>+AE12+AE10+AE7</f>
        <v>4623.2488669288232</v>
      </c>
      <c r="AF14" s="115">
        <f t="shared" si="13"/>
        <v>4869.5236592022247</v>
      </c>
      <c r="AG14" s="115">
        <f>+AG12+AG10+AG7</f>
        <v>5072.1522777848559</v>
      </c>
      <c r="AH14" s="115">
        <f>+AH12+AH10+AH7</f>
        <v>5279.6498396607494</v>
      </c>
      <c r="AI14" s="190"/>
      <c r="AJ14" s="161">
        <f>RATE(5,,-W14,AB14)*100</f>
        <v>1.8968465344123269</v>
      </c>
      <c r="AK14" s="327" t="s">
        <v>1970</v>
      </c>
      <c r="AL14" s="161"/>
      <c r="AM14" s="333"/>
      <c r="AN14" s="161">
        <f>RATE(6,,-AB14,AH14)*100</f>
        <v>4.7269100671119908</v>
      </c>
      <c r="AO14" s="333" t="s">
        <v>1970</v>
      </c>
      <c r="AP14" s="103"/>
      <c r="AQ14" s="103"/>
      <c r="AR14" s="103"/>
      <c r="AS14" s="103"/>
      <c r="AT14" s="103"/>
      <c r="AU14" s="103"/>
      <c r="AV14" s="103"/>
      <c r="AW14" s="103"/>
      <c r="AX14" s="103"/>
      <c r="AY14" s="103"/>
      <c r="AZ14" s="103"/>
    </row>
    <row r="15" spans="1:52">
      <c r="A15" s="278" t="s">
        <v>1971</v>
      </c>
      <c r="B15" s="108"/>
      <c r="C15" s="108" t="e">
        <f>C14/B14-1</f>
        <v>#DIV/0!</v>
      </c>
      <c r="D15" s="108">
        <f>D14/C14-1</f>
        <v>-1.1201327082816404E-2</v>
      </c>
      <c r="E15" s="108">
        <f>E14/D14-1</f>
        <v>0.16469091028709104</v>
      </c>
      <c r="F15" s="108">
        <f>F14/E14-1</f>
        <v>0.20534826946466112</v>
      </c>
      <c r="G15" s="108">
        <f t="shared" ref="G15:R15" si="14">G14/F14-1</f>
        <v>0.17641407610375026</v>
      </c>
      <c r="H15" s="108">
        <f t="shared" si="14"/>
        <v>0.14791134481608204</v>
      </c>
      <c r="I15" s="108">
        <f t="shared" si="14"/>
        <v>0.10357571998073967</v>
      </c>
      <c r="J15" s="108">
        <f>J14/I14-1</f>
        <v>0.1575378138708512</v>
      </c>
      <c r="K15" s="108">
        <f t="shared" si="14"/>
        <v>0.24938769654198167</v>
      </c>
      <c r="L15" s="108">
        <f>L14/K14-1</f>
        <v>0.13342891505683929</v>
      </c>
      <c r="M15" s="108">
        <f>M14/L14-1</f>
        <v>-3.6881855285434084E-2</v>
      </c>
      <c r="N15" s="108">
        <f>N14/M14-1</f>
        <v>6.228746961628584E-2</v>
      </c>
      <c r="O15" s="108">
        <f t="shared" si="14"/>
        <v>0.17194577294530311</v>
      </c>
      <c r="P15" s="108">
        <f t="shared" si="14"/>
        <v>0.10239069620933527</v>
      </c>
      <c r="Q15" s="108">
        <f t="shared" si="14"/>
        <v>8.6320448143191175E-2</v>
      </c>
      <c r="R15" s="108">
        <f t="shared" si="14"/>
        <v>6.9131700563596299E-2</v>
      </c>
      <c r="S15" s="108">
        <f t="shared" ref="S15:AA15" si="15">S14/R14-1</f>
        <v>0.14762837530176909</v>
      </c>
      <c r="T15" s="108">
        <f t="shared" si="15"/>
        <v>-3.0595102510539207E-2</v>
      </c>
      <c r="U15" s="108">
        <f t="shared" si="15"/>
        <v>-4.8836744816082356E-2</v>
      </c>
      <c r="V15" s="108">
        <f t="shared" si="15"/>
        <v>0.1385968343709516</v>
      </c>
      <c r="W15" s="108">
        <f t="shared" si="15"/>
        <v>0.18074378745596054</v>
      </c>
      <c r="X15" s="108">
        <f t="shared" si="15"/>
        <v>4.1535716922911359E-2</v>
      </c>
      <c r="Y15" s="108">
        <f>Y14/X14-1</f>
        <v>6.2431590546640381E-2</v>
      </c>
      <c r="Z15" s="108">
        <f t="shared" si="15"/>
        <v>5.4459171497818426E-2</v>
      </c>
      <c r="AA15" s="108">
        <f t="shared" si="15"/>
        <v>-3.4409228491938615E-2</v>
      </c>
      <c r="AB15" s="108">
        <f t="shared" ref="AB15:AH15" si="16">AB14/AA14-1</f>
        <v>-2.499756359029337E-2</v>
      </c>
      <c r="AC15" s="108">
        <f t="shared" si="16"/>
        <v>4.1981108501174536E-2</v>
      </c>
      <c r="AD15" s="108">
        <f t="shared" si="16"/>
        <v>5.1517922740135669E-2</v>
      </c>
      <c r="AE15" s="108">
        <f t="shared" si="16"/>
        <v>5.4424206311594947E-2</v>
      </c>
      <c r="AF15" s="108">
        <f t="shared" si="16"/>
        <v>5.3268772536789522E-2</v>
      </c>
      <c r="AG15" s="108">
        <f t="shared" si="16"/>
        <v>4.1611589297797513E-2</v>
      </c>
      <c r="AH15" s="108">
        <f t="shared" si="16"/>
        <v>4.0909174352808053E-2</v>
      </c>
      <c r="AI15" s="190"/>
      <c r="AJ15" s="162"/>
      <c r="AK15" s="325"/>
      <c r="AL15" s="239"/>
      <c r="AM15" s="333"/>
      <c r="AN15" s="239"/>
      <c r="AO15" s="333"/>
      <c r="AP15" s="103"/>
      <c r="AQ15" s="103"/>
      <c r="AR15" s="103"/>
      <c r="AS15" s="103"/>
      <c r="AT15" s="103"/>
      <c r="AU15" s="103"/>
      <c r="AV15" s="103"/>
      <c r="AW15" s="103"/>
      <c r="AX15" s="103"/>
      <c r="AY15" s="103"/>
      <c r="AZ15" s="103"/>
    </row>
    <row r="16" spans="1:52">
      <c r="A16" s="103"/>
      <c r="B16" s="103"/>
      <c r="C16" s="103"/>
      <c r="D16" s="103"/>
      <c r="E16" s="103"/>
      <c r="F16" s="103"/>
      <c r="G16" s="103"/>
      <c r="H16" s="108"/>
      <c r="I16" s="108"/>
      <c r="J16" s="103"/>
      <c r="K16" s="103"/>
      <c r="L16" s="103"/>
      <c r="M16" s="103"/>
      <c r="N16" s="103"/>
      <c r="O16" s="103"/>
      <c r="P16" s="103"/>
      <c r="Q16" s="103"/>
      <c r="R16" s="103"/>
      <c r="S16" s="103"/>
      <c r="T16" s="103"/>
      <c r="U16" s="103"/>
      <c r="V16" s="103"/>
      <c r="W16" s="103"/>
      <c r="X16" s="103"/>
      <c r="Y16" s="103"/>
      <c r="Z16" s="103"/>
      <c r="AA16" s="103"/>
      <c r="AB16" s="103"/>
      <c r="AC16" s="103"/>
      <c r="AD16" s="103"/>
      <c r="AE16" s="103"/>
      <c r="AF16" s="103"/>
      <c r="AG16" s="103"/>
      <c r="AH16" s="103"/>
      <c r="AI16" s="190"/>
      <c r="AJ16" s="162"/>
      <c r="AK16" s="325"/>
      <c r="AL16" s="239"/>
      <c r="AM16" s="333"/>
      <c r="AN16" s="239"/>
      <c r="AO16" s="333"/>
      <c r="AP16" s="103"/>
      <c r="AQ16" s="103" t="s">
        <v>155</v>
      </c>
      <c r="AR16" s="103">
        <v>0</v>
      </c>
      <c r="AS16" s="103">
        <v>0</v>
      </c>
      <c r="AT16" s="103">
        <v>0</v>
      </c>
      <c r="AU16" s="103">
        <v>0</v>
      </c>
      <c r="AV16" s="103">
        <v>0</v>
      </c>
      <c r="AW16" s="103">
        <v>0</v>
      </c>
      <c r="AX16" s="103">
        <v>0</v>
      </c>
      <c r="AY16" s="103">
        <v>0</v>
      </c>
      <c r="AZ16" s="103"/>
    </row>
    <row r="17" spans="1:52">
      <c r="A17" s="278" t="s">
        <v>1972</v>
      </c>
      <c r="B17" s="263">
        <f>+B250+B289+B290+B291+B292</f>
        <v>9</v>
      </c>
      <c r="C17" s="263">
        <f t="shared" ref="C17:V17" si="17">B19</f>
        <v>20</v>
      </c>
      <c r="D17" s="263">
        <f t="shared" si="17"/>
        <v>25</v>
      </c>
      <c r="E17" s="263">
        <f t="shared" si="17"/>
        <v>35</v>
      </c>
      <c r="F17" s="263">
        <f t="shared" si="17"/>
        <v>65</v>
      </c>
      <c r="G17" s="263">
        <f t="shared" si="17"/>
        <v>69</v>
      </c>
      <c r="H17" s="263">
        <f t="shared" si="17"/>
        <v>75</v>
      </c>
      <c r="I17" s="263">
        <f t="shared" si="17"/>
        <v>81</v>
      </c>
      <c r="J17" s="263">
        <f t="shared" si="17"/>
        <v>96</v>
      </c>
      <c r="K17" s="263">
        <f t="shared" si="17"/>
        <v>104</v>
      </c>
      <c r="L17" s="263">
        <f t="shared" si="17"/>
        <v>110</v>
      </c>
      <c r="M17" s="263">
        <f t="shared" si="17"/>
        <v>119</v>
      </c>
      <c r="N17" s="263">
        <f t="shared" si="17"/>
        <v>126</v>
      </c>
      <c r="O17" s="263">
        <f t="shared" si="17"/>
        <v>131</v>
      </c>
      <c r="P17" s="263">
        <f t="shared" si="17"/>
        <v>141</v>
      </c>
      <c r="Q17" s="263">
        <f t="shared" si="17"/>
        <v>151</v>
      </c>
      <c r="R17" s="263">
        <f t="shared" si="17"/>
        <v>154</v>
      </c>
      <c r="S17" s="1169">
        <f t="shared" si="17"/>
        <v>167</v>
      </c>
      <c r="T17" s="263">
        <f t="shared" si="17"/>
        <v>184</v>
      </c>
      <c r="U17" s="263">
        <f t="shared" si="17"/>
        <v>206</v>
      </c>
      <c r="V17" s="263">
        <f t="shared" si="17"/>
        <v>220</v>
      </c>
      <c r="W17" s="263">
        <f>V19</f>
        <v>233</v>
      </c>
      <c r="X17" s="263">
        <f t="shared" ref="X17:AC17" si="18">W19</f>
        <v>248</v>
      </c>
      <c r="Y17" s="263">
        <f t="shared" si="18"/>
        <v>276</v>
      </c>
      <c r="Z17" s="263">
        <f t="shared" si="18"/>
        <v>289</v>
      </c>
      <c r="AA17" s="263">
        <f t="shared" si="18"/>
        <v>295</v>
      </c>
      <c r="AB17" s="263">
        <f t="shared" si="18"/>
        <v>307</v>
      </c>
      <c r="AC17" s="263">
        <f t="shared" si="18"/>
        <v>313</v>
      </c>
      <c r="AD17" s="263">
        <f>AC19</f>
        <v>315</v>
      </c>
      <c r="AE17" s="263">
        <f>AD19</f>
        <v>322</v>
      </c>
      <c r="AF17" s="263">
        <f>AE19</f>
        <v>329</v>
      </c>
      <c r="AG17" s="263">
        <f>AF19</f>
        <v>336</v>
      </c>
      <c r="AH17" s="263">
        <f>AG19</f>
        <v>343</v>
      </c>
      <c r="AI17" s="190"/>
      <c r="AJ17" s="162"/>
      <c r="AK17" s="325"/>
      <c r="AL17" s="239"/>
      <c r="AM17" s="333"/>
      <c r="AN17" s="239"/>
      <c r="AO17" s="333"/>
      <c r="AP17" s="103"/>
      <c r="AQ17" s="103" t="s">
        <v>154</v>
      </c>
      <c r="AR17" s="103">
        <v>0</v>
      </c>
      <c r="AS17" s="103">
        <v>0</v>
      </c>
      <c r="AT17" s="103">
        <v>0</v>
      </c>
      <c r="AU17" s="103">
        <v>0</v>
      </c>
      <c r="AV17" s="103">
        <v>0</v>
      </c>
      <c r="AW17" s="103">
        <v>0</v>
      </c>
      <c r="AX17" s="103">
        <v>0</v>
      </c>
      <c r="AY17" s="103">
        <v>0</v>
      </c>
      <c r="AZ17" s="103"/>
    </row>
    <row r="18" spans="1:52">
      <c r="A18" s="279" t="s">
        <v>1385</v>
      </c>
      <c r="B18" s="730">
        <f>+B251+B296+B297+B298+B299</f>
        <v>4</v>
      </c>
      <c r="C18" s="730">
        <f t="shared" ref="C18:T18" si="19">C251+SUM(C296:C299)</f>
        <v>5</v>
      </c>
      <c r="D18" s="730">
        <f t="shared" si="19"/>
        <v>10</v>
      </c>
      <c r="E18" s="730">
        <f t="shared" si="19"/>
        <v>30</v>
      </c>
      <c r="F18" s="730">
        <f t="shared" si="19"/>
        <v>4</v>
      </c>
      <c r="G18" s="730">
        <f t="shared" si="19"/>
        <v>6</v>
      </c>
      <c r="H18" s="730">
        <f t="shared" si="19"/>
        <v>6</v>
      </c>
      <c r="I18" s="730">
        <f t="shared" si="19"/>
        <v>15</v>
      </c>
      <c r="J18" s="730">
        <f t="shared" si="19"/>
        <v>8</v>
      </c>
      <c r="K18" s="730">
        <f t="shared" si="19"/>
        <v>6</v>
      </c>
      <c r="L18" s="730">
        <f t="shared" si="19"/>
        <v>9</v>
      </c>
      <c r="M18" s="730">
        <f t="shared" si="19"/>
        <v>7</v>
      </c>
      <c r="N18" s="730">
        <f t="shared" si="19"/>
        <v>5</v>
      </c>
      <c r="O18" s="730">
        <f t="shared" si="19"/>
        <v>10</v>
      </c>
      <c r="P18" s="730">
        <f t="shared" si="19"/>
        <v>10</v>
      </c>
      <c r="Q18" s="730">
        <f t="shared" si="19"/>
        <v>3</v>
      </c>
      <c r="R18" s="730">
        <f t="shared" si="19"/>
        <v>13</v>
      </c>
      <c r="S18" s="730">
        <f>S251+SUM(S296:S299)</f>
        <v>17</v>
      </c>
      <c r="T18" s="730">
        <f t="shared" si="19"/>
        <v>22</v>
      </c>
      <c r="U18" s="730">
        <f>Stores!AT251</f>
        <v>14</v>
      </c>
      <c r="V18" s="730">
        <f>+Stores!AT258</f>
        <v>13</v>
      </c>
      <c r="W18" s="730">
        <f>Stores!AT265</f>
        <v>15</v>
      </c>
      <c r="X18" s="730">
        <f>X61+X100+X138+X176+X213</f>
        <v>28</v>
      </c>
      <c r="Y18" s="730">
        <f>Y61+Y100+Y138+Y176</f>
        <v>13</v>
      </c>
      <c r="Z18" s="730">
        <f t="shared" ref="Z18:AF18" si="20">Z61+Z100+Z138+Z176+Z213</f>
        <v>6</v>
      </c>
      <c r="AA18" s="730">
        <f t="shared" si="20"/>
        <v>12</v>
      </c>
      <c r="AB18" s="730">
        <f t="shared" si="20"/>
        <v>6</v>
      </c>
      <c r="AC18" s="730">
        <f t="shared" si="20"/>
        <v>2</v>
      </c>
      <c r="AD18" s="730">
        <f t="shared" si="20"/>
        <v>7</v>
      </c>
      <c r="AE18" s="730">
        <f t="shared" si="20"/>
        <v>7</v>
      </c>
      <c r="AF18" s="730">
        <f t="shared" si="20"/>
        <v>7</v>
      </c>
      <c r="AG18" s="730">
        <f>AG61+AG100+AG138+AG176+AG213</f>
        <v>7</v>
      </c>
      <c r="AH18" s="730">
        <f>AH61+AH100+AH138+AH176+AH213</f>
        <v>7</v>
      </c>
      <c r="AI18" s="190"/>
      <c r="AJ18" s="162"/>
      <c r="AK18" s="325"/>
      <c r="AL18" s="239"/>
      <c r="AM18" s="333"/>
      <c r="AN18" s="239"/>
      <c r="AO18" s="333"/>
      <c r="AP18" s="103"/>
      <c r="AQ18" s="103" t="s">
        <v>684</v>
      </c>
      <c r="AR18" s="980"/>
      <c r="AS18" s="980">
        <f>S12/S8</f>
        <v>2.1979182778823627E-2</v>
      </c>
      <c r="AT18" s="980">
        <f>T12/T8</f>
        <v>3.3581637399149156E-2</v>
      </c>
      <c r="AU18" s="980">
        <f>U12/U8</f>
        <v>2.0046475087117262E-2</v>
      </c>
      <c r="AV18" s="980">
        <f>V12/V14</f>
        <v>1.7552320851524496E-2</v>
      </c>
      <c r="AW18" s="980">
        <f>W12/W14</f>
        <v>1.4080397217959026E-2</v>
      </c>
      <c r="AX18" s="980">
        <f>X12/X14</f>
        <v>1.9109974068649685E-2</v>
      </c>
      <c r="AY18" s="980">
        <f>Y12/Y14</f>
        <v>2.7593999697355338E-2</v>
      </c>
      <c r="AZ18" s="980"/>
    </row>
    <row r="19" spans="1:52">
      <c r="A19" s="110" t="s">
        <v>1973</v>
      </c>
      <c r="B19" s="869">
        <f t="shared" ref="B19:S19" si="21">B252+SUM(B302:B305)</f>
        <v>20</v>
      </c>
      <c r="C19" s="869">
        <f t="shared" si="21"/>
        <v>25</v>
      </c>
      <c r="D19" s="869">
        <f t="shared" si="21"/>
        <v>35</v>
      </c>
      <c r="E19" s="869">
        <f t="shared" si="21"/>
        <v>65</v>
      </c>
      <c r="F19" s="869">
        <f t="shared" si="21"/>
        <v>69</v>
      </c>
      <c r="G19" s="869">
        <f t="shared" si="21"/>
        <v>75</v>
      </c>
      <c r="H19" s="869">
        <f t="shared" si="21"/>
        <v>81</v>
      </c>
      <c r="I19" s="869">
        <f t="shared" si="21"/>
        <v>96</v>
      </c>
      <c r="J19" s="869">
        <f t="shared" si="21"/>
        <v>104</v>
      </c>
      <c r="K19" s="869">
        <f t="shared" si="21"/>
        <v>110</v>
      </c>
      <c r="L19" s="869">
        <f t="shared" si="21"/>
        <v>119</v>
      </c>
      <c r="M19" s="869">
        <f t="shared" si="21"/>
        <v>126</v>
      </c>
      <c r="N19" s="869">
        <f t="shared" si="21"/>
        <v>131</v>
      </c>
      <c r="O19" s="869">
        <f t="shared" si="21"/>
        <v>141</v>
      </c>
      <c r="P19" s="869">
        <f t="shared" si="21"/>
        <v>151</v>
      </c>
      <c r="Q19" s="869">
        <f t="shared" si="21"/>
        <v>154</v>
      </c>
      <c r="R19" s="869">
        <f t="shared" si="21"/>
        <v>167</v>
      </c>
      <c r="S19" s="869">
        <f t="shared" si="21"/>
        <v>184</v>
      </c>
      <c r="T19" s="869">
        <f>Stores!AS244</f>
        <v>206</v>
      </c>
      <c r="U19" s="869">
        <f t="shared" ref="U19:AA19" si="22">U17+U18</f>
        <v>220</v>
      </c>
      <c r="V19" s="869">
        <f t="shared" si="22"/>
        <v>233</v>
      </c>
      <c r="W19" s="869">
        <f>W17+W18</f>
        <v>248</v>
      </c>
      <c r="X19" s="869">
        <f t="shared" si="22"/>
        <v>276</v>
      </c>
      <c r="Y19" s="869">
        <f>Y17+Y18</f>
        <v>289</v>
      </c>
      <c r="Z19" s="869">
        <f t="shared" si="22"/>
        <v>295</v>
      </c>
      <c r="AA19" s="869">
        <f t="shared" si="22"/>
        <v>307</v>
      </c>
      <c r="AB19" s="869">
        <f t="shared" ref="AB19:AG19" si="23">AB17+AB18</f>
        <v>313</v>
      </c>
      <c r="AC19" s="869">
        <f t="shared" si="23"/>
        <v>315</v>
      </c>
      <c r="AD19" s="869">
        <f t="shared" si="23"/>
        <v>322</v>
      </c>
      <c r="AE19" s="869">
        <f t="shared" si="23"/>
        <v>329</v>
      </c>
      <c r="AF19" s="869">
        <f t="shared" si="23"/>
        <v>336</v>
      </c>
      <c r="AG19" s="869">
        <f t="shared" si="23"/>
        <v>343</v>
      </c>
      <c r="AH19" s="869">
        <f>AH17+AH18</f>
        <v>350</v>
      </c>
      <c r="AI19" s="870"/>
      <c r="AJ19" s="161">
        <f>RATE(5,,-W19,AB19)*100</f>
        <v>4.7655582126737679</v>
      </c>
      <c r="AK19" s="871" t="s">
        <v>1970</v>
      </c>
      <c r="AL19" s="161"/>
      <c r="AM19" s="872"/>
      <c r="AN19" s="161">
        <f>RATE(6,,-AB19,AH19)*100</f>
        <v>1.8796125036262201</v>
      </c>
      <c r="AO19" s="872" t="s">
        <v>1970</v>
      </c>
      <c r="AP19" s="113"/>
      <c r="AQ19" s="113"/>
      <c r="AR19" s="113"/>
      <c r="AS19" s="113"/>
      <c r="AT19" s="113"/>
      <c r="AU19" s="113"/>
      <c r="AV19" s="113"/>
      <c r="AW19" s="113"/>
      <c r="AX19" s="113"/>
      <c r="AY19" s="113"/>
      <c r="AZ19" s="113"/>
    </row>
    <row r="20" spans="1:52">
      <c r="A20" s="278" t="s">
        <v>1974</v>
      </c>
      <c r="B20" s="263">
        <f t="shared" ref="B20:U20" si="24">(+B19+B17)/2</f>
        <v>14.5</v>
      </c>
      <c r="C20" s="263">
        <f t="shared" si="24"/>
        <v>22.5</v>
      </c>
      <c r="D20" s="263">
        <f t="shared" si="24"/>
        <v>30</v>
      </c>
      <c r="E20" s="263">
        <f t="shared" si="24"/>
        <v>50</v>
      </c>
      <c r="F20" s="263">
        <f t="shared" si="24"/>
        <v>67</v>
      </c>
      <c r="G20" s="263">
        <f t="shared" si="24"/>
        <v>72</v>
      </c>
      <c r="H20" s="263">
        <f t="shared" si="24"/>
        <v>78</v>
      </c>
      <c r="I20" s="263">
        <f t="shared" si="24"/>
        <v>88.5</v>
      </c>
      <c r="J20" s="323">
        <f t="shared" si="24"/>
        <v>100</v>
      </c>
      <c r="K20" s="263">
        <f t="shared" si="24"/>
        <v>107</v>
      </c>
      <c r="L20" s="263">
        <f>(+L19+L17)/2</f>
        <v>114.5</v>
      </c>
      <c r="M20" s="263">
        <f t="shared" si="24"/>
        <v>122.5</v>
      </c>
      <c r="N20" s="263">
        <f t="shared" si="24"/>
        <v>128.5</v>
      </c>
      <c r="O20" s="263">
        <f t="shared" si="24"/>
        <v>136</v>
      </c>
      <c r="P20" s="263">
        <f t="shared" si="24"/>
        <v>146</v>
      </c>
      <c r="Q20" s="109">
        <f t="shared" si="24"/>
        <v>152.5</v>
      </c>
      <c r="R20" s="109">
        <f t="shared" si="24"/>
        <v>160.5</v>
      </c>
      <c r="S20" s="109">
        <f t="shared" si="24"/>
        <v>175.5</v>
      </c>
      <c r="T20" s="109">
        <f t="shared" si="24"/>
        <v>195</v>
      </c>
      <c r="U20" s="109">
        <f t="shared" si="24"/>
        <v>213</v>
      </c>
      <c r="V20" s="109">
        <f t="shared" ref="V20:AA20" si="25">(+V19+V17)/2</f>
        <v>226.5</v>
      </c>
      <c r="W20" s="109">
        <f t="shared" si="25"/>
        <v>240.5</v>
      </c>
      <c r="X20" s="109">
        <f t="shared" si="25"/>
        <v>262</v>
      </c>
      <c r="Y20" s="109">
        <f t="shared" si="25"/>
        <v>282.5</v>
      </c>
      <c r="Z20" s="109">
        <f t="shared" si="25"/>
        <v>292</v>
      </c>
      <c r="AA20" s="109">
        <f t="shared" si="25"/>
        <v>301</v>
      </c>
      <c r="AB20" s="109">
        <f t="shared" ref="AB20:AG20" si="26">(+AB19+AB17)/2</f>
        <v>310</v>
      </c>
      <c r="AC20" s="109">
        <f t="shared" si="26"/>
        <v>314</v>
      </c>
      <c r="AD20" s="109">
        <f t="shared" si="26"/>
        <v>318.5</v>
      </c>
      <c r="AE20" s="109">
        <f t="shared" si="26"/>
        <v>325.5</v>
      </c>
      <c r="AF20" s="109">
        <f t="shared" si="26"/>
        <v>332.5</v>
      </c>
      <c r="AG20" s="109">
        <f t="shared" si="26"/>
        <v>339.5</v>
      </c>
      <c r="AH20" s="109">
        <f>(+AH19+AH17)/2</f>
        <v>346.5</v>
      </c>
      <c r="AI20" s="191"/>
      <c r="AJ20" s="188"/>
      <c r="AK20" s="328"/>
      <c r="AL20" s="240"/>
      <c r="AM20" s="334"/>
      <c r="AN20" s="240"/>
      <c r="AO20" s="334"/>
      <c r="AP20" s="103"/>
      <c r="AQ20" s="103"/>
      <c r="AR20" s="103"/>
      <c r="AS20" s="103"/>
      <c r="AT20" s="103"/>
      <c r="AU20" s="103"/>
      <c r="AV20" s="103"/>
      <c r="AW20" s="103"/>
      <c r="AX20" s="103"/>
      <c r="AY20" s="103"/>
      <c r="AZ20" s="103"/>
    </row>
    <row r="21" spans="1:52">
      <c r="A21" s="278" t="s">
        <v>1975</v>
      </c>
      <c r="B21" s="108">
        <f>+B19/B17-1</f>
        <v>1.2222222222222223</v>
      </c>
      <c r="C21" s="108">
        <f>(C20/B20-1)</f>
        <v>0.55172413793103448</v>
      </c>
      <c r="D21" s="108">
        <f>(D20/C20-1)</f>
        <v>0.33333333333333326</v>
      </c>
      <c r="E21" s="108">
        <f>(E20/D20-1)</f>
        <v>0.66666666666666674</v>
      </c>
      <c r="F21" s="108">
        <f>(F20/E20-1)</f>
        <v>0.34000000000000008</v>
      </c>
      <c r="G21" s="108">
        <f t="shared" ref="G21:U21" si="27">(G20/F20-1)</f>
        <v>7.4626865671641784E-2</v>
      </c>
      <c r="H21" s="108">
        <f t="shared" si="27"/>
        <v>8.3333333333333259E-2</v>
      </c>
      <c r="I21" s="108">
        <f t="shared" si="27"/>
        <v>0.13461538461538458</v>
      </c>
      <c r="J21" s="264">
        <f>(J20/I20-1)</f>
        <v>0.12994350282485878</v>
      </c>
      <c r="K21" s="108">
        <f>(K20/J20-1)</f>
        <v>7.0000000000000062E-2</v>
      </c>
      <c r="L21" s="108">
        <f>(L20/K20-1)</f>
        <v>7.0093457943925186E-2</v>
      </c>
      <c r="M21" s="108">
        <f>(M20/L20-1)</f>
        <v>6.9868995633187714E-2</v>
      </c>
      <c r="N21" s="108">
        <f t="shared" si="27"/>
        <v>4.8979591836734615E-2</v>
      </c>
      <c r="O21" s="108">
        <f t="shared" si="27"/>
        <v>5.8365758754863828E-2</v>
      </c>
      <c r="P21" s="108">
        <f t="shared" si="27"/>
        <v>7.3529411764705843E-2</v>
      </c>
      <c r="Q21" s="108">
        <f t="shared" si="27"/>
        <v>4.4520547945205546E-2</v>
      </c>
      <c r="R21" s="108">
        <f t="shared" si="27"/>
        <v>5.2459016393442637E-2</v>
      </c>
      <c r="S21" s="108">
        <f>(S20/R20-1)</f>
        <v>9.3457943925233655E-2</v>
      </c>
      <c r="T21" s="108">
        <f t="shared" si="27"/>
        <v>0.11111111111111116</v>
      </c>
      <c r="U21" s="108">
        <f t="shared" si="27"/>
        <v>9.2307692307692202E-2</v>
      </c>
      <c r="V21" s="108">
        <f t="shared" ref="V21:AA21" si="28">(V20/U20-1)</f>
        <v>6.3380281690140761E-2</v>
      </c>
      <c r="W21" s="108">
        <f t="shared" si="28"/>
        <v>6.1810154525386407E-2</v>
      </c>
      <c r="X21" s="108">
        <f t="shared" si="28"/>
        <v>8.9397089397089458E-2</v>
      </c>
      <c r="Y21" s="108">
        <f t="shared" si="28"/>
        <v>7.8244274809160297E-2</v>
      </c>
      <c r="Z21" s="108">
        <f t="shared" si="28"/>
        <v>3.3628318584070893E-2</v>
      </c>
      <c r="AA21" s="108">
        <f t="shared" si="28"/>
        <v>3.082191780821919E-2</v>
      </c>
      <c r="AB21" s="108">
        <f t="shared" ref="AB21:AH21" si="29">(AB20/AA20-1)</f>
        <v>2.9900332225913706E-2</v>
      </c>
      <c r="AC21" s="108">
        <f t="shared" si="29"/>
        <v>1.2903225806451646E-2</v>
      </c>
      <c r="AD21" s="108">
        <f t="shared" si="29"/>
        <v>1.4331210191082855E-2</v>
      </c>
      <c r="AE21" s="108">
        <f t="shared" si="29"/>
        <v>2.19780219780219E-2</v>
      </c>
      <c r="AF21" s="108">
        <f t="shared" si="29"/>
        <v>2.1505376344086002E-2</v>
      </c>
      <c r="AG21" s="108">
        <f t="shared" si="29"/>
        <v>2.1052631578947434E-2</v>
      </c>
      <c r="AH21" s="108">
        <f t="shared" si="29"/>
        <v>2.0618556701030855E-2</v>
      </c>
      <c r="AI21" s="190"/>
      <c r="AJ21" s="162"/>
      <c r="AK21" s="325"/>
      <c r="AL21" s="239"/>
      <c r="AM21" s="333"/>
      <c r="AN21" s="239"/>
      <c r="AO21" s="333"/>
      <c r="AP21" s="103"/>
      <c r="AQ21" s="103"/>
      <c r="AR21" s="103"/>
      <c r="AS21" s="103"/>
      <c r="AT21" s="103"/>
      <c r="AU21" s="103"/>
      <c r="AV21" s="103"/>
      <c r="AW21" s="103"/>
      <c r="AX21" s="103"/>
      <c r="AY21" s="103"/>
      <c r="AZ21" s="103"/>
    </row>
    <row r="22" spans="1:52" outlineLevel="1">
      <c r="A22" s="278" t="s">
        <v>1365</v>
      </c>
      <c r="B22" s="108"/>
      <c r="C22" s="108">
        <f t="shared" ref="C22:M22" si="30">+C19/B19-1</f>
        <v>0.25</v>
      </c>
      <c r="D22" s="108">
        <f t="shared" si="30"/>
        <v>0.39999999999999991</v>
      </c>
      <c r="E22" s="108">
        <f t="shared" si="30"/>
        <v>0.85714285714285721</v>
      </c>
      <c r="F22" s="108">
        <f t="shared" si="30"/>
        <v>6.1538461538461542E-2</v>
      </c>
      <c r="G22" s="108">
        <f t="shared" si="30"/>
        <v>8.6956521739130377E-2</v>
      </c>
      <c r="H22" s="108">
        <f t="shared" si="30"/>
        <v>8.0000000000000071E-2</v>
      </c>
      <c r="I22" s="108">
        <f t="shared" si="30"/>
        <v>0.18518518518518512</v>
      </c>
      <c r="J22" s="264">
        <f t="shared" si="30"/>
        <v>8.3333333333333259E-2</v>
      </c>
      <c r="K22" s="108">
        <f t="shared" si="30"/>
        <v>5.7692307692307709E-2</v>
      </c>
      <c r="L22" s="108">
        <f t="shared" si="30"/>
        <v>8.181818181818179E-2</v>
      </c>
      <c r="M22" s="108">
        <f t="shared" si="30"/>
        <v>5.8823529411764719E-2</v>
      </c>
      <c r="N22" s="108">
        <f>+N19/M19-1</f>
        <v>3.9682539682539764E-2</v>
      </c>
      <c r="O22" s="108">
        <f t="shared" ref="O22:U22" si="31">+O19/N19-1</f>
        <v>7.6335877862595325E-2</v>
      </c>
      <c r="P22" s="108">
        <f t="shared" si="31"/>
        <v>7.0921985815602939E-2</v>
      </c>
      <c r="Q22" s="108">
        <f t="shared" si="31"/>
        <v>1.9867549668874274E-2</v>
      </c>
      <c r="R22" s="108">
        <f t="shared" si="31"/>
        <v>8.4415584415584499E-2</v>
      </c>
      <c r="S22" s="108">
        <f>+S19/R19-1</f>
        <v>0.10179640718562877</v>
      </c>
      <c r="T22" s="108">
        <f t="shared" si="31"/>
        <v>0.11956521739130443</v>
      </c>
      <c r="U22" s="108">
        <f t="shared" si="31"/>
        <v>6.7961165048543659E-2</v>
      </c>
      <c r="V22" s="108">
        <f t="shared" ref="V22:AA22" si="32">+V19/U19-1</f>
        <v>5.9090909090909083E-2</v>
      </c>
      <c r="W22" s="108">
        <f t="shared" si="32"/>
        <v>6.4377682403433445E-2</v>
      </c>
      <c r="X22" s="108">
        <f t="shared" si="32"/>
        <v>0.11290322580645151</v>
      </c>
      <c r="Y22" s="108">
        <f t="shared" si="32"/>
        <v>4.7101449275362306E-2</v>
      </c>
      <c r="Z22" s="108">
        <f t="shared" si="32"/>
        <v>2.076124567474058E-2</v>
      </c>
      <c r="AA22" s="108">
        <f t="shared" si="32"/>
        <v>4.067796610169494E-2</v>
      </c>
      <c r="AB22" s="108">
        <f t="shared" ref="AB22:AH22" si="33">+AB19/AA19-1</f>
        <v>1.9543973941368087E-2</v>
      </c>
      <c r="AC22" s="108">
        <f t="shared" si="33"/>
        <v>6.389776357827559E-3</v>
      </c>
      <c r="AD22" s="108">
        <f t="shared" si="33"/>
        <v>2.2222222222222143E-2</v>
      </c>
      <c r="AE22" s="108">
        <f t="shared" si="33"/>
        <v>2.1739130434782705E-2</v>
      </c>
      <c r="AF22" s="108">
        <f t="shared" si="33"/>
        <v>2.1276595744680771E-2</v>
      </c>
      <c r="AG22" s="108">
        <f t="shared" si="33"/>
        <v>2.0833333333333259E-2</v>
      </c>
      <c r="AH22" s="108">
        <f t="shared" si="33"/>
        <v>2.0408163265306145E-2</v>
      </c>
      <c r="AI22" s="190"/>
      <c r="AJ22" s="162"/>
      <c r="AK22" s="325"/>
      <c r="AL22" s="161"/>
      <c r="AM22" s="333"/>
      <c r="AN22" s="161"/>
      <c r="AO22" s="333"/>
      <c r="AP22" s="103"/>
      <c r="AQ22" s="103"/>
      <c r="AR22" s="103"/>
      <c r="AS22" s="103"/>
      <c r="AT22" s="103"/>
      <c r="AU22" s="103"/>
      <c r="AV22" s="103"/>
      <c r="AW22" s="103"/>
      <c r="AX22" s="103"/>
      <c r="AY22" s="103"/>
      <c r="AZ22" s="103"/>
    </row>
    <row r="23" spans="1:52">
      <c r="A23" s="103"/>
      <c r="B23" s="103"/>
      <c r="C23" s="103"/>
      <c r="D23" s="103"/>
      <c r="E23" s="103"/>
      <c r="F23" s="103"/>
      <c r="G23" s="103"/>
      <c r="H23" s="108"/>
      <c r="I23" s="108"/>
      <c r="J23" s="162"/>
      <c r="K23" s="103"/>
      <c r="L23" s="103"/>
      <c r="M23" s="103"/>
      <c r="N23" s="103"/>
      <c r="O23" s="103"/>
      <c r="P23" s="103"/>
      <c r="Q23" s="103"/>
      <c r="R23" s="103"/>
      <c r="S23" s="103"/>
      <c r="T23" s="103"/>
      <c r="U23" s="103"/>
      <c r="V23" s="103"/>
      <c r="W23" s="103"/>
      <c r="X23" s="103"/>
      <c r="Y23" s="103"/>
      <c r="Z23" s="103"/>
      <c r="AA23" s="103"/>
      <c r="AB23" s="103"/>
      <c r="AC23" s="103"/>
      <c r="AD23" s="103"/>
      <c r="AE23" s="103"/>
      <c r="AF23" s="103"/>
      <c r="AG23" s="103"/>
      <c r="AH23" s="103"/>
      <c r="AI23" s="190"/>
      <c r="AJ23" s="162"/>
      <c r="AK23" s="325"/>
      <c r="AL23" s="239"/>
      <c r="AM23" s="333"/>
      <c r="AN23" s="239"/>
      <c r="AO23" s="333"/>
      <c r="AP23" s="103"/>
      <c r="AQ23" s="103"/>
      <c r="AR23" s="103"/>
      <c r="AS23" s="103"/>
      <c r="AT23" s="103"/>
      <c r="AU23" s="103"/>
      <c r="AV23" s="103"/>
      <c r="AW23" s="103"/>
      <c r="AX23" s="103"/>
      <c r="AY23" s="103"/>
      <c r="AZ23" s="103"/>
    </row>
    <row r="24" spans="1:52">
      <c r="A24" s="110" t="s">
        <v>1976</v>
      </c>
      <c r="B24" s="937">
        <f>B7/B20</f>
        <v>0</v>
      </c>
      <c r="C24" s="937">
        <f>C7/C20</f>
        <v>10.015659397715472</v>
      </c>
      <c r="D24" s="937">
        <f t="shared" ref="D24:W24" si="34">D7/D20</f>
        <v>8.0375666666666667</v>
      </c>
      <c r="E24" s="937">
        <f t="shared" si="34"/>
        <v>9.5814400000000006</v>
      </c>
      <c r="F24" s="937">
        <f t="shared" si="34"/>
        <v>8.8081641791044785</v>
      </c>
      <c r="G24" s="937">
        <f t="shared" si="34"/>
        <v>9.8612638888888888</v>
      </c>
      <c r="H24" s="937">
        <f t="shared" si="34"/>
        <v>10.532384615384617</v>
      </c>
      <c r="I24" s="937">
        <f t="shared" si="34"/>
        <v>10.310881355932203</v>
      </c>
      <c r="J24" s="937">
        <f t="shared" si="34"/>
        <v>10.560630000000002</v>
      </c>
      <c r="K24" s="937">
        <f t="shared" si="34"/>
        <v>12.467588785046729</v>
      </c>
      <c r="L24" s="937">
        <f t="shared" si="34"/>
        <v>13.209563318777292</v>
      </c>
      <c r="M24" s="937">
        <f t="shared" si="34"/>
        <v>11.802612244897961</v>
      </c>
      <c r="N24" s="937">
        <f t="shared" si="34"/>
        <v>11.698856031128404</v>
      </c>
      <c r="O24" s="937">
        <f t="shared" si="34"/>
        <v>13.195632352941177</v>
      </c>
      <c r="P24" s="937">
        <f t="shared" si="34"/>
        <v>13.52195205479452</v>
      </c>
      <c r="Q24" s="937">
        <f t="shared" si="34"/>
        <v>13.910636065573772</v>
      </c>
      <c r="R24" s="937">
        <f t="shared" si="34"/>
        <v>14.561171339563865</v>
      </c>
      <c r="S24" s="937">
        <f t="shared" si="34"/>
        <v>16.280381766381765</v>
      </c>
      <c r="T24" s="937">
        <f t="shared" si="34"/>
        <v>14.134861538461537</v>
      </c>
      <c r="U24" s="937">
        <f t="shared" si="34"/>
        <v>12.471723004694837</v>
      </c>
      <c r="V24" s="937">
        <f t="shared" si="34"/>
        <v>13.382498896247238</v>
      </c>
      <c r="W24" s="937">
        <f t="shared" si="34"/>
        <v>14.934066528066529</v>
      </c>
      <c r="X24" s="937">
        <f t="shared" ref="X24:AC24" si="35">X7/X20</f>
        <v>14.205118320610687</v>
      </c>
      <c r="Y24" s="937">
        <f t="shared" si="35"/>
        <v>13.875734513274335</v>
      </c>
      <c r="Z24" s="937">
        <f>Z7/Z20</f>
        <v>14.078181506849317</v>
      </c>
      <c r="AA24" s="937">
        <f>AA7/AA20</f>
        <v>13.278737541528239</v>
      </c>
      <c r="AB24" s="937">
        <f t="shared" si="35"/>
        <v>12.590322580645159</v>
      </c>
      <c r="AC24" s="937">
        <f t="shared" si="35"/>
        <v>12.882484076433123</v>
      </c>
      <c r="AD24" s="937">
        <f>AD7/AD20</f>
        <v>13.355367140476663</v>
      </c>
      <c r="AE24" s="937">
        <f>AE7/AE20</f>
        <v>13.792843216371192</v>
      </c>
      <c r="AF24" s="937">
        <f>AF7/AF20</f>
        <v>14.227062024668344</v>
      </c>
      <c r="AG24" s="937">
        <f>AG7/AG20</f>
        <v>14.526469768556275</v>
      </c>
      <c r="AH24" s="937">
        <f>AH7/AH20</f>
        <v>14.827791891449204</v>
      </c>
      <c r="AI24" s="190"/>
      <c r="AJ24" s="162"/>
      <c r="AK24" s="325"/>
      <c r="AL24" s="239"/>
      <c r="AM24" s="333"/>
      <c r="AN24" s="239"/>
      <c r="AO24" s="333"/>
      <c r="AP24" s="103"/>
      <c r="AQ24" s="103"/>
      <c r="AR24" s="103"/>
      <c r="AS24" s="103"/>
      <c r="AT24" s="103"/>
      <c r="AU24" s="103"/>
      <c r="AV24" s="103"/>
      <c r="AW24" s="103"/>
      <c r="AX24" s="103"/>
      <c r="AY24" s="103"/>
      <c r="AZ24" s="103"/>
    </row>
    <row r="25" spans="1:52">
      <c r="A25" s="110" t="s">
        <v>1971</v>
      </c>
      <c r="B25" s="112"/>
      <c r="C25" s="112" t="e">
        <f>C24/B24-1</f>
        <v>#DIV/0!</v>
      </c>
      <c r="D25" s="112">
        <f>D24/C24-1</f>
        <v>-0.19750000000000001</v>
      </c>
      <c r="E25" s="112">
        <f>E24/D24-1</f>
        <v>0.19208218075951677</v>
      </c>
      <c r="F25" s="112">
        <f>F24/E24-1</f>
        <v>-8.0705595494573013E-2</v>
      </c>
      <c r="G25" s="112">
        <f t="shared" ref="G25:U25" si="36">G24/F24-1</f>
        <v>0.11955950052369246</v>
      </c>
      <c r="H25" s="112">
        <f t="shared" si="36"/>
        <v>6.8056258716685303E-2</v>
      </c>
      <c r="I25" s="112">
        <f>I24/H24-1</f>
        <v>-2.1030684649406384E-2</v>
      </c>
      <c r="J25" s="112">
        <f>J24/I24-1</f>
        <v>2.4221852181832038E-2</v>
      </c>
      <c r="K25" s="112">
        <f t="shared" si="36"/>
        <v>0.18057244549299867</v>
      </c>
      <c r="L25" s="112">
        <f t="shared" si="36"/>
        <v>5.9512271901401403E-2</v>
      </c>
      <c r="M25" s="112">
        <f t="shared" si="36"/>
        <v>-0.10651003670040782</v>
      </c>
      <c r="N25" s="112">
        <f t="shared" si="36"/>
        <v>-8.7909533598724554E-3</v>
      </c>
      <c r="O25" s="112">
        <f t="shared" si="36"/>
        <v>0.12794210970971331</v>
      </c>
      <c r="P25" s="112">
        <f t="shared" si="36"/>
        <v>2.4729372047153975E-2</v>
      </c>
      <c r="Q25" s="112">
        <f t="shared" si="36"/>
        <v>2.8744667131210155E-2</v>
      </c>
      <c r="R25" s="112">
        <f t="shared" si="36"/>
        <v>4.6765314750778719E-2</v>
      </c>
      <c r="S25" s="112">
        <f t="shared" si="36"/>
        <v>0.11806814072345051</v>
      </c>
      <c r="T25" s="112">
        <f t="shared" si="36"/>
        <v>-0.13178562141279926</v>
      </c>
      <c r="U25" s="112">
        <f t="shared" si="36"/>
        <v>-0.11766217371434673</v>
      </c>
      <c r="V25" s="112">
        <f t="shared" ref="V25:AA25" si="37">V24/U24-1</f>
        <v>7.3027270667376909E-2</v>
      </c>
      <c r="W25" s="112">
        <f t="shared" si="37"/>
        <v>0.1159400530385537</v>
      </c>
      <c r="X25" s="112">
        <f t="shared" si="37"/>
        <v>-4.8811099514381007E-2</v>
      </c>
      <c r="Y25" s="112">
        <f t="shared" si="37"/>
        <v>-2.3187684882458037E-2</v>
      </c>
      <c r="Z25" s="112">
        <f t="shared" si="37"/>
        <v>1.4590001947738962E-2</v>
      </c>
      <c r="AA25" s="112">
        <f t="shared" si="37"/>
        <v>-5.678602488056661E-2</v>
      </c>
      <c r="AB25" s="112">
        <f t="shared" ref="AB25:AH25" si="38">AB24/AA24-1</f>
        <v>-5.1843404444896546E-2</v>
      </c>
      <c r="AC25" s="112">
        <f t="shared" si="38"/>
        <v>2.3205243067965453E-2</v>
      </c>
      <c r="AD25" s="112">
        <f t="shared" si="38"/>
        <v>3.6707444095243957E-2</v>
      </c>
      <c r="AE25" s="112">
        <f t="shared" si="38"/>
        <v>3.2756574289047657E-2</v>
      </c>
      <c r="AF25" s="112">
        <f t="shared" si="38"/>
        <v>3.1481457556318926E-2</v>
      </c>
      <c r="AG25" s="112">
        <f t="shared" si="38"/>
        <v>2.1044945426454742E-2</v>
      </c>
      <c r="AH25" s="112">
        <f t="shared" si="38"/>
        <v>2.0742969743768436E-2</v>
      </c>
      <c r="AI25" s="190"/>
      <c r="AJ25" s="162"/>
      <c r="AK25" s="325"/>
      <c r="AL25" s="239"/>
      <c r="AM25" s="333"/>
      <c r="AN25" s="239"/>
      <c r="AO25" s="333"/>
      <c r="AP25" s="103"/>
      <c r="AQ25" s="103"/>
      <c r="AR25" s="103"/>
      <c r="AS25" s="103"/>
      <c r="AT25" s="103"/>
      <c r="AU25" s="103"/>
      <c r="AV25" s="103"/>
      <c r="AW25" s="103"/>
      <c r="AX25" s="103"/>
      <c r="AY25" s="103"/>
      <c r="AZ25" s="103"/>
    </row>
    <row r="26" spans="1:52">
      <c r="A26" s="113"/>
      <c r="B26" s="103"/>
      <c r="C26" s="103"/>
      <c r="D26" s="103"/>
      <c r="E26" s="103"/>
      <c r="F26" s="103"/>
      <c r="G26" s="103"/>
      <c r="H26" s="103"/>
      <c r="I26" s="103"/>
      <c r="J26" s="103"/>
      <c r="K26" s="103"/>
      <c r="L26" s="103"/>
      <c r="M26" s="103"/>
      <c r="N26" s="103"/>
      <c r="O26" s="103"/>
      <c r="P26" s="103"/>
      <c r="Q26" s="103"/>
      <c r="R26" s="103"/>
      <c r="S26" s="103"/>
      <c r="T26" s="103"/>
      <c r="U26" s="103"/>
      <c r="V26" s="103"/>
      <c r="W26" s="103"/>
      <c r="X26" s="103"/>
      <c r="Y26" s="103"/>
      <c r="Z26" s="103"/>
      <c r="AA26" s="103"/>
      <c r="AB26" s="103"/>
      <c r="AC26" s="103"/>
      <c r="AD26" s="103"/>
      <c r="AE26" s="103"/>
      <c r="AF26" s="103"/>
      <c r="AG26" s="103"/>
      <c r="AH26" s="103"/>
      <c r="AI26" s="190"/>
      <c r="AJ26" s="162"/>
      <c r="AK26" s="325"/>
      <c r="AL26" s="239"/>
      <c r="AM26" s="333"/>
      <c r="AN26" s="239"/>
      <c r="AO26" s="333"/>
      <c r="AP26" s="103"/>
      <c r="AQ26" s="103"/>
      <c r="AR26" s="103"/>
      <c r="AS26" s="103"/>
      <c r="AT26" s="103"/>
      <c r="AU26" s="103"/>
      <c r="AV26" s="103"/>
      <c r="AW26" s="103"/>
      <c r="AX26" s="103"/>
      <c r="AY26" s="103"/>
      <c r="AZ26" s="103"/>
    </row>
    <row r="27" spans="1:52">
      <c r="A27" s="110" t="s">
        <v>1977</v>
      </c>
      <c r="B27" s="111"/>
      <c r="C27" s="111">
        <f>+(C30+B30)/2</f>
        <v>0</v>
      </c>
      <c r="D27" s="111">
        <f t="shared" ref="D27:U27" si="39">+(D30+C30)/2</f>
        <v>0</v>
      </c>
      <c r="E27" s="111">
        <f>+(E30+D30)/2</f>
        <v>0.20590625000000001</v>
      </c>
      <c r="F27" s="111">
        <f>+(F30+E30)/2</f>
        <v>0.42243750000000002</v>
      </c>
      <c r="G27" s="111">
        <f t="shared" si="39"/>
        <v>0.44806249999999997</v>
      </c>
      <c r="H27" s="111">
        <f>+(H30+G30)/2</f>
        <v>0.42875624999999995</v>
      </c>
      <c r="I27" s="111">
        <f>+(I30+H30)/2</f>
        <v>0.41244999999999998</v>
      </c>
      <c r="J27" s="111">
        <f t="shared" si="39"/>
        <v>0.45095000000000002</v>
      </c>
      <c r="K27" s="111">
        <f t="shared" si="39"/>
        <v>0.49395</v>
      </c>
      <c r="L27" s="111">
        <f t="shared" si="39"/>
        <v>0.53844999999999998</v>
      </c>
      <c r="M27" s="111">
        <f t="shared" si="39"/>
        <v>0.58472499999999994</v>
      </c>
      <c r="N27" s="111">
        <f t="shared" si="39"/>
        <v>0.62549999999999994</v>
      </c>
      <c r="O27" s="111">
        <f t="shared" si="39"/>
        <v>0.65700000000000003</v>
      </c>
      <c r="P27" s="111">
        <f>+(P30+O30)/2</f>
        <v>0.69850000000000001</v>
      </c>
      <c r="Q27" s="202">
        <f>+(Q30+P30)/2</f>
        <v>0.7350000000000001</v>
      </c>
      <c r="R27" s="202">
        <f t="shared" si="39"/>
        <v>0.76850000000000007</v>
      </c>
      <c r="S27" s="202">
        <f>+(S30+R30)/2</f>
        <v>0.82600000000000007</v>
      </c>
      <c r="T27" s="202">
        <f>+(T30+S30)/2</f>
        <v>0.89750000000000008</v>
      </c>
      <c r="U27" s="202">
        <f t="shared" si="39"/>
        <v>0.95860000000000012</v>
      </c>
      <c r="V27" s="202">
        <f t="shared" ref="V27:AA27" si="40">+(V30+U30)/2</f>
        <v>1.01065</v>
      </c>
      <c r="W27" s="202">
        <f t="shared" si="40"/>
        <v>1.0528999999999999</v>
      </c>
      <c r="X27" s="202">
        <f t="shared" si="40"/>
        <v>1.1057250000000001</v>
      </c>
      <c r="Y27" s="202">
        <f t="shared" si="40"/>
        <v>1.164825</v>
      </c>
      <c r="Z27" s="202">
        <f>+(Z30+Y30)/2</f>
        <v>1.1971499999999997</v>
      </c>
      <c r="AA27" s="202">
        <f t="shared" si="40"/>
        <v>1.2293499999999999</v>
      </c>
      <c r="AB27" s="202">
        <f t="shared" ref="AB27:AH27" si="41">+(AB30+AA30)/2</f>
        <v>1.2653000000000001</v>
      </c>
      <c r="AC27" s="202">
        <f t="shared" si="41"/>
        <v>1.30125</v>
      </c>
      <c r="AD27" s="202">
        <f t="shared" si="41"/>
        <v>1.3238499999999997</v>
      </c>
      <c r="AE27" s="202">
        <f t="shared" si="41"/>
        <v>1.3441499999999997</v>
      </c>
      <c r="AF27" s="202">
        <f t="shared" si="41"/>
        <v>1.3794499999999998</v>
      </c>
      <c r="AG27" s="202">
        <f t="shared" si="41"/>
        <v>1.41475</v>
      </c>
      <c r="AH27" s="202">
        <f t="shared" si="41"/>
        <v>1.4500499999999998</v>
      </c>
      <c r="AI27" s="190"/>
      <c r="AJ27" s="161">
        <f>RATE(5,,-W27,AB27)*100</f>
        <v>3.7435909529121769</v>
      </c>
      <c r="AK27" s="327" t="s">
        <v>1970</v>
      </c>
      <c r="AL27" s="161">
        <f>((Y27/W27)^(1/2)-1)*100</f>
        <v>5.1808748338315835</v>
      </c>
      <c r="AM27" s="333" t="s">
        <v>1970</v>
      </c>
      <c r="AN27" s="161">
        <f>RATE(6,,-AB27,AH27)*100</f>
        <v>2.2974743902369803</v>
      </c>
      <c r="AO27" s="333" t="s">
        <v>1970</v>
      </c>
      <c r="AP27" s="103"/>
      <c r="AQ27" s="103"/>
      <c r="AR27" s="103"/>
      <c r="AS27" s="103"/>
      <c r="AT27" s="103"/>
      <c r="AU27" s="103"/>
      <c r="AV27" s="103"/>
      <c r="AW27" s="103"/>
      <c r="AX27" s="103"/>
      <c r="AY27" s="103"/>
      <c r="AZ27" s="103"/>
    </row>
    <row r="28" spans="1:52">
      <c r="A28" s="110" t="s">
        <v>153</v>
      </c>
      <c r="B28" s="108"/>
      <c r="C28" s="108"/>
      <c r="D28" s="108"/>
      <c r="E28" s="108" t="e">
        <f>+E27/D27-1</f>
        <v>#DIV/0!</v>
      </c>
      <c r="F28" s="108">
        <f>+F27/E27-1</f>
        <v>1.0516011534375473</v>
      </c>
      <c r="G28" s="108">
        <f>+G27/F27-1</f>
        <v>6.0659860926172371E-2</v>
      </c>
      <c r="H28" s="108">
        <f>+H27/G27-1</f>
        <v>-4.3088296833589168E-2</v>
      </c>
      <c r="I28" s="108">
        <f t="shared" ref="I28:O28" si="42">+I27/H27-1</f>
        <v>-3.8031515575574604E-2</v>
      </c>
      <c r="J28" s="108">
        <f t="shared" si="42"/>
        <v>9.3344647836101524E-2</v>
      </c>
      <c r="K28" s="108">
        <f t="shared" si="42"/>
        <v>9.5354252134382866E-2</v>
      </c>
      <c r="L28" s="108">
        <f t="shared" si="42"/>
        <v>9.0090090090090058E-2</v>
      </c>
      <c r="M28" s="108">
        <f t="shared" si="42"/>
        <v>8.5941127309870913E-2</v>
      </c>
      <c r="N28" s="108">
        <f t="shared" si="42"/>
        <v>6.9733635469665156E-2</v>
      </c>
      <c r="O28" s="108">
        <f t="shared" si="42"/>
        <v>5.0359712230215958E-2</v>
      </c>
      <c r="P28" s="108">
        <f t="shared" ref="P28:U28" si="43">+P27/O27-1</f>
        <v>6.3165905631659136E-2</v>
      </c>
      <c r="Q28" s="108">
        <f t="shared" si="43"/>
        <v>5.2254831782390987E-2</v>
      </c>
      <c r="R28" s="108">
        <f t="shared" si="43"/>
        <v>4.5578231292517035E-2</v>
      </c>
      <c r="S28" s="108">
        <f t="shared" si="43"/>
        <v>7.4821080026024722E-2</v>
      </c>
      <c r="T28" s="108">
        <f t="shared" si="43"/>
        <v>8.6561743341404318E-2</v>
      </c>
      <c r="U28" s="108">
        <f t="shared" si="43"/>
        <v>6.8077994428969335E-2</v>
      </c>
      <c r="V28" s="108">
        <f t="shared" ref="V28:AA28" si="44">+V27/U27-1</f>
        <v>5.4297934487794519E-2</v>
      </c>
      <c r="W28" s="108">
        <f t="shared" si="44"/>
        <v>4.1804779102557754E-2</v>
      </c>
      <c r="X28" s="108">
        <f t="shared" si="44"/>
        <v>5.0170956406116574E-2</v>
      </c>
      <c r="Y28" s="108">
        <f t="shared" si="44"/>
        <v>5.3449094485518378E-2</v>
      </c>
      <c r="Z28" s="108">
        <f t="shared" si="44"/>
        <v>2.7750949713476025E-2</v>
      </c>
      <c r="AA28" s="108">
        <f t="shared" si="44"/>
        <v>2.6897214217099119E-2</v>
      </c>
      <c r="AB28" s="108">
        <f t="shared" ref="AB28:AH28" si="45">+AB27/AA27-1</f>
        <v>2.9243095945011621E-2</v>
      </c>
      <c r="AC28" s="108">
        <f t="shared" si="45"/>
        <v>2.8412234252746416E-2</v>
      </c>
      <c r="AD28" s="108">
        <f t="shared" si="45"/>
        <v>1.7367915465897887E-2</v>
      </c>
      <c r="AE28" s="108">
        <f t="shared" si="45"/>
        <v>1.533406352683464E-2</v>
      </c>
      <c r="AF28" s="108">
        <f t="shared" si="45"/>
        <v>2.6261949931183359E-2</v>
      </c>
      <c r="AG28" s="108">
        <f t="shared" si="45"/>
        <v>2.5589909021711543E-2</v>
      </c>
      <c r="AH28" s="108">
        <f t="shared" si="45"/>
        <v>2.495140484184466E-2</v>
      </c>
      <c r="AI28" s="190"/>
      <c r="AJ28" s="162"/>
      <c r="AK28" s="325"/>
      <c r="AL28" s="239"/>
      <c r="AM28" s="333"/>
      <c r="AN28" s="239"/>
      <c r="AO28" s="333"/>
      <c r="AP28" s="103"/>
      <c r="AQ28" s="103"/>
      <c r="AR28" s="103"/>
      <c r="AS28" s="103"/>
      <c r="AT28" s="103"/>
      <c r="AU28" s="103"/>
      <c r="AV28" s="103"/>
      <c r="AW28" s="103"/>
      <c r="AX28" s="103"/>
      <c r="AY28" s="103"/>
      <c r="AZ28" s="103"/>
    </row>
    <row r="29" spans="1:52">
      <c r="A29" s="110"/>
      <c r="B29" s="108"/>
      <c r="C29" s="108"/>
      <c r="D29" s="108"/>
      <c r="E29" s="108"/>
      <c r="F29" s="108"/>
      <c r="G29" s="108"/>
      <c r="H29" s="108"/>
      <c r="I29" s="108"/>
      <c r="J29" s="108"/>
      <c r="K29" s="108"/>
      <c r="L29" s="202"/>
      <c r="M29" s="108"/>
      <c r="N29" s="108"/>
      <c r="O29" s="108"/>
      <c r="P29" s="108"/>
      <c r="Q29" s="108"/>
      <c r="R29" s="108"/>
      <c r="S29" s="108"/>
      <c r="T29" s="108"/>
      <c r="U29" s="939"/>
      <c r="V29" s="939"/>
      <c r="W29" s="939"/>
      <c r="X29" s="939"/>
      <c r="Y29" s="939"/>
      <c r="Z29" s="939"/>
      <c r="AA29" s="939"/>
      <c r="AB29" s="939"/>
      <c r="AC29" s="939"/>
      <c r="AD29" s="939"/>
      <c r="AE29" s="939"/>
      <c r="AF29" s="939"/>
      <c r="AG29" s="939"/>
      <c r="AH29" s="939"/>
      <c r="AI29" s="190"/>
      <c r="AJ29" s="162"/>
      <c r="AK29" s="325"/>
      <c r="AL29" s="239"/>
      <c r="AM29" s="333"/>
      <c r="AN29" s="239"/>
      <c r="AO29" s="333"/>
      <c r="AP29" s="103"/>
      <c r="AQ29" s="103"/>
      <c r="AR29" s="103"/>
      <c r="AS29" s="103"/>
      <c r="AT29" s="103"/>
      <c r="AU29" s="103"/>
      <c r="AV29" s="103"/>
      <c r="AW29" s="103"/>
      <c r="AX29" s="103"/>
      <c r="AY29" s="103"/>
      <c r="AZ29" s="103"/>
    </row>
    <row r="30" spans="1:52">
      <c r="A30" s="110" t="s">
        <v>1940</v>
      </c>
      <c r="B30" s="202"/>
      <c r="C30" s="202"/>
      <c r="D30" s="202"/>
      <c r="E30" s="202">
        <f t="shared" ref="E30:S30" si="46">E263+E324</f>
        <v>0.41181250000000003</v>
      </c>
      <c r="F30" s="202">
        <f t="shared" si="46"/>
        <v>0.43306250000000002</v>
      </c>
      <c r="G30" s="202">
        <f t="shared" si="46"/>
        <v>0.46306249999999993</v>
      </c>
      <c r="H30" s="202">
        <f>H263+H324</f>
        <v>0.39444999999999997</v>
      </c>
      <c r="I30" s="202">
        <f t="shared" si="46"/>
        <v>0.43045</v>
      </c>
      <c r="J30" s="202">
        <f t="shared" si="46"/>
        <v>0.47145000000000004</v>
      </c>
      <c r="K30" s="202">
        <f t="shared" si="46"/>
        <v>0.51644999999999996</v>
      </c>
      <c r="L30" s="202">
        <f t="shared" si="46"/>
        <v>0.56045</v>
      </c>
      <c r="M30" s="202">
        <f t="shared" si="46"/>
        <v>0.60899999999999999</v>
      </c>
      <c r="N30" s="202">
        <f t="shared" si="46"/>
        <v>0.64200000000000002</v>
      </c>
      <c r="O30" s="202">
        <f t="shared" si="46"/>
        <v>0.67199999999999993</v>
      </c>
      <c r="P30" s="202">
        <f t="shared" si="46"/>
        <v>0.72500000000000009</v>
      </c>
      <c r="Q30" s="202">
        <f t="shared" si="46"/>
        <v>0.74500000000000011</v>
      </c>
      <c r="R30" s="202">
        <f t="shared" si="46"/>
        <v>0.79200000000000004</v>
      </c>
      <c r="S30" s="202">
        <f t="shared" si="46"/>
        <v>0.8600000000000001</v>
      </c>
      <c r="T30" s="202">
        <f>Stores!$AZ$243</f>
        <v>0.93500000000000005</v>
      </c>
      <c r="U30" s="202">
        <f>Stores!$AZ$251</f>
        <v>0.98220000000000007</v>
      </c>
      <c r="V30" s="202">
        <f>+Stores!AZ258</f>
        <v>1.0390999999999999</v>
      </c>
      <c r="W30" s="202">
        <f>+Stores!AZ265</f>
        <v>1.0667</v>
      </c>
      <c r="X30" s="202">
        <f>+Stores!AZ272</f>
        <v>1.1447499999999999</v>
      </c>
      <c r="Y30" s="202">
        <f t="shared" ref="Y30:AD30" si="47">Y73+Y112+Y150+Y188</f>
        <v>1.1848999999999998</v>
      </c>
      <c r="Z30" s="202">
        <f>Z73+Z112+Z150+Z188</f>
        <v>1.2093999999999998</v>
      </c>
      <c r="AA30" s="202">
        <f>+Stores!AZ293</f>
        <v>1.2493000000000001</v>
      </c>
      <c r="AB30" s="202">
        <f>+Stores!AZ300</f>
        <v>1.2813000000000001</v>
      </c>
      <c r="AC30" s="2470">
        <f>+Stores!AZ307</f>
        <v>1.3211999999999999</v>
      </c>
      <c r="AD30" s="202">
        <f t="shared" si="47"/>
        <v>1.3264999999999998</v>
      </c>
      <c r="AE30" s="202">
        <f>AE73+AE112+AE150+AE188</f>
        <v>1.3617999999999997</v>
      </c>
      <c r="AF30" s="202">
        <f>AF73+AF112+AF150+AF188</f>
        <v>1.3971</v>
      </c>
      <c r="AG30" s="202">
        <f>AG73+AG112+AG150+AG188</f>
        <v>1.4323999999999999</v>
      </c>
      <c r="AH30" s="202">
        <f>AH73+AH112+AH150+AH188</f>
        <v>1.4676999999999998</v>
      </c>
      <c r="AI30" s="190"/>
      <c r="AJ30" s="161">
        <f>RATE(5,,-W30,AB30)*100</f>
        <v>3.7341389014245552</v>
      </c>
      <c r="AK30" s="327" t="s">
        <v>1970</v>
      </c>
      <c r="AL30" s="161">
        <f>((Y30/W30)^(1/2)-1)*100</f>
        <v>5.3949257420672359</v>
      </c>
      <c r="AM30" s="333" t="s">
        <v>1970</v>
      </c>
      <c r="AN30" s="161">
        <f>RATE(6,,-AB30,AH30)*100</f>
        <v>2.2895052452087845</v>
      </c>
      <c r="AO30" s="333" t="s">
        <v>1970</v>
      </c>
      <c r="AP30" s="103"/>
      <c r="AQ30" s="103"/>
      <c r="AR30" s="103"/>
      <c r="AS30" s="103"/>
      <c r="AT30" s="103"/>
      <c r="AU30" s="103"/>
      <c r="AV30" s="103"/>
      <c r="AW30" s="103"/>
      <c r="AX30" s="103"/>
      <c r="AY30" s="103"/>
      <c r="AZ30" s="103"/>
    </row>
    <row r="31" spans="1:52">
      <c r="A31" s="110" t="s">
        <v>1971</v>
      </c>
      <c r="B31" s="108">
        <f>+B30/3.59-1</f>
        <v>-1</v>
      </c>
      <c r="C31" s="108" t="e">
        <f>C30/B30-1</f>
        <v>#DIV/0!</v>
      </c>
      <c r="D31" s="108"/>
      <c r="E31" s="108"/>
      <c r="F31" s="108"/>
      <c r="G31" s="108"/>
      <c r="H31" s="108">
        <f t="shared" ref="H31:O31" si="48">+H30/G30-1</f>
        <v>-0.14817114320421099</v>
      </c>
      <c r="I31" s="108">
        <f t="shared" si="48"/>
        <v>9.1266320192673334E-2</v>
      </c>
      <c r="J31" s="108">
        <f t="shared" si="48"/>
        <v>9.5249157858055655E-2</v>
      </c>
      <c r="K31" s="108">
        <f t="shared" si="48"/>
        <v>9.5450206808781246E-2</v>
      </c>
      <c r="L31" s="108">
        <f t="shared" si="48"/>
        <v>8.5197018104366418E-2</v>
      </c>
      <c r="M31" s="108">
        <f t="shared" si="48"/>
        <v>8.6626817735748096E-2</v>
      </c>
      <c r="N31" s="108">
        <f t="shared" si="48"/>
        <v>5.4187192118226646E-2</v>
      </c>
      <c r="O31" s="108">
        <f t="shared" si="48"/>
        <v>4.6728971962616717E-2</v>
      </c>
      <c r="P31" s="108">
        <f t="shared" ref="P31:U31" si="49">+P30/O30-1</f>
        <v>7.8869047619047894E-2</v>
      </c>
      <c r="Q31" s="108">
        <f>+Q30/P30-1</f>
        <v>2.7586206896551779E-2</v>
      </c>
      <c r="R31" s="108">
        <f t="shared" si="49"/>
        <v>6.3087248322147627E-2</v>
      </c>
      <c r="S31" s="108">
        <f>+S30/R30-1</f>
        <v>8.5858585858585856E-2</v>
      </c>
      <c r="T31" s="108">
        <f t="shared" si="49"/>
        <v>8.7209302325581328E-2</v>
      </c>
      <c r="U31" s="108">
        <f t="shared" si="49"/>
        <v>5.0481283422459944E-2</v>
      </c>
      <c r="V31" s="108">
        <f t="shared" ref="V31:AA31" si="50">+V30/U30-1</f>
        <v>5.7931174913459449E-2</v>
      </c>
      <c r="W31" s="108">
        <f t="shared" si="50"/>
        <v>2.6561447406409533E-2</v>
      </c>
      <c r="X31" s="108">
        <f t="shared" si="50"/>
        <v>7.3169588450360923E-2</v>
      </c>
      <c r="Y31" s="108">
        <f t="shared" si="50"/>
        <v>3.5073160078619603E-2</v>
      </c>
      <c r="Z31" s="108">
        <f t="shared" si="50"/>
        <v>2.0676850367119526E-2</v>
      </c>
      <c r="AA31" s="108">
        <f t="shared" si="50"/>
        <v>3.299156606581799E-2</v>
      </c>
      <c r="AB31" s="108">
        <f t="shared" ref="AB31:AH31" si="51">+AB30/AA30-1</f>
        <v>2.5614344032658387E-2</v>
      </c>
      <c r="AC31" s="108">
        <f t="shared" si="51"/>
        <v>3.1140248185436592E-2</v>
      </c>
      <c r="AD31" s="108">
        <f t="shared" si="51"/>
        <v>4.0115046927033937E-3</v>
      </c>
      <c r="AE31" s="108">
        <f t="shared" si="51"/>
        <v>2.6611383339615546E-2</v>
      </c>
      <c r="AF31" s="108">
        <f t="shared" si="51"/>
        <v>2.5921574386841284E-2</v>
      </c>
      <c r="AG31" s="108">
        <f t="shared" si="51"/>
        <v>2.5266623720563874E-2</v>
      </c>
      <c r="AH31" s="108">
        <f t="shared" si="51"/>
        <v>2.4643954202736573E-2</v>
      </c>
      <c r="AI31" s="190"/>
      <c r="AJ31" s="162"/>
      <c r="AK31" s="325"/>
      <c r="AL31" s="239"/>
      <c r="AM31" s="333"/>
      <c r="AN31" s="239"/>
      <c r="AO31" s="333"/>
      <c r="AP31" s="103"/>
      <c r="AQ31" s="103"/>
      <c r="AR31" s="103"/>
      <c r="AS31" s="103"/>
      <c r="AT31" s="103"/>
      <c r="AU31" s="103"/>
      <c r="AV31" s="103"/>
      <c r="AW31" s="103"/>
      <c r="AX31" s="103"/>
      <c r="AY31" s="103"/>
      <c r="AZ31" s="103"/>
    </row>
    <row r="32" spans="1:52">
      <c r="A32" s="113"/>
      <c r="B32" s="103"/>
      <c r="C32" s="103"/>
      <c r="D32" s="103"/>
      <c r="E32" s="103"/>
      <c r="F32" s="103"/>
      <c r="G32" s="103"/>
      <c r="H32" s="103"/>
      <c r="I32" s="103"/>
      <c r="J32" s="103"/>
      <c r="K32" s="103"/>
      <c r="L32" s="108"/>
      <c r="M32" s="103"/>
      <c r="N32" s="103"/>
      <c r="O32" s="103"/>
      <c r="P32" s="103"/>
      <c r="Q32" s="103"/>
      <c r="R32" s="103"/>
      <c r="S32" s="103"/>
      <c r="T32" s="103"/>
      <c r="U32" s="103"/>
      <c r="V32" s="103"/>
      <c r="W32" s="103"/>
      <c r="X32" s="103"/>
      <c r="Y32" s="103"/>
      <c r="Z32" s="103"/>
      <c r="AA32" s="103"/>
      <c r="AB32" s="103"/>
      <c r="AC32" s="103"/>
      <c r="AD32" s="103"/>
      <c r="AE32" s="103"/>
      <c r="AF32" s="103"/>
      <c r="AG32" s="103"/>
      <c r="AH32" s="103"/>
      <c r="AI32" s="190"/>
      <c r="AJ32" s="162"/>
      <c r="AK32" s="325"/>
      <c r="AL32" s="239"/>
      <c r="AM32" s="333"/>
      <c r="AN32" s="239"/>
      <c r="AO32" s="333"/>
      <c r="AP32" s="103"/>
      <c r="AQ32" s="103"/>
      <c r="AR32" s="103"/>
      <c r="AS32" s="103"/>
      <c r="AT32" s="103"/>
      <c r="AU32" s="103"/>
      <c r="AV32" s="103"/>
      <c r="AW32" s="103"/>
      <c r="AX32" s="103"/>
      <c r="AY32" s="103"/>
      <c r="AZ32" s="103"/>
    </row>
    <row r="33" spans="1:52">
      <c r="A33" s="110" t="s">
        <v>1978</v>
      </c>
      <c r="B33" s="109">
        <f t="shared" ref="B33:L33" si="52">B30/B19*1000000</f>
        <v>0</v>
      </c>
      <c r="C33" s="109">
        <f t="shared" si="52"/>
        <v>0</v>
      </c>
      <c r="D33" s="109">
        <f t="shared" si="52"/>
        <v>0</v>
      </c>
      <c r="E33" s="109">
        <f>E30/E19*1000000</f>
        <v>6335.5769230769238</v>
      </c>
      <c r="F33" s="109">
        <f t="shared" si="52"/>
        <v>6276.268115942029</v>
      </c>
      <c r="G33" s="109">
        <f>G30/G19*1000000</f>
        <v>6174.1666666666652</v>
      </c>
      <c r="H33" s="109">
        <f t="shared" si="52"/>
        <v>4869.7530864197524</v>
      </c>
      <c r="I33" s="109">
        <f>I30/I19*1000000</f>
        <v>4483.8541666666661</v>
      </c>
      <c r="J33" s="109">
        <f t="shared" si="52"/>
        <v>4533.1730769230771</v>
      </c>
      <c r="K33" s="109">
        <f>K30/K19*1000000</f>
        <v>4694.9999999999991</v>
      </c>
      <c r="L33" s="109">
        <f t="shared" si="52"/>
        <v>4709.6638655462184</v>
      </c>
      <c r="M33" s="109">
        <f>M30/M19*1000000</f>
        <v>4833.3333333333339</v>
      </c>
      <c r="N33" s="109">
        <f>N30/N19*1000000</f>
        <v>4900.7633587786268</v>
      </c>
      <c r="O33" s="109">
        <f>O30/O19*1000000</f>
        <v>4765.9574468085102</v>
      </c>
      <c r="P33" s="109">
        <f t="shared" ref="P33:U33" si="53">P30/P19*1000000</f>
        <v>4801.3245033112589</v>
      </c>
      <c r="Q33" s="584">
        <f>Q30/Q19*1000000</f>
        <v>4837.6623376623384</v>
      </c>
      <c r="R33" s="584">
        <f t="shared" si="53"/>
        <v>4742.5149700598804</v>
      </c>
      <c r="S33" s="584">
        <f t="shared" si="53"/>
        <v>4673.9130434782619</v>
      </c>
      <c r="T33" s="584">
        <f t="shared" si="53"/>
        <v>4538.8349514563106</v>
      </c>
      <c r="U33" s="584">
        <f t="shared" si="53"/>
        <v>4464.545454545455</v>
      </c>
      <c r="V33" s="584">
        <f t="shared" ref="V33:AA33" si="54">V30/V19*1000000</f>
        <v>4459.6566523605152</v>
      </c>
      <c r="W33" s="584">
        <f t="shared" si="54"/>
        <v>4301.2096774193542</v>
      </c>
      <c r="X33" s="584">
        <f t="shared" si="54"/>
        <v>4147.644927536232</v>
      </c>
      <c r="Y33" s="584">
        <f t="shared" si="54"/>
        <v>4099.9999999999991</v>
      </c>
      <c r="Z33" s="584">
        <f t="shared" si="54"/>
        <v>4099.6610169491523</v>
      </c>
      <c r="AA33" s="584">
        <f t="shared" si="54"/>
        <v>4069.3811074918572</v>
      </c>
      <c r="AB33" s="584">
        <f t="shared" ref="AB33:AG33" si="55">AB30/AB19*1000000</f>
        <v>4093.6102236421725</v>
      </c>
      <c r="AC33" s="584">
        <f t="shared" si="55"/>
        <v>4194.2857142857138</v>
      </c>
      <c r="AD33" s="584">
        <f t="shared" si="55"/>
        <v>4119.565217391304</v>
      </c>
      <c r="AE33" s="584">
        <f t="shared" si="55"/>
        <v>4139.209726443768</v>
      </c>
      <c r="AF33" s="584">
        <f t="shared" si="55"/>
        <v>4158.0357142857138</v>
      </c>
      <c r="AG33" s="584">
        <f t="shared" si="55"/>
        <v>4176.0932944606411</v>
      </c>
      <c r="AH33" s="584">
        <f>AH30/AH19*1000000</f>
        <v>4193.4285714285706</v>
      </c>
      <c r="AI33" s="191"/>
      <c r="AJ33" s="188"/>
      <c r="AK33" s="328"/>
      <c r="AL33" s="239"/>
      <c r="AM33" s="334"/>
      <c r="AN33" s="239"/>
      <c r="AO33" s="334"/>
      <c r="AP33" s="103"/>
      <c r="AQ33" s="103"/>
      <c r="AR33" s="103"/>
      <c r="AS33" s="103"/>
      <c r="AT33" s="103"/>
      <c r="AU33" s="103"/>
      <c r="AV33" s="103"/>
      <c r="AW33" s="103"/>
      <c r="AX33" s="103"/>
      <c r="AY33" s="103"/>
      <c r="AZ33" s="103"/>
    </row>
    <row r="34" spans="1:52">
      <c r="A34" s="110" t="s">
        <v>1971</v>
      </c>
      <c r="B34" s="112"/>
      <c r="C34" s="112" t="e">
        <f>C33/B33-1</f>
        <v>#DIV/0!</v>
      </c>
      <c r="D34" s="112"/>
      <c r="E34" s="112"/>
      <c r="F34" s="112"/>
      <c r="G34" s="112"/>
      <c r="H34" s="112">
        <f t="shared" ref="H34:T34" si="56">+H33/G33-1</f>
        <v>-0.21126957704093607</v>
      </c>
      <c r="I34" s="112">
        <f t="shared" si="56"/>
        <v>-7.9244042337431875E-2</v>
      </c>
      <c r="J34" s="112">
        <f t="shared" si="56"/>
        <v>1.0999222638205186E-2</v>
      </c>
      <c r="K34" s="112">
        <f t="shared" si="56"/>
        <v>3.5698377346484067E-2</v>
      </c>
      <c r="L34" s="112">
        <f t="shared" si="56"/>
        <v>3.1232940460530489E-3</v>
      </c>
      <c r="M34" s="112">
        <f t="shared" si="56"/>
        <v>2.6258661194873412E-2</v>
      </c>
      <c r="N34" s="112">
        <f t="shared" si="56"/>
        <v>1.3951039747301941E-2</v>
      </c>
      <c r="O34" s="112">
        <f t="shared" si="56"/>
        <v>-2.7507125339696681E-2</v>
      </c>
      <c r="P34" s="112">
        <f t="shared" si="56"/>
        <v>7.4207663197731755E-3</v>
      </c>
      <c r="Q34" s="112">
        <f t="shared" si="56"/>
        <v>7.5682937751904156E-3</v>
      </c>
      <c r="R34" s="112">
        <f t="shared" si="56"/>
        <v>-1.9668046457420818E-2</v>
      </c>
      <c r="S34" s="112">
        <f t="shared" si="56"/>
        <v>-1.4465305226174618E-2</v>
      </c>
      <c r="T34" s="112">
        <f t="shared" si="56"/>
        <v>-2.8900428990743077E-2</v>
      </c>
      <c r="U34" s="112">
        <f t="shared" ref="U34:AA34" si="57">+U33/T33-1</f>
        <v>-1.6367525522605675E-2</v>
      </c>
      <c r="V34" s="112">
        <f t="shared" si="57"/>
        <v>-1.0950279787077521E-3</v>
      </c>
      <c r="W34" s="112">
        <f t="shared" si="57"/>
        <v>-3.552896271897843E-2</v>
      </c>
      <c r="X34" s="112">
        <f t="shared" si="57"/>
        <v>-3.5702688638805991E-2</v>
      </c>
      <c r="Y34" s="112">
        <f t="shared" si="57"/>
        <v>-1.1487224284778552E-2</v>
      </c>
      <c r="Z34" s="112">
        <f t="shared" si="57"/>
        <v>-8.2678792889478991E-5</v>
      </c>
      <c r="AA34" s="112">
        <f t="shared" si="57"/>
        <v>-7.3859544318687353E-3</v>
      </c>
      <c r="AB34" s="112">
        <f t="shared" ref="AB34:AH34" si="58">+AB33/AA33-1</f>
        <v>5.9540051694122464E-3</v>
      </c>
      <c r="AC34" s="112">
        <f t="shared" si="58"/>
        <v>2.4593325974735292E-2</v>
      </c>
      <c r="AD34" s="112">
        <f t="shared" si="58"/>
        <v>-1.7814832365833366E-2</v>
      </c>
      <c r="AE34" s="112">
        <f t="shared" si="58"/>
        <v>4.7685879494108185E-3</v>
      </c>
      <c r="AF34" s="112">
        <f t="shared" si="58"/>
        <v>4.5482082537817714E-3</v>
      </c>
      <c r="AG34" s="112">
        <f t="shared" si="58"/>
        <v>4.3428150732056636E-3</v>
      </c>
      <c r="AH34" s="112">
        <f t="shared" si="58"/>
        <v>4.1510751186817352E-3</v>
      </c>
      <c r="AI34" s="190"/>
      <c r="AJ34" s="162"/>
      <c r="AK34" s="325"/>
      <c r="AL34" s="239"/>
      <c r="AM34" s="333"/>
      <c r="AN34" s="239"/>
      <c r="AO34" s="333"/>
      <c r="AP34" s="103"/>
      <c r="AQ34" s="103"/>
      <c r="AR34" s="103"/>
      <c r="AS34" s="103"/>
      <c r="AT34" s="103"/>
      <c r="AU34" s="103"/>
      <c r="AV34" s="103"/>
      <c r="AW34" s="103"/>
      <c r="AX34" s="103"/>
      <c r="AY34" s="103"/>
      <c r="AZ34" s="103"/>
    </row>
    <row r="35" spans="1:52">
      <c r="A35" s="113"/>
      <c r="B35" s="103"/>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90"/>
      <c r="AJ35" s="162"/>
      <c r="AK35" s="325"/>
      <c r="AL35" s="239"/>
      <c r="AM35" s="333"/>
      <c r="AN35" s="239"/>
      <c r="AO35" s="333"/>
      <c r="AP35" s="103"/>
      <c r="AQ35" s="103"/>
      <c r="AR35" s="103"/>
      <c r="AS35" s="103"/>
      <c r="AT35" s="103"/>
      <c r="AU35" s="103"/>
      <c r="AV35" s="103"/>
      <c r="AW35" s="103"/>
      <c r="AX35" s="103"/>
      <c r="AY35" s="103"/>
      <c r="AZ35" s="103"/>
    </row>
    <row r="36" spans="1:52">
      <c r="A36" s="110" t="s">
        <v>1979</v>
      </c>
      <c r="B36" s="115" t="e">
        <f>B7/(B27)</f>
        <v>#DIV/0!</v>
      </c>
      <c r="C36" s="115" t="e">
        <f t="shared" ref="C36:W36" si="59">C7/(C27)</f>
        <v>#DIV/0!</v>
      </c>
      <c r="D36" s="115" t="e">
        <f t="shared" si="59"/>
        <v>#DIV/0!</v>
      </c>
      <c r="E36" s="115">
        <f>E7/(E27)</f>
        <v>2326.651085141903</v>
      </c>
      <c r="F36" s="115">
        <f t="shared" si="59"/>
        <v>1397.004290575529</v>
      </c>
      <c r="G36" s="115">
        <f t="shared" si="59"/>
        <v>1584.6249128190823</v>
      </c>
      <c r="H36" s="115">
        <f t="shared" si="59"/>
        <v>1916.067695806184</v>
      </c>
      <c r="I36" s="115">
        <f t="shared" si="59"/>
        <v>2212.4208995029703</v>
      </c>
      <c r="J36" s="115">
        <f t="shared" si="59"/>
        <v>2341.8627342277414</v>
      </c>
      <c r="K36" s="115">
        <f t="shared" si="59"/>
        <v>2700.7429901811925</v>
      </c>
      <c r="L36" s="115">
        <f t="shared" si="59"/>
        <v>2808.9794781316741</v>
      </c>
      <c r="M36" s="115">
        <f t="shared" si="59"/>
        <v>2472.6495361067173</v>
      </c>
      <c r="N36" s="115">
        <f t="shared" si="59"/>
        <v>2403.3621103117507</v>
      </c>
      <c r="O36" s="115">
        <f t="shared" si="59"/>
        <v>2731.5159817351596</v>
      </c>
      <c r="P36" s="115">
        <f t="shared" si="59"/>
        <v>2826.3493199713671</v>
      </c>
      <c r="Q36" s="115">
        <f t="shared" si="59"/>
        <v>2886.2204081632653</v>
      </c>
      <c r="R36" s="115">
        <f t="shared" si="59"/>
        <v>3041.077423552375</v>
      </c>
      <c r="S36" s="115">
        <f t="shared" si="59"/>
        <v>3459.0883777239706</v>
      </c>
      <c r="T36" s="115">
        <f t="shared" si="59"/>
        <v>3071.0841225626737</v>
      </c>
      <c r="U36" s="115">
        <f t="shared" si="59"/>
        <v>2771.2048821197582</v>
      </c>
      <c r="V36" s="115">
        <f t="shared" si="59"/>
        <v>2999.1945777469937</v>
      </c>
      <c r="W36" s="115">
        <f t="shared" si="59"/>
        <v>3411.1909962959448</v>
      </c>
      <c r="X36" s="115">
        <f t="shared" ref="X36:AD36" si="60">X7/(X27)</f>
        <v>3365.8830179294127</v>
      </c>
      <c r="Y36" s="115">
        <f>Y7/(Y27)</f>
        <v>3365.2222436846732</v>
      </c>
      <c r="Z36" s="115">
        <f>Z7/(Z27)</f>
        <v>3433.8462181013251</v>
      </c>
      <c r="AA36" s="115">
        <f t="shared" si="60"/>
        <v>3251.2303249684792</v>
      </c>
      <c r="AB36" s="115">
        <f t="shared" si="60"/>
        <v>3084.6439579546345</v>
      </c>
      <c r="AC36" s="115">
        <f t="shared" si="60"/>
        <v>3108.6263208453411</v>
      </c>
      <c r="AD36" s="115">
        <f t="shared" si="60"/>
        <v>3213.1166176242159</v>
      </c>
      <c r="AE36" s="115">
        <f>AE7/(AE27)</f>
        <v>3340.0814395185243</v>
      </c>
      <c r="AF36" s="115">
        <f>AF7/(AF27)</f>
        <v>3429.2639263490705</v>
      </c>
      <c r="AG36" s="115">
        <f>AG7/(AG27)</f>
        <v>3485.9420296341091</v>
      </c>
      <c r="AH36" s="115">
        <f>AH7/(AH27)</f>
        <v>3543.2087792746111</v>
      </c>
      <c r="AI36" s="190"/>
      <c r="AJ36" s="161">
        <f>RATE(5,,-W36,AB36)*100</f>
        <v>-1.9923894070765711</v>
      </c>
      <c r="AK36" s="327" t="s">
        <v>1970</v>
      </c>
      <c r="AL36" s="161"/>
      <c r="AM36" s="333"/>
      <c r="AN36" s="161">
        <f>RATE(6,,-AB36,AH36)*100</f>
        <v>2.3368276300427522</v>
      </c>
      <c r="AO36" s="333" t="s">
        <v>1970</v>
      </c>
      <c r="AP36" s="103"/>
      <c r="AQ36" s="103"/>
      <c r="AR36" s="103"/>
      <c r="AS36" s="103"/>
      <c r="AT36" s="103"/>
      <c r="AU36" s="103"/>
      <c r="AV36" s="103"/>
      <c r="AW36" s="103"/>
      <c r="AX36" s="103"/>
      <c r="AY36" s="103"/>
      <c r="AZ36" s="103"/>
    </row>
    <row r="37" spans="1:52">
      <c r="A37" s="110" t="s">
        <v>1971</v>
      </c>
      <c r="B37" s="112"/>
      <c r="C37" s="112" t="e">
        <f>C36/B36-1</f>
        <v>#DIV/0!</v>
      </c>
      <c r="D37" s="112"/>
      <c r="E37" s="112"/>
      <c r="F37" s="112"/>
      <c r="G37" s="112"/>
      <c r="H37" s="112"/>
      <c r="I37" s="112">
        <f t="shared" ref="I37:U37" si="61">+I36/H36-1</f>
        <v>0.15466739737089297</v>
      </c>
      <c r="J37" s="112">
        <f t="shared" si="61"/>
        <v>5.8506875772982747E-2</v>
      </c>
      <c r="K37" s="112">
        <f t="shared" si="61"/>
        <v>0.15324564104812755</v>
      </c>
      <c r="L37" s="112">
        <f t="shared" si="61"/>
        <v>4.0076559800020117E-2</v>
      </c>
      <c r="M37" s="112">
        <f t="shared" si="61"/>
        <v>-0.1197338551752819</v>
      </c>
      <c r="N37" s="112">
        <f t="shared" si="61"/>
        <v>-2.8021531067464744E-2</v>
      </c>
      <c r="O37" s="112">
        <f t="shared" si="61"/>
        <v>0.13653950439488405</v>
      </c>
      <c r="P37" s="112">
        <f t="shared" si="61"/>
        <v>3.471820735091069E-2</v>
      </c>
      <c r="Q37" s="112">
        <f t="shared" si="61"/>
        <v>2.1183187714569174E-2</v>
      </c>
      <c r="R37" s="112">
        <f t="shared" si="61"/>
        <v>5.3653911860341186E-2</v>
      </c>
      <c r="S37" s="112">
        <f t="shared" si="61"/>
        <v>0.13745488718380083</v>
      </c>
      <c r="T37" s="112">
        <f t="shared" si="61"/>
        <v>-0.11216951196158742</v>
      </c>
      <c r="U37" s="112">
        <f t="shared" si="61"/>
        <v>-9.7646052167623676E-2</v>
      </c>
      <c r="V37" s="112">
        <f t="shared" ref="V37:AA37" si="62">+V36/U36-1</f>
        <v>8.2270963470893133E-2</v>
      </c>
      <c r="W37" s="112">
        <f t="shared" si="62"/>
        <v>0.13736901953805369</v>
      </c>
      <c r="X37" s="112">
        <f t="shared" si="62"/>
        <v>-1.3282158171656122E-2</v>
      </c>
      <c r="Y37" s="112">
        <f t="shared" si="62"/>
        <v>-1.9631527335317589E-4</v>
      </c>
      <c r="Z37" s="112">
        <f t="shared" si="62"/>
        <v>2.0392107696730832E-2</v>
      </c>
      <c r="AA37" s="112">
        <f t="shared" si="62"/>
        <v>-5.3181150678850098E-2</v>
      </c>
      <c r="AB37" s="112">
        <f t="shared" ref="AB37:AH37" si="63">+AB36/AA36-1</f>
        <v>-5.1237946981027793E-2</v>
      </c>
      <c r="AC37" s="112">
        <f t="shared" si="63"/>
        <v>7.7747588433541015E-3</v>
      </c>
      <c r="AD37" s="112">
        <f t="shared" si="63"/>
        <v>3.361301294986796E-2</v>
      </c>
      <c r="AE37" s="112">
        <f t="shared" si="63"/>
        <v>3.9514538998645543E-2</v>
      </c>
      <c r="AF37" s="112">
        <f t="shared" si="63"/>
        <v>2.6700692317071839E-2</v>
      </c>
      <c r="AG37" s="112">
        <f t="shared" si="63"/>
        <v>1.652777520258697E-2</v>
      </c>
      <c r="AH37" s="112">
        <f t="shared" si="63"/>
        <v>1.6427912212445106E-2</v>
      </c>
      <c r="AI37" s="190"/>
      <c r="AJ37" s="162"/>
      <c r="AK37" s="325"/>
      <c r="AL37" s="239"/>
      <c r="AM37" s="333"/>
      <c r="AN37" s="239"/>
      <c r="AO37" s="333"/>
      <c r="AP37" s="103"/>
      <c r="AQ37" s="103"/>
      <c r="AR37" s="103"/>
      <c r="AS37" s="103"/>
      <c r="AT37" s="103"/>
      <c r="AU37" s="103"/>
      <c r="AV37" s="103"/>
      <c r="AW37" s="103"/>
      <c r="AX37" s="103"/>
      <c r="AY37" s="103"/>
      <c r="AZ37" s="103"/>
    </row>
    <row r="38" spans="1:52" ht="11.25" customHeight="1">
      <c r="A38" s="113"/>
      <c r="B38" s="103"/>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c r="AB38" s="103"/>
      <c r="AC38" s="103"/>
      <c r="AD38" s="103"/>
      <c r="AE38" s="103"/>
      <c r="AF38" s="103"/>
      <c r="AG38" s="103"/>
      <c r="AH38" s="103"/>
      <c r="AI38" s="190"/>
      <c r="AJ38" s="162"/>
      <c r="AK38" s="325"/>
      <c r="AL38" s="239"/>
      <c r="AM38" s="333"/>
      <c r="AN38" s="239"/>
      <c r="AO38" s="333"/>
      <c r="AP38" s="103"/>
      <c r="AQ38" s="103"/>
      <c r="AR38" s="103"/>
      <c r="AS38" s="103"/>
      <c r="AT38" s="103"/>
      <c r="AU38" s="103"/>
      <c r="AV38" s="103"/>
      <c r="AW38" s="103"/>
      <c r="AX38" s="103"/>
      <c r="AY38" s="103"/>
      <c r="AZ38" s="103"/>
    </row>
    <row r="39" spans="1:52">
      <c r="A39" s="110" t="s">
        <v>1980</v>
      </c>
      <c r="B39" s="114">
        <f>'qtrP&amp;L'!H14/100</f>
        <v>0</v>
      </c>
      <c r="C39" s="114">
        <f>'qtrP&amp;L'!L14/100</f>
        <v>0</v>
      </c>
      <c r="D39" s="114">
        <f>'qtrP&amp;L'!P14/100</f>
        <v>0</v>
      </c>
      <c r="E39" s="114">
        <f>'qtrP&amp;L'!T14/100</f>
        <v>0</v>
      </c>
      <c r="F39" s="114">
        <f>'qtrP&amp;L'!X14/100</f>
        <v>0</v>
      </c>
      <c r="G39" s="114">
        <f>'qtrP&amp;L'!AB14/100</f>
        <v>0</v>
      </c>
      <c r="H39" s="114">
        <f>'qtrP&amp;L'!AF14</f>
        <v>0</v>
      </c>
      <c r="I39" s="114">
        <f>'qtrP&amp;L'!AJ14</f>
        <v>0</v>
      </c>
      <c r="J39" s="114">
        <f>'qtrP&amp;L'!AN14</f>
        <v>0</v>
      </c>
      <c r="K39" s="114">
        <f>'qtrP&amp;L'!AR14/100</f>
        <v>0.18</v>
      </c>
      <c r="L39" s="112">
        <f>'qtrP&amp;L'!AV14/100</f>
        <v>0.13</v>
      </c>
      <c r="M39" s="112">
        <f>+'qtrP&amp;L'!AZ14/100</f>
        <v>-0.04</v>
      </c>
      <c r="N39" s="112">
        <f>+'qtrP&amp;L'!BD14/100</f>
        <v>-0.01</v>
      </c>
      <c r="O39" s="112">
        <f>+'qtrP&amp;L'!BH14/100</f>
        <v>0.08</v>
      </c>
      <c r="P39" s="112">
        <f>+'qtrP&amp;L'!BL14/100</f>
        <v>0.04</v>
      </c>
      <c r="Q39" s="112">
        <f>+'qtrP&amp;L'!BP14/100</f>
        <v>0.05</v>
      </c>
      <c r="R39" s="112">
        <f>+'qtrP&amp;L'!BT14/100</f>
        <v>0.06</v>
      </c>
      <c r="S39" s="112">
        <f>+'qtrP&amp;L'!BX14/100</f>
        <v>7.0000000000000007E-2</v>
      </c>
      <c r="T39" s="112">
        <f>'qtrP&amp;L'!$CB$14*0.01</f>
        <v>-0.09</v>
      </c>
      <c r="U39" s="112">
        <f>'qtrP&amp;L'!$CF$14*0.01</f>
        <v>-0.08</v>
      </c>
      <c r="V39" s="112">
        <f>'qtrP&amp;L'!$CJ$14*0.01</f>
        <v>0.08</v>
      </c>
      <c r="W39" s="112">
        <f>+'qtrP&amp;L'!CN14*0.01</f>
        <v>0.13678577190955957</v>
      </c>
      <c r="X39" s="112">
        <f>+'qtrP&amp;L'!CR14*0.01</f>
        <v>0.01</v>
      </c>
      <c r="Y39" s="112">
        <f>+'qtrP&amp;L'!CV14*0.01</f>
        <v>0.06</v>
      </c>
      <c r="Z39" s="112">
        <f>+'qtrP&amp;L'!CZ14/100</f>
        <v>0.04</v>
      </c>
      <c r="AA39" s="112">
        <f>'qtrP&amp;L'!DD14/100</f>
        <v>0</v>
      </c>
      <c r="AB39" s="112">
        <f>'qtrP&amp;L'!DH14/100</f>
        <v>-0.05</v>
      </c>
      <c r="AC39" s="112">
        <f>'qtrP&amp;L'!DL14/100</f>
        <v>0</v>
      </c>
      <c r="AD39" s="112">
        <f>'qtrP&amp;L'!DP14/100</f>
        <v>2.4713862390184554E-2</v>
      </c>
      <c r="AE39" s="874">
        <f>(AD57/AD7)*AE82+(AD96/AD7)*AE121+(AD134/AD7)*AE159+(AD172/AD7)*AE197</f>
        <v>1.9856031509175563E-2</v>
      </c>
      <c r="AF39" s="874">
        <f>(AE57/AE7)*AF82+(AE96/AE7)*AF121+(AE134/AE7)*AF159+(AE172/AE7)*AF197</f>
        <v>1.9970011794872428E-2</v>
      </c>
      <c r="AG39" s="874">
        <f>(AF57/AF7)*AG82+(AF96/AF7)*AG121+(AF134/AF7)*AG159+(AF172/AF7)*AG197</f>
        <v>2.0061948467113358E-2</v>
      </c>
      <c r="AH39" s="874">
        <f>(AG57/AG7)*AH82+(AG96/AG7)*AH121+(AG134/AG7)*AH159+(AG172/AG7)*AH197</f>
        <v>2.0111688538767519E-2</v>
      </c>
      <c r="AI39" s="192"/>
      <c r="AJ39" s="162"/>
      <c r="AK39" s="325"/>
      <c r="AL39" s="239"/>
      <c r="AM39" s="333"/>
      <c r="AN39" s="239"/>
      <c r="AO39" s="333"/>
      <c r="AP39" s="103"/>
      <c r="AQ39" s="103"/>
      <c r="AR39" s="103"/>
      <c r="AS39" s="103"/>
      <c r="AT39" s="103"/>
      <c r="AU39" s="103"/>
      <c r="AV39" s="103"/>
      <c r="AW39" s="103"/>
      <c r="AX39" s="103"/>
      <c r="AY39" s="103"/>
      <c r="AZ39" s="103"/>
    </row>
    <row r="40" spans="1:52" ht="11.25" customHeight="1">
      <c r="A40" s="113"/>
      <c r="B40" s="103"/>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c r="AB40" s="103"/>
      <c r="AC40" s="103"/>
      <c r="AD40" s="103"/>
      <c r="AE40" s="103"/>
      <c r="AF40" s="103"/>
      <c r="AG40" s="103"/>
      <c r="AH40" s="103"/>
      <c r="AI40" s="190"/>
      <c r="AJ40" s="162"/>
      <c r="AK40" s="325"/>
      <c r="AL40" s="239"/>
      <c r="AM40" s="333"/>
      <c r="AN40" s="239"/>
      <c r="AO40" s="333"/>
      <c r="AP40" s="103"/>
      <c r="AQ40" s="103"/>
      <c r="AR40" s="103"/>
      <c r="AS40" s="103"/>
      <c r="AT40" s="103"/>
      <c r="AU40" s="103"/>
      <c r="AV40" s="103"/>
      <c r="AW40" s="103"/>
      <c r="AX40" s="103"/>
      <c r="AY40" s="103"/>
      <c r="AZ40" s="103"/>
    </row>
    <row r="41" spans="1:52" ht="12.75" customHeight="1">
      <c r="A41" s="110" t="s">
        <v>1916</v>
      </c>
      <c r="B41" s="584" t="e">
        <f t="shared" ref="B41:I41" si="64">+(B30-A30)/B18*1000000</f>
        <v>#VALUE!</v>
      </c>
      <c r="C41" s="584">
        <f t="shared" si="64"/>
        <v>0</v>
      </c>
      <c r="D41" s="584">
        <f t="shared" si="64"/>
        <v>0</v>
      </c>
      <c r="E41" s="584">
        <f t="shared" si="64"/>
        <v>13727.083333333334</v>
      </c>
      <c r="F41" s="584">
        <f t="shared" si="64"/>
        <v>5312.4999999999982</v>
      </c>
      <c r="G41" s="584">
        <f t="shared" si="64"/>
        <v>4999.9999999999864</v>
      </c>
      <c r="H41" s="584">
        <f t="shared" si="64"/>
        <v>-11435.416666666661</v>
      </c>
      <c r="I41" s="584">
        <f t="shared" si="64"/>
        <v>2400.0000000000018</v>
      </c>
      <c r="J41" s="584">
        <f t="shared" ref="J41:AA41" si="65">+(J30-I30)/J18*1000000</f>
        <v>5125.0000000000045</v>
      </c>
      <c r="K41" s="584">
        <f t="shared" si="65"/>
        <v>7499.9999999999882</v>
      </c>
      <c r="L41" s="584">
        <f t="shared" si="65"/>
        <v>4888.8888888888932</v>
      </c>
      <c r="M41" s="584">
        <f t="shared" si="65"/>
        <v>6935.7142857142826</v>
      </c>
      <c r="N41" s="584">
        <f t="shared" si="65"/>
        <v>6600.0000000000064</v>
      </c>
      <c r="O41" s="584">
        <f t="shared" si="65"/>
        <v>2999.9999999999914</v>
      </c>
      <c r="P41" s="584">
        <f t="shared" si="65"/>
        <v>5300.0000000000155</v>
      </c>
      <c r="Q41" s="584">
        <f t="shared" si="65"/>
        <v>6666.6666666666724</v>
      </c>
      <c r="R41" s="584">
        <f t="shared" si="65"/>
        <v>3615.3846153846102</v>
      </c>
      <c r="S41" s="584">
        <f t="shared" si="65"/>
        <v>4000.0000000000036</v>
      </c>
      <c r="T41" s="584">
        <f t="shared" si="65"/>
        <v>3409.0909090909072</v>
      </c>
      <c r="U41" s="584">
        <f t="shared" si="65"/>
        <v>3371.4285714285729</v>
      </c>
      <c r="V41" s="584">
        <f t="shared" si="65"/>
        <v>4376.9230769230644</v>
      </c>
      <c r="W41" s="584">
        <f t="shared" si="65"/>
        <v>1840.0000000000045</v>
      </c>
      <c r="X41" s="584">
        <f t="shared" si="65"/>
        <v>2787.4999999999982</v>
      </c>
      <c r="Y41" s="584">
        <f t="shared" si="65"/>
        <v>3088.4615384615313</v>
      </c>
      <c r="Z41" s="584">
        <f t="shared" si="65"/>
        <v>4083.3333333333276</v>
      </c>
      <c r="AA41" s="584">
        <f t="shared" si="65"/>
        <v>3325.0000000000223</v>
      </c>
      <c r="AB41" s="584">
        <f t="shared" ref="AB41:AH41" si="66">+(AB30-AA30)/AB18*1000000</f>
        <v>5333.3333333333385</v>
      </c>
      <c r="AC41" s="584">
        <f t="shared" si="66"/>
        <v>19949.999999999913</v>
      </c>
      <c r="AD41" s="584">
        <f t="shared" si="66"/>
        <v>757.14285714283722</v>
      </c>
      <c r="AE41" s="584">
        <f t="shared" si="66"/>
        <v>5042.8571428571267</v>
      </c>
      <c r="AF41" s="584">
        <f t="shared" si="66"/>
        <v>5042.8571428571904</v>
      </c>
      <c r="AG41" s="584">
        <f t="shared" si="66"/>
        <v>5042.8571428571267</v>
      </c>
      <c r="AH41" s="584">
        <f t="shared" si="66"/>
        <v>5042.8571428571267</v>
      </c>
      <c r="AI41" s="191"/>
      <c r="AJ41" s="188"/>
      <c r="AK41" s="328"/>
      <c r="AL41" s="239"/>
      <c r="AM41" s="333"/>
      <c r="AN41" s="239"/>
      <c r="AO41" s="333"/>
      <c r="AP41" s="103"/>
      <c r="AQ41" s="103"/>
      <c r="AR41" s="103"/>
      <c r="AS41" s="103"/>
      <c r="AT41" s="103"/>
      <c r="AU41" s="103"/>
      <c r="AV41" s="103"/>
      <c r="AW41" s="103"/>
      <c r="AX41" s="103"/>
      <c r="AY41" s="103"/>
      <c r="AZ41" s="103"/>
    </row>
    <row r="42" spans="1:52" ht="12.75" customHeight="1">
      <c r="A42" s="113"/>
      <c r="B42" s="103"/>
      <c r="C42" s="103"/>
      <c r="D42" s="103"/>
      <c r="E42" s="103"/>
      <c r="F42" s="103"/>
      <c r="G42" s="103"/>
      <c r="H42" s="103"/>
      <c r="I42" s="103"/>
      <c r="J42" s="103"/>
      <c r="K42" s="103"/>
      <c r="L42" s="103"/>
      <c r="M42" s="103"/>
      <c r="N42" s="103"/>
      <c r="O42" s="103"/>
      <c r="P42" s="583"/>
      <c r="Q42" s="583"/>
      <c r="R42" s="583"/>
      <c r="S42" s="583"/>
      <c r="T42" s="583"/>
      <c r="U42" s="583"/>
      <c r="V42" s="583"/>
      <c r="W42" s="583"/>
      <c r="X42" s="583"/>
      <c r="Y42" s="583"/>
      <c r="Z42" s="583"/>
      <c r="AA42" s="583"/>
      <c r="AB42" s="583"/>
      <c r="AC42" s="583"/>
      <c r="AD42" s="583"/>
      <c r="AE42" s="583"/>
      <c r="AF42" s="583"/>
      <c r="AG42" s="583"/>
      <c r="AH42" s="583"/>
      <c r="AI42" s="190"/>
      <c r="AJ42" s="162"/>
      <c r="AK42" s="325"/>
      <c r="AL42" s="239"/>
      <c r="AM42" s="333"/>
      <c r="AN42" s="239"/>
      <c r="AO42" s="333"/>
      <c r="AP42" s="103"/>
      <c r="AQ42" s="103"/>
      <c r="AR42" s="103"/>
      <c r="AS42" s="103"/>
      <c r="AT42" s="103"/>
      <c r="AU42" s="103"/>
      <c r="AV42" s="103"/>
      <c r="AW42" s="103"/>
      <c r="AX42" s="103"/>
      <c r="AY42" s="103"/>
      <c r="AZ42" s="103"/>
    </row>
    <row r="43" spans="1:52" ht="12.75" customHeight="1">
      <c r="A43" s="113"/>
      <c r="B43" s="103"/>
      <c r="C43" s="103"/>
      <c r="D43" s="103"/>
      <c r="E43" s="103"/>
      <c r="F43" s="103"/>
      <c r="G43" s="103"/>
      <c r="H43" s="103"/>
      <c r="I43" s="103"/>
      <c r="J43" s="103"/>
      <c r="K43" s="103"/>
      <c r="L43" s="103"/>
      <c r="M43" s="103"/>
      <c r="N43" s="103"/>
      <c r="O43" s="103"/>
      <c r="P43" s="103"/>
      <c r="Q43" s="103"/>
      <c r="R43" s="103"/>
      <c r="S43" s="103"/>
      <c r="T43" s="103"/>
      <c r="U43" s="103"/>
      <c r="V43" s="103"/>
      <c r="W43" s="103"/>
      <c r="X43" s="103"/>
      <c r="Y43" s="103"/>
      <c r="Z43" s="103"/>
      <c r="AA43" s="103"/>
      <c r="AB43" s="103"/>
      <c r="AC43" s="103"/>
      <c r="AD43" s="103"/>
      <c r="AE43" s="103"/>
      <c r="AF43" s="103"/>
      <c r="AG43" s="103"/>
      <c r="AH43" s="103"/>
      <c r="AI43" s="190"/>
      <c r="AJ43" s="162"/>
      <c r="AK43" s="325"/>
      <c r="AL43" s="239"/>
      <c r="AM43" s="333"/>
      <c r="AN43" s="239"/>
      <c r="AO43" s="333"/>
      <c r="AP43" s="103"/>
      <c r="AQ43" s="103"/>
      <c r="AR43" s="103"/>
      <c r="AS43" s="103"/>
      <c r="AT43" s="103"/>
      <c r="AU43" s="103"/>
      <c r="AV43" s="103"/>
      <c r="AW43" s="103"/>
      <c r="AX43" s="103"/>
      <c r="AY43" s="103"/>
      <c r="AZ43" s="103"/>
    </row>
    <row r="44" spans="1:52">
      <c r="A44" s="110" t="s">
        <v>1981</v>
      </c>
      <c r="B44" s="264"/>
      <c r="C44" s="902" t="e">
        <f t="shared" ref="C44:K44" si="67">(C9-C39)/C28</f>
        <v>#DIV/0!</v>
      </c>
      <c r="D44" s="902" t="e">
        <f t="shared" si="67"/>
        <v>#DIV/0!</v>
      </c>
      <c r="E44" s="902" t="e">
        <f t="shared" si="67"/>
        <v>#DIV/0!</v>
      </c>
      <c r="F44" s="902">
        <f t="shared" si="67"/>
        <v>0.22047760339494685</v>
      </c>
      <c r="G44" s="902">
        <f t="shared" si="67"/>
        <v>3.3483215074937753</v>
      </c>
      <c r="H44" s="902">
        <f t="shared" si="67"/>
        <v>-3.6450952691321041</v>
      </c>
      <c r="I44" s="902">
        <f t="shared" si="67"/>
        <v>-2.9121544221157478</v>
      </c>
      <c r="J44" s="902">
        <f t="shared" si="67"/>
        <v>1.6852902760993915</v>
      </c>
      <c r="K44" s="902">
        <f t="shared" si="67"/>
        <v>0.87266707897029128</v>
      </c>
      <c r="L44" s="902">
        <f t="shared" ref="L44:S44" si="68">(L9-L39)/L28</f>
        <v>4.1926373580244605E-2</v>
      </c>
      <c r="M44" s="902">
        <f t="shared" si="68"/>
        <v>-4.7506828036017877E-2</v>
      </c>
      <c r="N44" s="902">
        <f t="shared" si="68"/>
        <v>0.71354463071246566</v>
      </c>
      <c r="O44" s="902">
        <f t="shared" si="68"/>
        <v>2.2592525202361511</v>
      </c>
      <c r="P44" s="902">
        <f t="shared" si="68"/>
        <v>0.95110042974966169</v>
      </c>
      <c r="Q44" s="902">
        <f t="shared" si="68"/>
        <v>0.46971624575913379</v>
      </c>
      <c r="R44" s="902">
        <f t="shared" si="68"/>
        <v>0.91441884372155546</v>
      </c>
      <c r="S44" s="902">
        <f t="shared" si="68"/>
        <v>2.0390041185012096</v>
      </c>
      <c r="T44" s="902">
        <f t="shared" ref="T44:Y44" si="69">(T9-T39)/T28</f>
        <v>0.63171836383881563</v>
      </c>
      <c r="U44" s="902">
        <f t="shared" si="69"/>
        <v>0.64315048104936212</v>
      </c>
      <c r="V44" s="902">
        <f t="shared" si="69"/>
        <v>1.1240950861067924</v>
      </c>
      <c r="W44" s="902">
        <f t="shared" si="69"/>
        <v>1.151320716951953</v>
      </c>
      <c r="X44" s="902">
        <f t="shared" si="69"/>
        <v>0.52266134700701572</v>
      </c>
      <c r="Y44" s="902">
        <f t="shared" si="69"/>
        <v>-0.12643270623153141</v>
      </c>
      <c r="Z44" s="902">
        <f t="shared" ref="Z44:AE44" si="70">(Z9-Z39)/Z28</f>
        <v>0.31382557553414392</v>
      </c>
      <c r="AA44" s="902">
        <f t="shared" si="70"/>
        <v>-1.0303803598460854</v>
      </c>
      <c r="AB44" s="902">
        <f t="shared" si="70"/>
        <v>0.90642908720182735</v>
      </c>
      <c r="AC44" s="902">
        <f t="shared" si="70"/>
        <v>1.2814159929044371</v>
      </c>
      <c r="AD44" s="902">
        <f t="shared" si="70"/>
        <v>1.5460032636484653</v>
      </c>
      <c r="AE44" s="902">
        <f t="shared" si="70"/>
        <v>2.3215300631333635</v>
      </c>
      <c r="AF44" s="902">
        <f>(AF9-AF39)/AF28</f>
        <v>1.2829908969605308</v>
      </c>
      <c r="AG44" s="902">
        <f>(AG9-AG39)/AG28</f>
        <v>0.8784196927733926</v>
      </c>
      <c r="AH44" s="902">
        <f>(AH9-AH39)/AH28</f>
        <v>0.86878987941741348</v>
      </c>
      <c r="AI44" s="190"/>
      <c r="AJ44" s="162"/>
      <c r="AK44" s="325"/>
      <c r="AL44" s="239"/>
      <c r="AM44" s="333"/>
      <c r="AN44" s="239"/>
      <c r="AO44" s="333"/>
      <c r="AP44" s="103"/>
      <c r="AQ44" s="103"/>
      <c r="AR44" s="103"/>
      <c r="AS44" s="103"/>
      <c r="AT44" s="103"/>
      <c r="AU44" s="103"/>
      <c r="AV44" s="103"/>
      <c r="AW44" s="103"/>
      <c r="AX44" s="103"/>
      <c r="AY44" s="103"/>
      <c r="AZ44" s="103"/>
    </row>
    <row r="45" spans="1:52" ht="11.25" customHeight="1">
      <c r="A45" s="113"/>
      <c r="B45" s="103"/>
      <c r="C45" s="103"/>
      <c r="D45" s="103"/>
      <c r="E45" s="103"/>
      <c r="F45" s="103"/>
      <c r="G45" s="103"/>
      <c r="H45" s="103"/>
      <c r="I45" s="103"/>
      <c r="J45" s="103"/>
      <c r="K45" s="103"/>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c r="AI45" s="190"/>
      <c r="AJ45" s="162"/>
      <c r="AK45" s="325"/>
      <c r="AL45" s="239"/>
      <c r="AM45" s="333"/>
      <c r="AN45" s="239"/>
      <c r="AO45" s="333"/>
      <c r="AP45" s="103"/>
      <c r="AQ45" s="103"/>
      <c r="AR45" s="103"/>
      <c r="AS45" s="103"/>
      <c r="AT45" s="103"/>
      <c r="AU45" s="103"/>
      <c r="AV45" s="103"/>
      <c r="AW45" s="103"/>
      <c r="AX45" s="103"/>
      <c r="AY45" s="103"/>
      <c r="AZ45" s="103"/>
    </row>
    <row r="46" spans="1:52" outlineLevel="1">
      <c r="A46" s="113" t="s">
        <v>1982</v>
      </c>
      <c r="B46" s="107">
        <f>'qtrP&amp;L'!F52</f>
        <v>0</v>
      </c>
      <c r="C46" s="107">
        <f>'qtrP&amp;L'!J52</f>
        <v>61.030999999999999</v>
      </c>
      <c r="D46" s="107">
        <f>'qtrP&amp;L'!N52</f>
        <v>26.741000000000014</v>
      </c>
      <c r="E46" s="107">
        <f>'qtrP&amp;L'!R52</f>
        <v>47.470999999999989</v>
      </c>
      <c r="F46" s="107">
        <f>'qtrP&amp;L'!V52</f>
        <v>64.655000000000015</v>
      </c>
      <c r="G46" s="107">
        <f>'qtrP&amp;L'!Z52</f>
        <v>80.012999999999977</v>
      </c>
      <c r="H46" s="107">
        <f>'qtrP&amp;L'!AD52</f>
        <v>109.41300000000007</v>
      </c>
      <c r="I46" s="107">
        <f>'qtrP&amp;L'!AH52</f>
        <v>133.42200000000003</v>
      </c>
      <c r="J46" s="107">
        <f>'qtrP&amp;L'!AL52</f>
        <v>161.12200000000004</v>
      </c>
      <c r="K46" s="107">
        <f>'qtrP&amp;L'!AP52</f>
        <v>256.88299999999992</v>
      </c>
      <c r="L46" s="107">
        <f>'qtrP&amp;L'!AT52</f>
        <v>327.39599999999996</v>
      </c>
      <c r="M46" s="107">
        <f>'qtrP&amp;L'!AX52</f>
        <v>309.89699999999999</v>
      </c>
      <c r="N46" s="107">
        <f>'qtrP&amp;L'!BB52</f>
        <v>319.19700000000006</v>
      </c>
      <c r="O46" s="107">
        <f>'qtrP&amp;L'!BF52</f>
        <v>355.51899999999995</v>
      </c>
      <c r="P46" s="116">
        <f>+'qtrP&amp;L'!BJ52</f>
        <v>294.52899999999988</v>
      </c>
      <c r="Q46" s="116">
        <f>'qtrP&amp;L'!BN52</f>
        <v>382.70500000000015</v>
      </c>
      <c r="R46" s="116">
        <f>'qtrP&amp;L'!BR52</f>
        <v>430.79599999999982</v>
      </c>
      <c r="S46" s="116">
        <f>'qtrP&amp;L'!BV52</f>
        <v>544.99999999999977</v>
      </c>
      <c r="T46" s="116">
        <f>'qtrP&amp;L'!BZ52</f>
        <v>492.49800000000005</v>
      </c>
      <c r="U46" s="116">
        <f>'qtrP&amp;L'!CD52</f>
        <v>440.05000000000007</v>
      </c>
      <c r="V46" s="116">
        <f>'qtrP&amp;L'!CH52</f>
        <v>612.41600000000005</v>
      </c>
      <c r="W46" s="116">
        <f>'qtrP&amp;L'!CL52</f>
        <v>751.14400000000023</v>
      </c>
      <c r="X46" s="116">
        <f>'qtrP&amp;L'!CP52</f>
        <v>697.21699999999987</v>
      </c>
      <c r="Y46" s="116">
        <f>'qtrP&amp;L'!CT52</f>
        <v>793.94000000000028</v>
      </c>
      <c r="Z46" s="116">
        <f>'qtrP&amp;L'!CX52</f>
        <v>891.42900000000009</v>
      </c>
      <c r="AA46" s="116">
        <f t="shared" ref="AA46:AF46" si="71">+AA14*AA47</f>
        <v>806.7410334494615</v>
      </c>
      <c r="AB46" s="116">
        <f t="shared" si="71"/>
        <v>759.19999999999959</v>
      </c>
      <c r="AC46" s="116">
        <f t="shared" si="71"/>
        <v>794.40000000000009</v>
      </c>
      <c r="AD46" s="116">
        <f t="shared" si="71"/>
        <v>792.16077359147403</v>
      </c>
      <c r="AE46" s="116">
        <f t="shared" si="71"/>
        <v>846.0545426479747</v>
      </c>
      <c r="AF46" s="116">
        <f t="shared" si="71"/>
        <v>905.73140061161394</v>
      </c>
      <c r="AG46" s="116">
        <f>+AG14*AG47</f>
        <v>956.6079195902239</v>
      </c>
      <c r="AH46" s="116">
        <f>+AH14*AH47</f>
        <v>1015.8046291507284</v>
      </c>
      <c r="AI46" s="193"/>
      <c r="AJ46" s="239">
        <f>RATE(5,,-W46,AB46)*100</f>
        <v>0.2135851602668033</v>
      </c>
      <c r="AK46" s="871" t="s">
        <v>1970</v>
      </c>
      <c r="AL46" s="239">
        <f>((Y46/T46)^(1/5)-1)*100</f>
        <v>10.021267100042962</v>
      </c>
      <c r="AM46" s="872" t="s">
        <v>1970</v>
      </c>
      <c r="AN46" s="239">
        <f>RATE(6,,-AB46,AH46)*100</f>
        <v>4.9725300498399498</v>
      </c>
      <c r="AO46" s="333" t="s">
        <v>1970</v>
      </c>
      <c r="AP46" s="103"/>
      <c r="AQ46" s="103"/>
      <c r="AR46" s="103"/>
      <c r="AS46" s="103"/>
      <c r="AT46" s="103"/>
      <c r="AU46" s="103"/>
      <c r="AV46" s="103"/>
      <c r="AW46" s="103"/>
      <c r="AX46" s="103"/>
      <c r="AY46" s="103"/>
      <c r="AZ46" s="103"/>
    </row>
    <row r="47" spans="1:52" outlineLevel="1">
      <c r="A47" s="117" t="s">
        <v>1983</v>
      </c>
      <c r="B47" s="118" t="e">
        <f t="shared" ref="B47:N47" si="72">B46/B14</f>
        <v>#DIV/0!</v>
      </c>
      <c r="C47" s="118">
        <f>C46/C14</f>
        <v>0.12407045248482435</v>
      </c>
      <c r="D47" s="118">
        <f t="shared" si="72"/>
        <v>5.4977836988791044E-2</v>
      </c>
      <c r="E47" s="118">
        <f t="shared" si="72"/>
        <v>8.3796851197085256E-2</v>
      </c>
      <c r="F47" s="118">
        <f t="shared" si="72"/>
        <v>9.4686679427266801E-2</v>
      </c>
      <c r="G47" s="118">
        <f t="shared" si="72"/>
        <v>9.9606369788321034E-2</v>
      </c>
      <c r="H47" s="118">
        <f t="shared" si="72"/>
        <v>0.11865529851167116</v>
      </c>
      <c r="I47" s="118">
        <f t="shared" si="72"/>
        <v>0.13111232527790445</v>
      </c>
      <c r="J47" s="118">
        <f t="shared" si="72"/>
        <v>0.13678413554636998</v>
      </c>
      <c r="K47" s="118">
        <f t="shared" si="72"/>
        <v>0.17454966738919195</v>
      </c>
      <c r="L47" s="118">
        <f t="shared" si="72"/>
        <v>0.19627398600526599</v>
      </c>
      <c r="M47" s="118">
        <f t="shared" si="72"/>
        <v>0.19289775821877517</v>
      </c>
      <c r="N47" s="118">
        <f t="shared" si="72"/>
        <v>0.1870365791203808</v>
      </c>
      <c r="O47" s="118">
        <f>O46/O14</f>
        <v>0.1777555005012387</v>
      </c>
      <c r="P47" s="118">
        <f>P46/P14</f>
        <v>0.13358348100149167</v>
      </c>
      <c r="Q47" s="118">
        <f t="shared" ref="Q47:X47" si="73">Q46/Q14</f>
        <v>0.15978311197656273</v>
      </c>
      <c r="R47" s="118">
        <f t="shared" si="73"/>
        <v>0.16823145238826051</v>
      </c>
      <c r="S47" s="118">
        <f t="shared" si="73"/>
        <v>0.1854516735056933</v>
      </c>
      <c r="T47" s="118">
        <f t="shared" si="73"/>
        <v>0.17287552665821651</v>
      </c>
      <c r="U47" s="118">
        <f t="shared" si="73"/>
        <v>0.16239625350127135</v>
      </c>
      <c r="V47" s="118">
        <f t="shared" si="73"/>
        <v>0.19849544127132301</v>
      </c>
      <c r="W47" s="118">
        <f t="shared" si="73"/>
        <v>0.20619187210758799</v>
      </c>
      <c r="X47" s="118">
        <f t="shared" si="73"/>
        <v>0.18375625848488064</v>
      </c>
      <c r="Y47" s="321">
        <f>'yrP&amp;L'!Y32</f>
        <v>0.19695221935288623</v>
      </c>
      <c r="Z47" s="321">
        <f>'yrP&amp;L'!Z32</f>
        <v>0.20975229375283666</v>
      </c>
      <c r="AA47" s="321">
        <f>'yrP&amp;L'!AA32</f>
        <v>0.19655516846541798</v>
      </c>
      <c r="AB47" s="321">
        <f>'yrP&amp;L'!AB32</f>
        <v>0.18971462841721218</v>
      </c>
      <c r="AC47" s="321">
        <f>'yrP&amp;L'!AC32</f>
        <v>0.19051273442371339</v>
      </c>
      <c r="AD47" s="321">
        <f>'yrP&amp;L'!AD32</f>
        <v>0.18066807974372201</v>
      </c>
      <c r="AE47" s="321">
        <f>'yrP&amp;L'!AE32</f>
        <v>0.18300000000000002</v>
      </c>
      <c r="AF47" s="321">
        <f>'yrP&amp;L'!AF32</f>
        <v>0.18600000000000003</v>
      </c>
      <c r="AG47" s="321">
        <f>'yrP&amp;L'!AG32</f>
        <v>0.18860000000000002</v>
      </c>
      <c r="AH47" s="321">
        <f>'yrP&amp;L'!AH32</f>
        <v>0.19240000000000004</v>
      </c>
      <c r="AI47" s="194"/>
      <c r="AJ47" s="104"/>
      <c r="AK47" s="324"/>
      <c r="AL47" s="241"/>
      <c r="AM47" s="335"/>
      <c r="AN47" s="241"/>
      <c r="AO47" s="335"/>
      <c r="AP47" s="103"/>
      <c r="AQ47" s="103"/>
      <c r="AR47" s="103"/>
      <c r="AS47" s="103"/>
      <c r="AT47" s="103"/>
      <c r="AU47" s="103"/>
      <c r="AV47" s="103"/>
      <c r="AW47" s="103"/>
      <c r="AX47" s="103"/>
      <c r="AY47" s="103"/>
      <c r="AZ47" s="103"/>
    </row>
    <row r="48" spans="1:52" ht="11.25" customHeight="1" outlineLevel="1">
      <c r="A48" s="113"/>
      <c r="B48" s="103"/>
      <c r="C48" s="103"/>
      <c r="D48" s="103"/>
      <c r="E48" s="103"/>
      <c r="F48" s="103"/>
      <c r="G48" s="103"/>
      <c r="H48" s="103"/>
      <c r="I48" s="103"/>
      <c r="J48" s="103"/>
      <c r="K48" s="103"/>
      <c r="L48" s="103"/>
      <c r="M48" s="103"/>
      <c r="N48" s="103"/>
      <c r="O48" s="103"/>
      <c r="P48" s="103"/>
      <c r="Q48" s="103"/>
      <c r="R48" s="103"/>
      <c r="S48" s="103"/>
      <c r="T48" s="103"/>
      <c r="U48" s="103"/>
      <c r="V48" s="103"/>
      <c r="W48" s="103"/>
      <c r="X48" s="103"/>
      <c r="Y48" s="103"/>
      <c r="Z48" s="103"/>
      <c r="AA48" s="103"/>
      <c r="AB48" s="103"/>
      <c r="AC48" s="103"/>
      <c r="AD48" s="103"/>
      <c r="AE48" s="103"/>
      <c r="AF48" s="103"/>
      <c r="AG48" s="103"/>
      <c r="AH48" s="103"/>
      <c r="AI48" s="162"/>
      <c r="AJ48" s="162"/>
      <c r="AK48" s="325"/>
      <c r="AL48" s="161"/>
      <c r="AM48" s="325"/>
      <c r="AN48" s="161"/>
      <c r="AO48" s="325"/>
      <c r="AP48" s="103"/>
      <c r="AQ48" s="103"/>
      <c r="AR48" s="103"/>
      <c r="AS48" s="103"/>
      <c r="AT48" s="103"/>
      <c r="AU48" s="103"/>
      <c r="AV48" s="103"/>
      <c r="AW48" s="103"/>
      <c r="AX48" s="103"/>
      <c r="AY48" s="103"/>
      <c r="AZ48" s="103"/>
    </row>
    <row r="49" spans="1:52">
      <c r="A49" s="119" t="s">
        <v>1617</v>
      </c>
      <c r="B49" s="103"/>
      <c r="C49" s="103"/>
      <c r="D49" s="103"/>
      <c r="E49" s="103"/>
      <c r="F49" s="103"/>
      <c r="G49" s="103"/>
      <c r="H49" s="103"/>
      <c r="I49" s="120"/>
      <c r="J49" s="103"/>
      <c r="K49" s="103"/>
      <c r="L49" s="103"/>
      <c r="M49" s="103"/>
      <c r="N49" s="103"/>
      <c r="O49" s="103"/>
      <c r="R49" s="216"/>
      <c r="S49" s="216"/>
      <c r="T49" s="216"/>
      <c r="U49" s="216"/>
      <c r="V49" s="216"/>
      <c r="W49" s="216"/>
      <c r="X49" s="216"/>
      <c r="Y49" s="216"/>
      <c r="Z49" s="216"/>
      <c r="AA49" s="216"/>
      <c r="AB49" s="216"/>
      <c r="AC49" s="216"/>
      <c r="AD49" s="216"/>
      <c r="AE49" s="216"/>
      <c r="AF49" s="216"/>
      <c r="AG49" s="216"/>
      <c r="AH49" s="216"/>
      <c r="AI49" s="162"/>
      <c r="AJ49" s="162"/>
      <c r="AK49" s="325"/>
      <c r="AL49" s="161"/>
      <c r="AM49" s="325"/>
      <c r="AN49" s="161"/>
      <c r="AO49" s="325"/>
      <c r="AP49" s="103"/>
      <c r="AQ49" s="103"/>
      <c r="AR49" s="103"/>
      <c r="AS49" s="103"/>
      <c r="AT49" s="103"/>
      <c r="AU49" s="103"/>
      <c r="AV49" s="103"/>
      <c r="AW49" s="103"/>
      <c r="AX49" s="103"/>
      <c r="AY49" s="103"/>
      <c r="AZ49" s="103"/>
    </row>
    <row r="50" spans="1:52">
      <c r="A50" s="105"/>
      <c r="B50" s="103"/>
      <c r="C50" s="103"/>
      <c r="D50" s="103"/>
      <c r="E50" s="103"/>
      <c r="F50" s="103"/>
      <c r="G50" s="103"/>
      <c r="H50" s="103"/>
      <c r="I50" s="103"/>
      <c r="J50" s="103"/>
      <c r="K50" s="103"/>
      <c r="L50" s="103"/>
      <c r="M50" s="103"/>
      <c r="N50" s="103"/>
      <c r="O50" s="103"/>
      <c r="P50" s="103"/>
      <c r="Q50" s="103"/>
      <c r="R50" s="162"/>
      <c r="S50" s="162"/>
      <c r="T50" s="162"/>
      <c r="U50" s="162"/>
      <c r="V50" s="162"/>
      <c r="W50" s="162"/>
      <c r="X50" s="162"/>
      <c r="Y50" s="162"/>
      <c r="Z50" s="162"/>
      <c r="AA50" s="162"/>
      <c r="AB50" s="162"/>
      <c r="AC50" s="162"/>
      <c r="AD50" s="162"/>
      <c r="AE50" s="162"/>
      <c r="AF50" s="162"/>
      <c r="AG50" s="162"/>
      <c r="AH50" s="162"/>
      <c r="AI50" s="162"/>
      <c r="AJ50" s="162"/>
      <c r="AK50" s="329"/>
      <c r="AL50" s="162"/>
      <c r="AM50" s="325"/>
      <c r="AN50" s="162"/>
      <c r="AO50" s="325"/>
      <c r="AP50" s="103"/>
      <c r="AQ50" s="103"/>
      <c r="AR50" s="103"/>
      <c r="AS50" s="103"/>
      <c r="AT50" s="103"/>
      <c r="AU50" s="103"/>
      <c r="AV50" s="103"/>
      <c r="AW50" s="103"/>
      <c r="AX50" s="103"/>
      <c r="AY50" s="103"/>
      <c r="AZ50" s="103"/>
    </row>
    <row r="51" spans="1:52">
      <c r="A51" s="225"/>
      <c r="B51" s="186"/>
      <c r="C51" s="186"/>
      <c r="D51" s="186"/>
      <c r="E51" s="186"/>
      <c r="F51" s="186"/>
      <c r="G51" s="186"/>
      <c r="H51" s="186"/>
      <c r="I51" s="186"/>
      <c r="J51" s="186"/>
      <c r="K51" s="186"/>
      <c r="L51" s="186"/>
      <c r="M51" s="186"/>
      <c r="N51" s="186"/>
      <c r="O51" s="186"/>
      <c r="P51" s="186"/>
      <c r="Q51" s="186"/>
      <c r="R51" s="186"/>
      <c r="S51" s="186"/>
      <c r="T51" s="186"/>
      <c r="U51" s="186"/>
      <c r="V51" s="186"/>
      <c r="W51" s="186"/>
      <c r="X51" s="186"/>
      <c r="Y51" s="186"/>
      <c r="Z51" s="186"/>
      <c r="AA51" s="186"/>
      <c r="AB51" s="186"/>
      <c r="AC51" s="186"/>
      <c r="AD51" s="186"/>
      <c r="AE51" s="186"/>
      <c r="AF51" s="186"/>
      <c r="AG51" s="186"/>
      <c r="AH51" s="186"/>
      <c r="AI51" s="186"/>
      <c r="AJ51" s="186"/>
      <c r="AK51" s="340"/>
      <c r="AL51" s="186"/>
      <c r="AM51" s="340"/>
      <c r="AN51" s="186"/>
      <c r="AO51" s="340"/>
      <c r="AP51" s="186"/>
      <c r="AQ51" s="186"/>
      <c r="AR51" s="186"/>
      <c r="AS51" s="186"/>
      <c r="AT51" s="186"/>
      <c r="AU51" s="186"/>
      <c r="AV51" s="186"/>
      <c r="AW51" s="186"/>
      <c r="AX51" s="186"/>
      <c r="AY51" s="186"/>
      <c r="AZ51" s="186"/>
    </row>
    <row r="52" spans="1:52">
      <c r="A52" s="851" t="s">
        <v>1011</v>
      </c>
      <c r="B52" s="852"/>
      <c r="C52" s="852"/>
      <c r="D52" s="852"/>
      <c r="E52" s="852"/>
      <c r="F52" s="852"/>
      <c r="G52" s="852"/>
      <c r="H52" s="852"/>
      <c r="I52" s="852"/>
      <c r="J52" s="852"/>
      <c r="K52" s="852"/>
      <c r="L52" s="852"/>
      <c r="M52" s="852"/>
      <c r="N52" s="852"/>
      <c r="O52" s="852"/>
      <c r="P52" s="852"/>
      <c r="Q52" s="852"/>
      <c r="R52" s="852"/>
      <c r="S52" s="852"/>
      <c r="T52" s="852"/>
      <c r="U52" s="852"/>
      <c r="V52" s="852"/>
      <c r="W52" s="852"/>
      <c r="X52" s="852"/>
      <c r="Y52" s="852"/>
      <c r="Z52" s="852"/>
      <c r="AA52" s="852"/>
      <c r="AB52" s="852"/>
      <c r="AC52" s="852"/>
      <c r="AD52" s="852"/>
      <c r="AE52" s="852"/>
      <c r="AF52" s="852"/>
      <c r="AG52" s="852"/>
      <c r="AH52" s="852"/>
      <c r="AI52" s="852"/>
      <c r="AJ52" s="852"/>
      <c r="AK52" s="853"/>
      <c r="AL52" s="852"/>
      <c r="AM52" s="853"/>
      <c r="AN52" s="852"/>
      <c r="AO52" s="853"/>
      <c r="AP52" s="852"/>
      <c r="AQ52" s="852"/>
      <c r="AR52" s="852"/>
      <c r="AS52" s="852"/>
      <c r="AT52" s="852"/>
      <c r="AU52" s="852"/>
      <c r="AV52" s="852"/>
      <c r="AW52" s="852"/>
      <c r="AX52" s="852"/>
      <c r="AY52" s="852"/>
      <c r="AZ52" s="852"/>
    </row>
    <row r="53" spans="1:52">
      <c r="A53" s="854" t="str">
        <f>+$A$2</f>
        <v>Annual Sales Model, Fiscal 2001-2014E</v>
      </c>
      <c r="B53" s="855"/>
      <c r="C53" s="855"/>
      <c r="D53" s="855"/>
      <c r="E53" s="855"/>
      <c r="F53" s="855"/>
      <c r="G53" s="855"/>
      <c r="H53" s="855"/>
      <c r="I53" s="855"/>
      <c r="J53" s="855"/>
      <c r="K53" s="855"/>
      <c r="L53" s="855"/>
      <c r="M53" s="855"/>
      <c r="N53" s="855"/>
      <c r="O53" s="855"/>
      <c r="P53" s="855"/>
      <c r="Q53" s="855"/>
      <c r="R53" s="855"/>
      <c r="S53" s="855"/>
      <c r="T53" s="855"/>
      <c r="U53" s="855"/>
      <c r="V53" s="855"/>
      <c r="W53" s="855"/>
      <c r="X53" s="855"/>
      <c r="Y53" s="855"/>
      <c r="Z53" s="855"/>
      <c r="AA53" s="855"/>
      <c r="AB53" s="855"/>
      <c r="AC53" s="855"/>
      <c r="AD53" s="855"/>
      <c r="AE53" s="855"/>
      <c r="AF53" s="855"/>
      <c r="AG53" s="855"/>
      <c r="AH53" s="855"/>
      <c r="AI53" s="855"/>
      <c r="AJ53" s="855"/>
      <c r="AK53" s="856"/>
      <c r="AL53" s="855"/>
      <c r="AM53" s="856"/>
      <c r="AN53" s="855"/>
      <c r="AO53" s="856"/>
      <c r="AP53" s="855"/>
      <c r="AQ53" s="855"/>
      <c r="AR53" s="855"/>
      <c r="AS53" s="855"/>
      <c r="AT53" s="855"/>
      <c r="AU53" s="855"/>
      <c r="AV53" s="855"/>
      <c r="AW53" s="855"/>
      <c r="AX53" s="855"/>
      <c r="AY53" s="855"/>
      <c r="AZ53" s="855"/>
    </row>
    <row r="54" spans="1:52">
      <c r="A54" s="131"/>
      <c r="AH54" s="2317"/>
      <c r="AK54" s="330"/>
      <c r="AM54" s="330"/>
      <c r="AO54" s="330"/>
      <c r="AP54" s="868"/>
    </row>
    <row r="55" spans="1:52">
      <c r="A55" s="131"/>
      <c r="B55" s="158">
        <f t="shared" ref="B55:AH55" si="74">+B$5</f>
        <v>1990</v>
      </c>
      <c r="C55" s="158">
        <f t="shared" si="74"/>
        <v>1991</v>
      </c>
      <c r="D55" s="158">
        <f t="shared" si="74"/>
        <v>1992</v>
      </c>
      <c r="E55" s="158">
        <f t="shared" si="74"/>
        <v>1993</v>
      </c>
      <c r="F55" s="158">
        <f t="shared" si="74"/>
        <v>1994</v>
      </c>
      <c r="G55" s="158">
        <f t="shared" si="74"/>
        <v>1995</v>
      </c>
      <c r="H55" s="158">
        <f t="shared" si="74"/>
        <v>1996</v>
      </c>
      <c r="I55" s="158">
        <f t="shared" si="74"/>
        <v>1997</v>
      </c>
      <c r="J55" s="158">
        <f t="shared" si="74"/>
        <v>1998</v>
      </c>
      <c r="K55" s="158">
        <f t="shared" si="74"/>
        <v>1999</v>
      </c>
      <c r="L55" s="158">
        <f t="shared" si="74"/>
        <v>2000</v>
      </c>
      <c r="M55" s="158">
        <f t="shared" si="74"/>
        <v>2001</v>
      </c>
      <c r="N55" s="158">
        <f t="shared" si="74"/>
        <v>2002</v>
      </c>
      <c r="O55" s="158">
        <f t="shared" si="74"/>
        <v>2003</v>
      </c>
      <c r="P55" s="158">
        <f t="shared" si="74"/>
        <v>2004</v>
      </c>
      <c r="Q55" s="158">
        <f t="shared" si="74"/>
        <v>2005</v>
      </c>
      <c r="R55" s="158">
        <f t="shared" si="74"/>
        <v>2006</v>
      </c>
      <c r="S55" s="158">
        <f t="shared" si="74"/>
        <v>2007</v>
      </c>
      <c r="T55" s="158">
        <f t="shared" si="74"/>
        <v>2008</v>
      </c>
      <c r="U55" s="158">
        <f t="shared" si="74"/>
        <v>2009</v>
      </c>
      <c r="V55" s="158">
        <f t="shared" si="74"/>
        <v>2010</v>
      </c>
      <c r="W55" s="158">
        <f t="shared" si="74"/>
        <v>2011</v>
      </c>
      <c r="X55" s="158">
        <f t="shared" si="74"/>
        <v>2012</v>
      </c>
      <c r="Y55" s="158">
        <f t="shared" si="74"/>
        <v>2013</v>
      </c>
      <c r="Z55" s="158">
        <f t="shared" si="74"/>
        <v>2014</v>
      </c>
      <c r="AA55" s="158">
        <f t="shared" si="74"/>
        <v>2015</v>
      </c>
      <c r="AB55" s="158">
        <f t="shared" si="74"/>
        <v>2016</v>
      </c>
      <c r="AC55" s="160">
        <f t="shared" si="74"/>
        <v>2017</v>
      </c>
      <c r="AD55" s="160">
        <f t="shared" si="74"/>
        <v>2018</v>
      </c>
      <c r="AE55" s="160">
        <f t="shared" si="74"/>
        <v>2019</v>
      </c>
      <c r="AF55" s="160">
        <f t="shared" si="74"/>
        <v>2020</v>
      </c>
      <c r="AG55" s="160">
        <f t="shared" si="74"/>
        <v>2021</v>
      </c>
      <c r="AH55" s="160">
        <f t="shared" si="74"/>
        <v>2022</v>
      </c>
      <c r="AK55" s="330"/>
      <c r="AM55" s="330"/>
      <c r="AO55" s="330"/>
    </row>
    <row r="56" spans="1:52">
      <c r="A56" s="131"/>
      <c r="AH56" s="2317"/>
      <c r="AK56" s="330"/>
      <c r="AM56" s="330"/>
      <c r="AO56" s="330"/>
    </row>
    <row r="57" spans="1:52">
      <c r="A57" s="278" t="s">
        <v>816</v>
      </c>
      <c r="C57" s="783"/>
      <c r="D57" s="783"/>
      <c r="E57" s="783"/>
      <c r="F57" s="783"/>
      <c r="G57" s="783"/>
      <c r="H57" s="736"/>
      <c r="I57" s="736"/>
      <c r="J57" s="736"/>
      <c r="K57" s="736"/>
      <c r="L57" s="107"/>
      <c r="M57" s="107"/>
      <c r="N57" s="107"/>
      <c r="O57" s="115"/>
      <c r="P57" s="115"/>
      <c r="Q57" s="115"/>
      <c r="R57" s="115">
        <f>'segSales&amp;comps'!$E$156</f>
        <v>1577.7439999999999</v>
      </c>
      <c r="S57" s="115">
        <f>'segSales&amp;comps'!$E$163</f>
        <v>1759.8689999999999</v>
      </c>
      <c r="T57" s="115">
        <f>'segSales&amp;comps'!$E$170</f>
        <v>1586.636</v>
      </c>
      <c r="U57" s="115">
        <f>'segSales&amp;comps'!E177</f>
        <v>1410.8710000000001</v>
      </c>
      <c r="V57" s="115">
        <f>'segSales&amp;comps'!$E$184</f>
        <v>1574.5709999999999</v>
      </c>
      <c r="W57" s="115">
        <f>+'segSales&amp;comps'!E191</f>
        <v>1805.7829999999999</v>
      </c>
      <c r="X57" s="115">
        <f>+'segSales&amp;comps'!E198</f>
        <v>1839.9690000000001</v>
      </c>
      <c r="Y57" s="115">
        <f>'segSales&amp;comps'!E205</f>
        <v>1926.8639999999998</v>
      </c>
      <c r="Z57" s="115">
        <f>'segSales&amp;comps'!E212</f>
        <v>2033.883</v>
      </c>
      <c r="AA57" s="115">
        <f>'segSales&amp;comps'!E219</f>
        <v>1947</v>
      </c>
      <c r="AB57" s="115">
        <f>'segSales&amp;comps'!E226</f>
        <v>1841.8999999999999</v>
      </c>
      <c r="AC57" s="115">
        <f>'segSales&amp;comps'!E233</f>
        <v>1870.8999999999999</v>
      </c>
      <c r="AD57" s="115">
        <f>'segSales&amp;comps'!E240</f>
        <v>1930.3224999999998</v>
      </c>
      <c r="AE57" s="115">
        <f>(AD57*(1+AE82+(AE71*AE88)))</f>
        <v>1992.7808968135105</v>
      </c>
      <c r="AF57" s="115">
        <f>(AE57*(1+AF82+(AF71*AF88)))</f>
        <v>2057.184394847101</v>
      </c>
      <c r="AG57" s="115">
        <f>(AF57*(1+AG82+(AG71*AG88)))</f>
        <v>2103.3807681695498</v>
      </c>
      <c r="AH57" s="115">
        <f>(AG57*(1+AH82+(AH71*AH88)))</f>
        <v>2150.5987203663058</v>
      </c>
      <c r="AK57" s="330"/>
      <c r="AM57" s="330"/>
      <c r="AO57" s="330"/>
    </row>
    <row r="58" spans="1:52">
      <c r="A58" s="278" t="s">
        <v>1971</v>
      </c>
      <c r="D58" s="108"/>
      <c r="E58" s="108"/>
      <c r="F58" s="108"/>
      <c r="G58" s="108"/>
      <c r="H58" s="108"/>
      <c r="I58" s="108"/>
      <c r="J58" s="108"/>
      <c r="K58" s="108"/>
      <c r="L58" s="108"/>
      <c r="M58" s="108"/>
      <c r="N58" s="108"/>
      <c r="O58" s="108"/>
      <c r="P58" s="108"/>
      <c r="Q58" s="108"/>
      <c r="R58" s="1176" t="s">
        <v>1086</v>
      </c>
      <c r="S58" s="108">
        <f t="shared" ref="S58:AA58" si="75">S57/R57-1</f>
        <v>0.11543380928718472</v>
      </c>
      <c r="T58" s="108">
        <f t="shared" si="75"/>
        <v>-9.8435167617589747E-2</v>
      </c>
      <c r="U58" s="108">
        <f t="shared" si="75"/>
        <v>-0.11077840159935859</v>
      </c>
      <c r="V58" s="108">
        <f t="shared" si="75"/>
        <v>0.11602761698270059</v>
      </c>
      <c r="W58" s="108">
        <f t="shared" si="75"/>
        <v>0.14684126660531671</v>
      </c>
      <c r="X58" s="108">
        <f t="shared" si="75"/>
        <v>1.8931399841509267E-2</v>
      </c>
      <c r="Y58" s="108">
        <f t="shared" si="75"/>
        <v>4.7226339139409212E-2</v>
      </c>
      <c r="Z58" s="108">
        <f t="shared" si="75"/>
        <v>5.5540505193931722E-2</v>
      </c>
      <c r="AA58" s="108">
        <f t="shared" si="75"/>
        <v>-4.2717796451418266E-2</v>
      </c>
      <c r="AB58" s="108">
        <f t="shared" ref="AB58:AH58" si="76">AB57/AA57-1</f>
        <v>-5.3980482794042217E-2</v>
      </c>
      <c r="AC58" s="108">
        <f t="shared" si="76"/>
        <v>1.5744611542429121E-2</v>
      </c>
      <c r="AD58" s="108">
        <f t="shared" si="76"/>
        <v>3.1761451707734256E-2</v>
      </c>
      <c r="AE58" s="108">
        <f t="shared" si="76"/>
        <v>3.2356456920286991E-2</v>
      </c>
      <c r="AF58" s="108">
        <f t="shared" si="76"/>
        <v>3.2318403963312203E-2</v>
      </c>
      <c r="AG58" s="108">
        <f t="shared" si="76"/>
        <v>2.2456116932523473E-2</v>
      </c>
      <c r="AH58" s="108">
        <f t="shared" si="76"/>
        <v>2.2448599374542688E-2</v>
      </c>
      <c r="AI58" s="108"/>
      <c r="AK58" s="330"/>
      <c r="AM58" s="330"/>
      <c r="AO58" s="330"/>
    </row>
    <row r="59" spans="1:52">
      <c r="A59" s="131"/>
      <c r="P59" s="621"/>
      <c r="Q59" s="621"/>
      <c r="R59" s="621"/>
      <c r="S59" s="621"/>
      <c r="T59" s="621"/>
      <c r="U59" s="940"/>
      <c r="V59" s="621"/>
      <c r="W59" s="621"/>
      <c r="X59" s="621"/>
      <c r="Y59" s="621"/>
      <c r="Z59" s="621"/>
      <c r="AA59" s="621"/>
      <c r="AB59" s="621"/>
      <c r="AC59" s="621"/>
      <c r="AD59" s="621"/>
      <c r="AE59" s="621"/>
      <c r="AF59" s="621"/>
      <c r="AG59" s="621"/>
      <c r="AH59" s="621"/>
      <c r="AK59" s="330"/>
      <c r="AM59" s="330"/>
      <c r="AO59" s="330"/>
    </row>
    <row r="60" spans="1:52">
      <c r="A60" s="110" t="s">
        <v>1972</v>
      </c>
      <c r="B60" s="727">
        <f t="shared" ref="B60:V60" si="77">B250+B292</f>
        <v>9</v>
      </c>
      <c r="C60" s="727">
        <f t="shared" si="77"/>
        <v>12</v>
      </c>
      <c r="D60" s="727">
        <f t="shared" si="77"/>
        <v>14</v>
      </c>
      <c r="E60" s="727">
        <f t="shared" si="77"/>
        <v>17</v>
      </c>
      <c r="F60" s="727">
        <f t="shared" si="77"/>
        <v>17</v>
      </c>
      <c r="G60" s="727">
        <f t="shared" si="77"/>
        <v>19</v>
      </c>
      <c r="H60" s="727">
        <f t="shared" si="77"/>
        <v>22</v>
      </c>
      <c r="I60" s="727">
        <f t="shared" si="77"/>
        <v>24</v>
      </c>
      <c r="J60" s="727">
        <f t="shared" si="77"/>
        <v>30</v>
      </c>
      <c r="K60" s="727">
        <f t="shared" si="77"/>
        <v>36</v>
      </c>
      <c r="L60" s="727">
        <f t="shared" si="77"/>
        <v>41</v>
      </c>
      <c r="M60" s="727">
        <f t="shared" si="77"/>
        <v>46</v>
      </c>
      <c r="N60" s="727">
        <f t="shared" si="77"/>
        <v>49</v>
      </c>
      <c r="O60" s="727">
        <f t="shared" si="77"/>
        <v>52</v>
      </c>
      <c r="P60" s="727">
        <f t="shared" si="77"/>
        <v>58</v>
      </c>
      <c r="Q60" s="727">
        <f t="shared" si="77"/>
        <v>62</v>
      </c>
      <c r="R60" s="727">
        <f t="shared" si="77"/>
        <v>66</v>
      </c>
      <c r="S60" s="727">
        <f t="shared" si="77"/>
        <v>73</v>
      </c>
      <c r="T60" s="727">
        <f t="shared" si="77"/>
        <v>80</v>
      </c>
      <c r="U60" s="727">
        <f t="shared" si="77"/>
        <v>86</v>
      </c>
      <c r="V60" s="727">
        <f t="shared" si="77"/>
        <v>91</v>
      </c>
      <c r="W60" s="727">
        <f t="shared" ref="W60:AB60" si="78">+V62</f>
        <v>96</v>
      </c>
      <c r="X60" s="727">
        <f t="shared" si="78"/>
        <v>102</v>
      </c>
      <c r="Y60" s="727">
        <f t="shared" si="78"/>
        <v>115</v>
      </c>
      <c r="Z60" s="727">
        <f>+Y62</f>
        <v>121</v>
      </c>
      <c r="AA60" s="727">
        <f>+Z62</f>
        <v>122</v>
      </c>
      <c r="AB60" s="727">
        <f t="shared" si="78"/>
        <v>124</v>
      </c>
      <c r="AC60" s="727">
        <f t="shared" ref="AC60:AH60" si="79">+AB62</f>
        <v>125</v>
      </c>
      <c r="AD60" s="727">
        <f t="shared" si="79"/>
        <v>124</v>
      </c>
      <c r="AE60" s="727">
        <f t="shared" si="79"/>
        <v>125</v>
      </c>
      <c r="AF60" s="727">
        <f t="shared" si="79"/>
        <v>126</v>
      </c>
      <c r="AG60" s="727">
        <f t="shared" si="79"/>
        <v>127</v>
      </c>
      <c r="AH60" s="727">
        <f t="shared" si="79"/>
        <v>128</v>
      </c>
      <c r="AK60" s="330"/>
      <c r="AM60" s="330"/>
      <c r="AO60" s="330"/>
    </row>
    <row r="61" spans="1:52">
      <c r="A61" s="726" t="s">
        <v>556</v>
      </c>
      <c r="B61" s="729">
        <f t="shared" ref="B61:T61" si="80">B251+B299</f>
        <v>3</v>
      </c>
      <c r="C61" s="729">
        <f t="shared" si="80"/>
        <v>2</v>
      </c>
      <c r="D61" s="729">
        <f t="shared" si="80"/>
        <v>3</v>
      </c>
      <c r="E61" s="729">
        <f t="shared" si="80"/>
        <v>0</v>
      </c>
      <c r="F61" s="729">
        <f t="shared" si="80"/>
        <v>2</v>
      </c>
      <c r="G61" s="729">
        <f t="shared" si="80"/>
        <v>3</v>
      </c>
      <c r="H61" s="729">
        <f t="shared" si="80"/>
        <v>2</v>
      </c>
      <c r="I61" s="729">
        <f t="shared" si="80"/>
        <v>6</v>
      </c>
      <c r="J61" s="729">
        <f t="shared" si="80"/>
        <v>6</v>
      </c>
      <c r="K61" s="729">
        <f t="shared" si="80"/>
        <v>5</v>
      </c>
      <c r="L61" s="729">
        <f t="shared" si="80"/>
        <v>5</v>
      </c>
      <c r="M61" s="729">
        <f t="shared" si="80"/>
        <v>3</v>
      </c>
      <c r="N61" s="729">
        <f t="shared" si="80"/>
        <v>3</v>
      </c>
      <c r="O61" s="729">
        <f t="shared" si="80"/>
        <v>6</v>
      </c>
      <c r="P61" s="729">
        <f t="shared" si="80"/>
        <v>4</v>
      </c>
      <c r="Q61" s="729">
        <f t="shared" si="80"/>
        <v>4</v>
      </c>
      <c r="R61" s="729">
        <f t="shared" si="80"/>
        <v>7</v>
      </c>
      <c r="S61" s="729">
        <f t="shared" si="80"/>
        <v>7</v>
      </c>
      <c r="T61" s="729">
        <f t="shared" si="80"/>
        <v>6</v>
      </c>
      <c r="U61" s="729">
        <f>Stores!E251</f>
        <v>5</v>
      </c>
      <c r="V61" s="729">
        <f>Stores!E258</f>
        <v>5</v>
      </c>
      <c r="W61" s="729">
        <f>+Stores!E265</f>
        <v>6</v>
      </c>
      <c r="X61" s="729">
        <f>+Stores!E272</f>
        <v>13</v>
      </c>
      <c r="Y61" s="941">
        <f>Stores!E279</f>
        <v>6</v>
      </c>
      <c r="Z61" s="941">
        <f>Stores!E286</f>
        <v>1</v>
      </c>
      <c r="AA61" s="1998">
        <f>Stores!E293</f>
        <v>2</v>
      </c>
      <c r="AB61" s="1998">
        <f>Stores!E300</f>
        <v>1</v>
      </c>
      <c r="AC61" s="1998">
        <f>Stores!E307</f>
        <v>-1</v>
      </c>
      <c r="AD61" s="1998">
        <f>Stores!E314</f>
        <v>1</v>
      </c>
      <c r="AE61" s="1805">
        <v>1</v>
      </c>
      <c r="AF61" s="1805">
        <v>1</v>
      </c>
      <c r="AG61" s="1805">
        <v>1</v>
      </c>
      <c r="AH61" s="1805">
        <v>1</v>
      </c>
      <c r="AK61" s="330"/>
      <c r="AM61" s="330"/>
      <c r="AO61" s="330"/>
    </row>
    <row r="62" spans="1:52">
      <c r="A62" s="110" t="s">
        <v>1973</v>
      </c>
      <c r="B62" s="940">
        <f t="shared" ref="B62:K62" si="81">+B60+B61</f>
        <v>12</v>
      </c>
      <c r="C62" s="940">
        <f t="shared" si="81"/>
        <v>14</v>
      </c>
      <c r="D62" s="940">
        <f t="shared" si="81"/>
        <v>17</v>
      </c>
      <c r="E62" s="940">
        <f t="shared" si="81"/>
        <v>17</v>
      </c>
      <c r="F62" s="940">
        <f t="shared" si="81"/>
        <v>19</v>
      </c>
      <c r="G62" s="940">
        <f t="shared" si="81"/>
        <v>22</v>
      </c>
      <c r="H62" s="940">
        <f t="shared" si="81"/>
        <v>24</v>
      </c>
      <c r="I62" s="940">
        <f t="shared" si="81"/>
        <v>30</v>
      </c>
      <c r="J62" s="940">
        <f t="shared" si="81"/>
        <v>36</v>
      </c>
      <c r="K62" s="940">
        <f t="shared" si="81"/>
        <v>41</v>
      </c>
      <c r="L62" s="940">
        <f>L60+L61</f>
        <v>46</v>
      </c>
      <c r="M62" s="940">
        <f t="shared" ref="M62:AA62" si="82">+M60+M61</f>
        <v>49</v>
      </c>
      <c r="N62" s="940">
        <f t="shared" si="82"/>
        <v>52</v>
      </c>
      <c r="O62" s="940">
        <f t="shared" si="82"/>
        <v>58</v>
      </c>
      <c r="P62" s="940">
        <f t="shared" si="82"/>
        <v>62</v>
      </c>
      <c r="Q62" s="940">
        <f t="shared" si="82"/>
        <v>66</v>
      </c>
      <c r="R62" s="940">
        <f t="shared" si="82"/>
        <v>73</v>
      </c>
      <c r="S62" s="940">
        <f t="shared" si="82"/>
        <v>80</v>
      </c>
      <c r="T62" s="940">
        <f t="shared" si="82"/>
        <v>86</v>
      </c>
      <c r="U62" s="940">
        <f t="shared" si="82"/>
        <v>91</v>
      </c>
      <c r="V62" s="940">
        <f t="shared" si="82"/>
        <v>96</v>
      </c>
      <c r="W62" s="940">
        <f t="shared" si="82"/>
        <v>102</v>
      </c>
      <c r="X62" s="940">
        <f t="shared" si="82"/>
        <v>115</v>
      </c>
      <c r="Y62" s="940">
        <f t="shared" si="82"/>
        <v>121</v>
      </c>
      <c r="Z62" s="940">
        <f t="shared" si="82"/>
        <v>122</v>
      </c>
      <c r="AA62" s="940">
        <f t="shared" si="82"/>
        <v>124</v>
      </c>
      <c r="AB62" s="940">
        <f t="shared" ref="AB62:AG62" si="83">+AB60+AB61</f>
        <v>125</v>
      </c>
      <c r="AC62" s="940">
        <f t="shared" si="83"/>
        <v>124</v>
      </c>
      <c r="AD62" s="940">
        <f t="shared" si="83"/>
        <v>125</v>
      </c>
      <c r="AE62" s="940">
        <f t="shared" si="83"/>
        <v>126</v>
      </c>
      <c r="AF62" s="940">
        <f t="shared" si="83"/>
        <v>127</v>
      </c>
      <c r="AG62" s="940">
        <f t="shared" si="83"/>
        <v>128</v>
      </c>
      <c r="AH62" s="940">
        <f>+AH60+AH61</f>
        <v>129</v>
      </c>
      <c r="AI62" s="621"/>
      <c r="AJ62" s="621"/>
      <c r="AK62" s="405"/>
      <c r="AL62" s="621"/>
      <c r="AM62" s="405"/>
      <c r="AN62" s="621"/>
      <c r="AO62" s="405"/>
      <c r="AP62" s="940"/>
      <c r="AQ62" s="621"/>
      <c r="AR62" s="621"/>
      <c r="AS62" s="621"/>
      <c r="AT62" s="621"/>
      <c r="AU62" s="621"/>
      <c r="AV62" s="621"/>
      <c r="AW62" s="621"/>
      <c r="AX62" s="621"/>
      <c r="AY62" s="621"/>
      <c r="AZ62" s="621"/>
    </row>
    <row r="63" spans="1:52">
      <c r="A63" s="278" t="s">
        <v>1974</v>
      </c>
      <c r="B63" s="727">
        <f>AVERAGE(B60,B62)</f>
        <v>10.5</v>
      </c>
      <c r="C63" s="727">
        <f t="shared" ref="C63:AA63" si="84">AVERAGE(B62:C62)</f>
        <v>13</v>
      </c>
      <c r="D63" s="727">
        <f t="shared" si="84"/>
        <v>15.5</v>
      </c>
      <c r="E63" s="727">
        <f t="shared" si="84"/>
        <v>17</v>
      </c>
      <c r="F63" s="727">
        <f t="shared" si="84"/>
        <v>18</v>
      </c>
      <c r="G63" s="727">
        <f t="shared" si="84"/>
        <v>20.5</v>
      </c>
      <c r="H63" s="727">
        <f t="shared" si="84"/>
        <v>23</v>
      </c>
      <c r="I63" s="727">
        <f t="shared" si="84"/>
        <v>27</v>
      </c>
      <c r="J63" s="727">
        <f t="shared" si="84"/>
        <v>33</v>
      </c>
      <c r="K63" s="727">
        <f t="shared" si="84"/>
        <v>38.5</v>
      </c>
      <c r="L63" s="727">
        <f t="shared" si="84"/>
        <v>43.5</v>
      </c>
      <c r="M63" s="727">
        <f t="shared" si="84"/>
        <v>47.5</v>
      </c>
      <c r="N63" s="727">
        <f t="shared" si="84"/>
        <v>50.5</v>
      </c>
      <c r="O63" s="727">
        <f t="shared" si="84"/>
        <v>55</v>
      </c>
      <c r="P63" s="940">
        <f t="shared" si="84"/>
        <v>60</v>
      </c>
      <c r="Q63" s="940">
        <f t="shared" si="84"/>
        <v>64</v>
      </c>
      <c r="R63" s="940">
        <f t="shared" si="84"/>
        <v>69.5</v>
      </c>
      <c r="S63" s="940">
        <f t="shared" si="84"/>
        <v>76.5</v>
      </c>
      <c r="T63" s="940">
        <f t="shared" si="84"/>
        <v>83</v>
      </c>
      <c r="U63" s="940">
        <f t="shared" si="84"/>
        <v>88.5</v>
      </c>
      <c r="V63" s="940">
        <f t="shared" si="84"/>
        <v>93.5</v>
      </c>
      <c r="W63" s="940">
        <f t="shared" si="84"/>
        <v>99</v>
      </c>
      <c r="X63" s="940">
        <f t="shared" si="84"/>
        <v>108.5</v>
      </c>
      <c r="Y63" s="940">
        <f t="shared" si="84"/>
        <v>118</v>
      </c>
      <c r="Z63" s="940">
        <f t="shared" si="84"/>
        <v>121.5</v>
      </c>
      <c r="AA63" s="940">
        <f t="shared" si="84"/>
        <v>123</v>
      </c>
      <c r="AB63" s="940">
        <f t="shared" ref="AB63:AH63" si="85">AVERAGE(AA62:AB62)</f>
        <v>124.5</v>
      </c>
      <c r="AC63" s="940">
        <f t="shared" si="85"/>
        <v>124.5</v>
      </c>
      <c r="AD63" s="940">
        <f t="shared" si="85"/>
        <v>124.5</v>
      </c>
      <c r="AE63" s="940">
        <f t="shared" si="85"/>
        <v>125.5</v>
      </c>
      <c r="AF63" s="940">
        <f t="shared" si="85"/>
        <v>126.5</v>
      </c>
      <c r="AG63" s="940">
        <f t="shared" si="85"/>
        <v>127.5</v>
      </c>
      <c r="AH63" s="940">
        <f t="shared" si="85"/>
        <v>128.5</v>
      </c>
      <c r="AK63" s="330"/>
      <c r="AM63" s="330"/>
      <c r="AO63" s="330"/>
    </row>
    <row r="64" spans="1:52">
      <c r="A64" s="278" t="s">
        <v>1975</v>
      </c>
      <c r="B64" s="728"/>
      <c r="C64" s="728">
        <f t="shared" ref="C64:AA64" si="86">C63/B63-1</f>
        <v>0.23809523809523814</v>
      </c>
      <c r="D64" s="728">
        <f t="shared" si="86"/>
        <v>0.19230769230769229</v>
      </c>
      <c r="E64" s="728">
        <f t="shared" si="86"/>
        <v>9.6774193548387011E-2</v>
      </c>
      <c r="F64" s="728">
        <f t="shared" si="86"/>
        <v>5.8823529411764719E-2</v>
      </c>
      <c r="G64" s="728">
        <f t="shared" si="86"/>
        <v>0.13888888888888884</v>
      </c>
      <c r="H64" s="728">
        <f t="shared" si="86"/>
        <v>0.12195121951219523</v>
      </c>
      <c r="I64" s="728">
        <f t="shared" si="86"/>
        <v>0.17391304347826098</v>
      </c>
      <c r="J64" s="728">
        <f t="shared" si="86"/>
        <v>0.22222222222222232</v>
      </c>
      <c r="K64" s="728">
        <f t="shared" si="86"/>
        <v>0.16666666666666674</v>
      </c>
      <c r="L64" s="728">
        <f t="shared" si="86"/>
        <v>0.12987012987012991</v>
      </c>
      <c r="M64" s="728">
        <f t="shared" si="86"/>
        <v>9.1954022988505857E-2</v>
      </c>
      <c r="N64" s="728">
        <f t="shared" si="86"/>
        <v>6.315789473684208E-2</v>
      </c>
      <c r="O64" s="728">
        <f t="shared" si="86"/>
        <v>8.9108910891089188E-2</v>
      </c>
      <c r="P64" s="633">
        <f t="shared" si="86"/>
        <v>9.0909090909090828E-2</v>
      </c>
      <c r="Q64" s="633">
        <f t="shared" si="86"/>
        <v>6.6666666666666652E-2</v>
      </c>
      <c r="R64" s="633">
        <f t="shared" si="86"/>
        <v>8.59375E-2</v>
      </c>
      <c r="S64" s="633">
        <f t="shared" si="86"/>
        <v>0.10071942446043169</v>
      </c>
      <c r="T64" s="633">
        <f t="shared" si="86"/>
        <v>8.4967320261437829E-2</v>
      </c>
      <c r="U64" s="633">
        <f t="shared" si="86"/>
        <v>6.6265060240963791E-2</v>
      </c>
      <c r="V64" s="633">
        <f t="shared" si="86"/>
        <v>5.6497175141242861E-2</v>
      </c>
      <c r="W64" s="633">
        <f t="shared" si="86"/>
        <v>5.8823529411764719E-2</v>
      </c>
      <c r="X64" s="633">
        <f t="shared" si="86"/>
        <v>9.5959595959596022E-2</v>
      </c>
      <c r="Y64" s="633">
        <f t="shared" si="86"/>
        <v>8.7557603686635899E-2</v>
      </c>
      <c r="Z64" s="633">
        <f t="shared" si="86"/>
        <v>2.9661016949152463E-2</v>
      </c>
      <c r="AA64" s="633">
        <f t="shared" si="86"/>
        <v>1.2345679012345734E-2</v>
      </c>
      <c r="AB64" s="633">
        <f t="shared" ref="AB64:AH64" si="87">AB63/AA63-1</f>
        <v>1.2195121951219523E-2</v>
      </c>
      <c r="AC64" s="633">
        <f t="shared" si="87"/>
        <v>0</v>
      </c>
      <c r="AD64" s="633">
        <f t="shared" si="87"/>
        <v>0</v>
      </c>
      <c r="AE64" s="633">
        <f t="shared" si="87"/>
        <v>8.0321285140563248E-3</v>
      </c>
      <c r="AF64" s="633">
        <f t="shared" si="87"/>
        <v>7.9681274900398336E-3</v>
      </c>
      <c r="AG64" s="633">
        <f t="shared" si="87"/>
        <v>7.905138339920903E-3</v>
      </c>
      <c r="AH64" s="633">
        <f t="shared" si="87"/>
        <v>7.8431372549019329E-3</v>
      </c>
      <c r="AK64" s="330"/>
      <c r="AM64" s="330"/>
      <c r="AO64" s="330"/>
    </row>
    <row r="65" spans="1:52">
      <c r="A65" s="278" t="s">
        <v>1365</v>
      </c>
      <c r="B65" s="728"/>
      <c r="C65" s="108">
        <f t="shared" ref="C65:AA65" si="88">+C62/B62-1</f>
        <v>0.16666666666666674</v>
      </c>
      <c r="D65" s="108">
        <f t="shared" si="88"/>
        <v>0.21428571428571419</v>
      </c>
      <c r="E65" s="108">
        <f t="shared" si="88"/>
        <v>0</v>
      </c>
      <c r="F65" s="108">
        <f t="shared" si="88"/>
        <v>0.11764705882352944</v>
      </c>
      <c r="G65" s="108">
        <f t="shared" si="88"/>
        <v>0.15789473684210531</v>
      </c>
      <c r="H65" s="108">
        <f t="shared" si="88"/>
        <v>9.0909090909090828E-2</v>
      </c>
      <c r="I65" s="108">
        <f t="shared" si="88"/>
        <v>0.25</v>
      </c>
      <c r="J65" s="108">
        <f t="shared" si="88"/>
        <v>0.19999999999999996</v>
      </c>
      <c r="K65" s="108">
        <f t="shared" si="88"/>
        <v>0.13888888888888884</v>
      </c>
      <c r="L65" s="108">
        <f t="shared" si="88"/>
        <v>0.12195121951219523</v>
      </c>
      <c r="M65" s="108">
        <f t="shared" si="88"/>
        <v>6.5217391304347894E-2</v>
      </c>
      <c r="N65" s="108">
        <f t="shared" si="88"/>
        <v>6.1224489795918435E-2</v>
      </c>
      <c r="O65" s="108">
        <f t="shared" si="88"/>
        <v>0.11538461538461542</v>
      </c>
      <c r="P65" s="108">
        <f t="shared" si="88"/>
        <v>6.8965517241379226E-2</v>
      </c>
      <c r="Q65" s="108">
        <f t="shared" si="88"/>
        <v>6.4516129032258007E-2</v>
      </c>
      <c r="R65" s="108">
        <f t="shared" si="88"/>
        <v>0.10606060606060597</v>
      </c>
      <c r="S65" s="108">
        <f t="shared" si="88"/>
        <v>9.5890410958904049E-2</v>
      </c>
      <c r="T65" s="108">
        <f t="shared" si="88"/>
        <v>7.4999999999999956E-2</v>
      </c>
      <c r="U65" s="108">
        <f t="shared" si="88"/>
        <v>5.8139534883721034E-2</v>
      </c>
      <c r="V65" s="108">
        <f t="shared" si="88"/>
        <v>5.4945054945054972E-2</v>
      </c>
      <c r="W65" s="108">
        <f t="shared" si="88"/>
        <v>6.25E-2</v>
      </c>
      <c r="X65" s="108">
        <f t="shared" si="88"/>
        <v>0.12745098039215685</v>
      </c>
      <c r="Y65" s="108">
        <f t="shared" si="88"/>
        <v>5.2173913043478182E-2</v>
      </c>
      <c r="Z65" s="108">
        <f t="shared" si="88"/>
        <v>8.2644628099173278E-3</v>
      </c>
      <c r="AA65" s="108">
        <f t="shared" si="88"/>
        <v>1.6393442622950838E-2</v>
      </c>
      <c r="AB65" s="108">
        <f t="shared" ref="AB65:AH65" si="89">+AB62/AA62-1</f>
        <v>8.0645161290322509E-3</v>
      </c>
      <c r="AC65" s="108">
        <f t="shared" si="89"/>
        <v>-8.0000000000000071E-3</v>
      </c>
      <c r="AD65" s="108">
        <f t="shared" si="89"/>
        <v>8.0645161290322509E-3</v>
      </c>
      <c r="AE65" s="108">
        <f t="shared" si="89"/>
        <v>8.0000000000000071E-3</v>
      </c>
      <c r="AF65" s="108">
        <f t="shared" si="89"/>
        <v>7.9365079365079083E-3</v>
      </c>
      <c r="AG65" s="108">
        <f t="shared" si="89"/>
        <v>7.8740157480314821E-3</v>
      </c>
      <c r="AH65" s="108">
        <f t="shared" si="89"/>
        <v>7.8125E-3</v>
      </c>
      <c r="AK65" s="330"/>
      <c r="AM65" s="330"/>
      <c r="AO65" s="330"/>
    </row>
    <row r="66" spans="1:52">
      <c r="A66" s="131"/>
      <c r="G66" s="216"/>
      <c r="H66" s="216"/>
      <c r="I66" s="216"/>
      <c r="J66" s="216"/>
      <c r="K66" s="216"/>
      <c r="L66" s="873"/>
      <c r="M66" s="873"/>
      <c r="N66" s="873"/>
      <c r="O66" s="873"/>
      <c r="P66" s="873"/>
      <c r="Q66" s="873"/>
      <c r="R66" s="873"/>
      <c r="S66" s="873"/>
      <c r="T66" s="873"/>
      <c r="U66" s="873"/>
      <c r="V66" s="873"/>
      <c r="W66" s="873"/>
      <c r="X66" s="873"/>
      <c r="Y66" s="873"/>
      <c r="Z66" s="873"/>
      <c r="AA66" s="873"/>
      <c r="AB66" s="873"/>
      <c r="AC66" s="873"/>
      <c r="AD66" s="873"/>
      <c r="AE66" s="873"/>
      <c r="AF66" s="873"/>
      <c r="AG66" s="873"/>
      <c r="AH66" s="873"/>
      <c r="AK66" s="330"/>
      <c r="AM66" s="330"/>
      <c r="AO66" s="330"/>
    </row>
    <row r="67" spans="1:52">
      <c r="A67" s="278" t="s">
        <v>557</v>
      </c>
      <c r="C67" s="737"/>
      <c r="D67" s="737"/>
      <c r="E67" s="737"/>
      <c r="F67" s="737"/>
      <c r="G67" s="737"/>
      <c r="H67" s="737"/>
      <c r="I67" s="737"/>
      <c r="J67" s="737"/>
      <c r="K67" s="737"/>
      <c r="L67" s="737"/>
      <c r="M67" s="737"/>
      <c r="N67" s="737"/>
      <c r="O67" s="737"/>
      <c r="P67" s="942"/>
      <c r="Q67" s="942"/>
      <c r="R67" s="942">
        <f t="shared" ref="R67:Y67" si="90">+R57/R63</f>
        <v>22.701352517985612</v>
      </c>
      <c r="S67" s="942">
        <f t="shared" si="90"/>
        <v>23.004823529411762</v>
      </c>
      <c r="T67" s="942">
        <f t="shared" si="90"/>
        <v>19.116096385542168</v>
      </c>
      <c r="U67" s="942">
        <f t="shared" si="90"/>
        <v>15.942045197740114</v>
      </c>
      <c r="V67" s="942">
        <f t="shared" si="90"/>
        <v>16.840331550802137</v>
      </c>
      <c r="W67" s="942">
        <f t="shared" si="90"/>
        <v>18.240232323232323</v>
      </c>
      <c r="X67" s="942">
        <f t="shared" si="90"/>
        <v>16.958239631336404</v>
      </c>
      <c r="Y67" s="942">
        <f t="shared" si="90"/>
        <v>16.329355932203388</v>
      </c>
      <c r="Z67" s="942">
        <f t="shared" ref="Z67:AE67" si="91">+Z57/Z63</f>
        <v>16.739777777777778</v>
      </c>
      <c r="AA67" s="942">
        <f t="shared" si="91"/>
        <v>15.829268292682928</v>
      </c>
      <c r="AB67" s="942">
        <f t="shared" si="91"/>
        <v>14.79437751004016</v>
      </c>
      <c r="AC67" s="942">
        <f t="shared" si="91"/>
        <v>15.02730923694779</v>
      </c>
      <c r="AD67" s="942">
        <f t="shared" si="91"/>
        <v>15.504598393574295</v>
      </c>
      <c r="AE67" s="942">
        <f t="shared" si="91"/>
        <v>15.878732245525979</v>
      </c>
      <c r="AF67" s="942">
        <f>+AF57/AF63</f>
        <v>16.262327231992892</v>
      </c>
      <c r="AG67" s="942">
        <f>+AG57/AG63</f>
        <v>16.4971040640749</v>
      </c>
      <c r="AH67" s="942">
        <f>+AH57/AH63</f>
        <v>16.73617681218915</v>
      </c>
      <c r="AK67" s="330"/>
      <c r="AM67" s="330"/>
      <c r="AO67" s="330"/>
    </row>
    <row r="68" spans="1:52">
      <c r="A68" s="278" t="s">
        <v>1971</v>
      </c>
      <c r="C68" s="738"/>
      <c r="D68" s="738"/>
      <c r="E68" s="738"/>
      <c r="F68" s="738"/>
      <c r="G68" s="738"/>
      <c r="H68" s="738"/>
      <c r="I68" s="738"/>
      <c r="J68" s="738"/>
      <c r="K68" s="738"/>
      <c r="L68" s="738"/>
      <c r="M68" s="738"/>
      <c r="N68" s="738"/>
      <c r="O68" s="738"/>
      <c r="P68" s="943"/>
      <c r="Q68" s="943"/>
      <c r="R68" s="1176" t="s">
        <v>1086</v>
      </c>
      <c r="S68" s="943">
        <f t="shared" ref="S68:AA68" si="92">+S67/R67-1</f>
        <v>1.3367970528880058E-2</v>
      </c>
      <c r="T68" s="943">
        <f t="shared" si="92"/>
        <v>-0.16903964244271819</v>
      </c>
      <c r="U68" s="943">
        <f t="shared" si="92"/>
        <v>-0.16604076082199726</v>
      </c>
      <c r="V68" s="943">
        <f t="shared" si="92"/>
        <v>5.6346995753679074E-2</v>
      </c>
      <c r="W68" s="943">
        <f t="shared" si="92"/>
        <v>8.3127862905021388E-2</v>
      </c>
      <c r="X68" s="943">
        <f t="shared" si="92"/>
        <v>-7.0283791849682919E-2</v>
      </c>
      <c r="Y68" s="943">
        <f t="shared" si="92"/>
        <v>-3.7084255960797341E-2</v>
      </c>
      <c r="Z68" s="943">
        <f t="shared" si="92"/>
        <v>2.5133988583406985E-2</v>
      </c>
      <c r="AA68" s="943">
        <f t="shared" si="92"/>
        <v>-5.4391969665425366E-2</v>
      </c>
      <c r="AB68" s="943">
        <f t="shared" ref="AB68:AH68" si="93">+AB67/AA67-1</f>
        <v>-6.537830830254765E-2</v>
      </c>
      <c r="AC68" s="943">
        <f t="shared" si="93"/>
        <v>1.5744611542428899E-2</v>
      </c>
      <c r="AD68" s="943">
        <f t="shared" si="93"/>
        <v>3.1761451707734256E-2</v>
      </c>
      <c r="AE68" s="943">
        <f t="shared" si="93"/>
        <v>2.4130509056380367E-2</v>
      </c>
      <c r="AF68" s="943">
        <f t="shared" si="93"/>
        <v>2.415778416913561E-2</v>
      </c>
      <c r="AG68" s="943">
        <f t="shared" si="93"/>
        <v>1.4436853270307637E-2</v>
      </c>
      <c r="AH68" s="943">
        <f t="shared" si="93"/>
        <v>1.4491800935830357E-2</v>
      </c>
      <c r="AK68" s="330"/>
      <c r="AM68" s="330"/>
      <c r="AO68" s="330"/>
    </row>
    <row r="69" spans="1:52">
      <c r="A69" s="131"/>
      <c r="G69" s="216"/>
      <c r="H69" s="216"/>
      <c r="I69" s="216"/>
      <c r="J69" s="216"/>
      <c r="K69" s="216"/>
      <c r="L69" s="216"/>
      <c r="M69" s="216"/>
      <c r="P69" s="621"/>
      <c r="Q69" s="621"/>
      <c r="R69" s="630"/>
      <c r="S69" s="630"/>
      <c r="T69" s="630"/>
      <c r="U69" s="630"/>
      <c r="V69" s="630"/>
      <c r="W69" s="630"/>
      <c r="X69" s="621"/>
      <c r="Y69" s="621"/>
      <c r="Z69" s="621"/>
      <c r="AA69" s="621"/>
      <c r="AB69" s="621"/>
      <c r="AC69" s="621"/>
      <c r="AD69" s="621"/>
      <c r="AE69" s="621"/>
      <c r="AF69" s="621"/>
      <c r="AG69" s="621"/>
      <c r="AH69" s="621"/>
      <c r="AK69" s="330"/>
      <c r="AM69" s="330"/>
      <c r="AO69" s="330"/>
    </row>
    <row r="70" spans="1:52">
      <c r="A70" s="278" t="s">
        <v>1977</v>
      </c>
      <c r="E70" s="111"/>
      <c r="F70" s="111"/>
      <c r="G70" s="111"/>
      <c r="H70" s="111"/>
      <c r="I70" s="111"/>
      <c r="J70" s="111"/>
      <c r="K70" s="111"/>
      <c r="L70" s="111"/>
      <c r="M70" s="111"/>
      <c r="N70" s="111"/>
      <c r="O70" s="111"/>
      <c r="P70" s="202"/>
      <c r="Q70" s="202"/>
      <c r="R70" s="202"/>
      <c r="S70" s="202"/>
      <c r="T70" s="202"/>
      <c r="U70" s="202">
        <f t="shared" ref="U70:AA70" si="94">+(U73+T73)/2</f>
        <v>0.61320000000000008</v>
      </c>
      <c r="V70" s="202">
        <f t="shared" si="94"/>
        <v>0.63500000000000001</v>
      </c>
      <c r="W70" s="202">
        <f t="shared" si="94"/>
        <v>0.65215000000000001</v>
      </c>
      <c r="X70" s="202">
        <f t="shared" si="94"/>
        <v>0.68344999999999989</v>
      </c>
      <c r="Y70" s="202">
        <f t="shared" si="94"/>
        <v>0.71669999999999989</v>
      </c>
      <c r="Z70" s="202">
        <f t="shared" si="94"/>
        <v>0.72994999999999988</v>
      </c>
      <c r="AA70" s="202">
        <f t="shared" si="94"/>
        <v>0.73819999999999975</v>
      </c>
      <c r="AB70" s="202">
        <f t="shared" ref="AB70:AH70" si="95">+(AB73+AA73)/2</f>
        <v>0.74679999999999969</v>
      </c>
      <c r="AC70" s="202">
        <f t="shared" si="95"/>
        <v>0.7466499999999997</v>
      </c>
      <c r="AD70" s="202">
        <f t="shared" si="95"/>
        <v>0.74454999999999971</v>
      </c>
      <c r="AE70" s="202">
        <f t="shared" si="95"/>
        <v>0.74684999999999968</v>
      </c>
      <c r="AF70" s="202">
        <f t="shared" si="95"/>
        <v>0.74914999999999965</v>
      </c>
      <c r="AG70" s="202">
        <f t="shared" si="95"/>
        <v>0.75144999999999962</v>
      </c>
      <c r="AH70" s="202">
        <f t="shared" si="95"/>
        <v>0.75374999999999959</v>
      </c>
      <c r="AK70" s="330"/>
      <c r="AM70" s="330"/>
      <c r="AO70" s="330"/>
    </row>
    <row r="71" spans="1:52">
      <c r="A71" s="278" t="s">
        <v>1971</v>
      </c>
      <c r="F71" s="108"/>
      <c r="G71" s="108"/>
      <c r="H71" s="108"/>
      <c r="I71" s="108"/>
      <c r="J71" s="108"/>
      <c r="K71" s="108"/>
      <c r="L71" s="108"/>
      <c r="M71" s="108"/>
      <c r="N71" s="108"/>
      <c r="O71" s="108"/>
      <c r="P71" s="939"/>
      <c r="Q71" s="939"/>
      <c r="R71" s="939"/>
      <c r="S71" s="939"/>
      <c r="T71" s="939"/>
      <c r="U71" s="1219">
        <f>U70*0.8</f>
        <v>0.49056000000000011</v>
      </c>
      <c r="V71" s="939">
        <f t="shared" ref="V71:AA71" si="96">+V70/U70-1</f>
        <v>3.55512067840833E-2</v>
      </c>
      <c r="W71" s="939">
        <f t="shared" si="96"/>
        <v>2.7007874015748001E-2</v>
      </c>
      <c r="X71" s="939">
        <f t="shared" si="96"/>
        <v>4.7995093153415436E-2</v>
      </c>
      <c r="Y71" s="939">
        <f t="shared" si="96"/>
        <v>4.8650230448459952E-2</v>
      </c>
      <c r="Z71" s="939">
        <f t="shared" si="96"/>
        <v>1.8487512208734458E-2</v>
      </c>
      <c r="AA71" s="939">
        <f t="shared" si="96"/>
        <v>1.1302143982464319E-2</v>
      </c>
      <c r="AB71" s="939">
        <f t="shared" ref="AB71:AH71" si="97">+AB70/AA70-1</f>
        <v>1.1649959360606754E-2</v>
      </c>
      <c r="AC71" s="939">
        <f t="shared" si="97"/>
        <v>-2.0085698982319489E-4</v>
      </c>
      <c r="AD71" s="939">
        <f t="shared" si="97"/>
        <v>-2.8125627804191922E-3</v>
      </c>
      <c r="AE71" s="939">
        <f t="shared" si="97"/>
        <v>3.0891142300717433E-3</v>
      </c>
      <c r="AF71" s="939">
        <f t="shared" si="97"/>
        <v>3.0796009908280464E-3</v>
      </c>
      <c r="AG71" s="939">
        <f t="shared" si="97"/>
        <v>3.0701461656543749E-3</v>
      </c>
      <c r="AH71" s="939">
        <f t="shared" si="97"/>
        <v>3.060749218178227E-3</v>
      </c>
      <c r="AK71" s="330"/>
      <c r="AM71" s="330"/>
      <c r="AO71" s="330"/>
    </row>
    <row r="72" spans="1:52">
      <c r="A72" s="103"/>
      <c r="G72" s="216"/>
      <c r="H72" s="216"/>
      <c r="I72" s="216"/>
      <c r="J72" s="216"/>
      <c r="K72" s="216"/>
      <c r="L72" s="216"/>
      <c r="M72" s="216"/>
      <c r="P72" s="621"/>
      <c r="Q72" s="621"/>
      <c r="R72" s="621"/>
      <c r="S72" s="621"/>
      <c r="T72" s="621"/>
      <c r="U72" s="621"/>
      <c r="V72" s="621"/>
      <c r="W72" s="621"/>
      <c r="X72" s="621"/>
      <c r="Y72" s="621"/>
      <c r="Z72" s="621"/>
      <c r="AA72" s="621"/>
      <c r="AB72" s="621"/>
      <c r="AC72" s="621"/>
      <c r="AD72" s="621"/>
      <c r="AE72" s="621"/>
      <c r="AF72" s="621"/>
      <c r="AG72" s="621"/>
      <c r="AH72" s="621"/>
      <c r="AK72" s="330"/>
      <c r="AM72" s="330"/>
      <c r="AO72" s="330"/>
    </row>
    <row r="73" spans="1:52">
      <c r="A73" s="110" t="s">
        <v>1940</v>
      </c>
      <c r="B73" s="621"/>
      <c r="C73" s="938"/>
      <c r="D73" s="938"/>
      <c r="E73" s="938"/>
      <c r="F73" s="938"/>
      <c r="G73" s="938"/>
      <c r="H73" s="938"/>
      <c r="I73" s="938"/>
      <c r="J73" s="938"/>
      <c r="K73" s="938"/>
      <c r="L73" s="938"/>
      <c r="M73" s="938"/>
      <c r="N73" s="938"/>
      <c r="O73" s="938"/>
      <c r="P73" s="938"/>
      <c r="Q73" s="938"/>
      <c r="R73" s="938"/>
      <c r="S73" s="938"/>
      <c r="T73" s="938">
        <f>Stores!G244</f>
        <v>0.60000000000000009</v>
      </c>
      <c r="U73" s="938">
        <f>Stores!G251</f>
        <v>0.62640000000000007</v>
      </c>
      <c r="V73" s="938">
        <f>+Stores!G258</f>
        <v>0.64359999999999995</v>
      </c>
      <c r="W73" s="1613">
        <f>+Stores!G264</f>
        <v>0.66069999999999995</v>
      </c>
      <c r="X73" s="938">
        <f>+Stores!G272</f>
        <v>0.70619999999999994</v>
      </c>
      <c r="Y73" s="938">
        <f>Stores!G279</f>
        <v>0.72719999999999985</v>
      </c>
      <c r="Z73" s="938">
        <f>Stores!G286</f>
        <v>0.7326999999999998</v>
      </c>
      <c r="AA73" s="938">
        <f>Stores!G293</f>
        <v>0.74369999999999969</v>
      </c>
      <c r="AB73" s="938">
        <f>Stores!G300</f>
        <v>0.74989999999999968</v>
      </c>
      <c r="AC73" s="938">
        <f>Stores!G307</f>
        <v>0.74339999999999973</v>
      </c>
      <c r="AD73" s="938">
        <f>Stores!G314</f>
        <v>0.7456999999999997</v>
      </c>
      <c r="AE73" s="938">
        <f>AD73+(AE86*AE61)/1000000</f>
        <v>0.74799999999999967</v>
      </c>
      <c r="AF73" s="938">
        <f>AE73+(AF86*AF61)/1000000</f>
        <v>0.75029999999999963</v>
      </c>
      <c r="AG73" s="938">
        <f>AF73+(AG86*AG61)/1000000</f>
        <v>0.7525999999999996</v>
      </c>
      <c r="AH73" s="938">
        <f>AG73+(AH86*AH61)/1000000</f>
        <v>0.75489999999999957</v>
      </c>
      <c r="AI73" s="621"/>
      <c r="AJ73" s="621"/>
      <c r="AK73" s="405"/>
      <c r="AL73" s="621"/>
      <c r="AM73" s="405"/>
      <c r="AN73" s="621"/>
      <c r="AO73" s="405"/>
      <c r="AP73" s="621"/>
      <c r="AQ73" s="621"/>
      <c r="AR73" s="621"/>
      <c r="AS73" s="621"/>
      <c r="AT73" s="621"/>
      <c r="AU73" s="621"/>
      <c r="AV73" s="621"/>
      <c r="AW73" s="621"/>
      <c r="AX73" s="621"/>
      <c r="AY73" s="621"/>
      <c r="AZ73" s="621"/>
    </row>
    <row r="74" spans="1:52">
      <c r="A74" s="110" t="s">
        <v>1971</v>
      </c>
      <c r="B74" s="621"/>
      <c r="C74" s="621"/>
      <c r="D74" s="621"/>
      <c r="E74" s="939"/>
      <c r="F74" s="939"/>
      <c r="G74" s="939"/>
      <c r="H74" s="939"/>
      <c r="I74" s="939"/>
      <c r="J74" s="939"/>
      <c r="K74" s="939"/>
      <c r="L74" s="939"/>
      <c r="M74" s="939"/>
      <c r="N74" s="939"/>
      <c r="O74" s="939"/>
      <c r="P74" s="939"/>
      <c r="Q74" s="939"/>
      <c r="R74" s="939"/>
      <c r="S74" s="939"/>
      <c r="T74" s="939"/>
      <c r="U74" s="939">
        <f t="shared" ref="U74:AA74" si="98">+U73/T73-1</f>
        <v>4.4000000000000039E-2</v>
      </c>
      <c r="V74" s="939">
        <f t="shared" si="98"/>
        <v>2.7458492975734217E-2</v>
      </c>
      <c r="W74" s="939">
        <f t="shared" si="98"/>
        <v>2.6569297700435035E-2</v>
      </c>
      <c r="X74" s="939">
        <f t="shared" si="98"/>
        <v>6.8866353867110597E-2</v>
      </c>
      <c r="Y74" s="939">
        <f t="shared" si="98"/>
        <v>2.9736618521665203E-2</v>
      </c>
      <c r="Z74" s="939">
        <f t="shared" si="98"/>
        <v>7.5632563256324836E-3</v>
      </c>
      <c r="AA74" s="939">
        <f t="shared" si="98"/>
        <v>1.5012965743141704E-2</v>
      </c>
      <c r="AB74" s="939">
        <f t="shared" ref="AB74:AH74" si="99">+AB73/AA73-1</f>
        <v>8.336694903859021E-3</v>
      </c>
      <c r="AC74" s="939">
        <f t="shared" si="99"/>
        <v>-8.6678223763168027E-3</v>
      </c>
      <c r="AD74" s="939">
        <f t="shared" si="99"/>
        <v>3.0938929244013202E-3</v>
      </c>
      <c r="AE74" s="939">
        <f t="shared" si="99"/>
        <v>3.0843502749093865E-3</v>
      </c>
      <c r="AF74" s="939">
        <f t="shared" si="99"/>
        <v>3.0748663101602958E-3</v>
      </c>
      <c r="AG74" s="939">
        <f t="shared" si="99"/>
        <v>3.0654404904704169E-3</v>
      </c>
      <c r="AH74" s="939">
        <f t="shared" si="99"/>
        <v>3.056072282753064E-3</v>
      </c>
      <c r="AI74" s="621"/>
      <c r="AJ74" s="621"/>
      <c r="AK74" s="405"/>
      <c r="AL74" s="621"/>
      <c r="AM74" s="405"/>
      <c r="AN74" s="621"/>
      <c r="AO74" s="405"/>
      <c r="AP74" s="621"/>
      <c r="AQ74" s="621"/>
      <c r="AR74" s="621"/>
      <c r="AS74" s="621"/>
      <c r="AT74" s="621"/>
      <c r="AU74" s="621"/>
      <c r="AV74" s="621"/>
      <c r="AW74" s="621"/>
      <c r="AX74" s="621"/>
      <c r="AY74" s="621"/>
      <c r="AZ74" s="621"/>
    </row>
    <row r="75" spans="1:52">
      <c r="A75" s="103"/>
      <c r="P75" s="621"/>
      <c r="Q75" s="621"/>
      <c r="R75" s="621"/>
      <c r="S75" s="621"/>
      <c r="T75" s="621"/>
      <c r="U75" s="621"/>
      <c r="V75" s="621"/>
      <c r="W75" s="621"/>
      <c r="X75" s="621"/>
      <c r="Y75" s="621"/>
      <c r="Z75" s="621"/>
      <c r="AA75" s="621"/>
      <c r="AB75" s="621"/>
      <c r="AC75" s="621"/>
      <c r="AD75" s="621"/>
      <c r="AE75" s="621"/>
      <c r="AF75" s="621"/>
      <c r="AG75" s="621"/>
      <c r="AH75" s="621"/>
      <c r="AK75" s="330"/>
      <c r="AM75" s="330"/>
      <c r="AO75" s="330"/>
    </row>
    <row r="76" spans="1:52">
      <c r="A76" s="278" t="s">
        <v>1978</v>
      </c>
      <c r="B76" s="109"/>
      <c r="C76" s="109"/>
      <c r="D76" s="109"/>
      <c r="E76" s="109"/>
      <c r="F76" s="109"/>
      <c r="G76" s="109"/>
      <c r="H76" s="109"/>
      <c r="I76" s="109"/>
      <c r="J76" s="109"/>
      <c r="K76" s="109"/>
      <c r="L76" s="109"/>
      <c r="M76" s="109"/>
      <c r="N76" s="109"/>
      <c r="O76" s="109"/>
      <c r="P76" s="584"/>
      <c r="Q76" s="584"/>
      <c r="R76" s="584"/>
      <c r="S76" s="584"/>
      <c r="T76" s="584">
        <f t="shared" ref="T76:Y76" si="100">T73/T62*1000000</f>
        <v>6976.7441860465124</v>
      </c>
      <c r="U76" s="584">
        <f t="shared" si="100"/>
        <v>6883.5164835164842</v>
      </c>
      <c r="V76" s="584">
        <f t="shared" si="100"/>
        <v>6704.1666666666661</v>
      </c>
      <c r="W76" s="584">
        <f t="shared" si="100"/>
        <v>6477.4509803921565</v>
      </c>
      <c r="X76" s="584">
        <f t="shared" si="100"/>
        <v>6140.8695652173901</v>
      </c>
      <c r="Y76" s="584">
        <f t="shared" si="100"/>
        <v>6009.9173553718992</v>
      </c>
      <c r="Z76" s="584">
        <f t="shared" ref="Z76:AE76" si="101">Z73/Z62*1000000</f>
        <v>6005.7377049180304</v>
      </c>
      <c r="AA76" s="584">
        <f t="shared" si="101"/>
        <v>5997.580645161288</v>
      </c>
      <c r="AB76" s="584">
        <f t="shared" si="101"/>
        <v>5999.1999999999971</v>
      </c>
      <c r="AC76" s="584">
        <f t="shared" si="101"/>
        <v>5995.1612903225778</v>
      </c>
      <c r="AD76" s="584">
        <f t="shared" si="101"/>
        <v>5965.5999999999976</v>
      </c>
      <c r="AE76" s="584">
        <f t="shared" si="101"/>
        <v>5936.5079365079337</v>
      </c>
      <c r="AF76" s="584">
        <f>AF73/AF62*1000000</f>
        <v>5907.8740157480279</v>
      </c>
      <c r="AG76" s="584">
        <f>AG73/AG62*1000000</f>
        <v>5879.6874999999973</v>
      </c>
      <c r="AH76" s="584">
        <f>AH73/AH62*1000000</f>
        <v>5851.9379844961204</v>
      </c>
      <c r="AK76" s="330"/>
      <c r="AM76" s="330"/>
      <c r="AO76" s="330"/>
    </row>
    <row r="77" spans="1:52">
      <c r="A77" s="278" t="s">
        <v>1971</v>
      </c>
      <c r="P77" s="621"/>
      <c r="Q77" s="621"/>
      <c r="R77" s="621"/>
      <c r="S77" s="621"/>
      <c r="T77" s="621"/>
      <c r="U77" s="621"/>
      <c r="V77" s="621"/>
      <c r="W77" s="621"/>
      <c r="X77" s="621"/>
      <c r="Y77" s="621"/>
      <c r="Z77" s="621"/>
      <c r="AA77" s="621"/>
      <c r="AB77" s="621"/>
      <c r="AC77" s="621"/>
      <c r="AD77" s="621"/>
      <c r="AE77" s="621"/>
      <c r="AF77" s="621"/>
      <c r="AG77" s="621"/>
      <c r="AH77" s="621"/>
      <c r="AK77" s="330"/>
      <c r="AM77" s="330"/>
      <c r="AO77" s="330"/>
    </row>
    <row r="78" spans="1:52">
      <c r="A78" s="103"/>
      <c r="P78" s="621"/>
      <c r="Q78" s="621"/>
      <c r="R78" s="621"/>
      <c r="S78" s="621"/>
      <c r="T78" s="621"/>
      <c r="U78" s="621"/>
      <c r="V78" s="621"/>
      <c r="W78" s="621"/>
      <c r="X78" s="621"/>
      <c r="Y78" s="621"/>
      <c r="Z78" s="621"/>
      <c r="AA78" s="621"/>
      <c r="AB78" s="621"/>
      <c r="AC78" s="621"/>
      <c r="AD78" s="621"/>
      <c r="AE78" s="621"/>
      <c r="AF78" s="621"/>
      <c r="AG78" s="621"/>
      <c r="AH78" s="621"/>
      <c r="AK78" s="330"/>
      <c r="AM78" s="330"/>
      <c r="AO78" s="330"/>
    </row>
    <row r="79" spans="1:52">
      <c r="A79" s="278" t="s">
        <v>558</v>
      </c>
      <c r="B79" s="115"/>
      <c r="C79" s="115"/>
      <c r="D79" s="115"/>
      <c r="E79" s="115"/>
      <c r="F79" s="115"/>
      <c r="G79" s="115"/>
      <c r="H79" s="115"/>
      <c r="I79" s="115"/>
      <c r="J79" s="115"/>
      <c r="K79" s="115"/>
      <c r="L79" s="115"/>
      <c r="M79" s="115"/>
      <c r="N79" s="115"/>
      <c r="O79" s="115"/>
      <c r="P79" s="115"/>
      <c r="Q79" s="115"/>
      <c r="R79" s="115"/>
      <c r="S79" s="115"/>
      <c r="T79" s="115"/>
      <c r="U79" s="115">
        <f t="shared" ref="U79:Z79" si="102">U57/(U70)</f>
        <v>2300.833333333333</v>
      </c>
      <c r="V79" s="115">
        <f t="shared" si="102"/>
        <v>2479.6393700787398</v>
      </c>
      <c r="W79" s="115">
        <f t="shared" si="102"/>
        <v>2768.9687955225022</v>
      </c>
      <c r="X79" s="115">
        <f t="shared" si="102"/>
        <v>2692.1779208427834</v>
      </c>
      <c r="Y79" s="115">
        <f t="shared" si="102"/>
        <v>2688.5223943072415</v>
      </c>
      <c r="Z79" s="115">
        <f t="shared" si="102"/>
        <v>2786.3319405438733</v>
      </c>
      <c r="AA79" s="115">
        <f t="shared" ref="AA79:AF79" si="103">AA57/(AA70)</f>
        <v>2637.4966133839075</v>
      </c>
      <c r="AB79" s="115">
        <f t="shared" si="103"/>
        <v>2466.3899303695775</v>
      </c>
      <c r="AC79" s="115">
        <f t="shared" si="103"/>
        <v>2505.7255742315683</v>
      </c>
      <c r="AD79" s="115">
        <f t="shared" si="103"/>
        <v>2592.602914512122</v>
      </c>
      <c r="AE79" s="115">
        <f t="shared" si="103"/>
        <v>2668.2478366653427</v>
      </c>
      <c r="AF79" s="115">
        <f t="shared" si="103"/>
        <v>2746.0246877756149</v>
      </c>
      <c r="AG79" s="115">
        <f>AG57/(AG70)</f>
        <v>2799.0961050895612</v>
      </c>
      <c r="AH79" s="115">
        <f>AH57/(AH70)</f>
        <v>2853.1989656601086</v>
      </c>
      <c r="AK79" s="330"/>
      <c r="AM79" s="330"/>
      <c r="AO79" s="330"/>
    </row>
    <row r="80" spans="1:52">
      <c r="A80" s="278" t="s">
        <v>1971</v>
      </c>
      <c r="P80" s="621"/>
      <c r="Q80" s="621"/>
      <c r="R80" s="621"/>
      <c r="S80" s="621"/>
      <c r="T80" s="621"/>
      <c r="U80" s="621"/>
      <c r="V80" s="621"/>
      <c r="W80" s="621"/>
      <c r="X80" s="621"/>
      <c r="Y80" s="621"/>
      <c r="Z80" s="621"/>
      <c r="AA80" s="621"/>
      <c r="AB80" s="621"/>
      <c r="AC80" s="621"/>
      <c r="AD80" s="621"/>
      <c r="AE80" s="621"/>
      <c r="AF80" s="621"/>
      <c r="AG80" s="621"/>
      <c r="AH80" s="621"/>
      <c r="AK80" s="330"/>
      <c r="AM80" s="330"/>
      <c r="AO80" s="330"/>
    </row>
    <row r="81" spans="1:52">
      <c r="A81" s="103"/>
      <c r="P81" s="621"/>
      <c r="Q81" s="621"/>
      <c r="R81" s="621"/>
      <c r="S81" s="621"/>
      <c r="T81" s="621"/>
      <c r="U81" s="621"/>
      <c r="V81" s="621"/>
      <c r="W81" s="621"/>
      <c r="X81" s="621"/>
      <c r="Y81" s="621"/>
      <c r="Z81" s="621"/>
      <c r="AA81" s="621"/>
      <c r="AB81" s="621"/>
      <c r="AC81" s="621"/>
      <c r="AD81" s="621"/>
      <c r="AE81" s="621"/>
      <c r="AF81" s="621"/>
      <c r="AG81" s="621"/>
      <c r="AH81" s="621"/>
      <c r="AK81" s="330"/>
      <c r="AM81" s="330"/>
      <c r="AO81" s="330"/>
    </row>
    <row r="82" spans="1:52">
      <c r="A82" s="278" t="s">
        <v>1980</v>
      </c>
      <c r="D82" s="875"/>
      <c r="E82" s="875"/>
      <c r="F82" s="875"/>
      <c r="G82" s="875"/>
      <c r="H82" s="875"/>
      <c r="I82" s="875"/>
      <c r="J82" s="875"/>
      <c r="K82" s="875"/>
      <c r="L82" s="875"/>
      <c r="M82" s="875"/>
      <c r="N82" s="875"/>
      <c r="O82" s="875"/>
      <c r="P82" s="944"/>
      <c r="Q82" s="944"/>
      <c r="R82" s="944"/>
      <c r="S82" s="944">
        <f>'segSales&amp;comps'!$G$163*0.01</f>
        <v>0.08</v>
      </c>
      <c r="T82" s="1177">
        <f>'segSales&amp;comps'!G170*0.01</f>
        <v>-0.14000000000000001</v>
      </c>
      <c r="U82" s="1177">
        <f>'segSales&amp;comps'!$G$177*0.01</f>
        <v>-0.14000000000000001</v>
      </c>
      <c r="V82" s="1177">
        <f>'segSales&amp;comps'!$G$184*0.01</f>
        <v>0.08</v>
      </c>
      <c r="W82" s="1177">
        <f>+'segSales&amp;comps'!G191*0.01</f>
        <v>0.12782649369256768</v>
      </c>
      <c r="X82" s="1177">
        <f>+'segSales&amp;comps'!G198*0.01</f>
        <v>-0.02</v>
      </c>
      <c r="Y82" s="1177">
        <f>'segSales&amp;comps'!G205/100</f>
        <v>0.03</v>
      </c>
      <c r="Z82" s="1177">
        <f>'segSales&amp;comps'!G212/100</f>
        <v>0.06</v>
      </c>
      <c r="AA82" s="2000">
        <f>'segSales&amp;comps'!G219/100</f>
        <v>-0.04</v>
      </c>
      <c r="AB82" s="2000">
        <f>'segSales&amp;comps'!G226/100</f>
        <v>-0.05</v>
      </c>
      <c r="AC82" s="2000">
        <f>'segSales&amp;comps'!G233/100</f>
        <v>0</v>
      </c>
      <c r="AD82" s="2000">
        <f>'segSales&amp;comps'!G240/100</f>
        <v>2.6761451707734248E-2</v>
      </c>
      <c r="AE82" s="945">
        <v>0.02</v>
      </c>
      <c r="AF82" s="945">
        <v>0.02</v>
      </c>
      <c r="AG82" s="945">
        <v>0.02</v>
      </c>
      <c r="AH82" s="945">
        <v>0.02</v>
      </c>
      <c r="AI82" s="945">
        <v>2.5000000000000001E-2</v>
      </c>
      <c r="AK82" s="330"/>
      <c r="AM82" s="330"/>
      <c r="AO82" s="330"/>
    </row>
    <row r="83" spans="1:52">
      <c r="A83" s="278" t="s">
        <v>1578</v>
      </c>
      <c r="D83" s="875"/>
      <c r="E83" s="875"/>
      <c r="F83" s="875"/>
      <c r="G83" s="875"/>
      <c r="H83" s="875"/>
      <c r="I83" s="875"/>
      <c r="J83" s="875"/>
      <c r="K83" s="875"/>
      <c r="L83" s="875"/>
      <c r="M83" s="875"/>
      <c r="N83" s="875"/>
      <c r="O83" s="875"/>
      <c r="P83" s="944"/>
      <c r="Q83" s="944"/>
      <c r="R83" s="944"/>
      <c r="S83" s="944">
        <f t="shared" ref="S83:AA83" si="104">S58-S82</f>
        <v>3.5433809287184717E-2</v>
      </c>
      <c r="T83" s="944">
        <f t="shared" si="104"/>
        <v>4.1564832382410266E-2</v>
      </c>
      <c r="U83" s="944">
        <f t="shared" si="104"/>
        <v>2.9221598400641424E-2</v>
      </c>
      <c r="V83" s="944">
        <f t="shared" si="104"/>
        <v>3.6027616982700586E-2</v>
      </c>
      <c r="W83" s="944">
        <f t="shared" si="104"/>
        <v>1.9014772912749028E-2</v>
      </c>
      <c r="X83" s="944">
        <f t="shared" si="104"/>
        <v>3.893139984150927E-2</v>
      </c>
      <c r="Y83" s="944">
        <f t="shared" si="104"/>
        <v>1.7226339139409214E-2</v>
      </c>
      <c r="Z83" s="944">
        <f t="shared" si="104"/>
        <v>-4.459494806068276E-3</v>
      </c>
      <c r="AA83" s="944">
        <f t="shared" si="104"/>
        <v>-2.7177964514182654E-3</v>
      </c>
      <c r="AB83" s="944">
        <f t="shared" ref="AB83:AH83" si="105">AB58-AB82</f>
        <v>-3.9804827940422144E-3</v>
      </c>
      <c r="AC83" s="944">
        <f t="shared" si="105"/>
        <v>1.5744611542429121E-2</v>
      </c>
      <c r="AD83" s="944">
        <f t="shared" si="105"/>
        <v>5.0000000000000079E-3</v>
      </c>
      <c r="AE83" s="944">
        <f>AE58-AE82</f>
        <v>1.2356456920286991E-2</v>
      </c>
      <c r="AF83" s="944">
        <f t="shared" si="105"/>
        <v>1.2318403963312203E-2</v>
      </c>
      <c r="AG83" s="944">
        <f t="shared" si="105"/>
        <v>2.4561169325234729E-3</v>
      </c>
      <c r="AH83" s="944">
        <f t="shared" si="105"/>
        <v>2.4485993745426878E-3</v>
      </c>
      <c r="AK83" s="330"/>
      <c r="AM83" s="330"/>
      <c r="AO83" s="330"/>
    </row>
    <row r="84" spans="1:52">
      <c r="A84" s="103"/>
      <c r="P84" s="621"/>
      <c r="Q84" s="621"/>
      <c r="R84" s="621"/>
      <c r="S84" s="621"/>
      <c r="T84" s="621"/>
      <c r="U84" s="621"/>
      <c r="V84" s="621"/>
      <c r="W84" s="621"/>
      <c r="X84" s="621"/>
      <c r="Y84" s="621"/>
      <c r="Z84" s="621"/>
      <c r="AA84" s="621"/>
      <c r="AB84" s="621"/>
      <c r="AC84" s="621"/>
      <c r="AD84" s="621"/>
      <c r="AE84" s="621"/>
      <c r="AF84" s="621"/>
      <c r="AG84" s="621"/>
      <c r="AH84" s="621"/>
      <c r="AK84" s="330"/>
      <c r="AM84" s="330"/>
      <c r="AO84" s="330"/>
    </row>
    <row r="85" spans="1:52">
      <c r="A85" s="278" t="s">
        <v>1916</v>
      </c>
      <c r="B85" s="584"/>
      <c r="C85" s="584"/>
      <c r="D85" s="584"/>
      <c r="E85" s="584"/>
      <c r="F85" s="584"/>
      <c r="G85" s="584"/>
      <c r="H85" s="584"/>
      <c r="I85" s="584"/>
      <c r="J85" s="584"/>
      <c r="K85" s="584"/>
      <c r="L85" s="584"/>
      <c r="M85" s="584"/>
      <c r="N85" s="584"/>
      <c r="O85" s="584"/>
      <c r="P85" s="584"/>
      <c r="Q85" s="584"/>
      <c r="R85" s="584"/>
      <c r="S85" s="584"/>
      <c r="T85" s="584"/>
      <c r="U85" s="584">
        <f>(U73-T73)/(U62-T62)*1000000</f>
        <v>5279.9999999999955</v>
      </c>
      <c r="V85" s="1999">
        <f>(V73-U73)/(V62-U62)*1000000</f>
        <v>3439.9999999999764</v>
      </c>
      <c r="W85" s="1999">
        <f>(W73-V73)/(W62-V62)*1000000</f>
        <v>2850.0000000000005</v>
      </c>
      <c r="X85" s="583">
        <v>3500</v>
      </c>
      <c r="Y85" s="583">
        <f t="shared" ref="Y85:AH86" si="106">X85</f>
        <v>3500</v>
      </c>
      <c r="Z85" s="583">
        <v>5500</v>
      </c>
      <c r="AA85" s="583">
        <f>Z85</f>
        <v>5500</v>
      </c>
      <c r="AB85" s="583">
        <v>6200</v>
      </c>
      <c r="AC85" s="583">
        <v>6500</v>
      </c>
      <c r="AD85" s="583">
        <v>7000</v>
      </c>
      <c r="AE85" s="583">
        <f t="shared" si="106"/>
        <v>7000</v>
      </c>
      <c r="AF85" s="583">
        <f t="shared" si="106"/>
        <v>7000</v>
      </c>
      <c r="AG85" s="583">
        <f t="shared" si="106"/>
        <v>7000</v>
      </c>
      <c r="AH85" s="583">
        <f t="shared" si="106"/>
        <v>7000</v>
      </c>
      <c r="AK85" s="330"/>
      <c r="AM85" s="330"/>
      <c r="AO85" s="330"/>
    </row>
    <row r="86" spans="1:52">
      <c r="A86" s="278"/>
      <c r="B86" s="584"/>
      <c r="C86" s="584"/>
      <c r="D86" s="584"/>
      <c r="E86" s="584"/>
      <c r="F86" s="584"/>
      <c r="G86" s="584"/>
      <c r="H86" s="584"/>
      <c r="I86" s="584"/>
      <c r="J86" s="584"/>
      <c r="K86" s="584"/>
      <c r="L86" s="584"/>
      <c r="M86" s="584"/>
      <c r="N86" s="584"/>
      <c r="O86" s="584"/>
      <c r="P86" s="584"/>
      <c r="Q86" s="584"/>
      <c r="R86" s="584"/>
      <c r="S86" s="584"/>
      <c r="T86" s="584"/>
      <c r="U86" s="583">
        <v>2200</v>
      </c>
      <c r="V86" s="583">
        <v>2250</v>
      </c>
      <c r="W86" s="583">
        <v>2250</v>
      </c>
      <c r="X86" s="583">
        <v>2250</v>
      </c>
      <c r="Y86" s="583">
        <v>2250</v>
      </c>
      <c r="Z86" s="583">
        <v>2300</v>
      </c>
      <c r="AA86" s="583">
        <f>Z86</f>
        <v>2300</v>
      </c>
      <c r="AB86" s="583">
        <v>2300</v>
      </c>
      <c r="AC86" s="583">
        <f t="shared" si="106"/>
        <v>2300</v>
      </c>
      <c r="AD86" s="583">
        <f t="shared" si="106"/>
        <v>2300</v>
      </c>
      <c r="AE86" s="583">
        <f t="shared" si="106"/>
        <v>2300</v>
      </c>
      <c r="AF86" s="583">
        <f t="shared" si="106"/>
        <v>2300</v>
      </c>
      <c r="AG86" s="583">
        <f t="shared" si="106"/>
        <v>2300</v>
      </c>
      <c r="AH86" s="583">
        <f t="shared" si="106"/>
        <v>2300</v>
      </c>
      <c r="AK86" s="330"/>
      <c r="AM86" s="330"/>
      <c r="AO86" s="330"/>
    </row>
    <row r="87" spans="1:52">
      <c r="A87" s="103"/>
      <c r="P87" s="621"/>
      <c r="Q87" s="621"/>
      <c r="R87" s="621"/>
      <c r="S87" s="621"/>
      <c r="T87" s="621"/>
      <c r="U87" s="621"/>
      <c r="V87" s="621"/>
      <c r="W87" s="621"/>
      <c r="X87" s="621"/>
      <c r="Y87" s="621"/>
      <c r="Z87" s="621"/>
      <c r="AA87" s="621"/>
      <c r="AB87" s="621"/>
      <c r="AC87" s="621"/>
      <c r="AD87" s="621"/>
      <c r="AE87" s="621"/>
      <c r="AF87" s="621"/>
      <c r="AG87" s="621"/>
      <c r="AH87" s="621"/>
      <c r="AK87" s="330"/>
      <c r="AM87" s="330"/>
      <c r="AO87" s="330"/>
    </row>
    <row r="88" spans="1:52">
      <c r="A88" s="278" t="s">
        <v>142</v>
      </c>
      <c r="C88" s="264"/>
      <c r="D88" s="264"/>
      <c r="E88" s="264"/>
      <c r="F88" s="264"/>
      <c r="G88" s="264"/>
      <c r="H88" s="264"/>
      <c r="I88" s="264"/>
      <c r="J88" s="264"/>
      <c r="K88" s="264"/>
      <c r="L88" s="264"/>
      <c r="M88" s="264"/>
      <c r="N88" s="264"/>
      <c r="O88" s="264"/>
      <c r="P88" s="902"/>
      <c r="Q88" s="902"/>
      <c r="R88" s="902"/>
      <c r="S88" s="902"/>
      <c r="T88" s="902"/>
      <c r="U88" s="902"/>
      <c r="V88" s="902">
        <f t="shared" ref="V88:AC88" si="107">(V58-V82)/V71</f>
        <v>1.013400675862024</v>
      </c>
      <c r="W88" s="902">
        <f t="shared" si="107"/>
        <v>0.70404552767321549</v>
      </c>
      <c r="X88" s="902">
        <f t="shared" si="107"/>
        <v>0.8111537510108745</v>
      </c>
      <c r="Y88" s="902">
        <f t="shared" si="107"/>
        <v>0.3540854581903532</v>
      </c>
      <c r="Z88" s="902">
        <f t="shared" si="107"/>
        <v>-0.24121659830257636</v>
      </c>
      <c r="AA88" s="902">
        <f t="shared" si="107"/>
        <v>-0.2404673357227641</v>
      </c>
      <c r="AB88" s="902">
        <f t="shared" si="107"/>
        <v>-0.34167353471651102</v>
      </c>
      <c r="AC88" s="902">
        <f t="shared" si="107"/>
        <v>-78.387172665927011</v>
      </c>
      <c r="AD88" s="902">
        <f>(AD58-AD82)/AD71</f>
        <v>-1.7777380952381066</v>
      </c>
      <c r="AE88" s="1615">
        <v>4</v>
      </c>
      <c r="AF88" s="1615">
        <v>4</v>
      </c>
      <c r="AG88" s="1615">
        <v>0.8</v>
      </c>
      <c r="AH88" s="1615">
        <v>0.8</v>
      </c>
      <c r="AI88" s="264"/>
      <c r="AK88" s="330"/>
      <c r="AM88" s="330"/>
      <c r="AO88" s="330"/>
    </row>
    <row r="89" spans="1:52">
      <c r="A89" s="278" t="s">
        <v>143</v>
      </c>
      <c r="P89" s="621"/>
      <c r="Q89" s="621"/>
      <c r="R89" s="621"/>
      <c r="S89" s="621"/>
      <c r="T89" s="621"/>
      <c r="U89" s="621"/>
      <c r="V89" s="902">
        <f t="shared" ref="V89:AA89" si="108">(V58-V82)/V64</f>
        <v>0.63768882059380128</v>
      </c>
      <c r="W89" s="902">
        <f t="shared" si="108"/>
        <v>0.3232511395167334</v>
      </c>
      <c r="X89" s="902">
        <f t="shared" si="108"/>
        <v>0.40570616676941212</v>
      </c>
      <c r="Y89" s="902">
        <f t="shared" si="108"/>
        <v>0.19674292596062112</v>
      </c>
      <c r="Z89" s="902">
        <f t="shared" si="108"/>
        <v>-0.15034868203315943</v>
      </c>
      <c r="AA89" s="902">
        <f t="shared" si="108"/>
        <v>-0.22014151256487852</v>
      </c>
      <c r="AB89" s="902">
        <f t="shared" ref="AB89:AG89" si="109">(AB58-AB82)/AB64</f>
        <v>-0.32639958911146127</v>
      </c>
      <c r="AC89" s="2473" t="s">
        <v>1896</v>
      </c>
      <c r="AD89" s="2473" t="s">
        <v>1896</v>
      </c>
      <c r="AE89" s="902">
        <f t="shared" si="109"/>
        <v>1.5383788865757113</v>
      </c>
      <c r="AF89" s="902">
        <f t="shared" si="109"/>
        <v>1.5459596973956828</v>
      </c>
      <c r="AG89" s="902">
        <f t="shared" si="109"/>
        <v>0.31069879196422112</v>
      </c>
      <c r="AH89" s="902">
        <f>(AH58-AH82)/AH64</f>
        <v>0.31219642025419381</v>
      </c>
      <c r="AK89" s="330"/>
      <c r="AM89" s="330"/>
      <c r="AO89" s="330"/>
    </row>
    <row r="90" spans="1:52">
      <c r="A90" s="225"/>
      <c r="B90" s="186"/>
      <c r="C90" s="186"/>
      <c r="D90" s="186"/>
      <c r="E90" s="186"/>
      <c r="F90" s="186"/>
      <c r="G90" s="186"/>
      <c r="H90" s="186"/>
      <c r="I90" s="186"/>
      <c r="J90" s="186"/>
      <c r="K90" s="186"/>
      <c r="L90" s="186"/>
      <c r="M90" s="186"/>
      <c r="N90" s="186"/>
      <c r="O90" s="186"/>
      <c r="P90" s="639"/>
      <c r="Q90" s="639"/>
      <c r="R90" s="639"/>
      <c r="S90" s="639"/>
      <c r="T90" s="639"/>
      <c r="U90" s="639"/>
      <c r="V90" s="639"/>
      <c r="W90" s="1481"/>
      <c r="X90" s="639"/>
      <c r="Y90" s="639"/>
      <c r="Z90" s="639"/>
      <c r="AA90" s="639"/>
      <c r="AB90" s="639"/>
      <c r="AC90" s="639"/>
      <c r="AD90" s="639"/>
      <c r="AE90" s="639"/>
      <c r="AF90" s="639"/>
      <c r="AG90" s="639"/>
      <c r="AH90" s="639"/>
      <c r="AI90" s="186"/>
      <c r="AJ90" s="186"/>
      <c r="AK90" s="340"/>
      <c r="AL90" s="186"/>
      <c r="AM90" s="340"/>
      <c r="AN90" s="186"/>
      <c r="AO90" s="340"/>
      <c r="AP90" s="186"/>
      <c r="AQ90" s="186"/>
      <c r="AR90" s="186"/>
      <c r="AS90" s="186"/>
      <c r="AT90" s="186"/>
      <c r="AU90" s="186"/>
      <c r="AV90" s="186"/>
      <c r="AW90" s="186"/>
      <c r="AX90" s="186"/>
      <c r="AY90" s="186"/>
      <c r="AZ90" s="186"/>
    </row>
    <row r="91" spans="1:52">
      <c r="A91" s="851" t="s">
        <v>164</v>
      </c>
      <c r="B91" s="852"/>
      <c r="C91" s="852"/>
      <c r="D91" s="852"/>
      <c r="E91" s="852"/>
      <c r="F91" s="852"/>
      <c r="G91" s="852"/>
      <c r="H91" s="852"/>
      <c r="I91" s="852"/>
      <c r="J91" s="852"/>
      <c r="K91" s="852"/>
      <c r="L91" s="852"/>
      <c r="M91" s="852"/>
      <c r="N91" s="852"/>
      <c r="O91" s="852"/>
      <c r="P91" s="852"/>
      <c r="Q91" s="852"/>
      <c r="R91" s="852"/>
      <c r="S91" s="852"/>
      <c r="T91" s="852"/>
      <c r="U91" s="852"/>
      <c r="V91" s="852"/>
      <c r="W91" s="852"/>
      <c r="X91" s="852"/>
      <c r="Y91" s="852"/>
      <c r="Z91" s="852"/>
      <c r="AA91" s="852"/>
      <c r="AB91" s="852"/>
      <c r="AC91" s="852"/>
      <c r="AD91" s="852"/>
      <c r="AE91" s="852"/>
      <c r="AF91" s="852"/>
      <c r="AG91" s="852"/>
      <c r="AH91" s="852"/>
      <c r="AI91" s="852"/>
      <c r="AJ91" s="852"/>
      <c r="AK91" s="853"/>
      <c r="AL91" s="852"/>
      <c r="AM91" s="853"/>
      <c r="AN91" s="852"/>
      <c r="AO91" s="853"/>
      <c r="AP91" s="852"/>
      <c r="AQ91" s="852"/>
      <c r="AR91" s="852"/>
      <c r="AS91" s="852"/>
      <c r="AT91" s="852"/>
      <c r="AU91" s="852"/>
      <c r="AV91" s="852"/>
      <c r="AW91" s="852"/>
      <c r="AX91" s="852"/>
      <c r="AY91" s="852"/>
      <c r="AZ91" s="852"/>
    </row>
    <row r="92" spans="1:52">
      <c r="A92" s="854" t="str">
        <f>+$A$2</f>
        <v>Annual Sales Model, Fiscal 2001-2014E</v>
      </c>
      <c r="B92" s="855"/>
      <c r="C92" s="855"/>
      <c r="D92" s="855"/>
      <c r="E92" s="855"/>
      <c r="F92" s="855"/>
      <c r="G92" s="855"/>
      <c r="H92" s="855"/>
      <c r="I92" s="855"/>
      <c r="J92" s="855"/>
      <c r="K92" s="855"/>
      <c r="L92" s="855"/>
      <c r="M92" s="855"/>
      <c r="N92" s="855"/>
      <c r="O92" s="855"/>
      <c r="P92" s="855"/>
      <c r="Q92" s="855"/>
      <c r="R92" s="855"/>
      <c r="S92" s="855"/>
      <c r="T92" s="855"/>
      <c r="U92" s="855"/>
      <c r="V92" s="855"/>
      <c r="W92" s="855"/>
      <c r="X92" s="855"/>
      <c r="Y92" s="855"/>
      <c r="Z92" s="855"/>
      <c r="AA92" s="855"/>
      <c r="AB92" s="855"/>
      <c r="AC92" s="855"/>
      <c r="AD92" s="855"/>
      <c r="AE92" s="855"/>
      <c r="AF92" s="855"/>
      <c r="AG92" s="855"/>
      <c r="AH92" s="855"/>
      <c r="AI92" s="855"/>
      <c r="AJ92" s="855"/>
      <c r="AK92" s="856"/>
      <c r="AL92" s="855"/>
      <c r="AM92" s="856"/>
      <c r="AN92" s="855"/>
      <c r="AO92" s="856"/>
      <c r="AP92" s="855"/>
      <c r="AQ92" s="855"/>
      <c r="AR92" s="855"/>
      <c r="AS92" s="855"/>
      <c r="AT92" s="855"/>
      <c r="AU92" s="855"/>
      <c r="AV92" s="855"/>
      <c r="AW92" s="855"/>
      <c r="AX92" s="855"/>
      <c r="AY92" s="855"/>
      <c r="AZ92" s="855"/>
    </row>
    <row r="93" spans="1:52">
      <c r="A93" s="131"/>
      <c r="AH93" s="2317"/>
      <c r="AK93" s="330"/>
      <c r="AM93" s="330"/>
      <c r="AO93" s="330"/>
      <c r="AP93" s="868"/>
    </row>
    <row r="94" spans="1:52">
      <c r="A94" s="131"/>
      <c r="B94" s="1180">
        <f t="shared" ref="B94:AH94" si="110">+B$5</f>
        <v>1990</v>
      </c>
      <c r="C94" s="1180">
        <f t="shared" si="110"/>
        <v>1991</v>
      </c>
      <c r="D94" s="1180">
        <f t="shared" si="110"/>
        <v>1992</v>
      </c>
      <c r="E94" s="1180">
        <f t="shared" si="110"/>
        <v>1993</v>
      </c>
      <c r="F94" s="1180">
        <f t="shared" si="110"/>
        <v>1994</v>
      </c>
      <c r="G94" s="1180">
        <f t="shared" si="110"/>
        <v>1995</v>
      </c>
      <c r="H94" s="1180">
        <f t="shared" si="110"/>
        <v>1996</v>
      </c>
      <c r="I94" s="1180">
        <f t="shared" si="110"/>
        <v>1997</v>
      </c>
      <c r="J94" s="1180">
        <f t="shared" si="110"/>
        <v>1998</v>
      </c>
      <c r="K94" s="1180">
        <f t="shared" si="110"/>
        <v>1999</v>
      </c>
      <c r="L94" s="1180">
        <f t="shared" si="110"/>
        <v>2000</v>
      </c>
      <c r="M94" s="1180">
        <f t="shared" si="110"/>
        <v>2001</v>
      </c>
      <c r="N94" s="1180">
        <f t="shared" si="110"/>
        <v>2002</v>
      </c>
      <c r="O94" s="1180">
        <f t="shared" si="110"/>
        <v>2003</v>
      </c>
      <c r="P94" s="1180">
        <f t="shared" si="110"/>
        <v>2004</v>
      </c>
      <c r="Q94" s="1180">
        <f t="shared" si="110"/>
        <v>2005</v>
      </c>
      <c r="R94" s="1180">
        <f t="shared" si="110"/>
        <v>2006</v>
      </c>
      <c r="S94" s="1180">
        <f t="shared" si="110"/>
        <v>2007</v>
      </c>
      <c r="T94" s="158">
        <f t="shared" si="110"/>
        <v>2008</v>
      </c>
      <c r="U94" s="158">
        <f t="shared" si="110"/>
        <v>2009</v>
      </c>
      <c r="V94" s="158">
        <f t="shared" si="110"/>
        <v>2010</v>
      </c>
      <c r="W94" s="158">
        <f t="shared" si="110"/>
        <v>2011</v>
      </c>
      <c r="X94" s="158">
        <f t="shared" si="110"/>
        <v>2012</v>
      </c>
      <c r="Y94" s="158">
        <f t="shared" si="110"/>
        <v>2013</v>
      </c>
      <c r="Z94" s="158">
        <f t="shared" si="110"/>
        <v>2014</v>
      </c>
      <c r="AA94" s="158">
        <f t="shared" si="110"/>
        <v>2015</v>
      </c>
      <c r="AB94" s="158">
        <f t="shared" si="110"/>
        <v>2016</v>
      </c>
      <c r="AC94" s="158">
        <f t="shared" si="110"/>
        <v>2017</v>
      </c>
      <c r="AD94" s="160">
        <f t="shared" si="110"/>
        <v>2018</v>
      </c>
      <c r="AE94" s="160">
        <f t="shared" si="110"/>
        <v>2019</v>
      </c>
      <c r="AF94" s="160">
        <f t="shared" si="110"/>
        <v>2020</v>
      </c>
      <c r="AG94" s="160">
        <f t="shared" si="110"/>
        <v>2021</v>
      </c>
      <c r="AH94" s="160">
        <f t="shared" si="110"/>
        <v>2022</v>
      </c>
      <c r="AK94" s="330"/>
      <c r="AM94" s="330"/>
      <c r="AO94" s="330"/>
    </row>
    <row r="95" spans="1:52">
      <c r="A95" s="131"/>
      <c r="B95" s="852"/>
      <c r="C95" s="852"/>
      <c r="D95" s="852"/>
      <c r="E95" s="852"/>
      <c r="F95" s="852"/>
      <c r="G95" s="852"/>
      <c r="H95" s="852"/>
      <c r="I95" s="852"/>
      <c r="J95" s="852"/>
      <c r="K95" s="852"/>
      <c r="L95" s="852"/>
      <c r="M95" s="852"/>
      <c r="N95" s="852"/>
      <c r="O95" s="852"/>
      <c r="P95" s="852"/>
      <c r="Q95" s="852"/>
      <c r="R95" s="852"/>
      <c r="S95" s="852"/>
      <c r="AH95" s="2317"/>
      <c r="AK95" s="330"/>
      <c r="AM95" s="330"/>
      <c r="AO95" s="330"/>
    </row>
    <row r="96" spans="1:52">
      <c r="A96" s="278" t="s">
        <v>816</v>
      </c>
      <c r="B96" s="852"/>
      <c r="C96" s="1183"/>
      <c r="D96" s="1183"/>
      <c r="E96" s="1183"/>
      <c r="F96" s="1183"/>
      <c r="G96" s="1183"/>
      <c r="H96" s="1184"/>
      <c r="I96" s="1184"/>
      <c r="J96" s="1184"/>
      <c r="K96" s="1184"/>
      <c r="L96" s="1197"/>
      <c r="M96" s="1197"/>
      <c r="N96" s="1197"/>
      <c r="O96" s="1197"/>
      <c r="P96" s="1197"/>
      <c r="Q96" s="1197"/>
      <c r="R96" s="1197">
        <f>'segSales&amp;comps'!$Q$156</f>
        <v>748.00399999999991</v>
      </c>
      <c r="S96" s="1197">
        <f>'segSales&amp;comps'!$Q$163</f>
        <v>853.75900000000001</v>
      </c>
      <c r="T96" s="115">
        <f>'segSales&amp;comps'!$Q$170</f>
        <v>363.09500000000003</v>
      </c>
      <c r="U96" s="115">
        <f>'segSales&amp;comps'!$Q$177</f>
        <v>426.29599999999994</v>
      </c>
      <c r="V96" s="115">
        <f>'segSales&amp;comps'!$Q$184</f>
        <v>549.19699999999989</v>
      </c>
      <c r="W96" s="115">
        <f>+'segSales&amp;comps'!Q191</f>
        <v>748.21400000000017</v>
      </c>
      <c r="X96" s="115">
        <f>+'segSales&amp;comps'!Q198</f>
        <v>810.41999999999985</v>
      </c>
      <c r="Y96" s="115">
        <f>'segSales&amp;comps'!Q205</f>
        <v>944.67599999999993</v>
      </c>
      <c r="Z96" s="115">
        <f>'segSales&amp;comps'!Q212</f>
        <v>1024.9490000000001</v>
      </c>
      <c r="AA96" s="115">
        <f>'segSales&amp;comps'!Q219</f>
        <v>1003.1</v>
      </c>
      <c r="AB96" s="115">
        <f>'segSales&amp;comps'!Q226</f>
        <v>999.1</v>
      </c>
      <c r="AC96" s="115">
        <f>'segSales&amp;comps'!Q233</f>
        <v>1095</v>
      </c>
      <c r="AD96" s="115">
        <f>'segSales&amp;comps'!Q240</f>
        <v>1178.8195870859383</v>
      </c>
      <c r="AE96" s="115">
        <f>(AD96*(1+AE121+(AE110*AE126)))</f>
        <v>1280.3553461250071</v>
      </c>
      <c r="AF96" s="115">
        <f>(AE96*(1+AF121+(AF110*AF126)))</f>
        <v>1389.5134248136242</v>
      </c>
      <c r="AG96" s="115">
        <f>(AF96*(1+AG121+(AG110*AG126)))</f>
        <v>1481.1434134957833</v>
      </c>
      <c r="AH96" s="115">
        <f>(AG96*(1+AH121+(AH110*AH126)))</f>
        <v>1574.8878481187178</v>
      </c>
      <c r="AI96" s="1178">
        <f>(AC96*(1+AI121)+(AC100*20*33%)+(AI100*27.5*67%))</f>
        <v>1366.15</v>
      </c>
      <c r="AK96" s="330"/>
      <c r="AM96" s="330"/>
      <c r="AO96" s="330"/>
    </row>
    <row r="97" spans="1:52">
      <c r="A97" s="278" t="s">
        <v>1971</v>
      </c>
      <c r="B97" s="852"/>
      <c r="C97" s="852"/>
      <c r="D97" s="1186"/>
      <c r="E97" s="1186"/>
      <c r="F97" s="1186"/>
      <c r="G97" s="1186"/>
      <c r="H97" s="1186"/>
      <c r="I97" s="1186"/>
      <c r="J97" s="1186"/>
      <c r="K97" s="1186"/>
      <c r="L97" s="1186"/>
      <c r="M97" s="1186"/>
      <c r="N97" s="1186"/>
      <c r="O97" s="1186"/>
      <c r="P97" s="1186"/>
      <c r="Q97" s="1186"/>
      <c r="R97" s="1186"/>
      <c r="S97" s="1186">
        <f t="shared" ref="S97:AA97" si="111">S96/R96-1</f>
        <v>0.141382933781103</v>
      </c>
      <c r="T97" s="108">
        <f t="shared" si="111"/>
        <v>-0.57471019339181195</v>
      </c>
      <c r="U97" s="108">
        <f t="shared" si="111"/>
        <v>0.17406188463074379</v>
      </c>
      <c r="V97" s="108">
        <f t="shared" si="111"/>
        <v>0.28829967909621468</v>
      </c>
      <c r="W97" s="108">
        <f t="shared" si="111"/>
        <v>0.36237816302711101</v>
      </c>
      <c r="X97" s="108">
        <f t="shared" si="111"/>
        <v>8.3139315757256194E-2</v>
      </c>
      <c r="Y97" s="108">
        <f t="shared" si="111"/>
        <v>0.16566224920411643</v>
      </c>
      <c r="Z97" s="108">
        <f t="shared" si="111"/>
        <v>8.4974107524696363E-2</v>
      </c>
      <c r="AA97" s="108">
        <f t="shared" si="111"/>
        <v>-2.1317158219579802E-2</v>
      </c>
      <c r="AB97" s="108">
        <f t="shared" ref="AB97:AH97" si="112">AB96/AA96-1</f>
        <v>-3.987638321204301E-3</v>
      </c>
      <c r="AC97" s="108">
        <f t="shared" si="112"/>
        <v>9.5986387748973945E-2</v>
      </c>
      <c r="AD97" s="108">
        <f t="shared" si="112"/>
        <v>7.6547568115012288E-2</v>
      </c>
      <c r="AE97" s="108">
        <f t="shared" si="112"/>
        <v>8.6133416980342936E-2</v>
      </c>
      <c r="AF97" s="108">
        <f t="shared" si="112"/>
        <v>8.5256080680245372E-2</v>
      </c>
      <c r="AG97" s="108">
        <f t="shared" si="112"/>
        <v>6.5943939112678596E-2</v>
      </c>
      <c r="AH97" s="108">
        <f t="shared" si="112"/>
        <v>6.3291936330243326E-2</v>
      </c>
      <c r="AI97" s="108"/>
      <c r="AK97" s="330"/>
      <c r="AM97" s="330"/>
      <c r="AO97" s="330"/>
    </row>
    <row r="98" spans="1:52">
      <c r="A98" s="131"/>
      <c r="B98" s="852"/>
      <c r="C98" s="852"/>
      <c r="D98" s="852"/>
      <c r="E98" s="852"/>
      <c r="F98" s="852"/>
      <c r="G98" s="852"/>
      <c r="H98" s="852"/>
      <c r="I98" s="852"/>
      <c r="J98" s="852"/>
      <c r="K98" s="852"/>
      <c r="L98" s="852"/>
      <c r="M98" s="852"/>
      <c r="N98" s="852"/>
      <c r="O98" s="852"/>
      <c r="P98" s="852"/>
      <c r="Q98" s="852"/>
      <c r="R98" s="852"/>
      <c r="S98" s="852"/>
      <c r="T98" s="621"/>
      <c r="U98" s="630"/>
      <c r="V98" s="630"/>
      <c r="W98" s="630"/>
      <c r="X98" s="630"/>
      <c r="Y98" s="630"/>
      <c r="Z98" s="630"/>
      <c r="AA98" s="630"/>
      <c r="AB98" s="630"/>
      <c r="AC98" s="630"/>
      <c r="AD98" s="630"/>
      <c r="AE98" s="630"/>
      <c r="AF98" s="630"/>
      <c r="AG98" s="630"/>
      <c r="AH98" s="630"/>
      <c r="AK98" s="330"/>
      <c r="AM98" s="330"/>
      <c r="AO98" s="330"/>
    </row>
    <row r="99" spans="1:52">
      <c r="A99" s="110" t="s">
        <v>1972</v>
      </c>
      <c r="B99" s="727">
        <f t="shared" ref="B99:U99" si="113">B290</f>
        <v>0</v>
      </c>
      <c r="C99" s="727">
        <f t="shared" si="113"/>
        <v>0</v>
      </c>
      <c r="D99" s="727">
        <f t="shared" si="113"/>
        <v>4</v>
      </c>
      <c r="E99" s="727">
        <f t="shared" si="113"/>
        <v>4</v>
      </c>
      <c r="F99" s="727">
        <f t="shared" si="113"/>
        <v>5</v>
      </c>
      <c r="G99" s="727">
        <f t="shared" si="113"/>
        <v>7</v>
      </c>
      <c r="H99" s="727">
        <f t="shared" si="113"/>
        <v>9</v>
      </c>
      <c r="I99" s="727">
        <f t="shared" si="113"/>
        <v>12</v>
      </c>
      <c r="J99" s="727">
        <f t="shared" si="113"/>
        <v>17</v>
      </c>
      <c r="K99" s="727">
        <f t="shared" si="113"/>
        <v>17</v>
      </c>
      <c r="L99" s="727">
        <f t="shared" si="113"/>
        <v>17</v>
      </c>
      <c r="M99" s="727">
        <f t="shared" si="113"/>
        <v>21</v>
      </c>
      <c r="N99" s="727">
        <f t="shared" si="113"/>
        <v>20</v>
      </c>
      <c r="O99" s="727">
        <f t="shared" si="113"/>
        <v>20</v>
      </c>
      <c r="P99" s="727">
        <f t="shared" si="113"/>
        <v>22</v>
      </c>
      <c r="Q99" s="727">
        <f t="shared" si="113"/>
        <v>24</v>
      </c>
      <c r="R99" s="727">
        <f t="shared" si="113"/>
        <v>25</v>
      </c>
      <c r="S99" s="727">
        <f t="shared" si="113"/>
        <v>28</v>
      </c>
      <c r="T99" s="727">
        <f t="shared" si="113"/>
        <v>34</v>
      </c>
      <c r="U99" s="727">
        <f t="shared" si="113"/>
        <v>39</v>
      </c>
      <c r="V99" s="727">
        <f>V290</f>
        <v>45</v>
      </c>
      <c r="W99" s="727">
        <f t="shared" ref="W99:AB99" si="114">V101</f>
        <v>52</v>
      </c>
      <c r="X99" s="727">
        <f t="shared" si="114"/>
        <v>59</v>
      </c>
      <c r="Y99" s="727">
        <f t="shared" si="114"/>
        <v>67</v>
      </c>
      <c r="Z99" s="727">
        <f>Y101</f>
        <v>72</v>
      </c>
      <c r="AA99" s="727">
        <f>Z101</f>
        <v>73</v>
      </c>
      <c r="AB99" s="727">
        <f t="shared" si="114"/>
        <v>81</v>
      </c>
      <c r="AC99" s="727">
        <f t="shared" ref="AC99:AH99" si="115">AB101</f>
        <v>85</v>
      </c>
      <c r="AD99" s="727">
        <f t="shared" si="115"/>
        <v>87</v>
      </c>
      <c r="AE99" s="727">
        <f t="shared" si="115"/>
        <v>89</v>
      </c>
      <c r="AF99" s="727">
        <f t="shared" si="115"/>
        <v>92</v>
      </c>
      <c r="AG99" s="727">
        <f t="shared" si="115"/>
        <v>95</v>
      </c>
      <c r="AH99" s="727">
        <f t="shared" si="115"/>
        <v>98</v>
      </c>
      <c r="AI99" s="727">
        <f>AC101</f>
        <v>87</v>
      </c>
      <c r="AK99" s="330"/>
      <c r="AM99" s="330"/>
      <c r="AO99" s="330"/>
    </row>
    <row r="100" spans="1:52">
      <c r="A100" s="726" t="s">
        <v>556</v>
      </c>
      <c r="B100" s="729">
        <f t="shared" ref="B100:T100" si="116">B297</f>
        <v>1</v>
      </c>
      <c r="C100" s="729">
        <f t="shared" si="116"/>
        <v>1</v>
      </c>
      <c r="D100" s="729">
        <f t="shared" si="116"/>
        <v>0</v>
      </c>
      <c r="E100" s="729">
        <f t="shared" si="116"/>
        <v>1</v>
      </c>
      <c r="F100" s="729">
        <f t="shared" si="116"/>
        <v>2</v>
      </c>
      <c r="G100" s="729">
        <f t="shared" si="116"/>
        <v>2</v>
      </c>
      <c r="H100" s="729">
        <f t="shared" si="116"/>
        <v>3</v>
      </c>
      <c r="I100" s="729">
        <f t="shared" si="116"/>
        <v>5</v>
      </c>
      <c r="J100" s="729">
        <f t="shared" si="116"/>
        <v>0</v>
      </c>
      <c r="K100" s="729">
        <f t="shared" si="116"/>
        <v>0</v>
      </c>
      <c r="L100" s="729">
        <f t="shared" si="116"/>
        <v>4</v>
      </c>
      <c r="M100" s="729">
        <f t="shared" si="116"/>
        <v>-1</v>
      </c>
      <c r="N100" s="729">
        <f t="shared" si="116"/>
        <v>0</v>
      </c>
      <c r="O100" s="729">
        <f t="shared" si="116"/>
        <v>2</v>
      </c>
      <c r="P100" s="729">
        <f t="shared" si="116"/>
        <v>2</v>
      </c>
      <c r="Q100" s="729">
        <f t="shared" si="116"/>
        <v>1</v>
      </c>
      <c r="R100" s="729">
        <f t="shared" si="116"/>
        <v>3</v>
      </c>
      <c r="S100" s="729">
        <f t="shared" si="116"/>
        <v>6</v>
      </c>
      <c r="T100" s="729">
        <f t="shared" si="116"/>
        <v>5</v>
      </c>
      <c r="U100" s="729">
        <f>Stores!$L$251</f>
        <v>6</v>
      </c>
      <c r="V100" s="729">
        <f>+Stores!L258</f>
        <v>7</v>
      </c>
      <c r="W100" s="729">
        <f>+Stores!L265</f>
        <v>7</v>
      </c>
      <c r="X100" s="729">
        <f>+Stores!L272</f>
        <v>8</v>
      </c>
      <c r="Y100" s="867">
        <f>Stores!L279</f>
        <v>5</v>
      </c>
      <c r="Z100" s="867">
        <f>Stores!L286</f>
        <v>1</v>
      </c>
      <c r="AA100" s="2001">
        <f>Stores!L293</f>
        <v>8</v>
      </c>
      <c r="AB100" s="2001">
        <f>Stores!L300</f>
        <v>4</v>
      </c>
      <c r="AC100" s="2001">
        <f>Stores!L307</f>
        <v>2</v>
      </c>
      <c r="AD100" s="2001">
        <f>Stores!L314</f>
        <v>2</v>
      </c>
      <c r="AE100" s="1520">
        <v>3</v>
      </c>
      <c r="AF100" s="1520">
        <v>3</v>
      </c>
      <c r="AG100" s="1520">
        <v>3</v>
      </c>
      <c r="AH100" s="1520">
        <v>3</v>
      </c>
      <c r="AI100" s="1520">
        <v>14</v>
      </c>
      <c r="AK100" s="330"/>
      <c r="AM100" s="330"/>
      <c r="AO100" s="330"/>
    </row>
    <row r="101" spans="1:52">
      <c r="A101" s="110" t="s">
        <v>1973</v>
      </c>
      <c r="B101" s="940">
        <f t="shared" ref="B101:AA101" si="117">+B99+B100</f>
        <v>1</v>
      </c>
      <c r="C101" s="940">
        <f t="shared" si="117"/>
        <v>1</v>
      </c>
      <c r="D101" s="940">
        <f t="shared" si="117"/>
        <v>4</v>
      </c>
      <c r="E101" s="940">
        <f t="shared" si="117"/>
        <v>5</v>
      </c>
      <c r="F101" s="940">
        <f t="shared" si="117"/>
        <v>7</v>
      </c>
      <c r="G101" s="940">
        <f t="shared" si="117"/>
        <v>9</v>
      </c>
      <c r="H101" s="940">
        <f t="shared" si="117"/>
        <v>12</v>
      </c>
      <c r="I101" s="940">
        <f t="shared" si="117"/>
        <v>17</v>
      </c>
      <c r="J101" s="940">
        <f t="shared" si="117"/>
        <v>17</v>
      </c>
      <c r="K101" s="940">
        <f t="shared" si="117"/>
        <v>17</v>
      </c>
      <c r="L101" s="940">
        <f t="shared" si="117"/>
        <v>21</v>
      </c>
      <c r="M101" s="940">
        <f t="shared" si="117"/>
        <v>20</v>
      </c>
      <c r="N101" s="940">
        <f t="shared" si="117"/>
        <v>20</v>
      </c>
      <c r="O101" s="940">
        <f t="shared" si="117"/>
        <v>22</v>
      </c>
      <c r="P101" s="940">
        <f t="shared" si="117"/>
        <v>24</v>
      </c>
      <c r="Q101" s="940">
        <f t="shared" si="117"/>
        <v>25</v>
      </c>
      <c r="R101" s="940">
        <f t="shared" si="117"/>
        <v>28</v>
      </c>
      <c r="S101" s="940">
        <f t="shared" si="117"/>
        <v>34</v>
      </c>
      <c r="T101" s="940">
        <f t="shared" si="117"/>
        <v>39</v>
      </c>
      <c r="U101" s="940">
        <f t="shared" si="117"/>
        <v>45</v>
      </c>
      <c r="V101" s="940">
        <f t="shared" si="117"/>
        <v>52</v>
      </c>
      <c r="W101" s="940">
        <f t="shared" si="117"/>
        <v>59</v>
      </c>
      <c r="X101" s="940">
        <f t="shared" si="117"/>
        <v>67</v>
      </c>
      <c r="Y101" s="940">
        <f t="shared" si="117"/>
        <v>72</v>
      </c>
      <c r="Z101" s="940">
        <f t="shared" si="117"/>
        <v>73</v>
      </c>
      <c r="AA101" s="940">
        <f t="shared" si="117"/>
        <v>81</v>
      </c>
      <c r="AB101" s="940">
        <f t="shared" ref="AB101:AI101" si="118">+AB99+AB100</f>
        <v>85</v>
      </c>
      <c r="AC101" s="940">
        <f t="shared" si="118"/>
        <v>87</v>
      </c>
      <c r="AD101" s="940">
        <f t="shared" si="118"/>
        <v>89</v>
      </c>
      <c r="AE101" s="940">
        <f t="shared" si="118"/>
        <v>92</v>
      </c>
      <c r="AF101" s="940">
        <f t="shared" si="118"/>
        <v>95</v>
      </c>
      <c r="AG101" s="940">
        <f>+AG99+AG100</f>
        <v>98</v>
      </c>
      <c r="AH101" s="940">
        <f>+AH99+AH100</f>
        <v>101</v>
      </c>
      <c r="AI101" s="940">
        <f t="shared" si="118"/>
        <v>101</v>
      </c>
      <c r="AJ101" s="621"/>
      <c r="AK101" s="405"/>
      <c r="AL101" s="621"/>
      <c r="AM101" s="405"/>
      <c r="AN101" s="621"/>
      <c r="AO101" s="405"/>
      <c r="AP101" s="940"/>
      <c r="AQ101" s="621"/>
      <c r="AR101" s="621"/>
      <c r="AS101" s="621"/>
      <c r="AT101" s="621"/>
      <c r="AU101" s="621"/>
      <c r="AV101" s="621"/>
      <c r="AW101" s="621"/>
      <c r="AX101" s="621"/>
      <c r="AY101" s="621"/>
      <c r="AZ101" s="621"/>
    </row>
    <row r="102" spans="1:52">
      <c r="A102" s="278" t="s">
        <v>1974</v>
      </c>
      <c r="B102" s="940">
        <f>AVERAGE(B99,B101)</f>
        <v>0.5</v>
      </c>
      <c r="C102" s="940">
        <f t="shared" ref="C102:AA102" si="119">AVERAGE(B101:C101)</f>
        <v>1</v>
      </c>
      <c r="D102" s="940">
        <f t="shared" si="119"/>
        <v>2.5</v>
      </c>
      <c r="E102" s="940">
        <f t="shared" si="119"/>
        <v>4.5</v>
      </c>
      <c r="F102" s="940">
        <f t="shared" si="119"/>
        <v>6</v>
      </c>
      <c r="G102" s="940">
        <f t="shared" si="119"/>
        <v>8</v>
      </c>
      <c r="H102" s="940">
        <f t="shared" si="119"/>
        <v>10.5</v>
      </c>
      <c r="I102" s="940">
        <f t="shared" si="119"/>
        <v>14.5</v>
      </c>
      <c r="J102" s="940">
        <f t="shared" si="119"/>
        <v>17</v>
      </c>
      <c r="K102" s="940">
        <f t="shared" si="119"/>
        <v>17</v>
      </c>
      <c r="L102" s="940">
        <f t="shared" si="119"/>
        <v>19</v>
      </c>
      <c r="M102" s="940">
        <f t="shared" si="119"/>
        <v>20.5</v>
      </c>
      <c r="N102" s="940">
        <f t="shared" si="119"/>
        <v>20</v>
      </c>
      <c r="O102" s="940">
        <f t="shared" si="119"/>
        <v>21</v>
      </c>
      <c r="P102" s="940">
        <f t="shared" si="119"/>
        <v>23</v>
      </c>
      <c r="Q102" s="940">
        <f t="shared" si="119"/>
        <v>24.5</v>
      </c>
      <c r="R102" s="940">
        <f t="shared" si="119"/>
        <v>26.5</v>
      </c>
      <c r="S102" s="940">
        <f t="shared" si="119"/>
        <v>31</v>
      </c>
      <c r="T102" s="940">
        <f t="shared" si="119"/>
        <v>36.5</v>
      </c>
      <c r="U102" s="940">
        <f t="shared" si="119"/>
        <v>42</v>
      </c>
      <c r="V102" s="940">
        <f t="shared" si="119"/>
        <v>48.5</v>
      </c>
      <c r="W102" s="940">
        <f t="shared" si="119"/>
        <v>55.5</v>
      </c>
      <c r="X102" s="940">
        <f t="shared" si="119"/>
        <v>63</v>
      </c>
      <c r="Y102" s="940">
        <f t="shared" si="119"/>
        <v>69.5</v>
      </c>
      <c r="Z102" s="940">
        <f t="shared" si="119"/>
        <v>72.5</v>
      </c>
      <c r="AA102" s="940">
        <f t="shared" si="119"/>
        <v>77</v>
      </c>
      <c r="AB102" s="940">
        <f t="shared" ref="AB102:AH102" si="120">AVERAGE(AA101:AB101)</f>
        <v>83</v>
      </c>
      <c r="AC102" s="940">
        <f t="shared" si="120"/>
        <v>86</v>
      </c>
      <c r="AD102" s="940">
        <f t="shared" si="120"/>
        <v>88</v>
      </c>
      <c r="AE102" s="940">
        <f t="shared" si="120"/>
        <v>90.5</v>
      </c>
      <c r="AF102" s="940">
        <f t="shared" si="120"/>
        <v>93.5</v>
      </c>
      <c r="AG102" s="940">
        <f t="shared" si="120"/>
        <v>96.5</v>
      </c>
      <c r="AH102" s="940">
        <f t="shared" si="120"/>
        <v>99.5</v>
      </c>
      <c r="AI102" s="940">
        <f>AVERAGE(AC101:AI101)</f>
        <v>94.714285714285708</v>
      </c>
      <c r="AK102" s="330"/>
      <c r="AM102" s="330"/>
      <c r="AO102" s="330"/>
    </row>
    <row r="103" spans="1:52">
      <c r="A103" s="278" t="s">
        <v>1975</v>
      </c>
      <c r="B103" s="633"/>
      <c r="C103" s="633">
        <f t="shared" ref="C103:AA103" si="121">C102/B102-1</f>
        <v>1</v>
      </c>
      <c r="D103" s="633">
        <f t="shared" si="121"/>
        <v>1.5</v>
      </c>
      <c r="E103" s="633">
        <f t="shared" si="121"/>
        <v>0.8</v>
      </c>
      <c r="F103" s="633">
        <f t="shared" si="121"/>
        <v>0.33333333333333326</v>
      </c>
      <c r="G103" s="633">
        <f t="shared" si="121"/>
        <v>0.33333333333333326</v>
      </c>
      <c r="H103" s="633">
        <f t="shared" si="121"/>
        <v>0.3125</v>
      </c>
      <c r="I103" s="633">
        <f t="shared" si="121"/>
        <v>0.38095238095238093</v>
      </c>
      <c r="J103" s="633">
        <f t="shared" si="121"/>
        <v>0.17241379310344818</v>
      </c>
      <c r="K103" s="633">
        <f t="shared" si="121"/>
        <v>0</v>
      </c>
      <c r="L103" s="633">
        <f t="shared" si="121"/>
        <v>0.11764705882352944</v>
      </c>
      <c r="M103" s="633">
        <f t="shared" si="121"/>
        <v>7.8947368421052655E-2</v>
      </c>
      <c r="N103" s="633">
        <f t="shared" si="121"/>
        <v>-2.4390243902439046E-2</v>
      </c>
      <c r="O103" s="633">
        <f t="shared" si="121"/>
        <v>5.0000000000000044E-2</v>
      </c>
      <c r="P103" s="633">
        <f t="shared" si="121"/>
        <v>9.5238095238095344E-2</v>
      </c>
      <c r="Q103" s="633">
        <f t="shared" si="121"/>
        <v>6.5217391304347894E-2</v>
      </c>
      <c r="R103" s="633">
        <f t="shared" si="121"/>
        <v>8.163265306122458E-2</v>
      </c>
      <c r="S103" s="633">
        <f t="shared" si="121"/>
        <v>0.16981132075471694</v>
      </c>
      <c r="T103" s="633">
        <f t="shared" si="121"/>
        <v>0.17741935483870974</v>
      </c>
      <c r="U103" s="633">
        <f t="shared" si="121"/>
        <v>0.15068493150684925</v>
      </c>
      <c r="V103" s="633">
        <f t="shared" si="121"/>
        <v>0.15476190476190466</v>
      </c>
      <c r="W103" s="633">
        <f t="shared" si="121"/>
        <v>0.14432989690721643</v>
      </c>
      <c r="X103" s="633">
        <f t="shared" si="121"/>
        <v>0.13513513513513509</v>
      </c>
      <c r="Y103" s="633">
        <f t="shared" si="121"/>
        <v>0.10317460317460325</v>
      </c>
      <c r="Z103" s="633">
        <f t="shared" si="121"/>
        <v>4.3165467625899234E-2</v>
      </c>
      <c r="AA103" s="633">
        <f t="shared" si="121"/>
        <v>6.2068965517241281E-2</v>
      </c>
      <c r="AB103" s="633">
        <f t="shared" ref="AB103:AH103" si="122">AB102/AA102-1</f>
        <v>7.7922077922077948E-2</v>
      </c>
      <c r="AC103" s="633">
        <f t="shared" si="122"/>
        <v>3.6144578313253017E-2</v>
      </c>
      <c r="AD103" s="633">
        <f t="shared" si="122"/>
        <v>2.3255813953488413E-2</v>
      </c>
      <c r="AE103" s="633">
        <f t="shared" si="122"/>
        <v>2.8409090909090828E-2</v>
      </c>
      <c r="AF103" s="633">
        <f t="shared" si="122"/>
        <v>3.3149171270718147E-2</v>
      </c>
      <c r="AG103" s="633">
        <f t="shared" si="122"/>
        <v>3.2085561497326109E-2</v>
      </c>
      <c r="AH103" s="633">
        <f t="shared" si="122"/>
        <v>3.1088082901554515E-2</v>
      </c>
      <c r="AI103" s="633">
        <f>AI102/AC102-1</f>
        <v>0.10132890365448488</v>
      </c>
      <c r="AK103" s="330"/>
      <c r="AM103" s="330"/>
      <c r="AO103" s="330"/>
    </row>
    <row r="104" spans="1:52">
      <c r="A104" s="278" t="s">
        <v>1365</v>
      </c>
      <c r="B104" s="633"/>
      <c r="C104" s="939">
        <f t="shared" ref="C104:AA104" si="123">+C101/B101-1</f>
        <v>0</v>
      </c>
      <c r="D104" s="939">
        <f t="shared" si="123"/>
        <v>3</v>
      </c>
      <c r="E104" s="939">
        <f t="shared" si="123"/>
        <v>0.25</v>
      </c>
      <c r="F104" s="939">
        <f t="shared" si="123"/>
        <v>0.39999999999999991</v>
      </c>
      <c r="G104" s="939">
        <f t="shared" si="123"/>
        <v>0.28571428571428581</v>
      </c>
      <c r="H104" s="939">
        <f t="shared" si="123"/>
        <v>0.33333333333333326</v>
      </c>
      <c r="I104" s="939">
        <f t="shared" si="123"/>
        <v>0.41666666666666674</v>
      </c>
      <c r="J104" s="939">
        <f t="shared" si="123"/>
        <v>0</v>
      </c>
      <c r="K104" s="939">
        <f t="shared" si="123"/>
        <v>0</v>
      </c>
      <c r="L104" s="939">
        <f t="shared" si="123"/>
        <v>0.23529411764705888</v>
      </c>
      <c r="M104" s="939">
        <f t="shared" si="123"/>
        <v>-4.7619047619047672E-2</v>
      </c>
      <c r="N104" s="939">
        <f t="shared" si="123"/>
        <v>0</v>
      </c>
      <c r="O104" s="939">
        <f t="shared" si="123"/>
        <v>0.10000000000000009</v>
      </c>
      <c r="P104" s="939">
        <f t="shared" si="123"/>
        <v>9.0909090909090828E-2</v>
      </c>
      <c r="Q104" s="939">
        <f t="shared" si="123"/>
        <v>4.1666666666666741E-2</v>
      </c>
      <c r="R104" s="939">
        <f t="shared" si="123"/>
        <v>0.12000000000000011</v>
      </c>
      <c r="S104" s="939">
        <f t="shared" si="123"/>
        <v>0.21428571428571419</v>
      </c>
      <c r="T104" s="108">
        <f t="shared" si="123"/>
        <v>0.14705882352941169</v>
      </c>
      <c r="U104" s="108">
        <f t="shared" si="123"/>
        <v>0.15384615384615374</v>
      </c>
      <c r="V104" s="108">
        <f t="shared" si="123"/>
        <v>0.15555555555555545</v>
      </c>
      <c r="W104" s="108">
        <f t="shared" si="123"/>
        <v>0.13461538461538458</v>
      </c>
      <c r="X104" s="108">
        <f t="shared" si="123"/>
        <v>0.13559322033898313</v>
      </c>
      <c r="Y104" s="108">
        <f t="shared" si="123"/>
        <v>7.4626865671641784E-2</v>
      </c>
      <c r="Z104" s="108">
        <f t="shared" si="123"/>
        <v>1.388888888888884E-2</v>
      </c>
      <c r="AA104" s="108">
        <f t="shared" si="123"/>
        <v>0.1095890410958904</v>
      </c>
      <c r="AB104" s="108">
        <f t="shared" ref="AB104:AH104" si="124">+AB101/AA101-1</f>
        <v>4.9382716049382713E-2</v>
      </c>
      <c r="AC104" s="108">
        <f t="shared" si="124"/>
        <v>2.3529411764705799E-2</v>
      </c>
      <c r="AD104" s="108">
        <f t="shared" si="124"/>
        <v>2.2988505747126409E-2</v>
      </c>
      <c r="AE104" s="108">
        <f t="shared" si="124"/>
        <v>3.3707865168539408E-2</v>
      </c>
      <c r="AF104" s="108">
        <f t="shared" si="124"/>
        <v>3.2608695652173836E-2</v>
      </c>
      <c r="AG104" s="108">
        <f t="shared" si="124"/>
        <v>3.1578947368421151E-2</v>
      </c>
      <c r="AH104" s="108">
        <f t="shared" si="124"/>
        <v>3.0612244897959107E-2</v>
      </c>
      <c r="AI104" s="108">
        <f>+AI101/AC101-1</f>
        <v>0.16091954022988508</v>
      </c>
      <c r="AK104" s="330"/>
      <c r="AM104" s="330"/>
      <c r="AO104" s="330"/>
    </row>
    <row r="105" spans="1:52">
      <c r="A105" s="131"/>
      <c r="B105" s="852"/>
      <c r="C105" s="852"/>
      <c r="D105" s="852"/>
      <c r="E105" s="852"/>
      <c r="F105" s="852"/>
      <c r="G105" s="858"/>
      <c r="H105" s="858"/>
      <c r="I105" s="858"/>
      <c r="J105" s="858"/>
      <c r="K105" s="858"/>
      <c r="L105" s="1205"/>
      <c r="M105" s="1205"/>
      <c r="N105" s="1205"/>
      <c r="O105" s="1205"/>
      <c r="P105" s="1205"/>
      <c r="Q105" s="1205"/>
      <c r="R105" s="1205"/>
      <c r="S105" s="1205"/>
      <c r="T105" s="873"/>
      <c r="U105" s="873"/>
      <c r="V105" s="873"/>
      <c r="W105" s="873"/>
      <c r="X105" s="873"/>
      <c r="Y105" s="873"/>
      <c r="Z105" s="873"/>
      <c r="AA105" s="873"/>
      <c r="AB105" s="873"/>
      <c r="AC105" s="873"/>
      <c r="AD105" s="873"/>
      <c r="AE105" s="873"/>
      <c r="AF105" s="873"/>
      <c r="AG105" s="873"/>
      <c r="AH105" s="873"/>
      <c r="AK105" s="330"/>
      <c r="AM105" s="330"/>
      <c r="AO105" s="330"/>
    </row>
    <row r="106" spans="1:52">
      <c r="A106" s="278" t="s">
        <v>557</v>
      </c>
      <c r="B106" s="852"/>
      <c r="C106" s="1192"/>
      <c r="D106" s="1192"/>
      <c r="E106" s="1192"/>
      <c r="F106" s="1192"/>
      <c r="G106" s="1192"/>
      <c r="H106" s="1192"/>
      <c r="I106" s="1192"/>
      <c r="J106" s="1192"/>
      <c r="K106" s="1192"/>
      <c r="L106" s="1192"/>
      <c r="M106" s="1192"/>
      <c r="N106" s="1192"/>
      <c r="O106" s="1192"/>
      <c r="P106" s="1192"/>
      <c r="Q106" s="1192"/>
      <c r="R106" s="1192"/>
      <c r="S106" s="1192"/>
      <c r="T106" s="942">
        <f t="shared" ref="T106:Y106" si="125">+T96/T102</f>
        <v>9.9478082191780821</v>
      </c>
      <c r="U106" s="942">
        <f t="shared" si="125"/>
        <v>10.149904761904761</v>
      </c>
      <c r="V106" s="942">
        <f t="shared" si="125"/>
        <v>11.32364948453608</v>
      </c>
      <c r="W106" s="942">
        <f t="shared" si="125"/>
        <v>13.481333333333337</v>
      </c>
      <c r="X106" s="942">
        <f t="shared" si="125"/>
        <v>12.863809523809522</v>
      </c>
      <c r="Y106" s="942">
        <f t="shared" si="125"/>
        <v>13.592460431654676</v>
      </c>
      <c r="Z106" s="942">
        <f t="shared" ref="Z106:AE106" si="126">+Z96/Z102</f>
        <v>14.137227586206897</v>
      </c>
      <c r="AA106" s="942">
        <f t="shared" si="126"/>
        <v>13.027272727272727</v>
      </c>
      <c r="AB106" s="942">
        <f t="shared" si="126"/>
        <v>12.037349397590361</v>
      </c>
      <c r="AC106" s="942">
        <f t="shared" si="126"/>
        <v>12.732558139534884</v>
      </c>
      <c r="AD106" s="942">
        <f t="shared" si="126"/>
        <v>13.395677125976572</v>
      </c>
      <c r="AE106" s="942">
        <f t="shared" si="126"/>
        <v>14.147572885359194</v>
      </c>
      <c r="AF106" s="942">
        <f>+AF96/AF102</f>
        <v>14.861106147739296</v>
      </c>
      <c r="AG106" s="942">
        <f>+AG96/AG102</f>
        <v>15.348636409282729</v>
      </c>
      <c r="AH106" s="942">
        <f>+AH96/AH102</f>
        <v>15.828018574057465</v>
      </c>
      <c r="AK106" s="330"/>
      <c r="AM106" s="330"/>
      <c r="AO106" s="330"/>
    </row>
    <row r="107" spans="1:52">
      <c r="A107" s="278" t="s">
        <v>1971</v>
      </c>
      <c r="B107" s="852"/>
      <c r="C107" s="1193"/>
      <c r="D107" s="1193"/>
      <c r="E107" s="1193"/>
      <c r="F107" s="1193"/>
      <c r="G107" s="1193"/>
      <c r="H107" s="1193"/>
      <c r="I107" s="1193"/>
      <c r="J107" s="1193"/>
      <c r="K107" s="1193"/>
      <c r="L107" s="1193"/>
      <c r="M107" s="1193"/>
      <c r="N107" s="1193"/>
      <c r="O107" s="1193"/>
      <c r="P107" s="1193"/>
      <c r="Q107" s="1193"/>
      <c r="R107" s="1193"/>
      <c r="S107" s="1193"/>
      <c r="T107" s="943"/>
      <c r="U107" s="943">
        <f t="shared" ref="U107:AA107" si="127">+U106/T106-1</f>
        <v>2.0315685452908294E-2</v>
      </c>
      <c r="V107" s="943">
        <f t="shared" si="127"/>
        <v>0.11564095921734063</v>
      </c>
      <c r="W107" s="943">
        <f t="shared" si="127"/>
        <v>0.19054668300567368</v>
      </c>
      <c r="X107" s="943">
        <f t="shared" si="127"/>
        <v>-4.5805840880512427E-2</v>
      </c>
      <c r="Y107" s="943">
        <f t="shared" si="127"/>
        <v>5.664347769581779E-2</v>
      </c>
      <c r="Z107" s="943">
        <f t="shared" si="127"/>
        <v>4.0078627213329776E-2</v>
      </c>
      <c r="AA107" s="943">
        <f t="shared" si="127"/>
        <v>-7.8512908713240681E-2</v>
      </c>
      <c r="AB107" s="943">
        <f t="shared" ref="AB107:AH107" si="128">+AB106/AA106-1</f>
        <v>-7.5988531936538872E-2</v>
      </c>
      <c r="AC107" s="943">
        <f t="shared" si="128"/>
        <v>5.7754304455405192E-2</v>
      </c>
      <c r="AD107" s="943">
        <f t="shared" si="128"/>
        <v>5.2080577930580185E-2</v>
      </c>
      <c r="AE107" s="943">
        <f t="shared" si="128"/>
        <v>5.6129731428399721E-2</v>
      </c>
      <c r="AF107" s="943">
        <f t="shared" si="128"/>
        <v>5.0435029963232125E-2</v>
      </c>
      <c r="AG107" s="943">
        <f t="shared" si="128"/>
        <v>3.2805785565134249E-2</v>
      </c>
      <c r="AH107" s="943">
        <f t="shared" si="128"/>
        <v>3.1232882973552645E-2</v>
      </c>
      <c r="AK107" s="330"/>
      <c r="AM107" s="330"/>
      <c r="AO107" s="330"/>
    </row>
    <row r="108" spans="1:52">
      <c r="A108" s="131"/>
      <c r="B108" s="852"/>
      <c r="C108" s="852"/>
      <c r="D108" s="852"/>
      <c r="E108" s="852"/>
      <c r="F108" s="852"/>
      <c r="G108" s="858"/>
      <c r="H108" s="858"/>
      <c r="I108" s="858"/>
      <c r="J108" s="858"/>
      <c r="K108" s="858"/>
      <c r="L108" s="858"/>
      <c r="M108" s="858"/>
      <c r="N108" s="852"/>
      <c r="O108" s="852"/>
      <c r="P108" s="852"/>
      <c r="Q108" s="852"/>
      <c r="R108" s="852"/>
      <c r="S108" s="852"/>
      <c r="T108" s="621"/>
      <c r="U108" s="621"/>
      <c r="V108" s="621"/>
      <c r="W108" s="621"/>
      <c r="X108" s="621"/>
      <c r="Y108" s="621"/>
      <c r="Z108" s="621"/>
      <c r="AA108" s="621"/>
      <c r="AB108" s="621"/>
      <c r="AC108" s="621"/>
      <c r="AD108" s="621"/>
      <c r="AE108" s="621"/>
      <c r="AF108" s="621"/>
      <c r="AG108" s="621"/>
      <c r="AH108" s="621"/>
      <c r="AK108" s="330"/>
      <c r="AM108" s="330"/>
      <c r="AO108" s="330"/>
    </row>
    <row r="109" spans="1:52">
      <c r="A109" s="278" t="s">
        <v>1977</v>
      </c>
      <c r="B109" s="852"/>
      <c r="C109" s="852"/>
      <c r="D109" s="852"/>
      <c r="E109" s="1194"/>
      <c r="F109" s="1194"/>
      <c r="G109" s="1194"/>
      <c r="H109" s="1194"/>
      <c r="I109" s="1194"/>
      <c r="J109" s="1194"/>
      <c r="K109" s="1194"/>
      <c r="L109" s="1194"/>
      <c r="M109" s="1194"/>
      <c r="N109" s="1194"/>
      <c r="O109" s="1194"/>
      <c r="P109" s="1194"/>
      <c r="Q109" s="1194"/>
      <c r="R109" s="1194"/>
      <c r="S109" s="1194"/>
      <c r="T109" s="202"/>
      <c r="U109" s="202">
        <f t="shared" ref="U109:AA109" si="129">+(U112+T112)/2</f>
        <v>5.0150000000000014E-2</v>
      </c>
      <c r="V109" s="202">
        <f t="shared" si="129"/>
        <v>0.12050000000000002</v>
      </c>
      <c r="W109" s="202">
        <f t="shared" si="129"/>
        <v>0.14565</v>
      </c>
      <c r="X109" s="202">
        <f t="shared" si="129"/>
        <v>0.16020000000000001</v>
      </c>
      <c r="Y109" s="202">
        <f t="shared" si="129"/>
        <v>0.17580000000000004</v>
      </c>
      <c r="Z109" s="202">
        <f t="shared" si="129"/>
        <v>0.18310000000000004</v>
      </c>
      <c r="AA109" s="202">
        <f t="shared" si="129"/>
        <v>0.19480000000000003</v>
      </c>
      <c r="AB109" s="202">
        <f t="shared" ref="AB109:AH109" si="130">+(AB112+AA112)/2</f>
        <v>0.21440000000000003</v>
      </c>
      <c r="AC109" s="202">
        <f t="shared" si="130"/>
        <v>0.22860000000000005</v>
      </c>
      <c r="AD109" s="202">
        <f t="shared" si="130"/>
        <v>0.23910000000000006</v>
      </c>
      <c r="AE109" s="202">
        <f t="shared" si="130"/>
        <v>0.25285000000000007</v>
      </c>
      <c r="AF109" s="202">
        <f t="shared" si="130"/>
        <v>0.26935000000000009</v>
      </c>
      <c r="AG109" s="202">
        <f t="shared" si="130"/>
        <v>0.28585000000000005</v>
      </c>
      <c r="AH109" s="202">
        <f t="shared" si="130"/>
        <v>0.30235000000000012</v>
      </c>
      <c r="AK109" s="330"/>
      <c r="AM109" s="330"/>
      <c r="AO109" s="330"/>
    </row>
    <row r="110" spans="1:52">
      <c r="A110" s="278" t="s">
        <v>1971</v>
      </c>
      <c r="B110" s="852"/>
      <c r="C110" s="852"/>
      <c r="D110" s="852"/>
      <c r="E110" s="852"/>
      <c r="F110" s="1186"/>
      <c r="G110" s="1186"/>
      <c r="H110" s="1186"/>
      <c r="I110" s="1186"/>
      <c r="J110" s="1186"/>
      <c r="K110" s="1186"/>
      <c r="L110" s="1186"/>
      <c r="M110" s="1186"/>
      <c r="N110" s="1186"/>
      <c r="O110" s="1186"/>
      <c r="P110" s="1186"/>
      <c r="Q110" s="1186"/>
      <c r="R110" s="1186"/>
      <c r="S110" s="1186"/>
      <c r="T110" s="939"/>
      <c r="U110" s="939"/>
      <c r="V110" s="939">
        <f t="shared" ref="V110:AA110" si="131">+V109/U109-1</f>
        <v>1.402791625124626</v>
      </c>
      <c r="W110" s="939">
        <f t="shared" si="131"/>
        <v>0.20871369294605779</v>
      </c>
      <c r="X110" s="939">
        <f t="shared" si="131"/>
        <v>9.9897013388259515E-2</v>
      </c>
      <c r="Y110" s="939">
        <f t="shared" si="131"/>
        <v>9.737827715355829E-2</v>
      </c>
      <c r="Z110" s="939">
        <f t="shared" si="131"/>
        <v>4.1524459613196729E-2</v>
      </c>
      <c r="AA110" s="939">
        <f t="shared" si="131"/>
        <v>6.3899508465319332E-2</v>
      </c>
      <c r="AB110" s="939">
        <f t="shared" ref="AB110:AH110" si="132">+AB109/AA109-1</f>
        <v>0.10061601642710483</v>
      </c>
      <c r="AC110" s="939">
        <f t="shared" si="132"/>
        <v>6.6231343283582156E-2</v>
      </c>
      <c r="AD110" s="939">
        <f t="shared" si="132"/>
        <v>4.5931758530183719E-2</v>
      </c>
      <c r="AE110" s="939">
        <f t="shared" si="132"/>
        <v>5.7507319113341726E-2</v>
      </c>
      <c r="AF110" s="939">
        <f t="shared" si="132"/>
        <v>6.5256080680245354E-2</v>
      </c>
      <c r="AG110" s="939">
        <f t="shared" si="132"/>
        <v>6.1258585483571437E-2</v>
      </c>
      <c r="AH110" s="939">
        <f t="shared" si="132"/>
        <v>5.7722581773657744E-2</v>
      </c>
      <c r="AK110" s="330"/>
      <c r="AM110" s="330"/>
      <c r="AO110" s="330"/>
    </row>
    <row r="111" spans="1:52">
      <c r="A111" s="103"/>
      <c r="B111" s="852"/>
      <c r="C111" s="852"/>
      <c r="D111" s="852"/>
      <c r="E111" s="852"/>
      <c r="F111" s="852"/>
      <c r="G111" s="858"/>
      <c r="H111" s="858"/>
      <c r="I111" s="858"/>
      <c r="J111" s="858"/>
      <c r="K111" s="858"/>
      <c r="L111" s="858"/>
      <c r="M111" s="858"/>
      <c r="N111" s="852"/>
      <c r="O111" s="852"/>
      <c r="P111" s="852"/>
      <c r="Q111" s="852"/>
      <c r="R111" s="852"/>
      <c r="S111" s="852"/>
      <c r="T111" s="621"/>
      <c r="U111" s="621"/>
      <c r="V111" s="621"/>
      <c r="W111" s="621"/>
      <c r="X111" s="621"/>
      <c r="Y111" s="621"/>
      <c r="Z111" s="621"/>
      <c r="AA111" s="621"/>
      <c r="AB111" s="621"/>
      <c r="AC111" s="621"/>
      <c r="AD111" s="621"/>
      <c r="AE111" s="621"/>
      <c r="AF111" s="621"/>
      <c r="AG111" s="621"/>
      <c r="AH111" s="621"/>
      <c r="AK111" s="330"/>
      <c r="AM111" s="330"/>
      <c r="AO111" s="330"/>
    </row>
    <row r="112" spans="1:52">
      <c r="A112" s="110" t="s">
        <v>1940</v>
      </c>
      <c r="B112" s="852"/>
      <c r="C112" s="1195"/>
      <c r="D112" s="1195"/>
      <c r="E112" s="1195"/>
      <c r="F112" s="1195"/>
      <c r="G112" s="1195"/>
      <c r="H112" s="1195"/>
      <c r="I112" s="1195"/>
      <c r="J112" s="1195"/>
      <c r="K112" s="1195"/>
      <c r="L112" s="1195"/>
      <c r="M112" s="1195"/>
      <c r="N112" s="1195"/>
      <c r="O112" s="1195"/>
      <c r="P112" s="1195"/>
      <c r="Q112" s="1195"/>
      <c r="R112" s="1195"/>
      <c r="S112" s="1195"/>
      <c r="T112" s="938">
        <f>Stores!R206</f>
        <v>0</v>
      </c>
      <c r="U112" s="938">
        <f>+Stores!R250</f>
        <v>0.10030000000000003</v>
      </c>
      <c r="V112" s="938">
        <f>+Stores!R257</f>
        <v>0.14070000000000002</v>
      </c>
      <c r="W112" s="938">
        <f>+Stores!R264</f>
        <v>0.15060000000000001</v>
      </c>
      <c r="X112" s="938">
        <f>Stores!R272</f>
        <v>0.16980000000000003</v>
      </c>
      <c r="Y112" s="938">
        <f t="shared" ref="Y112:AH112" si="133">X112+Y100*Y124/1000000</f>
        <v>0.18180000000000004</v>
      </c>
      <c r="Z112" s="938">
        <f t="shared" si="133"/>
        <v>0.18440000000000004</v>
      </c>
      <c r="AA112" s="938">
        <f t="shared" si="133"/>
        <v>0.20520000000000005</v>
      </c>
      <c r="AB112" s="938">
        <f>AA112+AB100*AB124/1000000</f>
        <v>0.22360000000000005</v>
      </c>
      <c r="AC112" s="938">
        <f t="shared" si="133"/>
        <v>0.23360000000000006</v>
      </c>
      <c r="AD112" s="938">
        <f>AC112+AD100*AD124/1000000</f>
        <v>0.24460000000000007</v>
      </c>
      <c r="AE112" s="938">
        <f t="shared" si="133"/>
        <v>0.26110000000000005</v>
      </c>
      <c r="AF112" s="938">
        <f t="shared" si="133"/>
        <v>0.27760000000000007</v>
      </c>
      <c r="AG112" s="938">
        <f t="shared" si="133"/>
        <v>0.29410000000000008</v>
      </c>
      <c r="AH112" s="938">
        <f t="shared" si="133"/>
        <v>0.3106000000000001</v>
      </c>
      <c r="AI112" s="938">
        <f>AC112+AI100*AI124/1000000</f>
        <v>0.23360000000000006</v>
      </c>
      <c r="AJ112" s="621"/>
      <c r="AK112" s="405"/>
      <c r="AL112" s="621"/>
      <c r="AM112" s="405"/>
      <c r="AN112" s="621"/>
      <c r="AO112" s="405"/>
      <c r="AP112" s="621"/>
      <c r="AQ112" s="621"/>
      <c r="AR112" s="621"/>
      <c r="AS112" s="621"/>
      <c r="AT112" s="621"/>
      <c r="AU112" s="621"/>
      <c r="AV112" s="621"/>
      <c r="AW112" s="621"/>
      <c r="AX112" s="621"/>
      <c r="AY112" s="621"/>
      <c r="AZ112" s="621"/>
    </row>
    <row r="113" spans="1:52">
      <c r="A113" s="110" t="s">
        <v>1971</v>
      </c>
      <c r="B113" s="852"/>
      <c r="C113" s="852"/>
      <c r="D113" s="852"/>
      <c r="E113" s="1186"/>
      <c r="F113" s="1186"/>
      <c r="G113" s="1186"/>
      <c r="H113" s="1186"/>
      <c r="I113" s="1186"/>
      <c r="J113" s="1186"/>
      <c r="K113" s="1186"/>
      <c r="L113" s="1186"/>
      <c r="M113" s="1186"/>
      <c r="N113" s="1186"/>
      <c r="O113" s="1186"/>
      <c r="P113" s="1186"/>
      <c r="Q113" s="1186"/>
      <c r="R113" s="1186"/>
      <c r="S113" s="1186"/>
      <c r="T113" s="939"/>
      <c r="U113" s="939"/>
      <c r="V113" s="939">
        <f t="shared" ref="V113:AA113" si="134">+V112/U112-1</f>
        <v>0.40279162512462596</v>
      </c>
      <c r="W113" s="939">
        <f t="shared" si="134"/>
        <v>7.036247334754786E-2</v>
      </c>
      <c r="X113" s="939">
        <f t="shared" si="134"/>
        <v>0.12749003984063756</v>
      </c>
      <c r="Y113" s="939">
        <f t="shared" si="134"/>
        <v>7.067137809187285E-2</v>
      </c>
      <c r="Z113" s="939">
        <f t="shared" si="134"/>
        <v>1.4301430143014215E-2</v>
      </c>
      <c r="AA113" s="939">
        <f t="shared" si="134"/>
        <v>0.11279826464208242</v>
      </c>
      <c r="AB113" s="939">
        <f t="shared" ref="AB113:AH113" si="135">+AB112/AA112-1</f>
        <v>8.9668615984405342E-2</v>
      </c>
      <c r="AC113" s="939">
        <f t="shared" si="135"/>
        <v>4.4722719141323752E-2</v>
      </c>
      <c r="AD113" s="939">
        <f t="shared" si="135"/>
        <v>4.7089041095890405E-2</v>
      </c>
      <c r="AE113" s="939">
        <f t="shared" si="135"/>
        <v>6.7457072771872406E-2</v>
      </c>
      <c r="AF113" s="939">
        <f t="shared" si="135"/>
        <v>6.3194178475679763E-2</v>
      </c>
      <c r="AG113" s="939">
        <f t="shared" si="135"/>
        <v>5.9438040345821452E-2</v>
      </c>
      <c r="AH113" s="939">
        <f t="shared" si="135"/>
        <v>5.6103366201972094E-2</v>
      </c>
      <c r="AI113" s="939">
        <f>+AI112/AC112-1</f>
        <v>0</v>
      </c>
      <c r="AJ113" s="621"/>
      <c r="AK113" s="405"/>
      <c r="AL113" s="621"/>
      <c r="AM113" s="405"/>
      <c r="AN113" s="621"/>
      <c r="AO113" s="405"/>
      <c r="AP113" s="621"/>
      <c r="AQ113" s="621"/>
      <c r="AR113" s="621"/>
      <c r="AS113" s="621"/>
      <c r="AT113" s="621"/>
      <c r="AU113" s="621"/>
      <c r="AV113" s="621"/>
      <c r="AW113" s="621"/>
      <c r="AX113" s="621"/>
      <c r="AY113" s="621"/>
      <c r="AZ113" s="621"/>
    </row>
    <row r="114" spans="1:52">
      <c r="A114" s="103"/>
      <c r="B114" s="852"/>
      <c r="C114" s="852"/>
      <c r="D114" s="852"/>
      <c r="E114" s="852"/>
      <c r="F114" s="852"/>
      <c r="G114" s="852"/>
      <c r="H114" s="852"/>
      <c r="I114" s="852"/>
      <c r="J114" s="852"/>
      <c r="K114" s="852"/>
      <c r="L114" s="852"/>
      <c r="M114" s="852"/>
      <c r="N114" s="852"/>
      <c r="O114" s="852"/>
      <c r="P114" s="852"/>
      <c r="Q114" s="852"/>
      <c r="R114" s="852"/>
      <c r="S114" s="852"/>
      <c r="T114" s="621"/>
      <c r="U114" s="621"/>
      <c r="V114" s="621"/>
      <c r="W114" s="621"/>
      <c r="X114" s="621"/>
      <c r="Y114" s="621"/>
      <c r="Z114" s="621"/>
      <c r="AA114" s="621"/>
      <c r="AB114" s="621"/>
      <c r="AC114" s="621"/>
      <c r="AD114" s="621"/>
      <c r="AE114" s="621"/>
      <c r="AF114" s="621"/>
      <c r="AG114" s="621"/>
      <c r="AH114" s="621"/>
      <c r="AK114" s="330"/>
      <c r="AM114" s="330"/>
      <c r="AO114" s="330"/>
    </row>
    <row r="115" spans="1:52">
      <c r="A115" s="278" t="s">
        <v>1978</v>
      </c>
      <c r="B115" s="1196"/>
      <c r="C115" s="1196"/>
      <c r="D115" s="1196"/>
      <c r="E115" s="1196"/>
      <c r="F115" s="1196"/>
      <c r="G115" s="1196"/>
      <c r="H115" s="1196"/>
      <c r="I115" s="1196"/>
      <c r="J115" s="1196"/>
      <c r="K115" s="1196"/>
      <c r="L115" s="1196"/>
      <c r="M115" s="1196"/>
      <c r="N115" s="1196"/>
      <c r="O115" s="1196"/>
      <c r="P115" s="1196"/>
      <c r="Q115" s="1196"/>
      <c r="R115" s="1196"/>
      <c r="S115" s="1196"/>
      <c r="T115" s="584">
        <f t="shared" ref="T115:Y115" si="136">T112/T101*1000000</f>
        <v>0</v>
      </c>
      <c r="U115" s="584">
        <f t="shared" si="136"/>
        <v>2228.8888888888896</v>
      </c>
      <c r="V115" s="584">
        <f t="shared" si="136"/>
        <v>2705.7692307692314</v>
      </c>
      <c r="W115" s="584">
        <f t="shared" si="136"/>
        <v>2552.5423728813562</v>
      </c>
      <c r="X115" s="584">
        <f t="shared" si="136"/>
        <v>2534.3283582089557</v>
      </c>
      <c r="Y115" s="584">
        <f t="shared" si="136"/>
        <v>2525.0000000000009</v>
      </c>
      <c r="Z115" s="584">
        <f t="shared" ref="Z115:AE115" si="137">Z112/Z101*1000000</f>
        <v>2526.0273972602745</v>
      </c>
      <c r="AA115" s="584">
        <f t="shared" si="137"/>
        <v>2533.3333333333339</v>
      </c>
      <c r="AB115" s="584">
        <f t="shared" si="137"/>
        <v>2630.588235294118</v>
      </c>
      <c r="AC115" s="584">
        <f t="shared" si="137"/>
        <v>2685.0574712643684</v>
      </c>
      <c r="AD115" s="584">
        <f t="shared" si="137"/>
        <v>2748.3146067415737</v>
      </c>
      <c r="AE115" s="584">
        <f t="shared" si="137"/>
        <v>2838.0434782608704</v>
      </c>
      <c r="AF115" s="584">
        <f>AF112/AF101*1000000</f>
        <v>2922.1052631578955</v>
      </c>
      <c r="AG115" s="584">
        <f>AG112/AG101*1000000</f>
        <v>3001.0204081632664</v>
      </c>
      <c r="AH115" s="584">
        <f>AH112/AH101*1000000</f>
        <v>3075.2475247524762</v>
      </c>
      <c r="AK115" s="330"/>
      <c r="AM115" s="330"/>
      <c r="AO115" s="330"/>
    </row>
    <row r="116" spans="1:52">
      <c r="A116" s="278" t="s">
        <v>1971</v>
      </c>
      <c r="B116" s="852"/>
      <c r="C116" s="852"/>
      <c r="D116" s="852"/>
      <c r="E116" s="852"/>
      <c r="F116" s="852"/>
      <c r="G116" s="852"/>
      <c r="H116" s="852"/>
      <c r="I116" s="852"/>
      <c r="J116" s="852"/>
      <c r="K116" s="852"/>
      <c r="L116" s="852"/>
      <c r="M116" s="852"/>
      <c r="N116" s="852"/>
      <c r="O116" s="852"/>
      <c r="P116" s="852"/>
      <c r="Q116" s="852"/>
      <c r="R116" s="852"/>
      <c r="S116" s="852"/>
      <c r="T116" s="621"/>
      <c r="U116" s="621"/>
      <c r="V116" s="621"/>
      <c r="W116" s="621"/>
      <c r="X116" s="621"/>
      <c r="Y116" s="621"/>
      <c r="Z116" s="621"/>
      <c r="AA116" s="621"/>
      <c r="AB116" s="621"/>
      <c r="AC116" s="621"/>
      <c r="AD116" s="621"/>
      <c r="AE116" s="621"/>
      <c r="AF116" s="621"/>
      <c r="AG116" s="621"/>
      <c r="AH116" s="621"/>
      <c r="AK116" s="330"/>
      <c r="AM116" s="330"/>
      <c r="AO116" s="330"/>
    </row>
    <row r="117" spans="1:52">
      <c r="A117" s="103"/>
      <c r="B117" s="852"/>
      <c r="C117" s="852"/>
      <c r="D117" s="852"/>
      <c r="E117" s="852"/>
      <c r="F117" s="852"/>
      <c r="G117" s="852"/>
      <c r="H117" s="852"/>
      <c r="I117" s="852"/>
      <c r="J117" s="852"/>
      <c r="K117" s="852"/>
      <c r="L117" s="852"/>
      <c r="M117" s="852"/>
      <c r="N117" s="852"/>
      <c r="O117" s="852"/>
      <c r="P117" s="852"/>
      <c r="Q117" s="852"/>
      <c r="R117" s="852"/>
      <c r="S117" s="852"/>
      <c r="T117" s="621"/>
      <c r="U117" s="621"/>
      <c r="V117" s="621"/>
      <c r="W117" s="621"/>
      <c r="X117" s="621"/>
      <c r="Y117" s="621"/>
      <c r="Z117" s="621"/>
      <c r="AA117" s="621"/>
      <c r="AB117" s="621"/>
      <c r="AC117" s="621"/>
      <c r="AD117" s="621"/>
      <c r="AE117" s="621"/>
      <c r="AF117" s="621"/>
      <c r="AG117" s="621"/>
      <c r="AH117" s="621"/>
      <c r="AK117" s="330"/>
      <c r="AM117" s="330"/>
      <c r="AO117" s="330"/>
    </row>
    <row r="118" spans="1:52">
      <c r="A118" s="278" t="s">
        <v>558</v>
      </c>
      <c r="B118" s="1197"/>
      <c r="C118" s="1197"/>
      <c r="D118" s="1197"/>
      <c r="E118" s="1197"/>
      <c r="F118" s="1197"/>
      <c r="G118" s="1197"/>
      <c r="H118" s="1197"/>
      <c r="I118" s="1197"/>
      <c r="J118" s="1197"/>
      <c r="K118" s="1197"/>
      <c r="L118" s="1197"/>
      <c r="M118" s="1197"/>
      <c r="N118" s="1197"/>
      <c r="O118" s="1197"/>
      <c r="P118" s="1197"/>
      <c r="Q118" s="1197"/>
      <c r="R118" s="1197"/>
      <c r="S118" s="1197"/>
      <c r="T118" s="115"/>
      <c r="U118" s="115">
        <f t="shared" ref="U118:Z118" si="138">U96/(U109)</f>
        <v>8500.4187437686905</v>
      </c>
      <c r="V118" s="115">
        <f t="shared" si="138"/>
        <v>4557.6514522821562</v>
      </c>
      <c r="W118" s="115">
        <f t="shared" si="138"/>
        <v>5137.0683144524555</v>
      </c>
      <c r="X118" s="115">
        <f t="shared" si="138"/>
        <v>5058.80149812734</v>
      </c>
      <c r="Y118" s="115">
        <f t="shared" si="138"/>
        <v>5373.5836177474384</v>
      </c>
      <c r="Z118" s="115">
        <f t="shared" si="138"/>
        <v>5597.7553249590383</v>
      </c>
      <c r="AA118" s="115">
        <f t="shared" ref="AA118:AF118" si="139">AA96/(AA109)</f>
        <v>5149.383983572895</v>
      </c>
      <c r="AB118" s="115">
        <f t="shared" si="139"/>
        <v>4659.9813432835817</v>
      </c>
      <c r="AC118" s="115">
        <f t="shared" si="139"/>
        <v>4790.0262467191587</v>
      </c>
      <c r="AD118" s="115">
        <f t="shared" si="139"/>
        <v>4930.2366670260899</v>
      </c>
      <c r="AE118" s="115">
        <f t="shared" si="139"/>
        <v>5063.6952585525287</v>
      </c>
      <c r="AF118" s="115">
        <f t="shared" si="139"/>
        <v>5158.7652675464033</v>
      </c>
      <c r="AG118" s="115">
        <f>AG96/(AG109)</f>
        <v>5181.5407153954275</v>
      </c>
      <c r="AH118" s="115">
        <f>AH96/(AH109)</f>
        <v>5208.8237080162635</v>
      </c>
      <c r="AK118" s="330"/>
      <c r="AM118" s="330"/>
      <c r="AO118" s="330"/>
    </row>
    <row r="119" spans="1:52">
      <c r="A119" s="278" t="s">
        <v>1971</v>
      </c>
      <c r="B119" s="852"/>
      <c r="C119" s="852"/>
      <c r="D119" s="852"/>
      <c r="E119" s="852"/>
      <c r="F119" s="852"/>
      <c r="G119" s="852"/>
      <c r="H119" s="852"/>
      <c r="I119" s="852"/>
      <c r="J119" s="852"/>
      <c r="K119" s="852"/>
      <c r="L119" s="852"/>
      <c r="M119" s="852"/>
      <c r="N119" s="852"/>
      <c r="O119" s="852"/>
      <c r="P119" s="852"/>
      <c r="Q119" s="852"/>
      <c r="R119" s="852"/>
      <c r="S119" s="852"/>
      <c r="T119" s="621"/>
      <c r="U119" s="621"/>
      <c r="V119" s="621"/>
      <c r="W119" s="621"/>
      <c r="X119" s="621"/>
      <c r="Y119" s="621"/>
      <c r="Z119" s="621"/>
      <c r="AA119" s="621"/>
      <c r="AB119" s="621"/>
      <c r="AC119" s="621"/>
      <c r="AD119" s="621"/>
      <c r="AE119" s="621"/>
      <c r="AF119" s="621"/>
      <c r="AG119" s="621"/>
      <c r="AH119" s="621"/>
      <c r="AK119" s="330"/>
      <c r="AM119" s="330"/>
      <c r="AO119" s="330"/>
    </row>
    <row r="120" spans="1:52">
      <c r="A120" s="103"/>
      <c r="B120" s="852"/>
      <c r="C120" s="852"/>
      <c r="D120" s="852"/>
      <c r="E120" s="852"/>
      <c r="F120" s="852"/>
      <c r="G120" s="852"/>
      <c r="H120" s="852"/>
      <c r="I120" s="852"/>
      <c r="J120" s="852"/>
      <c r="K120" s="852"/>
      <c r="L120" s="852"/>
      <c r="M120" s="852"/>
      <c r="N120" s="852"/>
      <c r="O120" s="852"/>
      <c r="P120" s="852"/>
      <c r="Q120" s="852"/>
      <c r="R120" s="852"/>
      <c r="S120" s="852"/>
      <c r="T120" s="621"/>
      <c r="U120" s="621"/>
      <c r="V120" s="621"/>
      <c r="W120" s="621"/>
      <c r="X120" s="621"/>
      <c r="Y120" s="621"/>
      <c r="Z120" s="621"/>
      <c r="AA120" s="621"/>
      <c r="AB120" s="621"/>
      <c r="AC120" s="621"/>
      <c r="AD120" s="621"/>
      <c r="AE120" s="621"/>
      <c r="AF120" s="621"/>
      <c r="AG120" s="621"/>
      <c r="AH120" s="621"/>
      <c r="AK120" s="330"/>
      <c r="AM120" s="330"/>
      <c r="AO120" s="330"/>
    </row>
    <row r="121" spans="1:52">
      <c r="A121" s="278" t="s">
        <v>1980</v>
      </c>
      <c r="B121" s="852"/>
      <c r="C121" s="852"/>
      <c r="D121" s="1198"/>
      <c r="E121" s="1198"/>
      <c r="F121" s="1198"/>
      <c r="G121" s="1198"/>
      <c r="H121" s="1198"/>
      <c r="I121" s="1198"/>
      <c r="J121" s="1198"/>
      <c r="K121" s="1198"/>
      <c r="L121" s="1198"/>
      <c r="M121" s="1198"/>
      <c r="N121" s="1198"/>
      <c r="O121" s="1198"/>
      <c r="P121" s="1198"/>
      <c r="Q121" s="1198"/>
      <c r="R121" s="1198"/>
      <c r="S121" s="1198">
        <f>'segSales&amp;comps'!$S$163*0.01</f>
        <v>0.05</v>
      </c>
      <c r="T121" s="1177">
        <f>'segSales&amp;comps'!S132*0.01</f>
        <v>0</v>
      </c>
      <c r="U121" s="1177">
        <f>'segSales&amp;comps'!$S$177*0.01</f>
        <v>0.08</v>
      </c>
      <c r="V121" s="1177">
        <f>'segSales&amp;comps'!$S$184*0.01</f>
        <v>0.14000000000000001</v>
      </c>
      <c r="W121" s="1177">
        <f>+'segSales&amp;comps'!S191*0.01</f>
        <v>0.26901020945125337</v>
      </c>
      <c r="X121" s="1177">
        <f>+'segSales&amp;comps'!S198*0.01</f>
        <v>0.02</v>
      </c>
      <c r="Y121" s="1177">
        <f>'segSales&amp;comps'!S205/100</f>
        <v>0.11</v>
      </c>
      <c r="Z121" s="1177">
        <f>'segSales&amp;comps'!S212/100</f>
        <v>0.04</v>
      </c>
      <c r="AA121" s="2000">
        <f>'segSales&amp;comps'!S219/100</f>
        <v>0</v>
      </c>
      <c r="AB121" s="2000">
        <f>'segSales&amp;comps'!S226/100</f>
        <v>-7.0000000000000007E-2</v>
      </c>
      <c r="AC121" s="2000">
        <f>'segSales&amp;comps'!S233/100</f>
        <v>-0.02</v>
      </c>
      <c r="AD121" s="2000">
        <f>'segSales&amp;comps'!S240/100</f>
        <v>2.5277625570776258E-2</v>
      </c>
      <c r="AE121" s="945">
        <v>0.02</v>
      </c>
      <c r="AF121" s="945">
        <v>0.02</v>
      </c>
      <c r="AG121" s="945">
        <v>0.02</v>
      </c>
      <c r="AH121" s="945">
        <v>0.02</v>
      </c>
      <c r="AK121" s="330"/>
      <c r="AM121" s="330"/>
      <c r="AO121" s="330"/>
    </row>
    <row r="122" spans="1:52">
      <c r="A122" s="278" t="s">
        <v>1578</v>
      </c>
      <c r="B122" s="852"/>
      <c r="C122" s="852"/>
      <c r="D122" s="1198"/>
      <c r="E122" s="1198"/>
      <c r="F122" s="1198"/>
      <c r="G122" s="1198"/>
      <c r="H122" s="1198"/>
      <c r="I122" s="1198"/>
      <c r="J122" s="1198"/>
      <c r="K122" s="1198"/>
      <c r="L122" s="1198"/>
      <c r="M122" s="1198"/>
      <c r="N122" s="1198"/>
      <c r="O122" s="1198"/>
      <c r="P122" s="1198"/>
      <c r="Q122" s="1198"/>
      <c r="R122" s="1198"/>
      <c r="S122" s="1198">
        <f t="shared" ref="S122:AA122" si="140">S97-S121</f>
        <v>9.1382933781103001E-2</v>
      </c>
      <c r="T122" s="944">
        <f t="shared" si="140"/>
        <v>-0.57471019339181195</v>
      </c>
      <c r="U122" s="944">
        <f t="shared" si="140"/>
        <v>9.4061884630743789E-2</v>
      </c>
      <c r="V122" s="944">
        <f t="shared" si="140"/>
        <v>0.14829967909621466</v>
      </c>
      <c r="W122" s="944">
        <f t="shared" si="140"/>
        <v>9.3367953575857643E-2</v>
      </c>
      <c r="X122" s="944">
        <f t="shared" si="140"/>
        <v>6.313931575725619E-2</v>
      </c>
      <c r="Y122" s="944">
        <f t="shared" si="140"/>
        <v>5.5662249204116429E-2</v>
      </c>
      <c r="Z122" s="944">
        <f t="shared" si="140"/>
        <v>4.4974107524696362E-2</v>
      </c>
      <c r="AA122" s="944">
        <f t="shared" si="140"/>
        <v>-2.1317158219579802E-2</v>
      </c>
      <c r="AB122" s="944">
        <f t="shared" ref="AB122:AG122" si="141">AB97-AB121</f>
        <v>6.6012361678795706E-2</v>
      </c>
      <c r="AC122" s="944">
        <f t="shared" si="141"/>
        <v>0.11598638774897395</v>
      </c>
      <c r="AD122" s="944">
        <f t="shared" si="141"/>
        <v>5.126994254423603E-2</v>
      </c>
      <c r="AE122" s="944">
        <f t="shared" si="141"/>
        <v>6.6133416980342932E-2</v>
      </c>
      <c r="AF122" s="944">
        <f t="shared" si="141"/>
        <v>6.5256080680245368E-2</v>
      </c>
      <c r="AG122" s="944">
        <f t="shared" si="141"/>
        <v>4.5943939112678592E-2</v>
      </c>
      <c r="AH122" s="944">
        <f>AH97-AH121</f>
        <v>4.3291936330243322E-2</v>
      </c>
      <c r="AK122" s="330"/>
      <c r="AM122" s="330"/>
      <c r="AO122" s="330"/>
    </row>
    <row r="123" spans="1:52">
      <c r="A123" s="103"/>
      <c r="B123" s="852"/>
      <c r="C123" s="852"/>
      <c r="D123" s="852"/>
      <c r="E123" s="852"/>
      <c r="F123" s="852"/>
      <c r="G123" s="852"/>
      <c r="H123" s="852"/>
      <c r="I123" s="852"/>
      <c r="J123" s="852"/>
      <c r="K123" s="852"/>
      <c r="L123" s="852"/>
      <c r="M123" s="852"/>
      <c r="N123" s="852"/>
      <c r="O123" s="852"/>
      <c r="P123" s="852"/>
      <c r="Q123" s="852"/>
      <c r="R123" s="852"/>
      <c r="S123" s="852"/>
      <c r="T123" s="621"/>
      <c r="U123" s="621"/>
      <c r="V123" s="621"/>
      <c r="W123" s="621"/>
      <c r="X123" s="621"/>
      <c r="Y123" s="621"/>
      <c r="Z123" s="621"/>
      <c r="AA123" s="621"/>
      <c r="AB123" s="621"/>
      <c r="AC123" s="621"/>
      <c r="AD123" s="621"/>
      <c r="AE123" s="621"/>
      <c r="AF123" s="621"/>
      <c r="AG123" s="621"/>
      <c r="AH123" s="621"/>
      <c r="AK123" s="330"/>
      <c r="AM123" s="330"/>
      <c r="AO123" s="330"/>
    </row>
    <row r="124" spans="1:52">
      <c r="A124" s="278" t="s">
        <v>1916</v>
      </c>
      <c r="B124" s="1196"/>
      <c r="C124" s="1196"/>
      <c r="D124" s="1196"/>
      <c r="E124" s="1196"/>
      <c r="F124" s="1196"/>
      <c r="G124" s="1196"/>
      <c r="H124" s="1196"/>
      <c r="I124" s="1196"/>
      <c r="J124" s="1196"/>
      <c r="K124" s="1196"/>
      <c r="L124" s="1196"/>
      <c r="M124" s="1196"/>
      <c r="N124" s="1196"/>
      <c r="O124" s="1196"/>
      <c r="P124" s="1196"/>
      <c r="Q124" s="1196"/>
      <c r="R124" s="1196"/>
      <c r="S124" s="1196"/>
      <c r="T124" s="583">
        <v>2400</v>
      </c>
      <c r="U124" s="584">
        <f>T124</f>
        <v>2400</v>
      </c>
      <c r="V124" s="584">
        <f>(V112-U112)/(V101-U101)*1000000</f>
        <v>5771.4285714285706</v>
      </c>
      <c r="W124" s="584">
        <f>(W112-V112)/(W101-V101)*1000000</f>
        <v>1414.2857142857131</v>
      </c>
      <c r="X124" s="2002">
        <v>2400</v>
      </c>
      <c r="Y124" s="2002">
        <f>X124</f>
        <v>2400</v>
      </c>
      <c r="Z124" s="2002">
        <v>2600</v>
      </c>
      <c r="AA124" s="2044">
        <f t="shared" ref="AA124:AH124" si="142">Z124</f>
        <v>2600</v>
      </c>
      <c r="AB124" s="2002">
        <v>4600</v>
      </c>
      <c r="AC124" s="2002">
        <v>5000</v>
      </c>
      <c r="AD124" s="2002">
        <v>5500</v>
      </c>
      <c r="AE124" s="2002">
        <f t="shared" si="142"/>
        <v>5500</v>
      </c>
      <c r="AF124" s="2002">
        <f t="shared" si="142"/>
        <v>5500</v>
      </c>
      <c r="AG124" s="2002">
        <f t="shared" si="142"/>
        <v>5500</v>
      </c>
      <c r="AH124" s="2002">
        <f t="shared" si="142"/>
        <v>5500</v>
      </c>
      <c r="AK124" s="330"/>
      <c r="AM124" s="330"/>
      <c r="AO124" s="330"/>
    </row>
    <row r="125" spans="1:52">
      <c r="A125" s="103"/>
      <c r="P125" s="621"/>
      <c r="Q125" s="621"/>
      <c r="R125" s="621"/>
      <c r="S125" s="621"/>
      <c r="T125" s="621"/>
      <c r="U125" s="621"/>
      <c r="V125" s="621"/>
      <c r="W125" s="621"/>
      <c r="X125" s="621"/>
      <c r="Y125" s="621"/>
      <c r="Z125" s="621"/>
      <c r="AA125" s="621"/>
      <c r="AB125" s="621"/>
      <c r="AC125" s="621"/>
      <c r="AD125" s="621"/>
      <c r="AE125" s="621"/>
      <c r="AF125" s="621"/>
      <c r="AG125" s="621"/>
      <c r="AH125" s="621"/>
      <c r="AK125" s="330"/>
      <c r="AM125" s="330"/>
      <c r="AO125" s="330"/>
    </row>
    <row r="126" spans="1:52">
      <c r="A126" s="278" t="s">
        <v>1981</v>
      </c>
      <c r="C126" s="264"/>
      <c r="D126" s="264"/>
      <c r="E126" s="264"/>
      <c r="F126" s="264"/>
      <c r="G126" s="264"/>
      <c r="H126" s="264"/>
      <c r="I126" s="264"/>
      <c r="J126" s="264"/>
      <c r="K126" s="264"/>
      <c r="L126" s="264"/>
      <c r="M126" s="264"/>
      <c r="N126" s="264"/>
      <c r="O126" s="264"/>
      <c r="P126" s="902"/>
      <c r="Q126" s="902"/>
      <c r="R126" s="902"/>
      <c r="S126" s="902"/>
      <c r="T126" s="902"/>
      <c r="U126" s="902"/>
      <c r="V126" s="902">
        <f t="shared" ref="V126:AD126" si="143">(V97-V121)/V110</f>
        <v>0.10571753954051409</v>
      </c>
      <c r="W126" s="902">
        <f t="shared" si="143"/>
        <v>0.44734943959804618</v>
      </c>
      <c r="X126" s="902">
        <f t="shared" si="143"/>
        <v>0.63204407835356458</v>
      </c>
      <c r="Y126" s="902">
        <f t="shared" si="143"/>
        <v>0.57160848221150196</v>
      </c>
      <c r="Z126" s="902">
        <f t="shared" si="143"/>
        <v>1.0830750825810462</v>
      </c>
      <c r="AA126" s="902">
        <f t="shared" si="143"/>
        <v>-0.33360441623974973</v>
      </c>
      <c r="AB126" s="902">
        <f t="shared" si="143"/>
        <v>0.65608204362394851</v>
      </c>
      <c r="AC126" s="902">
        <f t="shared" si="143"/>
        <v>1.7512310938999993</v>
      </c>
      <c r="AD126" s="902">
        <f t="shared" si="143"/>
        <v>1.1162198919630817</v>
      </c>
      <c r="AE126" s="1615">
        <v>1.1499999999999999</v>
      </c>
      <c r="AF126" s="1615">
        <v>1</v>
      </c>
      <c r="AG126" s="1615">
        <v>0.75</v>
      </c>
      <c r="AH126" s="1615">
        <v>0.75</v>
      </c>
      <c r="AI126" s="264"/>
      <c r="AK126" s="330"/>
      <c r="AM126" s="330"/>
      <c r="AO126" s="330"/>
    </row>
    <row r="127" spans="1:52">
      <c r="A127" s="131"/>
      <c r="P127" s="621"/>
      <c r="Q127" s="621"/>
      <c r="R127" s="621"/>
      <c r="S127" s="621"/>
      <c r="T127" s="621"/>
      <c r="U127" s="621"/>
      <c r="V127" s="621"/>
      <c r="W127" s="1275"/>
      <c r="X127" s="621"/>
      <c r="Y127" s="621"/>
      <c r="Z127" s="621"/>
      <c r="AA127" s="621"/>
      <c r="AB127" s="621"/>
      <c r="AC127" s="621"/>
      <c r="AD127" s="621"/>
      <c r="AE127" s="621"/>
      <c r="AF127" s="621"/>
      <c r="AG127" s="621"/>
      <c r="AH127" s="621"/>
      <c r="AK127" s="330"/>
      <c r="AM127" s="330"/>
      <c r="AO127" s="330"/>
    </row>
    <row r="128" spans="1:52">
      <c r="A128" s="225"/>
      <c r="B128" s="186"/>
      <c r="C128" s="186"/>
      <c r="D128" s="186"/>
      <c r="E128" s="186"/>
      <c r="F128" s="186"/>
      <c r="G128" s="186"/>
      <c r="H128" s="186"/>
      <c r="I128" s="186"/>
      <c r="J128" s="186"/>
      <c r="K128" s="186"/>
      <c r="L128" s="186"/>
      <c r="M128" s="186"/>
      <c r="N128" s="186"/>
      <c r="O128" s="186"/>
      <c r="P128" s="639"/>
      <c r="Q128" s="639"/>
      <c r="R128" s="639"/>
      <c r="S128" s="639"/>
      <c r="T128" s="639"/>
      <c r="U128" s="639"/>
      <c r="V128" s="639"/>
      <c r="W128" s="639"/>
      <c r="X128" s="639"/>
      <c r="Y128" s="639"/>
      <c r="Z128" s="639"/>
      <c r="AA128" s="639"/>
      <c r="AB128" s="639"/>
      <c r="AC128" s="639"/>
      <c r="AD128" s="639"/>
      <c r="AE128" s="639"/>
      <c r="AF128" s="639"/>
      <c r="AG128" s="639"/>
      <c r="AH128" s="639"/>
      <c r="AI128" s="186"/>
      <c r="AJ128" s="186"/>
      <c r="AK128" s="340"/>
      <c r="AL128" s="186"/>
      <c r="AM128" s="340"/>
      <c r="AN128" s="186"/>
      <c r="AO128" s="340"/>
      <c r="AP128" s="186"/>
      <c r="AQ128" s="186"/>
      <c r="AR128" s="186"/>
      <c r="AS128" s="186"/>
      <c r="AT128" s="186"/>
      <c r="AU128" s="186"/>
      <c r="AV128" s="186"/>
      <c r="AW128" s="186"/>
      <c r="AX128" s="186"/>
      <c r="AY128" s="186"/>
      <c r="AZ128" s="186"/>
    </row>
    <row r="129" spans="1:52">
      <c r="A129" s="851" t="s">
        <v>165</v>
      </c>
      <c r="B129" s="852"/>
      <c r="C129" s="852"/>
      <c r="D129" s="852"/>
      <c r="E129" s="852"/>
      <c r="F129" s="852"/>
      <c r="G129" s="852"/>
      <c r="H129" s="852"/>
      <c r="I129" s="852"/>
      <c r="J129" s="852"/>
      <c r="K129" s="852"/>
      <c r="L129" s="852"/>
      <c r="M129" s="852"/>
      <c r="N129" s="852"/>
      <c r="O129" s="852"/>
      <c r="P129" s="852"/>
      <c r="Q129" s="852"/>
      <c r="R129" s="852"/>
      <c r="S129" s="852"/>
      <c r="T129" s="852"/>
      <c r="U129" s="852"/>
      <c r="V129" s="852"/>
      <c r="W129" s="852"/>
      <c r="X129" s="852"/>
      <c r="Y129" s="852"/>
      <c r="Z129" s="852"/>
      <c r="AA129" s="852"/>
      <c r="AB129" s="852"/>
      <c r="AC129" s="852"/>
      <c r="AD129" s="852"/>
      <c r="AE129" s="852"/>
      <c r="AF129" s="852"/>
      <c r="AG129" s="852"/>
      <c r="AH129" s="852"/>
      <c r="AI129" s="852"/>
      <c r="AJ129" s="852"/>
      <c r="AK129" s="853"/>
      <c r="AL129" s="852"/>
      <c r="AM129" s="853"/>
      <c r="AN129" s="852"/>
      <c r="AO129" s="853"/>
      <c r="AP129" s="852"/>
      <c r="AQ129" s="852"/>
      <c r="AR129" s="852"/>
      <c r="AS129" s="852"/>
      <c r="AT129" s="852"/>
      <c r="AU129" s="852"/>
      <c r="AV129" s="852"/>
      <c r="AW129" s="852"/>
      <c r="AX129" s="852"/>
      <c r="AY129" s="852"/>
      <c r="AZ129" s="852"/>
    </row>
    <row r="130" spans="1:52">
      <c r="A130" s="854" t="str">
        <f>+$A$2</f>
        <v>Annual Sales Model, Fiscal 2001-2014E</v>
      </c>
      <c r="B130" s="855"/>
      <c r="C130" s="855"/>
      <c r="D130" s="855"/>
      <c r="E130" s="855"/>
      <c r="F130" s="855"/>
      <c r="G130" s="855"/>
      <c r="H130" s="855"/>
      <c r="I130" s="855"/>
      <c r="J130" s="855"/>
      <c r="K130" s="855"/>
      <c r="L130" s="855"/>
      <c r="M130" s="855"/>
      <c r="N130" s="855"/>
      <c r="O130" s="855"/>
      <c r="P130" s="855"/>
      <c r="Q130" s="855"/>
      <c r="R130" s="855"/>
      <c r="S130" s="855"/>
      <c r="T130" s="855"/>
      <c r="U130" s="855"/>
      <c r="V130" s="855"/>
      <c r="W130" s="855"/>
      <c r="X130" s="855"/>
      <c r="Y130" s="855"/>
      <c r="Z130" s="855"/>
      <c r="AA130" s="855"/>
      <c r="AB130" s="855"/>
      <c r="AC130" s="855"/>
      <c r="AD130" s="855"/>
      <c r="AE130" s="855"/>
      <c r="AF130" s="855"/>
      <c r="AG130" s="855"/>
      <c r="AH130" s="855"/>
      <c r="AI130" s="855"/>
      <c r="AJ130" s="855"/>
      <c r="AK130" s="856"/>
      <c r="AL130" s="855"/>
      <c r="AM130" s="856"/>
      <c r="AN130" s="855"/>
      <c r="AO130" s="856"/>
      <c r="AP130" s="855"/>
      <c r="AQ130" s="855"/>
      <c r="AR130" s="855"/>
      <c r="AS130" s="855"/>
      <c r="AT130" s="855"/>
      <c r="AU130" s="855"/>
      <c r="AV130" s="855"/>
      <c r="AW130" s="855"/>
      <c r="AX130" s="855"/>
      <c r="AY130" s="855"/>
      <c r="AZ130" s="855"/>
    </row>
    <row r="131" spans="1:52">
      <c r="A131" s="131"/>
      <c r="AH131" s="2317"/>
      <c r="AK131" s="330"/>
      <c r="AM131" s="330"/>
      <c r="AO131" s="330"/>
      <c r="AP131" s="868"/>
    </row>
    <row r="132" spans="1:52">
      <c r="A132" s="131"/>
      <c r="B132" s="158">
        <f t="shared" ref="B132:AH132" si="144">+B$5</f>
        <v>1990</v>
      </c>
      <c r="C132" s="158">
        <f t="shared" si="144"/>
        <v>1991</v>
      </c>
      <c r="D132" s="158">
        <f t="shared" si="144"/>
        <v>1992</v>
      </c>
      <c r="E132" s="158">
        <f t="shared" si="144"/>
        <v>1993</v>
      </c>
      <c r="F132" s="158">
        <f t="shared" si="144"/>
        <v>1994</v>
      </c>
      <c r="G132" s="158">
        <f t="shared" si="144"/>
        <v>1995</v>
      </c>
      <c r="H132" s="158">
        <f t="shared" si="144"/>
        <v>1996</v>
      </c>
      <c r="I132" s="158">
        <f t="shared" si="144"/>
        <v>1997</v>
      </c>
      <c r="J132" s="158">
        <f t="shared" si="144"/>
        <v>1998</v>
      </c>
      <c r="K132" s="158">
        <f t="shared" si="144"/>
        <v>1999</v>
      </c>
      <c r="L132" s="158">
        <f t="shared" si="144"/>
        <v>2000</v>
      </c>
      <c r="M132" s="158">
        <f t="shared" si="144"/>
        <v>2001</v>
      </c>
      <c r="N132" s="158">
        <f t="shared" si="144"/>
        <v>2002</v>
      </c>
      <c r="O132" s="158">
        <f t="shared" si="144"/>
        <v>2003</v>
      </c>
      <c r="P132" s="158">
        <f t="shared" si="144"/>
        <v>2004</v>
      </c>
      <c r="Q132" s="158">
        <f t="shared" si="144"/>
        <v>2005</v>
      </c>
      <c r="R132" s="158">
        <f t="shared" si="144"/>
        <v>2006</v>
      </c>
      <c r="S132" s="158">
        <f t="shared" si="144"/>
        <v>2007</v>
      </c>
      <c r="T132" s="158">
        <f t="shared" si="144"/>
        <v>2008</v>
      </c>
      <c r="U132" s="158">
        <f t="shared" si="144"/>
        <v>2009</v>
      </c>
      <c r="V132" s="158">
        <f t="shared" si="144"/>
        <v>2010</v>
      </c>
      <c r="W132" s="158">
        <f t="shared" si="144"/>
        <v>2011</v>
      </c>
      <c r="X132" s="158">
        <f t="shared" si="144"/>
        <v>2012</v>
      </c>
      <c r="Y132" s="158">
        <f t="shared" si="144"/>
        <v>2013</v>
      </c>
      <c r="Z132" s="158">
        <f t="shared" si="144"/>
        <v>2014</v>
      </c>
      <c r="AA132" s="158">
        <f t="shared" si="144"/>
        <v>2015</v>
      </c>
      <c r="AB132" s="158">
        <f t="shared" si="144"/>
        <v>2016</v>
      </c>
      <c r="AC132" s="158">
        <f t="shared" si="144"/>
        <v>2017</v>
      </c>
      <c r="AD132" s="160">
        <f t="shared" si="144"/>
        <v>2018</v>
      </c>
      <c r="AE132" s="160">
        <f t="shared" si="144"/>
        <v>2019</v>
      </c>
      <c r="AF132" s="160">
        <f t="shared" si="144"/>
        <v>2020</v>
      </c>
      <c r="AG132" s="160">
        <f t="shared" si="144"/>
        <v>2021</v>
      </c>
      <c r="AH132" s="160">
        <f t="shared" si="144"/>
        <v>2022</v>
      </c>
      <c r="AK132" s="330"/>
      <c r="AM132" s="330"/>
      <c r="AO132" s="330"/>
    </row>
    <row r="133" spans="1:52">
      <c r="A133" s="131"/>
      <c r="AH133" s="2317"/>
      <c r="AK133" s="330"/>
      <c r="AM133" s="330"/>
      <c r="AO133" s="330"/>
    </row>
    <row r="134" spans="1:52">
      <c r="A134" s="278" t="s">
        <v>816</v>
      </c>
      <c r="B134" s="852"/>
      <c r="C134" s="1183"/>
      <c r="D134" s="1183"/>
      <c r="E134" s="1183"/>
      <c r="F134" s="1183"/>
      <c r="G134" s="1183"/>
      <c r="H134" s="1184"/>
      <c r="I134" s="1184"/>
      <c r="J134" s="1184"/>
      <c r="K134" s="1184"/>
      <c r="L134" s="1197"/>
      <c r="M134" s="1197"/>
      <c r="N134" s="1197"/>
      <c r="O134" s="1197"/>
      <c r="P134" s="1197"/>
      <c r="Q134" s="1197"/>
      <c r="R134" s="1197">
        <f>'segSales&amp;comps'!$Q$156</f>
        <v>748.00399999999991</v>
      </c>
      <c r="S134" s="1197">
        <f>'segSales&amp;comps'!$Q$163</f>
        <v>853.75900000000001</v>
      </c>
      <c r="T134" s="115">
        <f>'segSales&amp;comps'!$W$170</f>
        <v>533.47399999999993</v>
      </c>
      <c r="U134" s="115">
        <f>'segSales&amp;comps'!$W$177</f>
        <v>512.98900000000003</v>
      </c>
      <c r="V134" s="115">
        <f>'segSales&amp;comps'!$W$184</f>
        <v>546.53700000000003</v>
      </c>
      <c r="W134" s="115">
        <f>+'segSales&amp;comps'!W191</f>
        <v>616.505</v>
      </c>
      <c r="X134" s="115">
        <f>+'segSales&amp;comps'!W198</f>
        <v>639.18499999999995</v>
      </c>
      <c r="Y134" s="115">
        <f>'segSales&amp;comps'!W205</f>
        <v>578.57100000000003</v>
      </c>
      <c r="Z134" s="115">
        <f>'segSales&amp;comps'!W212</f>
        <v>554.279</v>
      </c>
      <c r="AA134" s="115">
        <f>'segSales&amp;comps'!W219</f>
        <v>541.29999999999995</v>
      </c>
      <c r="AB134" s="115">
        <f>'segSales&amp;comps'!W226</f>
        <v>604.40000000000009</v>
      </c>
      <c r="AC134" s="115">
        <f>'segSales&amp;comps'!W233</f>
        <v>596.30000000000007</v>
      </c>
      <c r="AD134" s="115">
        <f>'segSales&amp;comps'!W240</f>
        <v>602.89099999999996</v>
      </c>
      <c r="AE134" s="115">
        <f>(AD134*(1+AE159+AE160))</f>
        <v>614.94881999999996</v>
      </c>
      <c r="AF134" s="115">
        <f>(AE134*(1+AF159+AF160))</f>
        <v>627.24779639999997</v>
      </c>
      <c r="AG134" s="115">
        <f>(AF134*(1+AG159+AG160))</f>
        <v>646.06523029200002</v>
      </c>
      <c r="AH134" s="115">
        <f>(AG134*(1+AH159+AH160))</f>
        <v>665.44718720076003</v>
      </c>
      <c r="AK134" s="330"/>
      <c r="AM134" s="330"/>
      <c r="AO134" s="330"/>
    </row>
    <row r="135" spans="1:52">
      <c r="A135" s="278" t="s">
        <v>1971</v>
      </c>
      <c r="B135" s="852"/>
      <c r="C135" s="852"/>
      <c r="D135" s="1186"/>
      <c r="E135" s="1186"/>
      <c r="F135" s="1186"/>
      <c r="G135" s="1186"/>
      <c r="H135" s="1186"/>
      <c r="I135" s="1186"/>
      <c r="J135" s="1186"/>
      <c r="K135" s="1186"/>
      <c r="L135" s="1186"/>
      <c r="M135" s="1186"/>
      <c r="N135" s="1186"/>
      <c r="O135" s="1186"/>
      <c r="P135" s="1186"/>
      <c r="Q135" s="1186"/>
      <c r="R135" s="1186"/>
      <c r="S135" s="1186">
        <f t="shared" ref="S135:AA135" si="145">S134/R134-1</f>
        <v>0.141382933781103</v>
      </c>
      <c r="T135" s="108">
        <f t="shared" si="145"/>
        <v>-0.37514685057492814</v>
      </c>
      <c r="U135" s="108">
        <f t="shared" si="145"/>
        <v>-3.8399247198551145E-2</v>
      </c>
      <c r="V135" s="108">
        <f t="shared" si="145"/>
        <v>6.5397113778268068E-2</v>
      </c>
      <c r="W135" s="108">
        <f t="shared" si="145"/>
        <v>0.1280206097665848</v>
      </c>
      <c r="X135" s="108">
        <f t="shared" si="145"/>
        <v>3.6788022805978704E-2</v>
      </c>
      <c r="Y135" s="108">
        <f t="shared" si="145"/>
        <v>-9.4830135250357772E-2</v>
      </c>
      <c r="Z135" s="108">
        <f t="shared" si="145"/>
        <v>-4.1986203940397981E-2</v>
      </c>
      <c r="AA135" s="108">
        <f t="shared" si="145"/>
        <v>-2.3416005296971409E-2</v>
      </c>
      <c r="AB135" s="108">
        <f t="shared" ref="AB135:AH135" si="146">AB134/AA134-1</f>
        <v>0.11657121743949772</v>
      </c>
      <c r="AC135" s="108">
        <f t="shared" si="146"/>
        <v>-1.3401720714758425E-2</v>
      </c>
      <c r="AD135" s="108">
        <f t="shared" si="146"/>
        <v>1.10531611604896E-2</v>
      </c>
      <c r="AE135" s="108">
        <f t="shared" si="146"/>
        <v>2.0000000000000018E-2</v>
      </c>
      <c r="AF135" s="108">
        <f t="shared" si="146"/>
        <v>2.0000000000000018E-2</v>
      </c>
      <c r="AG135" s="108">
        <f t="shared" si="146"/>
        <v>3.0000000000000027E-2</v>
      </c>
      <c r="AH135" s="108">
        <f t="shared" si="146"/>
        <v>3.0000000000000027E-2</v>
      </c>
      <c r="AI135" s="108">
        <f>AI134/AE134-1</f>
        <v>-1</v>
      </c>
      <c r="AK135" s="330"/>
      <c r="AM135" s="330"/>
      <c r="AO135" s="330"/>
    </row>
    <row r="136" spans="1:52">
      <c r="A136" s="131"/>
      <c r="B136" s="852"/>
      <c r="C136" s="852"/>
      <c r="D136" s="852"/>
      <c r="E136" s="852"/>
      <c r="F136" s="852"/>
      <c r="G136" s="852"/>
      <c r="H136" s="852"/>
      <c r="I136" s="852"/>
      <c r="J136" s="852"/>
      <c r="K136" s="852"/>
      <c r="L136" s="852"/>
      <c r="M136" s="852"/>
      <c r="N136" s="852"/>
      <c r="O136" s="852"/>
      <c r="P136" s="852"/>
      <c r="Q136" s="852"/>
      <c r="R136" s="852"/>
      <c r="S136" s="852"/>
      <c r="T136" s="621"/>
      <c r="U136" s="630"/>
      <c r="V136" s="630"/>
      <c r="W136" s="630"/>
      <c r="X136" s="630"/>
      <c r="Y136" s="630"/>
      <c r="Z136" s="630"/>
      <c r="AA136" s="630"/>
      <c r="AB136" s="630"/>
      <c r="AC136" s="630"/>
      <c r="AD136" s="630"/>
      <c r="AE136" s="630"/>
      <c r="AF136" s="630"/>
      <c r="AG136" s="630"/>
      <c r="AH136" s="630"/>
      <c r="AK136" s="330"/>
      <c r="AM136" s="330"/>
      <c r="AO136" s="330"/>
    </row>
    <row r="137" spans="1:52">
      <c r="A137" s="110" t="s">
        <v>1972</v>
      </c>
      <c r="B137" s="940">
        <f t="shared" ref="B137:S137" si="147">B289</f>
        <v>0</v>
      </c>
      <c r="C137" s="940">
        <f t="shared" si="147"/>
        <v>0</v>
      </c>
      <c r="D137" s="940">
        <f t="shared" si="147"/>
        <v>0</v>
      </c>
      <c r="E137" s="940">
        <f t="shared" si="147"/>
        <v>7</v>
      </c>
      <c r="F137" s="940">
        <f t="shared" si="147"/>
        <v>37</v>
      </c>
      <c r="G137" s="940">
        <f t="shared" si="147"/>
        <v>37</v>
      </c>
      <c r="H137" s="940">
        <f t="shared" si="147"/>
        <v>38</v>
      </c>
      <c r="I137" s="940">
        <f t="shared" si="147"/>
        <v>39</v>
      </c>
      <c r="J137" s="940">
        <f t="shared" si="147"/>
        <v>42</v>
      </c>
      <c r="K137" s="940">
        <f t="shared" si="147"/>
        <v>44</v>
      </c>
      <c r="L137" s="940">
        <f t="shared" si="147"/>
        <v>44</v>
      </c>
      <c r="M137" s="940">
        <f t="shared" si="147"/>
        <v>44</v>
      </c>
      <c r="N137" s="940">
        <f t="shared" si="147"/>
        <v>47</v>
      </c>
      <c r="O137" s="940">
        <f t="shared" si="147"/>
        <v>48</v>
      </c>
      <c r="P137" s="940">
        <f t="shared" si="147"/>
        <v>50</v>
      </c>
      <c r="Q137" s="940">
        <f t="shared" si="147"/>
        <v>53</v>
      </c>
      <c r="R137" s="940">
        <f t="shared" si="147"/>
        <v>50</v>
      </c>
      <c r="S137" s="940">
        <f t="shared" si="147"/>
        <v>52</v>
      </c>
      <c r="T137" s="727">
        <f>T289</f>
        <v>53</v>
      </c>
      <c r="U137" s="727">
        <f t="shared" ref="U137:AA137" si="148">T139</f>
        <v>57</v>
      </c>
      <c r="V137" s="727">
        <f t="shared" si="148"/>
        <v>57</v>
      </c>
      <c r="W137" s="727">
        <f t="shared" si="148"/>
        <v>56</v>
      </c>
      <c r="X137" s="727">
        <f t="shared" si="148"/>
        <v>55</v>
      </c>
      <c r="Y137" s="727">
        <f t="shared" si="148"/>
        <v>55</v>
      </c>
      <c r="Z137" s="727">
        <f t="shared" si="148"/>
        <v>54</v>
      </c>
      <c r="AA137" s="727">
        <f t="shared" si="148"/>
        <v>56</v>
      </c>
      <c r="AB137" s="727">
        <f t="shared" ref="AB137:AH137" si="149">AA139</f>
        <v>56</v>
      </c>
      <c r="AC137" s="727">
        <f t="shared" si="149"/>
        <v>55</v>
      </c>
      <c r="AD137" s="727">
        <f t="shared" si="149"/>
        <v>54</v>
      </c>
      <c r="AE137" s="727">
        <f t="shared" si="149"/>
        <v>55</v>
      </c>
      <c r="AF137" s="727">
        <f t="shared" si="149"/>
        <v>55</v>
      </c>
      <c r="AG137" s="727">
        <f t="shared" si="149"/>
        <v>55</v>
      </c>
      <c r="AH137" s="727">
        <f t="shared" si="149"/>
        <v>55</v>
      </c>
      <c r="AK137" s="330"/>
      <c r="AM137" s="330"/>
      <c r="AO137" s="330"/>
    </row>
    <row r="138" spans="1:52">
      <c r="A138" s="726" t="s">
        <v>556</v>
      </c>
      <c r="B138" s="1483">
        <f t="shared" ref="B138:S138" si="150">B296</f>
        <v>0</v>
      </c>
      <c r="C138" s="1483">
        <f t="shared" si="150"/>
        <v>0</v>
      </c>
      <c r="D138" s="1483">
        <f t="shared" si="150"/>
        <v>7</v>
      </c>
      <c r="E138" s="1483">
        <f t="shared" si="150"/>
        <v>30</v>
      </c>
      <c r="F138" s="1483">
        <f t="shared" si="150"/>
        <v>0</v>
      </c>
      <c r="G138" s="1483">
        <f t="shared" si="150"/>
        <v>1</v>
      </c>
      <c r="H138" s="1483">
        <f t="shared" si="150"/>
        <v>1</v>
      </c>
      <c r="I138" s="1483">
        <f t="shared" si="150"/>
        <v>3</v>
      </c>
      <c r="J138" s="1483">
        <f t="shared" si="150"/>
        <v>2</v>
      </c>
      <c r="K138" s="1483">
        <f t="shared" si="150"/>
        <v>0</v>
      </c>
      <c r="L138" s="1483">
        <f t="shared" si="150"/>
        <v>0</v>
      </c>
      <c r="M138" s="1483">
        <f t="shared" si="150"/>
        <v>3</v>
      </c>
      <c r="N138" s="1483">
        <f t="shared" si="150"/>
        <v>1</v>
      </c>
      <c r="O138" s="1483">
        <f t="shared" si="150"/>
        <v>2</v>
      </c>
      <c r="P138" s="1483">
        <f t="shared" si="150"/>
        <v>3</v>
      </c>
      <c r="Q138" s="1483">
        <f t="shared" si="150"/>
        <v>-3</v>
      </c>
      <c r="R138" s="1483">
        <f t="shared" si="150"/>
        <v>2</v>
      </c>
      <c r="S138" s="1483">
        <f t="shared" si="150"/>
        <v>1</v>
      </c>
      <c r="T138" s="729">
        <f>T296</f>
        <v>4</v>
      </c>
      <c r="U138" s="729">
        <f>Stores!V251</f>
        <v>0</v>
      </c>
      <c r="V138" s="729">
        <f>Stores!V258</f>
        <v>-1</v>
      </c>
      <c r="W138" s="729">
        <f>+Stores!V265</f>
        <v>-1</v>
      </c>
      <c r="X138" s="729">
        <f>+Stores!V272</f>
        <v>0</v>
      </c>
      <c r="Y138" s="867">
        <f>Stores!V279</f>
        <v>-1</v>
      </c>
      <c r="Z138" s="867">
        <f>Stores!V286</f>
        <v>2</v>
      </c>
      <c r="AA138" s="2001">
        <f>Stores!V293</f>
        <v>0</v>
      </c>
      <c r="AB138" s="2001">
        <f>Stores!V300</f>
        <v>-1</v>
      </c>
      <c r="AC138" s="2001">
        <f>Stores!V307</f>
        <v>-1</v>
      </c>
      <c r="AD138" s="2001">
        <f>Stores!V314</f>
        <v>1</v>
      </c>
      <c r="AE138" s="1520">
        <v>0</v>
      </c>
      <c r="AF138" s="1520">
        <v>0</v>
      </c>
      <c r="AG138" s="1520">
        <v>0</v>
      </c>
      <c r="AH138" s="1520">
        <v>0</v>
      </c>
      <c r="AK138" s="330"/>
      <c r="AM138" s="330"/>
      <c r="AO138" s="330"/>
    </row>
    <row r="139" spans="1:52">
      <c r="A139" s="110" t="s">
        <v>1973</v>
      </c>
      <c r="B139" s="940">
        <f t="shared" ref="B139:AA139" si="151">+B137+B138</f>
        <v>0</v>
      </c>
      <c r="C139" s="940">
        <f t="shared" si="151"/>
        <v>0</v>
      </c>
      <c r="D139" s="940">
        <f t="shared" si="151"/>
        <v>7</v>
      </c>
      <c r="E139" s="940">
        <f t="shared" si="151"/>
        <v>37</v>
      </c>
      <c r="F139" s="940">
        <f t="shared" si="151"/>
        <v>37</v>
      </c>
      <c r="G139" s="940">
        <f t="shared" si="151"/>
        <v>38</v>
      </c>
      <c r="H139" s="940">
        <f t="shared" si="151"/>
        <v>39</v>
      </c>
      <c r="I139" s="940">
        <f t="shared" si="151"/>
        <v>42</v>
      </c>
      <c r="J139" s="940">
        <f t="shared" si="151"/>
        <v>44</v>
      </c>
      <c r="K139" s="940">
        <f t="shared" si="151"/>
        <v>44</v>
      </c>
      <c r="L139" s="940">
        <f t="shared" si="151"/>
        <v>44</v>
      </c>
      <c r="M139" s="940">
        <f t="shared" si="151"/>
        <v>47</v>
      </c>
      <c r="N139" s="940">
        <f t="shared" si="151"/>
        <v>48</v>
      </c>
      <c r="O139" s="940">
        <f t="shared" si="151"/>
        <v>50</v>
      </c>
      <c r="P139" s="940">
        <f t="shared" si="151"/>
        <v>53</v>
      </c>
      <c r="Q139" s="940">
        <f t="shared" si="151"/>
        <v>50</v>
      </c>
      <c r="R139" s="940">
        <f t="shared" si="151"/>
        <v>52</v>
      </c>
      <c r="S139" s="940">
        <f t="shared" si="151"/>
        <v>53</v>
      </c>
      <c r="T139" s="940">
        <f t="shared" si="151"/>
        <v>57</v>
      </c>
      <c r="U139" s="940">
        <f t="shared" si="151"/>
        <v>57</v>
      </c>
      <c r="V139" s="940">
        <f t="shared" si="151"/>
        <v>56</v>
      </c>
      <c r="W139" s="940">
        <f t="shared" si="151"/>
        <v>55</v>
      </c>
      <c r="X139" s="940">
        <f t="shared" si="151"/>
        <v>55</v>
      </c>
      <c r="Y139" s="940">
        <f t="shared" si="151"/>
        <v>54</v>
      </c>
      <c r="Z139" s="940">
        <f t="shared" si="151"/>
        <v>56</v>
      </c>
      <c r="AA139" s="940">
        <f t="shared" si="151"/>
        <v>56</v>
      </c>
      <c r="AB139" s="940">
        <f t="shared" ref="AB139:AG139" si="152">+AB137+AB138</f>
        <v>55</v>
      </c>
      <c r="AC139" s="940">
        <f t="shared" si="152"/>
        <v>54</v>
      </c>
      <c r="AD139" s="940">
        <f t="shared" si="152"/>
        <v>55</v>
      </c>
      <c r="AE139" s="940">
        <f t="shared" si="152"/>
        <v>55</v>
      </c>
      <c r="AF139" s="940">
        <f t="shared" si="152"/>
        <v>55</v>
      </c>
      <c r="AG139" s="940">
        <f t="shared" si="152"/>
        <v>55</v>
      </c>
      <c r="AH139" s="940">
        <f>+AH137+AH138</f>
        <v>55</v>
      </c>
      <c r="AI139" s="621"/>
      <c r="AJ139" s="621"/>
      <c r="AK139" s="405"/>
      <c r="AL139" s="621"/>
      <c r="AM139" s="405"/>
      <c r="AN139" s="621"/>
      <c r="AO139" s="405"/>
      <c r="AP139" s="940"/>
      <c r="AQ139" s="621"/>
      <c r="AR139" s="621"/>
      <c r="AS139" s="621"/>
      <c r="AT139" s="621"/>
      <c r="AU139" s="621"/>
      <c r="AV139" s="621"/>
      <c r="AW139" s="621"/>
      <c r="AX139" s="621"/>
      <c r="AY139" s="621"/>
      <c r="AZ139" s="621"/>
    </row>
    <row r="140" spans="1:52">
      <c r="A140" s="278" t="s">
        <v>1974</v>
      </c>
      <c r="B140" s="940">
        <f>AVERAGE(B137,B139)</f>
        <v>0</v>
      </c>
      <c r="C140" s="940">
        <f t="shared" ref="C140:AA140" si="153">AVERAGE(B139:C139)</f>
        <v>0</v>
      </c>
      <c r="D140" s="940">
        <f t="shared" si="153"/>
        <v>3.5</v>
      </c>
      <c r="E140" s="940">
        <f t="shared" si="153"/>
        <v>22</v>
      </c>
      <c r="F140" s="940">
        <f t="shared" si="153"/>
        <v>37</v>
      </c>
      <c r="G140" s="940">
        <f t="shared" si="153"/>
        <v>37.5</v>
      </c>
      <c r="H140" s="940">
        <f t="shared" si="153"/>
        <v>38.5</v>
      </c>
      <c r="I140" s="940">
        <f t="shared" si="153"/>
        <v>40.5</v>
      </c>
      <c r="J140" s="940">
        <f t="shared" si="153"/>
        <v>43</v>
      </c>
      <c r="K140" s="940">
        <f t="shared" si="153"/>
        <v>44</v>
      </c>
      <c r="L140" s="940">
        <f t="shared" si="153"/>
        <v>44</v>
      </c>
      <c r="M140" s="940">
        <f t="shared" si="153"/>
        <v>45.5</v>
      </c>
      <c r="N140" s="940">
        <f t="shared" si="153"/>
        <v>47.5</v>
      </c>
      <c r="O140" s="940">
        <f t="shared" si="153"/>
        <v>49</v>
      </c>
      <c r="P140" s="940">
        <f t="shared" si="153"/>
        <v>51.5</v>
      </c>
      <c r="Q140" s="940">
        <f t="shared" si="153"/>
        <v>51.5</v>
      </c>
      <c r="R140" s="940">
        <f t="shared" si="153"/>
        <v>51</v>
      </c>
      <c r="S140" s="940">
        <f t="shared" si="153"/>
        <v>52.5</v>
      </c>
      <c r="T140" s="940">
        <f t="shared" si="153"/>
        <v>55</v>
      </c>
      <c r="U140" s="940">
        <f t="shared" si="153"/>
        <v>57</v>
      </c>
      <c r="V140" s="940">
        <f t="shared" si="153"/>
        <v>56.5</v>
      </c>
      <c r="W140" s="940">
        <f t="shared" si="153"/>
        <v>55.5</v>
      </c>
      <c r="X140" s="940">
        <f t="shared" si="153"/>
        <v>55</v>
      </c>
      <c r="Y140" s="940">
        <f t="shared" si="153"/>
        <v>54.5</v>
      </c>
      <c r="Z140" s="940">
        <f t="shared" si="153"/>
        <v>55</v>
      </c>
      <c r="AA140" s="940">
        <f t="shared" si="153"/>
        <v>56</v>
      </c>
      <c r="AB140" s="940">
        <f t="shared" ref="AB140:AH140" si="154">AVERAGE(AA139:AB139)</f>
        <v>55.5</v>
      </c>
      <c r="AC140" s="940">
        <f t="shared" si="154"/>
        <v>54.5</v>
      </c>
      <c r="AD140" s="940">
        <f t="shared" si="154"/>
        <v>54.5</v>
      </c>
      <c r="AE140" s="940">
        <f t="shared" si="154"/>
        <v>55</v>
      </c>
      <c r="AF140" s="940">
        <f t="shared" si="154"/>
        <v>55</v>
      </c>
      <c r="AG140" s="940">
        <f t="shared" si="154"/>
        <v>55</v>
      </c>
      <c r="AH140" s="940">
        <f t="shared" si="154"/>
        <v>55</v>
      </c>
      <c r="AK140" s="330"/>
      <c r="AM140" s="330"/>
      <c r="AO140" s="330"/>
    </row>
    <row r="141" spans="1:52">
      <c r="A141" s="278" t="s">
        <v>1975</v>
      </c>
      <c r="B141" s="633"/>
      <c r="C141" s="633" t="e">
        <f t="shared" ref="C141:AA141" si="155">C140/B140-1</f>
        <v>#DIV/0!</v>
      </c>
      <c r="D141" s="633" t="e">
        <f t="shared" si="155"/>
        <v>#DIV/0!</v>
      </c>
      <c r="E141" s="633">
        <f t="shared" si="155"/>
        <v>5.2857142857142856</v>
      </c>
      <c r="F141" s="633">
        <f t="shared" si="155"/>
        <v>0.68181818181818188</v>
      </c>
      <c r="G141" s="633">
        <f t="shared" si="155"/>
        <v>1.3513513513513598E-2</v>
      </c>
      <c r="H141" s="633">
        <f t="shared" si="155"/>
        <v>2.6666666666666616E-2</v>
      </c>
      <c r="I141" s="633">
        <f t="shared" si="155"/>
        <v>5.1948051948051965E-2</v>
      </c>
      <c r="J141" s="633">
        <f t="shared" si="155"/>
        <v>6.1728395061728447E-2</v>
      </c>
      <c r="K141" s="633">
        <f t="shared" si="155"/>
        <v>2.3255813953488413E-2</v>
      </c>
      <c r="L141" s="633">
        <f t="shared" si="155"/>
        <v>0</v>
      </c>
      <c r="M141" s="633">
        <f t="shared" si="155"/>
        <v>3.4090909090909172E-2</v>
      </c>
      <c r="N141" s="633">
        <f t="shared" si="155"/>
        <v>4.3956043956044022E-2</v>
      </c>
      <c r="O141" s="633">
        <f t="shared" si="155"/>
        <v>3.1578947368421151E-2</v>
      </c>
      <c r="P141" s="633">
        <f t="shared" si="155"/>
        <v>5.1020408163265252E-2</v>
      </c>
      <c r="Q141" s="633">
        <f t="shared" si="155"/>
        <v>0</v>
      </c>
      <c r="R141" s="633">
        <f t="shared" si="155"/>
        <v>-9.7087378640776656E-3</v>
      </c>
      <c r="S141" s="633">
        <f t="shared" si="155"/>
        <v>2.9411764705882248E-2</v>
      </c>
      <c r="T141" s="633">
        <f t="shared" si="155"/>
        <v>4.7619047619047672E-2</v>
      </c>
      <c r="U141" s="633">
        <f t="shared" si="155"/>
        <v>3.6363636363636376E-2</v>
      </c>
      <c r="V141" s="633">
        <f t="shared" si="155"/>
        <v>-8.7719298245614308E-3</v>
      </c>
      <c r="W141" s="633">
        <f t="shared" si="155"/>
        <v>-1.7699115044247815E-2</v>
      </c>
      <c r="X141" s="633">
        <f t="shared" si="155"/>
        <v>-9.009009009009028E-3</v>
      </c>
      <c r="Y141" s="633">
        <f t="shared" si="155"/>
        <v>-9.0909090909090384E-3</v>
      </c>
      <c r="Z141" s="633">
        <f t="shared" si="155"/>
        <v>9.1743119266054496E-3</v>
      </c>
      <c r="AA141" s="633">
        <f t="shared" si="155"/>
        <v>1.8181818181818077E-2</v>
      </c>
      <c r="AB141" s="633">
        <f t="shared" ref="AB141:AH141" si="156">AB140/AA140-1</f>
        <v>-8.9285714285713969E-3</v>
      </c>
      <c r="AC141" s="633">
        <f t="shared" si="156"/>
        <v>-1.8018018018018056E-2</v>
      </c>
      <c r="AD141" s="633">
        <f t="shared" si="156"/>
        <v>0</v>
      </c>
      <c r="AE141" s="633">
        <f t="shared" si="156"/>
        <v>9.1743119266054496E-3</v>
      </c>
      <c r="AF141" s="633">
        <f t="shared" si="156"/>
        <v>0</v>
      </c>
      <c r="AG141" s="633">
        <f t="shared" si="156"/>
        <v>0</v>
      </c>
      <c r="AH141" s="633">
        <f t="shared" si="156"/>
        <v>0</v>
      </c>
      <c r="AK141" s="330"/>
      <c r="AM141" s="330"/>
      <c r="AO141" s="330"/>
    </row>
    <row r="142" spans="1:52">
      <c r="A142" s="278" t="s">
        <v>1365</v>
      </c>
      <c r="B142" s="633"/>
      <c r="C142" s="939" t="e">
        <f t="shared" ref="C142:AA142" si="157">+C139/B139-1</f>
        <v>#DIV/0!</v>
      </c>
      <c r="D142" s="939" t="e">
        <f t="shared" si="157"/>
        <v>#DIV/0!</v>
      </c>
      <c r="E142" s="939">
        <f t="shared" si="157"/>
        <v>4.2857142857142856</v>
      </c>
      <c r="F142" s="939">
        <f t="shared" si="157"/>
        <v>0</v>
      </c>
      <c r="G142" s="939">
        <f t="shared" si="157"/>
        <v>2.7027027027026973E-2</v>
      </c>
      <c r="H142" s="939">
        <f t="shared" si="157"/>
        <v>2.6315789473684292E-2</v>
      </c>
      <c r="I142" s="939">
        <f t="shared" si="157"/>
        <v>7.6923076923076872E-2</v>
      </c>
      <c r="J142" s="939">
        <f t="shared" si="157"/>
        <v>4.7619047619047672E-2</v>
      </c>
      <c r="K142" s="939">
        <f t="shared" si="157"/>
        <v>0</v>
      </c>
      <c r="L142" s="939">
        <f t="shared" si="157"/>
        <v>0</v>
      </c>
      <c r="M142" s="939">
        <f t="shared" si="157"/>
        <v>6.8181818181818121E-2</v>
      </c>
      <c r="N142" s="939">
        <f t="shared" si="157"/>
        <v>2.1276595744680771E-2</v>
      </c>
      <c r="O142" s="939">
        <f t="shared" si="157"/>
        <v>4.1666666666666741E-2</v>
      </c>
      <c r="P142" s="939">
        <f t="shared" si="157"/>
        <v>6.0000000000000053E-2</v>
      </c>
      <c r="Q142" s="939">
        <f t="shared" si="157"/>
        <v>-5.6603773584905648E-2</v>
      </c>
      <c r="R142" s="939">
        <f t="shared" si="157"/>
        <v>4.0000000000000036E-2</v>
      </c>
      <c r="S142" s="939">
        <f t="shared" si="157"/>
        <v>1.9230769230769162E-2</v>
      </c>
      <c r="T142" s="108">
        <f t="shared" si="157"/>
        <v>7.547169811320753E-2</v>
      </c>
      <c r="U142" s="108">
        <f t="shared" si="157"/>
        <v>0</v>
      </c>
      <c r="V142" s="108">
        <f t="shared" si="157"/>
        <v>-1.7543859649122862E-2</v>
      </c>
      <c r="W142" s="108">
        <f t="shared" si="157"/>
        <v>-1.7857142857142905E-2</v>
      </c>
      <c r="X142" s="108">
        <f t="shared" si="157"/>
        <v>0</v>
      </c>
      <c r="Y142" s="108">
        <f t="shared" si="157"/>
        <v>-1.8181818181818188E-2</v>
      </c>
      <c r="Z142" s="108">
        <f t="shared" si="157"/>
        <v>3.7037037037036979E-2</v>
      </c>
      <c r="AA142" s="108">
        <f t="shared" si="157"/>
        <v>0</v>
      </c>
      <c r="AB142" s="108">
        <f t="shared" ref="AB142:AH142" si="158">+AB139/AA139-1</f>
        <v>-1.7857142857142905E-2</v>
      </c>
      <c r="AC142" s="108">
        <f t="shared" si="158"/>
        <v>-1.8181818181818188E-2</v>
      </c>
      <c r="AD142" s="108">
        <f t="shared" si="158"/>
        <v>1.8518518518518601E-2</v>
      </c>
      <c r="AE142" s="108">
        <f t="shared" si="158"/>
        <v>0</v>
      </c>
      <c r="AF142" s="108">
        <f t="shared" si="158"/>
        <v>0</v>
      </c>
      <c r="AG142" s="108">
        <f t="shared" si="158"/>
        <v>0</v>
      </c>
      <c r="AH142" s="108">
        <f t="shared" si="158"/>
        <v>0</v>
      </c>
      <c r="AK142" s="330"/>
      <c r="AM142" s="330"/>
      <c r="AO142" s="330"/>
    </row>
    <row r="143" spans="1:52">
      <c r="A143" s="131"/>
      <c r="B143" s="621"/>
      <c r="C143" s="621"/>
      <c r="D143" s="621"/>
      <c r="E143" s="621"/>
      <c r="F143" s="621"/>
      <c r="G143" s="629"/>
      <c r="H143" s="629"/>
      <c r="I143" s="629"/>
      <c r="J143" s="629"/>
      <c r="K143" s="629"/>
      <c r="L143" s="1484"/>
      <c r="M143" s="1484"/>
      <c r="N143" s="1484"/>
      <c r="O143" s="1484"/>
      <c r="P143" s="1484"/>
      <c r="Q143" s="1484"/>
      <c r="R143" s="1484"/>
      <c r="S143" s="1484"/>
      <c r="T143" s="873"/>
      <c r="U143" s="873"/>
      <c r="V143" s="873"/>
      <c r="W143" s="873"/>
      <c r="X143" s="873"/>
      <c r="Y143" s="873"/>
      <c r="Z143" s="873"/>
      <c r="AA143" s="873"/>
      <c r="AB143" s="873"/>
      <c r="AC143" s="873"/>
      <c r="AD143" s="873"/>
      <c r="AE143" s="873"/>
      <c r="AF143" s="873"/>
      <c r="AG143" s="873"/>
      <c r="AH143" s="873"/>
      <c r="AK143" s="330"/>
      <c r="AM143" s="330"/>
      <c r="AO143" s="330"/>
    </row>
    <row r="144" spans="1:52">
      <c r="A144" s="278" t="s">
        <v>557</v>
      </c>
      <c r="B144" s="621"/>
      <c r="C144" s="942"/>
      <c r="D144" s="942"/>
      <c r="E144" s="942"/>
      <c r="F144" s="942"/>
      <c r="G144" s="942"/>
      <c r="H144" s="942"/>
      <c r="I144" s="942"/>
      <c r="J144" s="942"/>
      <c r="K144" s="942"/>
      <c r="L144" s="942"/>
      <c r="M144" s="942"/>
      <c r="N144" s="942"/>
      <c r="O144" s="942"/>
      <c r="P144" s="942"/>
      <c r="Q144" s="942"/>
      <c r="R144" s="942"/>
      <c r="S144" s="942"/>
      <c r="T144" s="942">
        <f t="shared" ref="T144:Y144" si="159">+T134/T140</f>
        <v>9.6995272727272717</v>
      </c>
      <c r="U144" s="942">
        <f t="shared" si="159"/>
        <v>8.9998070175438603</v>
      </c>
      <c r="V144" s="942">
        <f t="shared" si="159"/>
        <v>9.6732212389380532</v>
      </c>
      <c r="W144" s="942">
        <f t="shared" si="159"/>
        <v>11.108198198198199</v>
      </c>
      <c r="X144" s="942">
        <f t="shared" si="159"/>
        <v>11.621545454545453</v>
      </c>
      <c r="Y144" s="942">
        <f t="shared" si="159"/>
        <v>10.615981651376147</v>
      </c>
      <c r="Z144" s="942">
        <f t="shared" ref="Z144:AE144" si="160">+Z134/Z140</f>
        <v>10.0778</v>
      </c>
      <c r="AA144" s="942">
        <f t="shared" si="160"/>
        <v>9.6660714285714278</v>
      </c>
      <c r="AB144" s="942">
        <f t="shared" si="160"/>
        <v>10.890090090090093</v>
      </c>
      <c r="AC144" s="942">
        <f t="shared" si="160"/>
        <v>10.941284403669727</v>
      </c>
      <c r="AD144" s="942">
        <f t="shared" si="160"/>
        <v>11.062220183486238</v>
      </c>
      <c r="AE144" s="942">
        <f t="shared" si="160"/>
        <v>11.180887636363636</v>
      </c>
      <c r="AF144" s="942">
        <f>+AF134/AF140</f>
        <v>11.404505389090909</v>
      </c>
      <c r="AG144" s="942">
        <f>+AG134/AG140</f>
        <v>11.746640550763637</v>
      </c>
      <c r="AH144" s="942">
        <f>+AH134/AH140</f>
        <v>12.099039767286547</v>
      </c>
      <c r="AI144" s="942"/>
      <c r="AK144" s="330"/>
      <c r="AM144" s="330"/>
      <c r="AO144" s="330"/>
    </row>
    <row r="145" spans="1:52">
      <c r="A145" s="278" t="s">
        <v>1971</v>
      </c>
      <c r="B145" s="621"/>
      <c r="C145" s="943"/>
      <c r="D145" s="943"/>
      <c r="E145" s="943"/>
      <c r="F145" s="943"/>
      <c r="G145" s="943"/>
      <c r="H145" s="943"/>
      <c r="I145" s="943"/>
      <c r="J145" s="943"/>
      <c r="K145" s="943"/>
      <c r="L145" s="943"/>
      <c r="M145" s="943"/>
      <c r="N145" s="943"/>
      <c r="O145" s="943"/>
      <c r="P145" s="943"/>
      <c r="Q145" s="943"/>
      <c r="R145" s="943"/>
      <c r="S145" s="943"/>
      <c r="T145" s="943"/>
      <c r="U145" s="943">
        <f t="shared" ref="U145:AA145" si="161">+U144/T144-1</f>
        <v>-7.2139624489830134E-2</v>
      </c>
      <c r="V145" s="943">
        <f t="shared" si="161"/>
        <v>7.4825406820553608E-2</v>
      </c>
      <c r="W145" s="943">
        <f t="shared" si="161"/>
        <v>0.14834530543805502</v>
      </c>
      <c r="X145" s="943">
        <f t="shared" si="161"/>
        <v>4.6213368467851179E-2</v>
      </c>
      <c r="Y145" s="943">
        <f t="shared" si="161"/>
        <v>-8.6525824564581133E-2</v>
      </c>
      <c r="Z145" s="943">
        <f t="shared" si="161"/>
        <v>-5.069542026821261E-2</v>
      </c>
      <c r="AA145" s="943">
        <f t="shared" si="161"/>
        <v>-4.0855005202382721E-2</v>
      </c>
      <c r="AB145" s="943">
        <f t="shared" ref="AB145:AH145" si="162">+AB144/AA144-1</f>
        <v>0.12663041759661042</v>
      </c>
      <c r="AC145" s="943">
        <f t="shared" si="162"/>
        <v>4.7010000060716539E-3</v>
      </c>
      <c r="AD145" s="943">
        <f t="shared" si="162"/>
        <v>1.1053161160489378E-2</v>
      </c>
      <c r="AE145" s="943">
        <f t="shared" si="162"/>
        <v>1.0727272727272696E-2</v>
      </c>
      <c r="AF145" s="943">
        <f t="shared" si="162"/>
        <v>2.0000000000000018E-2</v>
      </c>
      <c r="AG145" s="943">
        <f t="shared" si="162"/>
        <v>3.0000000000000027E-2</v>
      </c>
      <c r="AH145" s="943">
        <f t="shared" si="162"/>
        <v>3.0000000000000027E-2</v>
      </c>
      <c r="AI145" s="943"/>
      <c r="AK145" s="330"/>
      <c r="AM145" s="330"/>
      <c r="AO145" s="330"/>
    </row>
    <row r="146" spans="1:52">
      <c r="A146" s="131"/>
      <c r="B146" s="621"/>
      <c r="C146" s="621"/>
      <c r="D146" s="621"/>
      <c r="E146" s="621"/>
      <c r="F146" s="621"/>
      <c r="G146" s="629"/>
      <c r="H146" s="629"/>
      <c r="I146" s="629"/>
      <c r="J146" s="629"/>
      <c r="K146" s="629"/>
      <c r="L146" s="629"/>
      <c r="M146" s="629"/>
      <c r="N146" s="621"/>
      <c r="O146" s="621"/>
      <c r="P146" s="621"/>
      <c r="Q146" s="621"/>
      <c r="R146" s="621"/>
      <c r="S146" s="621"/>
      <c r="T146" s="621"/>
      <c r="U146" s="621"/>
      <c r="V146" s="621"/>
      <c r="W146" s="621"/>
      <c r="X146" s="621"/>
      <c r="Y146" s="621"/>
      <c r="Z146" s="621"/>
      <c r="AA146" s="621"/>
      <c r="AB146" s="621"/>
      <c r="AC146" s="621"/>
      <c r="AD146" s="621"/>
      <c r="AE146" s="621"/>
      <c r="AF146" s="621"/>
      <c r="AG146" s="621"/>
      <c r="AH146" s="621"/>
      <c r="AI146" s="621"/>
      <c r="AK146" s="330"/>
      <c r="AM146" s="330"/>
      <c r="AO146" s="330"/>
    </row>
    <row r="147" spans="1:52">
      <c r="A147" s="278" t="s">
        <v>1977</v>
      </c>
      <c r="B147" s="621"/>
      <c r="C147" s="621"/>
      <c r="D147" s="621"/>
      <c r="E147" s="202"/>
      <c r="F147" s="202"/>
      <c r="G147" s="202"/>
      <c r="H147" s="202"/>
      <c r="I147" s="202"/>
      <c r="J147" s="202"/>
      <c r="K147" s="202"/>
      <c r="L147" s="202"/>
      <c r="M147" s="202"/>
      <c r="N147" s="202"/>
      <c r="O147" s="202"/>
      <c r="P147" s="202"/>
      <c r="Q147" s="202"/>
      <c r="R147" s="202"/>
      <c r="S147" s="202"/>
      <c r="T147" s="202"/>
      <c r="U147" s="202">
        <f t="shared" ref="U147:AA147" si="163">+(U150+T150)/2</f>
        <v>7.7249999999999999E-2</v>
      </c>
      <c r="V147" s="202">
        <f t="shared" si="163"/>
        <v>0.1507</v>
      </c>
      <c r="W147" s="202">
        <f t="shared" si="163"/>
        <v>0.14524999999999999</v>
      </c>
      <c r="X147" s="202">
        <f t="shared" si="163"/>
        <v>0.14360000000000001</v>
      </c>
      <c r="Y147" s="202">
        <f t="shared" si="163"/>
        <v>0.14200000000000002</v>
      </c>
      <c r="Z147" s="202">
        <f t="shared" si="163"/>
        <v>0.14360000000000001</v>
      </c>
      <c r="AA147" s="202">
        <f t="shared" si="163"/>
        <v>0.14679999999999999</v>
      </c>
      <c r="AB147" s="202">
        <f t="shared" ref="AB147:AH147" si="164">+(AB150+AA150)/2</f>
        <v>0.14489999999999997</v>
      </c>
      <c r="AC147" s="202">
        <f t="shared" si="164"/>
        <v>0.1411</v>
      </c>
      <c r="AD147" s="202">
        <f t="shared" si="164"/>
        <v>0.14129999999999998</v>
      </c>
      <c r="AE147" s="202">
        <f t="shared" si="164"/>
        <v>0.1434</v>
      </c>
      <c r="AF147" s="202">
        <f t="shared" si="164"/>
        <v>0.1434</v>
      </c>
      <c r="AG147" s="202">
        <f t="shared" si="164"/>
        <v>0.1434</v>
      </c>
      <c r="AH147" s="202">
        <f t="shared" si="164"/>
        <v>0.1434</v>
      </c>
      <c r="AI147" s="202"/>
      <c r="AK147" s="330"/>
      <c r="AM147" s="330"/>
      <c r="AO147" s="330"/>
    </row>
    <row r="148" spans="1:52">
      <c r="A148" s="278" t="s">
        <v>1971</v>
      </c>
      <c r="B148" s="621"/>
      <c r="C148" s="621"/>
      <c r="D148" s="621"/>
      <c r="E148" s="621"/>
      <c r="F148" s="939"/>
      <c r="G148" s="939"/>
      <c r="H148" s="939"/>
      <c r="I148" s="939"/>
      <c r="J148" s="939"/>
      <c r="K148" s="939"/>
      <c r="L148" s="939"/>
      <c r="M148" s="939"/>
      <c r="N148" s="939"/>
      <c r="O148" s="939"/>
      <c r="P148" s="939"/>
      <c r="Q148" s="939"/>
      <c r="R148" s="939"/>
      <c r="S148" s="939"/>
      <c r="T148" s="939"/>
      <c r="U148" s="939"/>
      <c r="V148" s="939">
        <f t="shared" ref="V148:AA148" si="165">+V147/U147-1</f>
        <v>0.95080906148867306</v>
      </c>
      <c r="W148" s="939">
        <f t="shared" si="165"/>
        <v>-3.6164565361645695E-2</v>
      </c>
      <c r="X148" s="939">
        <f t="shared" si="165"/>
        <v>-1.1359724612736599E-2</v>
      </c>
      <c r="Y148" s="939">
        <f t="shared" si="165"/>
        <v>-1.114206128133699E-2</v>
      </c>
      <c r="Z148" s="939">
        <f t="shared" si="165"/>
        <v>1.1267605633802802E-2</v>
      </c>
      <c r="AA148" s="939">
        <f t="shared" si="165"/>
        <v>2.228412256267398E-2</v>
      </c>
      <c r="AB148" s="939">
        <f t="shared" ref="AB148:AH148" si="166">+AB147/AA147-1</f>
        <v>-1.2942779291553186E-2</v>
      </c>
      <c r="AC148" s="939">
        <f t="shared" si="166"/>
        <v>-2.6224982746721692E-2</v>
      </c>
      <c r="AD148" s="939">
        <f t="shared" si="166"/>
        <v>1.4174344436568287E-3</v>
      </c>
      <c r="AE148" s="939">
        <f t="shared" si="166"/>
        <v>1.4861995753715718E-2</v>
      </c>
      <c r="AF148" s="939">
        <f t="shared" si="166"/>
        <v>0</v>
      </c>
      <c r="AG148" s="939">
        <f t="shared" si="166"/>
        <v>0</v>
      </c>
      <c r="AH148" s="939">
        <f t="shared" si="166"/>
        <v>0</v>
      </c>
      <c r="AI148" s="939"/>
      <c r="AK148" s="330"/>
      <c r="AM148" s="330"/>
      <c r="AO148" s="330"/>
    </row>
    <row r="149" spans="1:52">
      <c r="A149" s="103"/>
      <c r="B149" s="621"/>
      <c r="C149" s="621"/>
      <c r="D149" s="621"/>
      <c r="E149" s="621"/>
      <c r="F149" s="621"/>
      <c r="G149" s="629"/>
      <c r="H149" s="629"/>
      <c r="I149" s="629"/>
      <c r="J149" s="629"/>
      <c r="K149" s="629"/>
      <c r="L149" s="629"/>
      <c r="M149" s="629"/>
      <c r="N149" s="621"/>
      <c r="O149" s="621"/>
      <c r="P149" s="621"/>
      <c r="Q149" s="621"/>
      <c r="R149" s="621"/>
      <c r="S149" s="621"/>
      <c r="T149" s="621"/>
      <c r="U149" s="621"/>
      <c r="V149" s="621"/>
      <c r="W149" s="621"/>
      <c r="X149" s="621"/>
      <c r="Y149" s="621"/>
      <c r="Z149" s="621"/>
      <c r="AA149" s="621"/>
      <c r="AB149" s="621"/>
      <c r="AC149" s="621"/>
      <c r="AD149" s="621"/>
      <c r="AE149" s="621"/>
      <c r="AF149" s="621"/>
      <c r="AG149" s="621"/>
      <c r="AH149" s="621"/>
      <c r="AI149" s="621"/>
      <c r="AK149" s="330"/>
      <c r="AM149" s="330"/>
      <c r="AO149" s="330"/>
    </row>
    <row r="150" spans="1:52">
      <c r="A150" s="110" t="s">
        <v>1940</v>
      </c>
      <c r="B150" s="621"/>
      <c r="C150" s="938"/>
      <c r="D150" s="938"/>
      <c r="E150" s="938"/>
      <c r="F150" s="938"/>
      <c r="G150" s="938"/>
      <c r="H150" s="938"/>
      <c r="I150" s="938"/>
      <c r="J150" s="938"/>
      <c r="K150" s="938"/>
      <c r="L150" s="938"/>
      <c r="M150" s="938"/>
      <c r="N150" s="938"/>
      <c r="O150" s="938"/>
      <c r="P150" s="938"/>
      <c r="Q150" s="938"/>
      <c r="R150" s="938"/>
      <c r="S150" s="938"/>
      <c r="T150" s="938"/>
      <c r="U150" s="938">
        <f>+Stores!X250</f>
        <v>0.1545</v>
      </c>
      <c r="V150" s="938">
        <f>+Stores!X257</f>
        <v>0.1469</v>
      </c>
      <c r="W150" s="938">
        <f>+Stores!X264</f>
        <v>0.14360000000000001</v>
      </c>
      <c r="X150" s="938">
        <f t="shared" ref="X150:AH150" si="167">W150+X138*X162/1000000</f>
        <v>0.14360000000000001</v>
      </c>
      <c r="Y150" s="938">
        <f t="shared" si="167"/>
        <v>0.1404</v>
      </c>
      <c r="Z150" s="938">
        <f>Y150+Z138*Z162/1000000</f>
        <v>0.14679999999999999</v>
      </c>
      <c r="AA150" s="938">
        <f t="shared" si="167"/>
        <v>0.14679999999999999</v>
      </c>
      <c r="AB150" s="938">
        <f>AA150+AB138*AB162/1000000</f>
        <v>0.14299999999999999</v>
      </c>
      <c r="AC150" s="938">
        <f t="shared" si="167"/>
        <v>0.13919999999999999</v>
      </c>
      <c r="AD150" s="938">
        <f t="shared" si="167"/>
        <v>0.1434</v>
      </c>
      <c r="AE150" s="938">
        <f t="shared" si="167"/>
        <v>0.1434</v>
      </c>
      <c r="AF150" s="938">
        <f t="shared" si="167"/>
        <v>0.1434</v>
      </c>
      <c r="AG150" s="938">
        <f t="shared" si="167"/>
        <v>0.1434</v>
      </c>
      <c r="AH150" s="938">
        <f t="shared" si="167"/>
        <v>0.1434</v>
      </c>
      <c r="AI150" s="938"/>
      <c r="AJ150" s="621"/>
      <c r="AK150" s="405"/>
      <c r="AL150" s="621"/>
      <c r="AM150" s="405"/>
      <c r="AN150" s="621"/>
      <c r="AO150" s="405"/>
      <c r="AP150" s="621"/>
      <c r="AQ150" s="621"/>
      <c r="AR150" s="621"/>
      <c r="AS150" s="621"/>
      <c r="AT150" s="621"/>
      <c r="AU150" s="621"/>
      <c r="AV150" s="621"/>
      <c r="AW150" s="621"/>
      <c r="AX150" s="621"/>
      <c r="AY150" s="621"/>
      <c r="AZ150" s="621"/>
    </row>
    <row r="151" spans="1:52">
      <c r="A151" s="110" t="s">
        <v>1971</v>
      </c>
      <c r="B151" s="621"/>
      <c r="C151" s="621"/>
      <c r="D151" s="621"/>
      <c r="E151" s="939"/>
      <c r="F151" s="939"/>
      <c r="G151" s="939"/>
      <c r="H151" s="939"/>
      <c r="I151" s="939"/>
      <c r="J151" s="939"/>
      <c r="K151" s="939"/>
      <c r="L151" s="939"/>
      <c r="M151" s="939"/>
      <c r="N151" s="939"/>
      <c r="O151" s="939"/>
      <c r="P151" s="939"/>
      <c r="Q151" s="939"/>
      <c r="R151" s="939"/>
      <c r="S151" s="939"/>
      <c r="T151" s="939"/>
      <c r="U151" s="939"/>
      <c r="V151" s="939">
        <f t="shared" ref="V151:AA151" si="168">+V150/U150-1</f>
        <v>-4.9190938511326832E-2</v>
      </c>
      <c r="W151" s="939">
        <f t="shared" si="168"/>
        <v>-2.24642614023145E-2</v>
      </c>
      <c r="X151" s="939">
        <f t="shared" si="168"/>
        <v>0</v>
      </c>
      <c r="Y151" s="939">
        <f t="shared" si="168"/>
        <v>-2.2284122562674202E-2</v>
      </c>
      <c r="Z151" s="939">
        <f t="shared" si="168"/>
        <v>4.5584045584045496E-2</v>
      </c>
      <c r="AA151" s="939">
        <f t="shared" si="168"/>
        <v>0</v>
      </c>
      <c r="AB151" s="939">
        <f t="shared" ref="AB151:AH151" si="169">+AB150/AA150-1</f>
        <v>-2.5885558583106261E-2</v>
      </c>
      <c r="AC151" s="939">
        <f t="shared" si="169"/>
        <v>-2.657342657342654E-2</v>
      </c>
      <c r="AD151" s="939">
        <f t="shared" si="169"/>
        <v>3.0172413793103425E-2</v>
      </c>
      <c r="AE151" s="939">
        <f t="shared" si="169"/>
        <v>0</v>
      </c>
      <c r="AF151" s="939">
        <f t="shared" si="169"/>
        <v>0</v>
      </c>
      <c r="AG151" s="939">
        <f t="shared" si="169"/>
        <v>0</v>
      </c>
      <c r="AH151" s="939">
        <f t="shared" si="169"/>
        <v>0</v>
      </c>
      <c r="AI151" s="939"/>
      <c r="AJ151" s="621"/>
      <c r="AK151" s="405"/>
      <c r="AL151" s="621"/>
      <c r="AM151" s="405"/>
      <c r="AN151" s="621"/>
      <c r="AO151" s="405"/>
      <c r="AP151" s="621"/>
      <c r="AQ151" s="621"/>
      <c r="AR151" s="621"/>
      <c r="AS151" s="621"/>
      <c r="AT151" s="621"/>
      <c r="AU151" s="621"/>
      <c r="AV151" s="621"/>
      <c r="AW151" s="621"/>
      <c r="AX151" s="621"/>
      <c r="AY151" s="621"/>
      <c r="AZ151" s="621"/>
    </row>
    <row r="152" spans="1:52">
      <c r="A152" s="103"/>
      <c r="B152" s="621"/>
      <c r="C152" s="621"/>
      <c r="D152" s="621"/>
      <c r="E152" s="621"/>
      <c r="F152" s="621"/>
      <c r="G152" s="621"/>
      <c r="H152" s="621"/>
      <c r="I152" s="621"/>
      <c r="J152" s="621"/>
      <c r="K152" s="621"/>
      <c r="L152" s="621"/>
      <c r="M152" s="621"/>
      <c r="N152" s="621"/>
      <c r="O152" s="621"/>
      <c r="P152" s="621"/>
      <c r="Q152" s="621"/>
      <c r="R152" s="621"/>
      <c r="S152" s="621"/>
      <c r="T152" s="621"/>
      <c r="U152" s="621"/>
      <c r="V152" s="621"/>
      <c r="W152" s="621"/>
      <c r="X152" s="621"/>
      <c r="Y152" s="621"/>
      <c r="Z152" s="621"/>
      <c r="AA152" s="621"/>
      <c r="AB152" s="621"/>
      <c r="AC152" s="621"/>
      <c r="AD152" s="621"/>
      <c r="AE152" s="621"/>
      <c r="AF152" s="621"/>
      <c r="AG152" s="621"/>
      <c r="AH152" s="621"/>
      <c r="AI152" s="621"/>
      <c r="AK152" s="330"/>
      <c r="AM152" s="330"/>
      <c r="AO152" s="330"/>
    </row>
    <row r="153" spans="1:52">
      <c r="A153" s="278" t="s">
        <v>1978</v>
      </c>
      <c r="B153" s="584"/>
      <c r="C153" s="584"/>
      <c r="D153" s="584"/>
      <c r="E153" s="584"/>
      <c r="F153" s="584"/>
      <c r="G153" s="584"/>
      <c r="H153" s="584"/>
      <c r="I153" s="584"/>
      <c r="J153" s="584"/>
      <c r="K153" s="584"/>
      <c r="L153" s="584"/>
      <c r="M153" s="584"/>
      <c r="N153" s="584"/>
      <c r="O153" s="584"/>
      <c r="P153" s="584"/>
      <c r="Q153" s="584"/>
      <c r="R153" s="584"/>
      <c r="S153" s="584"/>
      <c r="T153" s="584"/>
      <c r="U153" s="584">
        <f t="shared" ref="U153:AA153" si="170">U150/U139*1000000</f>
        <v>2710.5263157894738</v>
      </c>
      <c r="V153" s="584">
        <f t="shared" si="170"/>
        <v>2623.2142857142858</v>
      </c>
      <c r="W153" s="584">
        <f t="shared" si="170"/>
        <v>2610.909090909091</v>
      </c>
      <c r="X153" s="584">
        <f t="shared" si="170"/>
        <v>2610.909090909091</v>
      </c>
      <c r="Y153" s="584">
        <f t="shared" si="170"/>
        <v>2600</v>
      </c>
      <c r="Z153" s="584">
        <f>Z150/Z139*1000000</f>
        <v>2621.4285714285711</v>
      </c>
      <c r="AA153" s="584">
        <f t="shared" si="170"/>
        <v>2621.4285714285711</v>
      </c>
      <c r="AB153" s="584">
        <f t="shared" ref="AB153:AH153" si="171">AB150/AB139*1000000</f>
        <v>2600</v>
      </c>
      <c r="AC153" s="584">
        <f t="shared" si="171"/>
        <v>2577.7777777777778</v>
      </c>
      <c r="AD153" s="584">
        <f t="shared" si="171"/>
        <v>2607.272727272727</v>
      </c>
      <c r="AE153" s="584">
        <f t="shared" si="171"/>
        <v>2607.272727272727</v>
      </c>
      <c r="AF153" s="584">
        <f t="shared" si="171"/>
        <v>2607.272727272727</v>
      </c>
      <c r="AG153" s="584">
        <f t="shared" si="171"/>
        <v>2607.272727272727</v>
      </c>
      <c r="AH153" s="584">
        <f t="shared" si="171"/>
        <v>2607.272727272727</v>
      </c>
      <c r="AI153" s="584"/>
      <c r="AK153" s="330"/>
      <c r="AM153" s="330"/>
      <c r="AO153" s="330"/>
    </row>
    <row r="154" spans="1:52">
      <c r="A154" s="278" t="s">
        <v>1971</v>
      </c>
      <c r="B154" s="621"/>
      <c r="C154" s="621"/>
      <c r="D154" s="621"/>
      <c r="E154" s="621"/>
      <c r="F154" s="621"/>
      <c r="G154" s="621"/>
      <c r="H154" s="621"/>
      <c r="I154" s="621"/>
      <c r="J154" s="621"/>
      <c r="K154" s="621"/>
      <c r="L154" s="621"/>
      <c r="M154" s="621"/>
      <c r="N154" s="621"/>
      <c r="O154" s="621"/>
      <c r="P154" s="621"/>
      <c r="Q154" s="621"/>
      <c r="R154" s="621"/>
      <c r="S154" s="621"/>
      <c r="T154" s="621"/>
      <c r="U154" s="621"/>
      <c r="V154" s="621"/>
      <c r="W154" s="621"/>
      <c r="X154" s="621"/>
      <c r="Y154" s="621"/>
      <c r="Z154" s="621"/>
      <c r="AA154" s="621"/>
      <c r="AB154" s="621"/>
      <c r="AC154" s="621"/>
      <c r="AD154" s="621"/>
      <c r="AE154" s="621"/>
      <c r="AF154" s="621"/>
      <c r="AG154" s="621"/>
      <c r="AH154" s="621"/>
      <c r="AI154" s="621"/>
      <c r="AK154" s="330"/>
      <c r="AM154" s="330"/>
      <c r="AO154" s="330"/>
    </row>
    <row r="155" spans="1:52">
      <c r="A155" s="103"/>
      <c r="B155" s="621"/>
      <c r="C155" s="621"/>
      <c r="D155" s="621"/>
      <c r="E155" s="621"/>
      <c r="F155" s="621"/>
      <c r="G155" s="621"/>
      <c r="H155" s="621"/>
      <c r="I155" s="621"/>
      <c r="J155" s="621"/>
      <c r="K155" s="621"/>
      <c r="L155" s="621"/>
      <c r="M155" s="621"/>
      <c r="N155" s="621"/>
      <c r="O155" s="621"/>
      <c r="P155" s="621"/>
      <c r="Q155" s="621"/>
      <c r="R155" s="621"/>
      <c r="S155" s="621"/>
      <c r="T155" s="621"/>
      <c r="U155" s="621"/>
      <c r="V155" s="621"/>
      <c r="W155" s="621"/>
      <c r="X155" s="621"/>
      <c r="Y155" s="621"/>
      <c r="Z155" s="621"/>
      <c r="AA155" s="621"/>
      <c r="AB155" s="621"/>
      <c r="AC155" s="621"/>
      <c r="AD155" s="621"/>
      <c r="AE155" s="621"/>
      <c r="AF155" s="621"/>
      <c r="AG155" s="621"/>
      <c r="AH155" s="621"/>
      <c r="AI155" s="621"/>
      <c r="AK155" s="330"/>
      <c r="AM155" s="330"/>
      <c r="AO155" s="330"/>
    </row>
    <row r="156" spans="1:52">
      <c r="A156" s="278" t="s">
        <v>558</v>
      </c>
      <c r="B156" s="115"/>
      <c r="C156" s="115"/>
      <c r="D156" s="115"/>
      <c r="E156" s="115"/>
      <c r="F156" s="115"/>
      <c r="G156" s="115"/>
      <c r="H156" s="115"/>
      <c r="I156" s="115"/>
      <c r="J156" s="115"/>
      <c r="K156" s="115"/>
      <c r="L156" s="115"/>
      <c r="M156" s="115"/>
      <c r="N156" s="115"/>
      <c r="O156" s="115"/>
      <c r="P156" s="115"/>
      <c r="Q156" s="115"/>
      <c r="R156" s="115"/>
      <c r="S156" s="115"/>
      <c r="T156" s="115"/>
      <c r="U156" s="115">
        <f t="shared" ref="U156:Z156" si="172">U134/(U147)</f>
        <v>6640.6343042071203</v>
      </c>
      <c r="V156" s="115">
        <f t="shared" si="172"/>
        <v>3626.6556071665564</v>
      </c>
      <c r="W156" s="115">
        <f t="shared" si="172"/>
        <v>4244.4406196213431</v>
      </c>
      <c r="X156" s="115">
        <f t="shared" si="172"/>
        <v>4451.149025069637</v>
      </c>
      <c r="Y156" s="115">
        <f t="shared" si="172"/>
        <v>4074.4436619718308</v>
      </c>
      <c r="Z156" s="115">
        <f t="shared" si="172"/>
        <v>3859.8816155988857</v>
      </c>
      <c r="AA156" s="115">
        <f t="shared" ref="AA156:AF156" si="173">AA134/(AA147)</f>
        <v>3687.3297002724794</v>
      </c>
      <c r="AB156" s="115">
        <f t="shared" si="173"/>
        <v>4171.1525189786071</v>
      </c>
      <c r="AC156" s="115">
        <f t="shared" si="173"/>
        <v>4226.080793763289</v>
      </c>
      <c r="AD156" s="115">
        <f t="shared" si="173"/>
        <v>4266.7445152158534</v>
      </c>
      <c r="AE156" s="115">
        <f t="shared" si="173"/>
        <v>4288.3460251046026</v>
      </c>
      <c r="AF156" s="115">
        <f t="shared" si="173"/>
        <v>4374.1129456066947</v>
      </c>
      <c r="AG156" s="115">
        <f>AG134/(AG147)</f>
        <v>4505.3363339748958</v>
      </c>
      <c r="AH156" s="115">
        <f>AH134/(AH147)</f>
        <v>4640.4964239941428</v>
      </c>
      <c r="AI156" s="115"/>
      <c r="AK156" s="330"/>
      <c r="AM156" s="330"/>
      <c r="AO156" s="330"/>
    </row>
    <row r="157" spans="1:52">
      <c r="A157" s="278" t="s">
        <v>1971</v>
      </c>
      <c r="B157" s="621"/>
      <c r="C157" s="621"/>
      <c r="D157" s="621"/>
      <c r="E157" s="621"/>
      <c r="F157" s="621"/>
      <c r="G157" s="621"/>
      <c r="H157" s="621"/>
      <c r="I157" s="621"/>
      <c r="J157" s="621"/>
      <c r="K157" s="621"/>
      <c r="L157" s="621"/>
      <c r="M157" s="621"/>
      <c r="N157" s="621"/>
      <c r="O157" s="621"/>
      <c r="P157" s="621"/>
      <c r="Q157" s="621"/>
      <c r="R157" s="621"/>
      <c r="S157" s="621"/>
      <c r="T157" s="621"/>
      <c r="U157" s="621"/>
      <c r="V157" s="621"/>
      <c r="W157" s="621"/>
      <c r="X157" s="621"/>
      <c r="Y157" s="621"/>
      <c r="Z157" s="621"/>
      <c r="AA157" s="621"/>
      <c r="AB157" s="621"/>
      <c r="AC157" s="621"/>
      <c r="AD157" s="621"/>
      <c r="AE157" s="621"/>
      <c r="AF157" s="621"/>
      <c r="AG157" s="621"/>
      <c r="AH157" s="621"/>
      <c r="AK157" s="330"/>
      <c r="AM157" s="330"/>
      <c r="AO157" s="330"/>
    </row>
    <row r="158" spans="1:52">
      <c r="A158" s="103"/>
      <c r="B158" s="621"/>
      <c r="C158" s="621"/>
      <c r="D158" s="621"/>
      <c r="E158" s="621"/>
      <c r="F158" s="621"/>
      <c r="G158" s="621"/>
      <c r="H158" s="621"/>
      <c r="I158" s="621"/>
      <c r="J158" s="621"/>
      <c r="K158" s="621"/>
      <c r="L158" s="621"/>
      <c r="M158" s="621"/>
      <c r="N158" s="621"/>
      <c r="O158" s="621"/>
      <c r="P158" s="621"/>
      <c r="Q158" s="621"/>
      <c r="R158" s="621"/>
      <c r="S158" s="621"/>
      <c r="T158" s="621"/>
      <c r="U158" s="621"/>
      <c r="V158" s="621"/>
      <c r="W158" s="621"/>
      <c r="X158" s="621"/>
      <c r="Y158" s="621"/>
      <c r="Z158" s="621"/>
      <c r="AA158" s="621"/>
      <c r="AB158" s="621"/>
      <c r="AC158" s="621"/>
      <c r="AD158" s="621"/>
      <c r="AE158" s="621"/>
      <c r="AF158" s="621"/>
      <c r="AG158" s="621"/>
      <c r="AH158" s="621"/>
      <c r="AK158" s="330"/>
      <c r="AM158" s="330"/>
      <c r="AO158" s="330"/>
    </row>
    <row r="159" spans="1:52">
      <c r="A159" s="278" t="s">
        <v>1980</v>
      </c>
      <c r="B159" s="852"/>
      <c r="C159" s="852"/>
      <c r="D159" s="1198"/>
      <c r="E159" s="1198"/>
      <c r="F159" s="1198"/>
      <c r="G159" s="1198"/>
      <c r="H159" s="1198"/>
      <c r="I159" s="1198"/>
      <c r="J159" s="1198"/>
      <c r="K159" s="1198"/>
      <c r="L159" s="1198"/>
      <c r="M159" s="1198"/>
      <c r="N159" s="1198"/>
      <c r="O159" s="1198"/>
      <c r="P159" s="1198"/>
      <c r="Q159" s="1198"/>
      <c r="R159" s="1198"/>
      <c r="S159" s="1198">
        <f>'segSales&amp;comps'!$S$163*0.01</f>
        <v>0.05</v>
      </c>
      <c r="T159" s="1177">
        <f>'segSales&amp;comps'!$Y$170*0.01</f>
        <v>-0.1</v>
      </c>
      <c r="U159" s="1177">
        <f>'segSales&amp;comps'!Y177*0.01</f>
        <v>-0.11</v>
      </c>
      <c r="V159" s="1177">
        <f>'segSales&amp;comps'!Y184*0.01</f>
        <v>-0.04</v>
      </c>
      <c r="W159" s="1177">
        <f>+'segSales&amp;comps'!Y191*0.01</f>
        <v>3.3618991358087394E-2</v>
      </c>
      <c r="X159" s="1177">
        <f>+'segSales&amp;comps'!Y198*0.01</f>
        <v>7.0000000000000007E-2</v>
      </c>
      <c r="Y159" s="1177">
        <f>'segSales&amp;comps'!Y205/100</f>
        <v>0.1</v>
      </c>
      <c r="Z159" s="1177">
        <f>'segSales&amp;comps'!Y212/100</f>
        <v>0.01</v>
      </c>
      <c r="AA159" s="2000">
        <f>'segSales&amp;comps'!Y219/100</f>
        <v>0.05</v>
      </c>
      <c r="AB159" s="2000">
        <f>'segSales&amp;comps'!Y226/100</f>
        <v>0.05</v>
      </c>
      <c r="AC159" s="2000">
        <f>'segSales&amp;comps'!Y233/100</f>
        <v>0.02</v>
      </c>
      <c r="AD159" s="2000">
        <f>'segSales&amp;comps'!Y240/100</f>
        <v>2.0382722581693873E-2</v>
      </c>
      <c r="AE159" s="945">
        <v>0.01</v>
      </c>
      <c r="AF159" s="945">
        <v>0.01</v>
      </c>
      <c r="AG159" s="945">
        <v>0.01</v>
      </c>
      <c r="AH159" s="945">
        <v>0.01</v>
      </c>
      <c r="AK159" s="330"/>
      <c r="AM159" s="330"/>
      <c r="AO159" s="330"/>
    </row>
    <row r="160" spans="1:52">
      <c r="A160" s="278" t="s">
        <v>1578</v>
      </c>
      <c r="B160" s="852"/>
      <c r="C160" s="852"/>
      <c r="D160" s="1198"/>
      <c r="E160" s="1198"/>
      <c r="F160" s="1198"/>
      <c r="G160" s="1198"/>
      <c r="H160" s="1198"/>
      <c r="I160" s="1198"/>
      <c r="J160" s="1198"/>
      <c r="K160" s="1198"/>
      <c r="L160" s="1198"/>
      <c r="M160" s="1198"/>
      <c r="N160" s="1198"/>
      <c r="O160" s="1198"/>
      <c r="P160" s="1198"/>
      <c r="Q160" s="1198"/>
      <c r="R160" s="1198"/>
      <c r="S160" s="1198">
        <f t="shared" ref="S160:AA160" si="174">S135-S159</f>
        <v>9.1382933781103001E-2</v>
      </c>
      <c r="T160" s="944">
        <f t="shared" si="174"/>
        <v>-0.27514685057492816</v>
      </c>
      <c r="U160" s="944">
        <f t="shared" si="174"/>
        <v>7.1600752801448855E-2</v>
      </c>
      <c r="V160" s="944">
        <f t="shared" si="174"/>
        <v>0.10539711377826808</v>
      </c>
      <c r="W160" s="944">
        <f t="shared" si="174"/>
        <v>9.4401618408497409E-2</v>
      </c>
      <c r="X160" s="944">
        <f t="shared" si="174"/>
        <v>-3.3211977194021303E-2</v>
      </c>
      <c r="Y160" s="944">
        <f t="shared" si="174"/>
        <v>-0.19483013525035778</v>
      </c>
      <c r="Z160" s="944">
        <f t="shared" si="174"/>
        <v>-5.1986203940397983E-2</v>
      </c>
      <c r="AA160" s="944">
        <f t="shared" si="174"/>
        <v>-7.3416005296971412E-2</v>
      </c>
      <c r="AB160" s="944">
        <f>AB135-AB159</f>
        <v>6.6571217439497718E-2</v>
      </c>
      <c r="AC160" s="944">
        <f>AC135-AC159</f>
        <v>-3.3401720714758429E-2</v>
      </c>
      <c r="AD160" s="944">
        <f>AD135-AD159</f>
        <v>-9.329561421204273E-3</v>
      </c>
      <c r="AE160" s="2035">
        <v>0.01</v>
      </c>
      <c r="AF160" s="2035">
        <v>0.01</v>
      </c>
      <c r="AG160" s="2035">
        <v>0.02</v>
      </c>
      <c r="AH160" s="2035">
        <v>0.02</v>
      </c>
      <c r="AK160" s="330"/>
      <c r="AM160" s="330"/>
      <c r="AO160" s="330"/>
    </row>
    <row r="161" spans="1:52">
      <c r="A161" s="103"/>
      <c r="B161" s="852"/>
      <c r="C161" s="852"/>
      <c r="D161" s="852"/>
      <c r="E161" s="852"/>
      <c r="F161" s="852"/>
      <c r="G161" s="852"/>
      <c r="H161" s="852"/>
      <c r="I161" s="852"/>
      <c r="J161" s="852"/>
      <c r="K161" s="852"/>
      <c r="L161" s="852"/>
      <c r="M161" s="852"/>
      <c r="N161" s="852"/>
      <c r="O161" s="852"/>
      <c r="P161" s="852"/>
      <c r="Q161" s="852"/>
      <c r="R161" s="852"/>
      <c r="S161" s="852"/>
      <c r="T161" s="621"/>
      <c r="U161" s="621"/>
      <c r="V161" s="621"/>
      <c r="W161" s="621"/>
      <c r="X161" s="621"/>
      <c r="Y161" s="621"/>
      <c r="Z161" s="621"/>
      <c r="AA161" s="621"/>
      <c r="AB161" s="621"/>
      <c r="AC161" s="621"/>
      <c r="AD161" s="621"/>
      <c r="AE161" s="621"/>
      <c r="AF161" s="621"/>
      <c r="AG161" s="621"/>
      <c r="AH161" s="621"/>
      <c r="AK161" s="330"/>
      <c r="AM161" s="330"/>
      <c r="AO161" s="330"/>
    </row>
    <row r="162" spans="1:52">
      <c r="A162" s="278" t="s">
        <v>1916</v>
      </c>
      <c r="B162" s="1196"/>
      <c r="C162" s="1196"/>
      <c r="D162" s="1196"/>
      <c r="E162" s="1196"/>
      <c r="F162" s="1196"/>
      <c r="G162" s="1196"/>
      <c r="H162" s="1196"/>
      <c r="I162" s="1196"/>
      <c r="J162" s="1196"/>
      <c r="K162" s="1196"/>
      <c r="L162" s="1196"/>
      <c r="M162" s="1196"/>
      <c r="N162" s="1196"/>
      <c r="O162" s="1196"/>
      <c r="P162" s="1196"/>
      <c r="Q162" s="1196"/>
      <c r="R162" s="1196"/>
      <c r="S162" s="1196"/>
      <c r="T162" s="583">
        <v>2400</v>
      </c>
      <c r="U162" s="584">
        <f t="shared" ref="U162:Z162" si="175">T162</f>
        <v>2400</v>
      </c>
      <c r="V162" s="584">
        <f>(V150-U150)/(V139-U139)*1000000</f>
        <v>7599.9999999999955</v>
      </c>
      <c r="W162" s="583">
        <v>3000</v>
      </c>
      <c r="X162" s="583">
        <f>3200</f>
        <v>3200</v>
      </c>
      <c r="Y162" s="584">
        <f t="shared" si="175"/>
        <v>3200</v>
      </c>
      <c r="Z162" s="584">
        <f t="shared" si="175"/>
        <v>3200</v>
      </c>
      <c r="AA162" s="584">
        <f t="shared" ref="AA162:AH162" si="176">Z162</f>
        <v>3200</v>
      </c>
      <c r="AB162" s="584">
        <v>3800</v>
      </c>
      <c r="AC162" s="584">
        <f t="shared" si="176"/>
        <v>3800</v>
      </c>
      <c r="AD162" s="584">
        <v>4200</v>
      </c>
      <c r="AE162" s="584">
        <f t="shared" si="176"/>
        <v>4200</v>
      </c>
      <c r="AF162" s="584">
        <f t="shared" si="176"/>
        <v>4200</v>
      </c>
      <c r="AG162" s="584">
        <f t="shared" si="176"/>
        <v>4200</v>
      </c>
      <c r="AH162" s="584">
        <f t="shared" si="176"/>
        <v>4200</v>
      </c>
      <c r="AK162" s="330"/>
      <c r="AM162" s="330"/>
      <c r="AO162" s="330"/>
    </row>
    <row r="163" spans="1:52">
      <c r="A163" s="103"/>
      <c r="P163" s="621"/>
      <c r="Q163" s="621"/>
      <c r="R163" s="621"/>
      <c r="S163" s="621"/>
      <c r="T163" s="621"/>
      <c r="U163" s="621"/>
      <c r="V163" s="621"/>
      <c r="W163" s="621"/>
      <c r="X163" s="621"/>
      <c r="Y163" s="621"/>
      <c r="Z163" s="621"/>
      <c r="AA163" s="621"/>
      <c r="AB163" s="621"/>
      <c r="AC163" s="621"/>
      <c r="AD163" s="621"/>
      <c r="AE163" s="621"/>
      <c r="AF163" s="621"/>
      <c r="AG163" s="621"/>
      <c r="AH163" s="621"/>
      <c r="AK163" s="330"/>
      <c r="AM163" s="330"/>
      <c r="AO163" s="330"/>
    </row>
    <row r="164" spans="1:52">
      <c r="A164" s="278" t="s">
        <v>1981</v>
      </c>
      <c r="C164" s="264"/>
      <c r="D164" s="264"/>
      <c r="E164" s="264"/>
      <c r="F164" s="264"/>
      <c r="G164" s="264"/>
      <c r="H164" s="264"/>
      <c r="I164" s="264"/>
      <c r="J164" s="264"/>
      <c r="K164" s="264"/>
      <c r="L164" s="264"/>
      <c r="M164" s="264"/>
      <c r="N164" s="264"/>
      <c r="O164" s="264"/>
      <c r="P164" s="902"/>
      <c r="Q164" s="902"/>
      <c r="R164" s="902"/>
      <c r="S164" s="902"/>
      <c r="T164" s="902"/>
      <c r="U164" s="902"/>
      <c r="V164" s="2180">
        <f>(V135-V159)/V148</f>
        <v>0.11084992565515601</v>
      </c>
      <c r="W164" s="2180">
        <f>(W135-W159)/W148</f>
        <v>-2.6103346594789989</v>
      </c>
      <c r="X164" s="2180">
        <f>(X135-X159)/X148</f>
        <v>2.9236604166252245</v>
      </c>
      <c r="Y164" s="2180">
        <f>(Y135-Y159)/Y148</f>
        <v>17.486004638719699</v>
      </c>
      <c r="Z164" s="2180">
        <f>IF(ISERROR((Z135-Z159)/Z148),"NM",(Z135-Z159)/Z148)</f>
        <v>-4.6137755997103271</v>
      </c>
      <c r="AA164" s="2180">
        <f>IF(ISERROR((AA135-AA159)/AA148),"NM",(AA135-AA159)/AA148)</f>
        <v>-3.2945432377016091</v>
      </c>
      <c r="AB164" s="2180">
        <f>IF(ISERROR((AB135-AB159)/AB148),"NM",(AB135-AB159)/AB148)</f>
        <v>-5.1435024842727506</v>
      </c>
      <c r="AC164" s="2180">
        <f>IF(ISERROR((AC135-AC159)/AC148),"NM",(AC135-AC159)/AC148)</f>
        <v>1.2736603504127713</v>
      </c>
      <c r="AD164" s="2180">
        <f>IF(ISERROR((AD135-AD159)/AD148),"NM",(AD135-AD159)/AD148)</f>
        <v>-6.5820055826603214</v>
      </c>
      <c r="AE164" s="2181" t="s">
        <v>814</v>
      </c>
      <c r="AF164" s="2181" t="s">
        <v>814</v>
      </c>
      <c r="AG164" s="2181" t="s">
        <v>814</v>
      </c>
      <c r="AH164" s="2181" t="s">
        <v>814</v>
      </c>
      <c r="AI164" s="264"/>
      <c r="AK164" s="330"/>
      <c r="AM164" s="330"/>
      <c r="AO164" s="330"/>
    </row>
    <row r="165" spans="1:52">
      <c r="A165" s="131"/>
      <c r="P165" s="621"/>
      <c r="Q165" s="621"/>
      <c r="R165" s="621"/>
      <c r="S165" s="621"/>
      <c r="T165" s="621"/>
      <c r="U165" s="621"/>
      <c r="V165" s="621"/>
      <c r="W165" s="1275"/>
      <c r="X165" s="621"/>
      <c r="Y165" s="621"/>
      <c r="Z165" s="621"/>
      <c r="AA165" s="621"/>
      <c r="AB165" s="621"/>
      <c r="AC165" s="621"/>
      <c r="AD165" s="621"/>
      <c r="AE165" s="621"/>
      <c r="AF165" s="621"/>
      <c r="AG165" s="621"/>
      <c r="AH165" s="621"/>
      <c r="AK165" s="330"/>
      <c r="AM165" s="330"/>
      <c r="AO165" s="330"/>
    </row>
    <row r="166" spans="1:52">
      <c r="A166" s="225"/>
      <c r="B166" s="186"/>
      <c r="C166" s="186"/>
      <c r="D166" s="186"/>
      <c r="E166" s="186"/>
      <c r="F166" s="186"/>
      <c r="G166" s="186"/>
      <c r="H166" s="186"/>
      <c r="I166" s="186"/>
      <c r="J166" s="186"/>
      <c r="K166" s="186"/>
      <c r="L166" s="186"/>
      <c r="M166" s="186"/>
      <c r="N166" s="186"/>
      <c r="O166" s="186"/>
      <c r="P166" s="639"/>
      <c r="Q166" s="639"/>
      <c r="R166" s="639"/>
      <c r="S166" s="639"/>
      <c r="T166" s="639"/>
      <c r="U166" s="639"/>
      <c r="V166" s="639"/>
      <c r="W166" s="639"/>
      <c r="X166" s="639"/>
      <c r="Y166" s="639"/>
      <c r="Z166" s="639"/>
      <c r="AA166" s="639"/>
      <c r="AB166" s="639"/>
      <c r="AC166" s="639"/>
      <c r="AD166" s="639"/>
      <c r="AE166" s="639"/>
      <c r="AF166" s="639"/>
      <c r="AG166" s="639"/>
      <c r="AH166" s="639"/>
      <c r="AI166" s="186"/>
      <c r="AJ166" s="186"/>
      <c r="AK166" s="340"/>
      <c r="AL166" s="186"/>
      <c r="AM166" s="340"/>
      <c r="AN166" s="186"/>
      <c r="AO166" s="340"/>
      <c r="AP166" s="186"/>
      <c r="AQ166" s="186"/>
      <c r="AR166" s="186"/>
      <c r="AS166" s="186"/>
      <c r="AT166" s="186"/>
      <c r="AU166" s="186"/>
      <c r="AV166" s="186"/>
      <c r="AW166" s="186"/>
      <c r="AX166" s="186"/>
      <c r="AY166" s="186"/>
      <c r="AZ166" s="186"/>
    </row>
    <row r="167" spans="1:52">
      <c r="A167" s="851" t="s">
        <v>1012</v>
      </c>
      <c r="B167" s="852"/>
      <c r="C167" s="852"/>
      <c r="D167" s="852"/>
      <c r="E167" s="852"/>
      <c r="F167" s="852"/>
      <c r="G167" s="852"/>
      <c r="H167" s="852"/>
      <c r="I167" s="852"/>
      <c r="J167" s="852"/>
      <c r="K167" s="852"/>
      <c r="L167" s="852"/>
      <c r="M167" s="852"/>
      <c r="N167" s="852"/>
      <c r="O167" s="852"/>
      <c r="P167" s="852"/>
      <c r="Q167" s="852"/>
      <c r="R167" s="852"/>
      <c r="S167" s="852"/>
      <c r="T167" s="852"/>
      <c r="U167" s="852"/>
      <c r="V167" s="852"/>
      <c r="W167" s="852"/>
      <c r="X167" s="852"/>
      <c r="Y167" s="852"/>
      <c r="Z167" s="852"/>
      <c r="AA167" s="852"/>
      <c r="AB167" s="852"/>
      <c r="AC167" s="852"/>
      <c r="AD167" s="852"/>
      <c r="AE167" s="852"/>
      <c r="AF167" s="852"/>
      <c r="AG167" s="852"/>
      <c r="AH167" s="852"/>
      <c r="AI167" s="852"/>
      <c r="AJ167" s="852"/>
      <c r="AK167" s="853"/>
      <c r="AL167" s="852"/>
      <c r="AM167" s="853"/>
      <c r="AN167" s="852"/>
      <c r="AO167" s="853"/>
      <c r="AP167" s="852"/>
      <c r="AQ167" s="852"/>
      <c r="AR167" s="852"/>
      <c r="AS167" s="852"/>
      <c r="AT167" s="852"/>
      <c r="AU167" s="852"/>
      <c r="AV167" s="852"/>
      <c r="AW167" s="852"/>
      <c r="AX167" s="852"/>
      <c r="AY167" s="852"/>
      <c r="AZ167" s="852"/>
    </row>
    <row r="168" spans="1:52">
      <c r="A168" s="854" t="str">
        <f>+$A$2</f>
        <v>Annual Sales Model, Fiscal 2001-2014E</v>
      </c>
      <c r="B168" s="855"/>
      <c r="C168" s="855"/>
      <c r="D168" s="855"/>
      <c r="E168" s="855"/>
      <c r="F168" s="855"/>
      <c r="G168" s="855"/>
      <c r="H168" s="855"/>
      <c r="I168" s="855"/>
      <c r="J168" s="855"/>
      <c r="K168" s="855"/>
      <c r="L168" s="855"/>
      <c r="M168" s="855"/>
      <c r="N168" s="855"/>
      <c r="O168" s="855"/>
      <c r="P168" s="855"/>
      <c r="Q168" s="855"/>
      <c r="R168" s="855"/>
      <c r="S168" s="855"/>
      <c r="T168" s="855"/>
      <c r="U168" s="855"/>
      <c r="V168" s="855"/>
      <c r="W168" s="855"/>
      <c r="X168" s="855"/>
      <c r="Y168" s="855"/>
      <c r="Z168" s="855"/>
      <c r="AA168" s="855"/>
      <c r="AB168" s="855"/>
      <c r="AC168" s="855"/>
      <c r="AD168" s="855"/>
      <c r="AE168" s="855"/>
      <c r="AF168" s="855"/>
      <c r="AG168" s="855"/>
      <c r="AH168" s="855"/>
      <c r="AI168" s="855"/>
      <c r="AJ168" s="855"/>
      <c r="AK168" s="856"/>
      <c r="AL168" s="855"/>
      <c r="AM168" s="856"/>
      <c r="AN168" s="855"/>
      <c r="AO168" s="856"/>
      <c r="AP168" s="855"/>
      <c r="AQ168" s="855"/>
      <c r="AR168" s="855"/>
      <c r="AS168" s="855"/>
      <c r="AT168" s="855"/>
      <c r="AU168" s="855"/>
      <c r="AV168" s="855"/>
      <c r="AW168" s="855"/>
      <c r="AX168" s="855"/>
      <c r="AY168" s="855"/>
      <c r="AZ168" s="855"/>
    </row>
    <row r="169" spans="1:52">
      <c r="A169" s="131"/>
      <c r="AH169" s="2317"/>
      <c r="AK169" s="330"/>
      <c r="AM169" s="330"/>
      <c r="AO169" s="330"/>
      <c r="AP169" s="868"/>
    </row>
    <row r="170" spans="1:52">
      <c r="A170" s="131"/>
      <c r="B170" s="158">
        <f t="shared" ref="B170:AH170" si="177">+B$5</f>
        <v>1990</v>
      </c>
      <c r="C170" s="158">
        <f t="shared" si="177"/>
        <v>1991</v>
      </c>
      <c r="D170" s="158">
        <f t="shared" si="177"/>
        <v>1992</v>
      </c>
      <c r="E170" s="158">
        <f t="shared" si="177"/>
        <v>1993</v>
      </c>
      <c r="F170" s="158">
        <f t="shared" si="177"/>
        <v>1994</v>
      </c>
      <c r="G170" s="158">
        <f t="shared" si="177"/>
        <v>1995</v>
      </c>
      <c r="H170" s="158">
        <f t="shared" si="177"/>
        <v>1996</v>
      </c>
      <c r="I170" s="158">
        <f t="shared" si="177"/>
        <v>1997</v>
      </c>
      <c r="J170" s="158">
        <f t="shared" si="177"/>
        <v>1998</v>
      </c>
      <c r="K170" s="158">
        <f t="shared" si="177"/>
        <v>1999</v>
      </c>
      <c r="L170" s="158">
        <f t="shared" si="177"/>
        <v>2000</v>
      </c>
      <c r="M170" s="158">
        <f t="shared" si="177"/>
        <v>2001</v>
      </c>
      <c r="N170" s="158">
        <f t="shared" si="177"/>
        <v>2002</v>
      </c>
      <c r="O170" s="158">
        <f t="shared" si="177"/>
        <v>2003</v>
      </c>
      <c r="P170" s="158">
        <f t="shared" si="177"/>
        <v>2004</v>
      </c>
      <c r="Q170" s="158">
        <f t="shared" si="177"/>
        <v>2005</v>
      </c>
      <c r="R170" s="158">
        <f t="shared" si="177"/>
        <v>2006</v>
      </c>
      <c r="S170" s="158">
        <f t="shared" si="177"/>
        <v>2007</v>
      </c>
      <c r="T170" s="158">
        <f t="shared" si="177"/>
        <v>2008</v>
      </c>
      <c r="U170" s="158">
        <f t="shared" si="177"/>
        <v>2009</v>
      </c>
      <c r="V170" s="158">
        <f t="shared" si="177"/>
        <v>2010</v>
      </c>
      <c r="W170" s="158">
        <f t="shared" si="177"/>
        <v>2011</v>
      </c>
      <c r="X170" s="158">
        <f t="shared" si="177"/>
        <v>2012</v>
      </c>
      <c r="Y170" s="158">
        <f t="shared" si="177"/>
        <v>2013</v>
      </c>
      <c r="Z170" s="158">
        <f t="shared" si="177"/>
        <v>2014</v>
      </c>
      <c r="AA170" s="158">
        <f t="shared" si="177"/>
        <v>2015</v>
      </c>
      <c r="AB170" s="158">
        <f t="shared" si="177"/>
        <v>2016</v>
      </c>
      <c r="AC170" s="158">
        <f t="shared" si="177"/>
        <v>2017</v>
      </c>
      <c r="AD170" s="160">
        <f t="shared" si="177"/>
        <v>2018</v>
      </c>
      <c r="AE170" s="160">
        <f t="shared" si="177"/>
        <v>2019</v>
      </c>
      <c r="AF170" s="160">
        <f t="shared" si="177"/>
        <v>2020</v>
      </c>
      <c r="AG170" s="160">
        <f t="shared" si="177"/>
        <v>2021</v>
      </c>
      <c r="AH170" s="160">
        <f t="shared" si="177"/>
        <v>2022</v>
      </c>
      <c r="AK170" s="330"/>
      <c r="AM170" s="330"/>
      <c r="AO170" s="330"/>
    </row>
    <row r="171" spans="1:52">
      <c r="A171" s="131"/>
      <c r="AH171" s="2317"/>
      <c r="AK171" s="330"/>
      <c r="AM171" s="330"/>
      <c r="AO171" s="330"/>
    </row>
    <row r="172" spans="1:52">
      <c r="A172" s="278" t="s">
        <v>816</v>
      </c>
      <c r="C172" s="783"/>
      <c r="D172" s="783"/>
      <c r="E172" s="783"/>
      <c r="F172" s="783"/>
      <c r="G172" s="783"/>
      <c r="H172" s="736"/>
      <c r="I172" s="736"/>
      <c r="J172" s="736"/>
      <c r="K172" s="736"/>
      <c r="L172" s="736"/>
      <c r="M172" s="736"/>
      <c r="N172" s="736"/>
      <c r="O172" s="736"/>
      <c r="P172" s="736"/>
      <c r="Q172" s="736"/>
      <c r="R172" s="115">
        <f>'segSales&amp;comps'!AG156</f>
        <v>185.398</v>
      </c>
      <c r="S172" s="115">
        <f>'segSales&amp;comps'!$AG$163</f>
        <v>243.57900000000001</v>
      </c>
      <c r="T172" s="115">
        <f>'segSales&amp;comps'!$AG$170</f>
        <v>273.09299999999996</v>
      </c>
      <c r="U172" s="115">
        <f>'segSales&amp;comps'!$AG$177</f>
        <v>306.32099999999997</v>
      </c>
      <c r="V172" s="115">
        <f>'segSales&amp;comps'!$AG$184</f>
        <v>360.83100000000002</v>
      </c>
      <c r="W172" s="115">
        <f>+'segSales&amp;comps'!AG191</f>
        <v>421.14100000000008</v>
      </c>
      <c r="X172" s="115">
        <f>+'segSales&amp;comps'!AG198</f>
        <v>432.16699999999997</v>
      </c>
      <c r="Y172" s="115">
        <f>'segSales&amp;comps'!AG205</f>
        <v>469.78399999999999</v>
      </c>
      <c r="Z172" s="115">
        <f>'segSales&amp;comps'!AG212</f>
        <v>497.71799999999996</v>
      </c>
      <c r="AA172" s="115">
        <f>'segSales&amp;comps'!AG219</f>
        <v>505.5</v>
      </c>
      <c r="AB172" s="115">
        <f>'segSales&amp;comps'!AG226</f>
        <v>457.6</v>
      </c>
      <c r="AC172" s="115">
        <f>'segSales&amp;comps'!AG233</f>
        <v>482.9</v>
      </c>
      <c r="AD172" s="115">
        <f>'segSales&amp;comps'!AG240</f>
        <v>541.65134715587942</v>
      </c>
      <c r="AE172" s="115">
        <f>(AD172*(1+AE197+(AE186*AE202)))</f>
        <v>601.48540399030549</v>
      </c>
      <c r="AF172" s="115">
        <f>(AE172*(1+AF197+(AF186*AF202)))</f>
        <v>656.55250714149963</v>
      </c>
      <c r="AG172" s="115">
        <f>(AF172*(1+AG197+(AG186*AG202)))</f>
        <v>701.14707446752288</v>
      </c>
      <c r="AH172" s="115">
        <f>(AG172*(1+AH197+(AH186*AH202)))</f>
        <v>746.89613470136521</v>
      </c>
      <c r="AK172" s="330"/>
      <c r="AM172" s="330"/>
      <c r="AO172" s="330"/>
    </row>
    <row r="173" spans="1:52">
      <c r="A173" s="278" t="s">
        <v>1971</v>
      </c>
      <c r="D173" s="108"/>
      <c r="E173" s="108"/>
      <c r="F173" s="108"/>
      <c r="G173" s="108"/>
      <c r="H173" s="108"/>
      <c r="I173" s="108"/>
      <c r="J173" s="108"/>
      <c r="K173" s="108"/>
      <c r="L173" s="108"/>
      <c r="M173" s="108"/>
      <c r="N173" s="108"/>
      <c r="O173" s="108"/>
      <c r="P173" s="108"/>
      <c r="Q173" s="108"/>
      <c r="R173" s="108"/>
      <c r="S173" s="108">
        <f t="shared" ref="S173:AA173" si="178">S172/R172-1</f>
        <v>0.3138167617773655</v>
      </c>
      <c r="T173" s="108">
        <f t="shared" si="178"/>
        <v>0.12116808099220355</v>
      </c>
      <c r="U173" s="108">
        <f t="shared" si="178"/>
        <v>0.12167283672595053</v>
      </c>
      <c r="V173" s="108">
        <f t="shared" si="178"/>
        <v>0.17795058125299956</v>
      </c>
      <c r="W173" s="108">
        <f t="shared" si="178"/>
        <v>0.16714195842374968</v>
      </c>
      <c r="X173" s="108">
        <f t="shared" si="178"/>
        <v>2.6181255209062781E-2</v>
      </c>
      <c r="Y173" s="108">
        <f t="shared" si="178"/>
        <v>8.7042740422105469E-2</v>
      </c>
      <c r="Z173" s="108">
        <f t="shared" si="178"/>
        <v>5.9461369480442006E-2</v>
      </c>
      <c r="AA173" s="108">
        <f t="shared" si="178"/>
        <v>1.5635359782045333E-2</v>
      </c>
      <c r="AB173" s="108">
        <f t="shared" ref="AB173:AH173" si="179">AB172/AA172-1</f>
        <v>-9.4757665677546954E-2</v>
      </c>
      <c r="AC173" s="108">
        <f t="shared" si="179"/>
        <v>5.5288461538461453E-2</v>
      </c>
      <c r="AD173" s="108">
        <f t="shared" si="179"/>
        <v>0.12166358905752639</v>
      </c>
      <c r="AE173" s="108">
        <f t="shared" si="179"/>
        <v>0.11046599837442428</v>
      </c>
      <c r="AF173" s="108">
        <f t="shared" si="179"/>
        <v>9.1551852772942199E-2</v>
      </c>
      <c r="AG173" s="108">
        <f t="shared" si="179"/>
        <v>6.7922316708802555E-2</v>
      </c>
      <c r="AH173" s="108">
        <f t="shared" si="179"/>
        <v>6.5248878444776892E-2</v>
      </c>
      <c r="AI173" s="108">
        <f>AI172/W172-1</f>
        <v>-1</v>
      </c>
      <c r="AK173" s="330"/>
      <c r="AM173" s="330"/>
      <c r="AO173" s="330"/>
    </row>
    <row r="174" spans="1:52">
      <c r="A174" s="131"/>
      <c r="P174" s="621"/>
      <c r="Q174" s="621"/>
      <c r="R174" s="621"/>
      <c r="S174" s="621"/>
      <c r="T174" s="621"/>
      <c r="U174" s="621"/>
      <c r="V174" s="621"/>
      <c r="W174" s="621"/>
      <c r="X174" s="621"/>
      <c r="Y174" s="621"/>
      <c r="Z174" s="621"/>
      <c r="AA174" s="621"/>
      <c r="AB174" s="621"/>
      <c r="AC174" s="621"/>
      <c r="AD174" s="621"/>
      <c r="AE174" s="621"/>
      <c r="AF174" s="621"/>
      <c r="AG174" s="621"/>
      <c r="AH174" s="621"/>
      <c r="AK174" s="330"/>
      <c r="AM174" s="330"/>
      <c r="AO174" s="330"/>
    </row>
    <row r="175" spans="1:52">
      <c r="A175" s="110" t="s">
        <v>1972</v>
      </c>
      <c r="B175" s="727">
        <f t="shared" ref="B175:U175" si="180">B291</f>
        <v>0</v>
      </c>
      <c r="C175" s="727">
        <f t="shared" si="180"/>
        <v>0</v>
      </c>
      <c r="D175" s="727">
        <f t="shared" si="180"/>
        <v>7</v>
      </c>
      <c r="E175" s="727">
        <f t="shared" si="180"/>
        <v>7</v>
      </c>
      <c r="F175" s="727">
        <f t="shared" si="180"/>
        <v>6</v>
      </c>
      <c r="G175" s="727">
        <f t="shared" si="180"/>
        <v>6</v>
      </c>
      <c r="H175" s="727">
        <f t="shared" si="180"/>
        <v>6</v>
      </c>
      <c r="I175" s="727">
        <f t="shared" si="180"/>
        <v>6</v>
      </c>
      <c r="J175" s="727">
        <f t="shared" si="180"/>
        <v>7</v>
      </c>
      <c r="K175" s="727">
        <f t="shared" si="180"/>
        <v>7</v>
      </c>
      <c r="L175" s="727">
        <f t="shared" si="180"/>
        <v>8</v>
      </c>
      <c r="M175" s="727">
        <f t="shared" si="180"/>
        <v>8</v>
      </c>
      <c r="N175" s="727">
        <f t="shared" si="180"/>
        <v>10</v>
      </c>
      <c r="O175" s="727">
        <f t="shared" si="180"/>
        <v>11</v>
      </c>
      <c r="P175" s="727">
        <f t="shared" si="180"/>
        <v>11</v>
      </c>
      <c r="Q175" s="727">
        <f t="shared" si="180"/>
        <v>12</v>
      </c>
      <c r="R175" s="727">
        <f t="shared" si="180"/>
        <v>13</v>
      </c>
      <c r="S175" s="727">
        <f t="shared" si="180"/>
        <v>14</v>
      </c>
      <c r="T175" s="727">
        <f t="shared" si="180"/>
        <v>17</v>
      </c>
      <c r="U175" s="727">
        <f t="shared" si="180"/>
        <v>24</v>
      </c>
      <c r="V175" s="727">
        <f t="shared" ref="V175:AA175" si="181">+U177</f>
        <v>27</v>
      </c>
      <c r="W175" s="727">
        <f t="shared" si="181"/>
        <v>29</v>
      </c>
      <c r="X175" s="727">
        <f t="shared" si="181"/>
        <v>32</v>
      </c>
      <c r="Y175" s="727">
        <f t="shared" si="181"/>
        <v>34</v>
      </c>
      <c r="Z175" s="727">
        <f t="shared" si="181"/>
        <v>37</v>
      </c>
      <c r="AA175" s="727">
        <f t="shared" si="181"/>
        <v>38</v>
      </c>
      <c r="AB175" s="727">
        <f t="shared" ref="AB175:AH175" si="182">+AA177</f>
        <v>40</v>
      </c>
      <c r="AC175" s="727">
        <f t="shared" si="182"/>
        <v>42</v>
      </c>
      <c r="AD175" s="727">
        <f t="shared" si="182"/>
        <v>45</v>
      </c>
      <c r="AE175" s="727">
        <f t="shared" si="182"/>
        <v>48</v>
      </c>
      <c r="AF175" s="727">
        <f t="shared" si="182"/>
        <v>51</v>
      </c>
      <c r="AG175" s="727">
        <f t="shared" si="182"/>
        <v>54</v>
      </c>
      <c r="AH175" s="727">
        <f t="shared" si="182"/>
        <v>57</v>
      </c>
      <c r="AK175" s="330"/>
      <c r="AM175" s="330"/>
      <c r="AO175" s="330"/>
    </row>
    <row r="176" spans="1:52">
      <c r="A176" s="726" t="s">
        <v>556</v>
      </c>
      <c r="B176" s="729">
        <f t="shared" ref="B176:T176" si="183">B298</f>
        <v>0</v>
      </c>
      <c r="C176" s="729">
        <f t="shared" si="183"/>
        <v>2</v>
      </c>
      <c r="D176" s="729">
        <f t="shared" si="183"/>
        <v>0</v>
      </c>
      <c r="E176" s="729">
        <f t="shared" si="183"/>
        <v>-1</v>
      </c>
      <c r="F176" s="729">
        <f t="shared" si="183"/>
        <v>0</v>
      </c>
      <c r="G176" s="729">
        <f t="shared" si="183"/>
        <v>0</v>
      </c>
      <c r="H176" s="729">
        <f t="shared" si="183"/>
        <v>0</v>
      </c>
      <c r="I176" s="729">
        <f t="shared" si="183"/>
        <v>1</v>
      </c>
      <c r="J176" s="729">
        <f t="shared" si="183"/>
        <v>0</v>
      </c>
      <c r="K176" s="729">
        <f t="shared" si="183"/>
        <v>1</v>
      </c>
      <c r="L176" s="729">
        <f t="shared" si="183"/>
        <v>0</v>
      </c>
      <c r="M176" s="729">
        <f t="shared" si="183"/>
        <v>2</v>
      </c>
      <c r="N176" s="729">
        <f t="shared" si="183"/>
        <v>1</v>
      </c>
      <c r="O176" s="729">
        <f t="shared" si="183"/>
        <v>0</v>
      </c>
      <c r="P176" s="729">
        <f t="shared" si="183"/>
        <v>1</v>
      </c>
      <c r="Q176" s="729">
        <f t="shared" si="183"/>
        <v>1</v>
      </c>
      <c r="R176" s="729">
        <f t="shared" si="183"/>
        <v>1</v>
      </c>
      <c r="S176" s="729">
        <f t="shared" si="183"/>
        <v>3</v>
      </c>
      <c r="T176" s="729">
        <f t="shared" si="183"/>
        <v>7</v>
      </c>
      <c r="U176" s="729">
        <f>Stores!AB251</f>
        <v>3</v>
      </c>
      <c r="V176" s="729">
        <f>Stores!AB258</f>
        <v>2</v>
      </c>
      <c r="W176" s="729">
        <f>+Stores!AB265</f>
        <v>3</v>
      </c>
      <c r="X176" s="729">
        <f>+Stores!AB272</f>
        <v>2</v>
      </c>
      <c r="Y176" s="867">
        <f>Stores!AB279</f>
        <v>3</v>
      </c>
      <c r="Z176" s="867">
        <f>Stores!AB286</f>
        <v>1</v>
      </c>
      <c r="AA176" s="2001">
        <f>Stores!AB293</f>
        <v>2</v>
      </c>
      <c r="AB176" s="2136">
        <f>Stores!AB300</f>
        <v>2</v>
      </c>
      <c r="AC176" s="2136">
        <f>Stores!AB307</f>
        <v>3</v>
      </c>
      <c r="AD176" s="2136">
        <f>Stores!AB314</f>
        <v>3</v>
      </c>
      <c r="AE176" s="1520">
        <v>3</v>
      </c>
      <c r="AF176" s="1520">
        <v>3</v>
      </c>
      <c r="AG176" s="1520">
        <v>3</v>
      </c>
      <c r="AH176" s="1520">
        <v>3</v>
      </c>
      <c r="AK176" s="330"/>
      <c r="AM176" s="330"/>
      <c r="AO176" s="330"/>
    </row>
    <row r="177" spans="1:52">
      <c r="A177" s="110" t="s">
        <v>1973</v>
      </c>
      <c r="B177" s="940">
        <f t="shared" ref="B177:AA177" si="184">+B175+B176</f>
        <v>0</v>
      </c>
      <c r="C177" s="940">
        <f t="shared" si="184"/>
        <v>2</v>
      </c>
      <c r="D177" s="940">
        <f t="shared" si="184"/>
        <v>7</v>
      </c>
      <c r="E177" s="940">
        <f t="shared" si="184"/>
        <v>6</v>
      </c>
      <c r="F177" s="940">
        <f t="shared" si="184"/>
        <v>6</v>
      </c>
      <c r="G177" s="940">
        <f t="shared" si="184"/>
        <v>6</v>
      </c>
      <c r="H177" s="940">
        <f t="shared" si="184"/>
        <v>6</v>
      </c>
      <c r="I177" s="940">
        <f t="shared" si="184"/>
        <v>7</v>
      </c>
      <c r="J177" s="940">
        <f t="shared" si="184"/>
        <v>7</v>
      </c>
      <c r="K177" s="940">
        <f t="shared" si="184"/>
        <v>8</v>
      </c>
      <c r="L177" s="940">
        <f t="shared" si="184"/>
        <v>8</v>
      </c>
      <c r="M177" s="940">
        <f t="shared" si="184"/>
        <v>10</v>
      </c>
      <c r="N177" s="940">
        <f t="shared" si="184"/>
        <v>11</v>
      </c>
      <c r="O177" s="940">
        <f t="shared" si="184"/>
        <v>11</v>
      </c>
      <c r="P177" s="940">
        <f t="shared" si="184"/>
        <v>12</v>
      </c>
      <c r="Q177" s="940">
        <f t="shared" si="184"/>
        <v>13</v>
      </c>
      <c r="R177" s="940">
        <f t="shared" si="184"/>
        <v>14</v>
      </c>
      <c r="S177" s="940">
        <f t="shared" si="184"/>
        <v>17</v>
      </c>
      <c r="T177" s="940">
        <f t="shared" si="184"/>
        <v>24</v>
      </c>
      <c r="U177" s="940">
        <f t="shared" si="184"/>
        <v>27</v>
      </c>
      <c r="V177" s="940">
        <f t="shared" si="184"/>
        <v>29</v>
      </c>
      <c r="W177" s="940">
        <f t="shared" si="184"/>
        <v>32</v>
      </c>
      <c r="X177" s="940">
        <f t="shared" si="184"/>
        <v>34</v>
      </c>
      <c r="Y177" s="940">
        <f t="shared" si="184"/>
        <v>37</v>
      </c>
      <c r="Z177" s="940">
        <f t="shared" si="184"/>
        <v>38</v>
      </c>
      <c r="AA177" s="940">
        <f t="shared" si="184"/>
        <v>40</v>
      </c>
      <c r="AB177" s="940">
        <f t="shared" ref="AB177:AG177" si="185">+AB175+AB176</f>
        <v>42</v>
      </c>
      <c r="AC177" s="940">
        <f t="shared" si="185"/>
        <v>45</v>
      </c>
      <c r="AD177" s="940">
        <f t="shared" si="185"/>
        <v>48</v>
      </c>
      <c r="AE177" s="940">
        <f t="shared" si="185"/>
        <v>51</v>
      </c>
      <c r="AF177" s="940">
        <f t="shared" si="185"/>
        <v>54</v>
      </c>
      <c r="AG177" s="940">
        <f t="shared" si="185"/>
        <v>57</v>
      </c>
      <c r="AH177" s="940">
        <f>+AH175+AH176</f>
        <v>60</v>
      </c>
      <c r="AI177" s="621"/>
      <c r="AJ177" s="621"/>
      <c r="AK177" s="405"/>
      <c r="AL177" s="621"/>
      <c r="AM177" s="405"/>
      <c r="AN177" s="621"/>
      <c r="AO177" s="405"/>
      <c r="AP177" s="940"/>
      <c r="AQ177" s="621"/>
      <c r="AR177" s="621"/>
      <c r="AS177" s="621"/>
      <c r="AT177" s="621"/>
      <c r="AU177" s="621"/>
      <c r="AV177" s="621"/>
      <c r="AW177" s="621"/>
      <c r="AX177" s="621"/>
      <c r="AY177" s="621"/>
      <c r="AZ177" s="621"/>
    </row>
    <row r="178" spans="1:52">
      <c r="A178" s="278" t="s">
        <v>1974</v>
      </c>
      <c r="B178" s="727">
        <f>AVERAGE(B175,B177)</f>
        <v>0</v>
      </c>
      <c r="C178" s="727">
        <f t="shared" ref="C178:AA178" si="186">AVERAGE(B177:C177)</f>
        <v>1</v>
      </c>
      <c r="D178" s="727">
        <f t="shared" si="186"/>
        <v>4.5</v>
      </c>
      <c r="E178" s="727">
        <f t="shared" si="186"/>
        <v>6.5</v>
      </c>
      <c r="F178" s="727">
        <f t="shared" si="186"/>
        <v>6</v>
      </c>
      <c r="G178" s="727">
        <f t="shared" si="186"/>
        <v>6</v>
      </c>
      <c r="H178" s="727">
        <f t="shared" si="186"/>
        <v>6</v>
      </c>
      <c r="I178" s="727">
        <f t="shared" si="186"/>
        <v>6.5</v>
      </c>
      <c r="J178" s="727">
        <f t="shared" si="186"/>
        <v>7</v>
      </c>
      <c r="K178" s="727">
        <f t="shared" si="186"/>
        <v>7.5</v>
      </c>
      <c r="L178" s="727">
        <f t="shared" si="186"/>
        <v>8</v>
      </c>
      <c r="M178" s="727">
        <f t="shared" si="186"/>
        <v>9</v>
      </c>
      <c r="N178" s="727">
        <f t="shared" si="186"/>
        <v>10.5</v>
      </c>
      <c r="O178" s="727">
        <f t="shared" si="186"/>
        <v>11</v>
      </c>
      <c r="P178" s="940">
        <f t="shared" si="186"/>
        <v>11.5</v>
      </c>
      <c r="Q178" s="940">
        <f t="shared" si="186"/>
        <v>12.5</v>
      </c>
      <c r="R178" s="940">
        <f t="shared" si="186"/>
        <v>13.5</v>
      </c>
      <c r="S178" s="940">
        <f t="shared" si="186"/>
        <v>15.5</v>
      </c>
      <c r="T178" s="940">
        <f t="shared" si="186"/>
        <v>20.5</v>
      </c>
      <c r="U178" s="940">
        <f t="shared" si="186"/>
        <v>25.5</v>
      </c>
      <c r="V178" s="940">
        <f t="shared" si="186"/>
        <v>28</v>
      </c>
      <c r="W178" s="940">
        <f t="shared" si="186"/>
        <v>30.5</v>
      </c>
      <c r="X178" s="940">
        <f t="shared" si="186"/>
        <v>33</v>
      </c>
      <c r="Y178" s="940">
        <f t="shared" si="186"/>
        <v>35.5</v>
      </c>
      <c r="Z178" s="940">
        <f t="shared" si="186"/>
        <v>37.5</v>
      </c>
      <c r="AA178" s="940">
        <f t="shared" si="186"/>
        <v>39</v>
      </c>
      <c r="AB178" s="940">
        <f t="shared" ref="AB178:AH178" si="187">AVERAGE(AA177:AB177)</f>
        <v>41</v>
      </c>
      <c r="AC178" s="940">
        <f t="shared" si="187"/>
        <v>43.5</v>
      </c>
      <c r="AD178" s="940">
        <f t="shared" si="187"/>
        <v>46.5</v>
      </c>
      <c r="AE178" s="940">
        <f t="shared" si="187"/>
        <v>49.5</v>
      </c>
      <c r="AF178" s="940">
        <f t="shared" si="187"/>
        <v>52.5</v>
      </c>
      <c r="AG178" s="940">
        <f t="shared" si="187"/>
        <v>55.5</v>
      </c>
      <c r="AH178" s="940">
        <f t="shared" si="187"/>
        <v>58.5</v>
      </c>
      <c r="AK178" s="330"/>
      <c r="AM178" s="330"/>
      <c r="AO178" s="330"/>
    </row>
    <row r="179" spans="1:52">
      <c r="A179" s="278" t="s">
        <v>1975</v>
      </c>
      <c r="B179" s="728"/>
      <c r="C179" s="728"/>
      <c r="D179" s="728">
        <f t="shared" ref="D179:AA179" si="188">D178/C178-1</f>
        <v>3.5</v>
      </c>
      <c r="E179" s="728">
        <f t="shared" si="188"/>
        <v>0.44444444444444442</v>
      </c>
      <c r="F179" s="728">
        <f t="shared" si="188"/>
        <v>-7.6923076923076872E-2</v>
      </c>
      <c r="G179" s="728">
        <f t="shared" si="188"/>
        <v>0</v>
      </c>
      <c r="H179" s="728">
        <f t="shared" si="188"/>
        <v>0</v>
      </c>
      <c r="I179" s="728">
        <f t="shared" si="188"/>
        <v>8.3333333333333259E-2</v>
      </c>
      <c r="J179" s="728">
        <f t="shared" si="188"/>
        <v>7.6923076923076872E-2</v>
      </c>
      <c r="K179" s="728">
        <f t="shared" si="188"/>
        <v>7.1428571428571397E-2</v>
      </c>
      <c r="L179" s="728">
        <f t="shared" si="188"/>
        <v>6.6666666666666652E-2</v>
      </c>
      <c r="M179" s="728">
        <f t="shared" si="188"/>
        <v>0.125</v>
      </c>
      <c r="N179" s="728">
        <f t="shared" si="188"/>
        <v>0.16666666666666674</v>
      </c>
      <c r="O179" s="728">
        <f t="shared" si="188"/>
        <v>4.7619047619047672E-2</v>
      </c>
      <c r="P179" s="633">
        <f t="shared" si="188"/>
        <v>4.5454545454545414E-2</v>
      </c>
      <c r="Q179" s="633">
        <f t="shared" si="188"/>
        <v>8.6956521739130377E-2</v>
      </c>
      <c r="R179" s="633">
        <f t="shared" si="188"/>
        <v>8.0000000000000071E-2</v>
      </c>
      <c r="S179" s="633">
        <f t="shared" si="188"/>
        <v>0.14814814814814814</v>
      </c>
      <c r="T179" s="633">
        <f t="shared" si="188"/>
        <v>0.32258064516129026</v>
      </c>
      <c r="U179" s="633">
        <f t="shared" si="188"/>
        <v>0.24390243902439024</v>
      </c>
      <c r="V179" s="633">
        <f t="shared" si="188"/>
        <v>9.8039215686274606E-2</v>
      </c>
      <c r="W179" s="633">
        <f t="shared" si="188"/>
        <v>8.9285714285714191E-2</v>
      </c>
      <c r="X179" s="633">
        <f t="shared" si="188"/>
        <v>8.1967213114754189E-2</v>
      </c>
      <c r="Y179" s="633">
        <f t="shared" si="188"/>
        <v>7.575757575757569E-2</v>
      </c>
      <c r="Z179" s="633">
        <f t="shared" si="188"/>
        <v>5.6338028169014009E-2</v>
      </c>
      <c r="AA179" s="633">
        <f t="shared" si="188"/>
        <v>4.0000000000000036E-2</v>
      </c>
      <c r="AB179" s="633">
        <f t="shared" ref="AB179:AH179" si="189">AB178/AA178-1</f>
        <v>5.1282051282051322E-2</v>
      </c>
      <c r="AC179" s="633">
        <f t="shared" si="189"/>
        <v>6.0975609756097615E-2</v>
      </c>
      <c r="AD179" s="633">
        <f t="shared" si="189"/>
        <v>6.8965517241379226E-2</v>
      </c>
      <c r="AE179" s="633">
        <f t="shared" si="189"/>
        <v>6.4516129032258007E-2</v>
      </c>
      <c r="AF179" s="633">
        <f t="shared" si="189"/>
        <v>6.0606060606060552E-2</v>
      </c>
      <c r="AG179" s="633">
        <f t="shared" si="189"/>
        <v>5.7142857142857162E-2</v>
      </c>
      <c r="AH179" s="633">
        <f t="shared" si="189"/>
        <v>5.4054054054053946E-2</v>
      </c>
      <c r="AK179" s="330"/>
      <c r="AM179" s="330"/>
      <c r="AO179" s="330"/>
    </row>
    <row r="180" spans="1:52">
      <c r="A180" s="278" t="s">
        <v>1365</v>
      </c>
      <c r="B180" s="728"/>
      <c r="C180" s="108"/>
      <c r="D180" s="108">
        <f t="shared" ref="D180:AA180" si="190">+D177/C177-1</f>
        <v>2.5</v>
      </c>
      <c r="E180" s="108">
        <f t="shared" si="190"/>
        <v>-0.1428571428571429</v>
      </c>
      <c r="F180" s="108">
        <f t="shared" si="190"/>
        <v>0</v>
      </c>
      <c r="G180" s="108">
        <f t="shared" si="190"/>
        <v>0</v>
      </c>
      <c r="H180" s="108">
        <f t="shared" si="190"/>
        <v>0</v>
      </c>
      <c r="I180" s="108">
        <f t="shared" si="190"/>
        <v>0.16666666666666674</v>
      </c>
      <c r="J180" s="108">
        <f t="shared" si="190"/>
        <v>0</v>
      </c>
      <c r="K180" s="108">
        <f t="shared" si="190"/>
        <v>0.14285714285714279</v>
      </c>
      <c r="L180" s="108">
        <f t="shared" si="190"/>
        <v>0</v>
      </c>
      <c r="M180" s="108">
        <f t="shared" si="190"/>
        <v>0.25</v>
      </c>
      <c r="N180" s="108">
        <f t="shared" si="190"/>
        <v>0.10000000000000009</v>
      </c>
      <c r="O180" s="108">
        <f t="shared" si="190"/>
        <v>0</v>
      </c>
      <c r="P180" s="108">
        <f t="shared" si="190"/>
        <v>9.0909090909090828E-2</v>
      </c>
      <c r="Q180" s="108">
        <f t="shared" si="190"/>
        <v>8.3333333333333259E-2</v>
      </c>
      <c r="R180" s="108">
        <f t="shared" si="190"/>
        <v>7.6923076923076872E-2</v>
      </c>
      <c r="S180" s="108">
        <f t="shared" si="190"/>
        <v>0.21428571428571419</v>
      </c>
      <c r="T180" s="108">
        <f t="shared" si="190"/>
        <v>0.41176470588235303</v>
      </c>
      <c r="U180" s="108">
        <f t="shared" si="190"/>
        <v>0.125</v>
      </c>
      <c r="V180" s="108">
        <f t="shared" si="190"/>
        <v>7.4074074074074181E-2</v>
      </c>
      <c r="W180" s="108">
        <f t="shared" si="190"/>
        <v>0.10344827586206895</v>
      </c>
      <c r="X180" s="108">
        <f t="shared" si="190"/>
        <v>6.25E-2</v>
      </c>
      <c r="Y180" s="108">
        <f t="shared" si="190"/>
        <v>8.8235294117646967E-2</v>
      </c>
      <c r="Z180" s="108">
        <f t="shared" si="190"/>
        <v>2.7027027027026973E-2</v>
      </c>
      <c r="AA180" s="108">
        <f t="shared" si="190"/>
        <v>5.2631578947368363E-2</v>
      </c>
      <c r="AB180" s="108">
        <f t="shared" ref="AB180:AH180" si="191">+AB177/AA177-1</f>
        <v>5.0000000000000044E-2</v>
      </c>
      <c r="AC180" s="108">
        <f t="shared" si="191"/>
        <v>7.1428571428571397E-2</v>
      </c>
      <c r="AD180" s="108">
        <f t="shared" si="191"/>
        <v>6.6666666666666652E-2</v>
      </c>
      <c r="AE180" s="108">
        <f t="shared" si="191"/>
        <v>6.25E-2</v>
      </c>
      <c r="AF180" s="108">
        <f t="shared" si="191"/>
        <v>5.8823529411764719E-2</v>
      </c>
      <c r="AG180" s="108">
        <f t="shared" si="191"/>
        <v>5.555555555555558E-2</v>
      </c>
      <c r="AH180" s="108">
        <f t="shared" si="191"/>
        <v>5.2631578947368363E-2</v>
      </c>
      <c r="AK180" s="330"/>
      <c r="AM180" s="330"/>
      <c r="AO180" s="330"/>
    </row>
    <row r="181" spans="1:52">
      <c r="A181" s="131"/>
      <c r="G181" s="216"/>
      <c r="H181" s="216"/>
      <c r="I181" s="216"/>
      <c r="J181" s="216"/>
      <c r="K181" s="216"/>
      <c r="L181" s="873"/>
      <c r="M181" s="873"/>
      <c r="N181" s="873"/>
      <c r="O181" s="873"/>
      <c r="P181" s="873"/>
      <c r="Q181" s="873"/>
      <c r="R181" s="873"/>
      <c r="S181" s="873"/>
      <c r="T181" s="873"/>
      <c r="U181" s="873"/>
      <c r="V181" s="873"/>
      <c r="W181" s="873"/>
      <c r="X181" s="873"/>
      <c r="Y181" s="873"/>
      <c r="Z181" s="873"/>
      <c r="AA181" s="873"/>
      <c r="AB181" s="873"/>
      <c r="AC181" s="873"/>
      <c r="AD181" s="873"/>
      <c r="AE181" s="873"/>
      <c r="AF181" s="873"/>
      <c r="AG181" s="873"/>
      <c r="AH181" s="873"/>
      <c r="AK181" s="330"/>
      <c r="AM181" s="330"/>
      <c r="AO181" s="330"/>
    </row>
    <row r="182" spans="1:52">
      <c r="A182" s="278" t="s">
        <v>557</v>
      </c>
      <c r="C182" s="737">
        <f t="shared" ref="C182:K182" si="192">+C172/C178</f>
        <v>0</v>
      </c>
      <c r="D182" s="737">
        <f t="shared" si="192"/>
        <v>0</v>
      </c>
      <c r="E182" s="737">
        <f t="shared" si="192"/>
        <v>0</v>
      </c>
      <c r="F182" s="737">
        <f t="shared" si="192"/>
        <v>0</v>
      </c>
      <c r="G182" s="737">
        <f t="shared" si="192"/>
        <v>0</v>
      </c>
      <c r="H182" s="737">
        <f t="shared" si="192"/>
        <v>0</v>
      </c>
      <c r="I182" s="737">
        <f t="shared" si="192"/>
        <v>0</v>
      </c>
      <c r="J182" s="737">
        <f t="shared" si="192"/>
        <v>0</v>
      </c>
      <c r="K182" s="737">
        <f t="shared" si="192"/>
        <v>0</v>
      </c>
      <c r="L182" s="737"/>
      <c r="M182" s="737"/>
      <c r="N182" s="737"/>
      <c r="O182" s="737"/>
      <c r="P182" s="942"/>
      <c r="Q182" s="942"/>
      <c r="R182" s="942">
        <f t="shared" ref="R182:Y182" si="193">+R172/R178</f>
        <v>13.733185185185185</v>
      </c>
      <c r="S182" s="942">
        <f t="shared" si="193"/>
        <v>15.714774193548388</v>
      </c>
      <c r="T182" s="942">
        <f t="shared" si="193"/>
        <v>13.321609756097558</v>
      </c>
      <c r="U182" s="942">
        <f t="shared" si="193"/>
        <v>12.012588235294116</v>
      </c>
      <c r="V182" s="942">
        <f t="shared" si="193"/>
        <v>12.886821428571428</v>
      </c>
      <c r="W182" s="942">
        <f t="shared" si="193"/>
        <v>13.807901639344264</v>
      </c>
      <c r="X182" s="942">
        <f t="shared" si="193"/>
        <v>13.095969696969696</v>
      </c>
      <c r="Y182" s="942">
        <f t="shared" si="193"/>
        <v>13.233352112676057</v>
      </c>
      <c r="Z182" s="942">
        <f t="shared" ref="Z182:AE182" si="194">+Z172/Z178</f>
        <v>13.27248</v>
      </c>
      <c r="AA182" s="942">
        <f t="shared" si="194"/>
        <v>12.961538461538462</v>
      </c>
      <c r="AB182" s="942">
        <f>+AB172/AB178</f>
        <v>11.160975609756099</v>
      </c>
      <c r="AC182" s="942">
        <f>+AC172/AC178</f>
        <v>11.101149425287355</v>
      </c>
      <c r="AD182" s="942">
        <f t="shared" si="194"/>
        <v>11.648416067868375</v>
      </c>
      <c r="AE182" s="942">
        <f t="shared" si="194"/>
        <v>12.151220282632433</v>
      </c>
      <c r="AF182" s="942">
        <f>+AF172/AF178</f>
        <v>12.505762040790469</v>
      </c>
      <c r="AG182" s="942">
        <f>+AG172/AG178</f>
        <v>12.633280621036448</v>
      </c>
      <c r="AH182" s="942">
        <f>+AH172/AH178</f>
        <v>12.767455294040431</v>
      </c>
      <c r="AK182" s="330"/>
      <c r="AM182" s="330"/>
      <c r="AO182" s="330"/>
    </row>
    <row r="183" spans="1:52">
      <c r="A183" s="278" t="s">
        <v>1971</v>
      </c>
      <c r="C183" s="738"/>
      <c r="D183" s="738" t="e">
        <f t="shared" ref="D183:K183" si="195">+D182/C182-1</f>
        <v>#DIV/0!</v>
      </c>
      <c r="E183" s="738" t="e">
        <f t="shared" si="195"/>
        <v>#DIV/0!</v>
      </c>
      <c r="F183" s="738" t="e">
        <f t="shared" si="195"/>
        <v>#DIV/0!</v>
      </c>
      <c r="G183" s="738" t="e">
        <f t="shared" si="195"/>
        <v>#DIV/0!</v>
      </c>
      <c r="H183" s="738" t="e">
        <f t="shared" si="195"/>
        <v>#DIV/0!</v>
      </c>
      <c r="I183" s="738" t="e">
        <f t="shared" si="195"/>
        <v>#DIV/0!</v>
      </c>
      <c r="J183" s="738" t="e">
        <f t="shared" si="195"/>
        <v>#DIV/0!</v>
      </c>
      <c r="K183" s="738" t="e">
        <f t="shared" si="195"/>
        <v>#DIV/0!</v>
      </c>
      <c r="L183" s="738"/>
      <c r="M183" s="738"/>
      <c r="N183" s="738"/>
      <c r="O183" s="738"/>
      <c r="P183" s="943"/>
      <c r="Q183" s="943"/>
      <c r="R183" s="943"/>
      <c r="S183" s="943">
        <f t="shared" ref="S183:AA183" si="196">+S182/R182-1</f>
        <v>0.1442920183222216</v>
      </c>
      <c r="T183" s="943">
        <f t="shared" si="196"/>
        <v>-0.15228754851809001</v>
      </c>
      <c r="U183" s="943">
        <f t="shared" si="196"/>
        <v>-9.826301361247114E-2</v>
      </c>
      <c r="V183" s="943">
        <f t="shared" si="196"/>
        <v>7.2776422212553094E-2</v>
      </c>
      <c r="W183" s="943">
        <f t="shared" si="196"/>
        <v>7.1474584782458717E-2</v>
      </c>
      <c r="X183" s="943">
        <f t="shared" si="196"/>
        <v>-5.1559748973441955E-2</v>
      </c>
      <c r="Y183" s="943">
        <f t="shared" si="196"/>
        <v>1.0490434758576805E-2</v>
      </c>
      <c r="Z183" s="943">
        <f t="shared" si="196"/>
        <v>2.9567631081517387E-3</v>
      </c>
      <c r="AA183" s="943">
        <f t="shared" si="196"/>
        <v>-2.3427538671110359E-2</v>
      </c>
      <c r="AB183" s="943">
        <f t="shared" ref="AB183:AH183" si="197">+AB182/AA182-1</f>
        <v>-0.13891582832742266</v>
      </c>
      <c r="AC183" s="943">
        <f t="shared" si="197"/>
        <v>-5.3603006189215652E-3</v>
      </c>
      <c r="AD183" s="943">
        <f t="shared" si="197"/>
        <v>4.9298196215105339E-2</v>
      </c>
      <c r="AE183" s="943">
        <f t="shared" si="197"/>
        <v>4.3165028775974168E-2</v>
      </c>
      <c r="AF183" s="943">
        <f t="shared" si="197"/>
        <v>2.917746118591702E-2</v>
      </c>
      <c r="AG183" s="943">
        <f t="shared" si="197"/>
        <v>1.0196786075894249E-2</v>
      </c>
      <c r="AH183" s="943">
        <f t="shared" si="197"/>
        <v>1.0620730832224146E-2</v>
      </c>
      <c r="AK183" s="330"/>
      <c r="AM183" s="330"/>
      <c r="AO183" s="330"/>
    </row>
    <row r="184" spans="1:52">
      <c r="A184" s="131"/>
      <c r="G184" s="216"/>
      <c r="H184" s="216"/>
      <c r="I184" s="216"/>
      <c r="J184" s="216"/>
      <c r="K184" s="216"/>
      <c r="L184" s="216"/>
      <c r="M184" s="216"/>
      <c r="P184" s="621"/>
      <c r="Q184" s="621"/>
      <c r="R184" s="621"/>
      <c r="S184" s="621"/>
      <c r="T184" s="621"/>
      <c r="U184" s="621"/>
      <c r="V184" s="621"/>
      <c r="W184" s="621"/>
      <c r="X184" s="621"/>
      <c r="Y184" s="621"/>
      <c r="Z184" s="621"/>
      <c r="AA184" s="621"/>
      <c r="AB184" s="621"/>
      <c r="AC184" s="621"/>
      <c r="AD184" s="621"/>
      <c r="AE184" s="621"/>
      <c r="AF184" s="621"/>
      <c r="AG184" s="621"/>
      <c r="AH184" s="621"/>
      <c r="AK184" s="330"/>
      <c r="AM184" s="330"/>
      <c r="AO184" s="330"/>
    </row>
    <row r="185" spans="1:52">
      <c r="A185" s="278" t="s">
        <v>1977</v>
      </c>
      <c r="E185" s="111">
        <f t="shared" ref="E185:K185" si="198">+(E188+D188)/2</f>
        <v>0</v>
      </c>
      <c r="F185" s="111">
        <f t="shared" si="198"/>
        <v>0</v>
      </c>
      <c r="G185" s="111">
        <f t="shared" si="198"/>
        <v>0</v>
      </c>
      <c r="H185" s="111">
        <f t="shared" si="198"/>
        <v>0</v>
      </c>
      <c r="I185" s="111">
        <f t="shared" si="198"/>
        <v>0</v>
      </c>
      <c r="J185" s="111">
        <f t="shared" si="198"/>
        <v>0</v>
      </c>
      <c r="K185" s="111">
        <f t="shared" si="198"/>
        <v>0.10372500000000001</v>
      </c>
      <c r="L185" s="111"/>
      <c r="M185" s="111"/>
      <c r="N185" s="111"/>
      <c r="O185" s="111"/>
      <c r="P185" s="202"/>
      <c r="Q185" s="202"/>
      <c r="R185" s="202"/>
      <c r="S185" s="202"/>
      <c r="T185" s="202"/>
      <c r="U185" s="202">
        <f t="shared" ref="U185:AA185" si="199">+(U188+T188)/2</f>
        <v>9.7000000000000003E-2</v>
      </c>
      <c r="V185" s="202">
        <f t="shared" si="199"/>
        <v>0.10445000000000002</v>
      </c>
      <c r="W185" s="202">
        <f t="shared" si="199"/>
        <v>0.10985</v>
      </c>
      <c r="X185" s="202">
        <f t="shared" si="199"/>
        <v>0.11847500000000002</v>
      </c>
      <c r="Y185" s="202">
        <f t="shared" si="199"/>
        <v>0.13032500000000002</v>
      </c>
      <c r="Z185" s="202">
        <f t="shared" si="199"/>
        <v>0.14050000000000004</v>
      </c>
      <c r="AA185" s="202">
        <f t="shared" si="199"/>
        <v>0.14860000000000007</v>
      </c>
      <c r="AB185" s="202">
        <f t="shared" ref="AB185:AH185" si="200">+(AB188+AA188)/2</f>
        <v>0.15650000000000006</v>
      </c>
      <c r="AC185" s="202">
        <f t="shared" si="200"/>
        <v>0.16880000000000006</v>
      </c>
      <c r="AD185" s="202">
        <f t="shared" si="200"/>
        <v>0.18455000000000008</v>
      </c>
      <c r="AE185" s="202">
        <f t="shared" si="200"/>
        <v>0.20105000000000009</v>
      </c>
      <c r="AF185" s="202">
        <f t="shared" si="200"/>
        <v>0.2175500000000001</v>
      </c>
      <c r="AG185" s="202">
        <f t="shared" si="200"/>
        <v>0.23405000000000012</v>
      </c>
      <c r="AH185" s="202">
        <f t="shared" si="200"/>
        <v>0.25055000000000016</v>
      </c>
      <c r="AK185" s="330"/>
      <c r="AM185" s="330"/>
      <c r="AO185" s="330"/>
    </row>
    <row r="186" spans="1:52">
      <c r="A186" s="278" t="s">
        <v>1971</v>
      </c>
      <c r="F186" s="108" t="e">
        <f t="shared" ref="F186:K186" si="201">+F185/E185-1</f>
        <v>#DIV/0!</v>
      </c>
      <c r="G186" s="108" t="e">
        <f t="shared" si="201"/>
        <v>#DIV/0!</v>
      </c>
      <c r="H186" s="108" t="e">
        <f t="shared" si="201"/>
        <v>#DIV/0!</v>
      </c>
      <c r="I186" s="108" t="e">
        <f t="shared" si="201"/>
        <v>#DIV/0!</v>
      </c>
      <c r="J186" s="108" t="e">
        <f t="shared" si="201"/>
        <v>#DIV/0!</v>
      </c>
      <c r="K186" s="108" t="e">
        <f t="shared" si="201"/>
        <v>#DIV/0!</v>
      </c>
      <c r="L186" s="108"/>
      <c r="M186" s="108"/>
      <c r="N186" s="108"/>
      <c r="O186" s="108"/>
      <c r="P186" s="939"/>
      <c r="Q186" s="939"/>
      <c r="R186" s="939"/>
      <c r="S186" s="939"/>
      <c r="T186" s="939"/>
      <c r="U186" s="939"/>
      <c r="V186" s="939">
        <f t="shared" ref="V186:AA186" si="202">+V185/U185-1</f>
        <v>7.6804123711340377E-2</v>
      </c>
      <c r="W186" s="939">
        <f t="shared" si="202"/>
        <v>5.1699377692675741E-2</v>
      </c>
      <c r="X186" s="939">
        <f t="shared" si="202"/>
        <v>7.8516158397815339E-2</v>
      </c>
      <c r="Y186" s="939">
        <f t="shared" si="202"/>
        <v>0.10002110149820642</v>
      </c>
      <c r="Z186" s="939">
        <f t="shared" si="202"/>
        <v>7.8074045655093238E-2</v>
      </c>
      <c r="AA186" s="939">
        <f t="shared" si="202"/>
        <v>5.7651245551601615E-2</v>
      </c>
      <c r="AB186" s="939">
        <f t="shared" ref="AB186:AH186" si="203">+AB185/AA185-1</f>
        <v>5.3162853297442636E-2</v>
      </c>
      <c r="AC186" s="939">
        <f t="shared" si="203"/>
        <v>7.8594249201277888E-2</v>
      </c>
      <c r="AD186" s="939">
        <f t="shared" si="203"/>
        <v>9.3305687203791621E-2</v>
      </c>
      <c r="AE186" s="939">
        <f t="shared" si="203"/>
        <v>8.9406664860471441E-2</v>
      </c>
      <c r="AF186" s="939">
        <f t="shared" si="203"/>
        <v>8.206913703058949E-2</v>
      </c>
      <c r="AG186" s="939">
        <f t="shared" si="203"/>
        <v>7.5844633417605278E-2</v>
      </c>
      <c r="AH186" s="939">
        <f t="shared" si="203"/>
        <v>7.0497756889553731E-2</v>
      </c>
      <c r="AK186" s="330"/>
      <c r="AM186" s="330"/>
      <c r="AO186" s="330"/>
    </row>
    <row r="187" spans="1:52">
      <c r="A187" s="103"/>
      <c r="G187" s="216"/>
      <c r="H187" s="216"/>
      <c r="I187" s="216"/>
      <c r="J187" s="216"/>
      <c r="K187" s="216"/>
      <c r="L187" s="216"/>
      <c r="M187" s="216"/>
      <c r="P187" s="621"/>
      <c r="Q187" s="621"/>
      <c r="R187" s="621"/>
      <c r="S187" s="621"/>
      <c r="T187" s="621"/>
      <c r="U187" s="621"/>
      <c r="V187" s="621"/>
      <c r="W187" s="621"/>
      <c r="X187" s="621"/>
      <c r="Y187" s="621"/>
      <c r="Z187" s="621"/>
      <c r="AA187" s="621"/>
      <c r="AB187" s="621"/>
      <c r="AC187" s="621"/>
      <c r="AD187" s="621"/>
      <c r="AE187" s="621"/>
      <c r="AF187" s="621"/>
      <c r="AG187" s="621"/>
      <c r="AH187" s="621"/>
      <c r="AK187" s="330"/>
      <c r="AM187" s="330"/>
      <c r="AO187" s="330"/>
    </row>
    <row r="188" spans="1:52">
      <c r="A188" s="110" t="s">
        <v>1940</v>
      </c>
      <c r="B188" s="621"/>
      <c r="C188" s="938"/>
      <c r="D188" s="938">
        <f>Stores!$G10/0.8</f>
        <v>0</v>
      </c>
      <c r="E188" s="938">
        <f>Stores!$G17/0.8</f>
        <v>0</v>
      </c>
      <c r="F188" s="938">
        <f>Stores!$G24/0.8</f>
        <v>0</v>
      </c>
      <c r="G188" s="938">
        <f>Stores!$G31/0.8</f>
        <v>0</v>
      </c>
      <c r="H188" s="938">
        <f>Stores!$G38</f>
        <v>0</v>
      </c>
      <c r="I188" s="938">
        <f>Stores!G45</f>
        <v>0</v>
      </c>
      <c r="J188" s="938">
        <f>Stores!G52</f>
        <v>0</v>
      </c>
      <c r="K188" s="938">
        <f>Stores!G59</f>
        <v>0.20745000000000002</v>
      </c>
      <c r="L188" s="938"/>
      <c r="M188" s="938"/>
      <c r="N188" s="938"/>
      <c r="O188" s="938"/>
      <c r="P188" s="938"/>
      <c r="Q188" s="938"/>
      <c r="R188" s="938"/>
      <c r="S188" s="938"/>
      <c r="T188" s="938">
        <f>Stores!AD244</f>
        <v>9.2999999999999999E-2</v>
      </c>
      <c r="U188" s="938">
        <f>Stores!$AD$251</f>
        <v>0.10100000000000001</v>
      </c>
      <c r="V188" s="938">
        <f>+Stores!AD258</f>
        <v>0.10790000000000001</v>
      </c>
      <c r="W188" s="938">
        <f>+Stores!AD264</f>
        <v>0.1118</v>
      </c>
      <c r="X188" s="938">
        <f>+Stores!AD272</f>
        <v>0.12515000000000004</v>
      </c>
      <c r="Y188" s="938">
        <f t="shared" ref="Y188:AH188" si="204">X188+Y200*Y176/1000000</f>
        <v>0.13550000000000004</v>
      </c>
      <c r="Z188" s="938">
        <f t="shared" si="204"/>
        <v>0.14550000000000005</v>
      </c>
      <c r="AA188" s="938">
        <f t="shared" si="204"/>
        <v>0.15170000000000006</v>
      </c>
      <c r="AB188" s="938">
        <f t="shared" si="204"/>
        <v>0.16130000000000005</v>
      </c>
      <c r="AC188" s="938">
        <f t="shared" si="204"/>
        <v>0.17630000000000007</v>
      </c>
      <c r="AD188" s="938">
        <f t="shared" si="204"/>
        <v>0.19280000000000008</v>
      </c>
      <c r="AE188" s="938">
        <f t="shared" si="204"/>
        <v>0.2093000000000001</v>
      </c>
      <c r="AF188" s="938">
        <f t="shared" si="204"/>
        <v>0.22580000000000011</v>
      </c>
      <c r="AG188" s="938">
        <f t="shared" si="204"/>
        <v>0.24230000000000013</v>
      </c>
      <c r="AH188" s="938">
        <f t="shared" si="204"/>
        <v>0.25880000000000014</v>
      </c>
      <c r="AI188" s="621"/>
      <c r="AJ188" s="621"/>
      <c r="AK188" s="405"/>
      <c r="AL188" s="621"/>
      <c r="AM188" s="405"/>
      <c r="AN188" s="621"/>
      <c r="AO188" s="405"/>
      <c r="AP188" s="621"/>
      <c r="AQ188" s="621"/>
      <c r="AR188" s="621"/>
      <c r="AS188" s="621"/>
      <c r="AT188" s="621"/>
      <c r="AU188" s="621"/>
      <c r="AV188" s="621"/>
      <c r="AW188" s="621"/>
      <c r="AX188" s="621"/>
      <c r="AY188" s="621"/>
      <c r="AZ188" s="621"/>
    </row>
    <row r="189" spans="1:52">
      <c r="A189" s="110" t="s">
        <v>1971</v>
      </c>
      <c r="B189" s="621"/>
      <c r="C189" s="621"/>
      <c r="D189" s="621"/>
      <c r="E189" s="939" t="e">
        <f t="shared" ref="E189:K189" si="205">+E188/D188-1</f>
        <v>#DIV/0!</v>
      </c>
      <c r="F189" s="939" t="e">
        <f t="shared" si="205"/>
        <v>#DIV/0!</v>
      </c>
      <c r="G189" s="939" t="e">
        <f t="shared" si="205"/>
        <v>#DIV/0!</v>
      </c>
      <c r="H189" s="939" t="e">
        <f t="shared" si="205"/>
        <v>#DIV/0!</v>
      </c>
      <c r="I189" s="939" t="e">
        <f t="shared" si="205"/>
        <v>#DIV/0!</v>
      </c>
      <c r="J189" s="939" t="e">
        <f t="shared" si="205"/>
        <v>#DIV/0!</v>
      </c>
      <c r="K189" s="939" t="e">
        <f t="shared" si="205"/>
        <v>#DIV/0!</v>
      </c>
      <c r="L189" s="939"/>
      <c r="M189" s="939"/>
      <c r="N189" s="939"/>
      <c r="O189" s="939"/>
      <c r="P189" s="939"/>
      <c r="Q189" s="939"/>
      <c r="R189" s="939"/>
      <c r="S189" s="939"/>
      <c r="T189" s="939"/>
      <c r="U189" s="939">
        <f t="shared" ref="U189:AA189" si="206">+U188/T188-1</f>
        <v>8.6021505376344232E-2</v>
      </c>
      <c r="V189" s="939">
        <f t="shared" si="206"/>
        <v>6.8316831683168378E-2</v>
      </c>
      <c r="W189" s="939">
        <f t="shared" si="206"/>
        <v>3.6144578313252795E-2</v>
      </c>
      <c r="X189" s="939">
        <f t="shared" si="206"/>
        <v>0.11940966010733489</v>
      </c>
      <c r="Y189" s="939">
        <f t="shared" si="206"/>
        <v>8.2700759089093134E-2</v>
      </c>
      <c r="Z189" s="939">
        <f t="shared" si="206"/>
        <v>7.3800738007380184E-2</v>
      </c>
      <c r="AA189" s="939">
        <f t="shared" si="206"/>
        <v>4.2611683848797322E-2</v>
      </c>
      <c r="AB189" s="939">
        <f t="shared" ref="AB189:AH189" si="207">+AB188/AA188-1</f>
        <v>6.3282794990112023E-2</v>
      </c>
      <c r="AC189" s="939">
        <f t="shared" si="207"/>
        <v>9.2994420334779893E-2</v>
      </c>
      <c r="AD189" s="939">
        <f t="shared" si="207"/>
        <v>9.359047078842897E-2</v>
      </c>
      <c r="AE189" s="939">
        <f t="shared" si="207"/>
        <v>8.5580912863070679E-2</v>
      </c>
      <c r="AF189" s="939">
        <f t="shared" si="207"/>
        <v>7.8834209268991984E-2</v>
      </c>
      <c r="AG189" s="939">
        <f t="shared" si="207"/>
        <v>7.3073516386182424E-2</v>
      </c>
      <c r="AH189" s="939">
        <f t="shared" si="207"/>
        <v>6.8097399917457668E-2</v>
      </c>
      <c r="AI189" s="621"/>
      <c r="AJ189" s="621"/>
      <c r="AK189" s="405"/>
      <c r="AL189" s="621"/>
      <c r="AM189" s="405"/>
      <c r="AN189" s="621"/>
      <c r="AO189" s="405"/>
      <c r="AP189" s="621"/>
      <c r="AQ189" s="621"/>
      <c r="AR189" s="621"/>
      <c r="AS189" s="621"/>
      <c r="AT189" s="621"/>
      <c r="AU189" s="621"/>
      <c r="AV189" s="621"/>
      <c r="AW189" s="621"/>
      <c r="AX189" s="621"/>
      <c r="AY189" s="621"/>
      <c r="AZ189" s="621"/>
    </row>
    <row r="190" spans="1:52">
      <c r="A190" s="103"/>
      <c r="P190" s="621"/>
      <c r="Q190" s="621"/>
      <c r="R190" s="621"/>
      <c r="S190" s="621"/>
      <c r="T190" s="621"/>
      <c r="U190" s="621"/>
      <c r="V190" s="621"/>
      <c r="W190" s="621"/>
      <c r="X190" s="621"/>
      <c r="Y190" s="621"/>
      <c r="Z190" s="621"/>
      <c r="AA190" s="621"/>
      <c r="AB190" s="621"/>
      <c r="AC190" s="621"/>
      <c r="AD190" s="621"/>
      <c r="AE190" s="621"/>
      <c r="AF190" s="621"/>
      <c r="AG190" s="621"/>
      <c r="AH190" s="621"/>
      <c r="AK190" s="330"/>
      <c r="AM190" s="330"/>
      <c r="AO190" s="330"/>
    </row>
    <row r="191" spans="1:52">
      <c r="A191" s="278" t="s">
        <v>1978</v>
      </c>
      <c r="B191" s="109" t="e">
        <f>B188/B177*1000000</f>
        <v>#DIV/0!</v>
      </c>
      <c r="C191" s="109">
        <f t="shared" ref="C191:Y191" si="208">C188/C177*1000000</f>
        <v>0</v>
      </c>
      <c r="D191" s="109">
        <f t="shared" si="208"/>
        <v>0</v>
      </c>
      <c r="E191" s="109">
        <f t="shared" si="208"/>
        <v>0</v>
      </c>
      <c r="F191" s="109">
        <f t="shared" si="208"/>
        <v>0</v>
      </c>
      <c r="G191" s="109">
        <f t="shared" si="208"/>
        <v>0</v>
      </c>
      <c r="H191" s="109">
        <f t="shared" si="208"/>
        <v>0</v>
      </c>
      <c r="I191" s="109">
        <f t="shared" si="208"/>
        <v>0</v>
      </c>
      <c r="J191" s="109">
        <f t="shared" si="208"/>
        <v>0</v>
      </c>
      <c r="K191" s="109">
        <f t="shared" si="208"/>
        <v>25931.250000000004</v>
      </c>
      <c r="L191" s="109"/>
      <c r="M191" s="109"/>
      <c r="N191" s="109"/>
      <c r="O191" s="109"/>
      <c r="P191" s="584"/>
      <c r="Q191" s="584"/>
      <c r="R191" s="584"/>
      <c r="S191" s="584"/>
      <c r="T191" s="584">
        <f t="shared" si="208"/>
        <v>3875</v>
      </c>
      <c r="U191" s="584">
        <f t="shared" si="208"/>
        <v>3740.7407407407409</v>
      </c>
      <c r="V191" s="584">
        <f t="shared" si="208"/>
        <v>3720.6896551724144</v>
      </c>
      <c r="W191" s="584">
        <f t="shared" si="208"/>
        <v>3493.75</v>
      </c>
      <c r="X191" s="584">
        <f t="shared" si="208"/>
        <v>3680.8823529411775</v>
      </c>
      <c r="Y191" s="584">
        <f t="shared" si="208"/>
        <v>3662.162162162163</v>
      </c>
      <c r="Z191" s="584">
        <f t="shared" ref="Z191:AE191" si="209">Z188/Z177*1000000</f>
        <v>3828.9473684210539</v>
      </c>
      <c r="AA191" s="584">
        <f t="shared" si="209"/>
        <v>3792.5000000000018</v>
      </c>
      <c r="AB191" s="584">
        <f t="shared" si="209"/>
        <v>3840.4761904761917</v>
      </c>
      <c r="AC191" s="584">
        <f t="shared" si="209"/>
        <v>3917.7777777777796</v>
      </c>
      <c r="AD191" s="584">
        <f t="shared" si="209"/>
        <v>4016.6666666666683</v>
      </c>
      <c r="AE191" s="584">
        <f t="shared" si="209"/>
        <v>4103.9215686274529</v>
      </c>
      <c r="AF191" s="584">
        <f>AF188/AF177*1000000</f>
        <v>4181.4814814814836</v>
      </c>
      <c r="AG191" s="584">
        <f>AG188/AG177*1000000</f>
        <v>4250.8771929824579</v>
      </c>
      <c r="AH191" s="584">
        <f>AH188/AH177*1000000</f>
        <v>4313.3333333333358</v>
      </c>
      <c r="AK191" s="330"/>
      <c r="AM191" s="330"/>
      <c r="AO191" s="330"/>
    </row>
    <row r="192" spans="1:52">
      <c r="A192" s="278" t="s">
        <v>1971</v>
      </c>
      <c r="P192" s="621"/>
      <c r="Q192" s="621"/>
      <c r="R192" s="621"/>
      <c r="S192" s="621"/>
      <c r="T192" s="621"/>
      <c r="U192" s="621"/>
      <c r="V192" s="621"/>
      <c r="W192" s="621"/>
      <c r="X192" s="621"/>
      <c r="Y192" s="621"/>
      <c r="Z192" s="621"/>
      <c r="AA192" s="621"/>
      <c r="AB192" s="621"/>
      <c r="AC192" s="621"/>
      <c r="AD192" s="621"/>
      <c r="AE192" s="621"/>
      <c r="AF192" s="621"/>
      <c r="AG192" s="621"/>
      <c r="AH192" s="621"/>
      <c r="AK192" s="330"/>
      <c r="AM192" s="330"/>
      <c r="AO192" s="330"/>
    </row>
    <row r="193" spans="1:41">
      <c r="A193" s="103"/>
      <c r="P193" s="621"/>
      <c r="Q193" s="621"/>
      <c r="R193" s="621"/>
      <c r="S193" s="621"/>
      <c r="T193" s="621"/>
      <c r="U193" s="621"/>
      <c r="V193" s="621"/>
      <c r="W193" s="621"/>
      <c r="X193" s="621"/>
      <c r="Y193" s="621"/>
      <c r="Z193" s="621"/>
      <c r="AA193" s="621"/>
      <c r="AB193" s="621"/>
      <c r="AC193" s="621"/>
      <c r="AD193" s="621"/>
      <c r="AE193" s="621"/>
      <c r="AF193" s="621"/>
      <c r="AG193" s="621"/>
      <c r="AH193" s="621"/>
      <c r="AK193" s="330"/>
      <c r="AM193" s="330"/>
      <c r="AO193" s="330"/>
    </row>
    <row r="194" spans="1:41">
      <c r="A194" s="278" t="s">
        <v>558</v>
      </c>
      <c r="B194" s="115" t="e">
        <f>B172/(B185)</f>
        <v>#DIV/0!</v>
      </c>
      <c r="C194" s="115" t="e">
        <f>C172/(C185)</f>
        <v>#DIV/0!</v>
      </c>
      <c r="D194" s="115" t="e">
        <f>D172/(D185)</f>
        <v>#DIV/0!</v>
      </c>
      <c r="E194" s="115" t="e">
        <f>E172/(E185)</f>
        <v>#DIV/0!</v>
      </c>
      <c r="F194" s="115" t="e">
        <f t="shared" ref="F194:Y194" si="210">F172/(F185)</f>
        <v>#DIV/0!</v>
      </c>
      <c r="G194" s="115" t="e">
        <f t="shared" si="210"/>
        <v>#DIV/0!</v>
      </c>
      <c r="H194" s="115" t="e">
        <f t="shared" si="210"/>
        <v>#DIV/0!</v>
      </c>
      <c r="I194" s="115" t="e">
        <f t="shared" si="210"/>
        <v>#DIV/0!</v>
      </c>
      <c r="J194" s="115" t="e">
        <f t="shared" si="210"/>
        <v>#DIV/0!</v>
      </c>
      <c r="K194" s="115">
        <f t="shared" si="210"/>
        <v>0</v>
      </c>
      <c r="L194" s="115"/>
      <c r="M194" s="115"/>
      <c r="N194" s="115"/>
      <c r="O194" s="115"/>
      <c r="P194" s="115"/>
      <c r="Q194" s="115"/>
      <c r="R194" s="115"/>
      <c r="S194" s="115"/>
      <c r="T194" s="115"/>
      <c r="U194" s="115">
        <f t="shared" si="210"/>
        <v>3157.9484536082468</v>
      </c>
      <c r="V194" s="115">
        <f t="shared" si="210"/>
        <v>3454.5811393011008</v>
      </c>
      <c r="W194" s="115">
        <f t="shared" si="210"/>
        <v>3833.782430587165</v>
      </c>
      <c r="X194" s="115">
        <f t="shared" si="210"/>
        <v>3647.7484701413791</v>
      </c>
      <c r="Y194" s="115">
        <f t="shared" si="210"/>
        <v>3604.711298676385</v>
      </c>
      <c r="Z194" s="115">
        <f t="shared" ref="Z194:AE194" si="211">Z172/(Z185)</f>
        <v>3542.476868327401</v>
      </c>
      <c r="AA194" s="115">
        <f t="shared" si="211"/>
        <v>3401.7496635262432</v>
      </c>
      <c r="AB194" s="115">
        <f t="shared" si="211"/>
        <v>2923.9616613418521</v>
      </c>
      <c r="AC194" s="115">
        <f t="shared" si="211"/>
        <v>2860.781990521326</v>
      </c>
      <c r="AD194" s="115">
        <f t="shared" si="211"/>
        <v>2934.984270690215</v>
      </c>
      <c r="AE194" s="115">
        <f t="shared" si="211"/>
        <v>2991.7204873927144</v>
      </c>
      <c r="AF194" s="115">
        <f>AF172/(AF185)</f>
        <v>3017.9384377913093</v>
      </c>
      <c r="AG194" s="115">
        <f>AG172/(AG185)</f>
        <v>2995.7149090686712</v>
      </c>
      <c r="AH194" s="115">
        <f>AH172/(AH185)</f>
        <v>2981.026280987287</v>
      </c>
      <c r="AK194" s="330"/>
      <c r="AM194" s="330"/>
      <c r="AO194" s="330"/>
    </row>
    <row r="195" spans="1:41">
      <c r="A195" s="278" t="s">
        <v>1971</v>
      </c>
      <c r="P195" s="621"/>
      <c r="Q195" s="621"/>
      <c r="R195" s="621"/>
      <c r="S195" s="621"/>
      <c r="T195" s="621"/>
      <c r="U195" s="621"/>
      <c r="V195" s="621"/>
      <c r="W195" s="621"/>
      <c r="X195" s="621"/>
      <c r="Y195" s="621"/>
      <c r="Z195" s="621"/>
      <c r="AA195" s="621"/>
      <c r="AB195" s="621"/>
      <c r="AC195" s="621"/>
      <c r="AD195" s="621"/>
      <c r="AE195" s="621"/>
      <c r="AF195" s="621"/>
      <c r="AG195" s="621"/>
      <c r="AH195" s="621"/>
      <c r="AK195" s="330"/>
      <c r="AM195" s="330"/>
      <c r="AO195" s="330"/>
    </row>
    <row r="196" spans="1:41">
      <c r="A196" s="103"/>
      <c r="P196" s="621"/>
      <c r="Q196" s="621"/>
      <c r="R196" s="621"/>
      <c r="S196" s="621"/>
      <c r="T196" s="621"/>
      <c r="U196" s="621"/>
      <c r="V196" s="621"/>
      <c r="W196" s="621"/>
      <c r="X196" s="621"/>
      <c r="Y196" s="621"/>
      <c r="Z196" s="621"/>
      <c r="AA196" s="621"/>
      <c r="AB196" s="621"/>
      <c r="AC196" s="621"/>
      <c r="AD196" s="621"/>
      <c r="AE196" s="621"/>
      <c r="AF196" s="621"/>
      <c r="AG196" s="621"/>
      <c r="AH196" s="621"/>
      <c r="AK196" s="330"/>
      <c r="AM196" s="330"/>
      <c r="AO196" s="330"/>
    </row>
    <row r="197" spans="1:41">
      <c r="A197" s="278" t="s">
        <v>1980</v>
      </c>
      <c r="D197" s="875" t="e">
        <f>'segSales&amp;comps'!#REF!/100</f>
        <v>#REF!</v>
      </c>
      <c r="E197" s="875">
        <f>'segSales&amp;comps'!$G1/100</f>
        <v>0</v>
      </c>
      <c r="F197" s="875" t="e">
        <f>'segSales&amp;comps'!$G8/100</f>
        <v>#VALUE!</v>
      </c>
      <c r="G197" s="875">
        <f>'segSales&amp;comps'!$G15/100</f>
        <v>0</v>
      </c>
      <c r="H197" s="875">
        <f>'segSales&amp;comps'!$G22/100</f>
        <v>0</v>
      </c>
      <c r="I197" s="875">
        <f>'segSales&amp;comps'!$G29/100</f>
        <v>0</v>
      </c>
      <c r="J197" s="875">
        <f>'segSales&amp;comps'!$G36/100</f>
        <v>0</v>
      </c>
      <c r="K197" s="875">
        <f>'segSales&amp;comps'!$G43/100</f>
        <v>0.1</v>
      </c>
      <c r="L197" s="875"/>
      <c r="M197" s="875"/>
      <c r="N197" s="875"/>
      <c r="O197" s="875"/>
      <c r="P197" s="944"/>
      <c r="Q197" s="944"/>
      <c r="R197" s="944"/>
      <c r="S197" s="944">
        <f>'segSales&amp;comps'!AI163*0.01</f>
        <v>0.13</v>
      </c>
      <c r="T197" s="1177">
        <f>'segSales&amp;comps'!$AI$170*0.01</f>
        <v>0.06</v>
      </c>
      <c r="U197" s="1177">
        <f>'segSales&amp;comps'!$AI$177*0.01</f>
        <v>0.09</v>
      </c>
      <c r="V197" s="1177">
        <f>'segSales&amp;comps'!$AI$184*0.01</f>
        <v>0.18</v>
      </c>
      <c r="W197" s="1177">
        <f>+'segSales&amp;comps'!AI191*0.01</f>
        <v>6.3415316960352935E-2</v>
      </c>
      <c r="X197" s="1177">
        <f>+'segSales&amp;comps'!AI198*0.01</f>
        <v>0.02</v>
      </c>
      <c r="Y197" s="1177">
        <f>'segSales&amp;comps'!AI205/100</f>
        <v>0.04</v>
      </c>
      <c r="Z197" s="1177">
        <f>'segSales&amp;comps'!AI212/100</f>
        <v>-0.01</v>
      </c>
      <c r="AA197" s="2000">
        <f>'segSales&amp;comps'!AI219/100</f>
        <v>0.09</v>
      </c>
      <c r="AB197" s="2000">
        <f>'segSales&amp;comps'!AI226/100</f>
        <v>-0.09</v>
      </c>
      <c r="AC197" s="2000">
        <f>'segSales&amp;comps'!AI233/100</f>
        <v>-0.04</v>
      </c>
      <c r="AD197" s="2000">
        <f>'segSales&amp;comps'!AI240/100</f>
        <v>1.7036291091376349E-2</v>
      </c>
      <c r="AE197" s="945">
        <v>0.03</v>
      </c>
      <c r="AF197" s="945">
        <v>0.03</v>
      </c>
      <c r="AG197" s="945">
        <v>0.03</v>
      </c>
      <c r="AH197" s="945">
        <v>0.03</v>
      </c>
      <c r="AK197" s="330"/>
      <c r="AM197" s="330"/>
      <c r="AO197" s="330"/>
    </row>
    <row r="198" spans="1:41">
      <c r="A198" s="278" t="s">
        <v>1578</v>
      </c>
      <c r="D198" s="875" t="e">
        <f t="shared" ref="D198:K198" si="212">D173-D197</f>
        <v>#REF!</v>
      </c>
      <c r="E198" s="875">
        <f t="shared" si="212"/>
        <v>0</v>
      </c>
      <c r="F198" s="875" t="e">
        <f t="shared" si="212"/>
        <v>#VALUE!</v>
      </c>
      <c r="G198" s="875">
        <f t="shared" si="212"/>
        <v>0</v>
      </c>
      <c r="H198" s="875">
        <f t="shared" si="212"/>
        <v>0</v>
      </c>
      <c r="I198" s="875">
        <f t="shared" si="212"/>
        <v>0</v>
      </c>
      <c r="J198" s="875">
        <f t="shared" si="212"/>
        <v>0</v>
      </c>
      <c r="K198" s="875">
        <f t="shared" si="212"/>
        <v>-0.1</v>
      </c>
      <c r="L198" s="875"/>
      <c r="M198" s="875"/>
      <c r="N198" s="875"/>
      <c r="O198" s="875"/>
      <c r="P198" s="944"/>
      <c r="Q198" s="944"/>
      <c r="R198" s="944"/>
      <c r="S198" s="944">
        <f t="shared" ref="S198:AA198" si="213">S173-S197</f>
        <v>0.1838167617773655</v>
      </c>
      <c r="T198" s="944">
        <f t="shared" si="213"/>
        <v>6.1168080992203555E-2</v>
      </c>
      <c r="U198" s="944">
        <f t="shared" si="213"/>
        <v>3.1672836725950532E-2</v>
      </c>
      <c r="V198" s="944">
        <f t="shared" si="213"/>
        <v>-2.049418747000431E-3</v>
      </c>
      <c r="W198" s="944">
        <f t="shared" si="213"/>
        <v>0.10372664146339675</v>
      </c>
      <c r="X198" s="944">
        <f t="shared" si="213"/>
        <v>6.1812552090627811E-3</v>
      </c>
      <c r="Y198" s="944">
        <f t="shared" si="213"/>
        <v>4.7042740422105468E-2</v>
      </c>
      <c r="Z198" s="944">
        <f t="shared" si="213"/>
        <v>6.9461369480442001E-2</v>
      </c>
      <c r="AA198" s="944">
        <f t="shared" si="213"/>
        <v>-7.4364640217954664E-2</v>
      </c>
      <c r="AB198" s="944">
        <f t="shared" ref="AB198:AH198" si="214">AB173-AB197</f>
        <v>-4.7576656775469572E-3</v>
      </c>
      <c r="AC198" s="944">
        <f t="shared" si="214"/>
        <v>9.5288461538461461E-2</v>
      </c>
      <c r="AD198" s="944">
        <f t="shared" si="214"/>
        <v>0.10462729796615004</v>
      </c>
      <c r="AE198" s="944">
        <f t="shared" si="214"/>
        <v>8.046599837442428E-2</v>
      </c>
      <c r="AF198" s="944">
        <f t="shared" si="214"/>
        <v>6.15518527729422E-2</v>
      </c>
      <c r="AG198" s="944">
        <f t="shared" si="214"/>
        <v>3.7922316708802556E-2</v>
      </c>
      <c r="AH198" s="944">
        <f t="shared" si="214"/>
        <v>3.5248878444776893E-2</v>
      </c>
      <c r="AK198" s="330"/>
      <c r="AM198" s="330"/>
      <c r="AO198" s="330"/>
    </row>
    <row r="199" spans="1:41">
      <c r="A199" s="103"/>
      <c r="P199" s="621"/>
      <c r="Q199" s="621"/>
      <c r="R199" s="621"/>
      <c r="S199" s="621"/>
      <c r="T199" s="621"/>
      <c r="U199" s="621"/>
      <c r="V199" s="621"/>
      <c r="W199" s="621"/>
      <c r="X199" s="621"/>
      <c r="Y199" s="621"/>
      <c r="Z199" s="621"/>
      <c r="AA199" s="621"/>
      <c r="AB199" s="621"/>
      <c r="AC199" s="621"/>
      <c r="AD199" s="621"/>
      <c r="AE199" s="621"/>
      <c r="AF199" s="621"/>
      <c r="AG199" s="621"/>
      <c r="AH199" s="621"/>
      <c r="AK199" s="330"/>
      <c r="AM199" s="330"/>
      <c r="AO199" s="330"/>
    </row>
    <row r="200" spans="1:41">
      <c r="A200" s="278" t="s">
        <v>1916</v>
      </c>
      <c r="B200" s="584"/>
      <c r="C200" s="584">
        <f t="shared" ref="C200:K200" si="215">+(C188-B188)/C176*1000000</f>
        <v>0</v>
      </c>
      <c r="D200" s="584" t="e">
        <f t="shared" si="215"/>
        <v>#DIV/0!</v>
      </c>
      <c r="E200" s="584">
        <f t="shared" si="215"/>
        <v>0</v>
      </c>
      <c r="F200" s="584" t="e">
        <f t="shared" si="215"/>
        <v>#DIV/0!</v>
      </c>
      <c r="G200" s="584" t="e">
        <f t="shared" si="215"/>
        <v>#DIV/0!</v>
      </c>
      <c r="H200" s="584" t="e">
        <f t="shared" si="215"/>
        <v>#DIV/0!</v>
      </c>
      <c r="I200" s="584">
        <f t="shared" si="215"/>
        <v>0</v>
      </c>
      <c r="J200" s="584" t="e">
        <f t="shared" si="215"/>
        <v>#DIV/0!</v>
      </c>
      <c r="K200" s="584">
        <f t="shared" si="215"/>
        <v>207450.00000000003</v>
      </c>
      <c r="L200" s="584"/>
      <c r="M200" s="584"/>
      <c r="N200" s="584"/>
      <c r="O200" s="584"/>
      <c r="P200" s="584"/>
      <c r="Q200" s="584"/>
      <c r="R200" s="584"/>
      <c r="S200" s="584"/>
      <c r="T200" s="583">
        <v>3100</v>
      </c>
      <c r="U200" s="584">
        <f>(U188-T188)/(U177-T177)*1000000</f>
        <v>2666.6666666666692</v>
      </c>
      <c r="V200" s="584">
        <f>(V188-U188)/(V177-U177)*1000000</f>
        <v>3450.0000000000018</v>
      </c>
      <c r="W200" s="584">
        <f t="shared" ref="W200:AH200" si="216">V200</f>
        <v>3450.0000000000018</v>
      </c>
      <c r="X200" s="584">
        <f t="shared" si="216"/>
        <v>3450.0000000000018</v>
      </c>
      <c r="Y200" s="584">
        <f t="shared" si="216"/>
        <v>3450.0000000000018</v>
      </c>
      <c r="Z200" s="583">
        <v>10000</v>
      </c>
      <c r="AA200" s="583">
        <v>3100</v>
      </c>
      <c r="AB200" s="583">
        <v>4800</v>
      </c>
      <c r="AC200" s="583">
        <v>5000</v>
      </c>
      <c r="AD200" s="583">
        <v>5500</v>
      </c>
      <c r="AE200" s="583">
        <f t="shared" si="216"/>
        <v>5500</v>
      </c>
      <c r="AF200" s="583">
        <f t="shared" si="216"/>
        <v>5500</v>
      </c>
      <c r="AG200" s="583">
        <f t="shared" si="216"/>
        <v>5500</v>
      </c>
      <c r="AH200" s="583">
        <f t="shared" si="216"/>
        <v>5500</v>
      </c>
      <c r="AK200" s="330"/>
      <c r="AM200" s="330"/>
      <c r="AO200" s="330"/>
    </row>
    <row r="201" spans="1:41">
      <c r="A201" s="278"/>
      <c r="B201" s="584"/>
      <c r="C201" s="584"/>
      <c r="D201" s="584"/>
      <c r="E201" s="584"/>
      <c r="F201" s="584"/>
      <c r="G201" s="584"/>
      <c r="H201" s="584"/>
      <c r="I201" s="584"/>
      <c r="J201" s="584"/>
      <c r="K201" s="584"/>
      <c r="L201" s="584"/>
      <c r="M201" s="584"/>
      <c r="N201" s="584"/>
      <c r="O201" s="584"/>
      <c r="P201" s="584"/>
      <c r="Q201" s="584"/>
      <c r="R201" s="584"/>
      <c r="S201" s="584"/>
      <c r="T201" s="583"/>
      <c r="U201" s="584"/>
      <c r="V201" s="584"/>
      <c r="W201" s="584"/>
      <c r="X201" s="584"/>
      <c r="Y201" s="584"/>
      <c r="Z201" s="583"/>
      <c r="AA201" s="583"/>
      <c r="AB201" s="583"/>
      <c r="AC201" s="583"/>
      <c r="AD201" s="583"/>
      <c r="AE201" s="583"/>
      <c r="AF201" s="583"/>
      <c r="AG201" s="583"/>
      <c r="AH201" s="583"/>
      <c r="AK201" s="330"/>
      <c r="AM201" s="330"/>
      <c r="AO201" s="330"/>
    </row>
    <row r="202" spans="1:41">
      <c r="A202" s="278" t="s">
        <v>1981</v>
      </c>
      <c r="C202" s="264" t="e">
        <f t="shared" ref="C202:K202" si="217">(C173-C197)/C186</f>
        <v>#DIV/0!</v>
      </c>
      <c r="D202" s="264" t="e">
        <f t="shared" si="217"/>
        <v>#REF!</v>
      </c>
      <c r="E202" s="264" t="e">
        <f t="shared" si="217"/>
        <v>#DIV/0!</v>
      </c>
      <c r="F202" s="264" t="e">
        <f t="shared" si="217"/>
        <v>#VALUE!</v>
      </c>
      <c r="G202" s="264" t="e">
        <f t="shared" si="217"/>
        <v>#DIV/0!</v>
      </c>
      <c r="H202" s="264" t="e">
        <f t="shared" si="217"/>
        <v>#DIV/0!</v>
      </c>
      <c r="I202" s="264" t="e">
        <f t="shared" si="217"/>
        <v>#DIV/0!</v>
      </c>
      <c r="J202" s="264" t="e">
        <f t="shared" si="217"/>
        <v>#DIV/0!</v>
      </c>
      <c r="K202" s="264" t="e">
        <f t="shared" si="217"/>
        <v>#DIV/0!</v>
      </c>
      <c r="L202" s="264"/>
      <c r="M202" s="264"/>
      <c r="N202" s="264"/>
      <c r="O202" s="264"/>
      <c r="P202" s="902"/>
      <c r="Q202" s="902"/>
      <c r="R202" s="902"/>
      <c r="S202" s="902"/>
      <c r="T202" s="902"/>
      <c r="U202" s="902"/>
      <c r="V202" s="902">
        <f t="shared" ref="V202:AD202" si="218">(V173-V197)/V186</f>
        <v>-2.6683707175710249E-2</v>
      </c>
      <c r="W202" s="902">
        <f t="shared" si="218"/>
        <v>2.0063421668244126</v>
      </c>
      <c r="X202" s="902">
        <f t="shared" si="218"/>
        <v>7.8725899677164674E-2</v>
      </c>
      <c r="Y202" s="902">
        <f>(Y173-Y197)/Y186</f>
        <v>0.47032815793324412</v>
      </c>
      <c r="Z202" s="902">
        <f t="shared" si="218"/>
        <v>0.88968579631828804</v>
      </c>
      <c r="AA202" s="902">
        <f t="shared" si="218"/>
        <v>-1.2899051790892093</v>
      </c>
      <c r="AB202" s="902">
        <f t="shared" si="218"/>
        <v>-8.9492293630820258E-2</v>
      </c>
      <c r="AC202" s="902">
        <f t="shared" si="218"/>
        <v>1.2124101000625391</v>
      </c>
      <c r="AD202" s="902">
        <f t="shared" si="218"/>
        <v>1.1213389140753078</v>
      </c>
      <c r="AE202" s="1615">
        <v>0.9</v>
      </c>
      <c r="AF202" s="1615">
        <v>0.75</v>
      </c>
      <c r="AG202" s="1615">
        <v>0.5</v>
      </c>
      <c r="AH202" s="1615">
        <v>0.5</v>
      </c>
      <c r="AI202" s="264"/>
      <c r="AK202" s="330"/>
      <c r="AM202" s="330"/>
      <c r="AO202" s="330"/>
    </row>
    <row r="203" spans="1:41">
      <c r="A203" s="131"/>
      <c r="P203" s="621"/>
      <c r="Q203" s="621"/>
      <c r="R203" s="621"/>
      <c r="S203" s="621"/>
      <c r="T203" s="621"/>
      <c r="U203" s="621"/>
      <c r="V203" s="621"/>
      <c r="W203" s="1275"/>
      <c r="X203" s="621"/>
      <c r="Y203" s="621"/>
      <c r="Z203" s="621"/>
      <c r="AA203" s="621"/>
      <c r="AB203" s="621"/>
      <c r="AC203" s="621"/>
      <c r="AD203" s="621"/>
      <c r="AE203" s="621"/>
      <c r="AF203" s="621"/>
      <c r="AG203" s="621"/>
      <c r="AH203" s="621"/>
      <c r="AK203" s="330"/>
      <c r="AM203" s="330"/>
      <c r="AO203" s="330"/>
    </row>
    <row r="204" spans="1:41">
      <c r="A204" s="851" t="s">
        <v>579</v>
      </c>
      <c r="B204" s="852"/>
      <c r="C204" s="852"/>
      <c r="D204" s="852"/>
      <c r="E204" s="852"/>
      <c r="F204" s="852"/>
      <c r="G204" s="852"/>
      <c r="H204" s="852"/>
      <c r="I204" s="852"/>
      <c r="J204" s="852"/>
      <c r="K204" s="852"/>
      <c r="L204" s="852"/>
      <c r="M204" s="852"/>
      <c r="N204" s="852"/>
      <c r="O204" s="852"/>
      <c r="P204" s="852"/>
      <c r="Q204" s="852"/>
      <c r="R204" s="852"/>
      <c r="S204" s="852"/>
      <c r="T204" s="852"/>
      <c r="U204" s="852"/>
      <c r="V204" s="852"/>
      <c r="W204" s="852"/>
      <c r="X204" s="852"/>
      <c r="Y204" s="852"/>
      <c r="Z204" s="852"/>
      <c r="AA204" s="852"/>
      <c r="AB204" s="852"/>
      <c r="AC204" s="852"/>
      <c r="AD204" s="852"/>
      <c r="AE204" s="852"/>
      <c r="AF204" s="852"/>
      <c r="AG204" s="852"/>
      <c r="AH204" s="852"/>
      <c r="AK204" s="330"/>
      <c r="AM204" s="330"/>
      <c r="AO204" s="330"/>
    </row>
    <row r="205" spans="1:41">
      <c r="A205" s="854" t="str">
        <f>+$A$2</f>
        <v>Annual Sales Model, Fiscal 2001-2014E</v>
      </c>
      <c r="B205" s="855"/>
      <c r="C205" s="855"/>
      <c r="D205" s="855"/>
      <c r="E205" s="855"/>
      <c r="F205" s="855"/>
      <c r="G205" s="855"/>
      <c r="H205" s="855"/>
      <c r="I205" s="855"/>
      <c r="J205" s="855"/>
      <c r="K205" s="855"/>
      <c r="L205" s="855"/>
      <c r="M205" s="855"/>
      <c r="N205" s="855"/>
      <c r="O205" s="855"/>
      <c r="P205" s="855"/>
      <c r="Q205" s="855"/>
      <c r="R205" s="855"/>
      <c r="S205" s="855"/>
      <c r="T205" s="855"/>
      <c r="U205" s="855"/>
      <c r="V205" s="855"/>
      <c r="W205" s="855"/>
      <c r="X205" s="855"/>
      <c r="Y205" s="855"/>
      <c r="Z205" s="855"/>
      <c r="AA205" s="855"/>
      <c r="AB205" s="855"/>
      <c r="AC205" s="855"/>
      <c r="AD205" s="855"/>
      <c r="AE205" s="855"/>
      <c r="AF205" s="855"/>
      <c r="AG205" s="855"/>
      <c r="AH205" s="855"/>
      <c r="AK205" s="330"/>
      <c r="AM205" s="330"/>
      <c r="AO205" s="330"/>
    </row>
    <row r="206" spans="1:41">
      <c r="A206" s="131"/>
      <c r="AH206" s="2317"/>
      <c r="AK206" s="330"/>
      <c r="AM206" s="330"/>
      <c r="AO206" s="330"/>
    </row>
    <row r="207" spans="1:41">
      <c r="A207" s="131"/>
      <c r="B207" s="158">
        <f t="shared" ref="B207:AH207" si="219">+B$5</f>
        <v>1990</v>
      </c>
      <c r="C207" s="158">
        <f t="shared" si="219"/>
        <v>1991</v>
      </c>
      <c r="D207" s="158">
        <f t="shared" si="219"/>
        <v>1992</v>
      </c>
      <c r="E207" s="158">
        <f t="shared" si="219"/>
        <v>1993</v>
      </c>
      <c r="F207" s="158">
        <f t="shared" si="219"/>
        <v>1994</v>
      </c>
      <c r="G207" s="158">
        <f t="shared" si="219"/>
        <v>1995</v>
      </c>
      <c r="H207" s="158">
        <f t="shared" si="219"/>
        <v>1996</v>
      </c>
      <c r="I207" s="158">
        <f t="shared" si="219"/>
        <v>1997</v>
      </c>
      <c r="J207" s="158">
        <f t="shared" si="219"/>
        <v>1998</v>
      </c>
      <c r="K207" s="158">
        <f t="shared" si="219"/>
        <v>1999</v>
      </c>
      <c r="L207" s="158">
        <f t="shared" si="219"/>
        <v>2000</v>
      </c>
      <c r="M207" s="158">
        <f t="shared" si="219"/>
        <v>2001</v>
      </c>
      <c r="N207" s="158">
        <f t="shared" si="219"/>
        <v>2002</v>
      </c>
      <c r="O207" s="158">
        <f t="shared" si="219"/>
        <v>2003</v>
      </c>
      <c r="P207" s="158">
        <f t="shared" si="219"/>
        <v>2004</v>
      </c>
      <c r="Q207" s="158">
        <f t="shared" si="219"/>
        <v>2005</v>
      </c>
      <c r="R207" s="158">
        <f t="shared" si="219"/>
        <v>2006</v>
      </c>
      <c r="S207" s="158">
        <f t="shared" si="219"/>
        <v>2007</v>
      </c>
      <c r="T207" s="158">
        <f t="shared" si="219"/>
        <v>2008</v>
      </c>
      <c r="U207" s="158">
        <f t="shared" si="219"/>
        <v>2009</v>
      </c>
      <c r="V207" s="158">
        <f t="shared" si="219"/>
        <v>2010</v>
      </c>
      <c r="W207" s="158">
        <f t="shared" si="219"/>
        <v>2011</v>
      </c>
      <c r="X207" s="158">
        <f t="shared" si="219"/>
        <v>2012</v>
      </c>
      <c r="Y207" s="158">
        <f t="shared" si="219"/>
        <v>2013</v>
      </c>
      <c r="Z207" s="158">
        <f t="shared" si="219"/>
        <v>2014</v>
      </c>
      <c r="AA207" s="158">
        <f t="shared" si="219"/>
        <v>2015</v>
      </c>
      <c r="AB207" s="158">
        <f t="shared" si="219"/>
        <v>2016</v>
      </c>
      <c r="AC207" s="158">
        <f t="shared" si="219"/>
        <v>2017</v>
      </c>
      <c r="AD207" s="160">
        <f t="shared" si="219"/>
        <v>2018</v>
      </c>
      <c r="AE207" s="160">
        <f t="shared" si="219"/>
        <v>2019</v>
      </c>
      <c r="AF207" s="160">
        <f t="shared" si="219"/>
        <v>2020</v>
      </c>
      <c r="AG207" s="160">
        <f t="shared" si="219"/>
        <v>2021</v>
      </c>
      <c r="AH207" s="160">
        <f t="shared" si="219"/>
        <v>2022</v>
      </c>
      <c r="AK207" s="330"/>
      <c r="AM207" s="330"/>
      <c r="AO207" s="330"/>
    </row>
    <row r="208" spans="1:41">
      <c r="A208" s="131"/>
      <c r="AH208" s="2317"/>
      <c r="AK208" s="330"/>
      <c r="AM208" s="330"/>
      <c r="AO208" s="330"/>
    </row>
    <row r="209" spans="1:41">
      <c r="A209" s="278" t="s">
        <v>816</v>
      </c>
      <c r="C209" s="783"/>
      <c r="D209" s="783"/>
      <c r="E209" s="783"/>
      <c r="F209" s="783"/>
      <c r="G209" s="783"/>
      <c r="H209" s="736"/>
      <c r="I209" s="736"/>
      <c r="J209" s="736"/>
      <c r="K209" s="736"/>
      <c r="L209" s="736"/>
      <c r="M209" s="736"/>
      <c r="N209" s="736"/>
      <c r="O209" s="736"/>
      <c r="P209" s="736"/>
      <c r="Q209" s="736"/>
      <c r="R209" s="115"/>
      <c r="S209" s="115"/>
      <c r="T209" s="115"/>
      <c r="U209" s="115"/>
      <c r="V209" s="115"/>
      <c r="W209" s="115"/>
      <c r="X209" s="115">
        <f>'segSales&amp;comps'!AR198</f>
        <v>72.507999999999996</v>
      </c>
      <c r="Y209" s="115">
        <f>'segSales&amp;comps'!AR205</f>
        <v>111.23500000000001</v>
      </c>
      <c r="Z209" s="115">
        <f>'segSales&amp;comps'!AR212</f>
        <v>139.833</v>
      </c>
      <c r="AA209" s="115">
        <f>'segSales&amp;comps'!AR219</f>
        <v>107.5</v>
      </c>
      <c r="AB209" s="115">
        <f>'segSales&amp;comps'!AR226</f>
        <v>98.8</v>
      </c>
      <c r="AC209" s="115">
        <f>'segSales&amp;comps'!AR233</f>
        <v>124.69999999999999</v>
      </c>
      <c r="AD209" s="115">
        <f>'segSales&amp;comps'!AR240</f>
        <v>130.935</v>
      </c>
      <c r="AE209" s="115">
        <f>(AD209*(1+AE234+(AE223*AE239)))</f>
        <v>133.67840000000001</v>
      </c>
      <c r="AF209" s="115">
        <f>(AE209*(1+AF234+(AF223*AF239)))</f>
        <v>139.02553600000002</v>
      </c>
      <c r="AG209" s="115">
        <f>(AF209*(1+AG234+(AG223*AG239)))</f>
        <v>140.41579136000001</v>
      </c>
      <c r="AH209" s="115">
        <f>(AG209*(1+AH234+(AH223*AH239)))</f>
        <v>141.8199492736</v>
      </c>
      <c r="AK209" s="330"/>
      <c r="AM209" s="330"/>
      <c r="AO209" s="330"/>
    </row>
    <row r="210" spans="1:41">
      <c r="A210" s="278" t="s">
        <v>1971</v>
      </c>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f t="shared" ref="Y210:AH210" si="220">Y209/X209-1</f>
        <v>0.53410658134274858</v>
      </c>
      <c r="Z210" s="108">
        <f t="shared" si="220"/>
        <v>0.25709533869735224</v>
      </c>
      <c r="AA210" s="108">
        <f t="shared" si="220"/>
        <v>-0.23122581937024878</v>
      </c>
      <c r="AB210" s="108">
        <f t="shared" si="220"/>
        <v>-8.0930232558139581E-2</v>
      </c>
      <c r="AC210" s="108">
        <f t="shared" si="220"/>
        <v>0.26214574898785425</v>
      </c>
      <c r="AD210" s="108">
        <f t="shared" si="220"/>
        <v>5.0000000000000044E-2</v>
      </c>
      <c r="AE210" s="108">
        <f t="shared" si="220"/>
        <v>2.0952380952381056E-2</v>
      </c>
      <c r="AF210" s="108">
        <f t="shared" si="220"/>
        <v>4.0000000000000036E-2</v>
      </c>
      <c r="AG210" s="108">
        <f t="shared" si="220"/>
        <v>1.0000000000000009E-2</v>
      </c>
      <c r="AH210" s="108">
        <f t="shared" si="220"/>
        <v>1.0000000000000009E-2</v>
      </c>
      <c r="AK210" s="330"/>
      <c r="AM210" s="330"/>
      <c r="AO210" s="330"/>
    </row>
    <row r="211" spans="1:41">
      <c r="A211" s="131"/>
      <c r="P211" s="621"/>
      <c r="Q211" s="621"/>
      <c r="R211" s="621"/>
      <c r="S211" s="621"/>
      <c r="T211" s="621"/>
      <c r="U211" s="621"/>
      <c r="V211" s="621"/>
      <c r="W211" s="621"/>
      <c r="X211" s="621"/>
      <c r="Y211" s="621"/>
      <c r="Z211" s="621"/>
      <c r="AA211" s="621"/>
      <c r="AB211" s="621"/>
      <c r="AC211" s="621"/>
      <c r="AD211" s="621"/>
      <c r="AE211" s="621"/>
      <c r="AF211" s="621"/>
      <c r="AG211" s="621"/>
      <c r="AH211" s="621"/>
      <c r="AK211" s="330"/>
      <c r="AM211" s="330"/>
      <c r="AO211" s="330"/>
    </row>
    <row r="212" spans="1:41">
      <c r="A212" s="110" t="s">
        <v>1972</v>
      </c>
      <c r="B212" s="727"/>
      <c r="C212" s="727"/>
      <c r="D212" s="727"/>
      <c r="E212" s="727"/>
      <c r="F212" s="727"/>
      <c r="G212" s="727"/>
      <c r="H212" s="727"/>
      <c r="I212" s="727"/>
      <c r="J212" s="727"/>
      <c r="K212" s="727"/>
      <c r="L212" s="727"/>
      <c r="M212" s="727"/>
      <c r="N212" s="727"/>
      <c r="O212" s="727"/>
      <c r="P212" s="727"/>
      <c r="Q212" s="727"/>
      <c r="R212" s="727"/>
      <c r="S212" s="727"/>
      <c r="T212" s="727"/>
      <c r="U212" s="727"/>
      <c r="V212" s="727"/>
      <c r="W212" s="727"/>
      <c r="X212" s="727">
        <f t="shared" ref="X212:AH212" si="221">+W214</f>
        <v>0</v>
      </c>
      <c r="Y212" s="727">
        <f t="shared" si="221"/>
        <v>5</v>
      </c>
      <c r="Z212" s="727">
        <f t="shared" si="221"/>
        <v>5</v>
      </c>
      <c r="AA212" s="727">
        <f t="shared" si="221"/>
        <v>6</v>
      </c>
      <c r="AB212" s="727">
        <f t="shared" si="221"/>
        <v>6</v>
      </c>
      <c r="AC212" s="727">
        <f t="shared" si="221"/>
        <v>6</v>
      </c>
      <c r="AD212" s="727">
        <f t="shared" si="221"/>
        <v>5</v>
      </c>
      <c r="AE212" s="727">
        <f t="shared" si="221"/>
        <v>5</v>
      </c>
      <c r="AF212" s="727">
        <f t="shared" si="221"/>
        <v>5</v>
      </c>
      <c r="AG212" s="727">
        <f t="shared" si="221"/>
        <v>5</v>
      </c>
      <c r="AH212" s="727">
        <f t="shared" si="221"/>
        <v>5</v>
      </c>
      <c r="AK212" s="330"/>
      <c r="AM212" s="330"/>
      <c r="AO212" s="330"/>
    </row>
    <row r="213" spans="1:41">
      <c r="A213" s="726" t="s">
        <v>556</v>
      </c>
      <c r="B213" s="729"/>
      <c r="C213" s="729"/>
      <c r="D213" s="729"/>
      <c r="E213" s="729"/>
      <c r="F213" s="729"/>
      <c r="G213" s="729"/>
      <c r="H213" s="729"/>
      <c r="I213" s="729"/>
      <c r="J213" s="729"/>
      <c r="K213" s="729"/>
      <c r="L213" s="729"/>
      <c r="M213" s="729"/>
      <c r="N213" s="729"/>
      <c r="O213" s="729"/>
      <c r="P213" s="729"/>
      <c r="Q213" s="729"/>
      <c r="R213" s="729"/>
      <c r="S213" s="729"/>
      <c r="T213" s="729"/>
      <c r="U213" s="729"/>
      <c r="V213" s="729"/>
      <c r="W213" s="729"/>
      <c r="X213" s="729">
        <v>5</v>
      </c>
      <c r="Y213" s="1520">
        <f>Stores!AH279</f>
        <v>0</v>
      </c>
      <c r="Z213" s="1520">
        <f>Stores!AH286</f>
        <v>1</v>
      </c>
      <c r="AA213" s="1520">
        <f>Stores!AH293</f>
        <v>0</v>
      </c>
      <c r="AB213" s="1520">
        <f>Stores!AH300</f>
        <v>0</v>
      </c>
      <c r="AC213" s="1520">
        <f>Stores!AH307</f>
        <v>-1</v>
      </c>
      <c r="AD213" s="1520">
        <f>Stores!AH314</f>
        <v>0</v>
      </c>
      <c r="AE213" s="1520">
        <v>0</v>
      </c>
      <c r="AF213" s="1520">
        <v>0</v>
      </c>
      <c r="AG213" s="1520">
        <v>0</v>
      </c>
      <c r="AH213" s="1520">
        <v>0</v>
      </c>
      <c r="AK213" s="330"/>
      <c r="AM213" s="330"/>
      <c r="AO213" s="330"/>
    </row>
    <row r="214" spans="1:41">
      <c r="A214" s="110" t="s">
        <v>1973</v>
      </c>
      <c r="B214" s="940"/>
      <c r="C214" s="940"/>
      <c r="D214" s="940"/>
      <c r="E214" s="940"/>
      <c r="F214" s="940"/>
      <c r="G214" s="940"/>
      <c r="H214" s="940"/>
      <c r="I214" s="940"/>
      <c r="J214" s="940"/>
      <c r="K214" s="940"/>
      <c r="L214" s="940"/>
      <c r="M214" s="940"/>
      <c r="N214" s="940"/>
      <c r="O214" s="940"/>
      <c r="P214" s="940"/>
      <c r="Q214" s="940"/>
      <c r="R214" s="940"/>
      <c r="S214" s="940"/>
      <c r="T214" s="940"/>
      <c r="U214" s="940"/>
      <c r="V214" s="940"/>
      <c r="W214" s="940"/>
      <c r="X214" s="940">
        <f t="shared" ref="X214:AD214" si="222">+X212+X213</f>
        <v>5</v>
      </c>
      <c r="Y214" s="940">
        <f t="shared" si="222"/>
        <v>5</v>
      </c>
      <c r="Z214" s="940">
        <f>+Z212+Z213</f>
        <v>6</v>
      </c>
      <c r="AA214" s="940">
        <f>+AA212+AA213</f>
        <v>6</v>
      </c>
      <c r="AB214" s="940">
        <f t="shared" si="222"/>
        <v>6</v>
      </c>
      <c r="AC214" s="940">
        <f t="shared" si="222"/>
        <v>5</v>
      </c>
      <c r="AD214" s="940">
        <f t="shared" si="222"/>
        <v>5</v>
      </c>
      <c r="AE214" s="940">
        <f>+AE212+AE213</f>
        <v>5</v>
      </c>
      <c r="AF214" s="940">
        <f>+AF212+AF213</f>
        <v>5</v>
      </c>
      <c r="AG214" s="940">
        <f>+AG212+AG213</f>
        <v>5</v>
      </c>
      <c r="AH214" s="940">
        <f>+AH212+AH213</f>
        <v>5</v>
      </c>
      <c r="AK214" s="330"/>
      <c r="AM214" s="330"/>
      <c r="AO214" s="330"/>
    </row>
    <row r="215" spans="1:41">
      <c r="A215" s="278" t="s">
        <v>1974</v>
      </c>
      <c r="B215" s="727"/>
      <c r="C215" s="727"/>
      <c r="D215" s="727"/>
      <c r="E215" s="727"/>
      <c r="F215" s="727"/>
      <c r="G215" s="727"/>
      <c r="H215" s="727"/>
      <c r="I215" s="727"/>
      <c r="J215" s="727"/>
      <c r="K215" s="727"/>
      <c r="L215" s="727"/>
      <c r="M215" s="727"/>
      <c r="N215" s="727"/>
      <c r="O215" s="727"/>
      <c r="P215" s="940"/>
      <c r="Q215" s="940"/>
      <c r="R215" s="940"/>
      <c r="S215" s="940"/>
      <c r="T215" s="940"/>
      <c r="U215" s="940"/>
      <c r="V215" s="940"/>
      <c r="W215" s="940"/>
      <c r="X215" s="940">
        <f t="shared" ref="X215:AH215" si="223">AVERAGE(W214:X214)</f>
        <v>5</v>
      </c>
      <c r="Y215" s="940">
        <f t="shared" si="223"/>
        <v>5</v>
      </c>
      <c r="Z215" s="940">
        <f t="shared" si="223"/>
        <v>5.5</v>
      </c>
      <c r="AA215" s="940">
        <f t="shared" si="223"/>
        <v>6</v>
      </c>
      <c r="AB215" s="940">
        <f t="shared" si="223"/>
        <v>6</v>
      </c>
      <c r="AC215" s="940">
        <f t="shared" si="223"/>
        <v>5.5</v>
      </c>
      <c r="AD215" s="940">
        <f t="shared" si="223"/>
        <v>5</v>
      </c>
      <c r="AE215" s="940">
        <f t="shared" si="223"/>
        <v>5</v>
      </c>
      <c r="AF215" s="940">
        <f t="shared" si="223"/>
        <v>5</v>
      </c>
      <c r="AG215" s="940">
        <f t="shared" si="223"/>
        <v>5</v>
      </c>
      <c r="AH215" s="940">
        <f t="shared" si="223"/>
        <v>5</v>
      </c>
      <c r="AK215" s="330"/>
      <c r="AM215" s="330"/>
      <c r="AO215" s="330"/>
    </row>
    <row r="216" spans="1:41">
      <c r="A216" s="278" t="s">
        <v>1975</v>
      </c>
      <c r="B216" s="728"/>
      <c r="C216" s="728"/>
      <c r="D216" s="728"/>
      <c r="E216" s="728"/>
      <c r="F216" s="728"/>
      <c r="G216" s="728"/>
      <c r="H216" s="728"/>
      <c r="I216" s="728"/>
      <c r="J216" s="728"/>
      <c r="K216" s="728"/>
      <c r="L216" s="728"/>
      <c r="M216" s="728"/>
      <c r="N216" s="728"/>
      <c r="O216" s="728"/>
      <c r="P216" s="633"/>
      <c r="Q216" s="633"/>
      <c r="R216" s="633"/>
      <c r="S216" s="633"/>
      <c r="T216" s="633"/>
      <c r="U216" s="633"/>
      <c r="V216" s="633"/>
      <c r="W216" s="633"/>
      <c r="X216" s="633"/>
      <c r="Y216" s="633">
        <f t="shared" ref="Y216:AH216" si="224">Y215/X215-1</f>
        <v>0</v>
      </c>
      <c r="Z216" s="633">
        <f t="shared" si="224"/>
        <v>0.10000000000000009</v>
      </c>
      <c r="AA216" s="633">
        <f t="shared" si="224"/>
        <v>9.0909090909090828E-2</v>
      </c>
      <c r="AB216" s="633">
        <f t="shared" si="224"/>
        <v>0</v>
      </c>
      <c r="AC216" s="633">
        <f t="shared" si="224"/>
        <v>-8.333333333333337E-2</v>
      </c>
      <c r="AD216" s="633">
        <f t="shared" si="224"/>
        <v>-9.0909090909090939E-2</v>
      </c>
      <c r="AE216" s="633">
        <f t="shared" si="224"/>
        <v>0</v>
      </c>
      <c r="AF216" s="633">
        <f t="shared" si="224"/>
        <v>0</v>
      </c>
      <c r="AG216" s="633">
        <f t="shared" si="224"/>
        <v>0</v>
      </c>
      <c r="AH216" s="633">
        <f t="shared" si="224"/>
        <v>0</v>
      </c>
      <c r="AK216" s="330"/>
      <c r="AM216" s="330"/>
      <c r="AO216" s="330"/>
    </row>
    <row r="217" spans="1:41">
      <c r="A217" s="278" t="s">
        <v>1365</v>
      </c>
      <c r="B217" s="72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f t="shared" ref="Y217:AH217" si="225">+Y214/X214-1</f>
        <v>0</v>
      </c>
      <c r="Z217" s="108">
        <f t="shared" si="225"/>
        <v>0.19999999999999996</v>
      </c>
      <c r="AA217" s="108">
        <f t="shared" si="225"/>
        <v>0</v>
      </c>
      <c r="AB217" s="108">
        <f t="shared" si="225"/>
        <v>0</v>
      </c>
      <c r="AC217" s="108">
        <f t="shared" si="225"/>
        <v>-0.16666666666666663</v>
      </c>
      <c r="AD217" s="108">
        <f t="shared" si="225"/>
        <v>0</v>
      </c>
      <c r="AE217" s="108">
        <f t="shared" si="225"/>
        <v>0</v>
      </c>
      <c r="AF217" s="108">
        <f t="shared" si="225"/>
        <v>0</v>
      </c>
      <c r="AG217" s="108">
        <f t="shared" si="225"/>
        <v>0</v>
      </c>
      <c r="AH217" s="108">
        <f t="shared" si="225"/>
        <v>0</v>
      </c>
      <c r="AK217" s="330"/>
      <c r="AM217" s="330"/>
      <c r="AO217" s="330"/>
    </row>
    <row r="218" spans="1:41">
      <c r="A218" s="131"/>
      <c r="G218" s="216"/>
      <c r="H218" s="216"/>
      <c r="I218" s="216"/>
      <c r="J218" s="216"/>
      <c r="K218" s="216"/>
      <c r="L218" s="873"/>
      <c r="M218" s="873"/>
      <c r="N218" s="873"/>
      <c r="O218" s="873"/>
      <c r="P218" s="873"/>
      <c r="Q218" s="873"/>
      <c r="R218" s="873"/>
      <c r="S218" s="873"/>
      <c r="T218" s="873"/>
      <c r="U218" s="873"/>
      <c r="V218" s="873"/>
      <c r="W218" s="873"/>
      <c r="X218" s="873"/>
      <c r="Y218" s="873"/>
      <c r="Z218" s="873"/>
      <c r="AA218" s="873"/>
      <c r="AB218" s="873"/>
      <c r="AC218" s="873"/>
      <c r="AD218" s="873"/>
      <c r="AE218" s="873"/>
      <c r="AF218" s="873"/>
      <c r="AG218" s="873"/>
      <c r="AH218" s="873"/>
      <c r="AK218" s="330"/>
      <c r="AM218" s="330"/>
      <c r="AO218" s="330"/>
    </row>
    <row r="219" spans="1:41">
      <c r="A219" s="278" t="s">
        <v>557</v>
      </c>
      <c r="C219" s="737"/>
      <c r="D219" s="737"/>
      <c r="E219" s="737"/>
      <c r="F219" s="737"/>
      <c r="G219" s="737"/>
      <c r="H219" s="737"/>
      <c r="I219" s="737"/>
      <c r="J219" s="737"/>
      <c r="K219" s="737"/>
      <c r="L219" s="737"/>
      <c r="M219" s="737"/>
      <c r="N219" s="737"/>
      <c r="O219" s="737"/>
      <c r="P219" s="942"/>
      <c r="Q219" s="942"/>
      <c r="R219" s="942"/>
      <c r="S219" s="942"/>
      <c r="T219" s="942"/>
      <c r="U219" s="942"/>
      <c r="V219" s="942"/>
      <c r="W219" s="942"/>
      <c r="X219" s="1806">
        <f t="shared" ref="X219:AD219" si="226">X209/X215</f>
        <v>14.5016</v>
      </c>
      <c r="Y219" s="1806">
        <f t="shared" si="226"/>
        <v>22.247000000000003</v>
      </c>
      <c r="Z219" s="1806">
        <f t="shared" si="226"/>
        <v>25.424181818181818</v>
      </c>
      <c r="AA219" s="1806">
        <f t="shared" si="226"/>
        <v>17.916666666666668</v>
      </c>
      <c r="AB219" s="1806">
        <f t="shared" si="226"/>
        <v>16.466666666666665</v>
      </c>
      <c r="AC219" s="1806">
        <f t="shared" si="226"/>
        <v>22.672727272727272</v>
      </c>
      <c r="AD219" s="1806">
        <f t="shared" si="226"/>
        <v>26.187000000000001</v>
      </c>
      <c r="AE219" s="1614">
        <f>AD219</f>
        <v>26.187000000000001</v>
      </c>
      <c r="AF219" s="1614">
        <f>AE219</f>
        <v>26.187000000000001</v>
      </c>
      <c r="AG219" s="1614">
        <f>AF219</f>
        <v>26.187000000000001</v>
      </c>
      <c r="AH219" s="1614">
        <f>AG219</f>
        <v>26.187000000000001</v>
      </c>
      <c r="AI219" s="1614">
        <f>AC219</f>
        <v>22.672727272727272</v>
      </c>
      <c r="AK219" s="330"/>
      <c r="AM219" s="330"/>
      <c r="AO219" s="330"/>
    </row>
    <row r="220" spans="1:41">
      <c r="A220" s="278" t="s">
        <v>1971</v>
      </c>
      <c r="C220" s="738"/>
      <c r="D220" s="738"/>
      <c r="E220" s="738"/>
      <c r="F220" s="738"/>
      <c r="G220" s="738"/>
      <c r="H220" s="738"/>
      <c r="I220" s="738"/>
      <c r="J220" s="738"/>
      <c r="K220" s="738"/>
      <c r="L220" s="738"/>
      <c r="M220" s="738"/>
      <c r="N220" s="738"/>
      <c r="O220" s="738"/>
      <c r="P220" s="943"/>
      <c r="Q220" s="943"/>
      <c r="R220" s="943"/>
      <c r="S220" s="943"/>
      <c r="T220" s="943"/>
      <c r="U220" s="943"/>
      <c r="V220" s="943"/>
      <c r="W220" s="943"/>
      <c r="X220" s="943"/>
      <c r="Y220" s="943">
        <f t="shared" ref="Y220:AH220" si="227">+Y219/X219-1</f>
        <v>0.53410658134274858</v>
      </c>
      <c r="Z220" s="943">
        <f t="shared" si="227"/>
        <v>0.14281394427032024</v>
      </c>
      <c r="AA220" s="943">
        <f t="shared" si="227"/>
        <v>-0.29529033442272801</v>
      </c>
      <c r="AB220" s="943">
        <f t="shared" si="227"/>
        <v>-8.0930232558139692E-2</v>
      </c>
      <c r="AC220" s="943">
        <f t="shared" si="227"/>
        <v>0.37688627162311383</v>
      </c>
      <c r="AD220" s="943">
        <f t="shared" si="227"/>
        <v>0.15500000000000003</v>
      </c>
      <c r="AE220" s="943">
        <f t="shared" si="227"/>
        <v>0</v>
      </c>
      <c r="AF220" s="943">
        <f t="shared" si="227"/>
        <v>0</v>
      </c>
      <c r="AG220" s="943">
        <f t="shared" si="227"/>
        <v>0</v>
      </c>
      <c r="AH220" s="943">
        <f t="shared" si="227"/>
        <v>0</v>
      </c>
      <c r="AK220" s="330"/>
      <c r="AM220" s="330"/>
      <c r="AO220" s="330"/>
    </row>
    <row r="221" spans="1:41">
      <c r="A221" s="131"/>
      <c r="G221" s="216"/>
      <c r="H221" s="216"/>
      <c r="I221" s="216"/>
      <c r="J221" s="216"/>
      <c r="K221" s="216"/>
      <c r="L221" s="216"/>
      <c r="M221" s="216"/>
      <c r="P221" s="621"/>
      <c r="Q221" s="621"/>
      <c r="R221" s="621"/>
      <c r="S221" s="621"/>
      <c r="T221" s="621"/>
      <c r="U221" s="621"/>
      <c r="V221" s="621"/>
      <c r="W221" s="621"/>
      <c r="X221" s="621"/>
      <c r="Y221" s="621"/>
      <c r="Z221" s="621"/>
      <c r="AA221" s="621"/>
      <c r="AB221" s="621"/>
      <c r="AC221" s="621"/>
      <c r="AD221" s="621"/>
      <c r="AE221" s="621"/>
      <c r="AF221" s="621"/>
      <c r="AG221" s="621"/>
      <c r="AH221" s="621"/>
      <c r="AK221" s="330"/>
      <c r="AM221" s="330"/>
      <c r="AO221" s="330"/>
    </row>
    <row r="222" spans="1:41">
      <c r="A222" s="278" t="s">
        <v>1977</v>
      </c>
      <c r="E222" s="111"/>
      <c r="F222" s="111"/>
      <c r="G222" s="111"/>
      <c r="H222" s="111"/>
      <c r="I222" s="111"/>
      <c r="J222" s="111"/>
      <c r="K222" s="111"/>
      <c r="L222" s="111"/>
      <c r="M222" s="111"/>
      <c r="N222" s="111"/>
      <c r="O222" s="111"/>
      <c r="P222" s="202"/>
      <c r="Q222" s="202"/>
      <c r="R222" s="202"/>
      <c r="S222" s="202"/>
      <c r="T222" s="202"/>
      <c r="U222" s="202"/>
      <c r="V222" s="202"/>
      <c r="W222" s="202"/>
      <c r="X222" s="202">
        <f t="shared" ref="X222:AH222" si="228">+(X225+W225)/2</f>
        <v>8.75</v>
      </c>
      <c r="Y222" s="202">
        <f t="shared" si="228"/>
        <v>17.5</v>
      </c>
      <c r="Z222" s="202">
        <f t="shared" si="228"/>
        <v>18.375</v>
      </c>
      <c r="AA222" s="202">
        <f t="shared" si="228"/>
        <v>20.125</v>
      </c>
      <c r="AB222" s="202">
        <f t="shared" si="228"/>
        <v>21</v>
      </c>
      <c r="AC222" s="202">
        <f t="shared" si="228"/>
        <v>20.125</v>
      </c>
      <c r="AD222" s="202">
        <f>+(AD225+AC225)/2</f>
        <v>18.375</v>
      </c>
      <c r="AE222" s="202">
        <f t="shared" si="228"/>
        <v>17.5</v>
      </c>
      <c r="AF222" s="202">
        <f t="shared" si="228"/>
        <v>17.5</v>
      </c>
      <c r="AG222" s="202">
        <f t="shared" si="228"/>
        <v>17.5</v>
      </c>
      <c r="AH222" s="202">
        <f t="shared" si="228"/>
        <v>17.5</v>
      </c>
      <c r="AK222" s="330"/>
      <c r="AM222" s="330"/>
      <c r="AO222" s="330"/>
    </row>
    <row r="223" spans="1:41">
      <c r="A223" s="278" t="s">
        <v>1971</v>
      </c>
      <c r="F223" s="108"/>
      <c r="G223" s="108"/>
      <c r="H223" s="108"/>
      <c r="I223" s="108"/>
      <c r="J223" s="108"/>
      <c r="K223" s="108"/>
      <c r="L223" s="108"/>
      <c r="M223" s="108"/>
      <c r="N223" s="108"/>
      <c r="O223" s="108"/>
      <c r="P223" s="939"/>
      <c r="Q223" s="939"/>
      <c r="R223" s="939"/>
      <c r="S223" s="939"/>
      <c r="T223" s="939"/>
      <c r="U223" s="939"/>
      <c r="V223" s="939"/>
      <c r="W223" s="939"/>
      <c r="X223" s="939"/>
      <c r="Y223" s="939">
        <f t="shared" ref="Y223:AH223" si="229">+Y222/X222-1</f>
        <v>1</v>
      </c>
      <c r="Z223" s="939">
        <f t="shared" si="229"/>
        <v>5.0000000000000044E-2</v>
      </c>
      <c r="AA223" s="939">
        <f t="shared" si="229"/>
        <v>9.5238095238095344E-2</v>
      </c>
      <c r="AB223" s="939">
        <f t="shared" si="229"/>
        <v>4.3478260869565188E-2</v>
      </c>
      <c r="AC223" s="939">
        <f t="shared" si="229"/>
        <v>-4.166666666666663E-2</v>
      </c>
      <c r="AD223" s="939">
        <f t="shared" si="229"/>
        <v>-8.6956521739130488E-2</v>
      </c>
      <c r="AE223" s="939">
        <f t="shared" si="229"/>
        <v>-4.7619047619047672E-2</v>
      </c>
      <c r="AF223" s="939">
        <f t="shared" si="229"/>
        <v>0</v>
      </c>
      <c r="AG223" s="939">
        <f t="shared" si="229"/>
        <v>0</v>
      </c>
      <c r="AH223" s="939">
        <f t="shared" si="229"/>
        <v>0</v>
      </c>
      <c r="AK223" s="330"/>
      <c r="AM223" s="330"/>
      <c r="AO223" s="330"/>
    </row>
    <row r="224" spans="1:41">
      <c r="A224" s="103"/>
      <c r="G224" s="216"/>
      <c r="H224" s="216"/>
      <c r="I224" s="216"/>
      <c r="J224" s="216"/>
      <c r="K224" s="216"/>
      <c r="L224" s="216"/>
      <c r="M224" s="216"/>
      <c r="P224" s="621"/>
      <c r="Q224" s="621"/>
      <c r="R224" s="621"/>
      <c r="S224" s="621"/>
      <c r="T224" s="621"/>
      <c r="U224" s="621"/>
      <c r="V224" s="621"/>
      <c r="W224" s="621"/>
      <c r="X224" s="621"/>
      <c r="Y224" s="621"/>
      <c r="Z224" s="621"/>
      <c r="AA224" s="621"/>
      <c r="AB224" s="621"/>
      <c r="AC224" s="621"/>
      <c r="AD224" s="621"/>
      <c r="AE224" s="621"/>
      <c r="AF224" s="621"/>
      <c r="AG224" s="621"/>
      <c r="AH224" s="621"/>
      <c r="AK224" s="330"/>
      <c r="AM224" s="330"/>
      <c r="AO224" s="330"/>
    </row>
    <row r="225" spans="1:41">
      <c r="A225" s="110" t="s">
        <v>1940</v>
      </c>
      <c r="B225" s="621"/>
      <c r="C225" s="938"/>
      <c r="D225" s="938"/>
      <c r="E225" s="938"/>
      <c r="F225" s="938"/>
      <c r="G225" s="938"/>
      <c r="H225" s="938"/>
      <c r="I225" s="938"/>
      <c r="J225" s="938"/>
      <c r="K225" s="938"/>
      <c r="L225" s="938"/>
      <c r="M225" s="938"/>
      <c r="N225" s="938"/>
      <c r="O225" s="938"/>
      <c r="P225" s="938"/>
      <c r="Q225" s="938"/>
      <c r="R225" s="938"/>
      <c r="S225" s="938"/>
      <c r="T225" s="938"/>
      <c r="U225" s="938"/>
      <c r="V225" s="938"/>
      <c r="W225" s="938"/>
      <c r="X225" s="938">
        <f t="shared" ref="X225:AC225" si="230">X215*X228/1000</f>
        <v>17.5</v>
      </c>
      <c r="Y225" s="938">
        <f>Y215*Y228/1000</f>
        <v>17.5</v>
      </c>
      <c r="Z225" s="938">
        <f>Z215*Z228/1000</f>
        <v>19.25</v>
      </c>
      <c r="AA225" s="938">
        <f>AA215*AA228/1000</f>
        <v>21</v>
      </c>
      <c r="AB225" s="938">
        <f t="shared" si="230"/>
        <v>21</v>
      </c>
      <c r="AC225" s="938">
        <f t="shared" si="230"/>
        <v>19.25</v>
      </c>
      <c r="AD225" s="938">
        <f>AD215*AD228/1000</f>
        <v>17.5</v>
      </c>
      <c r="AE225" s="938">
        <f>AE215*AE228/1000</f>
        <v>17.5</v>
      </c>
      <c r="AF225" s="938">
        <f>AF215*AF228/1000</f>
        <v>17.5</v>
      </c>
      <c r="AG225" s="938">
        <f>AG215*AG228/1000</f>
        <v>17.5</v>
      </c>
      <c r="AH225" s="938">
        <f>AH215*AH228/1000</f>
        <v>17.5</v>
      </c>
      <c r="AK225" s="330"/>
      <c r="AM225" s="330"/>
      <c r="AO225" s="330"/>
    </row>
    <row r="226" spans="1:41">
      <c r="A226" s="110" t="s">
        <v>1971</v>
      </c>
      <c r="B226" s="621"/>
      <c r="C226" s="621"/>
      <c r="D226" s="621"/>
      <c r="E226" s="939"/>
      <c r="F226" s="939"/>
      <c r="G226" s="939"/>
      <c r="H226" s="939"/>
      <c r="I226" s="939"/>
      <c r="J226" s="939"/>
      <c r="K226" s="939"/>
      <c r="L226" s="939"/>
      <c r="M226" s="939"/>
      <c r="N226" s="939"/>
      <c r="O226" s="939"/>
      <c r="P226" s="939"/>
      <c r="Q226" s="939"/>
      <c r="R226" s="939"/>
      <c r="S226" s="939"/>
      <c r="T226" s="939"/>
      <c r="U226" s="939"/>
      <c r="V226" s="939"/>
      <c r="W226" s="939"/>
      <c r="X226" s="939"/>
      <c r="Y226" s="939">
        <f t="shared" ref="Y226:AH226" si="231">+Y225/X225-1</f>
        <v>0</v>
      </c>
      <c r="Z226" s="939">
        <f t="shared" si="231"/>
        <v>0.10000000000000009</v>
      </c>
      <c r="AA226" s="939">
        <f t="shared" si="231"/>
        <v>9.0909090909090828E-2</v>
      </c>
      <c r="AB226" s="939">
        <f t="shared" si="231"/>
        <v>0</v>
      </c>
      <c r="AC226" s="939">
        <f t="shared" si="231"/>
        <v>-8.333333333333337E-2</v>
      </c>
      <c r="AD226" s="939">
        <f t="shared" si="231"/>
        <v>-9.0909090909090939E-2</v>
      </c>
      <c r="AE226" s="939">
        <f t="shared" si="231"/>
        <v>0</v>
      </c>
      <c r="AF226" s="939">
        <f t="shared" si="231"/>
        <v>0</v>
      </c>
      <c r="AG226" s="939">
        <f t="shared" si="231"/>
        <v>0</v>
      </c>
      <c r="AH226" s="939">
        <f t="shared" si="231"/>
        <v>0</v>
      </c>
      <c r="AK226" s="330"/>
      <c r="AM226" s="330"/>
      <c r="AO226" s="330"/>
    </row>
    <row r="227" spans="1:41">
      <c r="A227" s="103"/>
      <c r="P227" s="621"/>
      <c r="Q227" s="621"/>
      <c r="R227" s="621"/>
      <c r="S227" s="621"/>
      <c r="T227" s="621"/>
      <c r="U227" s="621"/>
      <c r="V227" s="621"/>
      <c r="W227" s="621"/>
      <c r="X227" s="621"/>
      <c r="Y227" s="621"/>
      <c r="Z227" s="621"/>
      <c r="AA227" s="621"/>
      <c r="AB227" s="621"/>
      <c r="AC227" s="621"/>
      <c r="AD227" s="621"/>
      <c r="AE227" s="621"/>
      <c r="AF227" s="621"/>
      <c r="AG227" s="621"/>
      <c r="AH227" s="621"/>
      <c r="AK227" s="330"/>
      <c r="AM227" s="330"/>
      <c r="AO227" s="330"/>
    </row>
    <row r="228" spans="1:41">
      <c r="A228" s="278" t="s">
        <v>1978</v>
      </c>
      <c r="B228" s="109"/>
      <c r="C228" s="109"/>
      <c r="D228" s="109"/>
      <c r="E228" s="109"/>
      <c r="F228" s="109"/>
      <c r="G228" s="109"/>
      <c r="H228" s="109"/>
      <c r="I228" s="109"/>
      <c r="J228" s="109"/>
      <c r="K228" s="109"/>
      <c r="L228" s="109"/>
      <c r="M228" s="109"/>
      <c r="N228" s="109"/>
      <c r="O228" s="109"/>
      <c r="P228" s="584"/>
      <c r="Q228" s="584"/>
      <c r="R228" s="584"/>
      <c r="S228" s="584"/>
      <c r="T228" s="584"/>
      <c r="U228" s="584"/>
      <c r="V228" s="584"/>
      <c r="W228" s="584"/>
      <c r="X228" s="583">
        <v>3500</v>
      </c>
      <c r="Y228" s="584">
        <f t="shared" ref="Y228:AH228" si="232">X228</f>
        <v>3500</v>
      </c>
      <c r="Z228" s="584">
        <f t="shared" si="232"/>
        <v>3500</v>
      </c>
      <c r="AA228" s="584">
        <f t="shared" si="232"/>
        <v>3500</v>
      </c>
      <c r="AB228" s="584">
        <f t="shared" si="232"/>
        <v>3500</v>
      </c>
      <c r="AC228" s="584">
        <f t="shared" si="232"/>
        <v>3500</v>
      </c>
      <c r="AD228" s="584">
        <f t="shared" si="232"/>
        <v>3500</v>
      </c>
      <c r="AE228" s="584">
        <f t="shared" si="232"/>
        <v>3500</v>
      </c>
      <c r="AF228" s="584">
        <f t="shared" si="232"/>
        <v>3500</v>
      </c>
      <c r="AG228" s="584">
        <f t="shared" si="232"/>
        <v>3500</v>
      </c>
      <c r="AH228" s="584">
        <f t="shared" si="232"/>
        <v>3500</v>
      </c>
      <c r="AK228" s="330"/>
      <c r="AM228" s="330"/>
      <c r="AO228" s="330"/>
    </row>
    <row r="229" spans="1:41">
      <c r="A229" s="278" t="s">
        <v>1971</v>
      </c>
      <c r="P229" s="621"/>
      <c r="Q229" s="621"/>
      <c r="R229" s="621"/>
      <c r="S229" s="621"/>
      <c r="T229" s="621"/>
      <c r="U229" s="621"/>
      <c r="V229" s="621"/>
      <c r="W229" s="621"/>
      <c r="X229" s="621"/>
      <c r="Y229" s="621"/>
      <c r="Z229" s="621"/>
      <c r="AA229" s="621"/>
      <c r="AB229" s="621"/>
      <c r="AC229" s="621"/>
      <c r="AD229" s="621"/>
      <c r="AE229" s="621"/>
      <c r="AF229" s="621"/>
      <c r="AG229" s="621"/>
      <c r="AH229" s="621"/>
      <c r="AK229" s="330"/>
      <c r="AM229" s="330"/>
      <c r="AO229" s="330"/>
    </row>
    <row r="230" spans="1:41">
      <c r="A230" s="103"/>
      <c r="P230" s="621"/>
      <c r="Q230" s="621"/>
      <c r="R230" s="621"/>
      <c r="S230" s="621"/>
      <c r="T230" s="621"/>
      <c r="U230" s="621"/>
      <c r="V230" s="621"/>
      <c r="W230" s="621"/>
      <c r="X230" s="621"/>
      <c r="Y230" s="621"/>
      <c r="Z230" s="621"/>
      <c r="AA230" s="621"/>
      <c r="AB230" s="621"/>
      <c r="AC230" s="621"/>
      <c r="AD230" s="621"/>
      <c r="AE230" s="621"/>
      <c r="AF230" s="621"/>
      <c r="AG230" s="621"/>
      <c r="AH230" s="621"/>
      <c r="AK230" s="330"/>
      <c r="AM230" s="330"/>
      <c r="AO230" s="330"/>
    </row>
    <row r="231" spans="1:41">
      <c r="A231" s="278" t="s">
        <v>558</v>
      </c>
      <c r="B231" s="115"/>
      <c r="C231" s="115"/>
      <c r="D231" s="115"/>
      <c r="E231" s="115"/>
      <c r="F231" s="115"/>
      <c r="G231" s="115"/>
      <c r="H231" s="115"/>
      <c r="I231" s="115"/>
      <c r="J231" s="115"/>
      <c r="K231" s="115"/>
      <c r="L231" s="115"/>
      <c r="M231" s="115"/>
      <c r="N231" s="115"/>
      <c r="O231" s="115"/>
      <c r="P231" s="115"/>
      <c r="Q231" s="115"/>
      <c r="R231" s="115"/>
      <c r="S231" s="115"/>
      <c r="T231" s="115"/>
      <c r="U231" s="115"/>
      <c r="V231" s="115"/>
      <c r="W231" s="115"/>
      <c r="X231" s="115">
        <f t="shared" ref="X231:AC231" si="233">X209/(X222)</f>
        <v>8.2866285714285706</v>
      </c>
      <c r="Y231" s="115">
        <f t="shared" si="233"/>
        <v>6.3562857142857148</v>
      </c>
      <c r="Z231" s="115">
        <f>Z209/(Z222)</f>
        <v>7.6099591836734692</v>
      </c>
      <c r="AA231" s="115">
        <f>AA209/(AA222)</f>
        <v>5.341614906832298</v>
      </c>
      <c r="AB231" s="115">
        <f t="shared" si="233"/>
        <v>4.7047619047619049</v>
      </c>
      <c r="AC231" s="115">
        <f t="shared" si="233"/>
        <v>6.1962732919254648</v>
      </c>
      <c r="AD231" s="115">
        <f>AD209/(AD222)</f>
        <v>7.1257142857142854</v>
      </c>
      <c r="AE231" s="115">
        <f>AE209/(AE222)</f>
        <v>7.6387657142857153</v>
      </c>
      <c r="AF231" s="115">
        <f>AF209/(AF222)</f>
        <v>7.9443163428571442</v>
      </c>
      <c r="AG231" s="115">
        <f>AG209/(AG222)</f>
        <v>8.0237595062857157</v>
      </c>
      <c r="AH231" s="115">
        <f>AH209/(AH222)</f>
        <v>8.1039971013485719</v>
      </c>
      <c r="AK231" s="330"/>
      <c r="AM231" s="330"/>
      <c r="AO231" s="330"/>
    </row>
    <row r="232" spans="1:41">
      <c r="A232" s="278" t="s">
        <v>1971</v>
      </c>
      <c r="P232" s="621"/>
      <c r="Q232" s="621"/>
      <c r="R232" s="621"/>
      <c r="S232" s="621"/>
      <c r="T232" s="621"/>
      <c r="U232" s="621"/>
      <c r="V232" s="621"/>
      <c r="W232" s="621"/>
      <c r="X232" s="621"/>
      <c r="Y232" s="621"/>
      <c r="Z232" s="621"/>
      <c r="AA232" s="621"/>
      <c r="AB232" s="621"/>
      <c r="AC232" s="621"/>
      <c r="AD232" s="621"/>
      <c r="AE232" s="621"/>
      <c r="AF232" s="621"/>
      <c r="AG232" s="621"/>
      <c r="AH232" s="621"/>
      <c r="AK232" s="330"/>
      <c r="AM232" s="330"/>
      <c r="AO232" s="330"/>
    </row>
    <row r="233" spans="1:41">
      <c r="A233" s="103"/>
      <c r="P233" s="621"/>
      <c r="Q233" s="621"/>
      <c r="R233" s="621"/>
      <c r="S233" s="621"/>
      <c r="T233" s="621"/>
      <c r="U233" s="621"/>
      <c r="V233" s="621"/>
      <c r="W233" s="621"/>
      <c r="X233" s="621"/>
      <c r="Y233" s="621"/>
      <c r="Z233" s="621"/>
      <c r="AA233" s="621"/>
      <c r="AB233" s="621"/>
      <c r="AC233" s="621"/>
      <c r="AD233" s="621"/>
      <c r="AE233" s="621"/>
      <c r="AF233" s="621"/>
      <c r="AG233" s="621"/>
      <c r="AH233" s="621"/>
      <c r="AK233" s="330"/>
      <c r="AM233" s="330"/>
      <c r="AO233" s="330"/>
    </row>
    <row r="234" spans="1:41">
      <c r="A234" s="278" t="s">
        <v>1980</v>
      </c>
      <c r="D234" s="875"/>
      <c r="E234" s="875"/>
      <c r="F234" s="875"/>
      <c r="G234" s="875"/>
      <c r="H234" s="875"/>
      <c r="I234" s="875"/>
      <c r="J234" s="875"/>
      <c r="K234" s="875"/>
      <c r="L234" s="875"/>
      <c r="M234" s="875"/>
      <c r="N234" s="875"/>
      <c r="O234" s="875"/>
      <c r="P234" s="944"/>
      <c r="Q234" s="944"/>
      <c r="R234" s="944"/>
      <c r="S234" s="944"/>
      <c r="T234" s="1177"/>
      <c r="U234" s="1177"/>
      <c r="V234" s="1177"/>
      <c r="W234" s="1177"/>
      <c r="X234" s="1177">
        <f>'segSales&amp;comps'!AS198/100</f>
        <v>0.41357663664366195</v>
      </c>
      <c r="Y234" s="1177">
        <f>'segSales&amp;comps'!AS205/100</f>
        <v>0.53410658134274858</v>
      </c>
      <c r="Z234" s="1177">
        <f>'segSales&amp;comps'!AS212/100</f>
        <v>0.25709533869735224</v>
      </c>
      <c r="AA234" s="2000">
        <f>'segSales&amp;comps'!AS219/100</f>
        <v>-0.23122581937024875</v>
      </c>
      <c r="AB234" s="2000">
        <f>'segSales&amp;comps'!AS226/100</f>
        <v>-8.0930232558139567E-2</v>
      </c>
      <c r="AC234" s="2000">
        <f>'segSales&amp;comps'!AS233/100</f>
        <v>0.26214574898785425</v>
      </c>
      <c r="AD234" s="2000">
        <f>'segSales&amp;comps'!AS240/100</f>
        <v>5.0000000000000044E-2</v>
      </c>
      <c r="AE234" s="945">
        <v>0.04</v>
      </c>
      <c r="AF234" s="945">
        <v>0.04</v>
      </c>
      <c r="AG234" s="945">
        <v>0.01</v>
      </c>
      <c r="AH234" s="945">
        <v>0.01</v>
      </c>
      <c r="AI234" s="945">
        <v>0.05</v>
      </c>
      <c r="AK234" s="330"/>
      <c r="AM234" s="330"/>
      <c r="AO234" s="330"/>
    </row>
    <row r="235" spans="1:41">
      <c r="A235" s="278" t="s">
        <v>1578</v>
      </c>
      <c r="D235" s="875"/>
      <c r="E235" s="875"/>
      <c r="F235" s="875"/>
      <c r="G235" s="875"/>
      <c r="H235" s="875"/>
      <c r="I235" s="875"/>
      <c r="J235" s="875"/>
      <c r="K235" s="875"/>
      <c r="L235" s="875"/>
      <c r="M235" s="875"/>
      <c r="N235" s="875"/>
      <c r="O235" s="875"/>
      <c r="P235" s="944"/>
      <c r="Q235" s="944"/>
      <c r="R235" s="944"/>
      <c r="S235" s="944"/>
      <c r="T235" s="944"/>
      <c r="U235" s="944"/>
      <c r="V235" s="944"/>
      <c r="W235" s="944"/>
      <c r="X235" s="944"/>
      <c r="Y235" s="944">
        <f t="shared" ref="Y235:AD235" si="234">Y210-Y234</f>
        <v>0</v>
      </c>
      <c r="Z235" s="944">
        <f t="shared" si="234"/>
        <v>0</v>
      </c>
      <c r="AA235" s="944">
        <f t="shared" si="234"/>
        <v>0</v>
      </c>
      <c r="AB235" s="944">
        <f>AB210-AB234/100</f>
        <v>-8.0120930232558188E-2</v>
      </c>
      <c r="AC235" s="944">
        <f t="shared" si="234"/>
        <v>0</v>
      </c>
      <c r="AD235" s="944">
        <f t="shared" si="234"/>
        <v>0</v>
      </c>
      <c r="AE235" s="944">
        <f>AE210-AE234</f>
        <v>-1.9047619047618945E-2</v>
      </c>
      <c r="AF235" s="944">
        <f>AF210-AF234</f>
        <v>0</v>
      </c>
      <c r="AG235" s="944">
        <f>AG210-AG234</f>
        <v>0</v>
      </c>
      <c r="AH235" s="944">
        <f>AH210-AH234</f>
        <v>0</v>
      </c>
      <c r="AK235" s="330"/>
      <c r="AM235" s="330"/>
      <c r="AO235" s="330"/>
    </row>
    <row r="236" spans="1:41">
      <c r="A236" s="103"/>
      <c r="P236" s="621"/>
      <c r="Q236" s="621"/>
      <c r="R236" s="621"/>
      <c r="S236" s="621"/>
      <c r="T236" s="621"/>
      <c r="U236" s="621"/>
      <c r="V236" s="621"/>
      <c r="W236" s="621"/>
      <c r="X236" s="621"/>
      <c r="Y236" s="621"/>
      <c r="Z236" s="621"/>
      <c r="AA236" s="621"/>
      <c r="AB236" s="621"/>
      <c r="AC236" s="621"/>
      <c r="AD236" s="621"/>
      <c r="AE236" s="621"/>
      <c r="AF236" s="621"/>
      <c r="AG236" s="621"/>
      <c r="AH236" s="621"/>
      <c r="AK236" s="330"/>
      <c r="AM236" s="330"/>
      <c r="AO236" s="330"/>
    </row>
    <row r="237" spans="1:41">
      <c r="A237" s="278" t="s">
        <v>1916</v>
      </c>
      <c r="B237" s="584"/>
      <c r="C237" s="584"/>
      <c r="D237" s="584"/>
      <c r="E237" s="584"/>
      <c r="F237" s="584"/>
      <c r="G237" s="584"/>
      <c r="H237" s="584"/>
      <c r="I237" s="584"/>
      <c r="J237" s="584"/>
      <c r="K237" s="584"/>
      <c r="L237" s="584"/>
      <c r="M237" s="584"/>
      <c r="N237" s="584"/>
      <c r="O237" s="584"/>
      <c r="P237" s="584"/>
      <c r="Q237" s="584"/>
      <c r="R237" s="584"/>
      <c r="S237" s="584"/>
      <c r="T237" s="583"/>
      <c r="U237" s="584"/>
      <c r="V237" s="584"/>
      <c r="W237" s="584"/>
      <c r="X237" s="583">
        <v>3100</v>
      </c>
      <c r="Y237" s="584">
        <f t="shared" ref="Y237:AH237" si="235">X237</f>
        <v>3100</v>
      </c>
      <c r="Z237" s="584">
        <f t="shared" si="235"/>
        <v>3100</v>
      </c>
      <c r="AA237" s="2044">
        <v>2200</v>
      </c>
      <c r="AB237" s="584">
        <f t="shared" si="235"/>
        <v>2200</v>
      </c>
      <c r="AC237" s="584">
        <f t="shared" si="235"/>
        <v>2200</v>
      </c>
      <c r="AD237" s="584">
        <f t="shared" si="235"/>
        <v>2200</v>
      </c>
      <c r="AE237" s="584">
        <f t="shared" si="235"/>
        <v>2200</v>
      </c>
      <c r="AF237" s="584">
        <f t="shared" si="235"/>
        <v>2200</v>
      </c>
      <c r="AG237" s="584">
        <f t="shared" si="235"/>
        <v>2200</v>
      </c>
      <c r="AH237" s="584">
        <f t="shared" si="235"/>
        <v>2200</v>
      </c>
      <c r="AK237" s="330"/>
      <c r="AM237" s="330"/>
      <c r="AO237" s="330"/>
    </row>
    <row r="238" spans="1:41">
      <c r="A238" s="103"/>
      <c r="P238" s="621"/>
      <c r="Q238" s="621"/>
      <c r="R238" s="621"/>
      <c r="S238" s="621"/>
      <c r="T238" s="621"/>
      <c r="U238" s="621"/>
      <c r="V238" s="621"/>
      <c r="W238" s="621"/>
      <c r="X238" s="621"/>
      <c r="Y238" s="621"/>
      <c r="Z238" s="621"/>
      <c r="AA238" s="621"/>
      <c r="AB238" s="621"/>
      <c r="AC238" s="621"/>
      <c r="AD238" s="621"/>
      <c r="AE238" s="621"/>
      <c r="AF238" s="621"/>
      <c r="AG238" s="621"/>
      <c r="AH238" s="621"/>
      <c r="AK238" s="330"/>
      <c r="AM238" s="330"/>
      <c r="AO238" s="330"/>
    </row>
    <row r="239" spans="1:41">
      <c r="A239" s="278" t="s">
        <v>1981</v>
      </c>
      <c r="C239" s="264"/>
      <c r="D239" s="264"/>
      <c r="E239" s="264"/>
      <c r="F239" s="264"/>
      <c r="G239" s="264"/>
      <c r="H239" s="264"/>
      <c r="I239" s="264"/>
      <c r="J239" s="264"/>
      <c r="K239" s="264"/>
      <c r="L239" s="264"/>
      <c r="M239" s="264"/>
      <c r="N239" s="264"/>
      <c r="O239" s="264"/>
      <c r="P239" s="902"/>
      <c r="Q239" s="902"/>
      <c r="R239" s="902"/>
      <c r="S239" s="902"/>
      <c r="T239" s="902"/>
      <c r="U239" s="902"/>
      <c r="V239" s="902"/>
      <c r="W239" s="902"/>
      <c r="X239" s="1615">
        <v>0.4</v>
      </c>
      <c r="Y239" s="1615">
        <f t="shared" ref="Y239:AD239" si="236">X239</f>
        <v>0.4</v>
      </c>
      <c r="Z239" s="1615">
        <f t="shared" si="236"/>
        <v>0.4</v>
      </c>
      <c r="AA239" s="1615">
        <f t="shared" si="236"/>
        <v>0.4</v>
      </c>
      <c r="AB239" s="1615">
        <f t="shared" si="236"/>
        <v>0.4</v>
      </c>
      <c r="AC239" s="1615">
        <f t="shared" si="236"/>
        <v>0.4</v>
      </c>
      <c r="AD239" s="1615">
        <f t="shared" si="236"/>
        <v>0.4</v>
      </c>
      <c r="AE239" s="1615">
        <v>0.4</v>
      </c>
      <c r="AF239" s="1615">
        <v>0.4</v>
      </c>
      <c r="AG239" s="1615">
        <v>0.4</v>
      </c>
      <c r="AH239" s="1615">
        <v>0.4</v>
      </c>
      <c r="AK239" s="330"/>
      <c r="AM239" s="330"/>
      <c r="AO239" s="330"/>
    </row>
    <row r="240" spans="1:41">
      <c r="A240" s="131"/>
      <c r="P240" s="621"/>
      <c r="Q240" s="621"/>
      <c r="R240" s="621"/>
      <c r="S240" s="621"/>
      <c r="T240" s="621"/>
      <c r="U240" s="621"/>
      <c r="V240" s="621"/>
      <c r="W240" s="1275"/>
      <c r="X240" s="621"/>
      <c r="Y240" s="621"/>
      <c r="Z240" s="621"/>
      <c r="AA240" s="621"/>
      <c r="AB240" s="621"/>
      <c r="AC240" s="621"/>
      <c r="AD240" s="621"/>
      <c r="AE240" s="621"/>
      <c r="AF240" s="621"/>
      <c r="AG240" s="621"/>
      <c r="AH240" s="621"/>
      <c r="AK240" s="330"/>
      <c r="AM240" s="330"/>
      <c r="AO240" s="330"/>
    </row>
    <row r="241" spans="1:52">
      <c r="A241" s="225"/>
      <c r="B241" s="186"/>
      <c r="C241" s="186"/>
      <c r="D241" s="186"/>
      <c r="E241" s="186"/>
      <c r="F241" s="186"/>
      <c r="G241" s="186"/>
      <c r="H241" s="186"/>
      <c r="I241" s="186"/>
      <c r="J241" s="186"/>
      <c r="K241" s="186"/>
      <c r="L241" s="186"/>
      <c r="M241" s="186"/>
      <c r="N241" s="186"/>
      <c r="O241" s="186"/>
      <c r="P241" s="639"/>
      <c r="Q241" s="639"/>
      <c r="R241" s="639"/>
      <c r="S241" s="639"/>
      <c r="T241" s="639"/>
      <c r="U241" s="639"/>
      <c r="V241" s="639"/>
      <c r="W241" s="639"/>
      <c r="X241" s="639"/>
      <c r="Y241" s="639"/>
      <c r="Z241" s="639"/>
      <c r="AA241" s="639"/>
      <c r="AB241" s="639"/>
      <c r="AC241" s="639"/>
      <c r="AD241" s="639"/>
      <c r="AE241" s="639"/>
      <c r="AF241" s="639"/>
      <c r="AG241" s="639"/>
      <c r="AH241" s="639"/>
      <c r="AI241" s="186"/>
      <c r="AJ241" s="186"/>
      <c r="AK241" s="340"/>
      <c r="AL241" s="186"/>
      <c r="AM241" s="340"/>
      <c r="AN241" s="186"/>
      <c r="AO241" s="340"/>
      <c r="AP241" s="186"/>
      <c r="AQ241" s="186"/>
      <c r="AR241" s="186"/>
      <c r="AS241" s="186"/>
      <c r="AT241" s="186"/>
      <c r="AU241" s="186"/>
      <c r="AV241" s="186"/>
      <c r="AW241" s="186"/>
      <c r="AX241" s="186"/>
      <c r="AY241" s="186"/>
      <c r="AZ241" s="186"/>
    </row>
    <row r="242" spans="1:52" hidden="1" outlineLevel="1">
      <c r="A242" s="851" t="s">
        <v>555</v>
      </c>
      <c r="B242" s="852"/>
      <c r="C242" s="852"/>
      <c r="D242" s="852"/>
      <c r="E242" s="852"/>
      <c r="F242" s="852"/>
      <c r="G242" s="852"/>
      <c r="H242" s="852"/>
      <c r="I242" s="852"/>
      <c r="J242" s="852"/>
      <c r="K242" s="852"/>
      <c r="L242" s="852"/>
      <c r="M242" s="852"/>
      <c r="N242" s="852"/>
      <c r="O242" s="852"/>
      <c r="P242" s="852"/>
      <c r="Q242" s="852"/>
      <c r="R242" s="852"/>
      <c r="S242" s="852"/>
      <c r="T242" s="852"/>
      <c r="U242" s="852"/>
      <c r="V242" s="852"/>
      <c r="W242" s="852"/>
      <c r="X242" s="852"/>
      <c r="Y242" s="852"/>
      <c r="Z242" s="852"/>
      <c r="AA242" s="852"/>
      <c r="AB242" s="852"/>
      <c r="AC242" s="852"/>
      <c r="AD242" s="852"/>
      <c r="AE242" s="852"/>
      <c r="AF242" s="852"/>
      <c r="AG242" s="852"/>
      <c r="AH242" s="852"/>
      <c r="AI242" s="852"/>
      <c r="AJ242" s="852"/>
      <c r="AK242" s="853"/>
      <c r="AL242" s="852"/>
      <c r="AM242" s="853"/>
      <c r="AN242" s="852"/>
      <c r="AO242" s="853"/>
      <c r="AP242" s="852"/>
      <c r="AQ242" s="852"/>
      <c r="AR242" s="852"/>
      <c r="AS242" s="852"/>
      <c r="AT242" s="852"/>
      <c r="AU242" s="852"/>
      <c r="AV242" s="852"/>
      <c r="AW242" s="852"/>
      <c r="AX242" s="852"/>
      <c r="AY242" s="852"/>
      <c r="AZ242" s="852"/>
    </row>
    <row r="243" spans="1:52" hidden="1" outlineLevel="1">
      <c r="A243" s="854" t="str">
        <f>+$A$2</f>
        <v>Annual Sales Model, Fiscal 2001-2014E</v>
      </c>
      <c r="B243" s="855"/>
      <c r="C243" s="855"/>
      <c r="D243" s="855"/>
      <c r="E243" s="855"/>
      <c r="F243" s="855"/>
      <c r="G243" s="855"/>
      <c r="H243" s="855"/>
      <c r="I243" s="855"/>
      <c r="J243" s="855"/>
      <c r="K243" s="855"/>
      <c r="L243" s="855"/>
      <c r="M243" s="855"/>
      <c r="N243" s="855"/>
      <c r="O243" s="855"/>
      <c r="P243" s="855"/>
      <c r="Q243" s="855"/>
      <c r="R243" s="855"/>
      <c r="S243" s="855"/>
      <c r="T243" s="855"/>
      <c r="U243" s="855"/>
      <c r="V243" s="855"/>
      <c r="W243" s="855"/>
      <c r="X243" s="855"/>
      <c r="Y243" s="855"/>
      <c r="Z243" s="855"/>
      <c r="AA243" s="855"/>
      <c r="AB243" s="855"/>
      <c r="AC243" s="855"/>
      <c r="AD243" s="855"/>
      <c r="AE243" s="855"/>
      <c r="AF243" s="855"/>
      <c r="AG243" s="855"/>
      <c r="AH243" s="855"/>
      <c r="AI243" s="855"/>
      <c r="AJ243" s="855"/>
      <c r="AK243" s="856"/>
      <c r="AL243" s="855"/>
      <c r="AM243" s="856"/>
      <c r="AN243" s="855"/>
      <c r="AO243" s="856"/>
      <c r="AP243" s="855"/>
      <c r="AQ243" s="855"/>
      <c r="AR243" s="855"/>
      <c r="AS243" s="855"/>
      <c r="AT243" s="855"/>
      <c r="AU243" s="855"/>
      <c r="AV243" s="855"/>
      <c r="AW243" s="855"/>
      <c r="AX243" s="855"/>
      <c r="AY243" s="855"/>
      <c r="AZ243" s="855"/>
    </row>
    <row r="244" spans="1:52" hidden="1" outlineLevel="1">
      <c r="A244" s="862"/>
      <c r="B244" s="852"/>
      <c r="C244" s="852"/>
      <c r="D244" s="852"/>
      <c r="E244" s="852"/>
      <c r="F244" s="852"/>
      <c r="G244" s="852"/>
      <c r="H244" s="852"/>
      <c r="I244" s="852"/>
      <c r="J244" s="852"/>
      <c r="K244" s="852"/>
      <c r="L244" s="852"/>
      <c r="M244" s="852"/>
      <c r="N244" s="852"/>
      <c r="O244" s="852"/>
      <c r="P244" s="852"/>
      <c r="Q244" s="852"/>
      <c r="R244" s="852"/>
      <c r="S244" s="852"/>
      <c r="T244" s="852"/>
      <c r="U244" s="852"/>
      <c r="V244" s="852"/>
      <c r="W244" s="852"/>
      <c r="X244" s="852"/>
      <c r="Y244" s="852"/>
      <c r="Z244" s="852"/>
      <c r="AA244" s="852"/>
      <c r="AB244" s="852"/>
      <c r="AC244" s="852"/>
      <c r="AD244" s="852"/>
      <c r="AE244" s="852"/>
      <c r="AF244" s="852"/>
      <c r="AG244" s="852"/>
      <c r="AH244" s="852"/>
      <c r="AI244" s="852"/>
      <c r="AJ244" s="852"/>
      <c r="AK244" s="853"/>
      <c r="AL244" s="852"/>
      <c r="AM244" s="853"/>
      <c r="AN244" s="852"/>
      <c r="AO244" s="853"/>
      <c r="AP244" s="1179" t="s">
        <v>1386</v>
      </c>
      <c r="AQ244" s="852"/>
      <c r="AR244" s="852"/>
      <c r="AS244" s="852"/>
      <c r="AT244" s="852"/>
      <c r="AU244" s="852"/>
      <c r="AV244" s="852"/>
      <c r="AW244" s="852"/>
      <c r="AX244" s="852"/>
      <c r="AY244" s="852"/>
      <c r="AZ244" s="852"/>
    </row>
    <row r="245" spans="1:52" hidden="1" outlineLevel="1">
      <c r="A245" s="862"/>
      <c r="B245" s="1180">
        <f t="shared" ref="B245:R245" si="237">+B5</f>
        <v>1990</v>
      </c>
      <c r="C245" s="1180">
        <f t="shared" si="237"/>
        <v>1991</v>
      </c>
      <c r="D245" s="1180">
        <f t="shared" si="237"/>
        <v>1992</v>
      </c>
      <c r="E245" s="1180">
        <f t="shared" si="237"/>
        <v>1993</v>
      </c>
      <c r="F245" s="1180">
        <f t="shared" si="237"/>
        <v>1994</v>
      </c>
      <c r="G245" s="1180">
        <f t="shared" si="237"/>
        <v>1995</v>
      </c>
      <c r="H245" s="1180">
        <f t="shared" si="237"/>
        <v>1996</v>
      </c>
      <c r="I245" s="1180">
        <f t="shared" si="237"/>
        <v>1997</v>
      </c>
      <c r="J245" s="1180">
        <f t="shared" si="237"/>
        <v>1998</v>
      </c>
      <c r="K245" s="1180">
        <f t="shared" si="237"/>
        <v>1999</v>
      </c>
      <c r="L245" s="1180">
        <f t="shared" si="237"/>
        <v>2000</v>
      </c>
      <c r="M245" s="1180">
        <f t="shared" si="237"/>
        <v>2001</v>
      </c>
      <c r="N245" s="1180">
        <f t="shared" si="237"/>
        <v>2002</v>
      </c>
      <c r="O245" s="1180">
        <f t="shared" si="237"/>
        <v>2003</v>
      </c>
      <c r="P245" s="1180">
        <f t="shared" si="237"/>
        <v>2004</v>
      </c>
      <c r="Q245" s="1180">
        <f t="shared" si="237"/>
        <v>2005</v>
      </c>
      <c r="R245" s="1180">
        <f t="shared" si="237"/>
        <v>2006</v>
      </c>
      <c r="S245" s="1181">
        <f t="shared" ref="S245:AG245" si="238">+S$5</f>
        <v>2007</v>
      </c>
      <c r="T245" s="1181">
        <f t="shared" si="238"/>
        <v>2008</v>
      </c>
      <c r="U245" s="1181">
        <f t="shared" si="238"/>
        <v>2009</v>
      </c>
      <c r="V245" s="1181">
        <f t="shared" si="238"/>
        <v>2010</v>
      </c>
      <c r="W245" s="1181">
        <f t="shared" si="238"/>
        <v>2011</v>
      </c>
      <c r="X245" s="1181">
        <f t="shared" si="238"/>
        <v>2012</v>
      </c>
      <c r="Y245" s="1181">
        <f t="shared" si="238"/>
        <v>2013</v>
      </c>
      <c r="Z245" s="1181">
        <f t="shared" si="238"/>
        <v>2014</v>
      </c>
      <c r="AA245" s="1181">
        <f t="shared" si="238"/>
        <v>2015</v>
      </c>
      <c r="AB245" s="1181">
        <f t="shared" si="238"/>
        <v>2016</v>
      </c>
      <c r="AC245" s="1181">
        <f t="shared" si="238"/>
        <v>2017</v>
      </c>
      <c r="AD245" s="1181">
        <f t="shared" si="238"/>
        <v>2018</v>
      </c>
      <c r="AE245" s="1181">
        <f t="shared" si="238"/>
        <v>2019</v>
      </c>
      <c r="AF245" s="1181">
        <f t="shared" si="238"/>
        <v>2020</v>
      </c>
      <c r="AG245" s="1181">
        <f t="shared" si="238"/>
        <v>2021</v>
      </c>
      <c r="AH245" s="1181"/>
      <c r="AI245" s="852"/>
      <c r="AJ245" s="852"/>
      <c r="AK245" s="853"/>
      <c r="AL245" s="852"/>
      <c r="AM245" s="853"/>
      <c r="AN245" s="852"/>
      <c r="AO245" s="853"/>
      <c r="AP245" s="852">
        <v>2011</v>
      </c>
      <c r="AQ245" s="852"/>
      <c r="AR245" s="852"/>
      <c r="AS245" s="852"/>
      <c r="AT245" s="852"/>
      <c r="AU245" s="852"/>
      <c r="AV245" s="852"/>
      <c r="AW245" s="852"/>
      <c r="AX245" s="852"/>
      <c r="AY245" s="852"/>
      <c r="AZ245" s="852"/>
    </row>
    <row r="246" spans="1:52" hidden="1" outlineLevel="1">
      <c r="A246" s="862"/>
      <c r="B246" s="852"/>
      <c r="C246" s="852"/>
      <c r="D246" s="852"/>
      <c r="E246" s="852"/>
      <c r="F246" s="852"/>
      <c r="G246" s="852"/>
      <c r="H246" s="852"/>
      <c r="I246" s="852"/>
      <c r="J246" s="852"/>
      <c r="K246" s="852"/>
      <c r="L246" s="852"/>
      <c r="M246" s="852"/>
      <c r="N246" s="852"/>
      <c r="O246" s="852"/>
      <c r="P246" s="852"/>
      <c r="Q246" s="852"/>
      <c r="R246" s="852"/>
      <c r="S246" s="852"/>
      <c r="T246" s="852"/>
      <c r="U246" s="852"/>
      <c r="V246" s="852"/>
      <c r="W246" s="852"/>
      <c r="X246" s="852"/>
      <c r="Y246" s="852"/>
      <c r="Z246" s="852"/>
      <c r="AA246" s="852"/>
      <c r="AB246" s="852"/>
      <c r="AC246" s="852"/>
      <c r="AD246" s="852"/>
      <c r="AE246" s="852"/>
      <c r="AF246" s="852"/>
      <c r="AG246" s="852"/>
      <c r="AH246" s="852"/>
      <c r="AI246" s="852"/>
      <c r="AJ246" s="852"/>
      <c r="AK246" s="853"/>
      <c r="AL246" s="852"/>
      <c r="AM246" s="853"/>
      <c r="AN246" s="852"/>
      <c r="AO246" s="853"/>
      <c r="AP246" s="852"/>
      <c r="AQ246" s="852"/>
      <c r="AR246" s="852"/>
      <c r="AS246" s="852"/>
      <c r="AT246" s="852"/>
      <c r="AU246" s="852"/>
      <c r="AV246" s="852"/>
      <c r="AW246" s="852"/>
      <c r="AX246" s="852"/>
      <c r="AY246" s="852"/>
      <c r="AZ246" s="852"/>
    </row>
    <row r="247" spans="1:52" hidden="1" outlineLevel="1">
      <c r="A247" s="1182" t="s">
        <v>816</v>
      </c>
      <c r="B247" s="852"/>
      <c r="C247" s="1183">
        <f>'segSales&amp;comps'!E25</f>
        <v>225.35233644859812</v>
      </c>
      <c r="D247" s="1183">
        <f>'segSales&amp;comps'!E32</f>
        <v>241.12700000000001</v>
      </c>
      <c r="E247" s="1183">
        <f>'segSales&amp;comps'!E39</f>
        <v>268.70600000000002</v>
      </c>
      <c r="F247" s="1183">
        <f>'segSales&amp;comps'!E46</f>
        <v>308.29000000000002</v>
      </c>
      <c r="G247" s="1183">
        <f>'segSales&amp;comps'!E53</f>
        <v>364.15800000000002</v>
      </c>
      <c r="H247" s="1184">
        <f>+'segSales&amp;comps'!E60</f>
        <v>424.185</v>
      </c>
      <c r="I247" s="1184">
        <f>+'segSales&amp;comps'!E67</f>
        <v>491.24400000000003</v>
      </c>
      <c r="J247" s="1184">
        <f>+'segSales&amp;comps'!E74</f>
        <v>593.58900000000006</v>
      </c>
      <c r="K247" s="1184">
        <f>+'segSales&amp;comps'!E81</f>
        <v>744.42499999999995</v>
      </c>
      <c r="L247" s="1184">
        <f>+'segSales&amp;comps'!E88</f>
        <v>833.221</v>
      </c>
      <c r="M247" s="1184">
        <f>+'segSales&amp;comps'!E95</f>
        <v>786.79200000000003</v>
      </c>
      <c r="N247" s="1184">
        <f>+'segSales&amp;comps'!E102</f>
        <v>819.81399999999996</v>
      </c>
      <c r="O247" s="1184">
        <f>'segSales&amp;comps'!E109</f>
        <v>1013.034</v>
      </c>
      <c r="P247" s="1184">
        <f>'segSales&amp;comps'!E116</f>
        <v>1116.845</v>
      </c>
      <c r="Q247" s="1184">
        <f>'segSales&amp;comps'!E123</f>
        <v>1220.683</v>
      </c>
      <c r="R247" s="1184">
        <f>'segSales&amp;comps'!E130</f>
        <v>1326.441</v>
      </c>
      <c r="S247" s="1184">
        <f>'segSales&amp;comps'!$E137</f>
        <v>1474.6379999999999</v>
      </c>
      <c r="T247" s="1185">
        <v>1630</v>
      </c>
      <c r="U247" s="1185">
        <v>1775</v>
      </c>
      <c r="V247" s="1185">
        <v>1930</v>
      </c>
      <c r="W247" s="1185">
        <v>2100</v>
      </c>
      <c r="X247" s="1185">
        <v>2100</v>
      </c>
      <c r="Y247" s="1185">
        <v>2100</v>
      </c>
      <c r="Z247" s="1185">
        <v>2100</v>
      </c>
      <c r="AA247" s="1185">
        <v>2100</v>
      </c>
      <c r="AB247" s="1185">
        <v>2100</v>
      </c>
      <c r="AC247" s="1185">
        <v>2100</v>
      </c>
      <c r="AD247" s="1185">
        <v>2100</v>
      </c>
      <c r="AE247" s="1185">
        <v>2100</v>
      </c>
      <c r="AF247" s="1185">
        <v>2100</v>
      </c>
      <c r="AG247" s="1185">
        <v>2100</v>
      </c>
      <c r="AH247" s="1185"/>
      <c r="AI247" s="852"/>
      <c r="AJ247" s="852"/>
      <c r="AK247" s="853"/>
      <c r="AL247" s="852"/>
      <c r="AM247" s="853"/>
      <c r="AN247" s="852"/>
      <c r="AO247" s="853"/>
      <c r="AP247" s="852"/>
      <c r="AQ247" s="852"/>
      <c r="AR247" s="852"/>
      <c r="AS247" s="852"/>
      <c r="AT247" s="852"/>
      <c r="AU247" s="852"/>
      <c r="AV247" s="852"/>
      <c r="AW247" s="852"/>
      <c r="AX247" s="852"/>
      <c r="AY247" s="852"/>
      <c r="AZ247" s="852"/>
    </row>
    <row r="248" spans="1:52" hidden="1" outlineLevel="1">
      <c r="A248" s="1182" t="s">
        <v>1971</v>
      </c>
      <c r="B248" s="852"/>
      <c r="C248" s="852"/>
      <c r="D248" s="1186">
        <f t="shared" ref="D248:N248" si="239">D247/C247-1</f>
        <v>7.0000000000000062E-2</v>
      </c>
      <c r="E248" s="1186">
        <f t="shared" si="239"/>
        <v>0.11437541212721936</v>
      </c>
      <c r="F248" s="1186">
        <f t="shared" si="239"/>
        <v>0.14731342061584041</v>
      </c>
      <c r="G248" s="1186">
        <f t="shared" si="239"/>
        <v>0.18121898212721788</v>
      </c>
      <c r="H248" s="1186">
        <f t="shared" si="239"/>
        <v>0.16483779018997247</v>
      </c>
      <c r="I248" s="1186">
        <f t="shared" si="239"/>
        <v>0.15808904133809554</v>
      </c>
      <c r="J248" s="1186">
        <f t="shared" si="239"/>
        <v>0.20833842245401479</v>
      </c>
      <c r="K248" s="1186">
        <f t="shared" si="239"/>
        <v>0.25410848246850914</v>
      </c>
      <c r="L248" s="1186">
        <f t="shared" si="239"/>
        <v>0.11928132451220752</v>
      </c>
      <c r="M248" s="1186">
        <f t="shared" si="239"/>
        <v>-5.572231136757233E-2</v>
      </c>
      <c r="N248" s="1186">
        <f t="shared" si="239"/>
        <v>4.1970431829505106E-2</v>
      </c>
      <c r="O248" s="1186">
        <f t="shared" ref="O248:AA248" si="240">O247/N247-1</f>
        <v>0.23568760718894777</v>
      </c>
      <c r="P248" s="1186">
        <f t="shared" si="240"/>
        <v>0.10247533646452145</v>
      </c>
      <c r="Q248" s="1186">
        <f t="shared" si="240"/>
        <v>9.297440558000436E-2</v>
      </c>
      <c r="R248" s="1186">
        <f t="shared" si="240"/>
        <v>8.6638381955020272E-2</v>
      </c>
      <c r="S248" s="1186">
        <f t="shared" si="240"/>
        <v>0.11172528593431585</v>
      </c>
      <c r="T248" s="1186">
        <f t="shared" si="240"/>
        <v>0.10535602636036789</v>
      </c>
      <c r="U248" s="1186">
        <f t="shared" si="240"/>
        <v>8.8957055214723857E-2</v>
      </c>
      <c r="V248" s="1186">
        <f t="shared" si="240"/>
        <v>8.7323943661971937E-2</v>
      </c>
      <c r="W248" s="1186">
        <f t="shared" si="240"/>
        <v>8.8082901554404236E-2</v>
      </c>
      <c r="X248" s="1186">
        <f t="shared" si="240"/>
        <v>0</v>
      </c>
      <c r="Y248" s="1186">
        <f t="shared" si="240"/>
        <v>0</v>
      </c>
      <c r="Z248" s="1186">
        <f t="shared" si="240"/>
        <v>0</v>
      </c>
      <c r="AA248" s="1186">
        <f t="shared" si="240"/>
        <v>0</v>
      </c>
      <c r="AB248" s="1186">
        <f t="shared" ref="AB248:AG248" si="241">AB247/AA247-1</f>
        <v>0</v>
      </c>
      <c r="AC248" s="1186">
        <f t="shared" si="241"/>
        <v>0</v>
      </c>
      <c r="AD248" s="1186">
        <f t="shared" si="241"/>
        <v>0</v>
      </c>
      <c r="AE248" s="1186">
        <f t="shared" si="241"/>
        <v>0</v>
      </c>
      <c r="AF248" s="1186">
        <f t="shared" si="241"/>
        <v>0</v>
      </c>
      <c r="AG248" s="1186">
        <f t="shared" si="241"/>
        <v>0</v>
      </c>
      <c r="AH248" s="1186"/>
      <c r="AI248" s="1186"/>
      <c r="AJ248" s="852"/>
      <c r="AK248" s="853"/>
      <c r="AL248" s="852"/>
      <c r="AM248" s="853"/>
      <c r="AN248" s="852"/>
      <c r="AO248" s="853"/>
      <c r="AP248" s="852"/>
      <c r="AQ248" s="852"/>
      <c r="AR248" s="852"/>
      <c r="AS248" s="852"/>
      <c r="AT248" s="852"/>
      <c r="AU248" s="852"/>
      <c r="AV248" s="852"/>
      <c r="AW248" s="852"/>
      <c r="AX248" s="852"/>
      <c r="AY248" s="852"/>
      <c r="AZ248" s="852"/>
    </row>
    <row r="249" spans="1:52" hidden="1" outlineLevel="1">
      <c r="A249" s="862"/>
      <c r="B249" s="852"/>
      <c r="C249" s="852"/>
      <c r="D249" s="852"/>
      <c r="E249" s="852"/>
      <c r="F249" s="852"/>
      <c r="G249" s="852"/>
      <c r="H249" s="852"/>
      <c r="I249" s="852"/>
      <c r="J249" s="852"/>
      <c r="K249" s="852"/>
      <c r="L249" s="852"/>
      <c r="M249" s="852"/>
      <c r="N249" s="852"/>
      <c r="O249" s="852"/>
      <c r="P249" s="852"/>
      <c r="Q249" s="852"/>
      <c r="R249" s="852"/>
      <c r="S249" s="852"/>
      <c r="T249" s="852"/>
      <c r="U249" s="852"/>
      <c r="V249" s="852"/>
      <c r="W249" s="852"/>
      <c r="X249" s="852"/>
      <c r="Y249" s="852"/>
      <c r="Z249" s="852"/>
      <c r="AA249" s="852"/>
      <c r="AB249" s="852"/>
      <c r="AC249" s="852"/>
      <c r="AD249" s="852"/>
      <c r="AE249" s="852"/>
      <c r="AF249" s="852"/>
      <c r="AG249" s="852"/>
      <c r="AH249" s="852"/>
      <c r="AI249" s="852"/>
      <c r="AJ249" s="852"/>
      <c r="AK249" s="853"/>
      <c r="AL249" s="852"/>
      <c r="AM249" s="853"/>
      <c r="AN249" s="852"/>
      <c r="AO249" s="853"/>
      <c r="AP249" s="852"/>
      <c r="AQ249" s="852"/>
      <c r="AR249" s="852"/>
      <c r="AS249" s="852"/>
      <c r="AT249" s="852"/>
      <c r="AU249" s="852"/>
      <c r="AV249" s="852"/>
      <c r="AW249" s="852"/>
      <c r="AX249" s="852"/>
      <c r="AY249" s="852"/>
      <c r="AZ249" s="852"/>
    </row>
    <row r="250" spans="1:52" hidden="1" outlineLevel="1">
      <c r="A250" s="1182" t="s">
        <v>1972</v>
      </c>
      <c r="B250" s="1187">
        <f>+Stores!D26</f>
        <v>9</v>
      </c>
      <c r="C250" s="1187">
        <f>+B252</f>
        <v>12</v>
      </c>
      <c r="D250" s="1187">
        <f t="shared" ref="D250:P250" si="242">+C252</f>
        <v>13</v>
      </c>
      <c r="E250" s="1187">
        <f t="shared" si="242"/>
        <v>16</v>
      </c>
      <c r="F250" s="1187">
        <f t="shared" si="242"/>
        <v>16</v>
      </c>
      <c r="G250" s="1187">
        <f t="shared" si="242"/>
        <v>18</v>
      </c>
      <c r="H250" s="1187">
        <f t="shared" si="242"/>
        <v>21</v>
      </c>
      <c r="I250" s="1187">
        <f t="shared" si="242"/>
        <v>23</v>
      </c>
      <c r="J250" s="1187">
        <f t="shared" si="242"/>
        <v>28</v>
      </c>
      <c r="K250" s="1187">
        <f t="shared" si="242"/>
        <v>34</v>
      </c>
      <c r="L250" s="1187">
        <f t="shared" si="242"/>
        <v>38</v>
      </c>
      <c r="M250" s="1187">
        <f t="shared" si="242"/>
        <v>42</v>
      </c>
      <c r="N250" s="1187">
        <f t="shared" si="242"/>
        <v>44</v>
      </c>
      <c r="O250" s="1187">
        <f t="shared" si="242"/>
        <v>47</v>
      </c>
      <c r="P250" s="1187">
        <f t="shared" si="242"/>
        <v>51</v>
      </c>
      <c r="Q250" s="1187">
        <f>+P252</f>
        <v>55</v>
      </c>
      <c r="R250" s="1187">
        <f t="shared" ref="R250:AA250" si="243">+Q252</f>
        <v>59</v>
      </c>
      <c r="S250" s="1187">
        <f t="shared" si="243"/>
        <v>64</v>
      </c>
      <c r="T250" s="1187">
        <f t="shared" si="243"/>
        <v>70</v>
      </c>
      <c r="U250" s="1187">
        <f t="shared" si="243"/>
        <v>76</v>
      </c>
      <c r="V250" s="1187">
        <f t="shared" si="243"/>
        <v>79</v>
      </c>
      <c r="W250" s="1187">
        <f t="shared" si="243"/>
        <v>83</v>
      </c>
      <c r="X250" s="1187">
        <f t="shared" si="243"/>
        <v>88</v>
      </c>
      <c r="Y250" s="1187">
        <f t="shared" si="243"/>
        <v>94</v>
      </c>
      <c r="Z250" s="1187">
        <f t="shared" si="243"/>
        <v>100</v>
      </c>
      <c r="AA250" s="1187">
        <f t="shared" si="243"/>
        <v>106</v>
      </c>
      <c r="AB250" s="1187">
        <f t="shared" ref="AB250:AG250" si="244">+AA252</f>
        <v>112</v>
      </c>
      <c r="AC250" s="1187">
        <f t="shared" si="244"/>
        <v>118</v>
      </c>
      <c r="AD250" s="1187">
        <f t="shared" si="244"/>
        <v>124</v>
      </c>
      <c r="AE250" s="1187">
        <f t="shared" si="244"/>
        <v>130</v>
      </c>
      <c r="AF250" s="1187">
        <f t="shared" si="244"/>
        <v>136</v>
      </c>
      <c r="AG250" s="1187">
        <f t="shared" si="244"/>
        <v>142</v>
      </c>
      <c r="AH250" s="1187"/>
      <c r="AI250" s="852"/>
      <c r="AJ250" s="852"/>
      <c r="AK250" s="853"/>
      <c r="AL250" s="852"/>
      <c r="AM250" s="853"/>
      <c r="AN250" s="852"/>
      <c r="AO250" s="853"/>
      <c r="AP250" s="852"/>
      <c r="AQ250" s="852"/>
      <c r="AR250" s="852"/>
      <c r="AS250" s="852"/>
      <c r="AT250" s="852"/>
      <c r="AU250" s="852"/>
      <c r="AV250" s="852"/>
      <c r="AW250" s="852"/>
      <c r="AX250" s="852"/>
      <c r="AY250" s="852"/>
      <c r="AZ250" s="852"/>
    </row>
    <row r="251" spans="1:52" hidden="1" outlineLevel="1">
      <c r="A251" s="1188" t="s">
        <v>556</v>
      </c>
      <c r="B251" s="1189">
        <f>+Stores!$E$34</f>
        <v>3</v>
      </c>
      <c r="C251" s="1189">
        <f>+Stores!$E$41</f>
        <v>1</v>
      </c>
      <c r="D251" s="1189">
        <f>+Stores!$E$48</f>
        <v>3</v>
      </c>
      <c r="E251" s="1189">
        <f>+Stores!$E$55</f>
        <v>0</v>
      </c>
      <c r="F251" s="1189">
        <f>+Stores!$E$62</f>
        <v>2</v>
      </c>
      <c r="G251" s="1189">
        <f>+Stores!$E$69</f>
        <v>3</v>
      </c>
      <c r="H251" s="1189">
        <f>+Stores!$E$76</f>
        <v>2</v>
      </c>
      <c r="I251" s="1189">
        <f>+Stores!$E$83</f>
        <v>5</v>
      </c>
      <c r="J251" s="1189">
        <f>+Stores!$E$90</f>
        <v>6</v>
      </c>
      <c r="K251" s="1189">
        <f>+Stores!$E$97</f>
        <v>4</v>
      </c>
      <c r="L251" s="1189">
        <f>+Stores!$E$104</f>
        <v>4</v>
      </c>
      <c r="M251" s="1189">
        <f>+Stores!$E$111</f>
        <v>2</v>
      </c>
      <c r="N251" s="1189">
        <f>+Stores!$E$118</f>
        <v>3</v>
      </c>
      <c r="O251" s="1189">
        <f>+Stores!$E$125</f>
        <v>4</v>
      </c>
      <c r="P251" s="1189">
        <f>+Stores!$E$132</f>
        <v>4</v>
      </c>
      <c r="Q251" s="1189">
        <f>+Stores!$E$139</f>
        <v>4</v>
      </c>
      <c r="R251" s="1189">
        <f>+Stores!$E$146</f>
        <v>5</v>
      </c>
      <c r="S251" s="1189">
        <f>+Stores!$E$153</f>
        <v>6</v>
      </c>
      <c r="T251" s="1190">
        <f>+Stores!$E$160</f>
        <v>6</v>
      </c>
      <c r="U251" s="1190">
        <v>3</v>
      </c>
      <c r="V251" s="1190">
        <v>4</v>
      </c>
      <c r="W251" s="1190">
        <v>5</v>
      </c>
      <c r="X251" s="1190">
        <f>+Stores!$E$167</f>
        <v>6</v>
      </c>
      <c r="Y251" s="1190">
        <f>+Stores!$E$167</f>
        <v>6</v>
      </c>
      <c r="Z251" s="1190">
        <f>+Stores!$E$167</f>
        <v>6</v>
      </c>
      <c r="AA251" s="1190">
        <f>+Stores!$E$167</f>
        <v>6</v>
      </c>
      <c r="AB251" s="1190">
        <f>+Stores!$E$167</f>
        <v>6</v>
      </c>
      <c r="AC251" s="1190">
        <f>+Stores!$E$167</f>
        <v>6</v>
      </c>
      <c r="AD251" s="1190">
        <f>+Stores!$E$167</f>
        <v>6</v>
      </c>
      <c r="AE251" s="1190">
        <f>+Stores!$E$167</f>
        <v>6</v>
      </c>
      <c r="AF251" s="1190">
        <f>+Stores!$E$167</f>
        <v>6</v>
      </c>
      <c r="AG251" s="1190">
        <f>+Stores!$E$167</f>
        <v>6</v>
      </c>
      <c r="AH251" s="1190"/>
      <c r="AI251" s="852"/>
      <c r="AJ251" s="852"/>
      <c r="AK251" s="853"/>
      <c r="AL251" s="852"/>
      <c r="AM251" s="853"/>
      <c r="AN251" s="852"/>
      <c r="AO251" s="853"/>
      <c r="AP251" s="852"/>
      <c r="AQ251" s="852"/>
      <c r="AR251" s="852"/>
      <c r="AS251" s="852"/>
      <c r="AT251" s="852"/>
      <c r="AU251" s="852"/>
      <c r="AV251" s="852"/>
      <c r="AW251" s="852"/>
      <c r="AX251" s="852"/>
      <c r="AY251" s="852"/>
      <c r="AZ251" s="852"/>
    </row>
    <row r="252" spans="1:52" hidden="1" outlineLevel="1">
      <c r="A252" s="1182" t="s">
        <v>1973</v>
      </c>
      <c r="B252" s="1187">
        <f t="shared" ref="B252:I252" si="245">+B250+B251</f>
        <v>12</v>
      </c>
      <c r="C252" s="1187">
        <f t="shared" si="245"/>
        <v>13</v>
      </c>
      <c r="D252" s="1187">
        <f t="shared" si="245"/>
        <v>16</v>
      </c>
      <c r="E252" s="1187">
        <f t="shared" si="245"/>
        <v>16</v>
      </c>
      <c r="F252" s="1187">
        <f t="shared" si="245"/>
        <v>18</v>
      </c>
      <c r="G252" s="1187">
        <f t="shared" si="245"/>
        <v>21</v>
      </c>
      <c r="H252" s="1187">
        <f t="shared" si="245"/>
        <v>23</v>
      </c>
      <c r="I252" s="1187">
        <f t="shared" si="245"/>
        <v>28</v>
      </c>
      <c r="J252" s="1187">
        <f t="shared" ref="J252:P252" si="246">+J250+J251</f>
        <v>34</v>
      </c>
      <c r="K252" s="1187">
        <f t="shared" si="246"/>
        <v>38</v>
      </c>
      <c r="L252" s="1187">
        <f t="shared" si="246"/>
        <v>42</v>
      </c>
      <c r="M252" s="1187">
        <f t="shared" si="246"/>
        <v>44</v>
      </c>
      <c r="N252" s="1187">
        <f t="shared" si="246"/>
        <v>47</v>
      </c>
      <c r="O252" s="1187">
        <f t="shared" si="246"/>
        <v>51</v>
      </c>
      <c r="P252" s="1187">
        <f t="shared" si="246"/>
        <v>55</v>
      </c>
      <c r="Q252" s="1187">
        <f t="shared" ref="Q252:AA252" si="247">+Q250+Q251</f>
        <v>59</v>
      </c>
      <c r="R252" s="1187">
        <f t="shared" si="247"/>
        <v>64</v>
      </c>
      <c r="S252" s="1187">
        <f t="shared" si="247"/>
        <v>70</v>
      </c>
      <c r="T252" s="1187">
        <f t="shared" si="247"/>
        <v>76</v>
      </c>
      <c r="U252" s="1187">
        <f t="shared" si="247"/>
        <v>79</v>
      </c>
      <c r="V252" s="1187">
        <f t="shared" si="247"/>
        <v>83</v>
      </c>
      <c r="W252" s="1187">
        <f t="shared" si="247"/>
        <v>88</v>
      </c>
      <c r="X252" s="1187">
        <f t="shared" si="247"/>
        <v>94</v>
      </c>
      <c r="Y252" s="1187">
        <f t="shared" si="247"/>
        <v>100</v>
      </c>
      <c r="Z252" s="1187">
        <f t="shared" si="247"/>
        <v>106</v>
      </c>
      <c r="AA252" s="1187">
        <f t="shared" si="247"/>
        <v>112</v>
      </c>
      <c r="AB252" s="1187">
        <f t="shared" ref="AB252:AG252" si="248">+AB250+AB251</f>
        <v>118</v>
      </c>
      <c r="AC252" s="1187">
        <f t="shared" si="248"/>
        <v>124</v>
      </c>
      <c r="AD252" s="1187">
        <f t="shared" si="248"/>
        <v>130</v>
      </c>
      <c r="AE252" s="1187">
        <f t="shared" si="248"/>
        <v>136</v>
      </c>
      <c r="AF252" s="1187">
        <f t="shared" si="248"/>
        <v>142</v>
      </c>
      <c r="AG252" s="1187">
        <f t="shared" si="248"/>
        <v>148</v>
      </c>
      <c r="AH252" s="1187"/>
      <c r="AI252" s="852"/>
      <c r="AJ252" s="852"/>
      <c r="AK252" s="853"/>
      <c r="AL252" s="852"/>
      <c r="AM252" s="853"/>
      <c r="AN252" s="852"/>
      <c r="AO252" s="853"/>
      <c r="AP252" s="1187">
        <f>Stores!D181</f>
        <v>94</v>
      </c>
      <c r="AQ252" s="852"/>
      <c r="AR252" s="852"/>
      <c r="AS252" s="852"/>
      <c r="AT252" s="852"/>
      <c r="AU252" s="852"/>
      <c r="AV252" s="852"/>
      <c r="AW252" s="852"/>
      <c r="AX252" s="852"/>
      <c r="AY252" s="852"/>
      <c r="AZ252" s="852"/>
    </row>
    <row r="253" spans="1:52" hidden="1" outlineLevel="1">
      <c r="A253" s="1182" t="s">
        <v>1974</v>
      </c>
      <c r="B253" s="1187">
        <f>AVERAGE(B250,B252)</f>
        <v>10.5</v>
      </c>
      <c r="C253" s="1187">
        <f>AVERAGE(B252:C252)</f>
        <v>12.5</v>
      </c>
      <c r="D253" s="1187">
        <f t="shared" ref="D253:P253" si="249">AVERAGE(C252:D252)</f>
        <v>14.5</v>
      </c>
      <c r="E253" s="1187">
        <f t="shared" si="249"/>
        <v>16</v>
      </c>
      <c r="F253" s="1187">
        <f t="shared" si="249"/>
        <v>17</v>
      </c>
      <c r="G253" s="1187">
        <f t="shared" si="249"/>
        <v>19.5</v>
      </c>
      <c r="H253" s="1187">
        <f t="shared" si="249"/>
        <v>22</v>
      </c>
      <c r="I253" s="1187">
        <f t="shared" si="249"/>
        <v>25.5</v>
      </c>
      <c r="J253" s="1187">
        <f t="shared" si="249"/>
        <v>31</v>
      </c>
      <c r="K253" s="1187">
        <f t="shared" si="249"/>
        <v>36</v>
      </c>
      <c r="L253" s="1187">
        <f t="shared" si="249"/>
        <v>40</v>
      </c>
      <c r="M253" s="1187">
        <f t="shared" si="249"/>
        <v>43</v>
      </c>
      <c r="N253" s="1187">
        <f t="shared" si="249"/>
        <v>45.5</v>
      </c>
      <c r="O253" s="1187">
        <f t="shared" si="249"/>
        <v>49</v>
      </c>
      <c r="P253" s="1187">
        <f t="shared" si="249"/>
        <v>53</v>
      </c>
      <c r="Q253" s="1187">
        <f t="shared" ref="Q253:AA253" si="250">AVERAGE(P252:Q252)</f>
        <v>57</v>
      </c>
      <c r="R253" s="1187">
        <f t="shared" si="250"/>
        <v>61.5</v>
      </c>
      <c r="S253" s="1187">
        <f t="shared" si="250"/>
        <v>67</v>
      </c>
      <c r="T253" s="1187">
        <f t="shared" si="250"/>
        <v>73</v>
      </c>
      <c r="U253" s="1187">
        <f t="shared" si="250"/>
        <v>77.5</v>
      </c>
      <c r="V253" s="1187">
        <f t="shared" si="250"/>
        <v>81</v>
      </c>
      <c r="W253" s="1187">
        <f t="shared" si="250"/>
        <v>85.5</v>
      </c>
      <c r="X253" s="1187">
        <f t="shared" si="250"/>
        <v>91</v>
      </c>
      <c r="Y253" s="1187">
        <f t="shared" si="250"/>
        <v>97</v>
      </c>
      <c r="Z253" s="1187">
        <f t="shared" si="250"/>
        <v>103</v>
      </c>
      <c r="AA253" s="1187">
        <f t="shared" si="250"/>
        <v>109</v>
      </c>
      <c r="AB253" s="1187">
        <f t="shared" ref="AB253:AG253" si="251">AVERAGE(AA252:AB252)</f>
        <v>115</v>
      </c>
      <c r="AC253" s="1187">
        <f t="shared" si="251"/>
        <v>121</v>
      </c>
      <c r="AD253" s="1187">
        <f t="shared" si="251"/>
        <v>127</v>
      </c>
      <c r="AE253" s="1187">
        <f t="shared" si="251"/>
        <v>133</v>
      </c>
      <c r="AF253" s="1187">
        <f t="shared" si="251"/>
        <v>139</v>
      </c>
      <c r="AG253" s="1187">
        <f t="shared" si="251"/>
        <v>145</v>
      </c>
      <c r="AH253" s="1187"/>
      <c r="AI253" s="852"/>
      <c r="AJ253" s="852"/>
      <c r="AK253" s="853"/>
      <c r="AL253" s="852"/>
      <c r="AM253" s="853"/>
      <c r="AN253" s="852"/>
      <c r="AO253" s="853"/>
      <c r="AP253" s="852"/>
      <c r="AQ253" s="852"/>
      <c r="AR253" s="852"/>
      <c r="AS253" s="852"/>
      <c r="AT253" s="852"/>
      <c r="AU253" s="852"/>
      <c r="AV253" s="852"/>
      <c r="AW253" s="852"/>
      <c r="AX253" s="852"/>
      <c r="AY253" s="852"/>
      <c r="AZ253" s="852"/>
    </row>
    <row r="254" spans="1:52" hidden="1" outlineLevel="1">
      <c r="A254" s="1182" t="s">
        <v>1975</v>
      </c>
      <c r="B254" s="1191"/>
      <c r="C254" s="1191">
        <f>C253/B253-1</f>
        <v>0.19047619047619047</v>
      </c>
      <c r="D254" s="1191">
        <f t="shared" ref="D254:Q254" si="252">D253/C253-1</f>
        <v>0.15999999999999992</v>
      </c>
      <c r="E254" s="1191">
        <f t="shared" si="252"/>
        <v>0.10344827586206895</v>
      </c>
      <c r="F254" s="1191">
        <f t="shared" si="252"/>
        <v>6.25E-2</v>
      </c>
      <c r="G254" s="1191">
        <f t="shared" si="252"/>
        <v>0.14705882352941169</v>
      </c>
      <c r="H254" s="1191">
        <f t="shared" si="252"/>
        <v>0.12820512820512819</v>
      </c>
      <c r="I254" s="1191">
        <f t="shared" si="252"/>
        <v>0.15909090909090917</v>
      </c>
      <c r="J254" s="1191">
        <f t="shared" si="252"/>
        <v>0.21568627450980382</v>
      </c>
      <c r="K254" s="1191">
        <f t="shared" si="252"/>
        <v>0.16129032258064524</v>
      </c>
      <c r="L254" s="1191">
        <f t="shared" si="252"/>
        <v>0.11111111111111116</v>
      </c>
      <c r="M254" s="1191">
        <f t="shared" si="252"/>
        <v>7.4999999999999956E-2</v>
      </c>
      <c r="N254" s="1191">
        <f t="shared" si="252"/>
        <v>5.8139534883721034E-2</v>
      </c>
      <c r="O254" s="1191">
        <f t="shared" si="252"/>
        <v>7.6923076923076872E-2</v>
      </c>
      <c r="P254" s="1191">
        <f t="shared" si="252"/>
        <v>8.163265306122458E-2</v>
      </c>
      <c r="Q254" s="1191">
        <f t="shared" si="252"/>
        <v>7.547169811320753E-2</v>
      </c>
      <c r="R254" s="1191">
        <f t="shared" ref="R254:AA254" si="253">R253/Q253-1</f>
        <v>7.8947368421052655E-2</v>
      </c>
      <c r="S254" s="1191">
        <f t="shared" si="253"/>
        <v>8.9430894308943021E-2</v>
      </c>
      <c r="T254" s="1191">
        <f t="shared" si="253"/>
        <v>8.9552238805970186E-2</v>
      </c>
      <c r="U254" s="1191">
        <f t="shared" si="253"/>
        <v>6.164383561643838E-2</v>
      </c>
      <c r="V254" s="1191">
        <f t="shared" si="253"/>
        <v>4.5161290322580649E-2</v>
      </c>
      <c r="W254" s="1191">
        <f t="shared" si="253"/>
        <v>5.555555555555558E-2</v>
      </c>
      <c r="X254" s="1191">
        <f t="shared" si="253"/>
        <v>6.4327485380117011E-2</v>
      </c>
      <c r="Y254" s="1191">
        <f t="shared" si="253"/>
        <v>6.5934065934065922E-2</v>
      </c>
      <c r="Z254" s="1191">
        <f t="shared" si="253"/>
        <v>6.1855670103092786E-2</v>
      </c>
      <c r="AA254" s="1191">
        <f t="shared" si="253"/>
        <v>5.8252427184465994E-2</v>
      </c>
      <c r="AB254" s="1191">
        <f t="shared" ref="AB254:AG254" si="254">AB253/AA253-1</f>
        <v>5.504587155963292E-2</v>
      </c>
      <c r="AC254" s="1191">
        <f t="shared" si="254"/>
        <v>5.2173913043478182E-2</v>
      </c>
      <c r="AD254" s="1191">
        <f t="shared" si="254"/>
        <v>4.9586776859504189E-2</v>
      </c>
      <c r="AE254" s="1191">
        <f t="shared" si="254"/>
        <v>4.7244094488188892E-2</v>
      </c>
      <c r="AF254" s="1191">
        <f t="shared" si="254"/>
        <v>4.5112781954887327E-2</v>
      </c>
      <c r="AG254" s="1191">
        <f t="shared" si="254"/>
        <v>4.3165467625899234E-2</v>
      </c>
      <c r="AH254" s="1191"/>
      <c r="AI254" s="852"/>
      <c r="AJ254" s="852"/>
      <c r="AK254" s="853"/>
      <c r="AL254" s="852"/>
      <c r="AM254" s="853"/>
      <c r="AN254" s="852"/>
      <c r="AO254" s="853"/>
      <c r="AP254" s="852"/>
      <c r="AQ254" s="852"/>
      <c r="AR254" s="852"/>
      <c r="AS254" s="852"/>
      <c r="AT254" s="852"/>
      <c r="AU254" s="852"/>
      <c r="AV254" s="852"/>
      <c r="AW254" s="852"/>
      <c r="AX254" s="852"/>
      <c r="AY254" s="852"/>
      <c r="AZ254" s="852"/>
    </row>
    <row r="255" spans="1:52" hidden="1" outlineLevel="1">
      <c r="A255" s="1182" t="s">
        <v>1365</v>
      </c>
      <c r="B255" s="1191"/>
      <c r="C255" s="1186">
        <f t="shared" ref="C255:AA255" si="255">+C252/B252-1</f>
        <v>8.3333333333333259E-2</v>
      </c>
      <c r="D255" s="1186">
        <f t="shared" si="255"/>
        <v>0.23076923076923084</v>
      </c>
      <c r="E255" s="1186">
        <f t="shared" si="255"/>
        <v>0</v>
      </c>
      <c r="F255" s="1186">
        <f t="shared" si="255"/>
        <v>0.125</v>
      </c>
      <c r="G255" s="1186">
        <f t="shared" si="255"/>
        <v>0.16666666666666674</v>
      </c>
      <c r="H255" s="1186">
        <f t="shared" si="255"/>
        <v>9.5238095238095344E-2</v>
      </c>
      <c r="I255" s="1186">
        <f t="shared" si="255"/>
        <v>0.21739130434782616</v>
      </c>
      <c r="J255" s="1186">
        <f t="shared" si="255"/>
        <v>0.21428571428571419</v>
      </c>
      <c r="K255" s="1186">
        <f t="shared" si="255"/>
        <v>0.11764705882352944</v>
      </c>
      <c r="L255" s="1186">
        <f t="shared" si="255"/>
        <v>0.10526315789473695</v>
      </c>
      <c r="M255" s="1186">
        <f t="shared" si="255"/>
        <v>4.7619047619047672E-2</v>
      </c>
      <c r="N255" s="1186">
        <f t="shared" si="255"/>
        <v>6.8181818181818121E-2</v>
      </c>
      <c r="O255" s="1186">
        <f t="shared" si="255"/>
        <v>8.5106382978723305E-2</v>
      </c>
      <c r="P255" s="1186">
        <f t="shared" si="255"/>
        <v>7.8431372549019551E-2</v>
      </c>
      <c r="Q255" s="1186">
        <f t="shared" si="255"/>
        <v>7.2727272727272751E-2</v>
      </c>
      <c r="R255" s="1186">
        <f t="shared" si="255"/>
        <v>8.4745762711864403E-2</v>
      </c>
      <c r="S255" s="1186">
        <f t="shared" si="255"/>
        <v>9.375E-2</v>
      </c>
      <c r="T255" s="1186">
        <f t="shared" si="255"/>
        <v>8.5714285714285632E-2</v>
      </c>
      <c r="U255" s="1186">
        <f t="shared" si="255"/>
        <v>3.9473684210526327E-2</v>
      </c>
      <c r="V255" s="1186">
        <f t="shared" si="255"/>
        <v>5.0632911392405111E-2</v>
      </c>
      <c r="W255" s="1186">
        <f t="shared" si="255"/>
        <v>6.024096385542177E-2</v>
      </c>
      <c r="X255" s="1186">
        <f t="shared" si="255"/>
        <v>6.8181818181818121E-2</v>
      </c>
      <c r="Y255" s="1186">
        <f t="shared" si="255"/>
        <v>6.3829787234042534E-2</v>
      </c>
      <c r="Z255" s="1186">
        <f t="shared" si="255"/>
        <v>6.0000000000000053E-2</v>
      </c>
      <c r="AA255" s="1186">
        <f t="shared" si="255"/>
        <v>5.6603773584905648E-2</v>
      </c>
      <c r="AB255" s="1186">
        <f t="shared" ref="AB255:AG255" si="256">+AB252/AA252-1</f>
        <v>5.3571428571428603E-2</v>
      </c>
      <c r="AC255" s="1186">
        <f t="shared" si="256"/>
        <v>5.0847457627118731E-2</v>
      </c>
      <c r="AD255" s="1186">
        <f t="shared" si="256"/>
        <v>4.8387096774193505E-2</v>
      </c>
      <c r="AE255" s="1186">
        <f t="shared" si="256"/>
        <v>4.6153846153846212E-2</v>
      </c>
      <c r="AF255" s="1186">
        <f t="shared" si="256"/>
        <v>4.4117647058823595E-2</v>
      </c>
      <c r="AG255" s="1186">
        <f t="shared" si="256"/>
        <v>4.2253521126760507E-2</v>
      </c>
      <c r="AH255" s="1186"/>
      <c r="AI255" s="852"/>
      <c r="AJ255" s="852"/>
      <c r="AK255" s="853"/>
      <c r="AL255" s="852"/>
      <c r="AM255" s="853"/>
      <c r="AN255" s="852"/>
      <c r="AO255" s="853"/>
      <c r="AP255" s="852"/>
      <c r="AQ255" s="852"/>
      <c r="AR255" s="852"/>
      <c r="AS255" s="852"/>
      <c r="AT255" s="852"/>
      <c r="AU255" s="852"/>
      <c r="AV255" s="852"/>
      <c r="AW255" s="852"/>
      <c r="AX255" s="852"/>
      <c r="AY255" s="852"/>
      <c r="AZ255" s="852"/>
    </row>
    <row r="256" spans="1:52" hidden="1" outlineLevel="1">
      <c r="A256" s="862"/>
      <c r="B256" s="852"/>
      <c r="C256" s="852"/>
      <c r="D256" s="852"/>
      <c r="E256" s="852"/>
      <c r="F256" s="852"/>
      <c r="G256" s="858"/>
      <c r="H256" s="858"/>
      <c r="I256" s="858"/>
      <c r="J256" s="858"/>
      <c r="K256" s="858"/>
      <c r="L256" s="858"/>
      <c r="M256" s="858"/>
      <c r="N256" s="852"/>
      <c r="O256" s="852"/>
      <c r="P256" s="852"/>
      <c r="Q256" s="852"/>
      <c r="R256" s="852"/>
      <c r="S256" s="852"/>
      <c r="T256" s="852"/>
      <c r="U256" s="852"/>
      <c r="V256" s="852"/>
      <c r="W256" s="852"/>
      <c r="X256" s="852"/>
      <c r="Y256" s="852"/>
      <c r="Z256" s="852"/>
      <c r="AA256" s="852"/>
      <c r="AB256" s="852"/>
      <c r="AC256" s="852"/>
      <c r="AD256" s="852"/>
      <c r="AE256" s="852"/>
      <c r="AF256" s="852"/>
      <c r="AG256" s="852"/>
      <c r="AH256" s="852"/>
      <c r="AI256" s="852"/>
      <c r="AJ256" s="852"/>
      <c r="AK256" s="853"/>
      <c r="AL256" s="852"/>
      <c r="AM256" s="853"/>
      <c r="AN256" s="852"/>
      <c r="AO256" s="853"/>
      <c r="AP256" s="852"/>
      <c r="AQ256" s="852"/>
      <c r="AR256" s="852"/>
      <c r="AS256" s="852"/>
      <c r="AT256" s="852"/>
      <c r="AU256" s="852"/>
      <c r="AV256" s="852"/>
      <c r="AW256" s="852"/>
      <c r="AX256" s="852"/>
      <c r="AY256" s="852"/>
      <c r="AZ256" s="852"/>
    </row>
    <row r="257" spans="1:52" hidden="1" outlineLevel="1">
      <c r="A257" s="1182" t="s">
        <v>557</v>
      </c>
      <c r="B257" s="852"/>
      <c r="C257" s="1192">
        <f t="shared" ref="C257:H257" si="257">+C247/C253</f>
        <v>18.028186915887851</v>
      </c>
      <c r="D257" s="1192">
        <f t="shared" si="257"/>
        <v>16.629448275862071</v>
      </c>
      <c r="E257" s="1192">
        <f t="shared" si="257"/>
        <v>16.794125000000001</v>
      </c>
      <c r="F257" s="1192">
        <f t="shared" si="257"/>
        <v>18.134705882352943</v>
      </c>
      <c r="G257" s="1192">
        <f t="shared" si="257"/>
        <v>18.674769230769233</v>
      </c>
      <c r="H257" s="1192">
        <f t="shared" si="257"/>
        <v>19.281136363636364</v>
      </c>
      <c r="I257" s="1192">
        <f t="shared" ref="I257:U257" si="258">+I247/I253</f>
        <v>19.264470588235294</v>
      </c>
      <c r="J257" s="1192">
        <f t="shared" si="258"/>
        <v>19.148032258064518</v>
      </c>
      <c r="K257" s="1192">
        <f t="shared" si="258"/>
        <v>20.678472222222222</v>
      </c>
      <c r="L257" s="1192">
        <f t="shared" si="258"/>
        <v>20.830525000000002</v>
      </c>
      <c r="M257" s="1192">
        <f t="shared" si="258"/>
        <v>18.297488372093024</v>
      </c>
      <c r="N257" s="1192">
        <f t="shared" si="258"/>
        <v>18.017890109890111</v>
      </c>
      <c r="O257" s="1192">
        <f t="shared" si="258"/>
        <v>20.674163265306124</v>
      </c>
      <c r="P257" s="1192">
        <f>+P247/P253</f>
        <v>21.072547169811322</v>
      </c>
      <c r="Q257" s="1192">
        <f t="shared" si="258"/>
        <v>21.415491228070174</v>
      </c>
      <c r="R257" s="1192">
        <f t="shared" si="258"/>
        <v>21.568146341463414</v>
      </c>
      <c r="S257" s="1192">
        <f t="shared" si="258"/>
        <v>22.0095223880597</v>
      </c>
      <c r="T257" s="1192">
        <f t="shared" si="258"/>
        <v>22.328767123287673</v>
      </c>
      <c r="U257" s="1192">
        <f t="shared" si="258"/>
        <v>22.903225806451612</v>
      </c>
      <c r="V257" s="1192">
        <f t="shared" ref="V257:AA257" si="259">+V247/V253</f>
        <v>23.827160493827162</v>
      </c>
      <c r="W257" s="1192">
        <f t="shared" si="259"/>
        <v>24.561403508771932</v>
      </c>
      <c r="X257" s="1192">
        <f t="shared" si="259"/>
        <v>23.076923076923077</v>
      </c>
      <c r="Y257" s="1192">
        <f t="shared" si="259"/>
        <v>21.649484536082475</v>
      </c>
      <c r="Z257" s="1192">
        <f t="shared" si="259"/>
        <v>20.388349514563107</v>
      </c>
      <c r="AA257" s="1192">
        <f t="shared" si="259"/>
        <v>19.26605504587156</v>
      </c>
      <c r="AB257" s="1192">
        <f t="shared" ref="AB257:AG257" si="260">+AB247/AB253</f>
        <v>18.260869565217391</v>
      </c>
      <c r="AC257" s="1192">
        <f t="shared" si="260"/>
        <v>17.355371900826448</v>
      </c>
      <c r="AD257" s="1192">
        <f t="shared" si="260"/>
        <v>16.535433070866141</v>
      </c>
      <c r="AE257" s="1192">
        <f t="shared" si="260"/>
        <v>15.789473684210526</v>
      </c>
      <c r="AF257" s="1192">
        <f t="shared" si="260"/>
        <v>15.107913669064748</v>
      </c>
      <c r="AG257" s="1192">
        <f t="shared" si="260"/>
        <v>14.482758620689655</v>
      </c>
      <c r="AH257" s="1192"/>
      <c r="AI257" s="852"/>
      <c r="AJ257" s="852"/>
      <c r="AK257" s="853"/>
      <c r="AL257" s="852"/>
      <c r="AM257" s="853"/>
      <c r="AN257" s="852"/>
      <c r="AO257" s="853"/>
      <c r="AP257" s="852"/>
      <c r="AQ257" s="852"/>
      <c r="AR257" s="852"/>
      <c r="AS257" s="852"/>
      <c r="AT257" s="852"/>
      <c r="AU257" s="852"/>
      <c r="AV257" s="852"/>
      <c r="AW257" s="852"/>
      <c r="AX257" s="852"/>
      <c r="AY257" s="852"/>
      <c r="AZ257" s="852"/>
    </row>
    <row r="258" spans="1:52" hidden="1" outlineLevel="1">
      <c r="A258" s="1182" t="s">
        <v>1971</v>
      </c>
      <c r="B258" s="852"/>
      <c r="C258" s="1193"/>
      <c r="D258" s="1193">
        <f t="shared" ref="D258:I258" si="261">+D257/C257-1</f>
        <v>-7.7586206896551602E-2</v>
      </c>
      <c r="E258" s="1193">
        <f t="shared" si="261"/>
        <v>9.9027172402923469E-3</v>
      </c>
      <c r="F258" s="1193">
        <f t="shared" si="261"/>
        <v>7.9824395873732135E-2</v>
      </c>
      <c r="G258" s="1193">
        <f t="shared" si="261"/>
        <v>2.9780651085266951E-2</v>
      </c>
      <c r="H258" s="1193">
        <f t="shared" si="261"/>
        <v>3.2469859486566444E-2</v>
      </c>
      <c r="I258" s="1193">
        <f t="shared" si="261"/>
        <v>-8.6435649262350811E-4</v>
      </c>
      <c r="J258" s="1193">
        <f t="shared" ref="J258:O258" si="262">+J257/I257-1</f>
        <v>-6.0442008846007811E-3</v>
      </c>
      <c r="K258" s="1193">
        <f t="shared" si="262"/>
        <v>7.9926748792327418E-2</v>
      </c>
      <c r="L258" s="1193">
        <f t="shared" si="262"/>
        <v>7.3531920609868351E-3</v>
      </c>
      <c r="M258" s="1193">
        <f t="shared" si="262"/>
        <v>-0.12160215010936959</v>
      </c>
      <c r="N258" s="1193">
        <f t="shared" si="262"/>
        <v>-1.5280690798489704E-2</v>
      </c>
      <c r="O258" s="1193">
        <f t="shared" si="262"/>
        <v>0.14742420667545142</v>
      </c>
      <c r="P258" s="1193">
        <f t="shared" ref="P258:AA258" si="263">+P257/O257-1</f>
        <v>1.9269650693614082E-2</v>
      </c>
      <c r="Q258" s="1193">
        <f t="shared" si="263"/>
        <v>1.627444729368821E-2</v>
      </c>
      <c r="R258" s="1193">
        <f t="shared" si="263"/>
        <v>7.1282564461163656E-3</v>
      </c>
      <c r="S258" s="1193">
        <f t="shared" si="263"/>
        <v>2.0464254999409404E-2</v>
      </c>
      <c r="T258" s="1193">
        <f t="shared" si="263"/>
        <v>1.4504846111570435E-2</v>
      </c>
      <c r="U258" s="1193">
        <f t="shared" si="263"/>
        <v>2.5727290718384976E-2</v>
      </c>
      <c r="V258" s="1193">
        <f t="shared" si="263"/>
        <v>4.0340810293862051E-2</v>
      </c>
      <c r="W258" s="1193">
        <f t="shared" si="263"/>
        <v>3.0815380419961791E-2</v>
      </c>
      <c r="X258" s="1193">
        <f t="shared" si="263"/>
        <v>-6.0439560439560558E-2</v>
      </c>
      <c r="Y258" s="1193">
        <f t="shared" si="263"/>
        <v>-6.1855670103092675E-2</v>
      </c>
      <c r="Z258" s="1193">
        <f t="shared" si="263"/>
        <v>-5.8252427184466105E-2</v>
      </c>
      <c r="AA258" s="1193">
        <f t="shared" si="263"/>
        <v>-5.5045871559633031E-2</v>
      </c>
      <c r="AB258" s="1193">
        <f t="shared" ref="AB258:AG258" si="264">+AB257/AA257-1</f>
        <v>-5.2173913043478293E-2</v>
      </c>
      <c r="AC258" s="1193">
        <f t="shared" si="264"/>
        <v>-4.9586776859503967E-2</v>
      </c>
      <c r="AD258" s="1193">
        <f t="shared" si="264"/>
        <v>-4.7244094488189115E-2</v>
      </c>
      <c r="AE258" s="1193">
        <f t="shared" si="264"/>
        <v>-4.5112781954887216E-2</v>
      </c>
      <c r="AF258" s="1193">
        <f t="shared" si="264"/>
        <v>-4.3165467625899234E-2</v>
      </c>
      <c r="AG258" s="1193">
        <f t="shared" si="264"/>
        <v>-4.1379310344827669E-2</v>
      </c>
      <c r="AH258" s="1193"/>
      <c r="AI258" s="852"/>
      <c r="AJ258" s="852"/>
      <c r="AK258" s="853"/>
      <c r="AL258" s="852"/>
      <c r="AM258" s="853"/>
      <c r="AN258" s="852"/>
      <c r="AO258" s="853"/>
      <c r="AP258" s="852"/>
      <c r="AQ258" s="852"/>
      <c r="AR258" s="852"/>
      <c r="AS258" s="852"/>
      <c r="AT258" s="852"/>
      <c r="AU258" s="852"/>
      <c r="AV258" s="852"/>
      <c r="AW258" s="852"/>
      <c r="AX258" s="852"/>
      <c r="AY258" s="852"/>
      <c r="AZ258" s="852"/>
    </row>
    <row r="259" spans="1:52" hidden="1" outlineLevel="1">
      <c r="A259" s="862"/>
      <c r="B259" s="852"/>
      <c r="C259" s="852"/>
      <c r="D259" s="852"/>
      <c r="E259" s="852"/>
      <c r="F259" s="852"/>
      <c r="G259" s="858"/>
      <c r="H259" s="858"/>
      <c r="I259" s="858"/>
      <c r="J259" s="858"/>
      <c r="K259" s="858"/>
      <c r="L259" s="858"/>
      <c r="M259" s="858"/>
      <c r="N259" s="852"/>
      <c r="O259" s="852"/>
      <c r="P259" s="852"/>
      <c r="Q259" s="852"/>
      <c r="R259" s="852"/>
      <c r="S259" s="852"/>
      <c r="T259" s="852"/>
      <c r="U259" s="852"/>
      <c r="V259" s="852"/>
      <c r="W259" s="852"/>
      <c r="X259" s="852"/>
      <c r="Y259" s="852"/>
      <c r="Z259" s="852"/>
      <c r="AA259" s="852"/>
      <c r="AB259" s="852"/>
      <c r="AC259" s="852"/>
      <c r="AD259" s="852"/>
      <c r="AE259" s="852"/>
      <c r="AF259" s="852"/>
      <c r="AG259" s="852"/>
      <c r="AH259" s="852"/>
      <c r="AI259" s="852"/>
      <c r="AJ259" s="852"/>
      <c r="AK259" s="853"/>
      <c r="AL259" s="852"/>
      <c r="AM259" s="853"/>
      <c r="AN259" s="852"/>
      <c r="AO259" s="853"/>
      <c r="AP259" s="852"/>
      <c r="AQ259" s="852"/>
      <c r="AR259" s="852"/>
      <c r="AS259" s="852"/>
      <c r="AT259" s="852"/>
      <c r="AU259" s="852"/>
      <c r="AV259" s="852"/>
      <c r="AW259" s="852"/>
      <c r="AX259" s="852"/>
      <c r="AY259" s="852"/>
      <c r="AZ259" s="852"/>
    </row>
    <row r="260" spans="1:52" hidden="1" outlineLevel="1">
      <c r="A260" s="1182" t="s">
        <v>1977</v>
      </c>
      <c r="B260" s="852"/>
      <c r="C260" s="852"/>
      <c r="D260" s="852"/>
      <c r="E260" s="1194">
        <f t="shared" ref="E260:AA260" si="265">+(E263+D263)/2</f>
        <v>0.12653125000000001</v>
      </c>
      <c r="F260" s="1194">
        <f t="shared" si="265"/>
        <v>0.2593125</v>
      </c>
      <c r="G260" s="1194">
        <f t="shared" si="265"/>
        <v>0.28056249999999994</v>
      </c>
      <c r="H260" s="1194">
        <f t="shared" si="265"/>
        <v>0.27250624999999995</v>
      </c>
      <c r="I260" s="1194">
        <f t="shared" si="265"/>
        <v>0.26195000000000002</v>
      </c>
      <c r="J260" s="1194">
        <f t="shared" si="265"/>
        <v>0.29344999999999999</v>
      </c>
      <c r="K260" s="1194">
        <f t="shared" si="265"/>
        <v>0.32345000000000002</v>
      </c>
      <c r="L260" s="1194">
        <f t="shared" si="265"/>
        <v>0.34894999999999998</v>
      </c>
      <c r="M260" s="1194">
        <f t="shared" si="265"/>
        <v>0.37422499999999997</v>
      </c>
      <c r="N260" s="1194">
        <f t="shared" si="265"/>
        <v>0.39749999999999996</v>
      </c>
      <c r="O260" s="1194">
        <f t="shared" si="265"/>
        <v>0.41699999999999998</v>
      </c>
      <c r="P260" s="1194">
        <f t="shared" si="265"/>
        <v>0.435</v>
      </c>
      <c r="Q260" s="1194">
        <f t="shared" si="265"/>
        <v>0.45650000000000002</v>
      </c>
      <c r="R260" s="1194">
        <f t="shared" si="265"/>
        <v>0.47650000000000003</v>
      </c>
      <c r="S260" s="1194">
        <f t="shared" si="265"/>
        <v>0.50950000000000006</v>
      </c>
      <c r="T260" s="1194">
        <f t="shared" si="265"/>
        <v>0.55639047619047632</v>
      </c>
      <c r="U260" s="1194">
        <f t="shared" si="265"/>
        <v>0.60328095238095258</v>
      </c>
      <c r="V260" s="1194">
        <f t="shared" si="265"/>
        <v>0.65028095238095274</v>
      </c>
      <c r="W260" s="1194">
        <f t="shared" si="265"/>
        <v>0.69728095238095289</v>
      </c>
      <c r="X260" s="1194">
        <f t="shared" si="265"/>
        <v>0.72078095238095297</v>
      </c>
      <c r="Y260" s="1194">
        <f t="shared" si="265"/>
        <v>0.72078095238095297</v>
      </c>
      <c r="Z260" s="1194">
        <f t="shared" si="265"/>
        <v>0.72078095238095297</v>
      </c>
      <c r="AA260" s="1194">
        <f t="shared" si="265"/>
        <v>0.72078095238095297</v>
      </c>
      <c r="AB260" s="1194">
        <f t="shared" ref="AB260:AG260" si="266">+(AB263+AA263)/2</f>
        <v>0.72078095238095297</v>
      </c>
      <c r="AC260" s="1194">
        <f t="shared" si="266"/>
        <v>0.72078095238095297</v>
      </c>
      <c r="AD260" s="1194">
        <f t="shared" si="266"/>
        <v>0.72078095238095297</v>
      </c>
      <c r="AE260" s="1194">
        <f t="shared" si="266"/>
        <v>0.72078095238095297</v>
      </c>
      <c r="AF260" s="1194">
        <f t="shared" si="266"/>
        <v>0.72078095238095297</v>
      </c>
      <c r="AG260" s="1194">
        <f t="shared" si="266"/>
        <v>0.72078095238095297</v>
      </c>
      <c r="AH260" s="1194"/>
      <c r="AI260" s="852"/>
      <c r="AJ260" s="852"/>
      <c r="AK260" s="853"/>
      <c r="AL260" s="852"/>
      <c r="AM260" s="853"/>
      <c r="AN260" s="852"/>
      <c r="AO260" s="853"/>
      <c r="AP260" s="852"/>
      <c r="AQ260" s="852"/>
      <c r="AR260" s="852"/>
      <c r="AS260" s="852"/>
      <c r="AT260" s="852"/>
      <c r="AU260" s="852"/>
      <c r="AV260" s="852"/>
      <c r="AW260" s="852"/>
      <c r="AX260" s="852"/>
      <c r="AY260" s="852"/>
      <c r="AZ260" s="852"/>
    </row>
    <row r="261" spans="1:52" hidden="1" outlineLevel="1">
      <c r="A261" s="1182" t="s">
        <v>1971</v>
      </c>
      <c r="B261" s="852"/>
      <c r="C261" s="852"/>
      <c r="D261" s="852"/>
      <c r="E261" s="852"/>
      <c r="F261" s="1186">
        <f t="shared" ref="F261:AA261" si="267">+F260/E260-1</f>
        <v>1.0493949123240305</v>
      </c>
      <c r="G261" s="1186">
        <f t="shared" si="267"/>
        <v>8.1947457218606745E-2</v>
      </c>
      <c r="H261" s="1186">
        <f t="shared" si="267"/>
        <v>-2.8714635776342146E-2</v>
      </c>
      <c r="I261" s="1186">
        <f t="shared" si="267"/>
        <v>-3.8737643632026586E-2</v>
      </c>
      <c r="J261" s="1186">
        <f t="shared" si="267"/>
        <v>0.12025195648024423</v>
      </c>
      <c r="K261" s="1186">
        <f t="shared" si="267"/>
        <v>0.102232066791617</v>
      </c>
      <c r="L261" s="1186">
        <f t="shared" si="267"/>
        <v>7.8837532848971881E-2</v>
      </c>
      <c r="M261" s="1186">
        <f t="shared" si="267"/>
        <v>7.2431580455652567E-2</v>
      </c>
      <c r="N261" s="1186">
        <f t="shared" si="267"/>
        <v>6.2195203420402079E-2</v>
      </c>
      <c r="O261" s="1186">
        <f t="shared" si="267"/>
        <v>4.9056603773584895E-2</v>
      </c>
      <c r="P261" s="1186">
        <f t="shared" si="267"/>
        <v>4.3165467625899234E-2</v>
      </c>
      <c r="Q261" s="1186">
        <f t="shared" si="267"/>
        <v>4.9425287356321901E-2</v>
      </c>
      <c r="R261" s="1186">
        <f t="shared" si="267"/>
        <v>4.3811610076670338E-2</v>
      </c>
      <c r="S261" s="1186">
        <f t="shared" si="267"/>
        <v>6.9254984260230801E-2</v>
      </c>
      <c r="T261" s="1186">
        <f t="shared" si="267"/>
        <v>9.203233795971788E-2</v>
      </c>
      <c r="U261" s="1186">
        <f t="shared" si="267"/>
        <v>8.4276202050632687E-2</v>
      </c>
      <c r="V261" s="1186">
        <f t="shared" si="267"/>
        <v>7.7907316341592647E-2</v>
      </c>
      <c r="W261" s="1186">
        <f t="shared" si="267"/>
        <v>7.2276451936525765E-2</v>
      </c>
      <c r="X261" s="1186">
        <f t="shared" si="267"/>
        <v>3.3702340383394036E-2</v>
      </c>
      <c r="Y261" s="1186">
        <f t="shared" si="267"/>
        <v>0</v>
      </c>
      <c r="Z261" s="1186">
        <f t="shared" si="267"/>
        <v>0</v>
      </c>
      <c r="AA261" s="1186">
        <f t="shared" si="267"/>
        <v>0</v>
      </c>
      <c r="AB261" s="1186">
        <f t="shared" ref="AB261:AG261" si="268">+AB260/AA260-1</f>
        <v>0</v>
      </c>
      <c r="AC261" s="1186">
        <f t="shared" si="268"/>
        <v>0</v>
      </c>
      <c r="AD261" s="1186">
        <f t="shared" si="268"/>
        <v>0</v>
      </c>
      <c r="AE261" s="1186">
        <f t="shared" si="268"/>
        <v>0</v>
      </c>
      <c r="AF261" s="1186">
        <f t="shared" si="268"/>
        <v>0</v>
      </c>
      <c r="AG261" s="1186">
        <f t="shared" si="268"/>
        <v>0</v>
      </c>
      <c r="AH261" s="1186"/>
      <c r="AI261" s="852"/>
      <c r="AJ261" s="852"/>
      <c r="AK261" s="853"/>
      <c r="AL261" s="852"/>
      <c r="AM261" s="853"/>
      <c r="AN261" s="852"/>
      <c r="AO261" s="853"/>
      <c r="AP261" s="852"/>
      <c r="AQ261" s="852"/>
      <c r="AR261" s="852"/>
      <c r="AS261" s="852"/>
      <c r="AT261" s="852"/>
      <c r="AU261" s="852"/>
      <c r="AV261" s="852"/>
      <c r="AW261" s="852"/>
      <c r="AX261" s="852"/>
      <c r="AY261" s="852"/>
      <c r="AZ261" s="852"/>
    </row>
    <row r="262" spans="1:52" hidden="1" outlineLevel="1">
      <c r="A262" s="861"/>
      <c r="B262" s="852"/>
      <c r="C262" s="852"/>
      <c r="D262" s="852"/>
      <c r="E262" s="852"/>
      <c r="F262" s="852"/>
      <c r="G262" s="858"/>
      <c r="H262" s="858"/>
      <c r="I262" s="858"/>
      <c r="J262" s="858"/>
      <c r="K262" s="858"/>
      <c r="L262" s="858"/>
      <c r="M262" s="858"/>
      <c r="N262" s="852"/>
      <c r="O262" s="852"/>
      <c r="P262" s="852"/>
      <c r="Q262" s="852"/>
      <c r="R262" s="852"/>
      <c r="S262" s="852"/>
      <c r="T262" s="852"/>
      <c r="U262" s="852"/>
      <c r="V262" s="852"/>
      <c r="W262" s="852"/>
      <c r="X262" s="852"/>
      <c r="Y262" s="852"/>
      <c r="Z262" s="852"/>
      <c r="AA262" s="852"/>
      <c r="AB262" s="852"/>
      <c r="AC262" s="852"/>
      <c r="AD262" s="852"/>
      <c r="AE262" s="852"/>
      <c r="AF262" s="852"/>
      <c r="AG262" s="852"/>
      <c r="AH262" s="852"/>
      <c r="AI262" s="852"/>
      <c r="AJ262" s="852"/>
      <c r="AK262" s="853"/>
      <c r="AL262" s="852"/>
      <c r="AM262" s="853"/>
      <c r="AN262" s="852"/>
      <c r="AO262" s="853"/>
      <c r="AP262" s="852"/>
      <c r="AQ262" s="852"/>
      <c r="AR262" s="852"/>
      <c r="AS262" s="852"/>
      <c r="AT262" s="852"/>
      <c r="AU262" s="852"/>
      <c r="AV262" s="852"/>
      <c r="AW262" s="852"/>
      <c r="AX262" s="852"/>
      <c r="AY262" s="852"/>
      <c r="AZ262" s="852"/>
    </row>
    <row r="263" spans="1:52" hidden="1" outlineLevel="1">
      <c r="A263" s="1182" t="s">
        <v>1940</v>
      </c>
      <c r="B263" s="852"/>
      <c r="C263" s="1195"/>
      <c r="D263" s="1195">
        <f>Stores!$G48/0.8</f>
        <v>0</v>
      </c>
      <c r="E263" s="1195">
        <f>Stores!$G55/0.8</f>
        <v>0.25306250000000002</v>
      </c>
      <c r="F263" s="1195">
        <f>Stores!$G62/0.8</f>
        <v>0.26556249999999998</v>
      </c>
      <c r="G263" s="1195">
        <f>Stores!$G69/0.8</f>
        <v>0.29556249999999995</v>
      </c>
      <c r="H263" s="1195">
        <f>Stores!$G76</f>
        <v>0.24945000000000001</v>
      </c>
      <c r="I263" s="1195">
        <f>Stores!G83</f>
        <v>0.27444999999999997</v>
      </c>
      <c r="J263" s="1195">
        <f>Stores!G90</f>
        <v>0.31245000000000001</v>
      </c>
      <c r="K263" s="1195">
        <f>Stores!G97</f>
        <v>0.33444999999999997</v>
      </c>
      <c r="L263" s="1195">
        <f>Stores!G104</f>
        <v>0.36345</v>
      </c>
      <c r="M263" s="1195">
        <f>Stores!G111</f>
        <v>0.38499999999999995</v>
      </c>
      <c r="N263" s="1195">
        <f>Stores!G118</f>
        <v>0.41</v>
      </c>
      <c r="O263" s="1195">
        <f>Stores!G125</f>
        <v>0.42399999999999999</v>
      </c>
      <c r="P263" s="1195">
        <f>Stores!G132</f>
        <v>0.44600000000000001</v>
      </c>
      <c r="Q263" s="1195">
        <f>Stores!G139</f>
        <v>0.46700000000000003</v>
      </c>
      <c r="R263" s="1195">
        <f>Stores!G146</f>
        <v>0.48599999999999999</v>
      </c>
      <c r="S263" s="1195">
        <f>Stores!$G153</f>
        <v>0.53300000000000003</v>
      </c>
      <c r="T263" s="1195">
        <f>Stores!$G160</f>
        <v>0.57978095238095251</v>
      </c>
      <c r="U263" s="1195">
        <f>Stores!$G167</f>
        <v>0.62678095238095266</v>
      </c>
      <c r="V263" s="1195">
        <f>Stores!$G174</f>
        <v>0.67378095238095281</v>
      </c>
      <c r="W263" s="1195">
        <f>Stores!$G181</f>
        <v>0.72078095238095297</v>
      </c>
      <c r="X263" s="1195">
        <f>Stores!$G181</f>
        <v>0.72078095238095297</v>
      </c>
      <c r="Y263" s="1195">
        <f>Stores!$G181</f>
        <v>0.72078095238095297</v>
      </c>
      <c r="Z263" s="1195">
        <f>Stores!$G181</f>
        <v>0.72078095238095297</v>
      </c>
      <c r="AA263" s="1195">
        <f>Stores!$G181</f>
        <v>0.72078095238095297</v>
      </c>
      <c r="AB263" s="1195">
        <f>Stores!$G181</f>
        <v>0.72078095238095297</v>
      </c>
      <c r="AC263" s="1195">
        <f>Stores!$G181</f>
        <v>0.72078095238095297</v>
      </c>
      <c r="AD263" s="1195">
        <f>Stores!$G181</f>
        <v>0.72078095238095297</v>
      </c>
      <c r="AE263" s="1195">
        <f>Stores!$G181</f>
        <v>0.72078095238095297</v>
      </c>
      <c r="AF263" s="1195">
        <f>Stores!$G181</f>
        <v>0.72078095238095297</v>
      </c>
      <c r="AG263" s="1195">
        <f>Stores!$G181</f>
        <v>0.72078095238095297</v>
      </c>
      <c r="AH263" s="1195"/>
      <c r="AI263" s="852"/>
      <c r="AJ263" s="852"/>
      <c r="AK263" s="853"/>
      <c r="AL263" s="852"/>
      <c r="AM263" s="853"/>
      <c r="AN263" s="852"/>
      <c r="AO263" s="853"/>
      <c r="AP263" s="852"/>
      <c r="AQ263" s="852"/>
      <c r="AR263" s="852"/>
      <c r="AS263" s="852"/>
      <c r="AT263" s="852"/>
      <c r="AU263" s="852"/>
      <c r="AV263" s="852"/>
      <c r="AW263" s="852"/>
      <c r="AX263" s="852"/>
      <c r="AY263" s="852"/>
      <c r="AZ263" s="852"/>
    </row>
    <row r="264" spans="1:52" hidden="1" outlineLevel="1">
      <c r="A264" s="1182" t="s">
        <v>1971</v>
      </c>
      <c r="B264" s="852"/>
      <c r="C264" s="852"/>
      <c r="D264" s="852"/>
      <c r="E264" s="1186" t="e">
        <f t="shared" ref="E264:AA264" si="269">+E263/D263-1</f>
        <v>#DIV/0!</v>
      </c>
      <c r="F264" s="1186">
        <f t="shared" si="269"/>
        <v>4.9394912324030482E-2</v>
      </c>
      <c r="G264" s="1186">
        <f t="shared" si="269"/>
        <v>0.11296775711932217</v>
      </c>
      <c r="H264" s="1186">
        <f t="shared" si="269"/>
        <v>-0.15601607105096194</v>
      </c>
      <c r="I264" s="1186">
        <f t="shared" si="269"/>
        <v>0.10022048506714754</v>
      </c>
      <c r="J264" s="1186">
        <f t="shared" si="269"/>
        <v>0.13845873565312461</v>
      </c>
      <c r="K264" s="1186">
        <f t="shared" si="269"/>
        <v>7.0411265802528211E-2</v>
      </c>
      <c r="L264" s="1186">
        <f t="shared" si="269"/>
        <v>8.6709523097623142E-2</v>
      </c>
      <c r="M264" s="1186">
        <f t="shared" si="269"/>
        <v>5.9292887604897482E-2</v>
      </c>
      <c r="N264" s="1186">
        <f t="shared" si="269"/>
        <v>6.4935064935065068E-2</v>
      </c>
      <c r="O264" s="1186">
        <f t="shared" si="269"/>
        <v>3.4146341463414664E-2</v>
      </c>
      <c r="P264" s="1186">
        <f t="shared" si="269"/>
        <v>5.1886792452830344E-2</v>
      </c>
      <c r="Q264" s="1186">
        <f t="shared" si="269"/>
        <v>4.7085201793721998E-2</v>
      </c>
      <c r="R264" s="1186">
        <f t="shared" si="269"/>
        <v>4.0685224839400291E-2</v>
      </c>
      <c r="S264" s="1186">
        <f t="shared" si="269"/>
        <v>9.6707818930041212E-2</v>
      </c>
      <c r="T264" s="1186">
        <f t="shared" si="269"/>
        <v>8.7769141427678221E-2</v>
      </c>
      <c r="U264" s="1186">
        <f t="shared" si="269"/>
        <v>8.1065098477257624E-2</v>
      </c>
      <c r="V264" s="1186">
        <f t="shared" si="269"/>
        <v>7.498632468242894E-2</v>
      </c>
      <c r="W264" s="1186">
        <f t="shared" si="269"/>
        <v>6.9755608011647263E-2</v>
      </c>
      <c r="X264" s="1186">
        <f t="shared" si="269"/>
        <v>0</v>
      </c>
      <c r="Y264" s="1186">
        <f t="shared" si="269"/>
        <v>0</v>
      </c>
      <c r="Z264" s="1186">
        <f t="shared" si="269"/>
        <v>0</v>
      </c>
      <c r="AA264" s="1186">
        <f t="shared" si="269"/>
        <v>0</v>
      </c>
      <c r="AB264" s="1186">
        <f t="shared" ref="AB264:AG264" si="270">+AB263/AA263-1</f>
        <v>0</v>
      </c>
      <c r="AC264" s="1186">
        <f t="shared" si="270"/>
        <v>0</v>
      </c>
      <c r="AD264" s="1186">
        <f t="shared" si="270"/>
        <v>0</v>
      </c>
      <c r="AE264" s="1186">
        <f t="shared" si="270"/>
        <v>0</v>
      </c>
      <c r="AF264" s="1186">
        <f t="shared" si="270"/>
        <v>0</v>
      </c>
      <c r="AG264" s="1186">
        <f t="shared" si="270"/>
        <v>0</v>
      </c>
      <c r="AH264" s="1186"/>
      <c r="AI264" s="852"/>
      <c r="AJ264" s="852"/>
      <c r="AK264" s="853"/>
      <c r="AL264" s="852"/>
      <c r="AM264" s="853"/>
      <c r="AN264" s="852"/>
      <c r="AO264" s="853"/>
      <c r="AP264" s="852"/>
      <c r="AQ264" s="852"/>
      <c r="AR264" s="852"/>
      <c r="AS264" s="852"/>
      <c r="AT264" s="852"/>
      <c r="AU264" s="852"/>
      <c r="AV264" s="852"/>
      <c r="AW264" s="852"/>
      <c r="AX264" s="852"/>
      <c r="AY264" s="852"/>
      <c r="AZ264" s="852"/>
    </row>
    <row r="265" spans="1:52" hidden="1" outlineLevel="1">
      <c r="A265" s="861"/>
      <c r="B265" s="852"/>
      <c r="C265" s="852"/>
      <c r="D265" s="852"/>
      <c r="E265" s="852"/>
      <c r="F265" s="852"/>
      <c r="G265" s="852"/>
      <c r="H265" s="852"/>
      <c r="I265" s="852"/>
      <c r="J265" s="852"/>
      <c r="K265" s="852"/>
      <c r="L265" s="852"/>
      <c r="M265" s="852"/>
      <c r="N265" s="852"/>
      <c r="O265" s="852"/>
      <c r="P265" s="852"/>
      <c r="Q265" s="852"/>
      <c r="R265" s="852"/>
      <c r="S265" s="852"/>
      <c r="T265" s="852"/>
      <c r="U265" s="852"/>
      <c r="V265" s="852"/>
      <c r="W265" s="852"/>
      <c r="X265" s="852"/>
      <c r="Y265" s="852"/>
      <c r="Z265" s="852"/>
      <c r="AA265" s="852"/>
      <c r="AB265" s="852"/>
      <c r="AC265" s="852"/>
      <c r="AD265" s="852"/>
      <c r="AE265" s="852"/>
      <c r="AF265" s="852"/>
      <c r="AG265" s="852"/>
      <c r="AH265" s="852"/>
      <c r="AI265" s="852"/>
      <c r="AJ265" s="852"/>
      <c r="AK265" s="853"/>
      <c r="AL265" s="852"/>
      <c r="AM265" s="853"/>
      <c r="AN265" s="852"/>
      <c r="AO265" s="853"/>
      <c r="AP265" s="852"/>
      <c r="AQ265" s="852"/>
      <c r="AR265" s="852"/>
      <c r="AS265" s="852"/>
      <c r="AT265" s="852"/>
      <c r="AU265" s="852"/>
      <c r="AV265" s="852"/>
      <c r="AW265" s="852"/>
      <c r="AX265" s="852"/>
      <c r="AY265" s="852"/>
      <c r="AZ265" s="852"/>
    </row>
    <row r="266" spans="1:52" hidden="1" outlineLevel="1">
      <c r="A266" s="1182" t="s">
        <v>1978</v>
      </c>
      <c r="B266" s="1196">
        <f>B263/B252*1000000</f>
        <v>0</v>
      </c>
      <c r="C266" s="1196">
        <f t="shared" ref="C266:W266" si="271">C263/C252*1000000</f>
        <v>0</v>
      </c>
      <c r="D266" s="1196">
        <f t="shared" si="271"/>
        <v>0</v>
      </c>
      <c r="E266" s="1196">
        <f t="shared" si="271"/>
        <v>15816.406250000002</v>
      </c>
      <c r="F266" s="1196">
        <f t="shared" si="271"/>
        <v>14753.472222222221</v>
      </c>
      <c r="G266" s="1196">
        <f t="shared" si="271"/>
        <v>14074.40476190476</v>
      </c>
      <c r="H266" s="1196">
        <f t="shared" si="271"/>
        <v>10845.652173913044</v>
      </c>
      <c r="I266" s="1196">
        <f t="shared" si="271"/>
        <v>9801.7857142857119</v>
      </c>
      <c r="J266" s="1196">
        <f t="shared" si="271"/>
        <v>9189.7058823529424</v>
      </c>
      <c r="K266" s="1196">
        <f t="shared" si="271"/>
        <v>8801.3157894736833</v>
      </c>
      <c r="L266" s="1196">
        <f t="shared" si="271"/>
        <v>8653.5714285714294</v>
      </c>
      <c r="M266" s="1196">
        <f t="shared" si="271"/>
        <v>8750</v>
      </c>
      <c r="N266" s="1196">
        <f t="shared" si="271"/>
        <v>8723.4042553191484</v>
      </c>
      <c r="O266" s="1196">
        <f t="shared" si="271"/>
        <v>8313.7254901960769</v>
      </c>
      <c r="P266" s="1196">
        <f t="shared" si="271"/>
        <v>8109.0909090909099</v>
      </c>
      <c r="Q266" s="1196">
        <f t="shared" si="271"/>
        <v>7915.2542372881353</v>
      </c>
      <c r="R266" s="1196">
        <f t="shared" si="271"/>
        <v>7593.75</v>
      </c>
      <c r="S266" s="1196">
        <f t="shared" si="271"/>
        <v>7614.2857142857147</v>
      </c>
      <c r="T266" s="1196">
        <f t="shared" si="271"/>
        <v>7628.6967418546383</v>
      </c>
      <c r="U266" s="1196">
        <f t="shared" si="271"/>
        <v>7933.9361060880092</v>
      </c>
      <c r="V266" s="1196">
        <f t="shared" si="271"/>
        <v>8117.8427997705157</v>
      </c>
      <c r="W266" s="1196">
        <f t="shared" si="271"/>
        <v>8190.6926406926477</v>
      </c>
      <c r="X266" s="1196">
        <f t="shared" ref="X266:AC266" si="272">X263/X252*1000000</f>
        <v>7667.8824721377978</v>
      </c>
      <c r="Y266" s="1196">
        <f t="shared" si="272"/>
        <v>7207.8095238095293</v>
      </c>
      <c r="Z266" s="1196">
        <f>Z263/Z252*1000000</f>
        <v>6799.8203054806881</v>
      </c>
      <c r="AA266" s="1196">
        <f>AA263/AA252*1000000</f>
        <v>6435.5442176870802</v>
      </c>
      <c r="AB266" s="1196">
        <f t="shared" si="272"/>
        <v>6108.3131557707875</v>
      </c>
      <c r="AC266" s="1196">
        <f t="shared" si="272"/>
        <v>5812.7496159754264</v>
      </c>
      <c r="AD266" s="1196">
        <f>AD263/AD252*1000000</f>
        <v>5544.4688644688695</v>
      </c>
      <c r="AE266" s="1196">
        <f>AE263/AE252*1000000</f>
        <v>5299.8599439775953</v>
      </c>
      <c r="AF266" s="1196">
        <f>AF263/AF252*1000000</f>
        <v>5075.9221998658659</v>
      </c>
      <c r="AG266" s="1196">
        <f>AG263/AG252*1000000</f>
        <v>4870.1415701415744</v>
      </c>
      <c r="AH266" s="1196"/>
      <c r="AI266" s="852"/>
      <c r="AJ266" s="852"/>
      <c r="AK266" s="853"/>
      <c r="AL266" s="852"/>
      <c r="AM266" s="853"/>
      <c r="AN266" s="852"/>
      <c r="AO266" s="853"/>
      <c r="AP266" s="852"/>
      <c r="AQ266" s="852"/>
      <c r="AR266" s="852"/>
      <c r="AS266" s="852"/>
      <c r="AT266" s="852"/>
      <c r="AU266" s="852"/>
      <c r="AV266" s="852"/>
      <c r="AW266" s="852"/>
      <c r="AX266" s="852"/>
      <c r="AY266" s="852"/>
      <c r="AZ266" s="852"/>
    </row>
    <row r="267" spans="1:52" hidden="1" outlineLevel="1">
      <c r="A267" s="1182" t="s">
        <v>1971</v>
      </c>
      <c r="B267" s="852"/>
      <c r="C267" s="852"/>
      <c r="D267" s="852"/>
      <c r="E267" s="852"/>
      <c r="F267" s="852"/>
      <c r="G267" s="852"/>
      <c r="H267" s="852"/>
      <c r="I267" s="852"/>
      <c r="J267" s="852"/>
      <c r="K267" s="852"/>
      <c r="L267" s="852"/>
      <c r="M267" s="852"/>
      <c r="N267" s="852"/>
      <c r="O267" s="852"/>
      <c r="P267" s="852"/>
      <c r="Q267" s="852"/>
      <c r="R267" s="852"/>
      <c r="S267" s="852"/>
      <c r="T267" s="852"/>
      <c r="U267" s="852"/>
      <c r="V267" s="852"/>
      <c r="W267" s="852"/>
      <c r="X267" s="852"/>
      <c r="Y267" s="852"/>
      <c r="Z267" s="852"/>
      <c r="AA267" s="852"/>
      <c r="AB267" s="852"/>
      <c r="AC267" s="852"/>
      <c r="AD267" s="852"/>
      <c r="AE267" s="852"/>
      <c r="AF267" s="852"/>
      <c r="AG267" s="852"/>
      <c r="AH267" s="852"/>
      <c r="AI267" s="852"/>
      <c r="AJ267" s="852"/>
      <c r="AK267" s="853"/>
      <c r="AL267" s="852"/>
      <c r="AM267" s="853"/>
      <c r="AN267" s="852"/>
      <c r="AO267" s="853"/>
      <c r="AP267" s="852"/>
      <c r="AQ267" s="852"/>
      <c r="AR267" s="852"/>
      <c r="AS267" s="852"/>
      <c r="AT267" s="852"/>
      <c r="AU267" s="852"/>
      <c r="AV267" s="852"/>
      <c r="AW267" s="852"/>
      <c r="AX267" s="852"/>
      <c r="AY267" s="852"/>
      <c r="AZ267" s="852"/>
    </row>
    <row r="268" spans="1:52" hidden="1" outlineLevel="1">
      <c r="A268" s="861"/>
      <c r="B268" s="852"/>
      <c r="C268" s="852"/>
      <c r="D268" s="852"/>
      <c r="E268" s="852"/>
      <c r="F268" s="852"/>
      <c r="G268" s="852"/>
      <c r="H268" s="852"/>
      <c r="I268" s="852"/>
      <c r="J268" s="852"/>
      <c r="K268" s="852"/>
      <c r="L268" s="852"/>
      <c r="M268" s="852"/>
      <c r="N268" s="852"/>
      <c r="O268" s="852"/>
      <c r="P268" s="852"/>
      <c r="Q268" s="852"/>
      <c r="R268" s="852"/>
      <c r="S268" s="852"/>
      <c r="T268" s="852"/>
      <c r="U268" s="852"/>
      <c r="V268" s="852"/>
      <c r="W268" s="852"/>
      <c r="X268" s="852"/>
      <c r="Y268" s="852"/>
      <c r="Z268" s="852"/>
      <c r="AA268" s="852"/>
      <c r="AB268" s="852"/>
      <c r="AC268" s="852"/>
      <c r="AD268" s="852"/>
      <c r="AE268" s="852"/>
      <c r="AF268" s="852"/>
      <c r="AG268" s="852"/>
      <c r="AH268" s="852"/>
      <c r="AI268" s="852"/>
      <c r="AJ268" s="852"/>
      <c r="AK268" s="853"/>
      <c r="AL268" s="852"/>
      <c r="AM268" s="853"/>
      <c r="AN268" s="852"/>
      <c r="AO268" s="853"/>
      <c r="AP268" s="852"/>
      <c r="AQ268" s="852"/>
      <c r="AR268" s="852"/>
      <c r="AS268" s="852"/>
      <c r="AT268" s="852"/>
      <c r="AU268" s="852"/>
      <c r="AV268" s="852"/>
      <c r="AW268" s="852"/>
      <c r="AX268" s="852"/>
      <c r="AY268" s="852"/>
      <c r="AZ268" s="852"/>
    </row>
    <row r="269" spans="1:52" hidden="1" outlineLevel="1">
      <c r="A269" s="1182" t="s">
        <v>558</v>
      </c>
      <c r="B269" s="1197" t="e">
        <f>B247/(B260)</f>
        <v>#DIV/0!</v>
      </c>
      <c r="C269" s="1197" t="e">
        <f t="shared" ref="C269:W269" si="273">C247/(C260)</f>
        <v>#DIV/0!</v>
      </c>
      <c r="D269" s="1197" t="e">
        <f t="shared" si="273"/>
        <v>#DIV/0!</v>
      </c>
      <c r="E269" s="1197">
        <f>E247/(E260)</f>
        <v>2123.6334897505558</v>
      </c>
      <c r="F269" s="1197">
        <f t="shared" si="273"/>
        <v>1188.8744275729091</v>
      </c>
      <c r="G269" s="1197">
        <f t="shared" si="273"/>
        <v>1297.9567832479397</v>
      </c>
      <c r="H269" s="1197">
        <f t="shared" si="273"/>
        <v>1556.6064998509212</v>
      </c>
      <c r="I269" s="1197">
        <f t="shared" si="273"/>
        <v>1875.3349875930521</v>
      </c>
      <c r="J269" s="1197">
        <f t="shared" si="273"/>
        <v>2022.7943431589711</v>
      </c>
      <c r="K269" s="1197">
        <f t="shared" si="273"/>
        <v>2301.5149172978818</v>
      </c>
      <c r="L269" s="1197">
        <f t="shared" si="273"/>
        <v>2387.7948130104601</v>
      </c>
      <c r="M269" s="1197">
        <f t="shared" si="273"/>
        <v>2102.4570779611199</v>
      </c>
      <c r="N269" s="1197">
        <f t="shared" si="273"/>
        <v>2062.4251572327044</v>
      </c>
      <c r="O269" s="1197">
        <f t="shared" si="273"/>
        <v>2429.3381294964029</v>
      </c>
      <c r="P269" s="1197">
        <f t="shared" si="273"/>
        <v>2567.4597701149428</v>
      </c>
      <c r="Q269" s="1197">
        <f t="shared" si="273"/>
        <v>2674.0043811610076</v>
      </c>
      <c r="R269" s="1197">
        <f t="shared" si="273"/>
        <v>2783.7166841552989</v>
      </c>
      <c r="S269" s="1197">
        <f t="shared" si="273"/>
        <v>2894.2845927379781</v>
      </c>
      <c r="T269" s="1197">
        <f t="shared" si="273"/>
        <v>2929.5972338713814</v>
      </c>
      <c r="U269" s="1197">
        <f t="shared" si="273"/>
        <v>2942.2443937516268</v>
      </c>
      <c r="V269" s="1197">
        <f t="shared" si="273"/>
        <v>2967.9479199466882</v>
      </c>
      <c r="W269" s="1197">
        <f t="shared" si="273"/>
        <v>3011.6985023458446</v>
      </c>
      <c r="X269" s="1197">
        <f t="shared" ref="X269:AC269" si="274">X247/(X260)</f>
        <v>2913.506514098462</v>
      </c>
      <c r="Y269" s="1197">
        <f t="shared" si="274"/>
        <v>2913.506514098462</v>
      </c>
      <c r="Z269" s="1197">
        <f>Z247/(Z260)</f>
        <v>2913.506514098462</v>
      </c>
      <c r="AA269" s="1197">
        <f>AA247/(AA260)</f>
        <v>2913.506514098462</v>
      </c>
      <c r="AB269" s="1197">
        <f t="shared" si="274"/>
        <v>2913.506514098462</v>
      </c>
      <c r="AC269" s="1197">
        <f t="shared" si="274"/>
        <v>2913.506514098462</v>
      </c>
      <c r="AD269" s="1197">
        <f>AD247/(AD260)</f>
        <v>2913.506514098462</v>
      </c>
      <c r="AE269" s="1197">
        <f>AE247/(AE260)</f>
        <v>2913.506514098462</v>
      </c>
      <c r="AF269" s="1197">
        <f>AF247/(AF260)</f>
        <v>2913.506514098462</v>
      </c>
      <c r="AG269" s="1197">
        <f>AG247/(AG260)</f>
        <v>2913.506514098462</v>
      </c>
      <c r="AH269" s="1197"/>
      <c r="AI269" s="852"/>
      <c r="AJ269" s="852"/>
      <c r="AK269" s="853"/>
      <c r="AL269" s="852"/>
      <c r="AM269" s="853"/>
      <c r="AN269" s="852"/>
      <c r="AO269" s="853"/>
      <c r="AP269" s="852"/>
      <c r="AQ269" s="852"/>
      <c r="AR269" s="852"/>
      <c r="AS269" s="852"/>
      <c r="AT269" s="852"/>
      <c r="AU269" s="852"/>
      <c r="AV269" s="852"/>
      <c r="AW269" s="852"/>
      <c r="AX269" s="852"/>
      <c r="AY269" s="852"/>
      <c r="AZ269" s="852"/>
    </row>
    <row r="270" spans="1:52" hidden="1" outlineLevel="1">
      <c r="A270" s="1182" t="s">
        <v>1971</v>
      </c>
      <c r="B270" s="852"/>
      <c r="C270" s="852"/>
      <c r="D270" s="852"/>
      <c r="E270" s="852"/>
      <c r="F270" s="852"/>
      <c r="G270" s="852"/>
      <c r="H270" s="852"/>
      <c r="I270" s="852"/>
      <c r="J270" s="852"/>
      <c r="K270" s="852"/>
      <c r="L270" s="852"/>
      <c r="M270" s="852"/>
      <c r="N270" s="852"/>
      <c r="O270" s="852"/>
      <c r="P270" s="852"/>
      <c r="Q270" s="852"/>
      <c r="R270" s="852"/>
      <c r="S270" s="852"/>
      <c r="T270" s="852"/>
      <c r="U270" s="852"/>
      <c r="V270" s="852"/>
      <c r="W270" s="852"/>
      <c r="X270" s="852"/>
      <c r="Y270" s="852"/>
      <c r="Z270" s="852"/>
      <c r="AA270" s="852"/>
      <c r="AB270" s="852"/>
      <c r="AC270" s="852"/>
      <c r="AD270" s="852"/>
      <c r="AE270" s="852"/>
      <c r="AF270" s="852"/>
      <c r="AG270" s="852"/>
      <c r="AH270" s="852"/>
      <c r="AI270" s="852"/>
      <c r="AJ270" s="852"/>
      <c r="AK270" s="853"/>
      <c r="AL270" s="852"/>
      <c r="AM270" s="853"/>
      <c r="AN270" s="852"/>
      <c r="AO270" s="853"/>
      <c r="AP270" s="852"/>
      <c r="AQ270" s="852"/>
      <c r="AR270" s="852"/>
      <c r="AS270" s="852"/>
      <c r="AT270" s="852"/>
      <c r="AU270" s="852"/>
      <c r="AV270" s="852"/>
      <c r="AW270" s="852"/>
      <c r="AX270" s="852"/>
      <c r="AY270" s="852"/>
      <c r="AZ270" s="852"/>
    </row>
    <row r="271" spans="1:52" hidden="1" outlineLevel="1">
      <c r="A271" s="861"/>
      <c r="B271" s="852"/>
      <c r="C271" s="852"/>
      <c r="D271" s="852"/>
      <c r="E271" s="852"/>
      <c r="F271" s="852"/>
      <c r="G271" s="852"/>
      <c r="H271" s="852"/>
      <c r="I271" s="852"/>
      <c r="J271" s="852"/>
      <c r="K271" s="852"/>
      <c r="L271" s="852"/>
      <c r="M271" s="852"/>
      <c r="N271" s="852"/>
      <c r="O271" s="852"/>
      <c r="P271" s="852"/>
      <c r="Q271" s="852"/>
      <c r="R271" s="852"/>
      <c r="S271" s="852"/>
      <c r="T271" s="852"/>
      <c r="U271" s="852"/>
      <c r="V271" s="852"/>
      <c r="W271" s="852"/>
      <c r="X271" s="852"/>
      <c r="Y271" s="852"/>
      <c r="Z271" s="852"/>
      <c r="AA271" s="852"/>
      <c r="AB271" s="852"/>
      <c r="AC271" s="852"/>
      <c r="AD271" s="852"/>
      <c r="AE271" s="852"/>
      <c r="AF271" s="852"/>
      <c r="AG271" s="852"/>
      <c r="AH271" s="852"/>
      <c r="AI271" s="852"/>
      <c r="AJ271" s="852"/>
      <c r="AK271" s="853"/>
      <c r="AL271" s="852"/>
      <c r="AM271" s="853"/>
      <c r="AN271" s="852"/>
      <c r="AO271" s="853"/>
      <c r="AP271" s="852"/>
      <c r="AQ271" s="852"/>
      <c r="AR271" s="852"/>
      <c r="AS271" s="852"/>
      <c r="AT271" s="852"/>
      <c r="AU271" s="852"/>
      <c r="AV271" s="852"/>
      <c r="AW271" s="852"/>
      <c r="AX271" s="852"/>
      <c r="AY271" s="852"/>
      <c r="AZ271" s="852"/>
    </row>
    <row r="272" spans="1:52" hidden="1" outlineLevel="1">
      <c r="A272" s="1182" t="s">
        <v>1980</v>
      </c>
      <c r="B272" s="852"/>
      <c r="C272" s="852"/>
      <c r="D272" s="1198">
        <f>'segSales&amp;comps'!$G32/100</f>
        <v>3.2000000000000001E-2</v>
      </c>
      <c r="E272" s="1198">
        <f>'segSales&amp;comps'!$G39/100</f>
        <v>0.08</v>
      </c>
      <c r="F272" s="1198">
        <f>'segSales&amp;comps'!$G46/100</f>
        <v>0.12</v>
      </c>
      <c r="G272" s="1198">
        <f>'segSales&amp;comps'!$G53/100</f>
        <v>0.12</v>
      </c>
      <c r="H272" s="1198">
        <f>'segSales&amp;comps'!$G60/100</f>
        <v>0.11</v>
      </c>
      <c r="I272" s="1198">
        <f>'segSales&amp;comps'!$G67/100</f>
        <v>0.11</v>
      </c>
      <c r="J272" s="1198">
        <f>'segSales&amp;comps'!$G74/100</f>
        <v>0.1</v>
      </c>
      <c r="K272" s="1198">
        <f>'segSales&amp;comps'!$G81/100</f>
        <v>0.2</v>
      </c>
      <c r="L272" s="1198">
        <f>'segSales&amp;comps'!$G88/100</f>
        <v>0.12</v>
      </c>
      <c r="M272" s="1198">
        <f>'segSales&amp;comps'!$G95/100</f>
        <v>-0.08</v>
      </c>
      <c r="N272" s="1198">
        <f>'segSales&amp;comps'!$G102/100</f>
        <v>0.02</v>
      </c>
      <c r="O272" s="1198">
        <f>'segSales&amp;comps'!$G109/100</f>
        <v>0.12</v>
      </c>
      <c r="P272" s="1198">
        <f>'segSales&amp;comps'!$G116/100</f>
        <v>0.09</v>
      </c>
      <c r="Q272" s="1198">
        <f>'segSales&amp;comps'!$G123/100</f>
        <v>7.0000000000000007E-2</v>
      </c>
      <c r="R272" s="1198">
        <f>'segSales&amp;comps'!$G130/100</f>
        <v>0.05</v>
      </c>
      <c r="S272" s="1198">
        <f>'segSales&amp;comps'!$G137/100</f>
        <v>7.0000000000000007E-2</v>
      </c>
      <c r="T272" s="1199">
        <v>7.0000000000000007E-2</v>
      </c>
      <c r="U272" s="1199">
        <v>0.05</v>
      </c>
      <c r="V272" s="1199">
        <v>0.05</v>
      </c>
      <c r="W272" s="1199">
        <v>0.05</v>
      </c>
      <c r="X272" s="1199">
        <v>0.05</v>
      </c>
      <c r="Y272" s="1199">
        <v>0.05</v>
      </c>
      <c r="Z272" s="1199">
        <v>0.05</v>
      </c>
      <c r="AA272" s="1199">
        <v>0.05</v>
      </c>
      <c r="AB272" s="1199">
        <v>0.05</v>
      </c>
      <c r="AC272" s="1199">
        <v>0.05</v>
      </c>
      <c r="AD272" s="1199">
        <v>0.05</v>
      </c>
      <c r="AE272" s="1199">
        <v>0.05</v>
      </c>
      <c r="AF272" s="1199">
        <v>0.05</v>
      </c>
      <c r="AG272" s="1199">
        <v>0.05</v>
      </c>
      <c r="AH272" s="1199"/>
      <c r="AI272" s="852"/>
      <c r="AJ272" s="852"/>
      <c r="AK272" s="853"/>
      <c r="AL272" s="852"/>
      <c r="AM272" s="853"/>
      <c r="AN272" s="852"/>
      <c r="AO272" s="853"/>
      <c r="AP272" s="852"/>
      <c r="AQ272" s="852"/>
      <c r="AR272" s="852"/>
      <c r="AS272" s="852"/>
      <c r="AT272" s="852"/>
      <c r="AU272" s="852"/>
      <c r="AV272" s="852"/>
      <c r="AW272" s="852"/>
      <c r="AX272" s="852"/>
      <c r="AY272" s="852"/>
      <c r="AZ272" s="852"/>
    </row>
    <row r="273" spans="1:52" hidden="1" outlineLevel="1">
      <c r="A273" s="1182" t="s">
        <v>1578</v>
      </c>
      <c r="B273" s="852"/>
      <c r="C273" s="852"/>
      <c r="D273" s="1198">
        <f t="shared" ref="D273:AA273" si="275">D248-D272</f>
        <v>3.8000000000000062E-2</v>
      </c>
      <c r="E273" s="1198">
        <f t="shared" si="275"/>
        <v>3.4375412127219354E-2</v>
      </c>
      <c r="F273" s="1198">
        <f t="shared" si="275"/>
        <v>2.7313420615840411E-2</v>
      </c>
      <c r="G273" s="1198">
        <f t="shared" si="275"/>
        <v>6.121898212721788E-2</v>
      </c>
      <c r="H273" s="1198">
        <f t="shared" si="275"/>
        <v>5.4837790189972466E-2</v>
      </c>
      <c r="I273" s="1198">
        <f t="shared" si="275"/>
        <v>4.8089041338095537E-2</v>
      </c>
      <c r="J273" s="1198">
        <f t="shared" si="275"/>
        <v>0.10833842245401479</v>
      </c>
      <c r="K273" s="1198">
        <f t="shared" si="275"/>
        <v>5.4108482468509134E-2</v>
      </c>
      <c r="L273" s="1198">
        <f t="shared" si="275"/>
        <v>-7.1867548779247503E-4</v>
      </c>
      <c r="M273" s="1198">
        <f t="shared" si="275"/>
        <v>2.4277688632427671E-2</v>
      </c>
      <c r="N273" s="1198">
        <f t="shared" si="275"/>
        <v>2.1970431829505106E-2</v>
      </c>
      <c r="O273" s="1198">
        <f t="shared" si="275"/>
        <v>0.11568760718894777</v>
      </c>
      <c r="P273" s="1198">
        <f t="shared" si="275"/>
        <v>1.2475336464521453E-2</v>
      </c>
      <c r="Q273" s="1198">
        <f t="shared" si="275"/>
        <v>2.2974405580004353E-2</v>
      </c>
      <c r="R273" s="1198">
        <f t="shared" si="275"/>
        <v>3.6638381955020269E-2</v>
      </c>
      <c r="S273" s="1198">
        <f t="shared" si="275"/>
        <v>4.1725285934315848E-2</v>
      </c>
      <c r="T273" s="1198">
        <f t="shared" si="275"/>
        <v>3.5356026360367887E-2</v>
      </c>
      <c r="U273" s="1198">
        <f t="shared" si="275"/>
        <v>3.8957055214723854E-2</v>
      </c>
      <c r="V273" s="1198">
        <f t="shared" si="275"/>
        <v>3.7323943661971934E-2</v>
      </c>
      <c r="W273" s="1198">
        <f t="shared" si="275"/>
        <v>3.8082901554404233E-2</v>
      </c>
      <c r="X273" s="1198">
        <f t="shared" si="275"/>
        <v>-0.05</v>
      </c>
      <c r="Y273" s="1198">
        <f t="shared" si="275"/>
        <v>-0.05</v>
      </c>
      <c r="Z273" s="1198">
        <f t="shared" si="275"/>
        <v>-0.05</v>
      </c>
      <c r="AA273" s="1198">
        <f t="shared" si="275"/>
        <v>-0.05</v>
      </c>
      <c r="AB273" s="1198">
        <f t="shared" ref="AB273:AG273" si="276">AB248-AB272</f>
        <v>-0.05</v>
      </c>
      <c r="AC273" s="1198">
        <f t="shared" si="276"/>
        <v>-0.05</v>
      </c>
      <c r="AD273" s="1198">
        <f t="shared" si="276"/>
        <v>-0.05</v>
      </c>
      <c r="AE273" s="1198">
        <f t="shared" si="276"/>
        <v>-0.05</v>
      </c>
      <c r="AF273" s="1198">
        <f t="shared" si="276"/>
        <v>-0.05</v>
      </c>
      <c r="AG273" s="1198">
        <f t="shared" si="276"/>
        <v>-0.05</v>
      </c>
      <c r="AH273" s="1198"/>
      <c r="AI273" s="852"/>
      <c r="AJ273" s="852"/>
      <c r="AK273" s="853"/>
      <c r="AL273" s="852"/>
      <c r="AM273" s="853"/>
      <c r="AN273" s="852"/>
      <c r="AO273" s="853"/>
      <c r="AP273" s="852"/>
      <c r="AQ273" s="852"/>
      <c r="AR273" s="852"/>
      <c r="AS273" s="852"/>
      <c r="AT273" s="852"/>
      <c r="AU273" s="852"/>
      <c r="AV273" s="852"/>
      <c r="AW273" s="852"/>
      <c r="AX273" s="852"/>
      <c r="AY273" s="852"/>
      <c r="AZ273" s="852"/>
    </row>
    <row r="274" spans="1:52" hidden="1" outlineLevel="1">
      <c r="A274" s="861"/>
      <c r="B274" s="852"/>
      <c r="C274" s="852"/>
      <c r="D274" s="852"/>
      <c r="E274" s="852"/>
      <c r="F274" s="852"/>
      <c r="G274" s="852"/>
      <c r="H274" s="852"/>
      <c r="I274" s="852"/>
      <c r="J274" s="852"/>
      <c r="K274" s="852"/>
      <c r="L274" s="852"/>
      <c r="M274" s="852"/>
      <c r="N274" s="852"/>
      <c r="O274" s="852"/>
      <c r="P274" s="852"/>
      <c r="Q274" s="852"/>
      <c r="R274" s="852"/>
      <c r="S274" s="852"/>
      <c r="T274" s="852"/>
      <c r="U274" s="852"/>
      <c r="V274" s="852"/>
      <c r="W274" s="852"/>
      <c r="X274" s="852"/>
      <c r="Y274" s="852"/>
      <c r="Z274" s="852"/>
      <c r="AA274" s="852"/>
      <c r="AB274" s="852"/>
      <c r="AC274" s="852"/>
      <c r="AD274" s="852"/>
      <c r="AE274" s="852"/>
      <c r="AF274" s="852"/>
      <c r="AG274" s="852"/>
      <c r="AH274" s="852"/>
      <c r="AI274" s="852"/>
      <c r="AJ274" s="852"/>
      <c r="AK274" s="853"/>
      <c r="AL274" s="852"/>
      <c r="AM274" s="853"/>
      <c r="AN274" s="852"/>
      <c r="AO274" s="853"/>
      <c r="AP274" s="852"/>
      <c r="AQ274" s="852"/>
      <c r="AR274" s="852"/>
      <c r="AS274" s="852"/>
      <c r="AT274" s="852"/>
      <c r="AU274" s="852"/>
      <c r="AV274" s="852"/>
      <c r="AW274" s="852"/>
      <c r="AX274" s="852"/>
      <c r="AY274" s="852"/>
      <c r="AZ274" s="852"/>
    </row>
    <row r="275" spans="1:52" hidden="1" outlineLevel="1">
      <c r="A275" s="1182" t="s">
        <v>1916</v>
      </c>
      <c r="B275" s="1196"/>
      <c r="C275" s="1196">
        <f t="shared" ref="C275:S275" si="277">+(C263-B263)/C251*1000000</f>
        <v>0</v>
      </c>
      <c r="D275" s="1196">
        <f t="shared" si="277"/>
        <v>0</v>
      </c>
      <c r="E275" s="1196" t="e">
        <f t="shared" si="277"/>
        <v>#DIV/0!</v>
      </c>
      <c r="F275" s="1196">
        <f t="shared" si="277"/>
        <v>6249.9999999999782</v>
      </c>
      <c r="G275" s="1196">
        <f t="shared" si="277"/>
        <v>9999.9999999999891</v>
      </c>
      <c r="H275" s="1196">
        <f t="shared" si="277"/>
        <v>-23056.249999999971</v>
      </c>
      <c r="I275" s="1196">
        <f t="shared" si="277"/>
        <v>4999.9999999999927</v>
      </c>
      <c r="J275" s="1196">
        <f t="shared" si="277"/>
        <v>6333.3333333333394</v>
      </c>
      <c r="K275" s="1196">
        <f t="shared" si="277"/>
        <v>5499.9999999999909</v>
      </c>
      <c r="L275" s="1196">
        <f t="shared" si="277"/>
        <v>7250.0000000000064</v>
      </c>
      <c r="M275" s="1196">
        <f t="shared" si="277"/>
        <v>10774.999999999978</v>
      </c>
      <c r="N275" s="1196">
        <f t="shared" si="277"/>
        <v>8333.3333333333394</v>
      </c>
      <c r="O275" s="1196">
        <f t="shared" si="277"/>
        <v>3500.0000000000032</v>
      </c>
      <c r="P275" s="1196">
        <f t="shared" si="277"/>
        <v>5500.0000000000045</v>
      </c>
      <c r="Q275" s="1196">
        <f t="shared" si="277"/>
        <v>5250.0000000000045</v>
      </c>
      <c r="R275" s="1196">
        <f t="shared" si="277"/>
        <v>3799.9999999999923</v>
      </c>
      <c r="S275" s="1196">
        <f t="shared" si="277"/>
        <v>7833.3333333333394</v>
      </c>
      <c r="T275" s="1196">
        <f t="shared" ref="T275:AA275" si="278">+(T263-S263)/T251*1000000</f>
        <v>7796.825396825413</v>
      </c>
      <c r="U275" s="1196">
        <f t="shared" si="278"/>
        <v>15666.666666666717</v>
      </c>
      <c r="V275" s="1196">
        <f t="shared" si="278"/>
        <v>11750.000000000038</v>
      </c>
      <c r="W275" s="1196">
        <f t="shared" si="278"/>
        <v>9400.0000000000291</v>
      </c>
      <c r="X275" s="1196">
        <f t="shared" si="278"/>
        <v>0</v>
      </c>
      <c r="Y275" s="1196">
        <f t="shared" si="278"/>
        <v>0</v>
      </c>
      <c r="Z275" s="1196">
        <f t="shared" si="278"/>
        <v>0</v>
      </c>
      <c r="AA275" s="1196">
        <f t="shared" si="278"/>
        <v>0</v>
      </c>
      <c r="AB275" s="1196">
        <f t="shared" ref="AB275:AG275" si="279">+(AB263-AA263)/AB251*1000000</f>
        <v>0</v>
      </c>
      <c r="AC275" s="1196">
        <f t="shared" si="279"/>
        <v>0</v>
      </c>
      <c r="AD275" s="1196">
        <f t="shared" si="279"/>
        <v>0</v>
      </c>
      <c r="AE275" s="1196">
        <f t="shared" si="279"/>
        <v>0</v>
      </c>
      <c r="AF275" s="1196">
        <f t="shared" si="279"/>
        <v>0</v>
      </c>
      <c r="AG275" s="1196">
        <f t="shared" si="279"/>
        <v>0</v>
      </c>
      <c r="AH275" s="1196"/>
      <c r="AI275" s="852"/>
      <c r="AJ275" s="852"/>
      <c r="AK275" s="853"/>
      <c r="AL275" s="852"/>
      <c r="AM275" s="853"/>
      <c r="AN275" s="852"/>
      <c r="AO275" s="853"/>
      <c r="AP275" s="852"/>
      <c r="AQ275" s="852"/>
      <c r="AR275" s="852"/>
      <c r="AS275" s="852"/>
      <c r="AT275" s="852"/>
      <c r="AU275" s="852"/>
      <c r="AV275" s="852"/>
      <c r="AW275" s="852"/>
      <c r="AX275" s="852"/>
      <c r="AY275" s="852"/>
      <c r="AZ275" s="852"/>
    </row>
    <row r="276" spans="1:52" hidden="1" outlineLevel="1">
      <c r="A276" s="861"/>
      <c r="B276" s="852"/>
      <c r="C276" s="852"/>
      <c r="D276" s="852"/>
      <c r="E276" s="852"/>
      <c r="F276" s="852"/>
      <c r="G276" s="852"/>
      <c r="H276" s="852"/>
      <c r="I276" s="852"/>
      <c r="J276" s="852"/>
      <c r="K276" s="852"/>
      <c r="L276" s="852"/>
      <c r="M276" s="852"/>
      <c r="N276" s="852"/>
      <c r="O276" s="852"/>
      <c r="P276" s="852"/>
      <c r="Q276" s="852"/>
      <c r="R276" s="852"/>
      <c r="S276" s="852"/>
      <c r="T276" s="852"/>
      <c r="U276" s="852"/>
      <c r="V276" s="852"/>
      <c r="W276" s="852"/>
      <c r="X276" s="852"/>
      <c r="Y276" s="852"/>
      <c r="Z276" s="852"/>
      <c r="AA276" s="852"/>
      <c r="AB276" s="852"/>
      <c r="AC276" s="852"/>
      <c r="AD276" s="852"/>
      <c r="AE276" s="852"/>
      <c r="AF276" s="852"/>
      <c r="AG276" s="852"/>
      <c r="AH276" s="852"/>
      <c r="AI276" s="852"/>
      <c r="AJ276" s="852"/>
      <c r="AK276" s="853"/>
      <c r="AL276" s="852"/>
      <c r="AM276" s="853"/>
      <c r="AN276" s="852"/>
      <c r="AO276" s="853"/>
      <c r="AP276" s="852"/>
      <c r="AQ276" s="852"/>
      <c r="AR276" s="852"/>
      <c r="AS276" s="852"/>
      <c r="AT276" s="852"/>
      <c r="AU276" s="852"/>
      <c r="AV276" s="852"/>
      <c r="AW276" s="852"/>
      <c r="AX276" s="852"/>
      <c r="AY276" s="852"/>
      <c r="AZ276" s="852"/>
    </row>
    <row r="277" spans="1:52" hidden="1" outlineLevel="1">
      <c r="A277" s="1182" t="s">
        <v>1981</v>
      </c>
      <c r="B277" s="852"/>
      <c r="C277" s="1200" t="e">
        <f t="shared" ref="C277:W277" si="280">(C248-C272)/C261</f>
        <v>#DIV/0!</v>
      </c>
      <c r="D277" s="1200" t="e">
        <f t="shared" si="280"/>
        <v>#DIV/0!</v>
      </c>
      <c r="E277" s="1200" t="e">
        <f t="shared" si="280"/>
        <v>#DIV/0!</v>
      </c>
      <c r="F277" s="1200">
        <f t="shared" si="280"/>
        <v>2.6027780671578685E-2</v>
      </c>
      <c r="G277" s="1200">
        <f t="shared" si="280"/>
        <v>0.74705163778184547</v>
      </c>
      <c r="H277" s="1200">
        <f t="shared" si="280"/>
        <v>-1.9097505055297641</v>
      </c>
      <c r="I277" s="1200">
        <f t="shared" si="280"/>
        <v>-1.2414033696757338</v>
      </c>
      <c r="J277" s="1200">
        <f t="shared" si="280"/>
        <v>0.90092856386759357</v>
      </c>
      <c r="K277" s="1200">
        <f t="shared" si="280"/>
        <v>0.52927113934613335</v>
      </c>
      <c r="L277" s="1200">
        <f t="shared" si="280"/>
        <v>-9.1159053539794695E-3</v>
      </c>
      <c r="M277" s="1200">
        <f t="shared" si="280"/>
        <v>0.33518098707361615</v>
      </c>
      <c r="N277" s="1200">
        <f t="shared" si="280"/>
        <v>0.35324961767546981</v>
      </c>
      <c r="O277" s="1200">
        <f t="shared" si="280"/>
        <v>2.3582473773131665</v>
      </c>
      <c r="P277" s="1200">
        <f t="shared" si="280"/>
        <v>0.28901196142808061</v>
      </c>
      <c r="Q277" s="1200">
        <f t="shared" si="280"/>
        <v>0.46483099661869215</v>
      </c>
      <c r="R277" s="1200">
        <f t="shared" si="280"/>
        <v>0.83627106812333729</v>
      </c>
      <c r="S277" s="1200">
        <f t="shared" si="280"/>
        <v>0.60248784083943985</v>
      </c>
      <c r="T277" s="1200">
        <f>(T248-T272)/T261</f>
        <v>0.38416959890601771</v>
      </c>
      <c r="U277" s="1200">
        <f t="shared" si="280"/>
        <v>0.46225451867561218</v>
      </c>
      <c r="V277" s="1200">
        <f t="shared" si="280"/>
        <v>0.47908136763845466</v>
      </c>
      <c r="W277" s="1200">
        <f t="shared" si="280"/>
        <v>0.52690607430272296</v>
      </c>
      <c r="X277" s="1200">
        <f>(X248-X272)/X261</f>
        <v>-1.4835764944275567</v>
      </c>
      <c r="Y277" s="1200"/>
      <c r="Z277" s="1200"/>
      <c r="AA277" s="1200"/>
      <c r="AB277" s="1200"/>
      <c r="AC277" s="1200"/>
      <c r="AD277" s="1200"/>
      <c r="AE277" s="1200"/>
      <c r="AF277" s="1200"/>
      <c r="AG277" s="1200"/>
      <c r="AH277" s="1200"/>
      <c r="AI277" s="1200"/>
      <c r="AJ277" s="852"/>
      <c r="AK277" s="853"/>
      <c r="AL277" s="852"/>
      <c r="AM277" s="853"/>
      <c r="AN277" s="852"/>
      <c r="AO277" s="853"/>
      <c r="AP277" s="852"/>
      <c r="AQ277" s="852"/>
      <c r="AR277" s="852"/>
      <c r="AS277" s="852"/>
      <c r="AT277" s="852"/>
      <c r="AU277" s="852"/>
      <c r="AV277" s="852"/>
      <c r="AW277" s="852"/>
      <c r="AX277" s="852"/>
      <c r="AY277" s="852"/>
      <c r="AZ277" s="852"/>
    </row>
    <row r="278" spans="1:52" hidden="1" outlineLevel="1">
      <c r="A278" s="862"/>
      <c r="B278" s="852"/>
      <c r="C278" s="852"/>
      <c r="D278" s="852"/>
      <c r="E278" s="852"/>
      <c r="F278" s="852"/>
      <c r="G278" s="852"/>
      <c r="H278" s="852"/>
      <c r="I278" s="852"/>
      <c r="J278" s="852"/>
      <c r="K278" s="852"/>
      <c r="L278" s="852"/>
      <c r="M278" s="852"/>
      <c r="N278" s="852"/>
      <c r="O278" s="852"/>
      <c r="P278" s="852"/>
      <c r="Q278" s="852"/>
      <c r="R278" s="852"/>
      <c r="S278" s="852"/>
      <c r="T278" s="852"/>
      <c r="U278" s="852"/>
      <c r="V278" s="852"/>
      <c r="W278" s="852"/>
      <c r="X278" s="852"/>
      <c r="Y278" s="852"/>
      <c r="Z278" s="852"/>
      <c r="AA278" s="852"/>
      <c r="AB278" s="852"/>
      <c r="AC278" s="852"/>
      <c r="AD278" s="852"/>
      <c r="AE278" s="852"/>
      <c r="AF278" s="852"/>
      <c r="AG278" s="852"/>
      <c r="AH278" s="852"/>
      <c r="AI278" s="852"/>
      <c r="AJ278" s="852"/>
      <c r="AK278" s="853"/>
      <c r="AL278" s="852"/>
      <c r="AM278" s="853"/>
      <c r="AN278" s="852"/>
      <c r="AO278" s="853"/>
      <c r="AP278" s="852"/>
      <c r="AQ278" s="852"/>
      <c r="AR278" s="852"/>
      <c r="AS278" s="852"/>
      <c r="AT278" s="852"/>
      <c r="AU278" s="852"/>
      <c r="AV278" s="852"/>
      <c r="AW278" s="852"/>
      <c r="AX278" s="852"/>
      <c r="AY278" s="852"/>
      <c r="AZ278" s="852"/>
    </row>
    <row r="279" spans="1:52" hidden="1" outlineLevel="1">
      <c r="A279" s="1201"/>
      <c r="B279" s="855"/>
      <c r="C279" s="855"/>
      <c r="D279" s="855"/>
      <c r="E279" s="855"/>
      <c r="F279" s="855"/>
      <c r="G279" s="855"/>
      <c r="H279" s="855"/>
      <c r="I279" s="855"/>
      <c r="J279" s="855"/>
      <c r="K279" s="855"/>
      <c r="L279" s="855"/>
      <c r="M279" s="855"/>
      <c r="N279" s="855"/>
      <c r="O279" s="855"/>
      <c r="P279" s="855"/>
      <c r="Q279" s="855"/>
      <c r="R279" s="855"/>
      <c r="S279" s="855"/>
      <c r="T279" s="855"/>
      <c r="U279" s="855"/>
      <c r="V279" s="855"/>
      <c r="W279" s="855"/>
      <c r="X279" s="855"/>
      <c r="Y279" s="855"/>
      <c r="Z279" s="855"/>
      <c r="AA279" s="855"/>
      <c r="AB279" s="855"/>
      <c r="AC279" s="855"/>
      <c r="AD279" s="855"/>
      <c r="AE279" s="855"/>
      <c r="AF279" s="855"/>
      <c r="AG279" s="855"/>
      <c r="AH279" s="855"/>
      <c r="AI279" s="855"/>
      <c r="AJ279" s="855"/>
      <c r="AK279" s="856"/>
      <c r="AL279" s="855"/>
      <c r="AM279" s="856"/>
      <c r="AN279" s="855"/>
      <c r="AO279" s="856"/>
      <c r="AP279" s="855"/>
      <c r="AQ279" s="855"/>
      <c r="AR279" s="855"/>
      <c r="AS279" s="855"/>
      <c r="AT279" s="855"/>
      <c r="AU279" s="855"/>
      <c r="AV279" s="855"/>
      <c r="AW279" s="855"/>
      <c r="AX279" s="855"/>
      <c r="AY279" s="855"/>
      <c r="AZ279" s="855"/>
    </row>
    <row r="280" spans="1:52" hidden="1" outlineLevel="1">
      <c r="A280" s="857" t="s">
        <v>1579</v>
      </c>
      <c r="B280" s="858"/>
      <c r="C280" s="858"/>
      <c r="D280" s="858"/>
      <c r="E280" s="858"/>
      <c r="F280" s="858"/>
      <c r="G280" s="858"/>
      <c r="H280" s="858"/>
      <c r="I280" s="858"/>
      <c r="J280" s="858"/>
      <c r="K280" s="858"/>
      <c r="L280" s="858"/>
      <c r="M280" s="858"/>
      <c r="N280" s="858"/>
      <c r="O280" s="858"/>
      <c r="P280" s="858"/>
      <c r="Q280" s="858"/>
      <c r="R280" s="858"/>
      <c r="S280" s="858"/>
      <c r="T280" s="858"/>
      <c r="U280" s="858"/>
      <c r="V280" s="858"/>
      <c r="W280" s="858"/>
      <c r="X280" s="858"/>
      <c r="Y280" s="858"/>
      <c r="Z280" s="858"/>
      <c r="AA280" s="858"/>
      <c r="AB280" s="858"/>
      <c r="AC280" s="858"/>
      <c r="AD280" s="858"/>
      <c r="AE280" s="858"/>
      <c r="AF280" s="858"/>
      <c r="AG280" s="858"/>
      <c r="AH280" s="858"/>
      <c r="AI280" s="858"/>
      <c r="AJ280" s="858"/>
      <c r="AK280" s="859"/>
      <c r="AL280" s="858"/>
      <c r="AM280" s="859"/>
      <c r="AN280" s="858"/>
      <c r="AO280" s="859"/>
      <c r="AP280" s="858"/>
      <c r="AQ280" s="858"/>
      <c r="AR280" s="858"/>
      <c r="AS280" s="858"/>
      <c r="AT280" s="858"/>
      <c r="AU280" s="858"/>
      <c r="AV280" s="858"/>
      <c r="AW280" s="858"/>
      <c r="AX280" s="858"/>
      <c r="AY280" s="858"/>
      <c r="AZ280" s="858"/>
    </row>
    <row r="281" spans="1:52" hidden="1" outlineLevel="1">
      <c r="A281" s="854" t="str">
        <f>+$A$2</f>
        <v>Annual Sales Model, Fiscal 2001-2014E</v>
      </c>
      <c r="B281" s="855"/>
      <c r="C281" s="855"/>
      <c r="D281" s="855"/>
      <c r="E281" s="855"/>
      <c r="F281" s="855"/>
      <c r="G281" s="855"/>
      <c r="H281" s="855"/>
      <c r="I281" s="855"/>
      <c r="J281" s="855"/>
      <c r="K281" s="855"/>
      <c r="L281" s="855"/>
      <c r="M281" s="855"/>
      <c r="N281" s="855"/>
      <c r="O281" s="855"/>
      <c r="P281" s="855"/>
      <c r="Q281" s="855"/>
      <c r="R281" s="855"/>
      <c r="S281" s="855"/>
      <c r="T281" s="855"/>
      <c r="U281" s="855"/>
      <c r="V281" s="855"/>
      <c r="W281" s="855"/>
      <c r="X281" s="855"/>
      <c r="Y281" s="855"/>
      <c r="Z281" s="855"/>
      <c r="AA281" s="855"/>
      <c r="AB281" s="855"/>
      <c r="AC281" s="855"/>
      <c r="AD281" s="855"/>
      <c r="AE281" s="855"/>
      <c r="AF281" s="855"/>
      <c r="AG281" s="855"/>
      <c r="AH281" s="855"/>
      <c r="AI281" s="855"/>
      <c r="AJ281" s="855"/>
      <c r="AK281" s="856"/>
      <c r="AL281" s="855"/>
      <c r="AM281" s="856"/>
      <c r="AN281" s="855"/>
      <c r="AO281" s="856"/>
      <c r="AP281" s="855"/>
      <c r="AQ281" s="855"/>
      <c r="AR281" s="855"/>
      <c r="AS281" s="855"/>
      <c r="AT281" s="855"/>
      <c r="AU281" s="855"/>
      <c r="AV281" s="855"/>
      <c r="AW281" s="855"/>
      <c r="AX281" s="855"/>
      <c r="AY281" s="855"/>
      <c r="AZ281" s="855"/>
    </row>
    <row r="282" spans="1:52" hidden="1" outlineLevel="1">
      <c r="A282" s="862"/>
      <c r="B282" s="852"/>
      <c r="C282" s="852"/>
      <c r="D282" s="852"/>
      <c r="E282" s="852"/>
      <c r="F282" s="852"/>
      <c r="G282" s="852"/>
      <c r="H282" s="852"/>
      <c r="I282" s="852"/>
      <c r="J282" s="852"/>
      <c r="K282" s="852"/>
      <c r="L282" s="852"/>
      <c r="M282" s="852"/>
      <c r="N282" s="852"/>
      <c r="O282" s="852"/>
      <c r="P282" s="852"/>
      <c r="Q282" s="852"/>
      <c r="R282" s="852"/>
      <c r="S282" s="852"/>
      <c r="T282" s="852"/>
      <c r="U282" s="852"/>
      <c r="V282" s="852"/>
      <c r="W282" s="852"/>
      <c r="X282" s="852"/>
      <c r="Y282" s="852"/>
      <c r="Z282" s="852"/>
      <c r="AA282" s="852"/>
      <c r="AB282" s="852"/>
      <c r="AC282" s="852"/>
      <c r="AD282" s="852"/>
      <c r="AE282" s="852"/>
      <c r="AF282" s="852"/>
      <c r="AG282" s="852"/>
      <c r="AH282" s="852"/>
      <c r="AI282" s="852"/>
      <c r="AJ282" s="852"/>
      <c r="AK282" s="853"/>
      <c r="AL282" s="852"/>
      <c r="AM282" s="853"/>
      <c r="AN282" s="852"/>
      <c r="AO282" s="853"/>
      <c r="AP282" s="852"/>
      <c r="AQ282" s="852"/>
      <c r="AR282" s="852"/>
      <c r="AS282" s="852"/>
      <c r="AT282" s="852"/>
      <c r="AU282" s="852"/>
      <c r="AV282" s="852"/>
      <c r="AW282" s="852"/>
      <c r="AX282" s="852"/>
      <c r="AY282" s="852"/>
      <c r="AZ282" s="852"/>
    </row>
    <row r="283" spans="1:52" hidden="1" outlineLevel="1">
      <c r="A283" s="862"/>
      <c r="B283" s="1180">
        <f>+B$5</f>
        <v>1990</v>
      </c>
      <c r="C283" s="1180">
        <f>+C$5</f>
        <v>1991</v>
      </c>
      <c r="D283" s="1180">
        <f t="shared" ref="D283:O283" si="281">+D$5</f>
        <v>1992</v>
      </c>
      <c r="E283" s="1180">
        <f t="shared" si="281"/>
        <v>1993</v>
      </c>
      <c r="F283" s="1180">
        <f t="shared" si="281"/>
        <v>1994</v>
      </c>
      <c r="G283" s="1180">
        <f t="shared" si="281"/>
        <v>1995</v>
      </c>
      <c r="H283" s="1180">
        <f t="shared" si="281"/>
        <v>1996</v>
      </c>
      <c r="I283" s="1180">
        <f t="shared" si="281"/>
        <v>1997</v>
      </c>
      <c r="J283" s="1180">
        <f t="shared" si="281"/>
        <v>1998</v>
      </c>
      <c r="K283" s="1180">
        <f t="shared" si="281"/>
        <v>1999</v>
      </c>
      <c r="L283" s="1180">
        <f t="shared" si="281"/>
        <v>2000</v>
      </c>
      <c r="M283" s="1180">
        <f t="shared" si="281"/>
        <v>2001</v>
      </c>
      <c r="N283" s="1180">
        <f t="shared" si="281"/>
        <v>2002</v>
      </c>
      <c r="O283" s="1180">
        <f t="shared" si="281"/>
        <v>2003</v>
      </c>
      <c r="P283" s="1180">
        <f t="shared" ref="P283:AG283" si="282">+P$5</f>
        <v>2004</v>
      </c>
      <c r="Q283" s="1180">
        <f t="shared" si="282"/>
        <v>2005</v>
      </c>
      <c r="R283" s="1180">
        <f t="shared" si="282"/>
        <v>2006</v>
      </c>
      <c r="S283" s="1181">
        <f t="shared" si="282"/>
        <v>2007</v>
      </c>
      <c r="T283" s="1181">
        <f t="shared" si="282"/>
        <v>2008</v>
      </c>
      <c r="U283" s="1181">
        <f t="shared" si="282"/>
        <v>2009</v>
      </c>
      <c r="V283" s="1181">
        <f t="shared" si="282"/>
        <v>2010</v>
      </c>
      <c r="W283" s="1181">
        <f t="shared" si="282"/>
        <v>2011</v>
      </c>
      <c r="X283" s="1181">
        <f t="shared" si="282"/>
        <v>2012</v>
      </c>
      <c r="Y283" s="1181">
        <f t="shared" si="282"/>
        <v>2013</v>
      </c>
      <c r="Z283" s="1181">
        <f t="shared" si="282"/>
        <v>2014</v>
      </c>
      <c r="AA283" s="1181">
        <f t="shared" si="282"/>
        <v>2015</v>
      </c>
      <c r="AB283" s="1181">
        <f t="shared" si="282"/>
        <v>2016</v>
      </c>
      <c r="AC283" s="1181">
        <f t="shared" si="282"/>
        <v>2017</v>
      </c>
      <c r="AD283" s="1181">
        <f t="shared" si="282"/>
        <v>2018</v>
      </c>
      <c r="AE283" s="1181">
        <f t="shared" si="282"/>
        <v>2019</v>
      </c>
      <c r="AF283" s="1181">
        <f t="shared" si="282"/>
        <v>2020</v>
      </c>
      <c r="AG283" s="1181">
        <f t="shared" si="282"/>
        <v>2021</v>
      </c>
      <c r="AH283" s="1181"/>
      <c r="AI283" s="852"/>
      <c r="AJ283" s="852"/>
      <c r="AK283" s="853"/>
      <c r="AL283" s="852"/>
      <c r="AM283" s="853"/>
      <c r="AN283" s="852"/>
      <c r="AO283" s="853"/>
      <c r="AP283" s="852"/>
      <c r="AQ283" s="852"/>
      <c r="AR283" s="852"/>
      <c r="AS283" s="852"/>
      <c r="AT283" s="852"/>
      <c r="AU283" s="852"/>
      <c r="AV283" s="852"/>
      <c r="AW283" s="852"/>
      <c r="AX283" s="852"/>
      <c r="AY283" s="852"/>
      <c r="AZ283" s="852"/>
    </row>
    <row r="284" spans="1:52" hidden="1" outlineLevel="1">
      <c r="A284" s="862"/>
      <c r="B284" s="852"/>
      <c r="C284" s="852"/>
      <c r="D284" s="852"/>
      <c r="E284" s="852"/>
      <c r="F284" s="852"/>
      <c r="G284" s="852"/>
      <c r="H284" s="852"/>
      <c r="I284" s="852"/>
      <c r="J284" s="852"/>
      <c r="K284" s="852"/>
      <c r="L284" s="852"/>
      <c r="M284" s="852"/>
      <c r="N284" s="852"/>
      <c r="O284" s="852"/>
      <c r="P284" s="852"/>
      <c r="Q284" s="852"/>
      <c r="R284" s="852"/>
      <c r="S284" s="852"/>
      <c r="T284" s="852"/>
      <c r="U284" s="852"/>
      <c r="V284" s="852"/>
      <c r="W284" s="852"/>
      <c r="X284" s="852"/>
      <c r="Y284" s="852"/>
      <c r="Z284" s="852"/>
      <c r="AA284" s="852"/>
      <c r="AB284" s="852"/>
      <c r="AC284" s="852"/>
      <c r="AD284" s="852"/>
      <c r="AE284" s="852"/>
      <c r="AF284" s="852"/>
      <c r="AG284" s="852"/>
      <c r="AH284" s="852"/>
      <c r="AI284" s="852"/>
      <c r="AJ284" s="852"/>
      <c r="AK284" s="853"/>
      <c r="AL284" s="852"/>
      <c r="AM284" s="853"/>
      <c r="AN284" s="852"/>
      <c r="AO284" s="853"/>
      <c r="AP284" s="852"/>
      <c r="AQ284" s="852"/>
      <c r="AR284" s="852"/>
      <c r="AS284" s="852"/>
      <c r="AT284" s="852"/>
      <c r="AU284" s="852"/>
      <c r="AV284" s="852"/>
      <c r="AW284" s="852"/>
      <c r="AX284" s="852"/>
      <c r="AY284" s="852"/>
      <c r="AZ284" s="852"/>
    </row>
    <row r="285" spans="1:52" hidden="1" outlineLevel="1">
      <c r="A285" s="1182" t="s">
        <v>816</v>
      </c>
      <c r="B285" s="852"/>
      <c r="C285" s="852"/>
      <c r="D285" s="1184">
        <f>+'segSales&amp;comps'!$Q$32</f>
        <v>0</v>
      </c>
      <c r="E285" s="1184">
        <f>+'segSales&amp;comps'!$Q$39</f>
        <v>210.36600000000001</v>
      </c>
      <c r="F285" s="1184">
        <f>+'segSales&amp;comps'!$Q$46</f>
        <v>281.85700000000003</v>
      </c>
      <c r="G285" s="1184">
        <f>+'segSales&amp;comps'!$Q$53</f>
        <v>345.85299999999995</v>
      </c>
      <c r="H285" s="1184">
        <f>+'segSales&amp;comps'!$Q$60</f>
        <v>397.34100000000001</v>
      </c>
      <c r="I285" s="1184">
        <f>+'segSales&amp;comps'!$Q$67</f>
        <v>421.26900000000001</v>
      </c>
      <c r="J285" s="1184">
        <f>+'segSales&amp;comps'!$Q$74</f>
        <v>462.47399999999999</v>
      </c>
      <c r="K285" s="1184">
        <f>+'segSales&amp;comps'!$Q$81</f>
        <v>589.60699999999997</v>
      </c>
      <c r="L285" s="1184">
        <f>+'segSales&amp;comps'!$Q$88</f>
        <v>679.27399999999989</v>
      </c>
      <c r="M285" s="1184">
        <f>+'segSales&amp;comps'!$Q$95</f>
        <v>659.02800000000002</v>
      </c>
      <c r="N285" s="1184">
        <f>+'segSales&amp;comps'!$Q$102</f>
        <v>683.48900000000003</v>
      </c>
      <c r="O285" s="1184">
        <f>+'segSales&amp;comps'!$Q$109</f>
        <v>781.572</v>
      </c>
      <c r="P285" s="1184">
        <f>+'segSales&amp;comps'!$Q$116</f>
        <v>857.3599999999999</v>
      </c>
      <c r="Q285" s="1184">
        <f>+'segSales&amp;comps'!$Q$123</f>
        <v>900.68900000000008</v>
      </c>
      <c r="R285" s="1184">
        <f>+'segSales&amp;comps'!$Q$130</f>
        <v>1010.6270000000001</v>
      </c>
      <c r="S285" s="1184">
        <f>+'segSales&amp;comps'!$Q$137</f>
        <v>1200.442</v>
      </c>
      <c r="T285" s="1185">
        <v>1285</v>
      </c>
      <c r="U285" s="1185">
        <v>1430</v>
      </c>
      <c r="V285" s="1185">
        <v>1555</v>
      </c>
      <c r="W285" s="1185">
        <v>1680</v>
      </c>
      <c r="X285" s="1185">
        <v>1680</v>
      </c>
      <c r="Y285" s="1185">
        <v>1680</v>
      </c>
      <c r="Z285" s="1185">
        <v>1680</v>
      </c>
      <c r="AA285" s="1185">
        <v>1680</v>
      </c>
      <c r="AB285" s="1185">
        <v>1680</v>
      </c>
      <c r="AC285" s="1185">
        <v>1680</v>
      </c>
      <c r="AD285" s="1185">
        <v>1680</v>
      </c>
      <c r="AE285" s="1185">
        <v>1680</v>
      </c>
      <c r="AF285" s="1185">
        <v>1680</v>
      </c>
      <c r="AG285" s="1185">
        <v>1680</v>
      </c>
      <c r="AH285" s="1185"/>
      <c r="AI285" s="852"/>
      <c r="AJ285" s="852"/>
      <c r="AK285" s="853"/>
      <c r="AL285" s="852"/>
      <c r="AM285" s="853"/>
      <c r="AN285" s="852"/>
      <c r="AO285" s="853"/>
      <c r="AP285" s="852"/>
      <c r="AQ285" s="852"/>
      <c r="AR285" s="852"/>
      <c r="AS285" s="852"/>
      <c r="AT285" s="852"/>
      <c r="AU285" s="852"/>
      <c r="AV285" s="852"/>
      <c r="AW285" s="852"/>
      <c r="AX285" s="852"/>
      <c r="AY285" s="852"/>
      <c r="AZ285" s="852"/>
    </row>
    <row r="286" spans="1:52" hidden="1" outlineLevel="1">
      <c r="A286" s="1182" t="s">
        <v>1971</v>
      </c>
      <c r="B286" s="852"/>
      <c r="C286" s="852"/>
      <c r="D286" s="852"/>
      <c r="E286" s="852"/>
      <c r="F286" s="1198">
        <f>F285/E285-1</f>
        <v>0.33984103895116125</v>
      </c>
      <c r="G286" s="1198">
        <f>G285/F285-1</f>
        <v>0.22705130615879665</v>
      </c>
      <c r="H286" s="1198">
        <f>H285/G285-1</f>
        <v>0.14887249785313439</v>
      </c>
      <c r="I286" s="1198">
        <f>I285/H285-1</f>
        <v>6.0220314540910591E-2</v>
      </c>
      <c r="J286" s="1198">
        <f t="shared" ref="J286:R286" si="283">J285/I285-1</f>
        <v>9.7811612057853825E-2</v>
      </c>
      <c r="K286" s="1198">
        <f t="shared" si="283"/>
        <v>0.27489761586597306</v>
      </c>
      <c r="L286" s="1198">
        <f t="shared" si="283"/>
        <v>0.15207926635877778</v>
      </c>
      <c r="M286" s="1198">
        <f t="shared" si="283"/>
        <v>-2.9805351007104464E-2</v>
      </c>
      <c r="N286" s="1198">
        <f t="shared" si="283"/>
        <v>3.7116784112359413E-2</v>
      </c>
      <c r="O286" s="1198">
        <f t="shared" si="283"/>
        <v>0.14350340678489326</v>
      </c>
      <c r="P286" s="1198">
        <f t="shared" si="283"/>
        <v>9.6968673391574889E-2</v>
      </c>
      <c r="Q286" s="1198">
        <f t="shared" si="283"/>
        <v>5.0537697116730618E-2</v>
      </c>
      <c r="R286" s="1198">
        <f t="shared" si="283"/>
        <v>0.12205988970665782</v>
      </c>
      <c r="S286" s="1198">
        <f t="shared" ref="S286:AA286" si="284">S285/R285-1</f>
        <v>0.18781904698766194</v>
      </c>
      <c r="T286" s="1198">
        <f t="shared" si="284"/>
        <v>7.0439054948094215E-2</v>
      </c>
      <c r="U286" s="1198">
        <f t="shared" si="284"/>
        <v>0.11284046692607008</v>
      </c>
      <c r="V286" s="1198">
        <f t="shared" si="284"/>
        <v>8.7412587412587506E-2</v>
      </c>
      <c r="W286" s="1198">
        <f t="shared" si="284"/>
        <v>8.0385852090032239E-2</v>
      </c>
      <c r="X286" s="1198">
        <f t="shared" si="284"/>
        <v>0</v>
      </c>
      <c r="Y286" s="1198">
        <f t="shared" si="284"/>
        <v>0</v>
      </c>
      <c r="Z286" s="1198">
        <f t="shared" si="284"/>
        <v>0</v>
      </c>
      <c r="AA286" s="1198">
        <f t="shared" si="284"/>
        <v>0</v>
      </c>
      <c r="AB286" s="1198">
        <f t="shared" ref="AB286:AG286" si="285">AB285/AA285-1</f>
        <v>0</v>
      </c>
      <c r="AC286" s="1198">
        <f t="shared" si="285"/>
        <v>0</v>
      </c>
      <c r="AD286" s="1198">
        <f t="shared" si="285"/>
        <v>0</v>
      </c>
      <c r="AE286" s="1198">
        <f t="shared" si="285"/>
        <v>0</v>
      </c>
      <c r="AF286" s="1198">
        <f t="shared" si="285"/>
        <v>0</v>
      </c>
      <c r="AG286" s="1198">
        <f t="shared" si="285"/>
        <v>0</v>
      </c>
      <c r="AH286" s="1198"/>
      <c r="AI286" s="852"/>
      <c r="AJ286" s="852"/>
      <c r="AK286" s="853"/>
      <c r="AL286" s="852"/>
      <c r="AM286" s="853"/>
      <c r="AN286" s="852"/>
      <c r="AO286" s="853"/>
      <c r="AP286" s="852"/>
      <c r="AQ286" s="852"/>
      <c r="AR286" s="852"/>
      <c r="AS286" s="852"/>
      <c r="AT286" s="852"/>
      <c r="AU286" s="852"/>
      <c r="AV286" s="852"/>
      <c r="AW286" s="852"/>
      <c r="AX286" s="852"/>
      <c r="AY286" s="852"/>
      <c r="AZ286" s="852"/>
    </row>
    <row r="287" spans="1:52" hidden="1" outlineLevel="1">
      <c r="A287" s="862"/>
      <c r="B287" s="852"/>
      <c r="C287" s="852"/>
      <c r="D287" s="852"/>
      <c r="E287" s="852"/>
      <c r="F287" s="852"/>
      <c r="G287" s="852"/>
      <c r="H287" s="852"/>
      <c r="I287" s="852"/>
      <c r="J287" s="852"/>
      <c r="K287" s="852"/>
      <c r="L287" s="852"/>
      <c r="M287" s="852"/>
      <c r="N287" s="852"/>
      <c r="O287" s="852"/>
      <c r="P287" s="852"/>
      <c r="Q287" s="852"/>
      <c r="R287" s="852"/>
      <c r="S287" s="852"/>
      <c r="T287" s="852"/>
      <c r="U287" s="852"/>
      <c r="V287" s="852"/>
      <c r="W287" s="852"/>
      <c r="X287" s="852"/>
      <c r="Y287" s="852"/>
      <c r="Z287" s="852"/>
      <c r="AA287" s="852"/>
      <c r="AB287" s="852"/>
      <c r="AC287" s="852"/>
      <c r="AD287" s="852"/>
      <c r="AE287" s="852"/>
      <c r="AF287" s="852"/>
      <c r="AG287" s="852"/>
      <c r="AH287" s="852"/>
      <c r="AI287" s="852"/>
      <c r="AJ287" s="852"/>
      <c r="AK287" s="853"/>
      <c r="AL287" s="852"/>
      <c r="AM287" s="853"/>
      <c r="AN287" s="852"/>
      <c r="AO287" s="853"/>
      <c r="AP287" s="852"/>
      <c r="AQ287" s="852"/>
      <c r="AR287" s="852"/>
      <c r="AS287" s="852"/>
      <c r="AT287" s="852"/>
      <c r="AU287" s="852"/>
      <c r="AV287" s="852"/>
      <c r="AW287" s="852"/>
      <c r="AX287" s="852"/>
      <c r="AY287" s="852"/>
      <c r="AZ287" s="852"/>
    </row>
    <row r="288" spans="1:52" hidden="1" outlineLevel="1">
      <c r="A288" s="1182" t="s">
        <v>1972</v>
      </c>
      <c r="B288" s="852"/>
      <c r="C288" s="852"/>
      <c r="D288" s="852"/>
      <c r="E288" s="852"/>
      <c r="F288" s="852"/>
      <c r="G288" s="852"/>
      <c r="H288" s="852"/>
      <c r="I288" s="852"/>
      <c r="J288" s="852"/>
      <c r="K288" s="852"/>
      <c r="L288" s="852"/>
      <c r="M288" s="852"/>
      <c r="N288" s="852"/>
      <c r="O288" s="852"/>
      <c r="P288" s="852"/>
      <c r="Q288" s="852"/>
      <c r="R288" s="852"/>
      <c r="S288" s="852"/>
      <c r="T288" s="852"/>
      <c r="U288" s="852"/>
      <c r="V288" s="852"/>
      <c r="W288" s="852"/>
      <c r="X288" s="852"/>
      <c r="Y288" s="852"/>
      <c r="Z288" s="852"/>
      <c r="AA288" s="852"/>
      <c r="AB288" s="852"/>
      <c r="AC288" s="852"/>
      <c r="AD288" s="852"/>
      <c r="AE288" s="852"/>
      <c r="AF288" s="852"/>
      <c r="AG288" s="852"/>
      <c r="AH288" s="852"/>
      <c r="AI288" s="852"/>
      <c r="AJ288" s="852"/>
      <c r="AK288" s="853"/>
      <c r="AL288" s="852"/>
      <c r="AM288" s="853"/>
      <c r="AN288" s="852"/>
      <c r="AO288" s="853"/>
      <c r="AP288" s="852"/>
      <c r="AQ288" s="852"/>
      <c r="AR288" s="852"/>
      <c r="AS288" s="852"/>
      <c r="AT288" s="852"/>
      <c r="AU288" s="852"/>
      <c r="AV288" s="852"/>
      <c r="AW288" s="852"/>
      <c r="AX288" s="852"/>
      <c r="AY288" s="852"/>
      <c r="AZ288" s="852"/>
    </row>
    <row r="289" spans="1:52" hidden="1" outlineLevel="1">
      <c r="A289" s="1202" t="s">
        <v>2007</v>
      </c>
      <c r="B289" s="1187"/>
      <c r="C289" s="1187"/>
      <c r="D289" s="1187">
        <f>Stores!$AA41</f>
        <v>0</v>
      </c>
      <c r="E289" s="1187">
        <f>Stores!$AA48</f>
        <v>7</v>
      </c>
      <c r="F289" s="1187">
        <f>Stores!$AA55</f>
        <v>37</v>
      </c>
      <c r="G289" s="1187">
        <f>Stores!$AA62</f>
        <v>37</v>
      </c>
      <c r="H289" s="1187">
        <f>Stores!$AA69</f>
        <v>38</v>
      </c>
      <c r="I289" s="1187">
        <f>+H302</f>
        <v>39</v>
      </c>
      <c r="J289" s="1187">
        <f t="shared" ref="J289:Q289" si="286">+I302</f>
        <v>42</v>
      </c>
      <c r="K289" s="1187">
        <f t="shared" si="286"/>
        <v>44</v>
      </c>
      <c r="L289" s="1187">
        <f t="shared" si="286"/>
        <v>44</v>
      </c>
      <c r="M289" s="1187">
        <f t="shared" si="286"/>
        <v>44</v>
      </c>
      <c r="N289" s="1187">
        <f t="shared" si="286"/>
        <v>47</v>
      </c>
      <c r="O289" s="1187">
        <f t="shared" si="286"/>
        <v>48</v>
      </c>
      <c r="P289" s="1187">
        <f t="shared" si="286"/>
        <v>50</v>
      </c>
      <c r="Q289" s="1187">
        <f t="shared" si="286"/>
        <v>53</v>
      </c>
      <c r="R289" s="1187">
        <f t="shared" ref="R289:AA292" si="287">+Q302</f>
        <v>50</v>
      </c>
      <c r="S289" s="1187">
        <f>+R302</f>
        <v>52</v>
      </c>
      <c r="T289" s="1187">
        <f t="shared" si="287"/>
        <v>53</v>
      </c>
      <c r="U289" s="1187">
        <f t="shared" si="287"/>
        <v>57</v>
      </c>
      <c r="V289" s="1187">
        <f t="shared" si="287"/>
        <v>57</v>
      </c>
      <c r="W289" s="1187">
        <f t="shared" si="287"/>
        <v>56</v>
      </c>
      <c r="X289" s="1187">
        <f t="shared" si="287"/>
        <v>57</v>
      </c>
      <c r="Y289" s="1187">
        <f t="shared" si="287"/>
        <v>57</v>
      </c>
      <c r="Z289" s="1187">
        <f t="shared" si="287"/>
        <v>57</v>
      </c>
      <c r="AA289" s="1187">
        <f t="shared" si="287"/>
        <v>57</v>
      </c>
      <c r="AB289" s="1187">
        <f t="shared" ref="AB289:AG292" si="288">+AA302</f>
        <v>57</v>
      </c>
      <c r="AC289" s="1187">
        <f t="shared" si="288"/>
        <v>57</v>
      </c>
      <c r="AD289" s="1187">
        <f t="shared" si="288"/>
        <v>57</v>
      </c>
      <c r="AE289" s="1187">
        <f t="shared" si="288"/>
        <v>57</v>
      </c>
      <c r="AF289" s="1187">
        <f t="shared" si="288"/>
        <v>57</v>
      </c>
      <c r="AG289" s="1187">
        <f t="shared" si="288"/>
        <v>57</v>
      </c>
      <c r="AH289" s="1187"/>
      <c r="AI289" s="852"/>
      <c r="AJ289" s="852"/>
      <c r="AK289" s="853"/>
      <c r="AL289" s="852"/>
      <c r="AM289" s="853"/>
      <c r="AN289" s="852"/>
      <c r="AO289" s="853"/>
      <c r="AP289" s="852"/>
      <c r="AQ289" s="852"/>
      <c r="AR289" s="852"/>
      <c r="AS289" s="852"/>
      <c r="AT289" s="852"/>
      <c r="AU289" s="852"/>
      <c r="AV289" s="852"/>
      <c r="AW289" s="852"/>
      <c r="AX289" s="852"/>
      <c r="AY289" s="852"/>
      <c r="AZ289" s="852"/>
    </row>
    <row r="290" spans="1:52" hidden="1" outlineLevel="1">
      <c r="A290" s="1202" t="s">
        <v>1580</v>
      </c>
      <c r="B290" s="1187"/>
      <c r="C290" s="1187"/>
      <c r="D290" s="1187">
        <f>Stores!$AD41</f>
        <v>4</v>
      </c>
      <c r="E290" s="1187">
        <f>Stores!$AD48</f>
        <v>4</v>
      </c>
      <c r="F290" s="1187">
        <f>Stores!$AD55</f>
        <v>5</v>
      </c>
      <c r="G290" s="1187">
        <f>Stores!$AD62</f>
        <v>7</v>
      </c>
      <c r="H290" s="1187">
        <f>Stores!$AD69</f>
        <v>9</v>
      </c>
      <c r="I290" s="1187">
        <f t="shared" ref="I290:Q290" si="289">+H303</f>
        <v>12</v>
      </c>
      <c r="J290" s="1187">
        <f t="shared" si="289"/>
        <v>17</v>
      </c>
      <c r="K290" s="1187">
        <f t="shared" si="289"/>
        <v>17</v>
      </c>
      <c r="L290" s="1187">
        <f t="shared" si="289"/>
        <v>17</v>
      </c>
      <c r="M290" s="1187">
        <f t="shared" si="289"/>
        <v>21</v>
      </c>
      <c r="N290" s="1187">
        <f t="shared" si="289"/>
        <v>20</v>
      </c>
      <c r="O290" s="1187">
        <f t="shared" si="289"/>
        <v>20</v>
      </c>
      <c r="P290" s="1187">
        <f t="shared" si="289"/>
        <v>22</v>
      </c>
      <c r="Q290" s="1187">
        <f t="shared" si="289"/>
        <v>24</v>
      </c>
      <c r="R290" s="1187">
        <f t="shared" si="287"/>
        <v>25</v>
      </c>
      <c r="S290" s="1187">
        <f t="shared" si="287"/>
        <v>28</v>
      </c>
      <c r="T290" s="1187">
        <f t="shared" si="287"/>
        <v>34</v>
      </c>
      <c r="U290" s="1187">
        <f t="shared" si="287"/>
        <v>39</v>
      </c>
      <c r="V290" s="1187">
        <f t="shared" si="287"/>
        <v>45</v>
      </c>
      <c r="W290" s="1187">
        <f t="shared" si="287"/>
        <v>52</v>
      </c>
      <c r="X290" s="1187">
        <f t="shared" si="287"/>
        <v>58</v>
      </c>
      <c r="Y290" s="1187">
        <f t="shared" si="287"/>
        <v>64</v>
      </c>
      <c r="Z290" s="1187">
        <f t="shared" si="287"/>
        <v>70</v>
      </c>
      <c r="AA290" s="1187">
        <f t="shared" si="287"/>
        <v>76</v>
      </c>
      <c r="AB290" s="1187">
        <f t="shared" si="288"/>
        <v>82</v>
      </c>
      <c r="AC290" s="1187">
        <f t="shared" si="288"/>
        <v>88</v>
      </c>
      <c r="AD290" s="1187">
        <f t="shared" si="288"/>
        <v>94</v>
      </c>
      <c r="AE290" s="1187">
        <f t="shared" si="288"/>
        <v>100</v>
      </c>
      <c r="AF290" s="1187">
        <f t="shared" si="288"/>
        <v>106</v>
      </c>
      <c r="AG290" s="1187">
        <f t="shared" si="288"/>
        <v>112</v>
      </c>
      <c r="AH290" s="1187"/>
      <c r="AI290" s="852"/>
      <c r="AJ290" s="852"/>
      <c r="AK290" s="853"/>
      <c r="AL290" s="852"/>
      <c r="AM290" s="853"/>
      <c r="AN290" s="852"/>
      <c r="AO290" s="853"/>
      <c r="AP290" s="852"/>
      <c r="AQ290" s="852"/>
      <c r="AR290" s="852"/>
      <c r="AS290" s="852"/>
      <c r="AT290" s="852"/>
      <c r="AU290" s="852"/>
      <c r="AV290" s="852"/>
      <c r="AW290" s="852"/>
      <c r="AX290" s="852"/>
      <c r="AY290" s="852"/>
      <c r="AZ290" s="852"/>
    </row>
    <row r="291" spans="1:52" hidden="1" outlineLevel="1">
      <c r="A291" s="1202" t="s">
        <v>2008</v>
      </c>
      <c r="B291" s="1187"/>
      <c r="C291" s="1187"/>
      <c r="D291" s="1187">
        <f>Stores!$M41</f>
        <v>7</v>
      </c>
      <c r="E291" s="1187">
        <f>Stores!$M48</f>
        <v>7</v>
      </c>
      <c r="F291" s="1187">
        <f>Stores!$M55</f>
        <v>6</v>
      </c>
      <c r="G291" s="1187">
        <f>Stores!$M62</f>
        <v>6</v>
      </c>
      <c r="H291" s="1187">
        <f>Stores!$M69</f>
        <v>6</v>
      </c>
      <c r="I291" s="1187">
        <f t="shared" ref="I291:Q291" si="290">+H304</f>
        <v>6</v>
      </c>
      <c r="J291" s="1187">
        <f t="shared" si="290"/>
        <v>7</v>
      </c>
      <c r="K291" s="1187">
        <f t="shared" si="290"/>
        <v>7</v>
      </c>
      <c r="L291" s="1187">
        <f t="shared" si="290"/>
        <v>8</v>
      </c>
      <c r="M291" s="1187">
        <f t="shared" si="290"/>
        <v>8</v>
      </c>
      <c r="N291" s="1187">
        <f t="shared" si="290"/>
        <v>10</v>
      </c>
      <c r="O291" s="1187">
        <f t="shared" si="290"/>
        <v>11</v>
      </c>
      <c r="P291" s="1187">
        <f t="shared" si="290"/>
        <v>11</v>
      </c>
      <c r="Q291" s="1187">
        <f t="shared" si="290"/>
        <v>12</v>
      </c>
      <c r="R291" s="1187">
        <f t="shared" si="287"/>
        <v>13</v>
      </c>
      <c r="S291" s="1187">
        <f t="shared" si="287"/>
        <v>14</v>
      </c>
      <c r="T291" s="1187">
        <f t="shared" si="287"/>
        <v>17</v>
      </c>
      <c r="U291" s="1187">
        <f t="shared" si="287"/>
        <v>24</v>
      </c>
      <c r="V291" s="1187">
        <f t="shared" si="287"/>
        <v>25</v>
      </c>
      <c r="W291" s="1187">
        <f t="shared" si="287"/>
        <v>27</v>
      </c>
      <c r="X291" s="1187">
        <f t="shared" si="287"/>
        <v>30</v>
      </c>
      <c r="Y291" s="1187">
        <f t="shared" si="287"/>
        <v>34</v>
      </c>
      <c r="Z291" s="1187">
        <f t="shared" si="287"/>
        <v>39</v>
      </c>
      <c r="AA291" s="1187">
        <f t="shared" si="287"/>
        <v>44</v>
      </c>
      <c r="AB291" s="1187">
        <f t="shared" si="288"/>
        <v>49</v>
      </c>
      <c r="AC291" s="1187">
        <f t="shared" si="288"/>
        <v>54</v>
      </c>
      <c r="AD291" s="1187">
        <f t="shared" si="288"/>
        <v>59</v>
      </c>
      <c r="AE291" s="1187">
        <f t="shared" si="288"/>
        <v>64</v>
      </c>
      <c r="AF291" s="1187">
        <f t="shared" si="288"/>
        <v>69</v>
      </c>
      <c r="AG291" s="1187">
        <f t="shared" si="288"/>
        <v>74</v>
      </c>
      <c r="AH291" s="1187"/>
      <c r="AI291" s="852"/>
      <c r="AJ291" s="852"/>
      <c r="AK291" s="853"/>
      <c r="AL291" s="852"/>
      <c r="AM291" s="853"/>
      <c r="AN291" s="852"/>
      <c r="AO291" s="853"/>
      <c r="AP291" s="852"/>
      <c r="AQ291" s="852"/>
      <c r="AR291" s="852"/>
      <c r="AS291" s="852"/>
      <c r="AT291" s="852"/>
      <c r="AU291" s="852"/>
      <c r="AV291" s="852"/>
      <c r="AW291" s="852"/>
      <c r="AX291" s="852"/>
      <c r="AY291" s="852"/>
      <c r="AZ291" s="852"/>
    </row>
    <row r="292" spans="1:52" hidden="1" outlineLevel="1">
      <c r="A292" s="1202" t="s">
        <v>1581</v>
      </c>
      <c r="B292" s="1187"/>
      <c r="C292" s="1187"/>
      <c r="D292" s="1187">
        <f>Stores!$K41</f>
        <v>1</v>
      </c>
      <c r="E292" s="1187">
        <f>Stores!$K48</f>
        <v>1</v>
      </c>
      <c r="F292" s="1187">
        <f>Stores!$K55</f>
        <v>1</v>
      </c>
      <c r="G292" s="1187">
        <f>Stores!$K62</f>
        <v>1</v>
      </c>
      <c r="H292" s="1187">
        <f>Stores!$K69</f>
        <v>1</v>
      </c>
      <c r="I292" s="1187">
        <f t="shared" ref="I292:P292" si="291">+H305</f>
        <v>1</v>
      </c>
      <c r="J292" s="1187">
        <f t="shared" si="291"/>
        <v>2</v>
      </c>
      <c r="K292" s="1187">
        <f t="shared" si="291"/>
        <v>2</v>
      </c>
      <c r="L292" s="1187">
        <f t="shared" si="291"/>
        <v>3</v>
      </c>
      <c r="M292" s="1187">
        <f t="shared" si="291"/>
        <v>4</v>
      </c>
      <c r="N292" s="1187">
        <f t="shared" si="291"/>
        <v>5</v>
      </c>
      <c r="O292" s="1187">
        <f t="shared" si="291"/>
        <v>5</v>
      </c>
      <c r="P292" s="1187">
        <f t="shared" si="291"/>
        <v>7</v>
      </c>
      <c r="Q292" s="1187">
        <f>+P305</f>
        <v>7</v>
      </c>
      <c r="R292" s="1187">
        <f t="shared" si="287"/>
        <v>7</v>
      </c>
      <c r="S292" s="1187">
        <f t="shared" si="287"/>
        <v>9</v>
      </c>
      <c r="T292" s="1187">
        <f>+S305</f>
        <v>10</v>
      </c>
      <c r="U292" s="1187">
        <f t="shared" si="287"/>
        <v>10</v>
      </c>
      <c r="V292" s="1187">
        <f t="shared" si="287"/>
        <v>12</v>
      </c>
      <c r="W292" s="1187">
        <f t="shared" si="287"/>
        <v>17</v>
      </c>
      <c r="X292" s="1187">
        <f t="shared" si="287"/>
        <v>19</v>
      </c>
      <c r="Y292" s="1187">
        <f t="shared" si="287"/>
        <v>21</v>
      </c>
      <c r="Z292" s="1187">
        <f t="shared" si="287"/>
        <v>23</v>
      </c>
      <c r="AA292" s="1187">
        <f t="shared" si="287"/>
        <v>25</v>
      </c>
      <c r="AB292" s="1187">
        <f t="shared" si="288"/>
        <v>27</v>
      </c>
      <c r="AC292" s="1187">
        <f t="shared" si="288"/>
        <v>29</v>
      </c>
      <c r="AD292" s="1187">
        <f t="shared" si="288"/>
        <v>31</v>
      </c>
      <c r="AE292" s="1187">
        <f t="shared" si="288"/>
        <v>33</v>
      </c>
      <c r="AF292" s="1187">
        <f t="shared" si="288"/>
        <v>35</v>
      </c>
      <c r="AG292" s="1187">
        <f t="shared" si="288"/>
        <v>37</v>
      </c>
      <c r="AH292" s="1187"/>
      <c r="AI292" s="852"/>
      <c r="AJ292" s="852"/>
      <c r="AK292" s="853"/>
      <c r="AL292" s="852"/>
      <c r="AM292" s="853"/>
      <c r="AN292" s="852"/>
      <c r="AO292" s="853"/>
      <c r="AP292" s="852"/>
      <c r="AQ292" s="852"/>
      <c r="AR292" s="852"/>
      <c r="AS292" s="852"/>
      <c r="AT292" s="852"/>
      <c r="AU292" s="852"/>
      <c r="AV292" s="852"/>
      <c r="AW292" s="852"/>
      <c r="AX292" s="852"/>
      <c r="AY292" s="852"/>
      <c r="AZ292" s="852"/>
    </row>
    <row r="293" spans="1:52" hidden="1" outlineLevel="1">
      <c r="A293" s="1182" t="s">
        <v>1387</v>
      </c>
      <c r="B293" s="852"/>
      <c r="C293" s="852"/>
      <c r="D293" s="1187">
        <f>SUM(D289:D292)</f>
        <v>12</v>
      </c>
      <c r="E293" s="1187">
        <f>SUM(E289:E292)</f>
        <v>19</v>
      </c>
      <c r="F293" s="1187">
        <f>SUM(F289:F292)</f>
        <v>49</v>
      </c>
      <c r="G293" s="1187">
        <f>SUM(G289:G292)</f>
        <v>51</v>
      </c>
      <c r="H293" s="1187">
        <f>SUM(H289:H292)</f>
        <v>54</v>
      </c>
      <c r="I293" s="1187">
        <f t="shared" ref="I293:AA293" si="292">SUM(I289:I292)</f>
        <v>58</v>
      </c>
      <c r="J293" s="1187">
        <f>SUM(J289:J292)</f>
        <v>68</v>
      </c>
      <c r="K293" s="1187">
        <f t="shared" si="292"/>
        <v>70</v>
      </c>
      <c r="L293" s="1187">
        <f t="shared" si="292"/>
        <v>72</v>
      </c>
      <c r="M293" s="1187">
        <f t="shared" si="292"/>
        <v>77</v>
      </c>
      <c r="N293" s="1187">
        <f t="shared" si="292"/>
        <v>82</v>
      </c>
      <c r="O293" s="1187">
        <f t="shared" si="292"/>
        <v>84</v>
      </c>
      <c r="P293" s="1187">
        <f t="shared" si="292"/>
        <v>90</v>
      </c>
      <c r="Q293" s="1187">
        <f t="shared" si="292"/>
        <v>96</v>
      </c>
      <c r="R293" s="1187">
        <f t="shared" si="292"/>
        <v>95</v>
      </c>
      <c r="S293" s="1187">
        <f>SUM(S289:S292)</f>
        <v>103</v>
      </c>
      <c r="T293" s="1187">
        <f t="shared" si="292"/>
        <v>114</v>
      </c>
      <c r="U293" s="1187">
        <f t="shared" si="292"/>
        <v>130</v>
      </c>
      <c r="V293" s="1187">
        <f t="shared" si="292"/>
        <v>139</v>
      </c>
      <c r="W293" s="1187">
        <f t="shared" si="292"/>
        <v>152</v>
      </c>
      <c r="X293" s="1187">
        <f t="shared" si="292"/>
        <v>164</v>
      </c>
      <c r="Y293" s="1187">
        <f t="shared" si="292"/>
        <v>176</v>
      </c>
      <c r="Z293" s="1187">
        <f t="shared" si="292"/>
        <v>189</v>
      </c>
      <c r="AA293" s="1187">
        <f t="shared" si="292"/>
        <v>202</v>
      </c>
      <c r="AB293" s="1187">
        <f t="shared" ref="AB293:AG293" si="293">SUM(AB289:AB292)</f>
        <v>215</v>
      </c>
      <c r="AC293" s="1187">
        <f t="shared" si="293"/>
        <v>228</v>
      </c>
      <c r="AD293" s="1187">
        <f t="shared" si="293"/>
        <v>241</v>
      </c>
      <c r="AE293" s="1187">
        <f t="shared" si="293"/>
        <v>254</v>
      </c>
      <c r="AF293" s="1187">
        <f t="shared" si="293"/>
        <v>267</v>
      </c>
      <c r="AG293" s="1187">
        <f t="shared" si="293"/>
        <v>280</v>
      </c>
      <c r="AH293" s="1187"/>
      <c r="AI293" s="852"/>
      <c r="AJ293" s="852"/>
      <c r="AK293" s="853"/>
      <c r="AL293" s="852"/>
      <c r="AM293" s="853"/>
      <c r="AN293" s="852"/>
      <c r="AO293" s="853"/>
      <c r="AP293" s="852"/>
      <c r="AQ293" s="852"/>
      <c r="AR293" s="852"/>
      <c r="AS293" s="852"/>
      <c r="AT293" s="852"/>
      <c r="AU293" s="852"/>
      <c r="AV293" s="852"/>
      <c r="AW293" s="852"/>
      <c r="AX293" s="852"/>
      <c r="AY293" s="852"/>
      <c r="AZ293" s="852"/>
    </row>
    <row r="294" spans="1:52" hidden="1" outlineLevel="1">
      <c r="A294" s="1182"/>
      <c r="B294" s="852"/>
      <c r="C294" s="852"/>
      <c r="D294" s="852"/>
      <c r="E294" s="852"/>
      <c r="F294" s="852"/>
      <c r="G294" s="852"/>
      <c r="H294" s="1187"/>
      <c r="I294" s="852"/>
      <c r="J294" s="852"/>
      <c r="K294" s="852"/>
      <c r="L294" s="852"/>
      <c r="M294" s="852"/>
      <c r="N294" s="852"/>
      <c r="O294" s="852"/>
      <c r="P294" s="852"/>
      <c r="Q294" s="852"/>
      <c r="R294" s="852"/>
      <c r="S294" s="852"/>
      <c r="T294" s="852"/>
      <c r="U294" s="852"/>
      <c r="V294" s="852"/>
      <c r="W294" s="852"/>
      <c r="X294" s="852"/>
      <c r="Y294" s="852"/>
      <c r="Z294" s="852"/>
      <c r="AA294" s="852"/>
      <c r="AB294" s="852"/>
      <c r="AC294" s="852"/>
      <c r="AD294" s="852"/>
      <c r="AE294" s="852"/>
      <c r="AF294" s="852"/>
      <c r="AG294" s="852"/>
      <c r="AH294" s="852"/>
      <c r="AI294" s="852"/>
      <c r="AJ294" s="852"/>
      <c r="AK294" s="853"/>
      <c r="AL294" s="852"/>
      <c r="AM294" s="853"/>
      <c r="AN294" s="852"/>
      <c r="AO294" s="853"/>
      <c r="AP294" s="852"/>
      <c r="AQ294" s="852"/>
      <c r="AR294" s="852"/>
      <c r="AS294" s="852"/>
      <c r="AT294" s="852"/>
      <c r="AU294" s="852"/>
      <c r="AV294" s="852"/>
      <c r="AW294" s="852"/>
      <c r="AX294" s="852"/>
      <c r="AY294" s="852"/>
      <c r="AZ294" s="852"/>
    </row>
    <row r="295" spans="1:52" hidden="1" outlineLevel="1">
      <c r="A295" s="1188" t="s">
        <v>556</v>
      </c>
      <c r="B295" s="852"/>
      <c r="C295" s="852"/>
      <c r="D295" s="852"/>
      <c r="E295" s="852"/>
      <c r="F295" s="852"/>
      <c r="G295" s="858"/>
      <c r="H295" s="858"/>
      <c r="I295" s="858"/>
      <c r="J295" s="858"/>
      <c r="K295" s="858"/>
      <c r="L295" s="858"/>
      <c r="M295" s="858"/>
      <c r="N295" s="852"/>
      <c r="O295" s="852"/>
      <c r="P295" s="852"/>
      <c r="Q295" s="852"/>
      <c r="R295" s="852"/>
      <c r="S295" s="852"/>
      <c r="T295" s="852"/>
      <c r="U295" s="852"/>
      <c r="V295" s="852"/>
      <c r="W295" s="852"/>
      <c r="X295" s="852"/>
      <c r="Y295" s="852"/>
      <c r="Z295" s="852"/>
      <c r="AA295" s="852"/>
      <c r="AB295" s="852"/>
      <c r="AC295" s="852"/>
      <c r="AD295" s="852"/>
      <c r="AE295" s="852"/>
      <c r="AF295" s="852"/>
      <c r="AG295" s="852"/>
      <c r="AH295" s="852"/>
      <c r="AI295" s="852"/>
      <c r="AJ295" s="852"/>
      <c r="AK295" s="853"/>
      <c r="AL295" s="852"/>
      <c r="AM295" s="853"/>
      <c r="AN295" s="852"/>
      <c r="AO295" s="853"/>
      <c r="AP295" s="852"/>
      <c r="AQ295" s="852"/>
      <c r="AR295" s="852"/>
      <c r="AS295" s="852"/>
      <c r="AT295" s="852"/>
      <c r="AU295" s="852"/>
      <c r="AV295" s="852"/>
      <c r="AW295" s="852"/>
      <c r="AX295" s="852"/>
      <c r="AY295" s="852"/>
      <c r="AZ295" s="852"/>
    </row>
    <row r="296" spans="1:52" hidden="1" outlineLevel="1">
      <c r="A296" s="1202" t="s">
        <v>2007</v>
      </c>
      <c r="B296" s="1203">
        <f>Stores!$AB34</f>
        <v>0</v>
      </c>
      <c r="C296" s="1203">
        <f>Stores!$AB41</f>
        <v>0</v>
      </c>
      <c r="D296" s="1203">
        <f>Stores!$AB48</f>
        <v>7</v>
      </c>
      <c r="E296" s="1203">
        <f>Stores!$AB55</f>
        <v>30</v>
      </c>
      <c r="F296" s="1203">
        <f>Stores!$AB62</f>
        <v>0</v>
      </c>
      <c r="G296" s="1203">
        <f>Stores!$AB69</f>
        <v>1</v>
      </c>
      <c r="H296" s="1189">
        <f>+Stores!$AB76</f>
        <v>1</v>
      </c>
      <c r="I296" s="1189">
        <f>+Stores!$AB$83</f>
        <v>3</v>
      </c>
      <c r="J296" s="1189">
        <f>+Stores!$AB$90</f>
        <v>2</v>
      </c>
      <c r="K296" s="1189">
        <f>+Stores!$AB$97</f>
        <v>0</v>
      </c>
      <c r="L296" s="1189">
        <f>+Stores!$AB$104</f>
        <v>0</v>
      </c>
      <c r="M296" s="1189">
        <f>+Stores!$AB$111</f>
        <v>3</v>
      </c>
      <c r="N296" s="1189">
        <f>+Stores!$AB$118</f>
        <v>1</v>
      </c>
      <c r="O296" s="1189">
        <f>+Stores!$AB$125</f>
        <v>2</v>
      </c>
      <c r="P296" s="1189">
        <f>+Stores!$AB$132</f>
        <v>3</v>
      </c>
      <c r="Q296" s="1189">
        <f>Stores!AB139</f>
        <v>-3</v>
      </c>
      <c r="R296" s="1189">
        <f>Stores!AB146</f>
        <v>2</v>
      </c>
      <c r="S296" s="1189">
        <f>Stores!AB153</f>
        <v>1</v>
      </c>
      <c r="T296" s="1189">
        <f>Stores!AB160</f>
        <v>4</v>
      </c>
      <c r="U296" s="1189">
        <f>Stores!V251</f>
        <v>0</v>
      </c>
      <c r="V296" s="1189">
        <f>Stores!$V$258</f>
        <v>-1</v>
      </c>
      <c r="W296" s="1190">
        <v>1</v>
      </c>
      <c r="X296" s="1190">
        <v>0</v>
      </c>
      <c r="Y296" s="1190">
        <v>0</v>
      </c>
      <c r="Z296" s="1190">
        <v>0</v>
      </c>
      <c r="AA296" s="1190">
        <v>0</v>
      </c>
      <c r="AB296" s="1190">
        <v>0</v>
      </c>
      <c r="AC296" s="1190">
        <v>0</v>
      </c>
      <c r="AD296" s="1190">
        <v>0</v>
      </c>
      <c r="AE296" s="1190">
        <v>0</v>
      </c>
      <c r="AF296" s="1190">
        <v>0</v>
      </c>
      <c r="AG296" s="1190">
        <v>0</v>
      </c>
      <c r="AH296" s="1190"/>
      <c r="AI296" s="852"/>
      <c r="AJ296" s="852"/>
      <c r="AK296" s="853"/>
      <c r="AL296" s="852"/>
      <c r="AM296" s="853"/>
      <c r="AN296" s="852"/>
      <c r="AO296" s="853"/>
      <c r="AP296" s="852"/>
      <c r="AQ296" s="852"/>
      <c r="AR296" s="852"/>
      <c r="AS296" s="852"/>
      <c r="AT296" s="852"/>
      <c r="AU296" s="852"/>
      <c r="AV296" s="852"/>
      <c r="AW296" s="852"/>
      <c r="AX296" s="852"/>
      <c r="AY296" s="852"/>
      <c r="AZ296" s="852"/>
    </row>
    <row r="297" spans="1:52" hidden="1" outlineLevel="1">
      <c r="A297" s="1202" t="s">
        <v>1580</v>
      </c>
      <c r="B297" s="1204">
        <f>Stores!$AE34</f>
        <v>1</v>
      </c>
      <c r="C297" s="1204">
        <f>Stores!$AE41</f>
        <v>1</v>
      </c>
      <c r="D297" s="1204">
        <f>Stores!$AE48</f>
        <v>0</v>
      </c>
      <c r="E297" s="1204">
        <f>Stores!$AE55</f>
        <v>1</v>
      </c>
      <c r="F297" s="1204">
        <f>Stores!$AE62</f>
        <v>2</v>
      </c>
      <c r="G297" s="1204">
        <f>Stores!$AE69</f>
        <v>2</v>
      </c>
      <c r="H297" s="1189">
        <f>+Stores!$AE76</f>
        <v>3</v>
      </c>
      <c r="I297" s="1189">
        <f>+Stores!$AE$83</f>
        <v>5</v>
      </c>
      <c r="J297" s="1189">
        <f>+Stores!$AE$90</f>
        <v>0</v>
      </c>
      <c r="K297" s="1189">
        <f>+Stores!$AE$97</f>
        <v>0</v>
      </c>
      <c r="L297" s="1189">
        <f>+Stores!$AE$104</f>
        <v>4</v>
      </c>
      <c r="M297" s="1189">
        <f>+Stores!$AE$111</f>
        <v>-1</v>
      </c>
      <c r="N297" s="1189">
        <f>+Stores!$AE$118</f>
        <v>0</v>
      </c>
      <c r="O297" s="1189">
        <f>+Stores!$AE$125</f>
        <v>2</v>
      </c>
      <c r="P297" s="1189">
        <f>+Stores!$AE$132</f>
        <v>2</v>
      </c>
      <c r="Q297" s="1189">
        <f>Stores!AE139</f>
        <v>1</v>
      </c>
      <c r="R297" s="1189">
        <f>Stores!AE146</f>
        <v>3</v>
      </c>
      <c r="S297" s="1189">
        <f>Stores!AE153</f>
        <v>6</v>
      </c>
      <c r="T297" s="1189">
        <f>Stores!AE160</f>
        <v>5</v>
      </c>
      <c r="U297" s="1189">
        <f>Stores!AE167</f>
        <v>6</v>
      </c>
      <c r="V297" s="1189">
        <f>Stores!L258</f>
        <v>7</v>
      </c>
      <c r="W297" s="1190">
        <f>Stores!AE181</f>
        <v>6</v>
      </c>
      <c r="X297" s="1190">
        <v>6</v>
      </c>
      <c r="Y297" s="1190">
        <v>6</v>
      </c>
      <c r="Z297" s="1190">
        <v>6</v>
      </c>
      <c r="AA297" s="1190">
        <v>6</v>
      </c>
      <c r="AB297" s="1190">
        <v>6</v>
      </c>
      <c r="AC297" s="1190">
        <v>6</v>
      </c>
      <c r="AD297" s="1190">
        <v>6</v>
      </c>
      <c r="AE297" s="1190">
        <v>6</v>
      </c>
      <c r="AF297" s="1190">
        <v>6</v>
      </c>
      <c r="AG297" s="1190">
        <v>6</v>
      </c>
      <c r="AH297" s="1190"/>
      <c r="AI297" s="852"/>
      <c r="AJ297" s="852"/>
      <c r="AK297" s="853"/>
      <c r="AL297" s="852"/>
      <c r="AM297" s="853"/>
      <c r="AN297" s="852"/>
      <c r="AO297" s="853"/>
      <c r="AP297" s="852"/>
      <c r="AQ297" s="852"/>
      <c r="AR297" s="852"/>
      <c r="AS297" s="852"/>
      <c r="AT297" s="852"/>
      <c r="AU297" s="852"/>
      <c r="AV297" s="852"/>
      <c r="AW297" s="852"/>
      <c r="AX297" s="852"/>
      <c r="AY297" s="852"/>
      <c r="AZ297" s="852"/>
    </row>
    <row r="298" spans="1:52" hidden="1" outlineLevel="1">
      <c r="A298" s="1202" t="s">
        <v>2008</v>
      </c>
      <c r="B298" s="1203">
        <f>Stores!$N34</f>
        <v>0</v>
      </c>
      <c r="C298" s="1203">
        <f>Stores!$N41</f>
        <v>2</v>
      </c>
      <c r="D298" s="1203">
        <f>Stores!$N48</f>
        <v>0</v>
      </c>
      <c r="E298" s="1203">
        <f>Stores!$N55</f>
        <v>-1</v>
      </c>
      <c r="F298" s="1203">
        <f>Stores!$N62</f>
        <v>0</v>
      </c>
      <c r="G298" s="1203">
        <f>Stores!$N69</f>
        <v>0</v>
      </c>
      <c r="H298" s="1189">
        <f>+Stores!$N76</f>
        <v>0</v>
      </c>
      <c r="I298" s="1189">
        <f>+Stores!$N$83</f>
        <v>1</v>
      </c>
      <c r="J298" s="1189">
        <f>+Stores!$N$90</f>
        <v>0</v>
      </c>
      <c r="K298" s="1189">
        <f>+Stores!$N$97</f>
        <v>1</v>
      </c>
      <c r="L298" s="1189">
        <f>+Stores!$N$104</f>
        <v>0</v>
      </c>
      <c r="M298" s="1189">
        <f>+Stores!$N$111</f>
        <v>2</v>
      </c>
      <c r="N298" s="1189">
        <f>+Stores!$N$118</f>
        <v>1</v>
      </c>
      <c r="O298" s="1189">
        <f>+Stores!$N$125</f>
        <v>0</v>
      </c>
      <c r="P298" s="1189">
        <f>+Stores!$N$132</f>
        <v>1</v>
      </c>
      <c r="Q298" s="1189">
        <f>Stores!N139</f>
        <v>1</v>
      </c>
      <c r="R298" s="1189">
        <f>Stores!N146</f>
        <v>1</v>
      </c>
      <c r="S298" s="1189">
        <f>Stores!N153</f>
        <v>3</v>
      </c>
      <c r="T298" s="1189">
        <f>Stores!N160</f>
        <v>7</v>
      </c>
      <c r="U298" s="1189">
        <v>1</v>
      </c>
      <c r="V298" s="1189">
        <f>Stores!$AB$258</f>
        <v>2</v>
      </c>
      <c r="W298" s="1190">
        <v>3</v>
      </c>
      <c r="X298" s="1190">
        <v>4</v>
      </c>
      <c r="Y298" s="1190">
        <v>5</v>
      </c>
      <c r="Z298" s="1190">
        <v>5</v>
      </c>
      <c r="AA298" s="1190">
        <v>5</v>
      </c>
      <c r="AB298" s="1190">
        <v>5</v>
      </c>
      <c r="AC298" s="1190">
        <v>5</v>
      </c>
      <c r="AD298" s="1190">
        <v>5</v>
      </c>
      <c r="AE298" s="1190">
        <v>5</v>
      </c>
      <c r="AF298" s="1190">
        <v>5</v>
      </c>
      <c r="AG298" s="1190">
        <v>5</v>
      </c>
      <c r="AH298" s="1190"/>
      <c r="AI298" s="852"/>
      <c r="AJ298" s="852"/>
      <c r="AK298" s="853"/>
      <c r="AL298" s="852"/>
      <c r="AM298" s="853"/>
      <c r="AN298" s="852"/>
      <c r="AO298" s="853"/>
      <c r="AP298" s="852"/>
      <c r="AQ298" s="852"/>
      <c r="AR298" s="852"/>
      <c r="AS298" s="852"/>
      <c r="AT298" s="852"/>
      <c r="AU298" s="852"/>
      <c r="AV298" s="852"/>
      <c r="AW298" s="852"/>
      <c r="AX298" s="852"/>
      <c r="AY298" s="852"/>
      <c r="AZ298" s="852"/>
    </row>
    <row r="299" spans="1:52" hidden="1" outlineLevel="1">
      <c r="A299" s="1202" t="s">
        <v>1581</v>
      </c>
      <c r="B299" s="1203">
        <f>Stores!$L34</f>
        <v>0</v>
      </c>
      <c r="C299" s="1203">
        <f>Stores!$L41</f>
        <v>1</v>
      </c>
      <c r="D299" s="1203">
        <f>Stores!$L48</f>
        <v>0</v>
      </c>
      <c r="E299" s="1203">
        <f>Stores!$L55</f>
        <v>0</v>
      </c>
      <c r="F299" s="1203">
        <f>Stores!$L62</f>
        <v>0</v>
      </c>
      <c r="G299" s="1203">
        <f>Stores!$L69</f>
        <v>0</v>
      </c>
      <c r="H299" s="1189">
        <f>+Stores!$L76</f>
        <v>0</v>
      </c>
      <c r="I299" s="1189">
        <f>+Stores!$L$83</f>
        <v>1</v>
      </c>
      <c r="J299" s="1189">
        <f>+Stores!$L$90</f>
        <v>0</v>
      </c>
      <c r="K299" s="1189">
        <f>+Stores!$L$97</f>
        <v>1</v>
      </c>
      <c r="L299" s="1189">
        <f>+Stores!$L$104</f>
        <v>1</v>
      </c>
      <c r="M299" s="1189">
        <f>+Stores!$L$111</f>
        <v>1</v>
      </c>
      <c r="N299" s="1189">
        <f>+Stores!$L$118</f>
        <v>0</v>
      </c>
      <c r="O299" s="1189">
        <f>+Stores!$L$125</f>
        <v>2</v>
      </c>
      <c r="P299" s="1189">
        <f>+Stores!$L$132</f>
        <v>0</v>
      </c>
      <c r="Q299" s="1189">
        <f>Stores!L139</f>
        <v>0</v>
      </c>
      <c r="R299" s="1189">
        <f>Stores!L146</f>
        <v>2</v>
      </c>
      <c r="S299" s="1189">
        <f>Stores!L153</f>
        <v>1</v>
      </c>
      <c r="T299" s="1189">
        <f>Stores!L160</f>
        <v>0</v>
      </c>
      <c r="U299" s="1189">
        <v>2</v>
      </c>
      <c r="V299" s="1189">
        <f>Stores!$E$258</f>
        <v>5</v>
      </c>
      <c r="W299" s="1190">
        <f>Stores!L181</f>
        <v>2</v>
      </c>
      <c r="X299" s="1190">
        <v>2</v>
      </c>
      <c r="Y299" s="1190">
        <v>2</v>
      </c>
      <c r="Z299" s="1190">
        <v>2</v>
      </c>
      <c r="AA299" s="1190">
        <v>2</v>
      </c>
      <c r="AB299" s="1190">
        <v>2</v>
      </c>
      <c r="AC299" s="1190">
        <v>2</v>
      </c>
      <c r="AD299" s="1190">
        <v>2</v>
      </c>
      <c r="AE299" s="1190">
        <v>2</v>
      </c>
      <c r="AF299" s="1190">
        <v>2</v>
      </c>
      <c r="AG299" s="1190">
        <v>2</v>
      </c>
      <c r="AH299" s="1190"/>
      <c r="AI299" s="852"/>
      <c r="AJ299" s="852"/>
      <c r="AK299" s="853"/>
      <c r="AL299" s="852"/>
      <c r="AM299" s="853"/>
      <c r="AN299" s="852"/>
      <c r="AO299" s="853"/>
      <c r="AP299" s="852"/>
      <c r="AQ299" s="852"/>
      <c r="AR299" s="852"/>
      <c r="AS299" s="852"/>
      <c r="AT299" s="852"/>
      <c r="AU299" s="852"/>
      <c r="AV299" s="852"/>
      <c r="AW299" s="852"/>
      <c r="AX299" s="852"/>
      <c r="AY299" s="852"/>
      <c r="AZ299" s="852"/>
    </row>
    <row r="300" spans="1:52" hidden="1" outlineLevel="1">
      <c r="A300" s="1188"/>
      <c r="B300" s="852"/>
      <c r="C300" s="852"/>
      <c r="D300" s="852"/>
      <c r="E300" s="852"/>
      <c r="F300" s="852"/>
      <c r="G300" s="858"/>
      <c r="H300" s="858"/>
      <c r="I300" s="858"/>
      <c r="J300" s="858"/>
      <c r="K300" s="858"/>
      <c r="L300" s="858"/>
      <c r="M300" s="858"/>
      <c r="N300" s="852"/>
      <c r="O300" s="852"/>
      <c r="P300" s="852"/>
      <c r="Q300" s="852"/>
      <c r="R300" s="852"/>
      <c r="S300" s="852"/>
      <c r="T300" s="1187"/>
      <c r="U300" s="1187"/>
      <c r="V300" s="1187"/>
      <c r="W300" s="1187"/>
      <c r="X300" s="1187"/>
      <c r="Y300" s="1187"/>
      <c r="Z300" s="1187"/>
      <c r="AA300" s="1187"/>
      <c r="AB300" s="1187"/>
      <c r="AC300" s="1187"/>
      <c r="AD300" s="1187"/>
      <c r="AE300" s="1187"/>
      <c r="AF300" s="1187"/>
      <c r="AG300" s="1187"/>
      <c r="AH300" s="1187"/>
      <c r="AI300" s="852"/>
      <c r="AJ300" s="852"/>
      <c r="AK300" s="853"/>
      <c r="AL300" s="852"/>
      <c r="AM300" s="853"/>
      <c r="AN300" s="852"/>
      <c r="AO300" s="853"/>
      <c r="AP300" s="852"/>
      <c r="AQ300" s="852"/>
      <c r="AR300" s="852"/>
      <c r="AS300" s="852"/>
      <c r="AT300" s="852"/>
      <c r="AU300" s="852"/>
      <c r="AV300" s="852"/>
      <c r="AW300" s="852"/>
      <c r="AX300" s="852"/>
      <c r="AY300" s="852"/>
      <c r="AZ300" s="852"/>
    </row>
    <row r="301" spans="1:52" hidden="1" outlineLevel="1">
      <c r="A301" s="1182" t="s">
        <v>1973</v>
      </c>
      <c r="B301" s="852"/>
      <c r="C301" s="852"/>
      <c r="D301" s="852"/>
      <c r="E301" s="852"/>
      <c r="F301" s="852"/>
      <c r="G301" s="858"/>
      <c r="H301" s="858"/>
      <c r="I301" s="858"/>
      <c r="J301" s="858"/>
      <c r="K301" s="858"/>
      <c r="L301" s="858"/>
      <c r="M301" s="858"/>
      <c r="N301" s="852"/>
      <c r="O301" s="852"/>
      <c r="P301" s="852"/>
      <c r="Q301" s="852"/>
      <c r="R301" s="852"/>
      <c r="S301" s="852"/>
      <c r="T301" s="852"/>
      <c r="U301" s="852"/>
      <c r="V301" s="852"/>
      <c r="W301" s="852"/>
      <c r="X301" s="852"/>
      <c r="Y301" s="852"/>
      <c r="Z301" s="852"/>
      <c r="AA301" s="852"/>
      <c r="AB301" s="852"/>
      <c r="AC301" s="852"/>
      <c r="AD301" s="852"/>
      <c r="AE301" s="852"/>
      <c r="AF301" s="852"/>
      <c r="AG301" s="852"/>
      <c r="AH301" s="852"/>
      <c r="AI301" s="852"/>
      <c r="AJ301" s="852"/>
      <c r="AK301" s="853"/>
      <c r="AL301" s="852"/>
      <c r="AM301" s="853"/>
      <c r="AN301" s="852"/>
      <c r="AO301" s="853"/>
      <c r="AP301" s="852"/>
      <c r="AQ301" s="852"/>
      <c r="AR301" s="852"/>
      <c r="AS301" s="852"/>
      <c r="AT301" s="852"/>
      <c r="AU301" s="852"/>
      <c r="AV301" s="852"/>
      <c r="AW301" s="852"/>
      <c r="AX301" s="852"/>
      <c r="AY301" s="852"/>
      <c r="AZ301" s="852"/>
    </row>
    <row r="302" spans="1:52" hidden="1" outlineLevel="1">
      <c r="A302" s="1202" t="s">
        <v>2007</v>
      </c>
      <c r="B302" s="1187">
        <v>0</v>
      </c>
      <c r="C302" s="1187">
        <v>0</v>
      </c>
      <c r="D302" s="1187">
        <v>7</v>
      </c>
      <c r="E302" s="1187">
        <v>37</v>
      </c>
      <c r="F302" s="1187">
        <v>37</v>
      </c>
      <c r="G302" s="1187">
        <v>38</v>
      </c>
      <c r="H302" s="1187">
        <f>+H289+H296</f>
        <v>39</v>
      </c>
      <c r="I302" s="1187">
        <f t="shared" ref="I302:Q302" si="294">+I289+I296</f>
        <v>42</v>
      </c>
      <c r="J302" s="1187">
        <f t="shared" si="294"/>
        <v>44</v>
      </c>
      <c r="K302" s="1187">
        <f t="shared" si="294"/>
        <v>44</v>
      </c>
      <c r="L302" s="1187">
        <f t="shared" si="294"/>
        <v>44</v>
      </c>
      <c r="M302" s="1187">
        <f t="shared" si="294"/>
        <v>47</v>
      </c>
      <c r="N302" s="1187">
        <f t="shared" si="294"/>
        <v>48</v>
      </c>
      <c r="O302" s="1187">
        <f t="shared" si="294"/>
        <v>50</v>
      </c>
      <c r="P302" s="1187">
        <f t="shared" si="294"/>
        <v>53</v>
      </c>
      <c r="Q302" s="1187">
        <f t="shared" si="294"/>
        <v>50</v>
      </c>
      <c r="R302" s="1187">
        <f t="shared" ref="R302:W302" si="295">+R289+R296</f>
        <v>52</v>
      </c>
      <c r="S302" s="1187">
        <f t="shared" si="295"/>
        <v>53</v>
      </c>
      <c r="T302" s="1187">
        <f t="shared" si="295"/>
        <v>57</v>
      </c>
      <c r="U302" s="1187">
        <f t="shared" si="295"/>
        <v>57</v>
      </c>
      <c r="V302" s="1187">
        <f t="shared" si="295"/>
        <v>56</v>
      </c>
      <c r="W302" s="1187">
        <f t="shared" si="295"/>
        <v>57</v>
      </c>
      <c r="X302" s="1187">
        <f t="shared" ref="X302:AA305" si="296">+X289+X296</f>
        <v>57</v>
      </c>
      <c r="Y302" s="1187">
        <f t="shared" si="296"/>
        <v>57</v>
      </c>
      <c r="Z302" s="1187">
        <f t="shared" si="296"/>
        <v>57</v>
      </c>
      <c r="AA302" s="1187">
        <f t="shared" si="296"/>
        <v>57</v>
      </c>
      <c r="AB302" s="1187">
        <f t="shared" ref="AB302:AC305" si="297">+AB289+AB296</f>
        <v>57</v>
      </c>
      <c r="AC302" s="1187">
        <f t="shared" si="297"/>
        <v>57</v>
      </c>
      <c r="AD302" s="1187">
        <f t="shared" ref="AD302:AE305" si="298">+AD289+AD296</f>
        <v>57</v>
      </c>
      <c r="AE302" s="1187">
        <f t="shared" si="298"/>
        <v>57</v>
      </c>
      <c r="AF302" s="1187">
        <f t="shared" ref="AF302:AG305" si="299">+AF289+AF296</f>
        <v>57</v>
      </c>
      <c r="AG302" s="1187">
        <f t="shared" si="299"/>
        <v>57</v>
      </c>
      <c r="AH302" s="1187"/>
      <c r="AI302" s="852"/>
      <c r="AJ302" s="852"/>
      <c r="AK302" s="853"/>
      <c r="AL302" s="852"/>
      <c r="AM302" s="853"/>
      <c r="AN302" s="852"/>
      <c r="AO302" s="853"/>
      <c r="AP302" s="1187">
        <f>Stores!AA181</f>
        <v>59</v>
      </c>
      <c r="AQ302" s="852"/>
      <c r="AR302" s="852"/>
      <c r="AS302" s="852"/>
      <c r="AT302" s="852"/>
      <c r="AU302" s="852"/>
      <c r="AV302" s="852"/>
      <c r="AW302" s="852"/>
      <c r="AX302" s="852"/>
      <c r="AY302" s="852"/>
      <c r="AZ302" s="852"/>
    </row>
    <row r="303" spans="1:52" hidden="1" outlineLevel="1">
      <c r="A303" s="1202" t="s">
        <v>1580</v>
      </c>
      <c r="B303" s="1187">
        <v>3</v>
      </c>
      <c r="C303" s="1187">
        <v>4</v>
      </c>
      <c r="D303" s="1187">
        <v>4</v>
      </c>
      <c r="E303" s="1187">
        <v>5</v>
      </c>
      <c r="F303" s="1187">
        <v>7</v>
      </c>
      <c r="G303" s="1187">
        <v>9</v>
      </c>
      <c r="H303" s="1187">
        <f t="shared" ref="H303:Q303" si="300">+H290+H297</f>
        <v>12</v>
      </c>
      <c r="I303" s="1187">
        <f t="shared" si="300"/>
        <v>17</v>
      </c>
      <c r="J303" s="1187">
        <f t="shared" si="300"/>
        <v>17</v>
      </c>
      <c r="K303" s="1187">
        <f t="shared" si="300"/>
        <v>17</v>
      </c>
      <c r="L303" s="1187">
        <f t="shared" si="300"/>
        <v>21</v>
      </c>
      <c r="M303" s="1187">
        <f t="shared" si="300"/>
        <v>20</v>
      </c>
      <c r="N303" s="1187">
        <f t="shared" si="300"/>
        <v>20</v>
      </c>
      <c r="O303" s="1187">
        <f t="shared" si="300"/>
        <v>22</v>
      </c>
      <c r="P303" s="1187">
        <f t="shared" si="300"/>
        <v>24</v>
      </c>
      <c r="Q303" s="1187">
        <f t="shared" si="300"/>
        <v>25</v>
      </c>
      <c r="R303" s="1187">
        <f t="shared" ref="R303:W303" si="301">+R290+R297</f>
        <v>28</v>
      </c>
      <c r="S303" s="1187">
        <f>+S290+S297</f>
        <v>34</v>
      </c>
      <c r="T303" s="1187">
        <f t="shared" si="301"/>
        <v>39</v>
      </c>
      <c r="U303" s="1187">
        <f t="shared" si="301"/>
        <v>45</v>
      </c>
      <c r="V303" s="1187">
        <f t="shared" si="301"/>
        <v>52</v>
      </c>
      <c r="W303" s="1187">
        <f t="shared" si="301"/>
        <v>58</v>
      </c>
      <c r="X303" s="1187">
        <f t="shared" si="296"/>
        <v>64</v>
      </c>
      <c r="Y303" s="1187">
        <f t="shared" si="296"/>
        <v>70</v>
      </c>
      <c r="Z303" s="1187">
        <f t="shared" si="296"/>
        <v>76</v>
      </c>
      <c r="AA303" s="1187">
        <f t="shared" si="296"/>
        <v>82</v>
      </c>
      <c r="AB303" s="1187">
        <f t="shared" si="297"/>
        <v>88</v>
      </c>
      <c r="AC303" s="1187">
        <f t="shared" si="297"/>
        <v>94</v>
      </c>
      <c r="AD303" s="1187">
        <f t="shared" si="298"/>
        <v>100</v>
      </c>
      <c r="AE303" s="1187">
        <f t="shared" si="298"/>
        <v>106</v>
      </c>
      <c r="AF303" s="1187">
        <f t="shared" si="299"/>
        <v>112</v>
      </c>
      <c r="AG303" s="1187">
        <f t="shared" si="299"/>
        <v>118</v>
      </c>
      <c r="AH303" s="1187"/>
      <c r="AI303" s="852"/>
      <c r="AJ303" s="852"/>
      <c r="AK303" s="853"/>
      <c r="AL303" s="852"/>
      <c r="AM303" s="853"/>
      <c r="AN303" s="852"/>
      <c r="AO303" s="853"/>
      <c r="AP303" s="1187">
        <f>Stores!AD181</f>
        <v>56</v>
      </c>
      <c r="AQ303" s="852"/>
      <c r="AR303" s="852"/>
      <c r="AS303" s="852"/>
      <c r="AT303" s="852"/>
      <c r="AU303" s="852"/>
      <c r="AV303" s="852"/>
      <c r="AW303" s="852"/>
      <c r="AX303" s="852"/>
      <c r="AY303" s="852"/>
      <c r="AZ303" s="852"/>
    </row>
    <row r="304" spans="1:52" hidden="1" outlineLevel="1">
      <c r="A304" s="1202" t="s">
        <v>2008</v>
      </c>
      <c r="B304" s="1187">
        <v>5</v>
      </c>
      <c r="C304" s="1187">
        <v>7</v>
      </c>
      <c r="D304" s="1187">
        <v>7</v>
      </c>
      <c r="E304" s="1187">
        <v>6</v>
      </c>
      <c r="F304" s="1187">
        <v>6</v>
      </c>
      <c r="G304" s="1187">
        <v>6</v>
      </c>
      <c r="H304" s="1187">
        <f t="shared" ref="H304:Q304" si="302">+H291+H298</f>
        <v>6</v>
      </c>
      <c r="I304" s="1187">
        <f t="shared" si="302"/>
        <v>7</v>
      </c>
      <c r="J304" s="1187">
        <f t="shared" si="302"/>
        <v>7</v>
      </c>
      <c r="K304" s="1187">
        <f t="shared" si="302"/>
        <v>8</v>
      </c>
      <c r="L304" s="1187">
        <f t="shared" si="302"/>
        <v>8</v>
      </c>
      <c r="M304" s="1187">
        <f t="shared" si="302"/>
        <v>10</v>
      </c>
      <c r="N304" s="1187">
        <f t="shared" si="302"/>
        <v>11</v>
      </c>
      <c r="O304" s="1187">
        <f t="shared" si="302"/>
        <v>11</v>
      </c>
      <c r="P304" s="1187">
        <f t="shared" si="302"/>
        <v>12</v>
      </c>
      <c r="Q304" s="1187">
        <f t="shared" si="302"/>
        <v>13</v>
      </c>
      <c r="R304" s="1187">
        <f t="shared" ref="R304:W304" si="303">+R291+R298</f>
        <v>14</v>
      </c>
      <c r="S304" s="1187">
        <f t="shared" si="303"/>
        <v>17</v>
      </c>
      <c r="T304" s="1187">
        <f t="shared" si="303"/>
        <v>24</v>
      </c>
      <c r="U304" s="1187">
        <f t="shared" si="303"/>
        <v>25</v>
      </c>
      <c r="V304" s="1187">
        <f t="shared" si="303"/>
        <v>27</v>
      </c>
      <c r="W304" s="1187">
        <f t="shared" si="303"/>
        <v>30</v>
      </c>
      <c r="X304" s="1187">
        <f t="shared" si="296"/>
        <v>34</v>
      </c>
      <c r="Y304" s="1187">
        <f t="shared" si="296"/>
        <v>39</v>
      </c>
      <c r="Z304" s="1187">
        <f t="shared" si="296"/>
        <v>44</v>
      </c>
      <c r="AA304" s="1187">
        <f t="shared" si="296"/>
        <v>49</v>
      </c>
      <c r="AB304" s="1187">
        <f t="shared" si="297"/>
        <v>54</v>
      </c>
      <c r="AC304" s="1187">
        <f t="shared" si="297"/>
        <v>59</v>
      </c>
      <c r="AD304" s="1187">
        <f t="shared" si="298"/>
        <v>64</v>
      </c>
      <c r="AE304" s="1187">
        <f t="shared" si="298"/>
        <v>69</v>
      </c>
      <c r="AF304" s="1187">
        <f t="shared" si="299"/>
        <v>74</v>
      </c>
      <c r="AG304" s="1187">
        <f t="shared" si="299"/>
        <v>79</v>
      </c>
      <c r="AH304" s="1187"/>
      <c r="AI304" s="852"/>
      <c r="AJ304" s="852"/>
      <c r="AK304" s="853"/>
      <c r="AL304" s="852"/>
      <c r="AM304" s="853"/>
      <c r="AN304" s="852"/>
      <c r="AO304" s="853"/>
      <c r="AP304" s="1187">
        <f>Stores!M181</f>
        <v>30</v>
      </c>
      <c r="AQ304" s="852"/>
      <c r="AR304" s="852"/>
      <c r="AS304" s="852"/>
      <c r="AT304" s="852"/>
      <c r="AU304" s="852"/>
      <c r="AV304" s="852"/>
      <c r="AW304" s="852"/>
      <c r="AX304" s="852"/>
      <c r="AY304" s="852"/>
      <c r="AZ304" s="852"/>
    </row>
    <row r="305" spans="1:52" hidden="1" outlineLevel="1">
      <c r="A305" s="1202" t="s">
        <v>1581</v>
      </c>
      <c r="B305" s="1187">
        <v>0</v>
      </c>
      <c r="C305" s="1187">
        <v>1</v>
      </c>
      <c r="D305" s="1187">
        <v>1</v>
      </c>
      <c r="E305" s="1187">
        <v>1</v>
      </c>
      <c r="F305" s="1187">
        <v>1</v>
      </c>
      <c r="G305" s="1187">
        <v>1</v>
      </c>
      <c r="H305" s="1187">
        <f t="shared" ref="H305:Q305" si="304">+H292+H299</f>
        <v>1</v>
      </c>
      <c r="I305" s="1187">
        <f t="shared" si="304"/>
        <v>2</v>
      </c>
      <c r="J305" s="1187">
        <f t="shared" si="304"/>
        <v>2</v>
      </c>
      <c r="K305" s="1187">
        <f t="shared" si="304"/>
        <v>3</v>
      </c>
      <c r="L305" s="1187">
        <f t="shared" si="304"/>
        <v>4</v>
      </c>
      <c r="M305" s="1187">
        <f t="shared" si="304"/>
        <v>5</v>
      </c>
      <c r="N305" s="1187">
        <f t="shared" si="304"/>
        <v>5</v>
      </c>
      <c r="O305" s="1187">
        <f t="shared" si="304"/>
        <v>7</v>
      </c>
      <c r="P305" s="1187">
        <f t="shared" si="304"/>
        <v>7</v>
      </c>
      <c r="Q305" s="1187">
        <f t="shared" si="304"/>
        <v>7</v>
      </c>
      <c r="R305" s="1187">
        <v>9</v>
      </c>
      <c r="S305" s="1187">
        <f>+S292+S299</f>
        <v>10</v>
      </c>
      <c r="T305" s="1187">
        <f>+T292+T299</f>
        <v>10</v>
      </c>
      <c r="U305" s="1187">
        <f>+U292+U299</f>
        <v>12</v>
      </c>
      <c r="V305" s="1187">
        <f>+V292+V299</f>
        <v>17</v>
      </c>
      <c r="W305" s="1187">
        <f>+W292+W299</f>
        <v>19</v>
      </c>
      <c r="X305" s="1187">
        <f t="shared" si="296"/>
        <v>21</v>
      </c>
      <c r="Y305" s="1187">
        <f t="shared" si="296"/>
        <v>23</v>
      </c>
      <c r="Z305" s="1187">
        <f t="shared" si="296"/>
        <v>25</v>
      </c>
      <c r="AA305" s="1187">
        <f t="shared" si="296"/>
        <v>27</v>
      </c>
      <c r="AB305" s="1187">
        <f t="shared" si="297"/>
        <v>29</v>
      </c>
      <c r="AC305" s="1187">
        <f t="shared" si="297"/>
        <v>31</v>
      </c>
      <c r="AD305" s="1187">
        <f t="shared" si="298"/>
        <v>33</v>
      </c>
      <c r="AE305" s="1187">
        <f t="shared" si="298"/>
        <v>35</v>
      </c>
      <c r="AF305" s="1187">
        <f t="shared" si="299"/>
        <v>37</v>
      </c>
      <c r="AG305" s="1187">
        <f t="shared" si="299"/>
        <v>39</v>
      </c>
      <c r="AH305" s="1187"/>
      <c r="AI305" s="852"/>
      <c r="AJ305" s="852"/>
      <c r="AK305" s="853"/>
      <c r="AL305" s="852"/>
      <c r="AM305" s="853"/>
      <c r="AN305" s="852"/>
      <c r="AO305" s="853"/>
      <c r="AP305" s="1187">
        <f>Stores!K181</f>
        <v>15</v>
      </c>
      <c r="AQ305" s="852"/>
      <c r="AR305" s="852"/>
      <c r="AS305" s="852"/>
      <c r="AT305" s="852"/>
      <c r="AU305" s="852"/>
      <c r="AV305" s="852"/>
      <c r="AW305" s="852"/>
      <c r="AX305" s="852"/>
      <c r="AY305" s="852"/>
      <c r="AZ305" s="852"/>
    </row>
    <row r="306" spans="1:52" hidden="1" outlineLevel="1">
      <c r="A306" s="1182" t="s">
        <v>1360</v>
      </c>
      <c r="B306" s="1205">
        <f t="shared" ref="B306:H306" si="305">SUM(B302:B305)</f>
        <v>8</v>
      </c>
      <c r="C306" s="1205">
        <f t="shared" si="305"/>
        <v>12</v>
      </c>
      <c r="D306" s="1205">
        <f t="shared" si="305"/>
        <v>19</v>
      </c>
      <c r="E306" s="1205">
        <f t="shared" si="305"/>
        <v>49</v>
      </c>
      <c r="F306" s="1205">
        <f t="shared" si="305"/>
        <v>51</v>
      </c>
      <c r="G306" s="1205">
        <f t="shared" si="305"/>
        <v>54</v>
      </c>
      <c r="H306" s="1205">
        <f t="shared" si="305"/>
        <v>58</v>
      </c>
      <c r="I306" s="1205">
        <f t="shared" ref="I306:AA306" si="306">SUM(I302:I305)</f>
        <v>68</v>
      </c>
      <c r="J306" s="1205">
        <f t="shared" si="306"/>
        <v>70</v>
      </c>
      <c r="K306" s="1205">
        <f t="shared" si="306"/>
        <v>72</v>
      </c>
      <c r="L306" s="1205">
        <f t="shared" si="306"/>
        <v>77</v>
      </c>
      <c r="M306" s="1205">
        <f t="shared" si="306"/>
        <v>82</v>
      </c>
      <c r="N306" s="1205">
        <f t="shared" si="306"/>
        <v>84</v>
      </c>
      <c r="O306" s="1205">
        <f t="shared" si="306"/>
        <v>90</v>
      </c>
      <c r="P306" s="1205">
        <f t="shared" si="306"/>
        <v>96</v>
      </c>
      <c r="Q306" s="1205">
        <f t="shared" si="306"/>
        <v>95</v>
      </c>
      <c r="R306" s="1205">
        <f>SUM(R302:R305)</f>
        <v>103</v>
      </c>
      <c r="S306" s="1205">
        <f>SUM(S302:S305)</f>
        <v>114</v>
      </c>
      <c r="T306" s="1205">
        <f t="shared" si="306"/>
        <v>130</v>
      </c>
      <c r="U306" s="1205">
        <f t="shared" si="306"/>
        <v>139</v>
      </c>
      <c r="V306" s="1205">
        <f t="shared" si="306"/>
        <v>152</v>
      </c>
      <c r="W306" s="1205">
        <f t="shared" si="306"/>
        <v>164</v>
      </c>
      <c r="X306" s="1205">
        <f t="shared" si="306"/>
        <v>176</v>
      </c>
      <c r="Y306" s="1205">
        <f t="shared" si="306"/>
        <v>189</v>
      </c>
      <c r="Z306" s="1205">
        <f t="shared" si="306"/>
        <v>202</v>
      </c>
      <c r="AA306" s="1205">
        <f t="shared" si="306"/>
        <v>215</v>
      </c>
      <c r="AB306" s="1205">
        <f t="shared" ref="AB306:AG306" si="307">SUM(AB302:AB305)</f>
        <v>228</v>
      </c>
      <c r="AC306" s="1205">
        <f t="shared" si="307"/>
        <v>241</v>
      </c>
      <c r="AD306" s="1205">
        <f t="shared" si="307"/>
        <v>254</v>
      </c>
      <c r="AE306" s="1205">
        <f t="shared" si="307"/>
        <v>267</v>
      </c>
      <c r="AF306" s="1205">
        <f t="shared" si="307"/>
        <v>280</v>
      </c>
      <c r="AG306" s="1205">
        <f t="shared" si="307"/>
        <v>293</v>
      </c>
      <c r="AH306" s="1205"/>
      <c r="AI306" s="852"/>
      <c r="AJ306" s="852"/>
      <c r="AK306" s="853"/>
      <c r="AL306" s="852"/>
      <c r="AM306" s="853"/>
      <c r="AN306" s="852"/>
      <c r="AO306" s="853"/>
      <c r="AP306" s="852"/>
      <c r="AQ306" s="852"/>
      <c r="AR306" s="852"/>
      <c r="AS306" s="852"/>
      <c r="AT306" s="852"/>
      <c r="AU306" s="852"/>
      <c r="AV306" s="852"/>
      <c r="AW306" s="852"/>
      <c r="AX306" s="852"/>
      <c r="AY306" s="852"/>
      <c r="AZ306" s="852"/>
    </row>
    <row r="307" spans="1:52" hidden="1" outlineLevel="1">
      <c r="A307" s="1182" t="s">
        <v>1365</v>
      </c>
      <c r="B307" s="852"/>
      <c r="C307" s="1206">
        <f>+C306/B306-1</f>
        <v>0.5</v>
      </c>
      <c r="D307" s="1206">
        <f>+D306/C306-1</f>
        <v>0.58333333333333326</v>
      </c>
      <c r="E307" s="1206">
        <f t="shared" ref="E307:AA307" si="308">+E306/D306-1</f>
        <v>1.5789473684210527</v>
      </c>
      <c r="F307" s="1206">
        <f t="shared" si="308"/>
        <v>4.081632653061229E-2</v>
      </c>
      <c r="G307" s="1206">
        <f t="shared" si="308"/>
        <v>5.8823529411764719E-2</v>
      </c>
      <c r="H307" s="1206">
        <f t="shared" si="308"/>
        <v>7.4074074074074181E-2</v>
      </c>
      <c r="I307" s="1206">
        <f t="shared" si="308"/>
        <v>0.17241379310344818</v>
      </c>
      <c r="J307" s="1206">
        <f t="shared" si="308"/>
        <v>2.9411764705882248E-2</v>
      </c>
      <c r="K307" s="1206">
        <f t="shared" si="308"/>
        <v>2.857142857142847E-2</v>
      </c>
      <c r="L307" s="1191">
        <f t="shared" si="308"/>
        <v>6.944444444444442E-2</v>
      </c>
      <c r="M307" s="1191">
        <f t="shared" si="308"/>
        <v>6.4935064935064846E-2</v>
      </c>
      <c r="N307" s="1191">
        <f t="shared" si="308"/>
        <v>2.4390243902439046E-2</v>
      </c>
      <c r="O307" s="1191">
        <f t="shared" si="308"/>
        <v>7.1428571428571397E-2</v>
      </c>
      <c r="P307" s="1191">
        <f t="shared" si="308"/>
        <v>6.6666666666666652E-2</v>
      </c>
      <c r="Q307" s="1191">
        <f t="shared" si="308"/>
        <v>-1.041666666666663E-2</v>
      </c>
      <c r="R307" s="1191">
        <f t="shared" si="308"/>
        <v>8.4210526315789513E-2</v>
      </c>
      <c r="S307" s="1191">
        <f t="shared" si="308"/>
        <v>0.10679611650485432</v>
      </c>
      <c r="T307" s="1191">
        <f t="shared" si="308"/>
        <v>0.14035087719298245</v>
      </c>
      <c r="U307" s="1191">
        <f t="shared" si="308"/>
        <v>6.9230769230769207E-2</v>
      </c>
      <c r="V307" s="1191">
        <f t="shared" si="308"/>
        <v>9.3525179856115193E-2</v>
      </c>
      <c r="W307" s="1191">
        <f t="shared" si="308"/>
        <v>7.8947368421052655E-2</v>
      </c>
      <c r="X307" s="1191">
        <f t="shared" si="308"/>
        <v>7.3170731707317138E-2</v>
      </c>
      <c r="Y307" s="1191">
        <f t="shared" si="308"/>
        <v>7.3863636363636465E-2</v>
      </c>
      <c r="Z307" s="1191">
        <f t="shared" si="308"/>
        <v>6.8783068783068835E-2</v>
      </c>
      <c r="AA307" s="1191">
        <f t="shared" si="308"/>
        <v>6.4356435643564414E-2</v>
      </c>
      <c r="AB307" s="1191">
        <f t="shared" ref="AB307:AG307" si="309">+AB306/AA306-1</f>
        <v>6.0465116279069697E-2</v>
      </c>
      <c r="AC307" s="1191">
        <f t="shared" si="309"/>
        <v>5.7017543859649189E-2</v>
      </c>
      <c r="AD307" s="1191">
        <f t="shared" si="309"/>
        <v>5.3941908713692976E-2</v>
      </c>
      <c r="AE307" s="1191">
        <f t="shared" si="309"/>
        <v>5.1181102362204633E-2</v>
      </c>
      <c r="AF307" s="1191">
        <f t="shared" si="309"/>
        <v>4.8689138576778923E-2</v>
      </c>
      <c r="AG307" s="1191">
        <f t="shared" si="309"/>
        <v>4.6428571428571486E-2</v>
      </c>
      <c r="AH307" s="1191"/>
      <c r="AI307" s="852"/>
      <c r="AJ307" s="852"/>
      <c r="AK307" s="853"/>
      <c r="AL307" s="852"/>
      <c r="AM307" s="853"/>
      <c r="AN307" s="852"/>
      <c r="AO307" s="853"/>
      <c r="AP307" s="852"/>
      <c r="AQ307" s="852"/>
      <c r="AR307" s="852"/>
      <c r="AS307" s="852"/>
      <c r="AT307" s="852"/>
      <c r="AU307" s="852"/>
      <c r="AV307" s="852"/>
      <c r="AW307" s="852"/>
      <c r="AX307" s="852"/>
      <c r="AY307" s="852"/>
      <c r="AZ307" s="852"/>
    </row>
    <row r="308" spans="1:52" hidden="1" outlineLevel="1">
      <c r="A308" s="1182"/>
      <c r="B308" s="852"/>
      <c r="C308" s="852"/>
      <c r="D308" s="852"/>
      <c r="E308" s="852"/>
      <c r="F308" s="852"/>
      <c r="G308" s="858"/>
      <c r="H308" s="858"/>
      <c r="I308" s="858"/>
      <c r="J308" s="858"/>
      <c r="K308" s="858"/>
      <c r="L308" s="858"/>
      <c r="M308" s="858"/>
      <c r="N308" s="852"/>
      <c r="O308" s="852"/>
      <c r="P308" s="852"/>
      <c r="Q308" s="852"/>
      <c r="R308" s="852"/>
      <c r="S308" s="852"/>
      <c r="T308" s="852"/>
      <c r="U308" s="852"/>
      <c r="V308" s="852"/>
      <c r="W308" s="852"/>
      <c r="X308" s="852"/>
      <c r="Y308" s="852"/>
      <c r="Z308" s="852"/>
      <c r="AA308" s="852"/>
      <c r="AB308" s="852"/>
      <c r="AC308" s="852"/>
      <c r="AD308" s="852"/>
      <c r="AE308" s="852"/>
      <c r="AF308" s="852"/>
      <c r="AG308" s="852"/>
      <c r="AH308" s="852"/>
      <c r="AI308" s="852"/>
      <c r="AJ308" s="852"/>
      <c r="AK308" s="853"/>
      <c r="AL308" s="852"/>
      <c r="AM308" s="853"/>
      <c r="AN308" s="852"/>
      <c r="AO308" s="853"/>
      <c r="AP308" s="852"/>
      <c r="AQ308" s="852"/>
      <c r="AR308" s="852"/>
      <c r="AS308" s="852"/>
      <c r="AT308" s="852"/>
      <c r="AU308" s="852"/>
      <c r="AV308" s="852"/>
      <c r="AW308" s="852"/>
      <c r="AX308" s="852"/>
      <c r="AY308" s="852"/>
      <c r="AZ308" s="852"/>
    </row>
    <row r="309" spans="1:52" hidden="1" outlineLevel="1">
      <c r="A309" s="1182" t="s">
        <v>1361</v>
      </c>
      <c r="B309" s="852"/>
      <c r="C309" s="852"/>
      <c r="D309" s="852"/>
      <c r="E309" s="852"/>
      <c r="F309" s="852"/>
      <c r="G309" s="858"/>
      <c r="H309" s="858"/>
      <c r="I309" s="858"/>
      <c r="J309" s="858"/>
      <c r="K309" s="858"/>
      <c r="L309" s="858"/>
      <c r="M309" s="858"/>
      <c r="N309" s="852"/>
      <c r="O309" s="852"/>
      <c r="P309" s="852"/>
      <c r="Q309" s="852"/>
      <c r="R309" s="852"/>
      <c r="S309" s="852"/>
      <c r="T309" s="852"/>
      <c r="U309" s="852"/>
      <c r="V309" s="852"/>
      <c r="W309" s="852"/>
      <c r="X309" s="852"/>
      <c r="Y309" s="852"/>
      <c r="Z309" s="852"/>
      <c r="AA309" s="852"/>
      <c r="AB309" s="852"/>
      <c r="AC309" s="852"/>
      <c r="AD309" s="852"/>
      <c r="AE309" s="852"/>
      <c r="AF309" s="852"/>
      <c r="AG309" s="852"/>
      <c r="AH309" s="852"/>
      <c r="AI309" s="852"/>
      <c r="AJ309" s="852"/>
      <c r="AK309" s="853"/>
      <c r="AL309" s="852"/>
      <c r="AM309" s="853"/>
      <c r="AN309" s="852"/>
      <c r="AO309" s="853"/>
      <c r="AP309" s="852"/>
      <c r="AQ309" s="852"/>
      <c r="AR309" s="852"/>
      <c r="AS309" s="852"/>
      <c r="AT309" s="852"/>
      <c r="AU309" s="852"/>
      <c r="AV309" s="852"/>
      <c r="AW309" s="852"/>
      <c r="AX309" s="852"/>
      <c r="AY309" s="852"/>
      <c r="AZ309" s="852"/>
    </row>
    <row r="310" spans="1:52" hidden="1" outlineLevel="1">
      <c r="A310" s="1202" t="s">
        <v>2007</v>
      </c>
      <c r="B310" s="1207"/>
      <c r="C310" s="1207"/>
      <c r="D310" s="1207">
        <f>D302/D$306</f>
        <v>0.36842105263157893</v>
      </c>
      <c r="E310" s="1207">
        <f>E302/E$306</f>
        <v>0.75510204081632648</v>
      </c>
      <c r="F310" s="1207">
        <f>F302/F$306</f>
        <v>0.72549019607843135</v>
      </c>
      <c r="G310" s="1207">
        <f>G302/G$306</f>
        <v>0.70370370370370372</v>
      </c>
      <c r="H310" s="1207">
        <f>H302/H$306</f>
        <v>0.67241379310344829</v>
      </c>
      <c r="I310" s="1207">
        <f t="shared" ref="I310:Q310" si="310">I302/I$306</f>
        <v>0.61764705882352944</v>
      </c>
      <c r="J310" s="1207">
        <f t="shared" si="310"/>
        <v>0.62857142857142856</v>
      </c>
      <c r="K310" s="1207">
        <f t="shared" si="310"/>
        <v>0.61111111111111116</v>
      </c>
      <c r="L310" s="1207">
        <f t="shared" si="310"/>
        <v>0.5714285714285714</v>
      </c>
      <c r="M310" s="1207">
        <f t="shared" si="310"/>
        <v>0.57317073170731703</v>
      </c>
      <c r="N310" s="1207">
        <f t="shared" si="310"/>
        <v>0.5714285714285714</v>
      </c>
      <c r="O310" s="1207">
        <f t="shared" si="310"/>
        <v>0.55555555555555558</v>
      </c>
      <c r="P310" s="1207">
        <f t="shared" si="310"/>
        <v>0.55208333333333337</v>
      </c>
      <c r="Q310" s="1207">
        <f t="shared" si="310"/>
        <v>0.52631578947368418</v>
      </c>
      <c r="R310" s="1207">
        <f>R302/R$306</f>
        <v>0.50485436893203883</v>
      </c>
      <c r="S310" s="1207">
        <f t="shared" ref="S310:W313" si="311">S302/S$306</f>
        <v>0.46491228070175439</v>
      </c>
      <c r="T310" s="1207">
        <f t="shared" si="311"/>
        <v>0.43846153846153846</v>
      </c>
      <c r="U310" s="1207">
        <f>U302/U$306</f>
        <v>0.41007194244604317</v>
      </c>
      <c r="V310" s="1207">
        <f t="shared" si="311"/>
        <v>0.36842105263157893</v>
      </c>
      <c r="W310" s="1207">
        <f t="shared" si="311"/>
        <v>0.34756097560975607</v>
      </c>
      <c r="X310" s="1207">
        <f t="shared" ref="X310:AA313" si="312">X302/X$306</f>
        <v>0.32386363636363635</v>
      </c>
      <c r="Y310" s="1207">
        <f t="shared" si="312"/>
        <v>0.30158730158730157</v>
      </c>
      <c r="Z310" s="1207">
        <f t="shared" si="312"/>
        <v>0.28217821782178215</v>
      </c>
      <c r="AA310" s="1207">
        <f t="shared" si="312"/>
        <v>0.26511627906976742</v>
      </c>
      <c r="AB310" s="1207">
        <f t="shared" ref="AB310:AC313" si="313">AB302/AB$306</f>
        <v>0.25</v>
      </c>
      <c r="AC310" s="1207">
        <f t="shared" si="313"/>
        <v>0.23651452282157676</v>
      </c>
      <c r="AD310" s="1207">
        <f t="shared" ref="AD310:AE313" si="314">AD302/AD$306</f>
        <v>0.22440944881889763</v>
      </c>
      <c r="AE310" s="1207">
        <f t="shared" si="314"/>
        <v>0.21348314606741572</v>
      </c>
      <c r="AF310" s="1207">
        <f t="shared" ref="AF310:AG313" si="315">AF302/AF$306</f>
        <v>0.20357142857142857</v>
      </c>
      <c r="AG310" s="1207">
        <f t="shared" si="315"/>
        <v>0.19453924914675769</v>
      </c>
      <c r="AH310" s="1207"/>
      <c r="AI310" s="852"/>
      <c r="AJ310" s="852"/>
      <c r="AK310" s="853"/>
      <c r="AL310" s="852"/>
      <c r="AM310" s="853"/>
      <c r="AN310" s="852"/>
      <c r="AO310" s="853"/>
      <c r="AP310" s="852"/>
      <c r="AQ310" s="852"/>
      <c r="AR310" s="852"/>
      <c r="AS310" s="852"/>
      <c r="AT310" s="852"/>
      <c r="AU310" s="852"/>
      <c r="AV310" s="852"/>
      <c r="AW310" s="852"/>
      <c r="AX310" s="852"/>
      <c r="AY310" s="852"/>
      <c r="AZ310" s="852"/>
    </row>
    <row r="311" spans="1:52" hidden="1" outlineLevel="1">
      <c r="A311" s="1202" t="s">
        <v>1580</v>
      </c>
      <c r="B311" s="1207">
        <f t="shared" ref="B311:G313" si="316">B303/B$306</f>
        <v>0.375</v>
      </c>
      <c r="C311" s="1207">
        <f t="shared" si="316"/>
        <v>0.33333333333333331</v>
      </c>
      <c r="D311" s="1207">
        <f t="shared" si="316"/>
        <v>0.21052631578947367</v>
      </c>
      <c r="E311" s="1207">
        <f t="shared" si="316"/>
        <v>0.10204081632653061</v>
      </c>
      <c r="F311" s="1207">
        <f t="shared" si="316"/>
        <v>0.13725490196078433</v>
      </c>
      <c r="G311" s="1207">
        <f t="shared" si="316"/>
        <v>0.16666666666666666</v>
      </c>
      <c r="H311" s="1207">
        <f t="shared" ref="H311:R313" si="317">H303/H$306</f>
        <v>0.20689655172413793</v>
      </c>
      <c r="I311" s="1207">
        <f t="shared" si="317"/>
        <v>0.25</v>
      </c>
      <c r="J311" s="1207">
        <f t="shared" si="317"/>
        <v>0.24285714285714285</v>
      </c>
      <c r="K311" s="1207">
        <f t="shared" si="317"/>
        <v>0.2361111111111111</v>
      </c>
      <c r="L311" s="1207">
        <f t="shared" si="317"/>
        <v>0.27272727272727271</v>
      </c>
      <c r="M311" s="1207">
        <f t="shared" si="317"/>
        <v>0.24390243902439024</v>
      </c>
      <c r="N311" s="1207">
        <f t="shared" si="317"/>
        <v>0.23809523809523808</v>
      </c>
      <c r="O311" s="1207">
        <f t="shared" si="317"/>
        <v>0.24444444444444444</v>
      </c>
      <c r="P311" s="1207">
        <f t="shared" si="317"/>
        <v>0.25</v>
      </c>
      <c r="Q311" s="1207">
        <f t="shared" si="317"/>
        <v>0.26315789473684209</v>
      </c>
      <c r="R311" s="1207">
        <f t="shared" si="317"/>
        <v>0.27184466019417475</v>
      </c>
      <c r="S311" s="1207">
        <f t="shared" si="311"/>
        <v>0.2982456140350877</v>
      </c>
      <c r="T311" s="1207">
        <f t="shared" si="311"/>
        <v>0.3</v>
      </c>
      <c r="U311" s="1207">
        <f t="shared" si="311"/>
        <v>0.32374100719424459</v>
      </c>
      <c r="V311" s="1207">
        <f t="shared" si="311"/>
        <v>0.34210526315789475</v>
      </c>
      <c r="W311" s="1207">
        <f t="shared" si="311"/>
        <v>0.35365853658536583</v>
      </c>
      <c r="X311" s="1207">
        <f t="shared" si="312"/>
        <v>0.36363636363636365</v>
      </c>
      <c r="Y311" s="1207">
        <f t="shared" si="312"/>
        <v>0.37037037037037035</v>
      </c>
      <c r="Z311" s="1207">
        <f t="shared" si="312"/>
        <v>0.37623762376237624</v>
      </c>
      <c r="AA311" s="1207">
        <f t="shared" si="312"/>
        <v>0.38139534883720932</v>
      </c>
      <c r="AB311" s="1207">
        <f t="shared" si="313"/>
        <v>0.38596491228070173</v>
      </c>
      <c r="AC311" s="1207">
        <f t="shared" si="313"/>
        <v>0.39004149377593361</v>
      </c>
      <c r="AD311" s="1207">
        <f t="shared" si="314"/>
        <v>0.39370078740157483</v>
      </c>
      <c r="AE311" s="1207">
        <f t="shared" si="314"/>
        <v>0.39700374531835209</v>
      </c>
      <c r="AF311" s="1207">
        <f t="shared" si="315"/>
        <v>0.4</v>
      </c>
      <c r="AG311" s="1207">
        <f t="shared" si="315"/>
        <v>0.40273037542662116</v>
      </c>
      <c r="AH311" s="1207"/>
      <c r="AI311" s="852"/>
      <c r="AJ311" s="852"/>
      <c r="AK311" s="853"/>
      <c r="AL311" s="852"/>
      <c r="AM311" s="853"/>
      <c r="AN311" s="852"/>
      <c r="AO311" s="853"/>
      <c r="AP311" s="852"/>
      <c r="AQ311" s="852"/>
      <c r="AR311" s="852"/>
      <c r="AS311" s="852"/>
      <c r="AT311" s="852"/>
      <c r="AU311" s="852"/>
      <c r="AV311" s="852"/>
      <c r="AW311" s="852"/>
      <c r="AX311" s="852"/>
      <c r="AY311" s="852"/>
      <c r="AZ311" s="852"/>
    </row>
    <row r="312" spans="1:52" hidden="1" outlineLevel="1">
      <c r="A312" s="1202" t="s">
        <v>2008</v>
      </c>
      <c r="B312" s="1207">
        <f t="shared" si="316"/>
        <v>0.625</v>
      </c>
      <c r="C312" s="1207">
        <f t="shared" si="316"/>
        <v>0.58333333333333337</v>
      </c>
      <c r="D312" s="1207">
        <f t="shared" si="316"/>
        <v>0.36842105263157893</v>
      </c>
      <c r="E312" s="1207">
        <f t="shared" si="316"/>
        <v>0.12244897959183673</v>
      </c>
      <c r="F312" s="1207">
        <f t="shared" si="316"/>
        <v>0.11764705882352941</v>
      </c>
      <c r="G312" s="1207">
        <f t="shared" si="316"/>
        <v>0.1111111111111111</v>
      </c>
      <c r="H312" s="1207">
        <f t="shared" si="317"/>
        <v>0.10344827586206896</v>
      </c>
      <c r="I312" s="1207">
        <f t="shared" si="317"/>
        <v>0.10294117647058823</v>
      </c>
      <c r="J312" s="1207">
        <f t="shared" si="317"/>
        <v>0.1</v>
      </c>
      <c r="K312" s="1207">
        <f t="shared" si="317"/>
        <v>0.1111111111111111</v>
      </c>
      <c r="L312" s="1207">
        <f t="shared" si="317"/>
        <v>0.1038961038961039</v>
      </c>
      <c r="M312" s="1207">
        <f t="shared" si="317"/>
        <v>0.12195121951219512</v>
      </c>
      <c r="N312" s="1207">
        <f t="shared" si="317"/>
        <v>0.13095238095238096</v>
      </c>
      <c r="O312" s="1207">
        <f t="shared" si="317"/>
        <v>0.12222222222222222</v>
      </c>
      <c r="P312" s="1207">
        <f t="shared" si="317"/>
        <v>0.125</v>
      </c>
      <c r="Q312" s="1207">
        <f t="shared" si="317"/>
        <v>0.1368421052631579</v>
      </c>
      <c r="R312" s="1207">
        <f t="shared" si="317"/>
        <v>0.13592233009708737</v>
      </c>
      <c r="S312" s="1207">
        <f t="shared" si="311"/>
        <v>0.14912280701754385</v>
      </c>
      <c r="T312" s="1207">
        <f t="shared" si="311"/>
        <v>0.18461538461538463</v>
      </c>
      <c r="U312" s="1207">
        <f t="shared" si="311"/>
        <v>0.17985611510791366</v>
      </c>
      <c r="V312" s="1207">
        <f t="shared" si="311"/>
        <v>0.17763157894736842</v>
      </c>
      <c r="W312" s="1207">
        <f t="shared" si="311"/>
        <v>0.18292682926829268</v>
      </c>
      <c r="X312" s="1207">
        <f t="shared" si="312"/>
        <v>0.19318181818181818</v>
      </c>
      <c r="Y312" s="1207">
        <f t="shared" si="312"/>
        <v>0.20634920634920634</v>
      </c>
      <c r="Z312" s="1207">
        <f t="shared" si="312"/>
        <v>0.21782178217821782</v>
      </c>
      <c r="AA312" s="1207">
        <f t="shared" si="312"/>
        <v>0.22790697674418606</v>
      </c>
      <c r="AB312" s="1207">
        <f t="shared" si="313"/>
        <v>0.23684210526315788</v>
      </c>
      <c r="AC312" s="1207">
        <f t="shared" si="313"/>
        <v>0.24481327800829875</v>
      </c>
      <c r="AD312" s="1207">
        <f t="shared" si="314"/>
        <v>0.25196850393700787</v>
      </c>
      <c r="AE312" s="1207">
        <f t="shared" si="314"/>
        <v>0.25842696629213485</v>
      </c>
      <c r="AF312" s="1207">
        <f t="shared" si="315"/>
        <v>0.26428571428571429</v>
      </c>
      <c r="AG312" s="1207">
        <f t="shared" si="315"/>
        <v>0.2696245733788396</v>
      </c>
      <c r="AH312" s="1207"/>
      <c r="AI312" s="852"/>
      <c r="AJ312" s="852"/>
      <c r="AK312" s="853"/>
      <c r="AL312" s="852"/>
      <c r="AM312" s="853"/>
      <c r="AN312" s="852"/>
      <c r="AO312" s="853"/>
      <c r="AP312" s="852"/>
      <c r="AQ312" s="852"/>
      <c r="AR312" s="852"/>
      <c r="AS312" s="852"/>
      <c r="AT312" s="852"/>
      <c r="AU312" s="852"/>
      <c r="AV312" s="852"/>
      <c r="AW312" s="852"/>
      <c r="AX312" s="852"/>
      <c r="AY312" s="852"/>
      <c r="AZ312" s="852"/>
    </row>
    <row r="313" spans="1:52" hidden="1" outlineLevel="1">
      <c r="A313" s="1202" t="s">
        <v>1581</v>
      </c>
      <c r="B313" s="1207"/>
      <c r="C313" s="1207">
        <f t="shared" si="316"/>
        <v>8.3333333333333329E-2</v>
      </c>
      <c r="D313" s="1207">
        <f t="shared" si="316"/>
        <v>5.2631578947368418E-2</v>
      </c>
      <c r="E313" s="1207">
        <f t="shared" si="316"/>
        <v>2.0408163265306121E-2</v>
      </c>
      <c r="F313" s="1207">
        <f t="shared" si="316"/>
        <v>1.9607843137254902E-2</v>
      </c>
      <c r="G313" s="1207">
        <f t="shared" si="316"/>
        <v>1.8518518518518517E-2</v>
      </c>
      <c r="H313" s="1207">
        <f t="shared" si="317"/>
        <v>1.7241379310344827E-2</v>
      </c>
      <c r="I313" s="1207">
        <f t="shared" si="317"/>
        <v>2.9411764705882353E-2</v>
      </c>
      <c r="J313" s="1207">
        <f t="shared" si="317"/>
        <v>2.8571428571428571E-2</v>
      </c>
      <c r="K313" s="1207">
        <f t="shared" si="317"/>
        <v>4.1666666666666664E-2</v>
      </c>
      <c r="L313" s="1207">
        <f t="shared" si="317"/>
        <v>5.1948051948051951E-2</v>
      </c>
      <c r="M313" s="1207">
        <f t="shared" si="317"/>
        <v>6.097560975609756E-2</v>
      </c>
      <c r="N313" s="1207">
        <f t="shared" si="317"/>
        <v>5.9523809523809521E-2</v>
      </c>
      <c r="O313" s="1207">
        <f t="shared" si="317"/>
        <v>7.7777777777777779E-2</v>
      </c>
      <c r="P313" s="1207">
        <f t="shared" si="317"/>
        <v>7.2916666666666671E-2</v>
      </c>
      <c r="Q313" s="1207">
        <f t="shared" si="317"/>
        <v>7.3684210526315783E-2</v>
      </c>
      <c r="R313" s="1207">
        <f t="shared" si="317"/>
        <v>8.7378640776699032E-2</v>
      </c>
      <c r="S313" s="1207">
        <f t="shared" si="311"/>
        <v>8.771929824561403E-2</v>
      </c>
      <c r="T313" s="1207">
        <f t="shared" si="311"/>
        <v>7.6923076923076927E-2</v>
      </c>
      <c r="U313" s="1207">
        <f t="shared" si="311"/>
        <v>8.6330935251798566E-2</v>
      </c>
      <c r="V313" s="1207">
        <f t="shared" si="311"/>
        <v>0.1118421052631579</v>
      </c>
      <c r="W313" s="1207">
        <f t="shared" si="311"/>
        <v>0.11585365853658537</v>
      </c>
      <c r="X313" s="1207">
        <f t="shared" si="312"/>
        <v>0.11931818181818182</v>
      </c>
      <c r="Y313" s="1207">
        <f t="shared" si="312"/>
        <v>0.12169312169312169</v>
      </c>
      <c r="Z313" s="1207">
        <f t="shared" si="312"/>
        <v>0.12376237623762376</v>
      </c>
      <c r="AA313" s="1207">
        <f t="shared" si="312"/>
        <v>0.12558139534883722</v>
      </c>
      <c r="AB313" s="1207">
        <f t="shared" si="313"/>
        <v>0.12719298245614036</v>
      </c>
      <c r="AC313" s="1207">
        <f t="shared" si="313"/>
        <v>0.12863070539419086</v>
      </c>
      <c r="AD313" s="1207">
        <f t="shared" si="314"/>
        <v>0.12992125984251968</v>
      </c>
      <c r="AE313" s="1207">
        <f t="shared" si="314"/>
        <v>0.13108614232209737</v>
      </c>
      <c r="AF313" s="1207">
        <f t="shared" si="315"/>
        <v>0.13214285714285715</v>
      </c>
      <c r="AG313" s="1207">
        <f t="shared" si="315"/>
        <v>0.13310580204778158</v>
      </c>
      <c r="AH313" s="1207"/>
      <c r="AI313" s="852"/>
      <c r="AJ313" s="852"/>
      <c r="AK313" s="853"/>
      <c r="AL313" s="852"/>
      <c r="AM313" s="853"/>
      <c r="AN313" s="852"/>
      <c r="AO313" s="853"/>
      <c r="AP313" s="852"/>
      <c r="AQ313" s="852"/>
      <c r="AR313" s="852"/>
      <c r="AS313" s="852"/>
      <c r="AT313" s="852"/>
      <c r="AU313" s="852"/>
      <c r="AV313" s="852"/>
      <c r="AW313" s="852"/>
      <c r="AX313" s="852"/>
      <c r="AY313" s="852"/>
      <c r="AZ313" s="852"/>
    </row>
    <row r="314" spans="1:52" hidden="1" outlineLevel="1">
      <c r="A314" s="1182"/>
      <c r="B314" s="852"/>
      <c r="C314" s="852"/>
      <c r="D314" s="852"/>
      <c r="E314" s="852"/>
      <c r="F314" s="852"/>
      <c r="G314" s="858"/>
      <c r="H314" s="858"/>
      <c r="I314" s="858"/>
      <c r="J314" s="858"/>
      <c r="K314" s="858"/>
      <c r="L314" s="858"/>
      <c r="M314" s="858"/>
      <c r="N314" s="852"/>
      <c r="O314" s="852"/>
      <c r="P314" s="852"/>
      <c r="Q314" s="852"/>
      <c r="R314" s="852"/>
      <c r="S314" s="852"/>
      <c r="T314" s="852"/>
      <c r="U314" s="852"/>
      <c r="V314" s="852"/>
      <c r="W314" s="852"/>
      <c r="X314" s="852"/>
      <c r="Y314" s="852"/>
      <c r="Z314" s="852"/>
      <c r="AA314" s="852"/>
      <c r="AB314" s="852"/>
      <c r="AC314" s="852"/>
      <c r="AD314" s="852"/>
      <c r="AE314" s="852"/>
      <c r="AF314" s="852"/>
      <c r="AG314" s="852"/>
      <c r="AH314" s="852"/>
      <c r="AI314" s="852"/>
      <c r="AJ314" s="852"/>
      <c r="AK314" s="853"/>
      <c r="AL314" s="852"/>
      <c r="AM314" s="853"/>
      <c r="AN314" s="852"/>
      <c r="AO314" s="853"/>
      <c r="AP314" s="852"/>
      <c r="AQ314" s="852"/>
      <c r="AR314" s="852"/>
      <c r="AS314" s="852"/>
      <c r="AT314" s="852"/>
      <c r="AU314" s="852"/>
      <c r="AV314" s="852"/>
      <c r="AW314" s="852"/>
      <c r="AX314" s="852"/>
      <c r="AY314" s="852"/>
      <c r="AZ314" s="852"/>
    </row>
    <row r="315" spans="1:52" hidden="1" outlineLevel="1">
      <c r="A315" s="1182" t="s">
        <v>1974</v>
      </c>
      <c r="B315" s="852"/>
      <c r="C315" s="852"/>
      <c r="D315" s="852"/>
      <c r="E315" s="852"/>
      <c r="F315" s="852"/>
      <c r="G315" s="858"/>
      <c r="H315" s="1205">
        <f>AVERAGE(H293,H306)</f>
        <v>56</v>
      </c>
      <c r="I315" s="1205">
        <f t="shared" ref="I315:W315" si="318">AVERAGE(I293,I306)</f>
        <v>63</v>
      </c>
      <c r="J315" s="1205">
        <f t="shared" si="318"/>
        <v>69</v>
      </c>
      <c r="K315" s="1205">
        <f t="shared" si="318"/>
        <v>71</v>
      </c>
      <c r="L315" s="1205">
        <f t="shared" si="318"/>
        <v>74.5</v>
      </c>
      <c r="M315" s="1205">
        <f t="shared" si="318"/>
        <v>79.5</v>
      </c>
      <c r="N315" s="1205">
        <f t="shared" si="318"/>
        <v>83</v>
      </c>
      <c r="O315" s="1205">
        <f t="shared" si="318"/>
        <v>87</v>
      </c>
      <c r="P315" s="1205">
        <f t="shared" si="318"/>
        <v>93</v>
      </c>
      <c r="Q315" s="1205">
        <f t="shared" si="318"/>
        <v>95.5</v>
      </c>
      <c r="R315" s="1205">
        <f t="shared" si="318"/>
        <v>99</v>
      </c>
      <c r="S315" s="1205">
        <f t="shared" si="318"/>
        <v>108.5</v>
      </c>
      <c r="T315" s="1205">
        <f>AVERAGE(T293,T306)</f>
        <v>122</v>
      </c>
      <c r="U315" s="1205">
        <f>AVERAGE(U293,U306)</f>
        <v>134.5</v>
      </c>
      <c r="V315" s="1205">
        <f t="shared" si="318"/>
        <v>145.5</v>
      </c>
      <c r="W315" s="1205">
        <f t="shared" si="318"/>
        <v>158</v>
      </c>
      <c r="X315" s="1205">
        <f t="shared" ref="X315:AC315" si="319">AVERAGE(X293,X306)</f>
        <v>170</v>
      </c>
      <c r="Y315" s="1205">
        <f t="shared" si="319"/>
        <v>182.5</v>
      </c>
      <c r="Z315" s="1205">
        <f>AVERAGE(Z293,Z306)</f>
        <v>195.5</v>
      </c>
      <c r="AA315" s="1205">
        <f>AVERAGE(AA293,AA306)</f>
        <v>208.5</v>
      </c>
      <c r="AB315" s="1205">
        <f t="shared" si="319"/>
        <v>221.5</v>
      </c>
      <c r="AC315" s="1205">
        <f t="shared" si="319"/>
        <v>234.5</v>
      </c>
      <c r="AD315" s="1205">
        <f>AVERAGE(AD293,AD306)</f>
        <v>247.5</v>
      </c>
      <c r="AE315" s="1205">
        <f>AVERAGE(AE293,AE306)</f>
        <v>260.5</v>
      </c>
      <c r="AF315" s="1205">
        <f>AVERAGE(AF293,AF306)</f>
        <v>273.5</v>
      </c>
      <c r="AG315" s="1205">
        <f>AVERAGE(AG293,AG306)</f>
        <v>286.5</v>
      </c>
      <c r="AH315" s="1205"/>
      <c r="AI315" s="852"/>
      <c r="AJ315" s="852"/>
      <c r="AK315" s="853"/>
      <c r="AL315" s="852"/>
      <c r="AM315" s="853"/>
      <c r="AN315" s="852"/>
      <c r="AO315" s="853"/>
      <c r="AP315" s="852"/>
      <c r="AQ315" s="852"/>
      <c r="AR315" s="852"/>
      <c r="AS315" s="852"/>
      <c r="AT315" s="852"/>
      <c r="AU315" s="852"/>
      <c r="AV315" s="852"/>
      <c r="AW315" s="852"/>
      <c r="AX315" s="852"/>
      <c r="AY315" s="852"/>
      <c r="AZ315" s="852"/>
    </row>
    <row r="316" spans="1:52" hidden="1" outlineLevel="1">
      <c r="A316" s="1182" t="s">
        <v>1975</v>
      </c>
      <c r="B316" s="852"/>
      <c r="C316" s="852"/>
      <c r="D316" s="852"/>
      <c r="E316" s="852"/>
      <c r="F316" s="852"/>
      <c r="G316" s="858"/>
      <c r="H316" s="858"/>
      <c r="I316" s="1208">
        <f>I315/H315-1</f>
        <v>0.125</v>
      </c>
      <c r="J316" s="1208">
        <f t="shared" ref="J316:AA316" si="320">J315/I315-1</f>
        <v>9.5238095238095344E-2</v>
      </c>
      <c r="K316" s="1208">
        <f t="shared" si="320"/>
        <v>2.8985507246376718E-2</v>
      </c>
      <c r="L316" s="1208">
        <f t="shared" si="320"/>
        <v>4.9295774647887258E-2</v>
      </c>
      <c r="M316" s="1208">
        <f t="shared" si="320"/>
        <v>6.7114093959731447E-2</v>
      </c>
      <c r="N316" s="1208">
        <f t="shared" si="320"/>
        <v>4.4025157232704393E-2</v>
      </c>
      <c r="O316" s="1208">
        <f t="shared" si="320"/>
        <v>4.8192771084337283E-2</v>
      </c>
      <c r="P316" s="1208">
        <f t="shared" si="320"/>
        <v>6.8965517241379226E-2</v>
      </c>
      <c r="Q316" s="1208">
        <f t="shared" si="320"/>
        <v>2.6881720430107503E-2</v>
      </c>
      <c r="R316" s="1208">
        <f t="shared" si="320"/>
        <v>3.6649214659685958E-2</v>
      </c>
      <c r="S316" s="1208">
        <f t="shared" si="320"/>
        <v>9.5959595959596022E-2</v>
      </c>
      <c r="T316" s="1208">
        <f t="shared" si="320"/>
        <v>0.12442396313364057</v>
      </c>
      <c r="U316" s="1208">
        <f t="shared" si="320"/>
        <v>0.10245901639344268</v>
      </c>
      <c r="V316" s="1208">
        <f t="shared" si="320"/>
        <v>8.1784386617100413E-2</v>
      </c>
      <c r="W316" s="1208">
        <f t="shared" si="320"/>
        <v>8.5910652920962116E-2</v>
      </c>
      <c r="X316" s="1208">
        <f t="shared" si="320"/>
        <v>7.5949367088607556E-2</v>
      </c>
      <c r="Y316" s="1208">
        <f t="shared" si="320"/>
        <v>7.3529411764705843E-2</v>
      </c>
      <c r="Z316" s="1208">
        <f t="shared" si="320"/>
        <v>7.1232876712328697E-2</v>
      </c>
      <c r="AA316" s="1208">
        <f t="shared" si="320"/>
        <v>6.6496163682864484E-2</v>
      </c>
      <c r="AB316" s="1208">
        <f t="shared" ref="AB316:AG316" si="321">AB315/AA315-1</f>
        <v>6.2350119904076795E-2</v>
      </c>
      <c r="AC316" s="1208">
        <f t="shared" si="321"/>
        <v>5.8690744920993243E-2</v>
      </c>
      <c r="AD316" s="1208">
        <f t="shared" si="321"/>
        <v>5.5437100213219681E-2</v>
      </c>
      <c r="AE316" s="1208">
        <f t="shared" si="321"/>
        <v>5.2525252525252419E-2</v>
      </c>
      <c r="AF316" s="1208">
        <f t="shared" si="321"/>
        <v>4.9904030710172798E-2</v>
      </c>
      <c r="AG316" s="1208">
        <f t="shared" si="321"/>
        <v>4.7531992687385838E-2</v>
      </c>
      <c r="AH316" s="1208"/>
      <c r="AI316" s="1208"/>
      <c r="AJ316" s="852"/>
      <c r="AK316" s="853"/>
      <c r="AL316" s="852"/>
      <c r="AM316" s="853"/>
      <c r="AN316" s="852"/>
      <c r="AO316" s="853"/>
      <c r="AP316" s="852"/>
      <c r="AQ316" s="852"/>
      <c r="AR316" s="852"/>
      <c r="AS316" s="852"/>
      <c r="AT316" s="852"/>
      <c r="AU316" s="852"/>
      <c r="AV316" s="852"/>
      <c r="AW316" s="852"/>
      <c r="AX316" s="852"/>
      <c r="AY316" s="852"/>
      <c r="AZ316" s="852"/>
    </row>
    <row r="317" spans="1:52" hidden="1" outlineLevel="1">
      <c r="A317" s="862"/>
      <c r="B317" s="852"/>
      <c r="C317" s="852"/>
      <c r="D317" s="852"/>
      <c r="E317" s="852"/>
      <c r="F317" s="852"/>
      <c r="G317" s="858"/>
      <c r="H317" s="858"/>
      <c r="I317" s="858"/>
      <c r="J317" s="858"/>
      <c r="K317" s="858"/>
      <c r="L317" s="858"/>
      <c r="M317" s="858"/>
      <c r="N317" s="852"/>
      <c r="O317" s="852"/>
      <c r="P317" s="852"/>
      <c r="Q317" s="852"/>
      <c r="R317" s="852"/>
      <c r="S317" s="852"/>
      <c r="T317" s="852"/>
      <c r="U317" s="852"/>
      <c r="V317" s="852"/>
      <c r="W317" s="852"/>
      <c r="X317" s="852"/>
      <c r="Y317" s="852"/>
      <c r="Z317" s="852"/>
      <c r="AA317" s="852"/>
      <c r="AB317" s="852"/>
      <c r="AC317" s="852"/>
      <c r="AD317" s="852"/>
      <c r="AE317" s="852"/>
      <c r="AF317" s="852"/>
      <c r="AG317" s="852"/>
      <c r="AH317" s="852"/>
      <c r="AI317" s="852"/>
      <c r="AJ317" s="852"/>
      <c r="AK317" s="853"/>
      <c r="AL317" s="852"/>
      <c r="AM317" s="853"/>
      <c r="AN317" s="852"/>
      <c r="AO317" s="853"/>
      <c r="AP317" s="852"/>
      <c r="AQ317" s="852"/>
      <c r="AR317" s="852"/>
      <c r="AS317" s="852"/>
      <c r="AT317" s="852"/>
      <c r="AU317" s="852"/>
      <c r="AV317" s="852"/>
      <c r="AW317" s="852"/>
      <c r="AX317" s="852"/>
      <c r="AY317" s="852"/>
      <c r="AZ317" s="852"/>
    </row>
    <row r="318" spans="1:52" hidden="1" outlineLevel="1">
      <c r="A318" s="1182" t="s">
        <v>557</v>
      </c>
      <c r="B318" s="852"/>
      <c r="C318" s="852"/>
      <c r="D318" s="852"/>
      <c r="E318" s="852"/>
      <c r="F318" s="852"/>
      <c r="G318" s="858"/>
      <c r="H318" s="1209">
        <f t="shared" ref="H318:Q318" si="322">H285/H315</f>
        <v>7.0953749999999998</v>
      </c>
      <c r="I318" s="1209">
        <f t="shared" si="322"/>
        <v>6.686809523809524</v>
      </c>
      <c r="J318" s="1209">
        <f t="shared" si="322"/>
        <v>6.702521739130435</v>
      </c>
      <c r="K318" s="1209">
        <f t="shared" si="322"/>
        <v>8.3043239436619718</v>
      </c>
      <c r="L318" s="1209">
        <f t="shared" si="322"/>
        <v>9.1177718120805356</v>
      </c>
      <c r="M318" s="1209">
        <f t="shared" si="322"/>
        <v>8.2896603773584907</v>
      </c>
      <c r="N318" s="1209">
        <f t="shared" si="322"/>
        <v>8.2348072289156633</v>
      </c>
      <c r="O318" s="1209">
        <f t="shared" si="322"/>
        <v>8.9835862068965522</v>
      </c>
      <c r="P318" s="1209">
        <f t="shared" si="322"/>
        <v>9.2189247311827938</v>
      </c>
      <c r="Q318" s="1209">
        <f t="shared" si="322"/>
        <v>9.4312984293193729</v>
      </c>
      <c r="R318" s="1209">
        <f t="shared" ref="R318:W318" si="323">R285/R315</f>
        <v>10.208353535353536</v>
      </c>
      <c r="S318" s="1209">
        <f t="shared" si="323"/>
        <v>11.063981566820276</v>
      </c>
      <c r="T318" s="1209">
        <f t="shared" si="323"/>
        <v>10.532786885245901</v>
      </c>
      <c r="U318" s="1209">
        <f t="shared" si="323"/>
        <v>10.631970260223047</v>
      </c>
      <c r="V318" s="1209">
        <f t="shared" si="323"/>
        <v>10.687285223367697</v>
      </c>
      <c r="W318" s="1209">
        <f t="shared" si="323"/>
        <v>10.632911392405063</v>
      </c>
      <c r="X318" s="1209">
        <f t="shared" ref="X318:AC318" si="324">X285/X315</f>
        <v>9.882352941176471</v>
      </c>
      <c r="Y318" s="1209">
        <f t="shared" si="324"/>
        <v>9.205479452054794</v>
      </c>
      <c r="Z318" s="1209">
        <f>Z285/Z315</f>
        <v>8.593350383631714</v>
      </c>
      <c r="AA318" s="1209">
        <f>AA285/AA315</f>
        <v>8.057553956834532</v>
      </c>
      <c r="AB318" s="1209">
        <f t="shared" si="324"/>
        <v>7.5846501128668171</v>
      </c>
      <c r="AC318" s="1209">
        <f t="shared" si="324"/>
        <v>7.1641791044776122</v>
      </c>
      <c r="AD318" s="1209">
        <f>AD285/AD315</f>
        <v>6.7878787878787881</v>
      </c>
      <c r="AE318" s="1209">
        <f>AE285/AE315</f>
        <v>6.4491362763915543</v>
      </c>
      <c r="AF318" s="1209">
        <f>AF285/AF315</f>
        <v>6.1425959780621575</v>
      </c>
      <c r="AG318" s="1209">
        <f>AG285/AG315</f>
        <v>5.8638743455497382</v>
      </c>
      <c r="AH318" s="1209"/>
      <c r="AI318" s="852"/>
      <c r="AJ318" s="852"/>
      <c r="AK318" s="853"/>
      <c r="AL318" s="852"/>
      <c r="AM318" s="853"/>
      <c r="AN318" s="852"/>
      <c r="AO318" s="853"/>
      <c r="AP318" s="852"/>
      <c r="AQ318" s="852"/>
      <c r="AR318" s="852"/>
      <c r="AS318" s="852"/>
      <c r="AT318" s="852"/>
      <c r="AU318" s="852"/>
      <c r="AV318" s="852"/>
      <c r="AW318" s="852"/>
      <c r="AX318" s="852"/>
      <c r="AY318" s="852"/>
      <c r="AZ318" s="852"/>
    </row>
    <row r="319" spans="1:52" hidden="1" outlineLevel="1">
      <c r="A319" s="1182" t="s">
        <v>1971</v>
      </c>
      <c r="B319" s="852"/>
      <c r="C319" s="852"/>
      <c r="D319" s="852"/>
      <c r="E319" s="852"/>
      <c r="F319" s="852"/>
      <c r="G319" s="858"/>
      <c r="H319" s="858"/>
      <c r="I319" s="1208">
        <f>I318/H318-1</f>
        <v>-5.7581942630301586E-2</v>
      </c>
      <c r="J319" s="1208">
        <f>J318/I318-1</f>
        <v>2.349732748475164E-3</v>
      </c>
      <c r="K319" s="1208">
        <f t="shared" ref="K319:R319" si="325">K318/J318-1</f>
        <v>0.23898500696833991</v>
      </c>
      <c r="L319" s="1208">
        <f t="shared" si="325"/>
        <v>9.7954737066754616E-2</v>
      </c>
      <c r="M319" s="1208">
        <f t="shared" si="325"/>
        <v>-9.0823882390305477E-2</v>
      </c>
      <c r="N319" s="1208">
        <f t="shared" si="325"/>
        <v>-6.6170561815351858E-3</v>
      </c>
      <c r="O319" s="1208">
        <f t="shared" si="325"/>
        <v>9.092853750742691E-2</v>
      </c>
      <c r="P319" s="1208">
        <f t="shared" si="325"/>
        <v>2.6196500914698939E-2</v>
      </c>
      <c r="Q319" s="1208">
        <f t="shared" si="325"/>
        <v>2.3036710281214345E-2</v>
      </c>
      <c r="R319" s="1208">
        <f t="shared" si="325"/>
        <v>8.2391105727129599E-2</v>
      </c>
      <c r="S319" s="852"/>
      <c r="T319" s="852"/>
      <c r="U319" s="852"/>
      <c r="V319" s="852"/>
      <c r="W319" s="852"/>
      <c r="X319" s="852"/>
      <c r="Y319" s="852"/>
      <c r="Z319" s="852"/>
      <c r="AA319" s="852"/>
      <c r="AB319" s="852"/>
      <c r="AC319" s="852"/>
      <c r="AD319" s="852"/>
      <c r="AE319" s="852"/>
      <c r="AF319" s="852"/>
      <c r="AG319" s="852"/>
      <c r="AH319" s="852"/>
      <c r="AI319" s="852"/>
      <c r="AJ319" s="852"/>
      <c r="AK319" s="853"/>
      <c r="AL319" s="852"/>
      <c r="AM319" s="853"/>
      <c r="AN319" s="852"/>
      <c r="AO319" s="853"/>
      <c r="AP319" s="852"/>
      <c r="AQ319" s="852"/>
      <c r="AR319" s="852"/>
      <c r="AS319" s="852"/>
      <c r="AT319" s="852"/>
      <c r="AU319" s="852"/>
      <c r="AV319" s="852"/>
      <c r="AW319" s="852"/>
      <c r="AX319" s="852"/>
      <c r="AY319" s="852"/>
      <c r="AZ319" s="852"/>
    </row>
    <row r="320" spans="1:52" hidden="1" outlineLevel="1">
      <c r="A320" s="862"/>
      <c r="B320" s="852"/>
      <c r="C320" s="852"/>
      <c r="D320" s="852"/>
      <c r="E320" s="852"/>
      <c r="F320" s="852"/>
      <c r="G320" s="858"/>
      <c r="H320" s="858"/>
      <c r="I320" s="858"/>
      <c r="J320" s="858"/>
      <c r="K320" s="858"/>
      <c r="L320" s="858"/>
      <c r="M320" s="858"/>
      <c r="N320" s="852"/>
      <c r="O320" s="852"/>
      <c r="P320" s="852"/>
      <c r="Q320" s="852"/>
      <c r="R320" s="852"/>
      <c r="S320" s="852"/>
      <c r="T320" s="852"/>
      <c r="U320" s="852"/>
      <c r="V320" s="852"/>
      <c r="W320" s="852"/>
      <c r="X320" s="852"/>
      <c r="Y320" s="852"/>
      <c r="Z320" s="852"/>
      <c r="AA320" s="852"/>
      <c r="AB320" s="852"/>
      <c r="AC320" s="852"/>
      <c r="AD320" s="852"/>
      <c r="AE320" s="852"/>
      <c r="AF320" s="852"/>
      <c r="AG320" s="852"/>
      <c r="AH320" s="852"/>
      <c r="AI320" s="852"/>
      <c r="AJ320" s="852"/>
      <c r="AK320" s="853"/>
      <c r="AL320" s="852"/>
      <c r="AM320" s="853"/>
      <c r="AN320" s="852"/>
      <c r="AO320" s="853"/>
      <c r="AP320" s="852"/>
      <c r="AQ320" s="852"/>
      <c r="AR320" s="852"/>
      <c r="AS320" s="852"/>
      <c r="AT320" s="852"/>
      <c r="AU320" s="852"/>
      <c r="AV320" s="852"/>
      <c r="AW320" s="852"/>
      <c r="AX320" s="852"/>
      <c r="AY320" s="852"/>
      <c r="AZ320" s="852"/>
    </row>
    <row r="321" spans="1:52" hidden="1" outlineLevel="1">
      <c r="A321" s="1182" t="s">
        <v>1977</v>
      </c>
      <c r="B321" s="852"/>
      <c r="C321" s="852"/>
      <c r="D321" s="852"/>
      <c r="E321" s="1194" t="e">
        <f t="shared" ref="E321:AA321" si="326">+(E324+D324)/2</f>
        <v>#REF!</v>
      </c>
      <c r="F321" s="1194">
        <f t="shared" si="326"/>
        <v>0.16312500000000002</v>
      </c>
      <c r="G321" s="1194">
        <f t="shared" si="326"/>
        <v>0.16750000000000001</v>
      </c>
      <c r="H321" s="1194">
        <f t="shared" si="326"/>
        <v>0.15625</v>
      </c>
      <c r="I321" s="1194">
        <f t="shared" si="326"/>
        <v>0.15049999999999999</v>
      </c>
      <c r="J321" s="1194">
        <f t="shared" si="326"/>
        <v>0.1575</v>
      </c>
      <c r="K321" s="1194">
        <f t="shared" si="326"/>
        <v>0.17049999999999998</v>
      </c>
      <c r="L321" s="1194">
        <f t="shared" si="326"/>
        <v>0.1895</v>
      </c>
      <c r="M321" s="1194">
        <f t="shared" si="326"/>
        <v>0.21050000000000002</v>
      </c>
      <c r="N321" s="1194">
        <f t="shared" si="326"/>
        <v>0.22800000000000001</v>
      </c>
      <c r="O321" s="1194">
        <f t="shared" si="326"/>
        <v>0.24</v>
      </c>
      <c r="P321" s="1194">
        <f t="shared" si="326"/>
        <v>0.26350000000000001</v>
      </c>
      <c r="Q321" s="1194">
        <f t="shared" si="326"/>
        <v>0.27850000000000003</v>
      </c>
      <c r="R321" s="1194">
        <f t="shared" si="326"/>
        <v>0.29200000000000004</v>
      </c>
      <c r="S321" s="1194">
        <f t="shared" si="326"/>
        <v>0.3165</v>
      </c>
      <c r="T321" s="1194">
        <f t="shared" si="326"/>
        <v>0.35076699029126213</v>
      </c>
      <c r="U321" s="1194">
        <f t="shared" si="326"/>
        <v>0.38938834951456303</v>
      </c>
      <c r="V321" s="1194">
        <f t="shared" si="326"/>
        <v>0.41909708737864071</v>
      </c>
      <c r="W321" s="1194">
        <f t="shared" si="326"/>
        <v>0.44880582524271839</v>
      </c>
      <c r="X321" s="1194">
        <f t="shared" si="326"/>
        <v>0.46366019417475718</v>
      </c>
      <c r="Y321" s="1194">
        <f t="shared" si="326"/>
        <v>0.46366019417475718</v>
      </c>
      <c r="Z321" s="1194">
        <f t="shared" si="326"/>
        <v>0.46366019417475718</v>
      </c>
      <c r="AA321" s="1194">
        <f t="shared" si="326"/>
        <v>0.46366019417475718</v>
      </c>
      <c r="AB321" s="1194">
        <f t="shared" ref="AB321:AG321" si="327">+(AB324+AA324)/2</f>
        <v>0.46366019417475718</v>
      </c>
      <c r="AC321" s="1194">
        <f t="shared" si="327"/>
        <v>0.46366019417475718</v>
      </c>
      <c r="AD321" s="1194">
        <f t="shared" si="327"/>
        <v>0.46366019417475718</v>
      </c>
      <c r="AE321" s="1194">
        <f t="shared" si="327"/>
        <v>0.46366019417475718</v>
      </c>
      <c r="AF321" s="1194">
        <f t="shared" si="327"/>
        <v>0.46366019417475718</v>
      </c>
      <c r="AG321" s="1194">
        <f t="shared" si="327"/>
        <v>0.46366019417475718</v>
      </c>
      <c r="AH321" s="1194"/>
      <c r="AI321" s="858"/>
      <c r="AJ321" s="852"/>
      <c r="AK321" s="853"/>
      <c r="AL321" s="852"/>
      <c r="AM321" s="853"/>
      <c r="AN321" s="852"/>
      <c r="AO321" s="853"/>
      <c r="AP321" s="852"/>
      <c r="AQ321" s="852"/>
      <c r="AR321" s="852"/>
      <c r="AS321" s="852"/>
      <c r="AT321" s="852"/>
      <c r="AU321" s="852"/>
      <c r="AV321" s="852"/>
      <c r="AW321" s="852"/>
      <c r="AX321" s="852"/>
      <c r="AY321" s="852"/>
      <c r="AZ321" s="852"/>
    </row>
    <row r="322" spans="1:52" hidden="1" outlineLevel="1">
      <c r="A322" s="1182" t="s">
        <v>1971</v>
      </c>
      <c r="B322" s="852"/>
      <c r="C322" s="852"/>
      <c r="D322" s="852"/>
      <c r="E322" s="1208"/>
      <c r="F322" s="1208" t="e">
        <f>F321/E321-1</f>
        <v>#REF!</v>
      </c>
      <c r="G322" s="1208">
        <f>G321/F321-1</f>
        <v>2.6819923371647514E-2</v>
      </c>
      <c r="H322" s="1208">
        <f>H321/G321-1</f>
        <v>-6.7164179104477695E-2</v>
      </c>
      <c r="I322" s="1208">
        <f>I321/H321-1</f>
        <v>-3.6800000000000055E-2</v>
      </c>
      <c r="J322" s="1208">
        <f>J321/I321-1</f>
        <v>4.6511627906976827E-2</v>
      </c>
      <c r="K322" s="1208">
        <f t="shared" ref="K322:AA322" si="328">K321/J321-1</f>
        <v>8.2539682539682468E-2</v>
      </c>
      <c r="L322" s="1208">
        <f t="shared" si="328"/>
        <v>0.11143695014662769</v>
      </c>
      <c r="M322" s="1208">
        <f t="shared" si="328"/>
        <v>0.1108179419525066</v>
      </c>
      <c r="N322" s="1208">
        <f t="shared" si="328"/>
        <v>8.3135391923990332E-2</v>
      </c>
      <c r="O322" s="1208">
        <f t="shared" si="328"/>
        <v>5.2631578947368363E-2</v>
      </c>
      <c r="P322" s="1208">
        <f t="shared" si="328"/>
        <v>9.7916666666666652E-2</v>
      </c>
      <c r="Q322" s="1208">
        <f t="shared" si="328"/>
        <v>5.6925996204933549E-2</v>
      </c>
      <c r="R322" s="1208">
        <f t="shared" si="328"/>
        <v>4.8473967684021568E-2</v>
      </c>
      <c r="S322" s="1208">
        <f t="shared" si="328"/>
        <v>8.3904109589040932E-2</v>
      </c>
      <c r="T322" s="1208">
        <f t="shared" si="328"/>
        <v>0.10826853172594664</v>
      </c>
      <c r="U322" s="1208">
        <f t="shared" si="328"/>
        <v>0.11010545545129924</v>
      </c>
      <c r="V322" s="1208">
        <f t="shared" si="328"/>
        <v>7.6295908444909966E-2</v>
      </c>
      <c r="W322" s="1208">
        <f t="shared" si="328"/>
        <v>7.0887483494336045E-2</v>
      </c>
      <c r="X322" s="1208">
        <f t="shared" si="328"/>
        <v>3.309754039846835E-2</v>
      </c>
      <c r="Y322" s="1208">
        <f t="shared" si="328"/>
        <v>0</v>
      </c>
      <c r="Z322" s="1208">
        <f t="shared" si="328"/>
        <v>0</v>
      </c>
      <c r="AA322" s="1208">
        <f t="shared" si="328"/>
        <v>0</v>
      </c>
      <c r="AB322" s="1208">
        <f t="shared" ref="AB322:AG322" si="329">AB321/AA321-1</f>
        <v>0</v>
      </c>
      <c r="AC322" s="1208">
        <f t="shared" si="329"/>
        <v>0</v>
      </c>
      <c r="AD322" s="1208">
        <f t="shared" si="329"/>
        <v>0</v>
      </c>
      <c r="AE322" s="1208">
        <f t="shared" si="329"/>
        <v>0</v>
      </c>
      <c r="AF322" s="1208">
        <f t="shared" si="329"/>
        <v>0</v>
      </c>
      <c r="AG322" s="1208">
        <f t="shared" si="329"/>
        <v>0</v>
      </c>
      <c r="AH322" s="1208"/>
      <c r="AI322" s="1208"/>
      <c r="AJ322" s="852"/>
      <c r="AK322" s="853"/>
      <c r="AL322" s="852"/>
      <c r="AM322" s="853"/>
      <c r="AN322" s="852"/>
      <c r="AO322" s="853"/>
      <c r="AP322" s="852"/>
      <c r="AQ322" s="852"/>
      <c r="AR322" s="852"/>
      <c r="AS322" s="852"/>
      <c r="AT322" s="852"/>
      <c r="AU322" s="852"/>
      <c r="AV322" s="852"/>
      <c r="AW322" s="852"/>
      <c r="AX322" s="852"/>
      <c r="AY322" s="852"/>
      <c r="AZ322" s="852"/>
    </row>
    <row r="323" spans="1:52" hidden="1" outlineLevel="1">
      <c r="A323" s="861"/>
      <c r="B323" s="852"/>
      <c r="C323" s="852"/>
      <c r="D323" s="852"/>
      <c r="E323" s="852"/>
      <c r="F323" s="852"/>
      <c r="G323" s="858"/>
      <c r="H323" s="858"/>
      <c r="I323" s="858"/>
      <c r="J323" s="858"/>
      <c r="K323" s="858"/>
      <c r="L323" s="858"/>
      <c r="M323" s="858"/>
      <c r="N323" s="852"/>
      <c r="O323" s="852"/>
      <c r="P323" s="852"/>
      <c r="Q323" s="852"/>
      <c r="R323" s="852"/>
      <c r="S323" s="852"/>
      <c r="T323" s="852"/>
      <c r="U323" s="852"/>
      <c r="V323" s="852"/>
      <c r="W323" s="852"/>
      <c r="X323" s="852"/>
      <c r="Y323" s="852"/>
      <c r="Z323" s="852"/>
      <c r="AA323" s="852"/>
      <c r="AB323" s="852"/>
      <c r="AC323" s="852"/>
      <c r="AD323" s="852"/>
      <c r="AE323" s="852"/>
      <c r="AF323" s="852"/>
      <c r="AG323" s="852"/>
      <c r="AH323" s="852"/>
      <c r="AI323" s="852"/>
      <c r="AJ323" s="852"/>
      <c r="AK323" s="853"/>
      <c r="AL323" s="852"/>
      <c r="AM323" s="853"/>
      <c r="AN323" s="852"/>
      <c r="AO323" s="853"/>
      <c r="AP323" s="852"/>
      <c r="AQ323" s="852"/>
      <c r="AR323" s="852"/>
      <c r="AS323" s="852"/>
      <c r="AT323" s="852"/>
      <c r="AU323" s="852"/>
      <c r="AV323" s="852"/>
      <c r="AW323" s="852"/>
      <c r="AX323" s="852"/>
      <c r="AY323" s="852"/>
      <c r="AZ323" s="852"/>
    </row>
    <row r="324" spans="1:52" hidden="1" outlineLevel="1">
      <c r="A324" s="1182" t="s">
        <v>1940</v>
      </c>
      <c r="B324" s="852"/>
      <c r="C324" s="852"/>
      <c r="D324" s="1210" t="e">
        <f>Stores!#REF!/0.8</f>
        <v>#REF!</v>
      </c>
      <c r="E324" s="1210">
        <f>Stores!$AH55/0.8</f>
        <v>0.15875</v>
      </c>
      <c r="F324" s="1210">
        <f>Stores!$AH62/0.8</f>
        <v>0.16750000000000001</v>
      </c>
      <c r="G324" s="1210">
        <f>Stores!$AH69/0.8</f>
        <v>0.16750000000000001</v>
      </c>
      <c r="H324" s="1210">
        <f>Stores!$AH76</f>
        <v>0.14499999999999999</v>
      </c>
      <c r="I324" s="1210">
        <f>Stores!$AH83</f>
        <v>0.156</v>
      </c>
      <c r="J324" s="1210">
        <f>Stores!$AH90</f>
        <v>0.159</v>
      </c>
      <c r="K324" s="1210">
        <f>Stores!$AH97</f>
        <v>0.182</v>
      </c>
      <c r="L324" s="1210">
        <f>Stores!$AH104</f>
        <v>0.19700000000000001</v>
      </c>
      <c r="M324" s="1210">
        <f>Stores!$AH111</f>
        <v>0.224</v>
      </c>
      <c r="N324" s="1210">
        <f>Stores!$AH118</f>
        <v>0.23200000000000001</v>
      </c>
      <c r="O324" s="1210">
        <f>Stores!$AH125</f>
        <v>0.248</v>
      </c>
      <c r="P324" s="1210">
        <f>Stores!$AH132</f>
        <v>0.27900000000000003</v>
      </c>
      <c r="Q324" s="1210">
        <f>Stores!$AH139</f>
        <v>0.27800000000000002</v>
      </c>
      <c r="R324" s="1210">
        <f>Stores!$AH146</f>
        <v>0.30599999999999999</v>
      </c>
      <c r="S324" s="1210">
        <f>Stores!$AH153</f>
        <v>0.32700000000000001</v>
      </c>
      <c r="T324" s="1210">
        <f>Stores!$AH160</f>
        <v>0.37453398058252424</v>
      </c>
      <c r="U324" s="1210">
        <f>Stores!$AH167</f>
        <v>0.40424271844660187</v>
      </c>
      <c r="V324" s="1210">
        <f>Stores!$AH174</f>
        <v>0.43395145631067955</v>
      </c>
      <c r="W324" s="1210">
        <f>Stores!$AH181</f>
        <v>0.46366019417475718</v>
      </c>
      <c r="X324" s="1210">
        <f>Stores!$AH181</f>
        <v>0.46366019417475718</v>
      </c>
      <c r="Y324" s="1210">
        <f>Stores!$AH181</f>
        <v>0.46366019417475718</v>
      </c>
      <c r="Z324" s="1210">
        <f>Stores!$AH181</f>
        <v>0.46366019417475718</v>
      </c>
      <c r="AA324" s="1210">
        <f>Stores!$AH181</f>
        <v>0.46366019417475718</v>
      </c>
      <c r="AB324" s="1210">
        <f>Stores!$AH181</f>
        <v>0.46366019417475718</v>
      </c>
      <c r="AC324" s="1210">
        <f>Stores!$AH181</f>
        <v>0.46366019417475718</v>
      </c>
      <c r="AD324" s="1210">
        <f>Stores!$AH181</f>
        <v>0.46366019417475718</v>
      </c>
      <c r="AE324" s="1210">
        <f>Stores!$AH181</f>
        <v>0.46366019417475718</v>
      </c>
      <c r="AF324" s="1210">
        <f>Stores!$AH181</f>
        <v>0.46366019417475718</v>
      </c>
      <c r="AG324" s="1210">
        <f>Stores!$AH181</f>
        <v>0.46366019417475718</v>
      </c>
      <c r="AH324" s="1210"/>
      <c r="AI324" s="852"/>
      <c r="AJ324" s="852"/>
      <c r="AK324" s="853"/>
      <c r="AL324" s="852"/>
      <c r="AM324" s="853"/>
      <c r="AN324" s="852"/>
      <c r="AO324" s="853"/>
      <c r="AP324" s="852"/>
      <c r="AQ324" s="852"/>
      <c r="AR324" s="852"/>
      <c r="AS324" s="852"/>
      <c r="AT324" s="852"/>
      <c r="AU324" s="852"/>
      <c r="AV324" s="852"/>
      <c r="AW324" s="852"/>
      <c r="AX324" s="852"/>
      <c r="AY324" s="852"/>
      <c r="AZ324" s="852"/>
    </row>
    <row r="325" spans="1:52" hidden="1" outlineLevel="1">
      <c r="A325" s="1182" t="s">
        <v>1971</v>
      </c>
      <c r="B325" s="852"/>
      <c r="C325" s="852"/>
      <c r="D325" s="852"/>
      <c r="E325" s="852"/>
      <c r="F325" s="1211">
        <f>F324/E324-1</f>
        <v>5.5118110236220597E-2</v>
      </c>
      <c r="G325" s="1211">
        <f>G324/F324-1</f>
        <v>0</v>
      </c>
      <c r="H325" s="1211">
        <f>H324/G324-1</f>
        <v>-0.13432835820895539</v>
      </c>
      <c r="I325" s="1211">
        <f t="shared" ref="I325:AA325" si="330">I324/H324-1</f>
        <v>7.5862068965517393E-2</v>
      </c>
      <c r="J325" s="1211">
        <f t="shared" si="330"/>
        <v>1.9230769230769162E-2</v>
      </c>
      <c r="K325" s="1211">
        <f t="shared" si="330"/>
        <v>0.14465408805031443</v>
      </c>
      <c r="L325" s="1208">
        <f t="shared" si="330"/>
        <v>8.2417582417582569E-2</v>
      </c>
      <c r="M325" s="1208">
        <f t="shared" si="330"/>
        <v>0.13705583756345185</v>
      </c>
      <c r="N325" s="1208">
        <f t="shared" si="330"/>
        <v>3.5714285714285809E-2</v>
      </c>
      <c r="O325" s="1208">
        <f t="shared" si="330"/>
        <v>6.8965517241379226E-2</v>
      </c>
      <c r="P325" s="1208">
        <f t="shared" si="330"/>
        <v>0.12500000000000022</v>
      </c>
      <c r="Q325" s="1208">
        <f t="shared" si="330"/>
        <v>-3.5842293906810374E-3</v>
      </c>
      <c r="R325" s="1208">
        <f t="shared" si="330"/>
        <v>0.10071942446043147</v>
      </c>
      <c r="S325" s="1208">
        <f t="shared" si="330"/>
        <v>6.8627450980392135E-2</v>
      </c>
      <c r="T325" s="1208">
        <f t="shared" si="330"/>
        <v>0.14536385499242876</v>
      </c>
      <c r="U325" s="1208">
        <f t="shared" si="330"/>
        <v>7.9321875729061242E-2</v>
      </c>
      <c r="V325" s="1208">
        <f t="shared" si="330"/>
        <v>7.3492326536493957E-2</v>
      </c>
      <c r="W325" s="1208">
        <f t="shared" si="330"/>
        <v>6.8460970534935051E-2</v>
      </c>
      <c r="X325" s="1208">
        <f t="shared" si="330"/>
        <v>0</v>
      </c>
      <c r="Y325" s="1208">
        <f t="shared" si="330"/>
        <v>0</v>
      </c>
      <c r="Z325" s="1208">
        <f t="shared" si="330"/>
        <v>0</v>
      </c>
      <c r="AA325" s="1208">
        <f t="shared" si="330"/>
        <v>0</v>
      </c>
      <c r="AB325" s="1208">
        <f t="shared" ref="AB325:AG325" si="331">AB324/AA324-1</f>
        <v>0</v>
      </c>
      <c r="AC325" s="1208">
        <f t="shared" si="331"/>
        <v>0</v>
      </c>
      <c r="AD325" s="1208">
        <f t="shared" si="331"/>
        <v>0</v>
      </c>
      <c r="AE325" s="1208">
        <f t="shared" si="331"/>
        <v>0</v>
      </c>
      <c r="AF325" s="1208">
        <f t="shared" si="331"/>
        <v>0</v>
      </c>
      <c r="AG325" s="1208">
        <f t="shared" si="331"/>
        <v>0</v>
      </c>
      <c r="AH325" s="1208"/>
      <c r="AI325" s="852"/>
      <c r="AJ325" s="852"/>
      <c r="AK325" s="853"/>
      <c r="AL325" s="852"/>
      <c r="AM325" s="853"/>
      <c r="AN325" s="852"/>
      <c r="AO325" s="853"/>
      <c r="AP325" s="852"/>
      <c r="AQ325" s="852"/>
      <c r="AR325" s="852"/>
      <c r="AS325" s="852"/>
      <c r="AT325" s="852"/>
      <c r="AU325" s="852"/>
      <c r="AV325" s="852"/>
      <c r="AW325" s="852"/>
      <c r="AX325" s="852"/>
      <c r="AY325" s="852"/>
      <c r="AZ325" s="852"/>
    </row>
    <row r="326" spans="1:52" hidden="1" outlineLevel="1">
      <c r="A326" s="861"/>
      <c r="B326" s="852"/>
      <c r="C326" s="852"/>
      <c r="D326" s="852"/>
      <c r="E326" s="852"/>
      <c r="F326" s="852"/>
      <c r="G326" s="852"/>
      <c r="H326" s="852"/>
      <c r="I326" s="852"/>
      <c r="J326" s="852"/>
      <c r="K326" s="852"/>
      <c r="L326" s="852"/>
      <c r="M326" s="852"/>
      <c r="N326" s="852"/>
      <c r="O326" s="852"/>
      <c r="P326" s="852"/>
      <c r="Q326" s="852"/>
      <c r="R326" s="852"/>
      <c r="S326" s="852"/>
      <c r="T326" s="852"/>
      <c r="U326" s="852"/>
      <c r="V326" s="852"/>
      <c r="W326" s="852"/>
      <c r="X326" s="852"/>
      <c r="Y326" s="852"/>
      <c r="Z326" s="852"/>
      <c r="AA326" s="852"/>
      <c r="AB326" s="852"/>
      <c r="AC326" s="852"/>
      <c r="AD326" s="852"/>
      <c r="AE326" s="852"/>
      <c r="AF326" s="852"/>
      <c r="AG326" s="852"/>
      <c r="AH326" s="852"/>
      <c r="AI326" s="852"/>
      <c r="AJ326" s="852"/>
      <c r="AK326" s="853"/>
      <c r="AL326" s="852"/>
      <c r="AM326" s="853"/>
      <c r="AN326" s="852"/>
      <c r="AO326" s="853"/>
      <c r="AP326" s="852"/>
      <c r="AQ326" s="852"/>
      <c r="AR326" s="852"/>
      <c r="AS326" s="852"/>
      <c r="AT326" s="852"/>
      <c r="AU326" s="852"/>
      <c r="AV326" s="852"/>
      <c r="AW326" s="852"/>
      <c r="AX326" s="852"/>
      <c r="AY326" s="852"/>
      <c r="AZ326" s="852"/>
    </row>
    <row r="327" spans="1:52" hidden="1" outlineLevel="1">
      <c r="A327" s="1182" t="s">
        <v>1978</v>
      </c>
      <c r="B327" s="1196">
        <f>B324/B306*1000000</f>
        <v>0</v>
      </c>
      <c r="C327" s="1196">
        <f t="shared" ref="C327:W327" si="332">C324/C306*1000000</f>
        <v>0</v>
      </c>
      <c r="D327" s="1196" t="e">
        <f t="shared" si="332"/>
        <v>#REF!</v>
      </c>
      <c r="E327" s="1196">
        <f t="shared" si="332"/>
        <v>3239.795918367347</v>
      </c>
      <c r="F327" s="1196">
        <f t="shared" si="332"/>
        <v>3284.3137254901962</v>
      </c>
      <c r="G327" s="1196">
        <f t="shared" si="332"/>
        <v>3101.8518518518522</v>
      </c>
      <c r="H327" s="1196">
        <f t="shared" si="332"/>
        <v>2499.9999999999995</v>
      </c>
      <c r="I327" s="1196">
        <f t="shared" si="332"/>
        <v>2294.1176470588239</v>
      </c>
      <c r="J327" s="1196">
        <f>J324/J306*1000000</f>
        <v>2271.4285714285716</v>
      </c>
      <c r="K327" s="1196">
        <f t="shared" si="332"/>
        <v>2527.7777777777778</v>
      </c>
      <c r="L327" s="1196">
        <f t="shared" si="332"/>
        <v>2558.4415584415583</v>
      </c>
      <c r="M327" s="1196">
        <f t="shared" si="332"/>
        <v>2731.707317073171</v>
      </c>
      <c r="N327" s="1196">
        <f t="shared" si="332"/>
        <v>2761.9047619047619</v>
      </c>
      <c r="O327" s="1196">
        <f t="shared" si="332"/>
        <v>2755.5555555555552</v>
      </c>
      <c r="P327" s="1196">
        <f t="shared" si="332"/>
        <v>2906.2500000000005</v>
      </c>
      <c r="Q327" s="1196">
        <f t="shared" si="332"/>
        <v>2926.3157894736846</v>
      </c>
      <c r="R327" s="1196">
        <f t="shared" si="332"/>
        <v>2970.8737864077666</v>
      </c>
      <c r="S327" s="1196">
        <f t="shared" si="332"/>
        <v>2868.4210526315792</v>
      </c>
      <c r="T327" s="1196">
        <f t="shared" si="332"/>
        <v>2881.0306198655708</v>
      </c>
      <c r="U327" s="1196">
        <f t="shared" si="332"/>
        <v>2908.2209960187183</v>
      </c>
      <c r="V327" s="1196">
        <f t="shared" si="332"/>
        <v>2854.9437915176286</v>
      </c>
      <c r="W327" s="1196">
        <f t="shared" si="332"/>
        <v>2827.1963059436412</v>
      </c>
      <c r="X327" s="1196">
        <f t="shared" ref="X327:AC327" si="333">X324/X306*1000000</f>
        <v>2634.4329214474837</v>
      </c>
      <c r="Y327" s="1196">
        <f t="shared" si="333"/>
        <v>2453.228540607181</v>
      </c>
      <c r="Z327" s="1196">
        <f>Z324/Z306*1000000</f>
        <v>2295.3474959146392</v>
      </c>
      <c r="AA327" s="1196">
        <f>AA324/AA306*1000000</f>
        <v>2156.5590426732892</v>
      </c>
      <c r="AB327" s="1196">
        <f t="shared" si="333"/>
        <v>2033.5973428717421</v>
      </c>
      <c r="AC327" s="1196">
        <f t="shared" si="333"/>
        <v>1923.901220642146</v>
      </c>
      <c r="AD327" s="1196">
        <f>AD324/AD306*1000000</f>
        <v>1825.4338353336896</v>
      </c>
      <c r="AE327" s="1196">
        <f>AE324/AE306*1000000</f>
        <v>1736.5550343623866</v>
      </c>
      <c r="AF327" s="1196">
        <f>AF324/AF306*1000000</f>
        <v>1655.929264909847</v>
      </c>
      <c r="AG327" s="1196">
        <f>AG324/AG306*1000000</f>
        <v>1582.4580005964408</v>
      </c>
      <c r="AH327" s="1196"/>
      <c r="AI327" s="852"/>
      <c r="AJ327" s="852"/>
      <c r="AK327" s="853"/>
      <c r="AL327" s="852"/>
      <c r="AM327" s="853"/>
      <c r="AN327" s="852"/>
      <c r="AO327" s="853"/>
      <c r="AP327" s="852"/>
      <c r="AQ327" s="852"/>
      <c r="AR327" s="852"/>
      <c r="AS327" s="852"/>
      <c r="AT327" s="852"/>
      <c r="AU327" s="852"/>
      <c r="AV327" s="852"/>
      <c r="AW327" s="852"/>
      <c r="AX327" s="852"/>
      <c r="AY327" s="852"/>
      <c r="AZ327" s="852"/>
    </row>
    <row r="328" spans="1:52" hidden="1" outlineLevel="1">
      <c r="A328" s="1182" t="s">
        <v>1971</v>
      </c>
      <c r="B328" s="852"/>
      <c r="C328" s="852"/>
      <c r="D328" s="852"/>
      <c r="E328" s="852"/>
      <c r="F328" s="1198">
        <f>F327/E327-1</f>
        <v>1.3740929442643157E-2</v>
      </c>
      <c r="G328" s="1198">
        <f>G327/F327-1</f>
        <v>-5.5555555555555469E-2</v>
      </c>
      <c r="H328" s="1198">
        <f>H327/G327-1</f>
        <v>-0.19402985074626888</v>
      </c>
      <c r="I328" s="1198">
        <f>I327/H327-1</f>
        <v>-8.2352941176470296E-2</v>
      </c>
      <c r="J328" s="1198">
        <f>J327/I327-1</f>
        <v>-9.890109890109966E-3</v>
      </c>
      <c r="K328" s="1198">
        <f t="shared" ref="K328:Q328" si="334">K327/J327-1</f>
        <v>0.11285814116002801</v>
      </c>
      <c r="L328" s="1198">
        <f t="shared" si="334"/>
        <v>1.2130726416440529E-2</v>
      </c>
      <c r="M328" s="1198">
        <f t="shared" si="334"/>
        <v>6.7723164541290348E-2</v>
      </c>
      <c r="N328" s="1198">
        <f t="shared" si="334"/>
        <v>1.1054421768707412E-2</v>
      </c>
      <c r="O328" s="1198">
        <f t="shared" si="334"/>
        <v>-2.2988505747127963E-3</v>
      </c>
      <c r="P328" s="1198">
        <f t="shared" si="334"/>
        <v>5.4687500000000222E-2</v>
      </c>
      <c r="Q328" s="1198">
        <f t="shared" si="334"/>
        <v>6.9043576683645025E-3</v>
      </c>
      <c r="R328" s="1198">
        <f t="shared" ref="R328:AA328" si="335">R327/Q327-1</f>
        <v>1.5226653628553244E-2</v>
      </c>
      <c r="S328" s="1198">
        <f t="shared" si="335"/>
        <v>-3.4485724114206917E-2</v>
      </c>
      <c r="T328" s="1198">
        <f t="shared" si="335"/>
        <v>4.3959959164374673E-3</v>
      </c>
      <c r="U328" s="1198">
        <f t="shared" si="335"/>
        <v>9.4377255019997275E-3</v>
      </c>
      <c r="V328" s="1198">
        <f t="shared" si="335"/>
        <v>-1.831951718044289E-2</v>
      </c>
      <c r="W328" s="1198">
        <f t="shared" si="335"/>
        <v>-9.7191004798162783E-3</v>
      </c>
      <c r="X328" s="1198">
        <f t="shared" si="335"/>
        <v>-6.8181818181818232E-2</v>
      </c>
      <c r="Y328" s="1198">
        <f t="shared" si="335"/>
        <v>-6.8783068783068613E-2</v>
      </c>
      <c r="Z328" s="1198">
        <f t="shared" si="335"/>
        <v>-6.4356435643564525E-2</v>
      </c>
      <c r="AA328" s="1198">
        <f t="shared" si="335"/>
        <v>-6.0465116279069697E-2</v>
      </c>
      <c r="AB328" s="1198">
        <f t="shared" ref="AB328:AG328" si="336">AB327/AA327-1</f>
        <v>-5.7017543859649078E-2</v>
      </c>
      <c r="AC328" s="1198">
        <f t="shared" si="336"/>
        <v>-5.3941908713692976E-2</v>
      </c>
      <c r="AD328" s="1198">
        <f t="shared" si="336"/>
        <v>-5.1181102362204745E-2</v>
      </c>
      <c r="AE328" s="1198">
        <f t="shared" si="336"/>
        <v>-4.8689138576778923E-2</v>
      </c>
      <c r="AF328" s="1198">
        <f t="shared" si="336"/>
        <v>-4.6428571428571486E-2</v>
      </c>
      <c r="AG328" s="1198">
        <f t="shared" si="336"/>
        <v>-4.4368600682593851E-2</v>
      </c>
      <c r="AH328" s="1198"/>
      <c r="AI328" s="852"/>
      <c r="AJ328" s="852"/>
      <c r="AK328" s="853"/>
      <c r="AL328" s="852"/>
      <c r="AM328" s="853"/>
      <c r="AN328" s="852"/>
      <c r="AO328" s="853"/>
      <c r="AP328" s="852"/>
      <c r="AQ328" s="852"/>
      <c r="AR328" s="852"/>
      <c r="AS328" s="852"/>
      <c r="AT328" s="852"/>
      <c r="AU328" s="852"/>
      <c r="AV328" s="852"/>
      <c r="AW328" s="852"/>
      <c r="AX328" s="852"/>
      <c r="AY328" s="852"/>
      <c r="AZ328" s="852"/>
    </row>
    <row r="329" spans="1:52" hidden="1" outlineLevel="1">
      <c r="A329" s="861"/>
      <c r="B329" s="852"/>
      <c r="C329" s="852"/>
      <c r="D329" s="852"/>
      <c r="E329" s="852"/>
      <c r="F329" s="852"/>
      <c r="G329" s="852"/>
      <c r="H329" s="852"/>
      <c r="I329" s="852"/>
      <c r="J329" s="852"/>
      <c r="K329" s="852"/>
      <c r="L329" s="852"/>
      <c r="M329" s="852"/>
      <c r="N329" s="852"/>
      <c r="O329" s="852"/>
      <c r="P329" s="852"/>
      <c r="Q329" s="852"/>
      <c r="R329" s="852"/>
      <c r="S329" s="852"/>
      <c r="T329" s="852"/>
      <c r="U329" s="852"/>
      <c r="V329" s="852"/>
      <c r="W329" s="852"/>
      <c r="X329" s="852"/>
      <c r="Y329" s="852"/>
      <c r="Z329" s="852"/>
      <c r="AA329" s="852"/>
      <c r="AB329" s="852"/>
      <c r="AC329" s="852"/>
      <c r="AD329" s="852"/>
      <c r="AE329" s="852"/>
      <c r="AF329" s="852"/>
      <c r="AG329" s="852"/>
      <c r="AH329" s="852"/>
      <c r="AI329" s="852"/>
      <c r="AJ329" s="852"/>
      <c r="AK329" s="853"/>
      <c r="AL329" s="852"/>
      <c r="AM329" s="853"/>
      <c r="AN329" s="852"/>
      <c r="AO329" s="853"/>
      <c r="AP329" s="852"/>
      <c r="AQ329" s="852"/>
      <c r="AR329" s="852"/>
      <c r="AS329" s="852"/>
      <c r="AT329" s="852"/>
      <c r="AU329" s="852"/>
      <c r="AV329" s="852"/>
      <c r="AW329" s="852"/>
      <c r="AX329" s="852"/>
      <c r="AY329" s="852"/>
      <c r="AZ329" s="852"/>
    </row>
    <row r="330" spans="1:52" hidden="1" outlineLevel="1">
      <c r="A330" s="1182" t="s">
        <v>558</v>
      </c>
      <c r="B330" s="852"/>
      <c r="C330" s="852"/>
      <c r="D330" s="1212"/>
      <c r="E330" s="1212">
        <f>E285/E324</f>
        <v>1325.1401574803151</v>
      </c>
      <c r="F330" s="1212">
        <f>F285/F324</f>
        <v>1682.7283582089553</v>
      </c>
      <c r="G330" s="1212">
        <f>G285/G324</f>
        <v>2064.794029850746</v>
      </c>
      <c r="H330" s="1212">
        <f>H285/H324</f>
        <v>2740.2827586206899</v>
      </c>
      <c r="I330" s="1212">
        <f t="shared" ref="I330:W330" si="337">I285/I324</f>
        <v>2700.4423076923076</v>
      </c>
      <c r="J330" s="1212">
        <f t="shared" si="337"/>
        <v>2908.6415094339623</v>
      </c>
      <c r="K330" s="1212">
        <f t="shared" si="337"/>
        <v>3239.598901098901</v>
      </c>
      <c r="L330" s="1212">
        <f t="shared" si="337"/>
        <v>3448.0913705583748</v>
      </c>
      <c r="M330" s="1212">
        <f t="shared" si="337"/>
        <v>2942.0892857142858</v>
      </c>
      <c r="N330" s="1212">
        <f t="shared" si="337"/>
        <v>2946.0732758620688</v>
      </c>
      <c r="O330" s="1212">
        <f t="shared" si="337"/>
        <v>3151.5</v>
      </c>
      <c r="P330" s="1212">
        <f t="shared" si="337"/>
        <v>3072.9749103942645</v>
      </c>
      <c r="Q330" s="1212">
        <f t="shared" si="337"/>
        <v>3239.888489208633</v>
      </c>
      <c r="R330" s="1212">
        <f t="shared" si="337"/>
        <v>3302.7026143790854</v>
      </c>
      <c r="S330" s="1212">
        <f t="shared" si="337"/>
        <v>3671.0764525993882</v>
      </c>
      <c r="T330" s="1212">
        <f t="shared" si="337"/>
        <v>3430.9303470980121</v>
      </c>
      <c r="U330" s="1212">
        <f t="shared" si="337"/>
        <v>3537.4786848235949</v>
      </c>
      <c r="V330" s="1212">
        <f t="shared" si="337"/>
        <v>3583.3501129829747</v>
      </c>
      <c r="W330" s="1212">
        <f t="shared" si="337"/>
        <v>3623.3431748225398</v>
      </c>
      <c r="X330" s="1212">
        <f t="shared" ref="X330:AC330" si="338">X285/X324</f>
        <v>3623.3431748225398</v>
      </c>
      <c r="Y330" s="1212">
        <f t="shared" si="338"/>
        <v>3623.3431748225398</v>
      </c>
      <c r="Z330" s="1212">
        <f>Z285/Z324</f>
        <v>3623.3431748225398</v>
      </c>
      <c r="AA330" s="1212">
        <f>AA285/AA324</f>
        <v>3623.3431748225398</v>
      </c>
      <c r="AB330" s="1212">
        <f t="shared" si="338"/>
        <v>3623.3431748225398</v>
      </c>
      <c r="AC330" s="1212">
        <f t="shared" si="338"/>
        <v>3623.3431748225398</v>
      </c>
      <c r="AD330" s="1212">
        <f>AD285/AD324</f>
        <v>3623.3431748225398</v>
      </c>
      <c r="AE330" s="1212">
        <f>AE285/AE324</f>
        <v>3623.3431748225398</v>
      </c>
      <c r="AF330" s="1212">
        <f>AF285/AF324</f>
        <v>3623.3431748225398</v>
      </c>
      <c r="AG330" s="1212">
        <f>AG285/AG324</f>
        <v>3623.3431748225398</v>
      </c>
      <c r="AH330" s="1212"/>
      <c r="AI330" s="852"/>
      <c r="AJ330" s="852"/>
      <c r="AK330" s="853"/>
      <c r="AL330" s="852"/>
      <c r="AM330" s="853"/>
      <c r="AN330" s="852"/>
      <c r="AO330" s="853"/>
      <c r="AP330" s="852"/>
      <c r="AQ330" s="852"/>
      <c r="AR330" s="852"/>
      <c r="AS330" s="852"/>
      <c r="AT330" s="852"/>
      <c r="AU330" s="852"/>
      <c r="AV330" s="852"/>
      <c r="AW330" s="852"/>
      <c r="AX330" s="852"/>
      <c r="AY330" s="852"/>
      <c r="AZ330" s="852"/>
    </row>
    <row r="331" spans="1:52" hidden="1" outlineLevel="1">
      <c r="A331" s="1182" t="s">
        <v>1971</v>
      </c>
      <c r="B331" s="852"/>
      <c r="C331" s="852"/>
      <c r="D331" s="852"/>
      <c r="E331" s="852"/>
      <c r="F331" s="1198">
        <f>F330/E330-1</f>
        <v>0.26984934288654827</v>
      </c>
      <c r="G331" s="1198">
        <f>G330/F330-1</f>
        <v>0.22705130615879665</v>
      </c>
      <c r="H331" s="1198">
        <f>H330/G330-1</f>
        <v>0.32714581648551722</v>
      </c>
      <c r="I331" s="1198">
        <f>I330/H330-1</f>
        <v>-1.4538810202358809E-2</v>
      </c>
      <c r="J331" s="1198">
        <f t="shared" ref="J331:S331" si="339">J330/I330-1</f>
        <v>7.7098185415252818E-2</v>
      </c>
      <c r="K331" s="1198">
        <f t="shared" si="339"/>
        <v>0.11378418089389952</v>
      </c>
      <c r="L331" s="1198">
        <f t="shared" si="339"/>
        <v>6.4357494808616966E-2</v>
      </c>
      <c r="M331" s="1198">
        <f t="shared" si="339"/>
        <v>-0.14674845601964093</v>
      </c>
      <c r="N331" s="1198">
        <f t="shared" si="339"/>
        <v>1.3541363843470045E-3</v>
      </c>
      <c r="O331" s="1198">
        <f t="shared" si="339"/>
        <v>6.9728993443932463E-2</v>
      </c>
      <c r="P331" s="1198">
        <f t="shared" si="339"/>
        <v>-2.491673476304479E-2</v>
      </c>
      <c r="Q331" s="1198">
        <f t="shared" si="339"/>
        <v>5.4316609696287266E-2</v>
      </c>
      <c r="R331" s="1198">
        <f t="shared" si="339"/>
        <v>1.9387742936114227E-2</v>
      </c>
      <c r="S331" s="1198">
        <f t="shared" si="339"/>
        <v>0.11153708984166522</v>
      </c>
      <c r="T331" s="1198">
        <f t="shared" ref="T331:AA331" si="340">T330/S330-1</f>
        <v>-6.5415718959308311E-2</v>
      </c>
      <c r="U331" s="1198">
        <f t="shared" si="340"/>
        <v>3.1055231947714868E-2</v>
      </c>
      <c r="V331" s="1198">
        <f t="shared" si="340"/>
        <v>1.2967266306416647E-2</v>
      </c>
      <c r="W331" s="1198">
        <f t="shared" si="340"/>
        <v>1.1160802204245979E-2</v>
      </c>
      <c r="X331" s="1198">
        <f t="shared" si="340"/>
        <v>0</v>
      </c>
      <c r="Y331" s="1198">
        <f t="shared" si="340"/>
        <v>0</v>
      </c>
      <c r="Z331" s="1198">
        <f t="shared" si="340"/>
        <v>0</v>
      </c>
      <c r="AA331" s="1198">
        <f t="shared" si="340"/>
        <v>0</v>
      </c>
      <c r="AB331" s="1198">
        <f t="shared" ref="AB331:AG331" si="341">AB330/AA330-1</f>
        <v>0</v>
      </c>
      <c r="AC331" s="1198">
        <f t="shared" si="341"/>
        <v>0</v>
      </c>
      <c r="AD331" s="1198">
        <f t="shared" si="341"/>
        <v>0</v>
      </c>
      <c r="AE331" s="1198">
        <f t="shared" si="341"/>
        <v>0</v>
      </c>
      <c r="AF331" s="1198">
        <f t="shared" si="341"/>
        <v>0</v>
      </c>
      <c r="AG331" s="1198">
        <f t="shared" si="341"/>
        <v>0</v>
      </c>
      <c r="AH331" s="1198"/>
      <c r="AI331" s="852"/>
      <c r="AJ331" s="852"/>
      <c r="AK331" s="853"/>
      <c r="AL331" s="852"/>
      <c r="AM331" s="853"/>
      <c r="AN331" s="852"/>
      <c r="AO331" s="853"/>
      <c r="AP331" s="852"/>
      <c r="AQ331" s="852"/>
      <c r="AR331" s="852"/>
      <c r="AS331" s="852"/>
      <c r="AT331" s="852"/>
      <c r="AU331" s="852"/>
      <c r="AV331" s="852"/>
      <c r="AW331" s="852"/>
      <c r="AX331" s="852"/>
      <c r="AY331" s="852"/>
      <c r="AZ331" s="852"/>
    </row>
    <row r="332" spans="1:52" hidden="1" outlineLevel="1">
      <c r="A332" s="861"/>
      <c r="B332" s="852"/>
      <c r="C332" s="852"/>
      <c r="D332" s="852"/>
      <c r="E332" s="852"/>
      <c r="F332" s="852"/>
      <c r="G332" s="852"/>
      <c r="H332" s="852"/>
      <c r="I332" s="852"/>
      <c r="J332" s="852"/>
      <c r="K332" s="852"/>
      <c r="L332" s="852"/>
      <c r="M332" s="852"/>
      <c r="N332" s="852"/>
      <c r="O332" s="852"/>
      <c r="P332" s="852"/>
      <c r="Q332" s="852"/>
      <c r="R332" s="852"/>
      <c r="S332" s="852"/>
      <c r="T332" s="852"/>
      <c r="U332" s="852"/>
      <c r="V332" s="852"/>
      <c r="W332" s="852"/>
      <c r="X332" s="852"/>
      <c r="Y332" s="852"/>
      <c r="Z332" s="852"/>
      <c r="AA332" s="852"/>
      <c r="AB332" s="852"/>
      <c r="AC332" s="852"/>
      <c r="AD332" s="852"/>
      <c r="AE332" s="852"/>
      <c r="AF332" s="852"/>
      <c r="AG332" s="852"/>
      <c r="AH332" s="852"/>
      <c r="AI332" s="852"/>
      <c r="AJ332" s="852"/>
      <c r="AK332" s="853"/>
      <c r="AL332" s="852"/>
      <c r="AM332" s="853"/>
      <c r="AN332" s="852"/>
      <c r="AO332" s="853"/>
      <c r="AP332" s="852"/>
      <c r="AQ332" s="852"/>
      <c r="AR332" s="852"/>
      <c r="AS332" s="852"/>
      <c r="AT332" s="852"/>
      <c r="AU332" s="852"/>
      <c r="AV332" s="852"/>
      <c r="AW332" s="852"/>
      <c r="AX332" s="852"/>
      <c r="AY332" s="852"/>
      <c r="AZ332" s="852"/>
    </row>
    <row r="333" spans="1:52" hidden="1" outlineLevel="1">
      <c r="A333" s="1182" t="s">
        <v>1980</v>
      </c>
      <c r="B333" s="852"/>
      <c r="C333" s="852"/>
      <c r="D333" s="852"/>
      <c r="E333" s="852"/>
      <c r="F333" s="852"/>
      <c r="G333" s="852"/>
      <c r="H333" s="852"/>
      <c r="I333" s="852"/>
      <c r="J333" s="852"/>
      <c r="K333" s="852"/>
      <c r="L333" s="852"/>
      <c r="M333" s="852"/>
      <c r="N333" s="852"/>
      <c r="O333" s="852"/>
      <c r="P333" s="852"/>
      <c r="Q333" s="852"/>
      <c r="R333" s="852"/>
      <c r="S333" s="852"/>
      <c r="T333" s="852"/>
      <c r="U333" s="852"/>
      <c r="V333" s="852"/>
      <c r="W333" s="852"/>
      <c r="X333" s="852"/>
      <c r="Y333" s="852"/>
      <c r="Z333" s="852"/>
      <c r="AA333" s="852"/>
      <c r="AB333" s="852"/>
      <c r="AC333" s="852"/>
      <c r="AD333" s="852"/>
      <c r="AE333" s="852"/>
      <c r="AF333" s="852"/>
      <c r="AG333" s="852"/>
      <c r="AH333" s="852"/>
      <c r="AI333" s="852"/>
      <c r="AJ333" s="852"/>
      <c r="AK333" s="853"/>
      <c r="AL333" s="852"/>
      <c r="AM333" s="853"/>
      <c r="AN333" s="852"/>
      <c r="AO333" s="853"/>
      <c r="AP333" s="852"/>
      <c r="AQ333" s="852"/>
      <c r="AR333" s="852"/>
      <c r="AS333" s="852"/>
      <c r="AT333" s="852"/>
      <c r="AU333" s="852"/>
      <c r="AV333" s="852"/>
      <c r="AW333" s="852"/>
      <c r="AX333" s="852"/>
      <c r="AY333" s="852"/>
      <c r="AZ333" s="852"/>
    </row>
    <row r="334" spans="1:52" hidden="1" outlineLevel="1">
      <c r="A334" s="1202" t="s">
        <v>1362</v>
      </c>
      <c r="B334" s="852"/>
      <c r="C334" s="852"/>
      <c r="D334" s="852"/>
      <c r="E334" s="852"/>
      <c r="F334" s="852">
        <f>'segSales&amp;comps'!$X46</f>
        <v>3</v>
      </c>
      <c r="G334" s="852">
        <f>'segSales&amp;comps'!$X53</f>
        <v>13</v>
      </c>
      <c r="H334" s="852">
        <f>'segSales&amp;comps'!$X60</f>
        <v>13</v>
      </c>
      <c r="I334" s="852">
        <f>'segSales&amp;comps'!X67</f>
        <v>13</v>
      </c>
      <c r="J334" s="852">
        <f>'segSales&amp;comps'!X74</f>
        <v>15</v>
      </c>
      <c r="K334" s="852">
        <f>'segSales&amp;comps'!X81</f>
        <v>13</v>
      </c>
      <c r="L334" s="852">
        <f>'segSales&amp;comps'!X88</f>
        <v>11</v>
      </c>
      <c r="M334" s="852">
        <f>'segSales&amp;comps'!X95</f>
        <v>3</v>
      </c>
      <c r="N334" s="852">
        <f>'segSales&amp;comps'!X102</f>
        <v>-8</v>
      </c>
      <c r="O334" s="852">
        <f>'segSales&amp;comps'!X109</f>
        <v>-3</v>
      </c>
      <c r="P334" s="852">
        <f>'segSales&amp;comps'!X116</f>
        <v>-8</v>
      </c>
      <c r="Q334" s="852">
        <f>'segSales&amp;comps'!X123</f>
        <v>0</v>
      </c>
      <c r="R334" s="852">
        <f>'segSales&amp;comps'!X130</f>
        <v>0</v>
      </c>
      <c r="S334" s="1213">
        <f>'segSales&amp;comps'!$X137</f>
        <v>-5</v>
      </c>
      <c r="T334" s="852">
        <f>'segSales&amp;comps'!$Y$170</f>
        <v>-10</v>
      </c>
      <c r="U334" s="1213">
        <f>'segSales&amp;comps'!$Y$177</f>
        <v>-11</v>
      </c>
      <c r="V334" s="852"/>
      <c r="W334" s="852"/>
      <c r="X334" s="852"/>
      <c r="Y334" s="852"/>
      <c r="Z334" s="852"/>
      <c r="AA334" s="852"/>
      <c r="AB334" s="852"/>
      <c r="AC334" s="852"/>
      <c r="AD334" s="852"/>
      <c r="AE334" s="852"/>
      <c r="AF334" s="852"/>
      <c r="AG334" s="852"/>
      <c r="AH334" s="852"/>
      <c r="AI334" s="852"/>
      <c r="AJ334" s="852"/>
      <c r="AK334" s="853"/>
      <c r="AL334" s="852"/>
      <c r="AM334" s="853"/>
      <c r="AN334" s="852"/>
      <c r="AO334" s="853"/>
      <c r="AP334" s="852"/>
      <c r="AQ334" s="852"/>
      <c r="AR334" s="852"/>
      <c r="AS334" s="852"/>
      <c r="AT334" s="852"/>
      <c r="AU334" s="852"/>
      <c r="AV334" s="852"/>
      <c r="AW334" s="852"/>
      <c r="AX334" s="852"/>
      <c r="AY334" s="852"/>
      <c r="AZ334" s="852"/>
    </row>
    <row r="335" spans="1:52" hidden="1" outlineLevel="1">
      <c r="A335" s="1202" t="s">
        <v>1363</v>
      </c>
      <c r="B335" s="852"/>
      <c r="C335" s="852"/>
      <c r="D335" s="852"/>
      <c r="E335" s="852"/>
      <c r="F335" s="852"/>
      <c r="G335" s="852"/>
      <c r="H335" s="852">
        <f>'segSales&amp;comps'!$AD60</f>
        <v>15</v>
      </c>
      <c r="I335" s="852">
        <f>'segSales&amp;comps'!$AD67</f>
        <v>1</v>
      </c>
      <c r="J335" s="852">
        <f>'segSales&amp;comps'!AD74</f>
        <v>-7</v>
      </c>
      <c r="K335" s="852">
        <f>'segSales&amp;comps'!AD81</f>
        <v>36</v>
      </c>
      <c r="L335" s="852">
        <f>'segSales&amp;comps'!AD88</f>
        <v>26</v>
      </c>
      <c r="M335" s="852">
        <f>'segSales&amp;comps'!AD95</f>
        <v>0</v>
      </c>
      <c r="N335" s="852">
        <f>'segSales&amp;comps'!AD102</f>
        <v>5</v>
      </c>
      <c r="O335" s="852">
        <f>'segSales&amp;comps'!AD109</f>
        <v>13</v>
      </c>
      <c r="P335" s="852">
        <f>'segSales&amp;comps'!AD116</f>
        <v>11</v>
      </c>
      <c r="Q335" s="852">
        <f>'segSales&amp;comps'!AD123</f>
        <v>8</v>
      </c>
      <c r="R335" s="852">
        <f>'segSales&amp;comps'!$AD130</f>
        <v>22</v>
      </c>
      <c r="S335" s="1213">
        <f>'segSales&amp;comps'!$AD137</f>
        <v>26</v>
      </c>
      <c r="T335" s="852">
        <f>'segSales&amp;comps'!$AD$170</f>
        <v>5</v>
      </c>
      <c r="U335" s="1213">
        <f>'segSales&amp;comps'!$AD$177</f>
        <v>8</v>
      </c>
      <c r="V335" s="852"/>
      <c r="W335" s="852"/>
      <c r="X335" s="852"/>
      <c r="Y335" s="852"/>
      <c r="Z335" s="852"/>
      <c r="AA335" s="852"/>
      <c r="AB335" s="852"/>
      <c r="AC335" s="852"/>
      <c r="AD335" s="852"/>
      <c r="AE335" s="852"/>
      <c r="AF335" s="852"/>
      <c r="AG335" s="852"/>
      <c r="AH335" s="852"/>
      <c r="AI335" s="852"/>
      <c r="AJ335" s="852"/>
      <c r="AK335" s="853"/>
      <c r="AL335" s="852"/>
      <c r="AM335" s="853"/>
      <c r="AN335" s="852"/>
      <c r="AO335" s="853"/>
      <c r="AP335" s="852"/>
      <c r="AQ335" s="852"/>
      <c r="AR335" s="852"/>
      <c r="AS335" s="852"/>
      <c r="AT335" s="852"/>
      <c r="AU335" s="852"/>
      <c r="AV335" s="852"/>
      <c r="AW335" s="852"/>
      <c r="AX335" s="852"/>
      <c r="AY335" s="852"/>
      <c r="AZ335" s="852"/>
    </row>
    <row r="336" spans="1:52" hidden="1" outlineLevel="1">
      <c r="A336" s="1202" t="s">
        <v>2008</v>
      </c>
      <c r="B336" s="852"/>
      <c r="C336" s="852"/>
      <c r="D336" s="852"/>
      <c r="E336" s="852"/>
      <c r="F336" s="852"/>
      <c r="G336" s="852"/>
      <c r="H336" s="852">
        <f>'segSales&amp;comps'!$AE60</f>
        <v>22</v>
      </c>
      <c r="I336" s="852">
        <f>'segSales&amp;comps'!$AE67</f>
        <v>17</v>
      </c>
      <c r="J336" s="852">
        <f>'segSales&amp;comps'!AE74</f>
        <v>16</v>
      </c>
      <c r="K336" s="852">
        <f>'segSales&amp;comps'!AE81</f>
        <v>26</v>
      </c>
      <c r="L336" s="852">
        <f>'segSales&amp;comps'!AE88</f>
        <v>23</v>
      </c>
      <c r="M336" s="852">
        <f>'segSales&amp;comps'!AE95</f>
        <v>1</v>
      </c>
      <c r="N336" s="852">
        <f>'segSales&amp;comps'!AE102</f>
        <v>2</v>
      </c>
      <c r="O336" s="852">
        <f>'segSales&amp;comps'!AE109</f>
        <v>12</v>
      </c>
      <c r="P336" s="852">
        <f>'segSales&amp;comps'!AE116</f>
        <v>3</v>
      </c>
      <c r="Q336" s="852">
        <f>'segSales&amp;comps'!AE123</f>
        <v>1</v>
      </c>
      <c r="R336" s="852">
        <f>'segSales&amp;comps'!$AE130</f>
        <v>20</v>
      </c>
      <c r="S336" s="1213">
        <f>'segSales&amp;comps'!$AI$163</f>
        <v>13</v>
      </c>
      <c r="T336" s="852">
        <f>'segSales&amp;comps'!$AI$170</f>
        <v>6</v>
      </c>
      <c r="U336" s="1213">
        <f>'segSales&amp;comps'!$AI$177</f>
        <v>9</v>
      </c>
      <c r="V336" s="852"/>
      <c r="W336" s="852"/>
      <c r="X336" s="852"/>
      <c r="Y336" s="852"/>
      <c r="Z336" s="852"/>
      <c r="AA336" s="852"/>
      <c r="AB336" s="852"/>
      <c r="AC336" s="852"/>
      <c r="AD336" s="852"/>
      <c r="AE336" s="852"/>
      <c r="AF336" s="852"/>
      <c r="AG336" s="852"/>
      <c r="AH336" s="852"/>
      <c r="AI336" s="852"/>
      <c r="AJ336" s="852"/>
      <c r="AK336" s="853"/>
      <c r="AL336" s="852"/>
      <c r="AM336" s="853"/>
      <c r="AN336" s="852"/>
      <c r="AO336" s="853"/>
      <c r="AP336" s="852"/>
      <c r="AQ336" s="852"/>
      <c r="AR336" s="852"/>
      <c r="AS336" s="852"/>
      <c r="AT336" s="852"/>
      <c r="AU336" s="852"/>
      <c r="AV336" s="852"/>
      <c r="AW336" s="852"/>
      <c r="AX336" s="852"/>
      <c r="AY336" s="852"/>
      <c r="AZ336" s="852"/>
    </row>
    <row r="337" spans="1:52" hidden="1" outlineLevel="1">
      <c r="A337" s="1182"/>
      <c r="B337" s="852"/>
      <c r="C337" s="852"/>
      <c r="D337" s="852"/>
      <c r="E337" s="852"/>
      <c r="F337" s="852"/>
      <c r="G337" s="852"/>
      <c r="H337" s="852"/>
      <c r="I337" s="852"/>
      <c r="J337" s="852"/>
      <c r="K337" s="852"/>
      <c r="L337" s="852"/>
      <c r="M337" s="852"/>
      <c r="N337" s="852"/>
      <c r="O337" s="852"/>
      <c r="P337" s="852"/>
      <c r="Q337" s="852"/>
      <c r="R337" s="852"/>
      <c r="S337" s="852"/>
      <c r="T337" s="852"/>
      <c r="U337" s="852"/>
      <c r="V337" s="852"/>
      <c r="W337" s="852"/>
      <c r="X337" s="852"/>
      <c r="Y337" s="852"/>
      <c r="Z337" s="852"/>
      <c r="AA337" s="852"/>
      <c r="AB337" s="852"/>
      <c r="AC337" s="852"/>
      <c r="AD337" s="852"/>
      <c r="AE337" s="852"/>
      <c r="AF337" s="852"/>
      <c r="AG337" s="852"/>
      <c r="AH337" s="852"/>
      <c r="AI337" s="852"/>
      <c r="AJ337" s="852"/>
      <c r="AK337" s="853"/>
      <c r="AL337" s="852"/>
      <c r="AM337" s="853"/>
      <c r="AN337" s="852"/>
      <c r="AO337" s="853"/>
      <c r="AP337" s="852"/>
      <c r="AQ337" s="852"/>
      <c r="AR337" s="852"/>
      <c r="AS337" s="852"/>
      <c r="AT337" s="852"/>
      <c r="AU337" s="852"/>
      <c r="AV337" s="852"/>
      <c r="AW337" s="852"/>
      <c r="AX337" s="852"/>
      <c r="AY337" s="852"/>
      <c r="AZ337" s="852"/>
    </row>
    <row r="338" spans="1:52" hidden="1" outlineLevel="1">
      <c r="A338" s="1182" t="s">
        <v>1980</v>
      </c>
      <c r="B338" s="852"/>
      <c r="C338" s="852"/>
      <c r="D338" s="1198"/>
      <c r="E338" s="1198"/>
      <c r="F338" s="1198"/>
      <c r="G338" s="1198"/>
      <c r="H338" s="1198"/>
      <c r="I338" s="1198"/>
      <c r="J338" s="1198"/>
      <c r="K338" s="1198"/>
      <c r="L338" s="1198"/>
      <c r="M338" s="1198"/>
      <c r="N338" s="1198"/>
      <c r="O338" s="1198"/>
      <c r="P338" s="1198">
        <f>'segSales&amp;comps'!S116/100</f>
        <v>-0.03</v>
      </c>
      <c r="Q338" s="1198">
        <f>'segSales&amp;comps'!S123/100</f>
        <v>0.02</v>
      </c>
      <c r="R338" s="1198">
        <f>'segSales&amp;comps'!S130/100</f>
        <v>0.08</v>
      </c>
      <c r="S338" s="1198">
        <f>'segSales&amp;comps'!$S137/100</f>
        <v>7.0000000000000007E-2</v>
      </c>
      <c r="T338" s="1199">
        <v>0.05</v>
      </c>
      <c r="U338" s="1199">
        <v>0.05</v>
      </c>
      <c r="V338" s="1199">
        <v>0.03</v>
      </c>
      <c r="W338" s="1199">
        <v>0.03</v>
      </c>
      <c r="X338" s="1199">
        <v>0.03</v>
      </c>
      <c r="Y338" s="1199">
        <v>0.03</v>
      </c>
      <c r="Z338" s="1199">
        <v>0.03</v>
      </c>
      <c r="AA338" s="1199">
        <v>0.03</v>
      </c>
      <c r="AB338" s="1199">
        <v>0.03</v>
      </c>
      <c r="AC338" s="1199">
        <v>0.03</v>
      </c>
      <c r="AD338" s="1199">
        <v>0.03</v>
      </c>
      <c r="AE338" s="1199">
        <v>0.03</v>
      </c>
      <c r="AF338" s="1199">
        <v>0.03</v>
      </c>
      <c r="AG338" s="1199">
        <v>0.03</v>
      </c>
      <c r="AH338" s="1199"/>
      <c r="AI338" s="852"/>
      <c r="AJ338" s="852"/>
      <c r="AK338" s="853"/>
      <c r="AL338" s="852"/>
      <c r="AM338" s="853"/>
      <c r="AN338" s="852"/>
      <c r="AO338" s="853"/>
      <c r="AP338" s="852"/>
      <c r="AQ338" s="852"/>
      <c r="AR338" s="852"/>
      <c r="AS338" s="852"/>
      <c r="AT338" s="852"/>
      <c r="AU338" s="852"/>
      <c r="AV338" s="852"/>
      <c r="AW338" s="852"/>
      <c r="AX338" s="852"/>
      <c r="AY338" s="852"/>
      <c r="AZ338" s="852"/>
    </row>
    <row r="339" spans="1:52" hidden="1" outlineLevel="1">
      <c r="A339" s="1182" t="s">
        <v>1578</v>
      </c>
      <c r="B339" s="852"/>
      <c r="C339" s="852"/>
      <c r="D339" s="852"/>
      <c r="E339" s="852"/>
      <c r="F339" s="852"/>
      <c r="G339" s="852"/>
      <c r="H339" s="852"/>
      <c r="I339" s="852"/>
      <c r="J339" s="852"/>
      <c r="K339" s="852"/>
      <c r="L339" s="852"/>
      <c r="M339" s="852"/>
      <c r="N339" s="852"/>
      <c r="O339" s="852"/>
      <c r="P339" s="1198">
        <f t="shared" ref="P339:AA339" si="342">P286-P338</f>
        <v>0.12696867339157489</v>
      </c>
      <c r="Q339" s="1198">
        <f t="shared" si="342"/>
        <v>3.0537697116730617E-2</v>
      </c>
      <c r="R339" s="1198">
        <f t="shared" si="342"/>
        <v>4.2059889706657819E-2</v>
      </c>
      <c r="S339" s="1198">
        <f t="shared" si="342"/>
        <v>0.11781904698766194</v>
      </c>
      <c r="T339" s="1198">
        <f t="shared" si="342"/>
        <v>2.0439054948094212E-2</v>
      </c>
      <c r="U339" s="1198">
        <f t="shared" si="342"/>
        <v>6.2840466926070079E-2</v>
      </c>
      <c r="V339" s="1198">
        <f t="shared" si="342"/>
        <v>5.7412587412587507E-2</v>
      </c>
      <c r="W339" s="1198">
        <f t="shared" si="342"/>
        <v>5.038585209003224E-2</v>
      </c>
      <c r="X339" s="1198">
        <f t="shared" si="342"/>
        <v>-0.03</v>
      </c>
      <c r="Y339" s="1198">
        <f t="shared" si="342"/>
        <v>-0.03</v>
      </c>
      <c r="Z339" s="1198">
        <f t="shared" si="342"/>
        <v>-0.03</v>
      </c>
      <c r="AA339" s="1198">
        <f t="shared" si="342"/>
        <v>-0.03</v>
      </c>
      <c r="AB339" s="1198">
        <f t="shared" ref="AB339:AG339" si="343">AB286-AB338</f>
        <v>-0.03</v>
      </c>
      <c r="AC339" s="1198">
        <f t="shared" si="343"/>
        <v>-0.03</v>
      </c>
      <c r="AD339" s="1198">
        <f t="shared" si="343"/>
        <v>-0.03</v>
      </c>
      <c r="AE339" s="1198">
        <f t="shared" si="343"/>
        <v>-0.03</v>
      </c>
      <c r="AF339" s="1198">
        <f t="shared" si="343"/>
        <v>-0.03</v>
      </c>
      <c r="AG339" s="1198">
        <f t="shared" si="343"/>
        <v>-0.03</v>
      </c>
      <c r="AH339" s="1198"/>
      <c r="AI339" s="852"/>
      <c r="AJ339" s="852"/>
      <c r="AK339" s="853"/>
      <c r="AL339" s="852"/>
      <c r="AM339" s="853"/>
      <c r="AN339" s="852"/>
      <c r="AO339" s="853"/>
      <c r="AP339" s="852"/>
      <c r="AQ339" s="852"/>
      <c r="AR339" s="852"/>
      <c r="AS339" s="852"/>
      <c r="AT339" s="852"/>
      <c r="AU339" s="852"/>
      <c r="AV339" s="852"/>
      <c r="AW339" s="852"/>
      <c r="AX339" s="852"/>
      <c r="AY339" s="852"/>
      <c r="AZ339" s="852"/>
    </row>
    <row r="340" spans="1:52" hidden="1" outlineLevel="1">
      <c r="A340" s="861"/>
      <c r="B340" s="852"/>
      <c r="C340" s="852"/>
      <c r="D340" s="852"/>
      <c r="E340" s="852"/>
      <c r="F340" s="852"/>
      <c r="G340" s="852"/>
      <c r="H340" s="852"/>
      <c r="I340" s="852"/>
      <c r="J340" s="852"/>
      <c r="K340" s="852"/>
      <c r="L340" s="852"/>
      <c r="M340" s="852"/>
      <c r="N340" s="852"/>
      <c r="O340" s="852"/>
      <c r="P340" s="852"/>
      <c r="Q340" s="852"/>
      <c r="R340" s="852"/>
      <c r="S340" s="852"/>
      <c r="T340" s="852"/>
      <c r="U340" s="852"/>
      <c r="V340" s="852"/>
      <c r="W340" s="852"/>
      <c r="X340" s="852"/>
      <c r="Y340" s="852"/>
      <c r="Z340" s="852"/>
      <c r="AA340" s="852"/>
      <c r="AB340" s="852"/>
      <c r="AC340" s="852"/>
      <c r="AD340" s="852"/>
      <c r="AE340" s="852"/>
      <c r="AF340" s="852"/>
      <c r="AG340" s="852"/>
      <c r="AH340" s="852"/>
      <c r="AI340" s="852"/>
      <c r="AJ340" s="852"/>
      <c r="AK340" s="853"/>
      <c r="AL340" s="852"/>
      <c r="AM340" s="853"/>
      <c r="AN340" s="852"/>
      <c r="AO340" s="853"/>
      <c r="AP340" s="852"/>
      <c r="AQ340" s="852"/>
      <c r="AR340" s="852"/>
      <c r="AS340" s="852"/>
      <c r="AT340" s="852"/>
      <c r="AU340" s="852"/>
      <c r="AV340" s="852"/>
      <c r="AW340" s="852"/>
      <c r="AX340" s="852"/>
      <c r="AY340" s="852"/>
      <c r="AZ340" s="852"/>
    </row>
    <row r="341" spans="1:52" hidden="1" outlineLevel="1">
      <c r="A341" s="1182" t="s">
        <v>2404</v>
      </c>
      <c r="B341" s="852"/>
      <c r="C341" s="852"/>
      <c r="D341" s="852"/>
      <c r="E341" s="852"/>
      <c r="F341" s="852"/>
      <c r="G341" s="852"/>
      <c r="H341" s="852"/>
      <c r="I341" s="852"/>
      <c r="J341" s="852"/>
      <c r="K341" s="852"/>
      <c r="L341" s="852"/>
      <c r="M341" s="852"/>
      <c r="N341" s="852"/>
      <c r="O341" s="852"/>
      <c r="P341" s="852"/>
      <c r="Q341" s="852"/>
      <c r="R341" s="852"/>
      <c r="S341" s="1214">
        <v>2150</v>
      </c>
      <c r="T341" s="852"/>
      <c r="U341" s="852"/>
      <c r="V341" s="852"/>
      <c r="W341" s="852"/>
      <c r="X341" s="852"/>
      <c r="Y341" s="852"/>
      <c r="Z341" s="852"/>
      <c r="AA341" s="852"/>
      <c r="AB341" s="852"/>
      <c r="AC341" s="852"/>
      <c r="AD341" s="852"/>
      <c r="AE341" s="852"/>
      <c r="AF341" s="852"/>
      <c r="AG341" s="852"/>
      <c r="AH341" s="852"/>
      <c r="AI341" s="852"/>
      <c r="AJ341" s="852"/>
      <c r="AK341" s="853"/>
      <c r="AL341" s="852"/>
      <c r="AM341" s="853"/>
      <c r="AN341" s="852"/>
      <c r="AO341" s="853"/>
      <c r="AP341" s="852"/>
      <c r="AQ341" s="852"/>
      <c r="AR341" s="852"/>
      <c r="AS341" s="852"/>
      <c r="AT341" s="852"/>
      <c r="AU341" s="852"/>
      <c r="AV341" s="852"/>
      <c r="AW341" s="852"/>
      <c r="AX341" s="852"/>
      <c r="AY341" s="852"/>
      <c r="AZ341" s="852"/>
    </row>
    <row r="342" spans="1:52" hidden="1" outlineLevel="1">
      <c r="A342" s="1182" t="s">
        <v>2405</v>
      </c>
      <c r="B342" s="852"/>
      <c r="C342" s="852"/>
      <c r="D342" s="852"/>
      <c r="E342" s="852"/>
      <c r="F342" s="852"/>
      <c r="G342" s="852"/>
      <c r="H342" s="852"/>
      <c r="I342" s="852"/>
      <c r="J342" s="852"/>
      <c r="K342" s="852"/>
      <c r="L342" s="852"/>
      <c r="M342" s="852"/>
      <c r="N342" s="852"/>
      <c r="O342" s="852"/>
      <c r="P342" s="852"/>
      <c r="Q342" s="852"/>
      <c r="R342" s="852"/>
      <c r="S342" s="1214">
        <v>1300</v>
      </c>
      <c r="T342" s="852"/>
      <c r="U342" s="852"/>
      <c r="V342" s="852"/>
      <c r="W342" s="852"/>
      <c r="X342" s="852"/>
      <c r="Y342" s="852"/>
      <c r="Z342" s="852"/>
      <c r="AA342" s="852"/>
      <c r="AB342" s="852"/>
      <c r="AC342" s="852"/>
      <c r="AD342" s="852"/>
      <c r="AE342" s="852"/>
      <c r="AF342" s="852"/>
      <c r="AG342" s="852"/>
      <c r="AH342" s="852"/>
      <c r="AI342" s="852"/>
      <c r="AJ342" s="852"/>
      <c r="AK342" s="853"/>
      <c r="AL342" s="852"/>
      <c r="AM342" s="853"/>
      <c r="AN342" s="852"/>
      <c r="AO342" s="853"/>
      <c r="AP342" s="852"/>
      <c r="AQ342" s="852"/>
      <c r="AR342" s="852"/>
      <c r="AS342" s="852"/>
      <c r="AT342" s="852"/>
      <c r="AU342" s="852"/>
      <c r="AV342" s="852"/>
      <c r="AW342" s="852"/>
      <c r="AX342" s="852"/>
      <c r="AY342" s="852"/>
      <c r="AZ342" s="852"/>
    </row>
    <row r="343" spans="1:52" hidden="1" outlineLevel="1">
      <c r="A343" s="1182" t="s">
        <v>2406</v>
      </c>
      <c r="B343" s="852"/>
      <c r="C343" s="852"/>
      <c r="D343" s="852"/>
      <c r="E343" s="852"/>
      <c r="F343" s="852"/>
      <c r="G343" s="852"/>
      <c r="H343" s="852"/>
      <c r="I343" s="852"/>
      <c r="J343" s="852"/>
      <c r="K343" s="852"/>
      <c r="L343" s="852"/>
      <c r="M343" s="852"/>
      <c r="N343" s="852"/>
      <c r="O343" s="852"/>
      <c r="P343" s="852"/>
      <c r="Q343" s="852"/>
      <c r="R343" s="852"/>
      <c r="S343" s="1214">
        <f>7600/4</f>
        <v>1900</v>
      </c>
      <c r="T343" s="852"/>
      <c r="U343" s="852"/>
      <c r="V343" s="852"/>
      <c r="W343" s="852"/>
      <c r="X343" s="852"/>
      <c r="Y343" s="852"/>
      <c r="Z343" s="852"/>
      <c r="AA343" s="852"/>
      <c r="AB343" s="852"/>
      <c r="AC343" s="852"/>
      <c r="AD343" s="852"/>
      <c r="AE343" s="852"/>
      <c r="AF343" s="852"/>
      <c r="AG343" s="852"/>
      <c r="AH343" s="852"/>
      <c r="AI343" s="852"/>
      <c r="AJ343" s="852"/>
      <c r="AK343" s="853"/>
      <c r="AL343" s="852"/>
      <c r="AM343" s="853"/>
      <c r="AN343" s="852"/>
      <c r="AO343" s="853"/>
      <c r="AP343" s="852"/>
      <c r="AQ343" s="852"/>
      <c r="AR343" s="852"/>
      <c r="AS343" s="852"/>
      <c r="AT343" s="852"/>
      <c r="AU343" s="852"/>
      <c r="AV343" s="852"/>
      <c r="AW343" s="852"/>
      <c r="AX343" s="852"/>
      <c r="AY343" s="852"/>
      <c r="AZ343" s="852"/>
    </row>
    <row r="344" spans="1:52" hidden="1" outlineLevel="1">
      <c r="A344" s="1182"/>
      <c r="B344" s="852"/>
      <c r="C344" s="852"/>
      <c r="D344" s="852"/>
      <c r="E344" s="852"/>
      <c r="F344" s="852"/>
      <c r="G344" s="852"/>
      <c r="H344" s="852"/>
      <c r="I344" s="852"/>
      <c r="J344" s="852"/>
      <c r="K344" s="852"/>
      <c r="L344" s="852"/>
      <c r="M344" s="852"/>
      <c r="N344" s="852"/>
      <c r="O344" s="852"/>
      <c r="P344" s="852"/>
      <c r="Q344" s="852"/>
      <c r="R344" s="852"/>
      <c r="S344" s="852"/>
      <c r="T344" s="852"/>
      <c r="U344" s="852"/>
      <c r="V344" s="852"/>
      <c r="W344" s="852"/>
      <c r="X344" s="852"/>
      <c r="Y344" s="852"/>
      <c r="Z344" s="852"/>
      <c r="AA344" s="852"/>
      <c r="AB344" s="852"/>
      <c r="AC344" s="852"/>
      <c r="AD344" s="852"/>
      <c r="AE344" s="852"/>
      <c r="AF344" s="852"/>
      <c r="AG344" s="852"/>
      <c r="AH344" s="852"/>
      <c r="AI344" s="852"/>
      <c r="AJ344" s="852"/>
      <c r="AK344" s="853"/>
      <c r="AL344" s="852"/>
      <c r="AM344" s="853"/>
      <c r="AN344" s="852"/>
      <c r="AO344" s="853"/>
      <c r="AP344" s="852"/>
      <c r="AQ344" s="852"/>
      <c r="AR344" s="852"/>
      <c r="AS344" s="852"/>
      <c r="AT344" s="852"/>
      <c r="AU344" s="852"/>
      <c r="AV344" s="852"/>
      <c r="AW344" s="852"/>
      <c r="AX344" s="852"/>
      <c r="AY344" s="852"/>
      <c r="AZ344" s="852"/>
    </row>
    <row r="345" spans="1:52" hidden="1" outlineLevel="1">
      <c r="A345" s="1182" t="s">
        <v>1981</v>
      </c>
      <c r="B345" s="852"/>
      <c r="C345" s="1200" t="e">
        <f t="shared" ref="C345:L345" si="344">C339/C328</f>
        <v>#DIV/0!</v>
      </c>
      <c r="D345" s="1200" t="e">
        <f t="shared" si="344"/>
        <v>#DIV/0!</v>
      </c>
      <c r="E345" s="1200" t="e">
        <f t="shared" si="344"/>
        <v>#DIV/0!</v>
      </c>
      <c r="F345" s="1200">
        <f t="shared" si="344"/>
        <v>0</v>
      </c>
      <c r="G345" s="1200">
        <f t="shared" si="344"/>
        <v>0</v>
      </c>
      <c r="H345" s="1200">
        <f t="shared" si="344"/>
        <v>0</v>
      </c>
      <c r="I345" s="1200">
        <f t="shared" si="344"/>
        <v>0</v>
      </c>
      <c r="J345" s="1200">
        <f t="shared" si="344"/>
        <v>0</v>
      </c>
      <c r="K345" s="1200">
        <f t="shared" si="344"/>
        <v>0</v>
      </c>
      <c r="L345" s="1200">
        <f t="shared" si="344"/>
        <v>0</v>
      </c>
      <c r="M345" s="1200">
        <f>(M286-M338)/M322</f>
        <v>-0.26895781027839499</v>
      </c>
      <c r="N345" s="1200">
        <f t="shared" ref="N345:W345" si="345">(N286-N338)/N322</f>
        <v>0.44646188889438126</v>
      </c>
      <c r="O345" s="1200">
        <f t="shared" si="345"/>
        <v>2.7265647289129751</v>
      </c>
      <c r="P345" s="1200">
        <f t="shared" si="345"/>
        <v>1.2967013452756586</v>
      </c>
      <c r="Q345" s="1200">
        <f t="shared" si="345"/>
        <v>0.53644554601723482</v>
      </c>
      <c r="R345" s="1200">
        <f t="shared" si="345"/>
        <v>0.86767994691142192</v>
      </c>
      <c r="S345" s="1200">
        <f t="shared" si="345"/>
        <v>1.4042106824651981</v>
      </c>
      <c r="T345" s="1200">
        <f t="shared" si="345"/>
        <v>0.18878112247638412</v>
      </c>
      <c r="U345" s="1200">
        <f t="shared" si="345"/>
        <v>0.57072982141075701</v>
      </c>
      <c r="V345" s="1200">
        <f t="shared" si="345"/>
        <v>0.75249890305772682</v>
      </c>
      <c r="W345" s="1200">
        <f t="shared" si="345"/>
        <v>0.71078629972889507</v>
      </c>
      <c r="X345" s="1200">
        <f>(X286-X338)/X322</f>
        <v>-0.90641176470588447</v>
      </c>
      <c r="Y345" s="1200"/>
      <c r="Z345" s="1200"/>
      <c r="AA345" s="1200"/>
      <c r="AB345" s="1200"/>
      <c r="AC345" s="1200"/>
      <c r="AD345" s="1200"/>
      <c r="AE345" s="1200"/>
      <c r="AF345" s="1200"/>
      <c r="AG345" s="1200"/>
      <c r="AH345" s="1200"/>
      <c r="AI345" s="852"/>
      <c r="AJ345" s="852"/>
      <c r="AK345" s="853"/>
      <c r="AL345" s="852"/>
      <c r="AM345" s="853"/>
      <c r="AN345" s="852"/>
      <c r="AO345" s="853"/>
      <c r="AP345" s="852"/>
      <c r="AQ345" s="852"/>
      <c r="AR345" s="852"/>
      <c r="AS345" s="852"/>
      <c r="AT345" s="852"/>
      <c r="AU345" s="852"/>
      <c r="AV345" s="852"/>
      <c r="AW345" s="852"/>
      <c r="AX345" s="852"/>
      <c r="AY345" s="852"/>
      <c r="AZ345" s="852"/>
    </row>
    <row r="346" spans="1:52" hidden="1" outlineLevel="1">
      <c r="A346" s="862"/>
      <c r="B346" s="852"/>
      <c r="C346" s="852"/>
      <c r="D346" s="852"/>
      <c r="E346" s="852"/>
      <c r="F346" s="852"/>
      <c r="G346" s="852"/>
      <c r="H346" s="852"/>
      <c r="I346" s="852"/>
      <c r="J346" s="852"/>
      <c r="K346" s="852"/>
      <c r="L346" s="852"/>
      <c r="M346" s="852"/>
      <c r="N346" s="852"/>
      <c r="O346" s="852"/>
      <c r="P346" s="852"/>
      <c r="Q346" s="852"/>
      <c r="R346" s="852"/>
      <c r="S346" s="852"/>
      <c r="T346" s="852"/>
      <c r="U346" s="852"/>
      <c r="V346" s="852"/>
      <c r="W346" s="852"/>
      <c r="X346" s="852"/>
      <c r="Y346" s="852"/>
      <c r="Z346" s="852"/>
      <c r="AA346" s="852"/>
      <c r="AB346" s="852"/>
      <c r="AC346" s="852"/>
      <c r="AD346" s="852"/>
      <c r="AE346" s="852"/>
      <c r="AF346" s="852"/>
      <c r="AG346" s="852"/>
      <c r="AH346" s="852"/>
      <c r="AI346" s="852"/>
      <c r="AJ346" s="852"/>
      <c r="AK346" s="853"/>
      <c r="AL346" s="852"/>
      <c r="AM346" s="853"/>
      <c r="AN346" s="852"/>
      <c r="AO346" s="853"/>
      <c r="AP346" s="852"/>
      <c r="AQ346" s="852"/>
      <c r="AR346" s="852"/>
      <c r="AS346" s="852"/>
      <c r="AT346" s="852"/>
      <c r="AU346" s="852"/>
      <c r="AV346" s="852"/>
      <c r="AW346" s="852"/>
      <c r="AX346" s="852"/>
      <c r="AY346" s="852"/>
      <c r="AZ346" s="852"/>
    </row>
    <row r="347" spans="1:52" hidden="1" outlineLevel="1">
      <c r="A347" s="1201"/>
      <c r="B347" s="855"/>
      <c r="C347" s="855"/>
      <c r="D347" s="855"/>
      <c r="E347" s="855"/>
      <c r="F347" s="855"/>
      <c r="G347" s="855"/>
      <c r="H347" s="855"/>
      <c r="I347" s="855"/>
      <c r="J347" s="855"/>
      <c r="K347" s="855"/>
      <c r="L347" s="855"/>
      <c r="M347" s="855"/>
      <c r="N347" s="855"/>
      <c r="O347" s="855"/>
      <c r="P347" s="855"/>
      <c r="Q347" s="855"/>
      <c r="R347" s="855"/>
      <c r="S347" s="855"/>
      <c r="T347" s="855"/>
      <c r="U347" s="855"/>
      <c r="V347" s="855"/>
      <c r="W347" s="855"/>
      <c r="X347" s="855"/>
      <c r="Y347" s="855"/>
      <c r="Z347" s="855"/>
      <c r="AA347" s="855"/>
      <c r="AB347" s="855"/>
      <c r="AC347" s="855"/>
      <c r="AD347" s="855"/>
      <c r="AE347" s="855"/>
      <c r="AF347" s="855"/>
      <c r="AG347" s="855"/>
      <c r="AH347" s="855"/>
      <c r="AI347" s="855"/>
      <c r="AJ347" s="855"/>
      <c r="AK347" s="856"/>
      <c r="AL347" s="855"/>
      <c r="AM347" s="856"/>
      <c r="AN347" s="855"/>
      <c r="AO347" s="856"/>
      <c r="AP347" s="855"/>
      <c r="AQ347" s="855"/>
      <c r="AR347" s="855"/>
      <c r="AS347" s="855"/>
      <c r="AT347" s="855"/>
      <c r="AU347" s="855"/>
      <c r="AV347" s="855"/>
      <c r="AW347" s="855"/>
      <c r="AX347" s="855"/>
      <c r="AY347" s="855"/>
      <c r="AZ347" s="855"/>
    </row>
    <row r="348" spans="1:52" hidden="1" outlineLevel="1">
      <c r="A348" s="851" t="s">
        <v>1217</v>
      </c>
      <c r="B348" s="852"/>
      <c r="C348" s="852"/>
      <c r="D348" s="852"/>
      <c r="E348" s="852"/>
      <c r="F348" s="852"/>
      <c r="G348" s="852"/>
      <c r="H348" s="852"/>
      <c r="I348" s="852"/>
      <c r="J348" s="852"/>
      <c r="K348" s="852"/>
      <c r="L348" s="852"/>
      <c r="M348" s="852"/>
      <c r="N348" s="852"/>
      <c r="O348" s="852"/>
      <c r="P348" s="852"/>
      <c r="Q348" s="852"/>
      <c r="R348" s="852"/>
      <c r="S348" s="852"/>
      <c r="T348" s="852"/>
      <c r="U348" s="852"/>
      <c r="V348" s="852"/>
      <c r="W348" s="852"/>
      <c r="X348" s="852"/>
      <c r="Y348" s="852"/>
      <c r="Z348" s="852"/>
      <c r="AA348" s="852"/>
      <c r="AB348" s="852"/>
      <c r="AC348" s="852"/>
      <c r="AD348" s="852"/>
      <c r="AE348" s="852"/>
      <c r="AF348" s="852"/>
      <c r="AG348" s="852"/>
      <c r="AH348" s="852"/>
      <c r="AI348" s="852"/>
      <c r="AJ348" s="852"/>
      <c r="AK348" s="853"/>
      <c r="AL348" s="852"/>
      <c r="AM348" s="853"/>
      <c r="AN348" s="852"/>
      <c r="AO348" s="853"/>
      <c r="AP348" s="852"/>
      <c r="AQ348" s="852"/>
      <c r="AR348" s="852"/>
      <c r="AS348" s="852"/>
      <c r="AT348" s="852"/>
      <c r="AU348" s="852"/>
      <c r="AV348" s="852"/>
      <c r="AW348" s="852"/>
      <c r="AX348" s="852"/>
      <c r="AY348" s="852"/>
      <c r="AZ348" s="852"/>
    </row>
    <row r="349" spans="1:52" hidden="1" outlineLevel="1">
      <c r="A349" s="854" t="str">
        <f>+$A$2</f>
        <v>Annual Sales Model, Fiscal 2001-2014E</v>
      </c>
      <c r="B349" s="855"/>
      <c r="C349" s="855"/>
      <c r="D349" s="855"/>
      <c r="E349" s="855"/>
      <c r="F349" s="855"/>
      <c r="G349" s="855"/>
      <c r="H349" s="855"/>
      <c r="I349" s="855"/>
      <c r="J349" s="855"/>
      <c r="K349" s="855"/>
      <c r="L349" s="855"/>
      <c r="M349" s="855"/>
      <c r="N349" s="855"/>
      <c r="O349" s="855"/>
      <c r="P349" s="855"/>
      <c r="Q349" s="855"/>
      <c r="R349" s="855"/>
      <c r="S349" s="855"/>
      <c r="T349" s="855"/>
      <c r="U349" s="855"/>
      <c r="V349" s="855"/>
      <c r="W349" s="855"/>
      <c r="X349" s="855"/>
      <c r="Y349" s="855"/>
      <c r="Z349" s="855"/>
      <c r="AA349" s="855"/>
      <c r="AB349" s="855"/>
      <c r="AC349" s="855"/>
      <c r="AD349" s="855"/>
      <c r="AE349" s="855"/>
      <c r="AF349" s="855"/>
      <c r="AG349" s="855"/>
      <c r="AH349" s="855"/>
      <c r="AI349" s="855"/>
      <c r="AJ349" s="855"/>
      <c r="AK349" s="856"/>
      <c r="AL349" s="855"/>
      <c r="AM349" s="856"/>
      <c r="AN349" s="855"/>
      <c r="AO349" s="856"/>
      <c r="AP349" s="855"/>
      <c r="AQ349" s="855"/>
      <c r="AR349" s="855"/>
      <c r="AS349" s="855"/>
      <c r="AT349" s="855"/>
      <c r="AU349" s="855"/>
      <c r="AV349" s="855"/>
      <c r="AW349" s="855"/>
      <c r="AX349" s="855"/>
      <c r="AY349" s="855"/>
      <c r="AZ349" s="855"/>
    </row>
    <row r="350" spans="1:52" hidden="1" outlineLevel="1">
      <c r="A350" s="862"/>
      <c r="B350" s="852"/>
      <c r="C350" s="852"/>
      <c r="D350" s="852"/>
      <c r="E350" s="852"/>
      <c r="F350" s="852"/>
      <c r="G350" s="852"/>
      <c r="H350" s="852"/>
      <c r="I350" s="852"/>
      <c r="J350" s="852"/>
      <c r="K350" s="852"/>
      <c r="L350" s="852"/>
      <c r="M350" s="852"/>
      <c r="N350" s="852"/>
      <c r="O350" s="852"/>
      <c r="P350" s="852"/>
      <c r="Q350" s="852"/>
      <c r="R350" s="852"/>
      <c r="S350" s="852"/>
      <c r="T350" s="852"/>
      <c r="U350" s="852"/>
      <c r="V350" s="852"/>
      <c r="W350" s="852"/>
      <c r="X350" s="852"/>
      <c r="Y350" s="852"/>
      <c r="Z350" s="852"/>
      <c r="AA350" s="852"/>
      <c r="AB350" s="852"/>
      <c r="AC350" s="852"/>
      <c r="AD350" s="852"/>
      <c r="AE350" s="852"/>
      <c r="AF350" s="852"/>
      <c r="AG350" s="852"/>
      <c r="AH350" s="852"/>
      <c r="AI350" s="852"/>
      <c r="AJ350" s="852"/>
      <c r="AK350" s="853"/>
      <c r="AL350" s="852"/>
      <c r="AM350" s="853"/>
      <c r="AN350" s="852"/>
      <c r="AO350" s="853"/>
      <c r="AP350" s="852"/>
      <c r="AQ350" s="852"/>
      <c r="AR350" s="852"/>
      <c r="AS350" s="852"/>
      <c r="AT350" s="852"/>
      <c r="AU350" s="852"/>
      <c r="AV350" s="852"/>
      <c r="AW350" s="852"/>
      <c r="AX350" s="852"/>
      <c r="AY350" s="852"/>
      <c r="AZ350" s="852"/>
    </row>
    <row r="351" spans="1:52" hidden="1" outlineLevel="1">
      <c r="A351" s="862"/>
      <c r="B351" s="1180">
        <f>+B$5</f>
        <v>1990</v>
      </c>
      <c r="C351" s="1180">
        <f>+C$5</f>
        <v>1991</v>
      </c>
      <c r="D351" s="1180">
        <f t="shared" ref="D351:O351" si="346">+D$5</f>
        <v>1992</v>
      </c>
      <c r="E351" s="1180">
        <f t="shared" si="346"/>
        <v>1993</v>
      </c>
      <c r="F351" s="1180">
        <f t="shared" si="346"/>
        <v>1994</v>
      </c>
      <c r="G351" s="1180">
        <f t="shared" si="346"/>
        <v>1995</v>
      </c>
      <c r="H351" s="1180">
        <f t="shared" si="346"/>
        <v>1996</v>
      </c>
      <c r="I351" s="1180">
        <f t="shared" si="346"/>
        <v>1997</v>
      </c>
      <c r="J351" s="1180">
        <f t="shared" si="346"/>
        <v>1998</v>
      </c>
      <c r="K351" s="1180">
        <f t="shared" si="346"/>
        <v>1999</v>
      </c>
      <c r="L351" s="1180">
        <f t="shared" si="346"/>
        <v>2000</v>
      </c>
      <c r="M351" s="1180">
        <f t="shared" si="346"/>
        <v>2001</v>
      </c>
      <c r="N351" s="1180">
        <f t="shared" si="346"/>
        <v>2002</v>
      </c>
      <c r="O351" s="1180">
        <f t="shared" si="346"/>
        <v>2003</v>
      </c>
      <c r="P351" s="1180">
        <f t="shared" ref="P351:AH351" si="347">+P$5</f>
        <v>2004</v>
      </c>
      <c r="Q351" s="1180">
        <f t="shared" si="347"/>
        <v>2005</v>
      </c>
      <c r="R351" s="1180">
        <f t="shared" si="347"/>
        <v>2006</v>
      </c>
      <c r="S351" s="1181">
        <f t="shared" si="347"/>
        <v>2007</v>
      </c>
      <c r="T351" s="1181">
        <f t="shared" si="347"/>
        <v>2008</v>
      </c>
      <c r="U351" s="1181">
        <f t="shared" si="347"/>
        <v>2009</v>
      </c>
      <c r="V351" s="1181">
        <f t="shared" si="347"/>
        <v>2010</v>
      </c>
      <c r="W351" s="1181">
        <f t="shared" si="347"/>
        <v>2011</v>
      </c>
      <c r="X351" s="1181">
        <f t="shared" si="347"/>
        <v>2012</v>
      </c>
      <c r="Y351" s="1181">
        <f t="shared" si="347"/>
        <v>2013</v>
      </c>
      <c r="Z351" s="1181">
        <f t="shared" si="347"/>
        <v>2014</v>
      </c>
      <c r="AA351" s="1181">
        <f t="shared" si="347"/>
        <v>2015</v>
      </c>
      <c r="AB351" s="1181">
        <f t="shared" si="347"/>
        <v>2016</v>
      </c>
      <c r="AC351" s="1181">
        <f t="shared" si="347"/>
        <v>2017</v>
      </c>
      <c r="AD351" s="1181">
        <f t="shared" si="347"/>
        <v>2018</v>
      </c>
      <c r="AE351" s="1181">
        <f t="shared" si="347"/>
        <v>2019</v>
      </c>
      <c r="AF351" s="1181">
        <f t="shared" si="347"/>
        <v>2020</v>
      </c>
      <c r="AG351" s="1181">
        <f t="shared" si="347"/>
        <v>2021</v>
      </c>
      <c r="AH351" s="1181">
        <f t="shared" si="347"/>
        <v>2022</v>
      </c>
      <c r="AI351" s="852"/>
      <c r="AJ351" s="852"/>
      <c r="AK351" s="853"/>
      <c r="AL351" s="852"/>
      <c r="AM351" s="853"/>
      <c r="AN351" s="852"/>
      <c r="AO351" s="853"/>
      <c r="AP351" s="852"/>
      <c r="AQ351" s="852"/>
      <c r="AR351" s="852"/>
      <c r="AS351" s="852"/>
      <c r="AT351" s="852"/>
      <c r="AU351" s="852"/>
      <c r="AV351" s="852"/>
      <c r="AW351" s="852"/>
      <c r="AX351" s="852"/>
      <c r="AY351" s="852"/>
      <c r="AZ351" s="852"/>
    </row>
    <row r="352" spans="1:52" hidden="1" outlineLevel="1">
      <c r="A352" s="862"/>
      <c r="B352" s="852"/>
      <c r="C352" s="852"/>
      <c r="D352" s="852"/>
      <c r="E352" s="852"/>
      <c r="F352" s="852"/>
      <c r="G352" s="852"/>
      <c r="H352" s="852"/>
      <c r="I352" s="852"/>
      <c r="J352" s="852"/>
      <c r="K352" s="852"/>
      <c r="L352" s="852"/>
      <c r="M352" s="852"/>
      <c r="N352" s="852"/>
      <c r="O352" s="852"/>
      <c r="P352" s="852"/>
      <c r="Q352" s="852"/>
      <c r="R352" s="852"/>
      <c r="S352" s="852"/>
      <c r="T352" s="852"/>
      <c r="U352" s="852"/>
      <c r="V352" s="852"/>
      <c r="W352" s="852"/>
      <c r="X352" s="852"/>
      <c r="Y352" s="852"/>
      <c r="Z352" s="852"/>
      <c r="AA352" s="852"/>
      <c r="AB352" s="852"/>
      <c r="AC352" s="852"/>
      <c r="AD352" s="852"/>
      <c r="AE352" s="852"/>
      <c r="AF352" s="852"/>
      <c r="AG352" s="852"/>
      <c r="AH352" s="852"/>
      <c r="AI352" s="852"/>
      <c r="AJ352" s="852"/>
      <c r="AK352" s="853"/>
      <c r="AL352" s="852"/>
      <c r="AM352" s="853"/>
      <c r="AN352" s="852"/>
      <c r="AO352" s="853"/>
      <c r="AP352" s="852"/>
      <c r="AQ352" s="852"/>
      <c r="AR352" s="852"/>
      <c r="AS352" s="852"/>
      <c r="AT352" s="852"/>
      <c r="AU352" s="852"/>
      <c r="AV352" s="852"/>
      <c r="AW352" s="852"/>
      <c r="AX352" s="852"/>
      <c r="AY352" s="852"/>
      <c r="AZ352" s="852"/>
    </row>
    <row r="353" spans="1:52" hidden="1" outlineLevel="1">
      <c r="A353" s="1182" t="s">
        <v>816</v>
      </c>
      <c r="B353" s="852"/>
      <c r="C353" s="852"/>
      <c r="D353" s="852"/>
      <c r="E353" s="852"/>
      <c r="F353" s="852"/>
      <c r="G353" s="852"/>
      <c r="H353" s="852"/>
      <c r="I353" s="852"/>
      <c r="J353" s="852"/>
      <c r="K353" s="852"/>
      <c r="L353" s="852"/>
      <c r="M353" s="852"/>
      <c r="N353" s="852">
        <f>'segSales&amp;comps'!AR102</f>
        <v>24.124000000000002</v>
      </c>
      <c r="O353" s="852">
        <f>'segSales&amp;comps'!AR109</f>
        <v>72.185000000000002</v>
      </c>
      <c r="P353" s="852">
        <f>'segSales&amp;comps'!AR116</f>
        <v>88.117999999999995</v>
      </c>
      <c r="Q353" s="852">
        <f>'segSales&amp;comps'!AR123</f>
        <v>116.298</v>
      </c>
      <c r="R353" s="852">
        <f>'segSales&amp;comps'!AR130</f>
        <v>92.982815920398011</v>
      </c>
      <c r="S353" s="852">
        <f>'segSales&amp;comps'!$AR137</f>
        <v>81.563999999999993</v>
      </c>
      <c r="T353" s="852">
        <f>'segSales&amp;comps'!$AR144</f>
        <v>89.720400000000012</v>
      </c>
      <c r="U353" s="852">
        <f>'segSales&amp;comps'!$AR159</f>
        <v>15.742000000000001</v>
      </c>
      <c r="V353" s="852">
        <f>'segSales&amp;comps'!$AR166</f>
        <v>18.315000000000001</v>
      </c>
      <c r="W353" s="852">
        <f>'segSales&amp;comps'!$AR173</f>
        <v>4.9400000000000004</v>
      </c>
      <c r="X353" s="852">
        <f>'segSales&amp;comps'!$AR173</f>
        <v>4.9400000000000004</v>
      </c>
      <c r="Y353" s="852">
        <f>'segSales&amp;comps'!$AR173</f>
        <v>4.9400000000000004</v>
      </c>
      <c r="Z353" s="852">
        <f>'segSales&amp;comps'!$AR173</f>
        <v>4.9400000000000004</v>
      </c>
      <c r="AA353" s="852">
        <f>'segSales&amp;comps'!$AR173</f>
        <v>4.9400000000000004</v>
      </c>
      <c r="AB353" s="852">
        <f>'segSales&amp;comps'!$AR173</f>
        <v>4.9400000000000004</v>
      </c>
      <c r="AC353" s="852">
        <f>'segSales&amp;comps'!$AR173</f>
        <v>4.9400000000000004</v>
      </c>
      <c r="AD353" s="852">
        <f>'segSales&amp;comps'!$AR173</f>
        <v>4.9400000000000004</v>
      </c>
      <c r="AE353" s="852">
        <f>'segSales&amp;comps'!$AR173</f>
        <v>4.9400000000000004</v>
      </c>
      <c r="AF353" s="852">
        <f>'segSales&amp;comps'!$AR173</f>
        <v>4.9400000000000004</v>
      </c>
      <c r="AG353" s="852">
        <f>'segSales&amp;comps'!$AR173</f>
        <v>4.9400000000000004</v>
      </c>
      <c r="AH353" s="852">
        <f>'segSales&amp;comps'!$AR173</f>
        <v>4.9400000000000004</v>
      </c>
      <c r="AI353" s="852"/>
      <c r="AJ353" s="852"/>
      <c r="AK353" s="853"/>
      <c r="AL353" s="852"/>
      <c r="AM353" s="853"/>
      <c r="AN353" s="852"/>
      <c r="AO353" s="853"/>
      <c r="AP353" s="852"/>
      <c r="AQ353" s="852"/>
      <c r="AR353" s="852"/>
      <c r="AS353" s="852"/>
      <c r="AT353" s="852"/>
      <c r="AU353" s="852"/>
      <c r="AV353" s="852"/>
      <c r="AW353" s="852"/>
      <c r="AX353" s="852"/>
      <c r="AY353" s="852"/>
      <c r="AZ353" s="852"/>
    </row>
    <row r="354" spans="1:52" hidden="1" outlineLevel="1">
      <c r="A354" s="1182" t="s">
        <v>1971</v>
      </c>
      <c r="B354" s="852"/>
      <c r="C354" s="852"/>
      <c r="D354" s="852"/>
      <c r="E354" s="852"/>
      <c r="F354" s="852"/>
      <c r="G354" s="852"/>
      <c r="H354" s="852"/>
      <c r="I354" s="852"/>
      <c r="J354" s="852"/>
      <c r="K354" s="852"/>
      <c r="L354" s="852"/>
      <c r="M354" s="852"/>
      <c r="N354" s="852"/>
      <c r="O354" s="852"/>
      <c r="P354" s="852"/>
      <c r="Q354" s="852"/>
      <c r="R354" s="852"/>
      <c r="S354" s="852"/>
      <c r="T354" s="852"/>
      <c r="U354" s="852"/>
      <c r="V354" s="852"/>
      <c r="W354" s="852"/>
      <c r="X354" s="852"/>
      <c r="Y354" s="852"/>
      <c r="Z354" s="852"/>
      <c r="AA354" s="852"/>
      <c r="AB354" s="852"/>
      <c r="AC354" s="852"/>
      <c r="AD354" s="852"/>
      <c r="AE354" s="852"/>
      <c r="AF354" s="852"/>
      <c r="AG354" s="852"/>
      <c r="AH354" s="852"/>
      <c r="AI354" s="852"/>
      <c r="AJ354" s="852"/>
      <c r="AK354" s="853"/>
      <c r="AL354" s="852"/>
      <c r="AM354" s="853"/>
      <c r="AN354" s="852"/>
      <c r="AO354" s="853"/>
      <c r="AP354" s="852"/>
      <c r="AQ354" s="852"/>
      <c r="AR354" s="852"/>
      <c r="AS354" s="852"/>
      <c r="AT354" s="852"/>
      <c r="AU354" s="852"/>
      <c r="AV354" s="852"/>
      <c r="AW354" s="852"/>
      <c r="AX354" s="852"/>
      <c r="AY354" s="852"/>
      <c r="AZ354" s="852"/>
    </row>
    <row r="355" spans="1:52" hidden="1" outlineLevel="1">
      <c r="A355" s="862"/>
      <c r="B355" s="852"/>
      <c r="C355" s="852"/>
      <c r="D355" s="852"/>
      <c r="E355" s="852"/>
      <c r="F355" s="852"/>
      <c r="G355" s="852"/>
      <c r="H355" s="852"/>
      <c r="I355" s="852"/>
      <c r="J355" s="852"/>
      <c r="K355" s="852"/>
      <c r="L355" s="852"/>
      <c r="M355" s="852"/>
      <c r="N355" s="852"/>
      <c r="O355" s="852"/>
      <c r="P355" s="852"/>
      <c r="Q355" s="852"/>
      <c r="R355" s="852"/>
      <c r="S355" s="852"/>
      <c r="T355" s="852"/>
      <c r="U355" s="852"/>
      <c r="V355" s="852"/>
      <c r="W355" s="852"/>
      <c r="X355" s="852"/>
      <c r="Y355" s="852"/>
      <c r="Z355" s="852"/>
      <c r="AA355" s="852"/>
      <c r="AB355" s="852"/>
      <c r="AC355" s="852"/>
      <c r="AD355" s="852"/>
      <c r="AE355" s="852"/>
      <c r="AF355" s="852"/>
      <c r="AG355" s="852"/>
      <c r="AH355" s="852"/>
      <c r="AI355" s="852"/>
      <c r="AJ355" s="852"/>
      <c r="AK355" s="853"/>
      <c r="AL355" s="852"/>
      <c r="AM355" s="853"/>
      <c r="AN355" s="852"/>
      <c r="AO355" s="853"/>
      <c r="AP355" s="852"/>
      <c r="AQ355" s="852"/>
      <c r="AR355" s="852"/>
      <c r="AS355" s="852"/>
      <c r="AT355" s="852"/>
      <c r="AU355" s="852"/>
      <c r="AV355" s="852"/>
      <c r="AW355" s="852"/>
      <c r="AX355" s="852"/>
      <c r="AY355" s="852"/>
      <c r="AZ355" s="852"/>
    </row>
    <row r="356" spans="1:52" hidden="1" outlineLevel="1">
      <c r="A356" s="1182" t="s">
        <v>1972</v>
      </c>
      <c r="B356" s="852"/>
      <c r="C356" s="852"/>
      <c r="D356" s="852"/>
      <c r="E356" s="852"/>
      <c r="F356" s="852"/>
      <c r="G356" s="852"/>
      <c r="H356" s="852"/>
      <c r="I356" s="852"/>
      <c r="J356" s="852"/>
      <c r="K356" s="852"/>
      <c r="L356" s="852"/>
      <c r="M356" s="852"/>
      <c r="N356" s="852"/>
      <c r="O356" s="1187">
        <f>N358</f>
        <v>20</v>
      </c>
      <c r="P356" s="1187">
        <f>O358</f>
        <v>24</v>
      </c>
      <c r="Q356" s="1187">
        <f t="shared" ref="Q356:AA356" si="348">P358</f>
        <v>27</v>
      </c>
      <c r="R356" s="1187">
        <f t="shared" si="348"/>
        <v>32</v>
      </c>
      <c r="S356" s="1187">
        <f t="shared" si="348"/>
        <v>38</v>
      </c>
      <c r="T356" s="1187">
        <f t="shared" si="348"/>
        <v>38</v>
      </c>
      <c r="U356" s="1187">
        <f t="shared" si="348"/>
        <v>38</v>
      </c>
      <c r="V356" s="1187">
        <f t="shared" si="348"/>
        <v>38</v>
      </c>
      <c r="W356" s="1187">
        <f t="shared" si="348"/>
        <v>38</v>
      </c>
      <c r="X356" s="1187">
        <f t="shared" si="348"/>
        <v>38</v>
      </c>
      <c r="Y356" s="1187">
        <f t="shared" si="348"/>
        <v>38</v>
      </c>
      <c r="Z356" s="1187">
        <f t="shared" si="348"/>
        <v>38.068399999999997</v>
      </c>
      <c r="AA356" s="1187">
        <f t="shared" si="348"/>
        <v>39.868399999999994</v>
      </c>
      <c r="AB356" s="1187">
        <f t="shared" ref="AB356:AH356" si="349">AA358</f>
        <v>39.868399999999994</v>
      </c>
      <c r="AC356" s="1187">
        <f t="shared" si="349"/>
        <v>39.868399999999994</v>
      </c>
      <c r="AD356" s="1187">
        <f t="shared" si="349"/>
        <v>331.86840000000001</v>
      </c>
      <c r="AE356" s="1187">
        <f t="shared" si="349"/>
        <v>347.86840000000001</v>
      </c>
      <c r="AF356" s="1187">
        <f t="shared" si="349"/>
        <v>353.66550144927538</v>
      </c>
      <c r="AG356" s="1187">
        <f t="shared" si="349"/>
        <v>353.66550144927538</v>
      </c>
      <c r="AH356" s="1187">
        <f t="shared" si="349"/>
        <v>353.66550144927538</v>
      </c>
      <c r="AI356" s="1187">
        <f>AC358</f>
        <v>331.86840000000001</v>
      </c>
      <c r="AJ356" s="852"/>
      <c r="AK356" s="853"/>
      <c r="AL356" s="852"/>
      <c r="AM356" s="853"/>
      <c r="AN356" s="852"/>
      <c r="AO356" s="853"/>
      <c r="AP356" s="852"/>
      <c r="AQ356" s="852"/>
      <c r="AR356" s="852"/>
      <c r="AS356" s="852"/>
      <c r="AT356" s="852"/>
      <c r="AU356" s="852"/>
      <c r="AV356" s="852"/>
      <c r="AW356" s="852"/>
      <c r="AX356" s="852"/>
      <c r="AY356" s="852"/>
      <c r="AZ356" s="852"/>
    </row>
    <row r="357" spans="1:52" hidden="1" outlineLevel="1">
      <c r="A357" s="1188" t="s">
        <v>556</v>
      </c>
      <c r="B357" s="852"/>
      <c r="C357" s="852"/>
      <c r="D357" s="852"/>
      <c r="E357" s="852"/>
      <c r="F357" s="852"/>
      <c r="G357" s="858"/>
      <c r="H357" s="858"/>
      <c r="I357" s="858"/>
      <c r="J357" s="858"/>
      <c r="K357" s="858"/>
      <c r="L357" s="858"/>
      <c r="M357" s="858"/>
      <c r="N357" s="852"/>
      <c r="O357" s="852">
        <f>Stores!AM125</f>
        <v>4</v>
      </c>
      <c r="P357" s="852">
        <f>Stores!AM132</f>
        <v>3</v>
      </c>
      <c r="Q357" s="852">
        <f>Stores!AM139</f>
        <v>5</v>
      </c>
      <c r="R357" s="852">
        <f>Stores!AM146</f>
        <v>6</v>
      </c>
      <c r="S357" s="852">
        <f>Stores!AM153</f>
        <v>0</v>
      </c>
      <c r="T357" s="852">
        <f>Stores!AM160</f>
        <v>0</v>
      </c>
      <c r="U357" s="852">
        <f>Stores!AM167</f>
        <v>0</v>
      </c>
      <c r="V357" s="852">
        <f>Stores!AM174</f>
        <v>0</v>
      </c>
      <c r="W357" s="852">
        <f>Stores!AM181</f>
        <v>0</v>
      </c>
      <c r="X357" s="852">
        <f>Stores!AN181</f>
        <v>0</v>
      </c>
      <c r="Y357" s="852">
        <f>Stores!AO181</f>
        <v>6.8400000000000002E-2</v>
      </c>
      <c r="Z357" s="852">
        <f>Stores!AP181</f>
        <v>1.8</v>
      </c>
      <c r="AA357" s="852">
        <f>Stores!AQ181</f>
        <v>0</v>
      </c>
      <c r="AB357" s="852">
        <f>Stores!AR181</f>
        <v>0</v>
      </c>
      <c r="AC357" s="852">
        <f>Stores!AS181</f>
        <v>292</v>
      </c>
      <c r="AD357" s="852">
        <f>Stores!AT181</f>
        <v>16</v>
      </c>
      <c r="AE357" s="852">
        <f>Stores!AU181</f>
        <v>5.7971014492753659</v>
      </c>
      <c r="AF357" s="852">
        <f>Stores!AV181</f>
        <v>0</v>
      </c>
      <c r="AG357" s="852">
        <f>Stores!AW181</f>
        <v>0</v>
      </c>
      <c r="AH357" s="852">
        <f>Stores!AX181</f>
        <v>160</v>
      </c>
      <c r="AI357" s="852">
        <f>Stores!AT181</f>
        <v>16</v>
      </c>
      <c r="AJ357" s="852"/>
      <c r="AK357" s="853"/>
      <c r="AL357" s="852"/>
      <c r="AM357" s="853"/>
      <c r="AN357" s="852"/>
      <c r="AO357" s="853"/>
      <c r="AP357" s="852"/>
      <c r="AQ357" s="852"/>
      <c r="AR357" s="852"/>
      <c r="AS357" s="852"/>
      <c r="AT357" s="852"/>
      <c r="AU357" s="852"/>
      <c r="AV357" s="852"/>
      <c r="AW357" s="852"/>
      <c r="AX357" s="852"/>
      <c r="AY357" s="852"/>
      <c r="AZ357" s="852"/>
    </row>
    <row r="358" spans="1:52" hidden="1" outlineLevel="1">
      <c r="A358" s="1182" t="s">
        <v>1973</v>
      </c>
      <c r="B358" s="852"/>
      <c r="C358" s="852"/>
      <c r="D358" s="852"/>
      <c r="E358" s="852"/>
      <c r="F358" s="852"/>
      <c r="G358" s="858"/>
      <c r="H358" s="858"/>
      <c r="I358" s="858"/>
      <c r="J358" s="858"/>
      <c r="K358" s="858"/>
      <c r="L358" s="858"/>
      <c r="M358" s="858"/>
      <c r="N358" s="1187">
        <f>Stores!AL118</f>
        <v>20</v>
      </c>
      <c r="O358" s="1187">
        <f>O356+O357</f>
        <v>24</v>
      </c>
      <c r="P358" s="1187">
        <f t="shared" ref="P358:AA358" si="350">P356+P357</f>
        <v>27</v>
      </c>
      <c r="Q358" s="1187">
        <f t="shared" si="350"/>
        <v>32</v>
      </c>
      <c r="R358" s="1187">
        <f t="shared" si="350"/>
        <v>38</v>
      </c>
      <c r="S358" s="1187">
        <f t="shared" si="350"/>
        <v>38</v>
      </c>
      <c r="T358" s="1187">
        <f t="shared" si="350"/>
        <v>38</v>
      </c>
      <c r="U358" s="1187">
        <f t="shared" si="350"/>
        <v>38</v>
      </c>
      <c r="V358" s="1187">
        <f t="shared" si="350"/>
        <v>38</v>
      </c>
      <c r="W358" s="1187">
        <f t="shared" si="350"/>
        <v>38</v>
      </c>
      <c r="X358" s="1187">
        <f t="shared" si="350"/>
        <v>38</v>
      </c>
      <c r="Y358" s="1187">
        <f t="shared" si="350"/>
        <v>38.068399999999997</v>
      </c>
      <c r="Z358" s="1187">
        <f t="shared" si="350"/>
        <v>39.868399999999994</v>
      </c>
      <c r="AA358" s="1187">
        <f t="shared" si="350"/>
        <v>39.868399999999994</v>
      </c>
      <c r="AB358" s="1187">
        <f t="shared" ref="AB358:AI358" si="351">AB356+AB357</f>
        <v>39.868399999999994</v>
      </c>
      <c r="AC358" s="1187">
        <f t="shared" si="351"/>
        <v>331.86840000000001</v>
      </c>
      <c r="AD358" s="1187">
        <f t="shared" si="351"/>
        <v>347.86840000000001</v>
      </c>
      <c r="AE358" s="1187">
        <f t="shared" si="351"/>
        <v>353.66550144927538</v>
      </c>
      <c r="AF358" s="1187">
        <f t="shared" si="351"/>
        <v>353.66550144927538</v>
      </c>
      <c r="AG358" s="1187">
        <f>AG356+AG357</f>
        <v>353.66550144927538</v>
      </c>
      <c r="AH358" s="1187">
        <f>AH356+AH357</f>
        <v>513.66550144927533</v>
      </c>
      <c r="AI358" s="1187">
        <f t="shared" si="351"/>
        <v>347.86840000000001</v>
      </c>
      <c r="AJ358" s="852"/>
      <c r="AK358" s="853"/>
      <c r="AL358" s="852"/>
      <c r="AM358" s="853"/>
      <c r="AN358" s="852"/>
      <c r="AO358" s="853"/>
      <c r="AP358" s="852"/>
      <c r="AQ358" s="852"/>
      <c r="AR358" s="852"/>
      <c r="AS358" s="852"/>
      <c r="AT358" s="852"/>
      <c r="AU358" s="852"/>
      <c r="AV358" s="852"/>
      <c r="AW358" s="852"/>
      <c r="AX358" s="852"/>
      <c r="AY358" s="852"/>
      <c r="AZ358" s="852"/>
    </row>
    <row r="359" spans="1:52" hidden="1" outlineLevel="1">
      <c r="A359" s="1182" t="s">
        <v>1974</v>
      </c>
      <c r="B359" s="852"/>
      <c r="C359" s="852"/>
      <c r="D359" s="852"/>
      <c r="E359" s="852"/>
      <c r="F359" s="852"/>
      <c r="G359" s="858"/>
      <c r="H359" s="858"/>
      <c r="I359" s="858"/>
      <c r="J359" s="858"/>
      <c r="K359" s="858"/>
      <c r="L359" s="858"/>
      <c r="M359" s="858"/>
      <c r="N359" s="852"/>
      <c r="O359" s="852"/>
      <c r="P359" s="852"/>
      <c r="Q359" s="852"/>
      <c r="R359" s="852"/>
      <c r="S359" s="852"/>
      <c r="T359" s="852"/>
      <c r="U359" s="852"/>
      <c r="V359" s="852"/>
      <c r="W359" s="852"/>
      <c r="X359" s="852"/>
      <c r="Y359" s="852"/>
      <c r="Z359" s="852"/>
      <c r="AA359" s="852"/>
      <c r="AB359" s="852"/>
      <c r="AC359" s="852"/>
      <c r="AD359" s="852"/>
      <c r="AE359" s="852"/>
      <c r="AF359" s="852"/>
      <c r="AG359" s="852"/>
      <c r="AH359" s="852"/>
      <c r="AI359" s="852"/>
      <c r="AJ359" s="852"/>
      <c r="AK359" s="853"/>
      <c r="AL359" s="852"/>
      <c r="AM359" s="853"/>
      <c r="AN359" s="852"/>
      <c r="AO359" s="853"/>
      <c r="AP359" s="852"/>
      <c r="AQ359" s="852"/>
      <c r="AR359" s="852"/>
      <c r="AS359" s="852"/>
      <c r="AT359" s="852"/>
      <c r="AU359" s="852"/>
      <c r="AV359" s="852"/>
      <c r="AW359" s="852"/>
      <c r="AX359" s="852"/>
      <c r="AY359" s="852"/>
      <c r="AZ359" s="852"/>
    </row>
    <row r="360" spans="1:52" hidden="1" outlineLevel="1">
      <c r="A360" s="1182" t="s">
        <v>1975</v>
      </c>
      <c r="B360" s="852"/>
      <c r="C360" s="852"/>
      <c r="D360" s="852"/>
      <c r="E360" s="852"/>
      <c r="F360" s="852"/>
      <c r="G360" s="858"/>
      <c r="H360" s="858"/>
      <c r="I360" s="858"/>
      <c r="J360" s="858"/>
      <c r="K360" s="858"/>
      <c r="L360" s="858"/>
      <c r="M360" s="858"/>
      <c r="N360" s="852"/>
      <c r="O360" s="852"/>
      <c r="P360" s="852"/>
      <c r="Q360" s="852"/>
      <c r="R360" s="852"/>
      <c r="S360" s="852"/>
      <c r="T360" s="852"/>
      <c r="U360" s="852"/>
      <c r="V360" s="852"/>
      <c r="W360" s="852"/>
      <c r="X360" s="852"/>
      <c r="Y360" s="852"/>
      <c r="Z360" s="852"/>
      <c r="AA360" s="852"/>
      <c r="AB360" s="852"/>
      <c r="AC360" s="852"/>
      <c r="AD360" s="852"/>
      <c r="AE360" s="852"/>
      <c r="AF360" s="852"/>
      <c r="AG360" s="852"/>
      <c r="AH360" s="852"/>
      <c r="AI360" s="852"/>
      <c r="AJ360" s="852"/>
      <c r="AK360" s="853"/>
      <c r="AL360" s="852"/>
      <c r="AM360" s="853"/>
      <c r="AN360" s="852"/>
      <c r="AO360" s="853"/>
      <c r="AP360" s="852"/>
      <c r="AQ360" s="852"/>
      <c r="AR360" s="852"/>
      <c r="AS360" s="852"/>
      <c r="AT360" s="852"/>
      <c r="AU360" s="852"/>
      <c r="AV360" s="852"/>
      <c r="AW360" s="852"/>
      <c r="AX360" s="852"/>
      <c r="AY360" s="852"/>
      <c r="AZ360" s="852"/>
    </row>
    <row r="361" spans="1:52" hidden="1" outlineLevel="1">
      <c r="A361" s="862"/>
      <c r="B361" s="852"/>
      <c r="C361" s="852"/>
      <c r="D361" s="852"/>
      <c r="E361" s="852"/>
      <c r="F361" s="852"/>
      <c r="G361" s="858"/>
      <c r="H361" s="858"/>
      <c r="I361" s="858"/>
      <c r="J361" s="858"/>
      <c r="K361" s="858"/>
      <c r="L361" s="858"/>
      <c r="M361" s="858"/>
      <c r="N361" s="852"/>
      <c r="O361" s="852"/>
      <c r="P361" s="852"/>
      <c r="Q361" s="852"/>
      <c r="R361" s="852"/>
      <c r="S361" s="852"/>
      <c r="T361" s="852"/>
      <c r="U361" s="852"/>
      <c r="V361" s="852"/>
      <c r="W361" s="852"/>
      <c r="X361" s="852"/>
      <c r="Y361" s="852"/>
      <c r="Z361" s="852"/>
      <c r="AA361" s="852"/>
      <c r="AB361" s="852"/>
      <c r="AC361" s="852"/>
      <c r="AD361" s="852"/>
      <c r="AE361" s="852"/>
      <c r="AF361" s="852"/>
      <c r="AG361" s="852"/>
      <c r="AH361" s="852"/>
      <c r="AI361" s="852"/>
      <c r="AJ361" s="852"/>
      <c r="AK361" s="853"/>
      <c r="AL361" s="852"/>
      <c r="AM361" s="853"/>
      <c r="AN361" s="852"/>
      <c r="AO361" s="853"/>
      <c r="AP361" s="852"/>
      <c r="AQ361" s="852"/>
      <c r="AR361" s="852"/>
      <c r="AS361" s="852"/>
      <c r="AT361" s="852"/>
      <c r="AU361" s="852"/>
      <c r="AV361" s="852"/>
      <c r="AW361" s="852"/>
      <c r="AX361" s="852"/>
      <c r="AY361" s="852"/>
      <c r="AZ361" s="852"/>
    </row>
    <row r="362" spans="1:52" hidden="1" outlineLevel="1">
      <c r="A362" s="1182" t="s">
        <v>557</v>
      </c>
      <c r="B362" s="852"/>
      <c r="C362" s="852"/>
      <c r="D362" s="852"/>
      <c r="E362" s="852"/>
      <c r="F362" s="852"/>
      <c r="G362" s="858"/>
      <c r="H362" s="858"/>
      <c r="I362" s="858"/>
      <c r="J362" s="858"/>
      <c r="K362" s="858"/>
      <c r="L362" s="858"/>
      <c r="M362" s="858"/>
      <c r="N362" s="852"/>
      <c r="O362" s="852"/>
      <c r="P362" s="852"/>
      <c r="Q362" s="852"/>
      <c r="R362" s="852"/>
      <c r="S362" s="852"/>
      <c r="T362" s="852"/>
      <c r="U362" s="852"/>
      <c r="V362" s="852"/>
      <c r="W362" s="852"/>
      <c r="X362" s="852"/>
      <c r="Y362" s="852"/>
      <c r="Z362" s="852"/>
      <c r="AA362" s="852"/>
      <c r="AB362" s="852"/>
      <c r="AC362" s="852"/>
      <c r="AD362" s="852"/>
      <c r="AE362" s="852"/>
      <c r="AF362" s="852"/>
      <c r="AG362" s="852"/>
      <c r="AH362" s="852"/>
      <c r="AI362" s="852"/>
      <c r="AJ362" s="852"/>
      <c r="AK362" s="853"/>
      <c r="AL362" s="852"/>
      <c r="AM362" s="853"/>
      <c r="AN362" s="852"/>
      <c r="AO362" s="853"/>
      <c r="AP362" s="852"/>
      <c r="AQ362" s="852"/>
      <c r="AR362" s="852"/>
      <c r="AS362" s="852"/>
      <c r="AT362" s="852"/>
      <c r="AU362" s="852"/>
      <c r="AV362" s="852"/>
      <c r="AW362" s="852"/>
      <c r="AX362" s="852"/>
      <c r="AY362" s="852"/>
      <c r="AZ362" s="852"/>
    </row>
    <row r="363" spans="1:52" hidden="1" outlineLevel="1">
      <c r="A363" s="1182" t="s">
        <v>1971</v>
      </c>
      <c r="B363" s="852"/>
      <c r="C363" s="852"/>
      <c r="D363" s="852"/>
      <c r="E363" s="852"/>
      <c r="F363" s="852"/>
      <c r="G363" s="858"/>
      <c r="H363" s="858"/>
      <c r="I363" s="858"/>
      <c r="J363" s="858"/>
      <c r="K363" s="858"/>
      <c r="L363" s="858"/>
      <c r="M363" s="858"/>
      <c r="N363" s="852"/>
      <c r="O363" s="852"/>
      <c r="P363" s="852"/>
      <c r="Q363" s="852"/>
      <c r="R363" s="852"/>
      <c r="S363" s="852"/>
      <c r="T363" s="852"/>
      <c r="U363" s="852"/>
      <c r="V363" s="852"/>
      <c r="W363" s="852"/>
      <c r="X363" s="852"/>
      <c r="Y363" s="852"/>
      <c r="Z363" s="852"/>
      <c r="AA363" s="852"/>
      <c r="AB363" s="852"/>
      <c r="AC363" s="852"/>
      <c r="AD363" s="852"/>
      <c r="AE363" s="852"/>
      <c r="AF363" s="852"/>
      <c r="AG363" s="852"/>
      <c r="AH363" s="852"/>
      <c r="AI363" s="852"/>
      <c r="AJ363" s="852"/>
      <c r="AK363" s="853"/>
      <c r="AL363" s="852"/>
      <c r="AM363" s="853"/>
      <c r="AN363" s="852"/>
      <c r="AO363" s="853"/>
      <c r="AP363" s="852"/>
      <c r="AQ363" s="852"/>
      <c r="AR363" s="852"/>
      <c r="AS363" s="852"/>
      <c r="AT363" s="852"/>
      <c r="AU363" s="852"/>
      <c r="AV363" s="852"/>
      <c r="AW363" s="852"/>
      <c r="AX363" s="852"/>
      <c r="AY363" s="852"/>
      <c r="AZ363" s="852"/>
    </row>
    <row r="364" spans="1:52" hidden="1" outlineLevel="1">
      <c r="A364" s="862"/>
      <c r="B364" s="852"/>
      <c r="C364" s="852"/>
      <c r="D364" s="852"/>
      <c r="E364" s="852"/>
      <c r="F364" s="852"/>
      <c r="G364" s="858"/>
      <c r="H364" s="858"/>
      <c r="I364" s="858"/>
      <c r="J364" s="858"/>
      <c r="K364" s="858"/>
      <c r="L364" s="858"/>
      <c r="M364" s="858"/>
      <c r="N364" s="852"/>
      <c r="O364" s="852"/>
      <c r="P364" s="852"/>
      <c r="Q364" s="852"/>
      <c r="R364" s="852"/>
      <c r="S364" s="852"/>
      <c r="T364" s="852"/>
      <c r="U364" s="852"/>
      <c r="V364" s="852"/>
      <c r="W364" s="852"/>
      <c r="X364" s="852"/>
      <c r="Y364" s="852"/>
      <c r="Z364" s="852"/>
      <c r="AA364" s="852"/>
      <c r="AB364" s="852"/>
      <c r="AC364" s="852"/>
      <c r="AD364" s="852"/>
      <c r="AE364" s="852"/>
      <c r="AF364" s="852"/>
      <c r="AG364" s="852"/>
      <c r="AH364" s="852"/>
      <c r="AI364" s="852"/>
      <c r="AJ364" s="852"/>
      <c r="AK364" s="853"/>
      <c r="AL364" s="852"/>
      <c r="AM364" s="853"/>
      <c r="AN364" s="852"/>
      <c r="AO364" s="853"/>
      <c r="AP364" s="852"/>
      <c r="AQ364" s="852"/>
      <c r="AR364" s="852"/>
      <c r="AS364" s="852"/>
      <c r="AT364" s="852"/>
      <c r="AU364" s="852"/>
      <c r="AV364" s="852"/>
      <c r="AW364" s="852"/>
      <c r="AX364" s="852"/>
      <c r="AY364" s="852"/>
      <c r="AZ364" s="852"/>
    </row>
    <row r="365" spans="1:52" hidden="1" outlineLevel="1">
      <c r="A365" s="1182" t="s">
        <v>1977</v>
      </c>
      <c r="B365" s="852"/>
      <c r="C365" s="852"/>
      <c r="D365" s="852"/>
      <c r="E365" s="852"/>
      <c r="F365" s="852"/>
      <c r="G365" s="858"/>
      <c r="H365" s="858"/>
      <c r="I365" s="858"/>
      <c r="J365" s="858"/>
      <c r="K365" s="858"/>
      <c r="L365" s="858"/>
      <c r="M365" s="858"/>
      <c r="N365" s="852"/>
      <c r="O365" s="852"/>
      <c r="P365" s="1194">
        <f t="shared" ref="P365:Y365" si="352">+(P368+O368)/2</f>
        <v>1.755E-2</v>
      </c>
      <c r="Q365" s="1194">
        <f t="shared" si="352"/>
        <v>5.5550000000000002E-2</v>
      </c>
      <c r="R365" s="1194">
        <f t="shared" si="352"/>
        <v>9.4E-2</v>
      </c>
      <c r="S365" s="1194">
        <f t="shared" si="352"/>
        <v>9.0200000000000002E-2</v>
      </c>
      <c r="T365" s="1194">
        <f t="shared" si="352"/>
        <v>6.8400000000000002E-2</v>
      </c>
      <c r="U365" s="1194">
        <f t="shared" si="352"/>
        <v>6.8400000000000002E-2</v>
      </c>
      <c r="V365" s="1194">
        <f t="shared" si="352"/>
        <v>6.8400000000000002E-2</v>
      </c>
      <c r="W365" s="1194">
        <f t="shared" si="352"/>
        <v>6.8400000000000002E-2</v>
      </c>
      <c r="X365" s="1194">
        <f t="shared" si="352"/>
        <v>0.93420000000000003</v>
      </c>
      <c r="Y365" s="1194">
        <f t="shared" si="352"/>
        <v>0.9</v>
      </c>
      <c r="Z365" s="1194"/>
      <c r="AA365" s="1194"/>
      <c r="AB365" s="1194"/>
      <c r="AC365" s="1194"/>
      <c r="AD365" s="1194"/>
      <c r="AE365" s="1194"/>
      <c r="AF365" s="1194"/>
      <c r="AG365" s="1194"/>
      <c r="AH365" s="1194"/>
      <c r="AI365" s="852"/>
      <c r="AJ365" s="852"/>
      <c r="AK365" s="853"/>
      <c r="AL365" s="852"/>
      <c r="AM365" s="853"/>
      <c r="AN365" s="852"/>
      <c r="AO365" s="853"/>
      <c r="AP365" s="852"/>
      <c r="AQ365" s="852"/>
      <c r="AR365" s="852"/>
      <c r="AS365" s="852"/>
      <c r="AT365" s="852"/>
      <c r="AU365" s="852"/>
      <c r="AV365" s="852"/>
      <c r="AW365" s="852"/>
      <c r="AX365" s="852"/>
      <c r="AY365" s="852"/>
      <c r="AZ365" s="852"/>
    </row>
    <row r="366" spans="1:52" hidden="1" outlineLevel="1">
      <c r="A366" s="1182" t="s">
        <v>1971</v>
      </c>
      <c r="B366" s="852"/>
      <c r="C366" s="852"/>
      <c r="D366" s="852"/>
      <c r="E366" s="852"/>
      <c r="F366" s="852"/>
      <c r="G366" s="858"/>
      <c r="H366" s="858"/>
      <c r="I366" s="858"/>
      <c r="J366" s="858"/>
      <c r="K366" s="858"/>
      <c r="L366" s="858"/>
      <c r="M366" s="858"/>
      <c r="N366" s="852"/>
      <c r="O366" s="852"/>
      <c r="P366" s="852"/>
      <c r="Q366" s="1215">
        <f t="shared" ref="Q366:Y366" si="353">Q365/P365-1</f>
        <v>2.1652421652421654</v>
      </c>
      <c r="R366" s="1215">
        <f t="shared" si="353"/>
        <v>0.6921692169216922</v>
      </c>
      <c r="S366" s="1215">
        <f t="shared" si="353"/>
        <v>-4.042553191489362E-2</v>
      </c>
      <c r="T366" s="1215">
        <f t="shared" si="353"/>
        <v>-0.24168514412416853</v>
      </c>
      <c r="U366" s="1215">
        <f t="shared" si="353"/>
        <v>0</v>
      </c>
      <c r="V366" s="1215">
        <f t="shared" si="353"/>
        <v>0</v>
      </c>
      <c r="W366" s="1215">
        <f t="shared" si="353"/>
        <v>0</v>
      </c>
      <c r="X366" s="1215">
        <f t="shared" si="353"/>
        <v>12.657894736842104</v>
      </c>
      <c r="Y366" s="1215">
        <f t="shared" si="353"/>
        <v>-3.6608863198458574E-2</v>
      </c>
      <c r="Z366" s="1215"/>
      <c r="AA366" s="1215"/>
      <c r="AB366" s="1215"/>
      <c r="AC366" s="1215"/>
      <c r="AD366" s="1215"/>
      <c r="AE366" s="1215"/>
      <c r="AF366" s="1215"/>
      <c r="AG366" s="1215"/>
      <c r="AH366" s="1215"/>
      <c r="AI366" s="852"/>
      <c r="AJ366" s="852"/>
      <c r="AK366" s="853"/>
      <c r="AL366" s="852"/>
      <c r="AM366" s="853"/>
      <c r="AN366" s="852"/>
      <c r="AO366" s="853"/>
      <c r="AP366" s="852"/>
      <c r="AQ366" s="852"/>
      <c r="AR366" s="852"/>
      <c r="AS366" s="852"/>
      <c r="AT366" s="852"/>
      <c r="AU366" s="852"/>
      <c r="AV366" s="852"/>
      <c r="AW366" s="852"/>
      <c r="AX366" s="852"/>
      <c r="AY366" s="852"/>
      <c r="AZ366" s="852"/>
    </row>
    <row r="367" spans="1:52" hidden="1" outlineLevel="1">
      <c r="A367" s="861"/>
      <c r="B367" s="852"/>
      <c r="C367" s="852"/>
      <c r="D367" s="852"/>
      <c r="E367" s="852"/>
      <c r="F367" s="852"/>
      <c r="G367" s="858"/>
      <c r="H367" s="858"/>
      <c r="I367" s="858"/>
      <c r="J367" s="858"/>
      <c r="K367" s="858"/>
      <c r="L367" s="858"/>
      <c r="M367" s="858"/>
      <c r="N367" s="852"/>
      <c r="O367" s="852"/>
      <c r="P367" s="852"/>
      <c r="Q367" s="852"/>
      <c r="R367" s="852"/>
      <c r="S367" s="852"/>
      <c r="T367" s="852"/>
      <c r="U367" s="852"/>
      <c r="V367" s="852"/>
      <c r="W367" s="852"/>
      <c r="X367" s="852"/>
      <c r="Y367" s="852"/>
      <c r="Z367" s="852"/>
      <c r="AA367" s="852"/>
      <c r="AB367" s="852"/>
      <c r="AC367" s="852"/>
      <c r="AD367" s="852"/>
      <c r="AE367" s="852"/>
      <c r="AF367" s="852"/>
      <c r="AG367" s="852"/>
      <c r="AH367" s="852"/>
      <c r="AI367" s="852"/>
      <c r="AJ367" s="852"/>
      <c r="AK367" s="853"/>
      <c r="AL367" s="852"/>
      <c r="AM367" s="853"/>
      <c r="AN367" s="852"/>
      <c r="AO367" s="853"/>
      <c r="AP367" s="852"/>
      <c r="AQ367" s="852"/>
      <c r="AR367" s="852"/>
      <c r="AS367" s="852"/>
      <c r="AT367" s="852"/>
      <c r="AU367" s="852"/>
      <c r="AV367" s="852"/>
      <c r="AW367" s="852"/>
      <c r="AX367" s="852"/>
      <c r="AY367" s="852"/>
      <c r="AZ367" s="852"/>
    </row>
    <row r="368" spans="1:52" hidden="1" outlineLevel="1">
      <c r="A368" s="1182" t="s">
        <v>1940</v>
      </c>
      <c r="B368" s="852"/>
      <c r="C368" s="852"/>
      <c r="D368" s="852"/>
      <c r="E368" s="852"/>
      <c r="F368" s="852"/>
      <c r="G368" s="1216"/>
      <c r="H368" s="858"/>
      <c r="I368" s="858"/>
      <c r="J368" s="858"/>
      <c r="K368" s="858"/>
      <c r="L368" s="858"/>
      <c r="M368" s="858"/>
      <c r="N368" s="852"/>
      <c r="O368" s="852"/>
      <c r="P368" s="852">
        <f>Stores!AO132</f>
        <v>3.5099999999999999E-2</v>
      </c>
      <c r="Q368" s="852">
        <f>Stores!AO139</f>
        <v>7.5999999999999998E-2</v>
      </c>
      <c r="R368" s="852">
        <f>Stores!AO146</f>
        <v>0.112</v>
      </c>
      <c r="S368" s="852">
        <f>Stores!AO153</f>
        <v>6.8400000000000002E-2</v>
      </c>
      <c r="T368" s="852">
        <f>Stores!$AO160</f>
        <v>6.8400000000000002E-2</v>
      </c>
      <c r="U368" s="852">
        <f>Stores!$AO167</f>
        <v>6.8400000000000002E-2</v>
      </c>
      <c r="V368" s="852">
        <f>Stores!AO174</f>
        <v>6.8400000000000002E-2</v>
      </c>
      <c r="W368" s="852">
        <f>Stores!AO181</f>
        <v>6.8400000000000002E-2</v>
      </c>
      <c r="X368" s="852">
        <f>Stores!AP181</f>
        <v>1.8</v>
      </c>
      <c r="Y368" s="852">
        <f>Stores!AQ181</f>
        <v>0</v>
      </c>
      <c r="Z368" s="852"/>
      <c r="AA368" s="852"/>
      <c r="AB368" s="852"/>
      <c r="AC368" s="852"/>
      <c r="AD368" s="852"/>
      <c r="AE368" s="852"/>
      <c r="AF368" s="852"/>
      <c r="AG368" s="852"/>
      <c r="AH368" s="852"/>
      <c r="AI368" s="852"/>
      <c r="AJ368" s="852"/>
      <c r="AK368" s="853"/>
      <c r="AL368" s="852"/>
      <c r="AM368" s="853"/>
      <c r="AN368" s="852"/>
      <c r="AO368" s="853"/>
      <c r="AP368" s="852"/>
      <c r="AQ368" s="852"/>
      <c r="AR368" s="852"/>
      <c r="AS368" s="852"/>
      <c r="AT368" s="852"/>
      <c r="AU368" s="852"/>
      <c r="AV368" s="852"/>
      <c r="AW368" s="852"/>
      <c r="AX368" s="852"/>
      <c r="AY368" s="852"/>
      <c r="AZ368" s="852"/>
    </row>
    <row r="369" spans="1:52" hidden="1" outlineLevel="1">
      <c r="A369" s="1182" t="s">
        <v>1971</v>
      </c>
      <c r="B369" s="852"/>
      <c r="C369" s="852"/>
      <c r="D369" s="852"/>
      <c r="E369" s="852"/>
      <c r="F369" s="852"/>
      <c r="G369" s="1216"/>
      <c r="H369" s="858"/>
      <c r="I369" s="858"/>
      <c r="J369" s="858"/>
      <c r="K369" s="858"/>
      <c r="L369" s="858"/>
      <c r="M369" s="858"/>
      <c r="N369" s="852"/>
      <c r="O369" s="852"/>
      <c r="P369" s="852"/>
      <c r="Q369" s="1215">
        <f>Q368/P368-1</f>
        <v>1.1652421652421654</v>
      </c>
      <c r="R369" s="1215">
        <f t="shared" ref="R369:Y369" si="354">R368/Q368-1</f>
        <v>0.47368421052631593</v>
      </c>
      <c r="S369" s="1215">
        <f t="shared" si="354"/>
        <v>-0.38928571428571423</v>
      </c>
      <c r="T369" s="1215">
        <f t="shared" si="354"/>
        <v>0</v>
      </c>
      <c r="U369" s="1215">
        <f t="shared" si="354"/>
        <v>0</v>
      </c>
      <c r="V369" s="1215">
        <f t="shared" si="354"/>
        <v>0</v>
      </c>
      <c r="W369" s="1215">
        <f t="shared" si="354"/>
        <v>0</v>
      </c>
      <c r="X369" s="1215">
        <f t="shared" si="354"/>
        <v>25.315789473684209</v>
      </c>
      <c r="Y369" s="1215">
        <f t="shared" si="354"/>
        <v>-1</v>
      </c>
      <c r="Z369" s="1215"/>
      <c r="AA369" s="1215"/>
      <c r="AB369" s="1215"/>
      <c r="AC369" s="1215"/>
      <c r="AD369" s="1215"/>
      <c r="AE369" s="1215"/>
      <c r="AF369" s="1215"/>
      <c r="AG369" s="1215"/>
      <c r="AH369" s="1215"/>
      <c r="AI369" s="852"/>
      <c r="AJ369" s="852"/>
      <c r="AK369" s="853"/>
      <c r="AL369" s="852"/>
      <c r="AM369" s="853"/>
      <c r="AN369" s="852"/>
      <c r="AO369" s="853"/>
      <c r="AP369" s="852"/>
      <c r="AQ369" s="852"/>
      <c r="AR369" s="852"/>
      <c r="AS369" s="852"/>
      <c r="AT369" s="852"/>
      <c r="AU369" s="852"/>
      <c r="AV369" s="852"/>
      <c r="AW369" s="852"/>
      <c r="AX369" s="852"/>
      <c r="AY369" s="852"/>
      <c r="AZ369" s="852"/>
    </row>
    <row r="370" spans="1:52" hidden="1" outlineLevel="1">
      <c r="A370" s="861"/>
      <c r="B370" s="852"/>
      <c r="C370" s="852"/>
      <c r="D370" s="852"/>
      <c r="E370" s="852"/>
      <c r="F370" s="852"/>
      <c r="G370" s="852"/>
      <c r="H370" s="852"/>
      <c r="I370" s="852"/>
      <c r="J370" s="852"/>
      <c r="K370" s="852"/>
      <c r="L370" s="852"/>
      <c r="M370" s="852"/>
      <c r="N370" s="852"/>
      <c r="O370" s="852"/>
      <c r="P370" s="852"/>
      <c r="Q370" s="852"/>
      <c r="R370" s="852"/>
      <c r="S370" s="852"/>
      <c r="T370" s="852"/>
      <c r="U370" s="852"/>
      <c r="V370" s="852"/>
      <c r="W370" s="852"/>
      <c r="X370" s="852"/>
      <c r="Y370" s="852"/>
      <c r="Z370" s="852"/>
      <c r="AA370" s="852"/>
      <c r="AB370" s="852"/>
      <c r="AC370" s="852"/>
      <c r="AD370" s="852"/>
      <c r="AE370" s="852"/>
      <c r="AF370" s="852"/>
      <c r="AG370" s="852"/>
      <c r="AH370" s="852"/>
      <c r="AI370" s="852"/>
      <c r="AJ370" s="852"/>
      <c r="AK370" s="853"/>
      <c r="AL370" s="852"/>
      <c r="AM370" s="853"/>
      <c r="AN370" s="852"/>
      <c r="AO370" s="853"/>
      <c r="AP370" s="852"/>
      <c r="AQ370" s="852"/>
      <c r="AR370" s="852"/>
      <c r="AS370" s="852"/>
      <c r="AT370" s="852"/>
      <c r="AU370" s="852"/>
      <c r="AV370" s="852"/>
      <c r="AW370" s="852"/>
      <c r="AX370" s="852"/>
      <c r="AY370" s="852"/>
      <c r="AZ370" s="852"/>
    </row>
    <row r="371" spans="1:52" hidden="1" outlineLevel="1">
      <c r="A371" s="1182" t="s">
        <v>1978</v>
      </c>
      <c r="B371" s="852"/>
      <c r="C371" s="852"/>
      <c r="D371" s="852"/>
      <c r="E371" s="852"/>
      <c r="F371" s="852"/>
      <c r="G371" s="852"/>
      <c r="H371" s="852"/>
      <c r="I371" s="852"/>
      <c r="J371" s="852"/>
      <c r="K371" s="852"/>
      <c r="L371" s="852"/>
      <c r="M371" s="852"/>
      <c r="N371" s="852"/>
      <c r="O371" s="852"/>
      <c r="P371" s="1213">
        <f>P368/P358*1000000</f>
        <v>1300</v>
      </c>
      <c r="Q371" s="1213">
        <f t="shared" ref="Q371:W371" si="355">Q368/Q358*1000000</f>
        <v>2375</v>
      </c>
      <c r="R371" s="1213">
        <f t="shared" si="355"/>
        <v>2947.3684210526317</v>
      </c>
      <c r="S371" s="1213">
        <f t="shared" si="355"/>
        <v>1800.0000000000002</v>
      </c>
      <c r="T371" s="1213">
        <f t="shared" si="355"/>
        <v>1800.0000000000002</v>
      </c>
      <c r="U371" s="1213">
        <f t="shared" si="355"/>
        <v>1800.0000000000002</v>
      </c>
      <c r="V371" s="1213">
        <f t="shared" si="355"/>
        <v>1800.0000000000002</v>
      </c>
      <c r="W371" s="1213">
        <f t="shared" si="355"/>
        <v>1800.0000000000002</v>
      </c>
      <c r="X371" s="1213">
        <f>X368/X358*1000000</f>
        <v>47368.42105263158</v>
      </c>
      <c r="Y371" s="1213">
        <f>Y368/Y358*1000000</f>
        <v>0</v>
      </c>
      <c r="Z371" s="1213"/>
      <c r="AA371" s="1213"/>
      <c r="AB371" s="1213"/>
      <c r="AC371" s="1213"/>
      <c r="AD371" s="1213"/>
      <c r="AE371" s="1213"/>
      <c r="AF371" s="1213"/>
      <c r="AG371" s="1213"/>
      <c r="AH371" s="1213"/>
      <c r="AI371" s="852"/>
      <c r="AJ371" s="852"/>
      <c r="AK371" s="853"/>
      <c r="AL371" s="852"/>
      <c r="AM371" s="853"/>
      <c r="AN371" s="852"/>
      <c r="AO371" s="853"/>
      <c r="AP371" s="852"/>
      <c r="AQ371" s="852"/>
      <c r="AR371" s="852"/>
      <c r="AS371" s="852"/>
      <c r="AT371" s="852"/>
      <c r="AU371" s="852"/>
      <c r="AV371" s="852"/>
      <c r="AW371" s="852"/>
      <c r="AX371" s="852"/>
      <c r="AY371" s="852"/>
      <c r="AZ371" s="852"/>
    </row>
    <row r="372" spans="1:52" hidden="1" outlineLevel="1">
      <c r="A372" s="1182" t="s">
        <v>1971</v>
      </c>
      <c r="B372" s="852"/>
      <c r="C372" s="852"/>
      <c r="D372" s="852"/>
      <c r="E372" s="852"/>
      <c r="F372" s="852"/>
      <c r="G372" s="852"/>
      <c r="H372" s="852"/>
      <c r="I372" s="852"/>
      <c r="J372" s="852"/>
      <c r="K372" s="852"/>
      <c r="L372" s="852"/>
      <c r="M372" s="852"/>
      <c r="N372" s="852"/>
      <c r="O372" s="852"/>
      <c r="P372" s="1198"/>
      <c r="Q372" s="1198">
        <f t="shared" ref="Q372:Y372" si="356">Q371/P371-1</f>
        <v>0.82692307692307687</v>
      </c>
      <c r="R372" s="1198">
        <f t="shared" si="356"/>
        <v>0.24099722991689765</v>
      </c>
      <c r="S372" s="1198">
        <f t="shared" si="356"/>
        <v>-0.38928571428571423</v>
      </c>
      <c r="T372" s="1198">
        <f t="shared" si="356"/>
        <v>0</v>
      </c>
      <c r="U372" s="1198">
        <f t="shared" si="356"/>
        <v>0</v>
      </c>
      <c r="V372" s="1198">
        <f t="shared" si="356"/>
        <v>0</v>
      </c>
      <c r="W372" s="1198">
        <f t="shared" si="356"/>
        <v>0</v>
      </c>
      <c r="X372" s="1198">
        <f t="shared" si="356"/>
        <v>25.315789473684209</v>
      </c>
      <c r="Y372" s="1198">
        <f t="shared" si="356"/>
        <v>-1</v>
      </c>
      <c r="Z372" s="1198"/>
      <c r="AA372" s="1198"/>
      <c r="AB372" s="1198"/>
      <c r="AC372" s="1198"/>
      <c r="AD372" s="1198"/>
      <c r="AE372" s="1198"/>
      <c r="AF372" s="1198"/>
      <c r="AG372" s="1198"/>
      <c r="AH372" s="1198"/>
      <c r="AI372" s="852"/>
      <c r="AJ372" s="852"/>
      <c r="AK372" s="853"/>
      <c r="AL372" s="852"/>
      <c r="AM372" s="853"/>
      <c r="AN372" s="852"/>
      <c r="AO372" s="853"/>
      <c r="AP372" s="852"/>
      <c r="AQ372" s="852"/>
      <c r="AR372" s="852"/>
      <c r="AS372" s="852"/>
      <c r="AT372" s="852"/>
      <c r="AU372" s="852"/>
      <c r="AV372" s="852"/>
      <c r="AW372" s="852"/>
      <c r="AX372" s="852"/>
      <c r="AY372" s="852"/>
      <c r="AZ372" s="852"/>
    </row>
    <row r="373" spans="1:52" hidden="1" outlineLevel="1">
      <c r="A373" s="861"/>
      <c r="B373" s="852"/>
      <c r="C373" s="852"/>
      <c r="D373" s="852"/>
      <c r="E373" s="852"/>
      <c r="F373" s="852"/>
      <c r="G373" s="852"/>
      <c r="H373" s="852"/>
      <c r="I373" s="852"/>
      <c r="J373" s="852"/>
      <c r="K373" s="852"/>
      <c r="L373" s="852"/>
      <c r="M373" s="852"/>
      <c r="N373" s="852"/>
      <c r="O373" s="852"/>
      <c r="P373" s="852"/>
      <c r="Q373" s="852"/>
      <c r="R373" s="852"/>
      <c r="S373" s="852"/>
      <c r="T373" s="852"/>
      <c r="U373" s="852"/>
      <c r="V373" s="852"/>
      <c r="W373" s="852"/>
      <c r="X373" s="852"/>
      <c r="Y373" s="852"/>
      <c r="Z373" s="852"/>
      <c r="AA373" s="852"/>
      <c r="AB373" s="852"/>
      <c r="AC373" s="852"/>
      <c r="AD373" s="852"/>
      <c r="AE373" s="852"/>
      <c r="AF373" s="852"/>
      <c r="AG373" s="852"/>
      <c r="AH373" s="852"/>
      <c r="AI373" s="852"/>
      <c r="AJ373" s="852"/>
      <c r="AK373" s="853"/>
      <c r="AL373" s="852"/>
      <c r="AM373" s="853"/>
      <c r="AN373" s="852"/>
      <c r="AO373" s="853"/>
      <c r="AP373" s="852"/>
      <c r="AQ373" s="852"/>
      <c r="AR373" s="852"/>
      <c r="AS373" s="852"/>
      <c r="AT373" s="852"/>
      <c r="AU373" s="852"/>
      <c r="AV373" s="852"/>
      <c r="AW373" s="852"/>
      <c r="AX373" s="852"/>
      <c r="AY373" s="852"/>
      <c r="AZ373" s="852"/>
    </row>
    <row r="374" spans="1:52" hidden="1" outlineLevel="1">
      <c r="A374" s="1182" t="s">
        <v>558</v>
      </c>
      <c r="B374" s="852"/>
      <c r="C374" s="852"/>
      <c r="D374" s="852"/>
      <c r="E374" s="852"/>
      <c r="F374" s="852"/>
      <c r="G374" s="852"/>
      <c r="H374" s="852"/>
      <c r="I374" s="852"/>
      <c r="J374" s="852"/>
      <c r="K374" s="852"/>
      <c r="L374" s="852"/>
      <c r="M374" s="852"/>
      <c r="N374" s="852"/>
      <c r="O374" s="852"/>
      <c r="P374" s="1212">
        <f>P353/P365</f>
        <v>5020.9686609686605</v>
      </c>
      <c r="Q374" s="1212">
        <f t="shared" ref="Q374:W374" si="357">Q353/Q365</f>
        <v>2093.5733573357334</v>
      </c>
      <c r="R374" s="1212">
        <f t="shared" si="357"/>
        <v>989.17889277019162</v>
      </c>
      <c r="S374" s="1212">
        <f t="shared" si="357"/>
        <v>904.2572062084256</v>
      </c>
      <c r="T374" s="1212">
        <f t="shared" si="357"/>
        <v>1311.7017543859649</v>
      </c>
      <c r="U374" s="1212">
        <f t="shared" si="357"/>
        <v>230.14619883040936</v>
      </c>
      <c r="V374" s="1212">
        <f t="shared" si="357"/>
        <v>267.76315789473688</v>
      </c>
      <c r="W374" s="1212">
        <f t="shared" si="357"/>
        <v>72.222222222222229</v>
      </c>
      <c r="X374" s="1212">
        <f>X353/X365</f>
        <v>5.2879469064440165</v>
      </c>
      <c r="Y374" s="1212">
        <f>Y353/Y365</f>
        <v>5.4888888888888889</v>
      </c>
      <c r="Z374" s="1212"/>
      <c r="AA374" s="1212"/>
      <c r="AB374" s="1212"/>
      <c r="AC374" s="1212"/>
      <c r="AD374" s="1212"/>
      <c r="AE374" s="1212"/>
      <c r="AF374" s="1212"/>
      <c r="AG374" s="1212"/>
      <c r="AH374" s="1212"/>
      <c r="AI374" s="852"/>
      <c r="AJ374" s="852"/>
      <c r="AK374" s="853"/>
      <c r="AL374" s="852"/>
      <c r="AM374" s="853"/>
      <c r="AN374" s="852"/>
      <c r="AO374" s="853"/>
      <c r="AP374" s="852"/>
      <c r="AQ374" s="852"/>
      <c r="AR374" s="852"/>
      <c r="AS374" s="852"/>
      <c r="AT374" s="852"/>
      <c r="AU374" s="852"/>
      <c r="AV374" s="852"/>
      <c r="AW374" s="852"/>
      <c r="AX374" s="852"/>
      <c r="AY374" s="852"/>
      <c r="AZ374" s="852"/>
    </row>
    <row r="375" spans="1:52" hidden="1" outlineLevel="1">
      <c r="A375" s="1182" t="s">
        <v>1971</v>
      </c>
      <c r="B375" s="852"/>
      <c r="C375" s="852"/>
      <c r="D375" s="852"/>
      <c r="E375" s="852"/>
      <c r="F375" s="852"/>
      <c r="G375" s="852"/>
      <c r="H375" s="852"/>
      <c r="I375" s="852"/>
      <c r="J375" s="852"/>
      <c r="K375" s="852"/>
      <c r="L375" s="852"/>
      <c r="M375" s="852"/>
      <c r="N375" s="852"/>
      <c r="O375" s="852"/>
      <c r="P375" s="1198"/>
      <c r="Q375" s="1198">
        <f>Q374/P374-1</f>
        <v>-0.58303397238654853</v>
      </c>
      <c r="R375" s="1198">
        <f t="shared" ref="R375:Y375" si="358">R374/Q374-1</f>
        <v>-0.52751648787267058</v>
      </c>
      <c r="S375" s="1198">
        <f t="shared" si="358"/>
        <v>-8.5850686041170188E-2</v>
      </c>
      <c r="T375" s="1198">
        <f t="shared" si="358"/>
        <v>0.45058479532163753</v>
      </c>
      <c r="U375" s="1198">
        <f t="shared" si="358"/>
        <v>-0.82454380497634872</v>
      </c>
      <c r="V375" s="1198">
        <f t="shared" si="358"/>
        <v>0.16344810062253856</v>
      </c>
      <c r="W375" s="1198">
        <f t="shared" si="358"/>
        <v>-0.73027573027573034</v>
      </c>
      <c r="X375" s="1198">
        <f t="shared" si="358"/>
        <v>-0.92678227360308285</v>
      </c>
      <c r="Y375" s="1198">
        <f t="shared" si="358"/>
        <v>3.8000000000000034E-2</v>
      </c>
      <c r="Z375" s="1198"/>
      <c r="AA375" s="1198"/>
      <c r="AB375" s="1198"/>
      <c r="AC375" s="1198"/>
      <c r="AD375" s="1198"/>
      <c r="AE375" s="1198"/>
      <c r="AF375" s="1198"/>
      <c r="AG375" s="1198"/>
      <c r="AH375" s="1198"/>
      <c r="AI375" s="852"/>
      <c r="AJ375" s="852"/>
      <c r="AK375" s="853"/>
      <c r="AL375" s="852"/>
      <c r="AM375" s="853"/>
      <c r="AN375" s="852"/>
      <c r="AO375" s="853"/>
      <c r="AP375" s="852"/>
      <c r="AQ375" s="852"/>
      <c r="AR375" s="852"/>
      <c r="AS375" s="852"/>
      <c r="AT375" s="852"/>
      <c r="AU375" s="852"/>
      <c r="AV375" s="852"/>
      <c r="AW375" s="852"/>
      <c r="AX375" s="852"/>
      <c r="AY375" s="852"/>
      <c r="AZ375" s="852"/>
    </row>
    <row r="376" spans="1:52" hidden="1" outlineLevel="1">
      <c r="A376" s="861"/>
      <c r="B376" s="852"/>
      <c r="C376" s="852"/>
      <c r="D376" s="852"/>
      <c r="E376" s="852"/>
      <c r="F376" s="852"/>
      <c r="G376" s="852"/>
      <c r="H376" s="852"/>
      <c r="I376" s="852"/>
      <c r="J376" s="852"/>
      <c r="K376" s="852"/>
      <c r="L376" s="852"/>
      <c r="M376" s="852"/>
      <c r="N376" s="852"/>
      <c r="O376" s="852"/>
      <c r="P376" s="852"/>
      <c r="Q376" s="852"/>
      <c r="R376" s="852"/>
      <c r="S376" s="852"/>
      <c r="T376" s="852"/>
      <c r="U376" s="852"/>
      <c r="V376" s="852"/>
      <c r="W376" s="852"/>
      <c r="X376" s="852"/>
      <c r="Y376" s="852"/>
      <c r="Z376" s="852"/>
      <c r="AA376" s="852"/>
      <c r="AB376" s="852"/>
      <c r="AC376" s="852"/>
      <c r="AD376" s="852"/>
      <c r="AE376" s="852"/>
      <c r="AF376" s="852"/>
      <c r="AG376" s="852"/>
      <c r="AH376" s="852"/>
      <c r="AI376" s="852"/>
      <c r="AJ376" s="852"/>
      <c r="AK376" s="853"/>
      <c r="AL376" s="852"/>
      <c r="AM376" s="853"/>
      <c r="AN376" s="852"/>
      <c r="AO376" s="853"/>
      <c r="AP376" s="852"/>
      <c r="AQ376" s="852"/>
      <c r="AR376" s="852"/>
      <c r="AS376" s="852"/>
      <c r="AT376" s="852"/>
      <c r="AU376" s="852"/>
      <c r="AV376" s="852"/>
      <c r="AW376" s="852"/>
      <c r="AX376" s="852"/>
      <c r="AY376" s="852"/>
      <c r="AZ376" s="852"/>
    </row>
    <row r="377" spans="1:52" hidden="1" outlineLevel="1">
      <c r="A377" s="1182" t="s">
        <v>1980</v>
      </c>
      <c r="B377" s="852"/>
      <c r="C377" s="852"/>
      <c r="D377" s="852"/>
      <c r="E377" s="852"/>
      <c r="F377" s="852"/>
      <c r="G377" s="852"/>
      <c r="H377" s="852"/>
      <c r="I377" s="852"/>
      <c r="J377" s="852"/>
      <c r="K377" s="852"/>
      <c r="L377" s="852"/>
      <c r="M377" s="852"/>
      <c r="N377" s="852"/>
      <c r="O377" s="852"/>
      <c r="P377" s="852"/>
      <c r="Q377" s="852"/>
      <c r="R377" s="852"/>
      <c r="S377" s="852"/>
      <c r="T377" s="852"/>
      <c r="U377" s="852"/>
      <c r="V377" s="852"/>
      <c r="W377" s="852"/>
      <c r="X377" s="852"/>
      <c r="Y377" s="852"/>
      <c r="Z377" s="852"/>
      <c r="AA377" s="852"/>
      <c r="AB377" s="852"/>
      <c r="AC377" s="852"/>
      <c r="AD377" s="852"/>
      <c r="AE377" s="852"/>
      <c r="AF377" s="852"/>
      <c r="AG377" s="852"/>
      <c r="AH377" s="852"/>
      <c r="AI377" s="852"/>
      <c r="AJ377" s="852"/>
      <c r="AK377" s="853"/>
      <c r="AL377" s="852"/>
      <c r="AM377" s="853"/>
      <c r="AN377" s="852"/>
      <c r="AO377" s="853"/>
      <c r="AP377" s="852"/>
      <c r="AQ377" s="852"/>
      <c r="AR377" s="852"/>
      <c r="AS377" s="852"/>
      <c r="AT377" s="852"/>
      <c r="AU377" s="852"/>
      <c r="AV377" s="852"/>
      <c r="AW377" s="852"/>
      <c r="AX377" s="852"/>
      <c r="AY377" s="852"/>
      <c r="AZ377" s="852"/>
    </row>
    <row r="378" spans="1:52" hidden="1" outlineLevel="1">
      <c r="A378" s="1182" t="s">
        <v>1578</v>
      </c>
      <c r="B378" s="852"/>
      <c r="C378" s="852"/>
      <c r="D378" s="852"/>
      <c r="E378" s="852"/>
      <c r="F378" s="852"/>
      <c r="G378" s="852"/>
      <c r="H378" s="852"/>
      <c r="I378" s="852"/>
      <c r="J378" s="852"/>
      <c r="K378" s="852"/>
      <c r="L378" s="852"/>
      <c r="M378" s="852"/>
      <c r="N378" s="852"/>
      <c r="O378" s="852"/>
      <c r="P378" s="852"/>
      <c r="Q378" s="852"/>
      <c r="R378" s="852"/>
      <c r="S378" s="852"/>
      <c r="T378" s="852"/>
      <c r="U378" s="852"/>
      <c r="V378" s="852"/>
      <c r="W378" s="852"/>
      <c r="X378" s="852"/>
      <c r="Y378" s="852"/>
      <c r="Z378" s="852"/>
      <c r="AA378" s="852"/>
      <c r="AB378" s="852"/>
      <c r="AC378" s="852"/>
      <c r="AD378" s="852"/>
      <c r="AE378" s="852"/>
      <c r="AF378" s="852"/>
      <c r="AG378" s="852"/>
      <c r="AH378" s="852"/>
      <c r="AI378" s="852"/>
      <c r="AJ378" s="852"/>
      <c r="AK378" s="853"/>
      <c r="AL378" s="852"/>
      <c r="AM378" s="853"/>
      <c r="AN378" s="852"/>
      <c r="AO378" s="853"/>
      <c r="AP378" s="852"/>
      <c r="AQ378" s="852"/>
      <c r="AR378" s="852"/>
      <c r="AS378" s="852"/>
      <c r="AT378" s="852"/>
      <c r="AU378" s="852"/>
      <c r="AV378" s="852"/>
      <c r="AW378" s="852"/>
      <c r="AX378" s="852"/>
      <c r="AY378" s="852"/>
      <c r="AZ378" s="852"/>
    </row>
    <row r="379" spans="1:52" hidden="1" outlineLevel="1">
      <c r="A379" s="861"/>
      <c r="B379" s="852"/>
      <c r="C379" s="852"/>
      <c r="D379" s="852"/>
      <c r="E379" s="852"/>
      <c r="F379" s="852"/>
      <c r="G379" s="852"/>
      <c r="H379" s="852"/>
      <c r="I379" s="852"/>
      <c r="J379" s="852"/>
      <c r="K379" s="852"/>
      <c r="L379" s="852"/>
      <c r="M379" s="852"/>
      <c r="N379" s="852"/>
      <c r="O379" s="852"/>
      <c r="P379" s="852"/>
      <c r="Q379" s="852"/>
      <c r="R379" s="852"/>
      <c r="S379" s="852"/>
      <c r="T379" s="852"/>
      <c r="U379" s="852"/>
      <c r="V379" s="852"/>
      <c r="W379" s="852"/>
      <c r="X379" s="852"/>
      <c r="Y379" s="852"/>
      <c r="Z379" s="852"/>
      <c r="AA379" s="852"/>
      <c r="AB379" s="852"/>
      <c r="AC379" s="852"/>
      <c r="AD379" s="852"/>
      <c r="AE379" s="852"/>
      <c r="AF379" s="852"/>
      <c r="AG379" s="852"/>
      <c r="AH379" s="852"/>
      <c r="AI379" s="852"/>
      <c r="AJ379" s="852"/>
      <c r="AK379" s="853"/>
      <c r="AL379" s="852"/>
      <c r="AM379" s="853"/>
      <c r="AN379" s="852"/>
      <c r="AO379" s="853"/>
      <c r="AP379" s="852"/>
      <c r="AQ379" s="852"/>
      <c r="AR379" s="852"/>
      <c r="AS379" s="852"/>
      <c r="AT379" s="852"/>
      <c r="AU379" s="852"/>
      <c r="AV379" s="852"/>
      <c r="AW379" s="852"/>
      <c r="AX379" s="852"/>
      <c r="AY379" s="852"/>
      <c r="AZ379" s="852"/>
    </row>
    <row r="380" spans="1:52" hidden="1" outlineLevel="1">
      <c r="A380" s="1182" t="s">
        <v>1916</v>
      </c>
      <c r="B380" s="852"/>
      <c r="C380" s="852"/>
      <c r="D380" s="852"/>
      <c r="E380" s="852"/>
      <c r="F380" s="852"/>
      <c r="G380" s="852"/>
      <c r="H380" s="852"/>
      <c r="I380" s="852"/>
      <c r="J380" s="852"/>
      <c r="K380" s="852"/>
      <c r="L380" s="852"/>
      <c r="M380" s="852"/>
      <c r="N380" s="852"/>
      <c r="O380" s="852"/>
      <c r="P380" s="852"/>
      <c r="Q380" s="852"/>
      <c r="R380" s="852"/>
      <c r="S380" s="852"/>
      <c r="T380" s="852"/>
      <c r="U380" s="852"/>
      <c r="V380" s="852"/>
      <c r="W380" s="852"/>
      <c r="X380" s="852"/>
      <c r="Y380" s="852"/>
      <c r="Z380" s="852"/>
      <c r="AA380" s="852"/>
      <c r="AB380" s="852"/>
      <c r="AC380" s="852"/>
      <c r="AD380" s="852"/>
      <c r="AE380" s="852"/>
      <c r="AF380" s="852"/>
      <c r="AG380" s="852"/>
      <c r="AH380" s="852"/>
      <c r="AI380" s="852"/>
      <c r="AJ380" s="852"/>
      <c r="AK380" s="853"/>
      <c r="AL380" s="852"/>
      <c r="AM380" s="853"/>
      <c r="AN380" s="852"/>
      <c r="AO380" s="853"/>
      <c r="AP380" s="852"/>
      <c r="AQ380" s="852"/>
      <c r="AR380" s="852"/>
      <c r="AS380" s="852"/>
      <c r="AT380" s="852"/>
      <c r="AU380" s="852"/>
      <c r="AV380" s="852"/>
      <c r="AW380" s="852"/>
      <c r="AX380" s="852"/>
      <c r="AY380" s="852"/>
      <c r="AZ380" s="852"/>
    </row>
    <row r="381" spans="1:52" hidden="1" outlineLevel="1">
      <c r="A381" s="861"/>
      <c r="B381" s="852"/>
      <c r="C381" s="852"/>
      <c r="D381" s="852"/>
      <c r="E381" s="852"/>
      <c r="F381" s="852"/>
      <c r="G381" s="852"/>
      <c r="H381" s="852"/>
      <c r="I381" s="852"/>
      <c r="J381" s="852"/>
      <c r="K381" s="852"/>
      <c r="L381" s="852"/>
      <c r="M381" s="852"/>
      <c r="N381" s="852"/>
      <c r="O381" s="852"/>
      <c r="P381" s="852"/>
      <c r="Q381" s="852"/>
      <c r="R381" s="852"/>
      <c r="S381" s="852"/>
      <c r="T381" s="852"/>
      <c r="U381" s="852"/>
      <c r="V381" s="852"/>
      <c r="W381" s="852"/>
      <c r="X381" s="852"/>
      <c r="Y381" s="852"/>
      <c r="Z381" s="852"/>
      <c r="AA381" s="852"/>
      <c r="AB381" s="852"/>
      <c r="AC381" s="852"/>
      <c r="AD381" s="852"/>
      <c r="AE381" s="852"/>
      <c r="AF381" s="852"/>
      <c r="AG381" s="852"/>
      <c r="AH381" s="852"/>
      <c r="AI381" s="852"/>
      <c r="AJ381" s="852"/>
      <c r="AK381" s="853"/>
      <c r="AL381" s="852"/>
      <c r="AM381" s="853"/>
      <c r="AN381" s="852"/>
      <c r="AO381" s="853"/>
      <c r="AP381" s="852"/>
      <c r="AQ381" s="852"/>
      <c r="AR381" s="852"/>
      <c r="AS381" s="852"/>
      <c r="AT381" s="852"/>
      <c r="AU381" s="852"/>
      <c r="AV381" s="852"/>
      <c r="AW381" s="852"/>
      <c r="AX381" s="852"/>
      <c r="AY381" s="852"/>
      <c r="AZ381" s="852"/>
    </row>
    <row r="382" spans="1:52" hidden="1" outlineLevel="1">
      <c r="A382" s="1182" t="s">
        <v>1981</v>
      </c>
      <c r="B382" s="852"/>
      <c r="C382" s="852"/>
      <c r="D382" s="852"/>
      <c r="E382" s="852"/>
      <c r="F382" s="852"/>
      <c r="G382" s="852"/>
      <c r="H382" s="852"/>
      <c r="I382" s="852"/>
      <c r="J382" s="852"/>
      <c r="K382" s="852"/>
      <c r="L382" s="852"/>
      <c r="M382" s="852"/>
      <c r="N382" s="852"/>
      <c r="O382" s="852"/>
      <c r="P382" s="852"/>
      <c r="Q382" s="852"/>
      <c r="R382" s="852"/>
      <c r="S382" s="852"/>
      <c r="T382" s="852"/>
      <c r="U382" s="852"/>
      <c r="V382" s="852"/>
      <c r="W382" s="852"/>
      <c r="X382" s="852"/>
      <c r="Y382" s="852"/>
      <c r="Z382" s="852"/>
      <c r="AA382" s="852"/>
      <c r="AB382" s="852"/>
      <c r="AC382" s="852"/>
      <c r="AD382" s="852"/>
      <c r="AE382" s="852"/>
      <c r="AF382" s="852"/>
      <c r="AG382" s="852"/>
      <c r="AH382" s="852"/>
      <c r="AI382" s="852"/>
      <c r="AJ382" s="852"/>
      <c r="AK382" s="853"/>
      <c r="AL382" s="852"/>
      <c r="AM382" s="853"/>
      <c r="AN382" s="852"/>
      <c r="AO382" s="853"/>
      <c r="AP382" s="852"/>
      <c r="AQ382" s="852"/>
      <c r="AR382" s="852"/>
      <c r="AS382" s="852"/>
      <c r="AT382" s="852"/>
      <c r="AU382" s="852"/>
      <c r="AV382" s="852"/>
      <c r="AW382" s="852"/>
      <c r="AX382" s="852"/>
      <c r="AY382" s="852"/>
      <c r="AZ382" s="852"/>
    </row>
    <row r="383" spans="1:52" collapsed="1"/>
  </sheetData>
  <phoneticPr fontId="0" type="noConversion"/>
  <dataValidations count="1">
    <dataValidation type="custom" allowBlank="1" showInputMessage="1" showErrorMessage="1" sqref="AN4:AN5 B55:AH55 B132:AH132 AK4:AL4 B283:AH283 B245:AH245 AN7 B94:AH94 A318:A319 B46:O46 A52:A53 A57:A58 A67:A68 A70:A89 A60:A64 B14:N14 A129:A130 A134:A135 A144:A145 A147:A164 A137:A141 A167:A168 A172:A173 A182:A183 A175:A179 A99:A103 A91:A92 A96:A97 A106:A107 A109:A126 A288:A306 A356:A360 A365:A382 A353:A354 A348:A349 A321:A345 A250:A254 A285:A286 A280:A281 A260:A277 A257:A258 A362:A363 A309:A316 A247:A248 A242:A243 A185:A202 AJ4:AJ5 B351:AH351 AJ7 B170:AH170">
      <formula1>-1</formula1>
    </dataValidation>
  </dataValidations>
  <pageMargins left="0.15" right="0.14000000000000001" top="0" bottom="0" header="0.5" footer="0.5"/>
  <pageSetup scale="80" orientation="landscape" verticalDpi="300" r:id="rId1"/>
  <headerFooter alignWithMargins="0"/>
  <rowBreaks count="3" manualBreakCount="3">
    <brk id="50" max="29" man="1"/>
    <brk id="89" max="29" man="1"/>
    <brk id="165" max="29" man="1"/>
  </row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M83"/>
  <sheetViews>
    <sheetView showGridLines="0" zoomScale="85" zoomScaleNormal="85" zoomScaleSheetLayoutView="100" workbookViewId="0">
      <pane ySplit="9510" topLeftCell="A39"/>
      <selection activeCell="AE32" sqref="AE32"/>
      <selection pane="bottomLeft" activeCell="AE49" sqref="AE49"/>
    </sheetView>
  </sheetViews>
  <sheetFormatPr defaultRowHeight="12.75" outlineLevelRow="1" outlineLevelCol="1"/>
  <cols>
    <col min="1" max="1" width="29.85546875" customWidth="1"/>
    <col min="2" max="4" width="8.85546875" hidden="1" customWidth="1" outlineLevel="1"/>
    <col min="5" max="5" width="8.7109375" hidden="1" customWidth="1" outlineLevel="1"/>
    <col min="6" max="6" width="8.85546875" hidden="1" customWidth="1" outlineLevel="1"/>
    <col min="7" max="7" width="9.140625" hidden="1" customWidth="1" outlineLevel="1"/>
    <col min="8" max="8" width="9.140625" hidden="1" customWidth="1" outlineLevel="1" collapsed="1"/>
    <col min="9" max="11" width="9.140625" hidden="1" customWidth="1" outlineLevel="1"/>
    <col min="12" max="13" width="8.5703125" hidden="1" customWidth="1" outlineLevel="1" collapsed="1"/>
    <col min="14" max="17" width="8.5703125" hidden="1" customWidth="1" outlineLevel="1"/>
    <col min="18" max="23" width="8.85546875" hidden="1" customWidth="1" outlineLevel="1"/>
    <col min="24" max="24" width="8.85546875" customWidth="1" collapsed="1"/>
    <col min="25" max="34" width="8.85546875" customWidth="1"/>
    <col min="35" max="35" width="1.7109375" customWidth="1"/>
    <col min="36" max="36" width="8.5703125" customWidth="1"/>
    <col min="37" max="37" width="2.140625" customWidth="1"/>
    <col min="38" max="38" width="8.5703125" customWidth="1"/>
    <col min="39" max="39" width="2.140625" customWidth="1"/>
    <col min="40" max="40" width="10.85546875" customWidth="1"/>
    <col min="41" max="42" width="7" customWidth="1"/>
    <col min="43" max="43" width="9.85546875" bestFit="1" customWidth="1"/>
  </cols>
  <sheetData>
    <row r="1" spans="1:39">
      <c r="A1" s="281" t="str">
        <f>'qtrP&amp;L'!A1</f>
        <v>Tiffany and Co.</v>
      </c>
      <c r="B1" s="122"/>
      <c r="C1" s="122"/>
      <c r="D1" s="122"/>
      <c r="E1" s="122"/>
      <c r="F1" s="122"/>
      <c r="G1" s="122"/>
      <c r="H1" s="122"/>
      <c r="I1" s="124"/>
      <c r="J1" s="124"/>
      <c r="K1" s="124"/>
      <c r="L1" s="124"/>
      <c r="M1" s="124"/>
      <c r="N1" s="124"/>
      <c r="O1" s="124"/>
      <c r="P1" s="124"/>
      <c r="Q1" s="124"/>
      <c r="R1" s="126"/>
      <c r="S1" s="124"/>
      <c r="T1" s="124"/>
      <c r="U1" s="124"/>
      <c r="V1" s="124"/>
      <c r="W1" s="124"/>
      <c r="X1" s="124"/>
      <c r="Y1" s="124"/>
      <c r="Z1" s="124"/>
      <c r="AA1" s="124"/>
      <c r="AB1" s="124"/>
      <c r="AC1" s="124"/>
      <c r="AD1" s="124"/>
      <c r="AE1" s="124"/>
      <c r="AF1" s="124"/>
      <c r="AG1" s="124"/>
      <c r="AH1" s="124"/>
      <c r="AI1" s="122"/>
      <c r="AJ1" s="124"/>
      <c r="AK1" s="124"/>
      <c r="AL1" s="124"/>
      <c r="AM1" s="124"/>
    </row>
    <row r="2" spans="1:39">
      <c r="A2" s="622" t="s">
        <v>1936</v>
      </c>
      <c r="B2" s="123"/>
      <c r="C2" s="123"/>
      <c r="D2" s="123"/>
      <c r="E2" s="123"/>
      <c r="F2" s="123"/>
      <c r="G2" s="123"/>
      <c r="H2" s="123"/>
      <c r="I2" s="157"/>
      <c r="J2" s="157"/>
      <c r="K2" s="157"/>
      <c r="L2" s="157"/>
      <c r="M2" s="157"/>
      <c r="N2" s="157"/>
      <c r="O2" s="157"/>
      <c r="P2" s="157"/>
      <c r="Q2" s="1231"/>
      <c r="R2" s="1231"/>
      <c r="S2" s="1231"/>
      <c r="T2" s="1231"/>
      <c r="U2" s="1231"/>
      <c r="V2" s="1231"/>
      <c r="W2" s="1231"/>
      <c r="X2" s="1697"/>
      <c r="Y2" s="1698"/>
      <c r="Z2" s="157"/>
      <c r="AA2" s="157"/>
      <c r="AB2" s="157"/>
      <c r="AC2" s="157"/>
      <c r="AD2" s="157"/>
      <c r="AE2" s="157"/>
      <c r="AF2" s="157"/>
      <c r="AG2" s="157"/>
      <c r="AH2" s="157"/>
      <c r="AI2" s="123"/>
      <c r="AJ2" s="157"/>
      <c r="AK2" s="157"/>
      <c r="AL2" s="157"/>
      <c r="AM2" s="157"/>
    </row>
    <row r="3" spans="1:39">
      <c r="A3" s="596" t="s">
        <v>1989</v>
      </c>
      <c r="B3" s="256"/>
      <c r="C3" s="256"/>
      <c r="D3" s="256"/>
      <c r="E3" s="256"/>
      <c r="F3" s="256"/>
      <c r="G3" s="256"/>
      <c r="H3" s="256"/>
      <c r="I3" s="256"/>
      <c r="J3" s="256"/>
      <c r="K3" s="256"/>
      <c r="L3" s="256"/>
      <c r="M3" s="256"/>
      <c r="N3" s="256"/>
      <c r="O3" s="256"/>
      <c r="P3" s="794"/>
      <c r="Q3" s="794"/>
      <c r="R3" s="256"/>
      <c r="S3" s="256"/>
      <c r="T3" s="256"/>
      <c r="U3" s="256"/>
      <c r="V3" s="256"/>
      <c r="W3" s="612"/>
      <c r="X3" s="612"/>
      <c r="Y3" s="612"/>
      <c r="Z3" s="124"/>
      <c r="AA3" s="256"/>
      <c r="AB3" s="256"/>
      <c r="AC3" s="256"/>
      <c r="AD3" s="256"/>
      <c r="AE3" s="256"/>
      <c r="AF3" s="256"/>
      <c r="AG3" s="256"/>
      <c r="AH3" s="256"/>
      <c r="AI3" s="256"/>
      <c r="AJ3" s="256"/>
      <c r="AK3" s="256"/>
      <c r="AL3" s="256"/>
      <c r="AM3" s="256"/>
    </row>
    <row r="4" spans="1:39">
      <c r="A4" s="124"/>
      <c r="B4" s="125"/>
      <c r="C4" s="125"/>
      <c r="D4" s="125"/>
      <c r="E4" s="125"/>
      <c r="F4" s="125"/>
      <c r="G4" s="125"/>
      <c r="H4" s="125"/>
      <c r="I4" s="125"/>
      <c r="J4" s="125"/>
      <c r="K4" s="125"/>
      <c r="L4" s="125"/>
      <c r="M4" s="125"/>
      <c r="N4" s="125"/>
      <c r="O4" s="125"/>
      <c r="P4" s="576"/>
      <c r="Q4" s="576"/>
      <c r="R4" s="1232"/>
      <c r="S4" s="1232"/>
      <c r="T4" s="1232"/>
      <c r="U4" s="1232"/>
      <c r="V4" s="1232"/>
      <c r="W4" s="1232"/>
      <c r="X4" s="1232"/>
      <c r="Y4" s="1232"/>
      <c r="Z4" s="125"/>
      <c r="AA4" s="125"/>
      <c r="AB4" s="125"/>
      <c r="AC4" s="125"/>
      <c r="AD4" s="125"/>
      <c r="AE4" s="125"/>
      <c r="AF4" s="125"/>
      <c r="AG4" s="125"/>
      <c r="AH4" s="125"/>
      <c r="AI4" s="207"/>
      <c r="AJ4" s="196"/>
      <c r="AK4" s="195" t="s">
        <v>1968</v>
      </c>
      <c r="AL4" s="196"/>
      <c r="AM4" s="197"/>
    </row>
    <row r="5" spans="1:39">
      <c r="A5" s="121"/>
      <c r="B5" s="159">
        <v>1990</v>
      </c>
      <c r="C5" s="158">
        <f t="shared" ref="C5:AH5" si="0">B5+1</f>
        <v>1991</v>
      </c>
      <c r="D5" s="158">
        <f t="shared" si="0"/>
        <v>1992</v>
      </c>
      <c r="E5" s="158">
        <f t="shared" si="0"/>
        <v>1993</v>
      </c>
      <c r="F5" s="158">
        <f t="shared" si="0"/>
        <v>1994</v>
      </c>
      <c r="G5" s="158">
        <f t="shared" si="0"/>
        <v>1995</v>
      </c>
      <c r="H5" s="158">
        <f t="shared" si="0"/>
        <v>1996</v>
      </c>
      <c r="I5" s="158">
        <f t="shared" si="0"/>
        <v>1997</v>
      </c>
      <c r="J5" s="158">
        <f t="shared" si="0"/>
        <v>1998</v>
      </c>
      <c r="K5" s="158">
        <f t="shared" si="0"/>
        <v>1999</v>
      </c>
      <c r="L5" s="158">
        <f t="shared" si="0"/>
        <v>2000</v>
      </c>
      <c r="M5" s="158">
        <f t="shared" si="0"/>
        <v>2001</v>
      </c>
      <c r="N5" s="158">
        <f t="shared" si="0"/>
        <v>2002</v>
      </c>
      <c r="O5" s="158">
        <f t="shared" si="0"/>
        <v>2003</v>
      </c>
      <c r="P5" s="158">
        <f t="shared" si="0"/>
        <v>2004</v>
      </c>
      <c r="Q5" s="158">
        <f t="shared" si="0"/>
        <v>2005</v>
      </c>
      <c r="R5" s="158">
        <f t="shared" si="0"/>
        <v>2006</v>
      </c>
      <c r="S5" s="158">
        <f t="shared" si="0"/>
        <v>2007</v>
      </c>
      <c r="T5" s="158">
        <f t="shared" si="0"/>
        <v>2008</v>
      </c>
      <c r="U5" s="158">
        <f t="shared" si="0"/>
        <v>2009</v>
      </c>
      <c r="V5" s="158">
        <f t="shared" si="0"/>
        <v>2010</v>
      </c>
      <c r="W5" s="158">
        <f t="shared" si="0"/>
        <v>2011</v>
      </c>
      <c r="X5" s="158">
        <f t="shared" si="0"/>
        <v>2012</v>
      </c>
      <c r="Y5" s="158">
        <f t="shared" si="0"/>
        <v>2013</v>
      </c>
      <c r="Z5" s="158">
        <f t="shared" si="0"/>
        <v>2014</v>
      </c>
      <c r="AA5" s="158">
        <f t="shared" si="0"/>
        <v>2015</v>
      </c>
      <c r="AB5" s="158">
        <f t="shared" si="0"/>
        <v>2016</v>
      </c>
      <c r="AC5" s="158">
        <f t="shared" si="0"/>
        <v>2017</v>
      </c>
      <c r="AD5" s="160">
        <f t="shared" si="0"/>
        <v>2018</v>
      </c>
      <c r="AE5" s="160">
        <f t="shared" si="0"/>
        <v>2019</v>
      </c>
      <c r="AF5" s="160">
        <f t="shared" si="0"/>
        <v>2020</v>
      </c>
      <c r="AG5" s="160">
        <f t="shared" si="0"/>
        <v>2021</v>
      </c>
      <c r="AH5" s="160">
        <f t="shared" si="0"/>
        <v>2022</v>
      </c>
      <c r="AI5" s="208"/>
      <c r="AJ5" s="2210" t="s">
        <v>3094</v>
      </c>
      <c r="AK5" s="223"/>
      <c r="AL5" s="1271" t="s">
        <v>3108</v>
      </c>
      <c r="AM5" s="198"/>
    </row>
    <row r="6" spans="1:39">
      <c r="A6" s="124"/>
      <c r="B6" s="125"/>
      <c r="C6" s="125"/>
      <c r="D6" s="125"/>
      <c r="E6" s="125"/>
      <c r="F6" s="125"/>
      <c r="G6" s="125"/>
      <c r="H6" s="125"/>
      <c r="I6" s="124"/>
      <c r="J6" s="124"/>
      <c r="K6" s="124"/>
      <c r="L6" s="124"/>
      <c r="M6" s="124"/>
      <c r="N6" s="124"/>
      <c r="O6" s="124"/>
      <c r="P6" s="124"/>
      <c r="Q6" s="124"/>
      <c r="R6" s="124"/>
      <c r="S6" s="124"/>
      <c r="T6" s="124"/>
      <c r="U6" s="124"/>
      <c r="V6" s="124"/>
      <c r="W6" s="124"/>
      <c r="X6" s="124"/>
      <c r="Y6" s="124"/>
      <c r="Z6" s="124"/>
      <c r="AA6" s="124"/>
      <c r="AB6" s="124"/>
      <c r="AC6" s="124"/>
      <c r="AD6" s="124"/>
      <c r="AE6" s="124"/>
      <c r="AF6" s="124"/>
      <c r="AG6" s="124"/>
      <c r="AH6" s="124"/>
      <c r="AI6" s="209"/>
      <c r="AJ6" s="124"/>
      <c r="AK6" s="124"/>
      <c r="AL6" s="124"/>
      <c r="AM6" s="199"/>
    </row>
    <row r="7" spans="1:39">
      <c r="A7" s="124" t="s">
        <v>1990</v>
      </c>
      <c r="B7" s="126">
        <f>'qtrP&amp;L'!F14</f>
        <v>0</v>
      </c>
      <c r="C7" s="126">
        <f>'qtrP&amp;L'!J14</f>
        <v>491.90599999999995</v>
      </c>
      <c r="D7" s="126">
        <f>'qtrP&amp;L'!N14</f>
        <v>486.39600000000007</v>
      </c>
      <c r="E7" s="126">
        <f>'qtrP&amp;L'!R14</f>
        <v>566.50099999999998</v>
      </c>
      <c r="F7" s="126">
        <f>'qtrP&amp;L'!V14</f>
        <v>682.83100000000002</v>
      </c>
      <c r="G7" s="126">
        <f>'qtrP&amp;L'!Z14</f>
        <v>803.29199999999992</v>
      </c>
      <c r="H7" s="126">
        <f>'qtrP&amp;L'!AD14</f>
        <v>922.10800000000006</v>
      </c>
      <c r="I7" s="126">
        <f>'qtrP&amp;L'!AH14</f>
        <v>1017.616</v>
      </c>
      <c r="J7" s="126">
        <f>'qtrP&amp;L'!AL14</f>
        <v>1177.9290000000001</v>
      </c>
      <c r="K7" s="126">
        <f>'qtrP&amp;L'!AP14</f>
        <v>1471.69</v>
      </c>
      <c r="L7" s="126">
        <f>'qtrP&amp;L'!AT14</f>
        <v>1668.056</v>
      </c>
      <c r="M7" s="126">
        <f>'qtrP&amp;L'!AX14</f>
        <v>1606.5350000000001</v>
      </c>
      <c r="N7" s="126">
        <f>'qtrP&amp;L'!BB14</f>
        <v>1706.6019999999999</v>
      </c>
      <c r="O7" s="126">
        <f>'qtrP&amp;L'!BF14</f>
        <v>2000.0450000000001</v>
      </c>
      <c r="P7" s="126">
        <f>'qtrP&amp;L'!BJ14</f>
        <v>2204.8310000000001</v>
      </c>
      <c r="Q7" s="126">
        <f>'qtrP&amp;L'!BN14</f>
        <v>2395.1530000000002</v>
      </c>
      <c r="R7" s="126">
        <f>yrSales!R14</f>
        <v>2560.7339999999995</v>
      </c>
      <c r="S7" s="126">
        <f>yrSales!S14</f>
        <v>2938.7709999999997</v>
      </c>
      <c r="T7" s="126">
        <f>yrSales!T14</f>
        <v>2848.8589999999999</v>
      </c>
      <c r="U7" s="126">
        <f>yrSales!U14</f>
        <v>2709.7300000000005</v>
      </c>
      <c r="V7" s="126">
        <f>yrSales!V14</f>
        <v>3085.2899999999995</v>
      </c>
      <c r="W7" s="126">
        <f>yrSales!W14</f>
        <v>3642.9369999999999</v>
      </c>
      <c r="X7" s="126">
        <f>yrSales!X14</f>
        <v>3794.2489999999998</v>
      </c>
      <c r="Y7" s="126">
        <f>'qtrP&amp;L'!CT14</f>
        <v>4031.13</v>
      </c>
      <c r="Z7" s="126">
        <f>'qtrP&amp;L'!CX14</f>
        <v>4249.9129999999996</v>
      </c>
      <c r="AA7" s="126">
        <f>'qtrP&amp;L'!DB14</f>
        <v>4104.7000000000007</v>
      </c>
      <c r="AB7" s="126">
        <f>'qtrP&amp;L'!DF14</f>
        <v>4001.7999999999997</v>
      </c>
      <c r="AC7" s="126">
        <f>'qtrP&amp;L'!DJ14</f>
        <v>4169.8</v>
      </c>
      <c r="AD7" s="126">
        <f>'qtrP&amp;L'!DN14</f>
        <v>4384.6194342418175</v>
      </c>
      <c r="AE7" s="126">
        <f>yrSales!AE14</f>
        <v>4623.2488669288232</v>
      </c>
      <c r="AF7" s="126">
        <f>yrSales!AF14</f>
        <v>4869.5236592022247</v>
      </c>
      <c r="AG7" s="126">
        <f>yrSales!AG14</f>
        <v>5072.1522777848559</v>
      </c>
      <c r="AH7" s="126">
        <f>yrSales!AH14</f>
        <v>5279.6498396607494</v>
      </c>
      <c r="AI7" s="210"/>
      <c r="AJ7" s="2399">
        <f>RATE(5,,-W7,AB7)*100</f>
        <v>1.8968465344123269</v>
      </c>
      <c r="AK7" s="623" t="s">
        <v>1970</v>
      </c>
      <c r="AL7" s="2399">
        <f>RATE(6,,-AB7,AH7)*100</f>
        <v>4.7269100671119908</v>
      </c>
      <c r="AM7" s="624" t="s">
        <v>1970</v>
      </c>
    </row>
    <row r="8" spans="1:39">
      <c r="A8" s="386" t="s">
        <v>1316</v>
      </c>
      <c r="B8" s="203">
        <f>+B7/733.5-1</f>
        <v>-1</v>
      </c>
      <c r="C8" s="203"/>
      <c r="D8" s="203">
        <f t="shared" ref="D8:AH8" si="1">(D7-C7)/C7</f>
        <v>-1.1201327082816388E-2</v>
      </c>
      <c r="E8" s="203">
        <f t="shared" si="1"/>
        <v>0.16469091028709096</v>
      </c>
      <c r="F8" s="203">
        <f t="shared" si="1"/>
        <v>0.20534826946466123</v>
      </c>
      <c r="G8" s="203">
        <f t="shared" si="1"/>
        <v>0.17641407610375026</v>
      </c>
      <c r="H8" s="203">
        <f t="shared" si="1"/>
        <v>0.14791134481608201</v>
      </c>
      <c r="I8" s="203">
        <f t="shared" si="1"/>
        <v>0.10357571998073969</v>
      </c>
      <c r="J8" s="203">
        <f t="shared" si="1"/>
        <v>0.1575378138708512</v>
      </c>
      <c r="K8" s="203">
        <f t="shared" si="1"/>
        <v>0.24938769654198167</v>
      </c>
      <c r="L8" s="203">
        <f t="shared" si="1"/>
        <v>0.1334289150568394</v>
      </c>
      <c r="M8" s="203">
        <f t="shared" si="1"/>
        <v>-3.6881855285434036E-2</v>
      </c>
      <c r="N8" s="203">
        <f t="shared" si="1"/>
        <v>6.228746961628584E-2</v>
      </c>
      <c r="O8" s="203">
        <f t="shared" si="1"/>
        <v>0.17194577294530314</v>
      </c>
      <c r="P8" s="203">
        <f t="shared" si="1"/>
        <v>0.10239069620933532</v>
      </c>
      <c r="Q8" s="203">
        <f t="shared" si="1"/>
        <v>8.6320448143191064E-2</v>
      </c>
      <c r="R8" s="203">
        <f t="shared" si="1"/>
        <v>6.913170056359623E-2</v>
      </c>
      <c r="S8" s="203">
        <f t="shared" si="1"/>
        <v>0.14762837530176909</v>
      </c>
      <c r="T8" s="203">
        <f t="shared" si="1"/>
        <v>-3.0595102510539207E-2</v>
      </c>
      <c r="U8" s="203">
        <f t="shared" si="1"/>
        <v>-4.8836744816082314E-2</v>
      </c>
      <c r="V8" s="203">
        <f t="shared" si="1"/>
        <v>0.13859683437095172</v>
      </c>
      <c r="W8" s="203">
        <f t="shared" si="1"/>
        <v>0.18074378745596054</v>
      </c>
      <c r="X8" s="203">
        <f t="shared" si="1"/>
        <v>4.1535716922911352E-2</v>
      </c>
      <c r="Y8" s="203">
        <f t="shared" si="1"/>
        <v>6.243159054664054E-2</v>
      </c>
      <c r="Z8" s="203">
        <f t="shared" si="1"/>
        <v>5.42733675172965E-2</v>
      </c>
      <c r="AA8" s="203">
        <f t="shared" si="1"/>
        <v>-3.416846415444242E-2</v>
      </c>
      <c r="AB8" s="203">
        <f t="shared" si="1"/>
        <v>-2.5068823543742777E-2</v>
      </c>
      <c r="AC8" s="203">
        <f t="shared" si="1"/>
        <v>4.1981108501174591E-2</v>
      </c>
      <c r="AD8" s="203">
        <f t="shared" si="1"/>
        <v>5.1517922740135585E-2</v>
      </c>
      <c r="AE8" s="203">
        <f t="shared" si="1"/>
        <v>5.4424206311595003E-2</v>
      </c>
      <c r="AF8" s="203">
        <f t="shared" si="1"/>
        <v>5.3268772536789556E-2</v>
      </c>
      <c r="AG8" s="203">
        <f t="shared" si="1"/>
        <v>4.1611589297797527E-2</v>
      </c>
      <c r="AH8" s="203">
        <f t="shared" si="1"/>
        <v>4.0909174352808129E-2</v>
      </c>
      <c r="AI8" s="211"/>
      <c r="AJ8" s="239"/>
      <c r="AK8" s="576"/>
      <c r="AL8" s="239"/>
      <c r="AM8" s="625"/>
    </row>
    <row r="9" spans="1:39">
      <c r="A9" s="386" t="s">
        <v>2458</v>
      </c>
      <c r="B9" s="203"/>
      <c r="C9" s="203"/>
      <c r="D9" s="203"/>
      <c r="E9" s="203"/>
      <c r="F9" s="203"/>
      <c r="G9" s="203"/>
      <c r="H9" s="203"/>
      <c r="I9" s="203"/>
      <c r="J9" s="203"/>
      <c r="K9" s="203"/>
      <c r="L9" s="203"/>
      <c r="M9" s="203"/>
      <c r="N9" s="203"/>
      <c r="O9" s="203"/>
      <c r="P9" s="203"/>
      <c r="Q9" s="203"/>
      <c r="R9" s="203"/>
      <c r="S9" s="203"/>
      <c r="T9" s="203"/>
      <c r="U9" s="203"/>
      <c r="V9" s="203"/>
      <c r="W9" s="203">
        <f>yrSales!W39</f>
        <v>0.13678577190955957</v>
      </c>
      <c r="X9" s="2179">
        <f>yrSales!X39</f>
        <v>0.01</v>
      </c>
      <c r="Y9" s="2179">
        <f>yrSales!Y39</f>
        <v>0.06</v>
      </c>
      <c r="Z9" s="2179">
        <f>yrSales!Z39</f>
        <v>0.04</v>
      </c>
      <c r="AA9" s="2179">
        <f>yrSales!AA39</f>
        <v>0</v>
      </c>
      <c r="AB9" s="2179">
        <f>yrSales!AB39</f>
        <v>-0.05</v>
      </c>
      <c r="AC9" s="2179">
        <f>yrSales!AC39</f>
        <v>0</v>
      </c>
      <c r="AD9" s="2179">
        <f>yrSales!AD39</f>
        <v>2.4713862390184554E-2</v>
      </c>
      <c r="AE9" s="2179">
        <f>yrSales!AE39</f>
        <v>1.9856031509175563E-2</v>
      </c>
      <c r="AF9" s="2179">
        <f>yrSales!AF39</f>
        <v>1.9970011794872428E-2</v>
      </c>
      <c r="AG9" s="2179">
        <f>yrSales!AG39</f>
        <v>2.0061948467113358E-2</v>
      </c>
      <c r="AH9" s="2179">
        <f>yrSales!AH39</f>
        <v>2.0111688538767519E-2</v>
      </c>
      <c r="AI9" s="211"/>
      <c r="AJ9" s="239"/>
      <c r="AK9" s="576"/>
      <c r="AL9" s="239"/>
      <c r="AM9" s="625"/>
    </row>
    <row r="10" spans="1:39">
      <c r="A10" s="124"/>
      <c r="B10" s="122"/>
      <c r="C10" s="122"/>
      <c r="D10" s="122"/>
      <c r="E10" s="122"/>
      <c r="F10" s="122"/>
      <c r="G10" s="122"/>
      <c r="H10" s="122"/>
      <c r="I10" s="122"/>
      <c r="J10" s="122"/>
      <c r="K10" s="293"/>
      <c r="L10" s="293"/>
      <c r="M10" s="293"/>
      <c r="N10" s="293"/>
      <c r="O10" s="293"/>
      <c r="P10" s="293"/>
      <c r="Q10" s="293"/>
      <c r="R10" s="293"/>
      <c r="S10" s="122"/>
      <c r="T10" s="203"/>
      <c r="U10" s="122"/>
      <c r="V10" s="122"/>
      <c r="W10" s="1276"/>
      <c r="X10" s="122"/>
      <c r="Y10" s="122"/>
      <c r="Z10" s="122"/>
      <c r="AA10" s="203"/>
      <c r="AB10" s="203"/>
      <c r="AC10" s="122"/>
      <c r="AD10" s="122"/>
      <c r="AE10" s="122"/>
      <c r="AF10" s="122"/>
      <c r="AG10" s="122"/>
      <c r="AH10" s="122"/>
      <c r="AI10" s="211"/>
      <c r="AJ10" s="239"/>
      <c r="AK10" s="623"/>
      <c r="AL10" s="239"/>
      <c r="AM10" s="624"/>
    </row>
    <row r="11" spans="1:39">
      <c r="A11" s="124" t="s">
        <v>1536</v>
      </c>
      <c r="B11" s="122">
        <f>'qtrP&amp;L'!F24</f>
        <v>0</v>
      </c>
      <c r="C11" s="122">
        <f>'qtrP&amp;L'!J24</f>
        <v>248.89400000000001</v>
      </c>
      <c r="D11" s="122">
        <f>'qtrP&amp;L'!N24</f>
        <v>249.363</v>
      </c>
      <c r="E11" s="122">
        <f>'qtrP&amp;L'!R24</f>
        <v>276.11900000000003</v>
      </c>
      <c r="F11" s="122">
        <f>'qtrP&amp;L'!V24</f>
        <v>324.62900000000002</v>
      </c>
      <c r="G11" s="122">
        <f>'qtrP&amp;L'!Z24</f>
        <v>375.92200000000003</v>
      </c>
      <c r="H11" s="122">
        <f>'qtrP&amp;L'!AD24</f>
        <v>422.41399999999999</v>
      </c>
      <c r="I11" s="122">
        <f>'qtrP&amp;L'!AH24</f>
        <v>453.40800000000002</v>
      </c>
      <c r="J11" s="122">
        <f>'qtrP&amp;L'!AL24</f>
        <v>552.33000000000004</v>
      </c>
      <c r="K11" s="122">
        <f>'qtrP&amp;L'!AP24</f>
        <v>650.01</v>
      </c>
      <c r="L11" s="122">
        <f>'qtrP&amp;L'!AT24</f>
        <v>719.64200000000005</v>
      </c>
      <c r="M11" s="122">
        <f>'qtrP&amp;L'!AX24</f>
        <v>663.05799999999999</v>
      </c>
      <c r="N11" s="122">
        <f>'qtrP&amp;L'!BB24</f>
        <v>695.154</v>
      </c>
      <c r="O11" s="122">
        <f>'qtrP&amp;L'!BF24</f>
        <v>842.6629999999999</v>
      </c>
      <c r="P11" s="122">
        <f>'qtrP&amp;L'!BJ24</f>
        <v>974.25800000000004</v>
      </c>
      <c r="Q11" s="122">
        <f>'qtrP&amp;L'!BN24</f>
        <v>1052.8129999999999</v>
      </c>
      <c r="R11" s="128">
        <v>1087.914</v>
      </c>
      <c r="S11" s="122">
        <f>'qtrP&amp;L'!BV24</f>
        <v>1262.2939999999999</v>
      </c>
      <c r="T11" s="122">
        <f>'qtrP&amp;L'!$BZ$24</f>
        <v>1202.4170000000001</v>
      </c>
      <c r="U11" s="122">
        <f>'qtrP&amp;L'!$CD$24</f>
        <v>1179.4850000000001</v>
      </c>
      <c r="V11" s="122">
        <f>'qtrP&amp;L'!$CH$24</f>
        <v>1262.002</v>
      </c>
      <c r="W11" s="122">
        <f>+'qtrP&amp;L'!CL24</f>
        <v>1491.57</v>
      </c>
      <c r="X11" s="122">
        <f>+'qtrP&amp;L'!CP24</f>
        <v>1630.9649999999999</v>
      </c>
      <c r="Y11" s="122">
        <f>'qtrP&amp;L'!CT24</f>
        <v>1690.6869999999999</v>
      </c>
      <c r="Z11" s="122">
        <f>'qtrP&amp;L'!CX24</f>
        <v>1712.7380000000001</v>
      </c>
      <c r="AA11" s="122">
        <f>'qtrP&amp;L'!DB24</f>
        <v>1613.3999999999999</v>
      </c>
      <c r="AB11" s="122">
        <f>'qtrP&amp;L'!DF24</f>
        <v>1511.4</v>
      </c>
      <c r="AC11" s="122">
        <f>'qtrP&amp;L'!DJ24</f>
        <v>1565</v>
      </c>
      <c r="AD11" s="122">
        <f>'qtrP&amp;L'!DN24</f>
        <v>1636.5887581401394</v>
      </c>
      <c r="AE11" s="122">
        <f>+AE7*(1-AE12)</f>
        <v>1719.8485784975221</v>
      </c>
      <c r="AF11" s="122">
        <f>+AF7*(1-AF12)</f>
        <v>1807.5671822958657</v>
      </c>
      <c r="AG11" s="122">
        <f>+AG7*(1-AG12)</f>
        <v>1881.7684950581815</v>
      </c>
      <c r="AH11" s="122">
        <f>+AH7*(1-AH12)</f>
        <v>1953.4704406744772</v>
      </c>
      <c r="AI11" s="211"/>
      <c r="AJ11" s="2399">
        <f>RATE(5,,-W11,AB11)*100</f>
        <v>0.26449150554556466</v>
      </c>
      <c r="AK11" s="623" t="s">
        <v>1970</v>
      </c>
      <c r="AL11" s="2399">
        <f>RATE(6,,-AB11,AH11)*100</f>
        <v>4.3689315918218892</v>
      </c>
      <c r="AM11" s="624" t="s">
        <v>1970</v>
      </c>
    </row>
    <row r="12" spans="1:39">
      <c r="A12" s="386" t="s">
        <v>329</v>
      </c>
      <c r="B12" s="203"/>
      <c r="C12" s="203">
        <f t="shared" ref="C12:M12" si="2">(C7-C11)/C7</f>
        <v>0.49402121543546934</v>
      </c>
      <c r="D12" s="203">
        <f t="shared" si="2"/>
        <v>0.48732514247650072</v>
      </c>
      <c r="E12" s="203">
        <f t="shared" si="2"/>
        <v>0.5125886803377222</v>
      </c>
      <c r="F12" s="203">
        <f t="shared" si="2"/>
        <v>0.52458368176020131</v>
      </c>
      <c r="G12" s="203">
        <f t="shared" si="2"/>
        <v>0.53202322443146444</v>
      </c>
      <c r="H12" s="203">
        <f t="shared" si="2"/>
        <v>0.54190398521648231</v>
      </c>
      <c r="I12" s="203">
        <f t="shared" si="2"/>
        <v>0.55444096790930963</v>
      </c>
      <c r="J12" s="203">
        <f t="shared" si="2"/>
        <v>0.53110077092931751</v>
      </c>
      <c r="K12" s="203">
        <f t="shared" si="2"/>
        <v>0.55832410358159668</v>
      </c>
      <c r="L12" s="203">
        <f t="shared" si="2"/>
        <v>0.56857443634985871</v>
      </c>
      <c r="M12" s="203">
        <f t="shared" si="2"/>
        <v>0.58727447581285186</v>
      </c>
      <c r="N12" s="203">
        <f t="shared" ref="N12:AD12" si="3">(N$7-N11)/N$7</f>
        <v>0.59266776905218677</v>
      </c>
      <c r="O12" s="203">
        <f t="shared" si="3"/>
        <v>0.57867797974545576</v>
      </c>
      <c r="P12" s="203">
        <f t="shared" si="3"/>
        <v>0.55812577018374654</v>
      </c>
      <c r="Q12" s="203">
        <f t="shared" si="3"/>
        <v>0.56044018899836467</v>
      </c>
      <c r="R12" s="203">
        <f t="shared" si="3"/>
        <v>0.57515540466131965</v>
      </c>
      <c r="S12" s="203">
        <f t="shared" si="3"/>
        <v>0.57046874356661337</v>
      </c>
      <c r="T12" s="203">
        <f t="shared" si="3"/>
        <v>0.57793032227990215</v>
      </c>
      <c r="U12" s="203">
        <f t="shared" si="3"/>
        <v>0.56472231550744911</v>
      </c>
      <c r="V12" s="203">
        <f t="shared" si="3"/>
        <v>0.59096162759416448</v>
      </c>
      <c r="W12" s="203">
        <f t="shared" si="3"/>
        <v>0.59055838736711619</v>
      </c>
      <c r="X12" s="203">
        <f t="shared" si="3"/>
        <v>0.57014813735208203</v>
      </c>
      <c r="Y12" s="203">
        <f t="shared" si="3"/>
        <v>0.58059229049919014</v>
      </c>
      <c r="Z12" s="203">
        <f t="shared" si="3"/>
        <v>0.59699457377127474</v>
      </c>
      <c r="AA12" s="203">
        <f t="shared" si="3"/>
        <v>0.60693838770190289</v>
      </c>
      <c r="AB12" s="203">
        <f t="shared" si="3"/>
        <v>0.62231995601979107</v>
      </c>
      <c r="AC12" s="203">
        <f t="shared" si="3"/>
        <v>0.62468223895630492</v>
      </c>
      <c r="AD12" s="203">
        <f t="shared" si="3"/>
        <v>0.6267432595497</v>
      </c>
      <c r="AE12" s="1837">
        <v>0.628</v>
      </c>
      <c r="AF12" s="1837">
        <v>0.62880000000000003</v>
      </c>
      <c r="AG12" s="1837">
        <v>0.629</v>
      </c>
      <c r="AH12" s="1837">
        <v>0.63</v>
      </c>
      <c r="AI12" s="211"/>
      <c r="AJ12" s="239"/>
      <c r="AK12" s="576"/>
      <c r="AL12" s="239"/>
      <c r="AM12" s="625"/>
    </row>
    <row r="13" spans="1:39">
      <c r="A13" s="124"/>
      <c r="B13" s="122"/>
      <c r="C13" s="122"/>
      <c r="D13" s="203"/>
      <c r="E13" s="203"/>
      <c r="F13" s="122"/>
      <c r="G13" s="122"/>
      <c r="H13" s="122"/>
      <c r="I13" s="122"/>
      <c r="J13" s="122"/>
      <c r="K13" s="242"/>
      <c r="L13" s="122"/>
      <c r="M13" s="290"/>
      <c r="N13" s="122"/>
      <c r="O13" s="122"/>
      <c r="P13" s="122"/>
      <c r="Q13" s="122"/>
      <c r="R13" s="1295"/>
      <c r="S13" s="122"/>
      <c r="T13" s="122"/>
      <c r="U13" s="391"/>
      <c r="V13" s="391"/>
      <c r="W13" s="203"/>
      <c r="X13" s="1947"/>
      <c r="Y13" s="1947"/>
      <c r="Z13" s="1947"/>
      <c r="AA13" s="2039">
        <f>Z14*0.82*(1.03)+Z14*0.18*(1+AA8)</f>
        <v>1676.1094812225031</v>
      </c>
      <c r="AB13" s="2039">
        <f>AA14*0.82*(1.03)+AA14*0.18*(1+AB8)</f>
        <v>1718.3375820133015</v>
      </c>
      <c r="AC13" s="2142"/>
      <c r="AD13" s="2039">
        <f>AC14*0.82*(1.03)+AC14*0.18*(1+AD8)</f>
        <v>1871.7240885191736</v>
      </c>
      <c r="AE13" s="2039">
        <f>AD14*0.82*(1.03)+AD14*0.18*(1+AE8)</f>
        <v>2023.1447021886688</v>
      </c>
      <c r="AF13" s="2039">
        <f>AE14*0.82*(1.03)+AE14*0.18*(1+AF8)</f>
        <v>2127.6830619906959</v>
      </c>
      <c r="AG13" s="2039">
        <f>AF14*0.82*(1.03)+AF14*0.18*(1+AG8)</f>
        <v>2225.4185245871058</v>
      </c>
      <c r="AH13" s="2039"/>
      <c r="AI13" s="211"/>
      <c r="AJ13" s="239"/>
      <c r="AK13" s="623"/>
      <c r="AL13" s="239"/>
      <c r="AM13" s="624"/>
    </row>
    <row r="14" spans="1:39">
      <c r="A14" s="124" t="s">
        <v>1991</v>
      </c>
      <c r="B14" s="122">
        <f>'qtrP&amp;L'!F34</f>
        <v>0</v>
      </c>
      <c r="C14" s="122">
        <f>'qtrP&amp;L'!J34</f>
        <v>181.98099999999999</v>
      </c>
      <c r="D14" s="122">
        <f>'qtrP&amp;L'!N34</f>
        <v>210.292</v>
      </c>
      <c r="E14" s="122">
        <f>'qtrP&amp;L'!R34</f>
        <v>242.911</v>
      </c>
      <c r="F14" s="122">
        <f>'qtrP&amp;L'!V34</f>
        <v>293.54699999999997</v>
      </c>
      <c r="G14" s="122">
        <f>'qtrP&amp;L'!Z34</f>
        <v>347.35699999999997</v>
      </c>
      <c r="H14" s="122">
        <f>'qtrP&amp;L'!AD34</f>
        <v>390.28100000000001</v>
      </c>
      <c r="I14" s="122">
        <f>'qtrP&amp;L'!AH34</f>
        <v>430.78599999999994</v>
      </c>
      <c r="J14" s="122">
        <f>'qtrP&amp;L'!AL34</f>
        <v>464.47699999999998</v>
      </c>
      <c r="K14" s="122">
        <f>'qtrP&amp;L'!AP34</f>
        <v>564.79700000000003</v>
      </c>
      <c r="L14" s="122">
        <f>'qtrP&amp;L'!AT34</f>
        <v>621.01800000000003</v>
      </c>
      <c r="M14" s="122">
        <f>'qtrP&amp;L'!AX34</f>
        <v>633.58000000000004</v>
      </c>
      <c r="N14" s="122">
        <f>'qtrP&amp;L'!BB34</f>
        <v>692.25099999999998</v>
      </c>
      <c r="O14" s="122">
        <f>'qtrP&amp;L'!BF34</f>
        <v>801.86300000000006</v>
      </c>
      <c r="P14" s="122">
        <f>'qtrP&amp;L'!BJ34</f>
        <v>936.04399999999998</v>
      </c>
      <c r="Q14" s="122">
        <f>'qtrP&amp;L'!BN34</f>
        <v>959.63499999999999</v>
      </c>
      <c r="R14" s="122">
        <f>'qtrP&amp;L'!BR34</f>
        <v>1010.754</v>
      </c>
      <c r="S14" s="122">
        <f>'qtrP&amp;L'!BV34</f>
        <v>1131.4770000000001</v>
      </c>
      <c r="T14" s="122">
        <f>'qtrP&amp;L'!$BZ$34</f>
        <v>1153.944</v>
      </c>
      <c r="U14" s="122">
        <f>'qtrP&amp;L'!$CD$34</f>
        <v>1090.1689999999999</v>
      </c>
      <c r="V14" s="122">
        <f>'qtrP&amp;L'!$CH$34</f>
        <v>1210.8719999999998</v>
      </c>
      <c r="W14" s="122">
        <f>+'qtrP&amp;L'!CL34</f>
        <v>1400.223</v>
      </c>
      <c r="X14" s="122">
        <f>+'qtrP&amp;L'!CP34</f>
        <v>1466.067</v>
      </c>
      <c r="Y14" s="122">
        <f>'qtrP&amp;L'!CT34</f>
        <v>1546.5029999999999</v>
      </c>
      <c r="Z14" s="122">
        <f>'qtrP&amp;L'!CX34</f>
        <v>1645.7460000000001</v>
      </c>
      <c r="AA14" s="122">
        <f>'qtrP&amp;L'!DB34</f>
        <v>1684.4999999999998</v>
      </c>
      <c r="AB14" s="122">
        <f>'qtrP&amp;L'!DF34</f>
        <v>1731.2</v>
      </c>
      <c r="AC14" s="122">
        <f>'qtrP&amp;L'!DJ34</f>
        <v>1810.4</v>
      </c>
      <c r="AD14" s="122">
        <f>'qtrP&amp;L'!DN34</f>
        <v>1955.8699025102042</v>
      </c>
      <c r="AE14" s="122">
        <f>+AE7*AE23</f>
        <v>2057.3457457833265</v>
      </c>
      <c r="AF14" s="122">
        <f>+AF7*AF23</f>
        <v>2156.2250762947451</v>
      </c>
      <c r="AG14" s="122">
        <f>+AG7*AG23</f>
        <v>2233.7758631364504</v>
      </c>
      <c r="AH14" s="122">
        <f>+AH7*AH23</f>
        <v>2310.3747698355437</v>
      </c>
      <c r="AI14" s="211"/>
      <c r="AJ14" s="2399">
        <f>RATE(5,,-W14,AB14)*100</f>
        <v>4.3349968497773963</v>
      </c>
      <c r="AK14" s="623" t="s">
        <v>1970</v>
      </c>
      <c r="AL14" s="2399">
        <f>RATE(6,,-AB14,AH14)*100</f>
        <v>4.9274692700135372</v>
      </c>
      <c r="AM14" s="624" t="s">
        <v>1970</v>
      </c>
    </row>
    <row r="15" spans="1:39">
      <c r="A15" s="386" t="s">
        <v>1379</v>
      </c>
      <c r="B15" s="122"/>
      <c r="C15" s="128">
        <v>19.382000000000001</v>
      </c>
      <c r="D15" s="128">
        <v>24.015000000000001</v>
      </c>
      <c r="E15" s="128">
        <v>26.552</v>
      </c>
      <c r="F15" s="128">
        <v>29.045999999999999</v>
      </c>
      <c r="G15" s="128">
        <v>32.686</v>
      </c>
      <c r="H15" s="128">
        <v>37.078000000000003</v>
      </c>
      <c r="I15" s="128">
        <v>39.239800000000002</v>
      </c>
      <c r="J15" s="128">
        <v>48.451000000000001</v>
      </c>
      <c r="K15" s="128">
        <v>56.790999999999997</v>
      </c>
      <c r="L15" s="128">
        <v>58.482999999999997</v>
      </c>
      <c r="M15" s="128">
        <v>58.521000000000001</v>
      </c>
      <c r="N15" s="128">
        <v>66.614000000000004</v>
      </c>
      <c r="O15" s="128">
        <v>86.944000000000003</v>
      </c>
      <c r="P15" s="128">
        <v>99.296999999999997</v>
      </c>
      <c r="Q15" s="128">
        <v>113.294</v>
      </c>
      <c r="R15" s="128">
        <v>118.34399999999999</v>
      </c>
      <c r="S15" s="128">
        <f>136.434-25.151</f>
        <v>111.283</v>
      </c>
      <c r="T15" s="128">
        <f>145.295-31.391</f>
        <v>113.904</v>
      </c>
      <c r="U15" s="128">
        <f>157.863-28.407</f>
        <v>129.45599999999999</v>
      </c>
      <c r="V15" s="128">
        <f>190.169-37.02</f>
        <v>153.149</v>
      </c>
      <c r="W15" s="128">
        <f>107.814+36.357+47.188</f>
        <v>191.35899999999998</v>
      </c>
      <c r="X15" s="128">
        <f>127.627+31.918+38.156</f>
        <v>197.70099999999999</v>
      </c>
      <c r="Y15" s="128">
        <f>146.109+36.289+42.466</f>
        <v>224.86400000000003</v>
      </c>
      <c r="Z15" s="128">
        <f>158.188+38.572+35.812</f>
        <v>232.572</v>
      </c>
      <c r="AA15" s="2137">
        <v>244.1</v>
      </c>
      <c r="AB15" s="2137">
        <v>256.5</v>
      </c>
      <c r="AC15" s="2471">
        <v>271.39999999999998</v>
      </c>
      <c r="AD15" s="122">
        <f t="shared" ref="AD15:AH15" si="4">+AD16*AD7</f>
        <v>289.38488265996</v>
      </c>
      <c r="AE15" s="122">
        <f t="shared" si="4"/>
        <v>309.75767408423116</v>
      </c>
      <c r="AF15" s="122">
        <f t="shared" si="4"/>
        <v>331.12760882575128</v>
      </c>
      <c r="AG15" s="122">
        <f t="shared" si="4"/>
        <v>349.9785071671551</v>
      </c>
      <c r="AH15" s="122">
        <f t="shared" si="4"/>
        <v>369.57548877625248</v>
      </c>
      <c r="AI15" s="211"/>
      <c r="AJ15" s="239"/>
      <c r="AK15" s="576"/>
      <c r="AL15" s="239"/>
      <c r="AM15" s="625"/>
    </row>
    <row r="16" spans="1:39">
      <c r="A16" s="386" t="s">
        <v>331</v>
      </c>
      <c r="B16" s="203"/>
      <c r="C16" s="203">
        <f t="shared" ref="C16:AC16" si="5">+C15/C7</f>
        <v>3.9401836936325242E-2</v>
      </c>
      <c r="D16" s="203">
        <f t="shared" si="5"/>
        <v>4.9373350109787079E-2</v>
      </c>
      <c r="E16" s="203">
        <f t="shared" si="5"/>
        <v>4.6870173221229973E-2</v>
      </c>
      <c r="F16" s="203">
        <f t="shared" si="5"/>
        <v>4.2537611795598028E-2</v>
      </c>
      <c r="G16" s="203">
        <f t="shared" si="5"/>
        <v>4.0690060401448049E-2</v>
      </c>
      <c r="H16" s="203">
        <f t="shared" si="5"/>
        <v>4.0210040472482618E-2</v>
      </c>
      <c r="I16" s="203">
        <f t="shared" si="5"/>
        <v>3.8560517916384963E-2</v>
      </c>
      <c r="J16" s="203">
        <f t="shared" si="5"/>
        <v>4.11323602695918E-2</v>
      </c>
      <c r="K16" s="203">
        <f t="shared" si="5"/>
        <v>3.8588969144317073E-2</v>
      </c>
      <c r="L16" s="203">
        <f t="shared" si="5"/>
        <v>3.5060573505925459E-2</v>
      </c>
      <c r="M16" s="203">
        <f t="shared" si="5"/>
        <v>3.642684410859396E-2</v>
      </c>
      <c r="N16" s="203">
        <f t="shared" si="5"/>
        <v>3.9033119614297888E-2</v>
      </c>
      <c r="O16" s="203">
        <f t="shared" si="5"/>
        <v>4.3471021902007204E-2</v>
      </c>
      <c r="P16" s="203">
        <f t="shared" si="5"/>
        <v>4.5036104808032905E-2</v>
      </c>
      <c r="Q16" s="203">
        <f t="shared" si="5"/>
        <v>4.7301362376432732E-2</v>
      </c>
      <c r="R16" s="203">
        <f t="shared" si="5"/>
        <v>4.6214874329000989E-2</v>
      </c>
      <c r="S16" s="203">
        <f t="shared" si="5"/>
        <v>3.7867190060062526E-2</v>
      </c>
      <c r="T16" s="203">
        <f t="shared" si="5"/>
        <v>3.9982322747457839E-2</v>
      </c>
      <c r="U16" s="203">
        <f t="shared" si="5"/>
        <v>4.7774501518601471E-2</v>
      </c>
      <c r="V16" s="203">
        <f t="shared" si="5"/>
        <v>4.963844565664817E-2</v>
      </c>
      <c r="W16" s="203">
        <f t="shared" si="5"/>
        <v>5.2528770055589757E-2</v>
      </c>
      <c r="X16" s="203">
        <f t="shared" si="5"/>
        <v>5.2105436411790579E-2</v>
      </c>
      <c r="Y16" s="203">
        <f t="shared" si="5"/>
        <v>5.5781877538060055E-2</v>
      </c>
      <c r="Z16" s="203">
        <f t="shared" si="5"/>
        <v>5.4723943760731107E-2</v>
      </c>
      <c r="AA16" s="203">
        <f t="shared" si="5"/>
        <v>5.9468414256827529E-2</v>
      </c>
      <c r="AB16" s="203">
        <f t="shared" si="5"/>
        <v>6.4096156729471748E-2</v>
      </c>
      <c r="AC16" s="203">
        <f t="shared" si="5"/>
        <v>6.5087054534989683E-2</v>
      </c>
      <c r="AD16" s="206">
        <v>6.6000000000000003E-2</v>
      </c>
      <c r="AE16" s="206">
        <v>6.7000000000000004E-2</v>
      </c>
      <c r="AF16" s="206">
        <v>6.8000000000000005E-2</v>
      </c>
      <c r="AG16" s="206">
        <v>6.9000000000000006E-2</v>
      </c>
      <c r="AH16" s="206">
        <v>7.0000000000000007E-2</v>
      </c>
      <c r="AI16" s="211"/>
      <c r="AJ16" s="239"/>
      <c r="AK16" s="576"/>
      <c r="AL16" s="239"/>
      <c r="AM16" s="625"/>
    </row>
    <row r="17" spans="1:39" outlineLevel="1">
      <c r="A17" s="1949" t="s">
        <v>2430</v>
      </c>
      <c r="B17" s="1950"/>
      <c r="C17" s="1950"/>
      <c r="D17" s="1950">
        <f t="shared" ref="D17:AH17" si="6">D15/C15-1</f>
        <v>0.23903621917242801</v>
      </c>
      <c r="E17" s="1950">
        <f t="shared" si="6"/>
        <v>0.10564230689152598</v>
      </c>
      <c r="F17" s="1950">
        <f t="shared" si="6"/>
        <v>9.3928894245254524E-2</v>
      </c>
      <c r="G17" s="1950">
        <f t="shared" si="6"/>
        <v>0.12531846037320116</v>
      </c>
      <c r="H17" s="1950">
        <f t="shared" si="6"/>
        <v>0.1343694548124581</v>
      </c>
      <c r="I17" s="1950">
        <f t="shared" si="6"/>
        <v>5.8304115648093235E-2</v>
      </c>
      <c r="J17" s="1950">
        <f t="shared" si="6"/>
        <v>0.2347412576007013</v>
      </c>
      <c r="K17" s="1950">
        <f t="shared" si="6"/>
        <v>0.17213267012032762</v>
      </c>
      <c r="L17" s="1950">
        <f t="shared" si="6"/>
        <v>2.9793453188005081E-2</v>
      </c>
      <c r="M17" s="1950">
        <f t="shared" si="6"/>
        <v>6.4976146914497157E-4</v>
      </c>
      <c r="N17" s="1950">
        <f t="shared" si="6"/>
        <v>0.13829223697476123</v>
      </c>
      <c r="O17" s="1950">
        <f t="shared" si="6"/>
        <v>0.30519110096976609</v>
      </c>
      <c r="P17" s="1950">
        <f t="shared" si="6"/>
        <v>0.14207995951416996</v>
      </c>
      <c r="Q17" s="1950">
        <f t="shared" si="6"/>
        <v>0.1409609555172866</v>
      </c>
      <c r="R17" s="1950">
        <f t="shared" si="6"/>
        <v>4.4574293431249634E-2</v>
      </c>
      <c r="S17" s="1950">
        <f t="shared" si="6"/>
        <v>-5.9665044277698809E-2</v>
      </c>
      <c r="T17" s="1950">
        <f t="shared" si="6"/>
        <v>2.3552564183208613E-2</v>
      </c>
      <c r="U17" s="1950">
        <f t="shared" si="6"/>
        <v>0.1365360303413401</v>
      </c>
      <c r="V17" s="1950">
        <f t="shared" si="6"/>
        <v>0.1830197132616489</v>
      </c>
      <c r="W17" s="1950">
        <f t="shared" si="6"/>
        <v>0.24949558926274396</v>
      </c>
      <c r="X17" s="1950">
        <f t="shared" si="6"/>
        <v>3.3141895599370974E-2</v>
      </c>
      <c r="Y17" s="1950">
        <f t="shared" si="6"/>
        <v>0.13739434803061212</v>
      </c>
      <c r="Z17" s="1950">
        <f t="shared" si="6"/>
        <v>3.4278497224989213E-2</v>
      </c>
      <c r="AA17" s="1950">
        <f t="shared" si="6"/>
        <v>4.9567445780231534E-2</v>
      </c>
      <c r="AB17" s="1950">
        <f t="shared" si="6"/>
        <v>5.0798852929127447E-2</v>
      </c>
      <c r="AC17" s="1950">
        <f>AC15/AB15-1</f>
        <v>5.8089668615984413E-2</v>
      </c>
      <c r="AD17" s="1950">
        <f t="shared" si="6"/>
        <v>6.6267069491378061E-2</v>
      </c>
      <c r="AE17" s="1950">
        <f t="shared" si="6"/>
        <v>7.0400330649649234E-2</v>
      </c>
      <c r="AF17" s="1950">
        <f t="shared" si="6"/>
        <v>6.8989201977637249E-2</v>
      </c>
      <c r="AG17" s="1950">
        <f t="shared" si="6"/>
        <v>5.6929406787471049E-2</v>
      </c>
      <c r="AH17" s="1950">
        <f t="shared" si="6"/>
        <v>5.5994814560819783E-2</v>
      </c>
      <c r="AI17" s="1951"/>
      <c r="AJ17" s="1952"/>
      <c r="AK17" s="1953"/>
      <c r="AL17" s="1952"/>
      <c r="AM17" s="1954"/>
    </row>
    <row r="18" spans="1:39">
      <c r="A18" s="386" t="s">
        <v>1318</v>
      </c>
      <c r="B18" s="122"/>
      <c r="C18" s="128">
        <v>19.2</v>
      </c>
      <c r="D18" s="128">
        <v>19.399999999999999</v>
      </c>
      <c r="E18" s="128">
        <v>18.100000000000001</v>
      </c>
      <c r="F18" s="128">
        <v>31</v>
      </c>
      <c r="G18" s="128">
        <v>37.200000000000003</v>
      </c>
      <c r="H18" s="128">
        <v>43.9</v>
      </c>
      <c r="I18" s="128">
        <v>51.8</v>
      </c>
      <c r="J18" s="336">
        <v>52.5</v>
      </c>
      <c r="K18" s="128">
        <v>57.3</v>
      </c>
      <c r="L18" s="128">
        <v>84.2</v>
      </c>
      <c r="M18" s="128">
        <v>86.4</v>
      </c>
      <c r="N18" s="128">
        <v>101.9</v>
      </c>
      <c r="O18" s="128">
        <v>122.4</v>
      </c>
      <c r="P18" s="128">
        <v>134.96299999999999</v>
      </c>
      <c r="Q18" s="128">
        <v>137.5</v>
      </c>
      <c r="R18" s="128">
        <v>161.68799999999999</v>
      </c>
      <c r="S18" s="128">
        <v>188.34700000000001</v>
      </c>
      <c r="T18" s="128">
        <v>204.25</v>
      </c>
      <c r="U18" s="128">
        <v>159.89099999999999</v>
      </c>
      <c r="V18" s="128">
        <v>197.59700000000001</v>
      </c>
      <c r="W18" s="128">
        <v>234.05</v>
      </c>
      <c r="X18" s="128">
        <v>250.297</v>
      </c>
      <c r="Y18" s="128">
        <v>253.16399999999999</v>
      </c>
      <c r="Z18" s="2137">
        <v>283.64800000000002</v>
      </c>
      <c r="AA18" s="2137">
        <v>302</v>
      </c>
      <c r="AB18" s="2137">
        <v>299</v>
      </c>
      <c r="AC18" s="2471">
        <v>314.89999999999998</v>
      </c>
      <c r="AD18" s="122">
        <f t="shared" ref="AD18:AH18" si="7">+AD20*AD7</f>
        <v>337.61569643661994</v>
      </c>
      <c r="AE18" s="122">
        <f t="shared" si="7"/>
        <v>360.61341162044823</v>
      </c>
      <c r="AF18" s="122">
        <f t="shared" si="7"/>
        <v>384.69236907697575</v>
      </c>
      <c r="AG18" s="122">
        <f t="shared" si="7"/>
        <v>400.70002994500362</v>
      </c>
      <c r="AH18" s="122">
        <f t="shared" si="7"/>
        <v>417.09233733319923</v>
      </c>
      <c r="AI18" s="211"/>
      <c r="AJ18" s="239"/>
      <c r="AK18" s="623"/>
      <c r="AL18" s="239"/>
      <c r="AM18" s="624"/>
    </row>
    <row r="19" spans="1:39" outlineLevel="1">
      <c r="A19" s="386" t="s">
        <v>1181</v>
      </c>
      <c r="B19" s="122"/>
      <c r="C19" s="128"/>
      <c r="D19" s="203">
        <f t="shared" ref="D19:AH19" si="8">D18/C18-1</f>
        <v>1.0416666666666741E-2</v>
      </c>
      <c r="E19" s="203">
        <f t="shared" si="8"/>
        <v>-6.7010309278350388E-2</v>
      </c>
      <c r="F19" s="203">
        <f t="shared" si="8"/>
        <v>0.71270718232044183</v>
      </c>
      <c r="G19" s="203">
        <f t="shared" si="8"/>
        <v>0.20000000000000018</v>
      </c>
      <c r="H19" s="203">
        <f t="shared" si="8"/>
        <v>0.18010752688172027</v>
      </c>
      <c r="I19" s="203">
        <f t="shared" si="8"/>
        <v>0.17995444191343957</v>
      </c>
      <c r="J19" s="203">
        <f t="shared" si="8"/>
        <v>1.3513513513513598E-2</v>
      </c>
      <c r="K19" s="203">
        <f t="shared" si="8"/>
        <v>9.1428571428571415E-2</v>
      </c>
      <c r="L19" s="203">
        <f t="shared" si="8"/>
        <v>0.46945898778359529</v>
      </c>
      <c r="M19" s="203">
        <f t="shared" si="8"/>
        <v>2.6128266033254244E-2</v>
      </c>
      <c r="N19" s="203">
        <f t="shared" si="8"/>
        <v>0.17939814814814814</v>
      </c>
      <c r="O19" s="203">
        <f t="shared" si="8"/>
        <v>0.20117762512266935</v>
      </c>
      <c r="P19" s="203">
        <f t="shared" si="8"/>
        <v>0.10263888888888872</v>
      </c>
      <c r="Q19" s="203">
        <f t="shared" si="8"/>
        <v>1.879774456702954E-2</v>
      </c>
      <c r="R19" s="203">
        <f t="shared" si="8"/>
        <v>0.17591272727272722</v>
      </c>
      <c r="S19" s="203">
        <f t="shared" si="8"/>
        <v>0.16487927366285704</v>
      </c>
      <c r="T19" s="203">
        <f t="shared" si="8"/>
        <v>8.4434580853424812E-2</v>
      </c>
      <c r="U19" s="203">
        <f t="shared" si="8"/>
        <v>-0.2171799265605876</v>
      </c>
      <c r="V19" s="203">
        <f t="shared" si="8"/>
        <v>0.2358231545240197</v>
      </c>
      <c r="W19" s="203">
        <f t="shared" si="8"/>
        <v>0.18448154577245601</v>
      </c>
      <c r="X19" s="203">
        <f t="shared" si="8"/>
        <v>6.9416791283913648E-2</v>
      </c>
      <c r="Y19" s="203">
        <f t="shared" si="8"/>
        <v>1.1454392182087547E-2</v>
      </c>
      <c r="Z19" s="203">
        <f t="shared" si="8"/>
        <v>0.12041206490654299</v>
      </c>
      <c r="AA19" s="203">
        <f t="shared" si="8"/>
        <v>6.4699909747292228E-2</v>
      </c>
      <c r="AB19" s="203">
        <f t="shared" si="8"/>
        <v>-9.9337748344371368E-3</v>
      </c>
      <c r="AC19" s="203">
        <f t="shared" si="8"/>
        <v>5.317725752508351E-2</v>
      </c>
      <c r="AD19" s="203">
        <f t="shared" si="8"/>
        <v>7.213622240908224E-2</v>
      </c>
      <c r="AE19" s="203">
        <f t="shared" si="8"/>
        <v>6.811802717278459E-2</v>
      </c>
      <c r="AF19" s="203">
        <f t="shared" si="8"/>
        <v>6.6772218338543299E-2</v>
      </c>
      <c r="AG19" s="203">
        <f t="shared" si="8"/>
        <v>4.1611589297797513E-2</v>
      </c>
      <c r="AH19" s="203">
        <f t="shared" si="8"/>
        <v>4.0909174352808053E-2</v>
      </c>
      <c r="AI19" s="211"/>
      <c r="AJ19" s="239"/>
      <c r="AK19" s="623"/>
      <c r="AL19" s="239"/>
      <c r="AM19" s="624"/>
    </row>
    <row r="20" spans="1:39">
      <c r="A20" s="386" t="s">
        <v>1367</v>
      </c>
      <c r="B20" s="122"/>
      <c r="C20" s="203">
        <f t="shared" ref="C20:AA20" si="9">+C18/C7</f>
        <v>3.9031847548108789E-2</v>
      </c>
      <c r="D20" s="203">
        <f t="shared" si="9"/>
        <v>3.9885196424312694E-2</v>
      </c>
      <c r="E20" s="203">
        <f t="shared" si="9"/>
        <v>3.1950517298292506E-2</v>
      </c>
      <c r="F20" s="203">
        <f t="shared" si="9"/>
        <v>4.5399227627333852E-2</v>
      </c>
      <c r="G20" s="203">
        <f t="shared" si="9"/>
        <v>4.6309436668110736E-2</v>
      </c>
      <c r="H20" s="203">
        <f t="shared" si="9"/>
        <v>4.7608306185392593E-2</v>
      </c>
      <c r="I20" s="203">
        <f t="shared" si="9"/>
        <v>5.0903287684155904E-2</v>
      </c>
      <c r="J20" s="203">
        <f t="shared" si="9"/>
        <v>4.4569749110515144E-2</v>
      </c>
      <c r="K20" s="203">
        <f t="shared" si="9"/>
        <v>3.8934830025345007E-2</v>
      </c>
      <c r="L20" s="203">
        <f t="shared" si="9"/>
        <v>5.0477921604550446E-2</v>
      </c>
      <c r="M20" s="203">
        <f t="shared" si="9"/>
        <v>5.3780340920054653E-2</v>
      </c>
      <c r="N20" s="203">
        <f t="shared" si="9"/>
        <v>5.9709293672455567E-2</v>
      </c>
      <c r="O20" s="203">
        <f t="shared" si="9"/>
        <v>6.1198623030981801E-2</v>
      </c>
      <c r="P20" s="203">
        <f t="shared" si="9"/>
        <v>6.1212401313297929E-2</v>
      </c>
      <c r="Q20" s="203">
        <f t="shared" si="9"/>
        <v>5.7407606111175354E-2</v>
      </c>
      <c r="R20" s="203">
        <f t="shared" si="9"/>
        <v>6.3141271213644226E-2</v>
      </c>
      <c r="S20" s="203">
        <f t="shared" si="9"/>
        <v>6.4090396972067587E-2</v>
      </c>
      <c r="T20" s="203">
        <f t="shared" si="9"/>
        <v>7.169536997092521E-2</v>
      </c>
      <c r="U20" s="203">
        <f t="shared" si="9"/>
        <v>5.9006247854952322E-2</v>
      </c>
      <c r="V20" s="203">
        <f t="shared" si="9"/>
        <v>6.4044870984575203E-2</v>
      </c>
      <c r="W20" s="203">
        <f t="shared" si="9"/>
        <v>6.4247611199425084E-2</v>
      </c>
      <c r="X20" s="203">
        <f t="shared" si="9"/>
        <v>6.5967468134010179E-2</v>
      </c>
      <c r="Y20" s="203">
        <f t="shared" si="9"/>
        <v>6.2802241555097449E-2</v>
      </c>
      <c r="Z20" s="203">
        <f t="shared" si="9"/>
        <v>6.6742072131829533E-2</v>
      </c>
      <c r="AA20" s="203">
        <f t="shared" si="9"/>
        <v>7.3574195434501902E-2</v>
      </c>
      <c r="AB20" s="203">
        <f>+AB18/AB7</f>
        <v>7.4716377630066472E-2</v>
      </c>
      <c r="AC20" s="203">
        <f>+AC18/AC7</f>
        <v>7.5519209554415073E-2</v>
      </c>
      <c r="AD20" s="206">
        <v>7.6999999999999999E-2</v>
      </c>
      <c r="AE20" s="206">
        <v>7.8E-2</v>
      </c>
      <c r="AF20" s="206">
        <v>7.9000000000000001E-2</v>
      </c>
      <c r="AG20" s="206">
        <v>7.9000000000000001E-2</v>
      </c>
      <c r="AH20" s="206">
        <v>7.9000000000000001E-2</v>
      </c>
      <c r="AI20" s="211"/>
      <c r="AJ20" s="239"/>
      <c r="AK20" s="240"/>
      <c r="AL20" s="239"/>
      <c r="AM20" s="626"/>
    </row>
    <row r="21" spans="1:39">
      <c r="A21" s="386" t="s">
        <v>1366</v>
      </c>
      <c r="B21" s="122"/>
      <c r="C21" s="122">
        <f t="shared" ref="C21:AH21" si="10">+C14-C18-C15</f>
        <v>143.399</v>
      </c>
      <c r="D21" s="122">
        <f t="shared" si="10"/>
        <v>166.87700000000001</v>
      </c>
      <c r="E21" s="122">
        <f t="shared" si="10"/>
        <v>198.25900000000001</v>
      </c>
      <c r="F21" s="122">
        <f t="shared" si="10"/>
        <v>233.50099999999998</v>
      </c>
      <c r="G21" s="122">
        <f t="shared" si="10"/>
        <v>277.471</v>
      </c>
      <c r="H21" s="122">
        <f t="shared" si="10"/>
        <v>309.303</v>
      </c>
      <c r="I21" s="122">
        <f t="shared" si="10"/>
        <v>339.74619999999993</v>
      </c>
      <c r="J21" s="122">
        <f t="shared" si="10"/>
        <v>363.52599999999995</v>
      </c>
      <c r="K21" s="122">
        <f t="shared" si="10"/>
        <v>450.70600000000002</v>
      </c>
      <c r="L21" s="122">
        <f t="shared" si="10"/>
        <v>478.33499999999998</v>
      </c>
      <c r="M21" s="122">
        <f t="shared" si="10"/>
        <v>488.65900000000005</v>
      </c>
      <c r="N21" s="122">
        <f t="shared" si="10"/>
        <v>523.73699999999997</v>
      </c>
      <c r="O21" s="122">
        <f t="shared" si="10"/>
        <v>592.51900000000012</v>
      </c>
      <c r="P21" s="122">
        <f t="shared" si="10"/>
        <v>701.78399999999999</v>
      </c>
      <c r="Q21" s="122">
        <f t="shared" si="10"/>
        <v>708.84100000000001</v>
      </c>
      <c r="R21" s="122">
        <f t="shared" si="10"/>
        <v>730.72199999999998</v>
      </c>
      <c r="S21" s="122">
        <f t="shared" si="10"/>
        <v>831.84700000000009</v>
      </c>
      <c r="T21" s="122">
        <f t="shared" si="10"/>
        <v>835.79</v>
      </c>
      <c r="U21" s="122">
        <f t="shared" si="10"/>
        <v>800.82199999999989</v>
      </c>
      <c r="V21" s="122">
        <f t="shared" si="10"/>
        <v>860.12599999999986</v>
      </c>
      <c r="W21" s="122">
        <f t="shared" si="10"/>
        <v>974.81400000000008</v>
      </c>
      <c r="X21" s="122">
        <f t="shared" si="10"/>
        <v>1018.069</v>
      </c>
      <c r="Y21" s="122">
        <f t="shared" si="10"/>
        <v>1068.4749999999999</v>
      </c>
      <c r="Z21" s="122">
        <f t="shared" si="10"/>
        <v>1129.5259999999998</v>
      </c>
      <c r="AA21" s="122">
        <f t="shared" si="10"/>
        <v>1138.3999999999999</v>
      </c>
      <c r="AB21" s="122">
        <f t="shared" si="10"/>
        <v>1175.7</v>
      </c>
      <c r="AC21" s="122">
        <f t="shared" si="10"/>
        <v>1224.0999999999999</v>
      </c>
      <c r="AD21" s="122">
        <f t="shared" si="10"/>
        <v>1328.869323413624</v>
      </c>
      <c r="AE21" s="122">
        <f t="shared" si="10"/>
        <v>1386.974660078647</v>
      </c>
      <c r="AF21" s="122">
        <f t="shared" si="10"/>
        <v>1440.4050983920179</v>
      </c>
      <c r="AG21" s="122">
        <f t="shared" si="10"/>
        <v>1483.0973260242915</v>
      </c>
      <c r="AH21" s="122">
        <f t="shared" si="10"/>
        <v>1523.7069437260918</v>
      </c>
      <c r="AI21" s="211"/>
      <c r="AJ21" s="2399">
        <f>RATE(5,,-W21,AB21)*100</f>
        <v>3.8185483626064478</v>
      </c>
      <c r="AK21" s="623" t="s">
        <v>1970</v>
      </c>
      <c r="AL21" s="2399">
        <f>RATE(6,,-AB21,AH21)*100</f>
        <v>4.4161048199225297</v>
      </c>
      <c r="AM21" s="624" t="s">
        <v>1970</v>
      </c>
    </row>
    <row r="22" spans="1:39">
      <c r="A22" s="1949" t="s">
        <v>2431</v>
      </c>
      <c r="B22" s="122"/>
      <c r="C22" s="122"/>
      <c r="D22" s="122"/>
      <c r="E22" s="122"/>
      <c r="F22" s="122"/>
      <c r="G22" s="122"/>
      <c r="H22" s="122"/>
      <c r="I22" s="122"/>
      <c r="J22" s="122"/>
      <c r="K22" s="122"/>
      <c r="L22" s="122"/>
      <c r="M22" s="1229">
        <f t="shared" ref="M22:AH22" si="11">M21/L21-1</f>
        <v>2.1583200058536534E-2</v>
      </c>
      <c r="N22" s="1229">
        <f t="shared" si="11"/>
        <v>7.1784209438483515E-2</v>
      </c>
      <c r="O22" s="1229">
        <f t="shared" si="11"/>
        <v>0.13132927404403394</v>
      </c>
      <c r="P22" s="1229">
        <f t="shared" si="11"/>
        <v>0.18440758861741124</v>
      </c>
      <c r="Q22" s="1229">
        <f t="shared" si="11"/>
        <v>1.005580064521272E-2</v>
      </c>
      <c r="R22" s="1229">
        <f t="shared" si="11"/>
        <v>3.0868699750719708E-2</v>
      </c>
      <c r="S22" s="1229">
        <f t="shared" si="11"/>
        <v>0.13839052334540369</v>
      </c>
      <c r="T22" s="1229">
        <f t="shared" si="11"/>
        <v>4.7400543609581458E-3</v>
      </c>
      <c r="U22" s="1229">
        <f t="shared" si="11"/>
        <v>-4.1838260807140593E-2</v>
      </c>
      <c r="V22" s="1229">
        <f t="shared" si="11"/>
        <v>7.4053909607877832E-2</v>
      </c>
      <c r="W22" s="1229">
        <f t="shared" si="11"/>
        <v>0.13333860387896679</v>
      </c>
      <c r="X22" s="1229">
        <f t="shared" si="11"/>
        <v>4.4372567484668668E-2</v>
      </c>
      <c r="Y22" s="1229">
        <f t="shared" si="11"/>
        <v>4.9511378894750768E-2</v>
      </c>
      <c r="Z22" s="1229">
        <f t="shared" si="11"/>
        <v>5.7138444979994762E-2</v>
      </c>
      <c r="AA22" s="1229">
        <f t="shared" si="11"/>
        <v>7.8563928585972942E-3</v>
      </c>
      <c r="AB22" s="1229">
        <f t="shared" si="11"/>
        <v>3.2765284609979073E-2</v>
      </c>
      <c r="AC22" s="1229">
        <f t="shared" si="11"/>
        <v>4.1166964361656788E-2</v>
      </c>
      <c r="AD22" s="1950">
        <f t="shared" si="11"/>
        <v>8.558885990819709E-2</v>
      </c>
      <c r="AE22" s="1950">
        <f t="shared" si="11"/>
        <v>4.3725395448034776E-2</v>
      </c>
      <c r="AF22" s="1950">
        <f t="shared" si="11"/>
        <v>3.8523009721274315E-2</v>
      </c>
      <c r="AG22" s="1950">
        <f t="shared" si="11"/>
        <v>2.9639042294374418E-2</v>
      </c>
      <c r="AH22" s="1950">
        <f t="shared" si="11"/>
        <v>2.7381626943298265E-2</v>
      </c>
      <c r="AI22" s="211"/>
      <c r="AJ22" s="239"/>
      <c r="AK22" s="623"/>
      <c r="AL22" s="239"/>
      <c r="AM22" s="624"/>
    </row>
    <row r="23" spans="1:39">
      <c r="A23" s="386" t="s">
        <v>481</v>
      </c>
      <c r="B23" s="203"/>
      <c r="C23" s="203">
        <f t="shared" ref="C23:AD23" si="12">C14/C$7</f>
        <v>0.36995076295064505</v>
      </c>
      <c r="D23" s="203">
        <f t="shared" si="12"/>
        <v>0.43234730548770955</v>
      </c>
      <c r="E23" s="203">
        <f t="shared" si="12"/>
        <v>0.42879182914063702</v>
      </c>
      <c r="F23" s="203">
        <f t="shared" si="12"/>
        <v>0.42989700233293443</v>
      </c>
      <c r="G23" s="203">
        <f t="shared" si="12"/>
        <v>0.4324168546431435</v>
      </c>
      <c r="H23" s="203">
        <f t="shared" si="12"/>
        <v>0.42324868670481114</v>
      </c>
      <c r="I23" s="203">
        <f t="shared" si="12"/>
        <v>0.42332864263140513</v>
      </c>
      <c r="J23" s="203">
        <f t="shared" si="12"/>
        <v>0.39431663538294748</v>
      </c>
      <c r="K23" s="203">
        <f t="shared" si="12"/>
        <v>0.38377443619240464</v>
      </c>
      <c r="L23" s="203">
        <f t="shared" si="12"/>
        <v>0.37230045034459275</v>
      </c>
      <c r="M23" s="203">
        <f t="shared" si="12"/>
        <v>0.39437671759407672</v>
      </c>
      <c r="N23" s="203">
        <f t="shared" si="12"/>
        <v>0.40563118993180602</v>
      </c>
      <c r="O23" s="203">
        <f t="shared" si="12"/>
        <v>0.40092247924421703</v>
      </c>
      <c r="P23" s="203">
        <f t="shared" si="12"/>
        <v>0.42454228918225473</v>
      </c>
      <c r="Q23" s="203">
        <f t="shared" si="12"/>
        <v>0.40065707702180192</v>
      </c>
      <c r="R23" s="203">
        <f t="shared" si="12"/>
        <v>0.39471260974392508</v>
      </c>
      <c r="S23" s="203">
        <f t="shared" si="12"/>
        <v>0.38501707006092006</v>
      </c>
      <c r="T23" s="203">
        <f t="shared" si="12"/>
        <v>0.40505479562168573</v>
      </c>
      <c r="U23" s="203">
        <f t="shared" si="12"/>
        <v>0.40231646695427209</v>
      </c>
      <c r="V23" s="203">
        <f t="shared" si="12"/>
        <v>0.39246618632284164</v>
      </c>
      <c r="W23" s="203">
        <f t="shared" si="12"/>
        <v>0.38436651525952825</v>
      </c>
      <c r="X23" s="203">
        <f t="shared" si="12"/>
        <v>0.38639187886720139</v>
      </c>
      <c r="Y23" s="203">
        <f t="shared" si="12"/>
        <v>0.38364007114630388</v>
      </c>
      <c r="Z23" s="203">
        <f t="shared" si="12"/>
        <v>0.38724228001843808</v>
      </c>
      <c r="AA23" s="203">
        <f t="shared" si="12"/>
        <v>0.41038321923648485</v>
      </c>
      <c r="AB23" s="203">
        <f t="shared" si="12"/>
        <v>0.43260532760257886</v>
      </c>
      <c r="AC23" s="203">
        <f t="shared" si="12"/>
        <v>0.43416950453259151</v>
      </c>
      <c r="AD23" s="203">
        <f t="shared" si="12"/>
        <v>0.44607517980597799</v>
      </c>
      <c r="AE23" s="206">
        <v>0.44500000000000001</v>
      </c>
      <c r="AF23" s="206">
        <v>0.44280000000000003</v>
      </c>
      <c r="AG23" s="206">
        <v>0.44040000000000001</v>
      </c>
      <c r="AH23" s="206">
        <v>0.43759999999999999</v>
      </c>
      <c r="AI23" s="211"/>
      <c r="AJ23" s="239"/>
      <c r="AK23" s="576"/>
      <c r="AL23" s="239"/>
      <c r="AM23" s="625"/>
    </row>
    <row r="24" spans="1:39" outlineLevel="1">
      <c r="A24" s="386" t="s">
        <v>1181</v>
      </c>
      <c r="B24" s="122"/>
      <c r="C24" s="122"/>
      <c r="D24" s="122"/>
      <c r="E24" s="122"/>
      <c r="F24" s="122"/>
      <c r="G24" s="122"/>
      <c r="H24" s="122"/>
      <c r="I24" s="122"/>
      <c r="J24" s="122"/>
      <c r="K24" s="122"/>
      <c r="L24" s="122"/>
      <c r="M24" s="1229">
        <f t="shared" ref="M24:AH24" si="13">M14/L14-1</f>
        <v>2.0228077124978761E-2</v>
      </c>
      <c r="N24" s="1229">
        <f t="shared" si="13"/>
        <v>9.260235487231272E-2</v>
      </c>
      <c r="O24" s="1229">
        <f t="shared" si="13"/>
        <v>0.15834141084664388</v>
      </c>
      <c r="P24" s="1229">
        <f t="shared" si="13"/>
        <v>0.16733656497431593</v>
      </c>
      <c r="Q24" s="1229">
        <f t="shared" si="13"/>
        <v>2.5202875078522036E-2</v>
      </c>
      <c r="R24" s="1229">
        <f t="shared" si="13"/>
        <v>5.3269211731543864E-2</v>
      </c>
      <c r="S24" s="1229">
        <f t="shared" si="13"/>
        <v>0.11943855774995704</v>
      </c>
      <c r="T24" s="1229">
        <f t="shared" si="13"/>
        <v>1.9856347057872092E-2</v>
      </c>
      <c r="U24" s="1229">
        <f t="shared" si="13"/>
        <v>-5.5266980026760448E-2</v>
      </c>
      <c r="V24" s="1229">
        <f t="shared" si="13"/>
        <v>0.11071953064157936</v>
      </c>
      <c r="W24" s="1229">
        <f t="shared" si="13"/>
        <v>0.15637573583334996</v>
      </c>
      <c r="X24" s="1229">
        <f t="shared" si="13"/>
        <v>4.7023938329823212E-2</v>
      </c>
      <c r="Y24" s="1229">
        <f t="shared" si="13"/>
        <v>5.4865159641407812E-2</v>
      </c>
      <c r="Z24" s="1229">
        <f t="shared" si="13"/>
        <v>6.4172523428664752E-2</v>
      </c>
      <c r="AA24" s="1229">
        <f t="shared" si="13"/>
        <v>2.3547983710730414E-2</v>
      </c>
      <c r="AB24" s="1229">
        <f t="shared" si="13"/>
        <v>2.7723360047491985E-2</v>
      </c>
      <c r="AC24" s="1229">
        <f t="shared" si="13"/>
        <v>4.5748613678373351E-2</v>
      </c>
      <c r="AD24" s="1229">
        <f t="shared" si="13"/>
        <v>8.0352354457691177E-2</v>
      </c>
      <c r="AE24" s="1229">
        <f t="shared" si="13"/>
        <v>5.1882716300755138E-2</v>
      </c>
      <c r="AF24" s="1229">
        <f t="shared" si="13"/>
        <v>4.8061601077056926E-2</v>
      </c>
      <c r="AG24" s="1229">
        <f t="shared" si="13"/>
        <v>3.59659980278908E-2</v>
      </c>
      <c r="AH24" s="1229">
        <f t="shared" si="13"/>
        <v>3.4291223198884779E-2</v>
      </c>
      <c r="AI24" s="211"/>
      <c r="AJ24" s="239"/>
      <c r="AK24" s="576"/>
      <c r="AL24" s="239"/>
      <c r="AM24" s="625"/>
    </row>
    <row r="25" spans="1:39" outlineLevel="1">
      <c r="A25" s="124"/>
      <c r="B25" s="122"/>
      <c r="C25" s="122"/>
      <c r="D25" s="122"/>
      <c r="E25" s="122"/>
      <c r="F25" s="122"/>
      <c r="G25" s="122"/>
      <c r="H25" s="122"/>
      <c r="I25" s="122"/>
      <c r="J25" s="122"/>
      <c r="K25" s="122"/>
      <c r="L25" s="122"/>
      <c r="M25" s="1229"/>
      <c r="N25" s="1229"/>
      <c r="O25" s="1229"/>
      <c r="P25" s="1229"/>
      <c r="Q25" s="1229"/>
      <c r="R25" s="1229"/>
      <c r="S25" s="1229"/>
      <c r="T25" s="1229"/>
      <c r="U25" s="1229"/>
      <c r="V25" s="1229"/>
      <c r="W25" s="1229"/>
      <c r="X25" s="1229"/>
      <c r="Y25" s="1229"/>
      <c r="Z25" s="2014"/>
      <c r="AA25" s="2014"/>
      <c r="AB25" s="2014"/>
      <c r="AC25" s="2014"/>
      <c r="AD25" s="2014"/>
      <c r="AE25" s="2014"/>
      <c r="AF25" s="2014"/>
      <c r="AG25" s="2014"/>
      <c r="AH25" s="2014"/>
      <c r="AI25" s="211"/>
      <c r="AJ25" s="239"/>
      <c r="AK25" s="576"/>
      <c r="AL25" s="239"/>
      <c r="AM25" s="625"/>
    </row>
    <row r="26" spans="1:39" outlineLevel="1">
      <c r="A26" s="1955" t="s">
        <v>2429</v>
      </c>
      <c r="B26" s="122"/>
      <c r="C26" s="122"/>
      <c r="D26" s="1229"/>
      <c r="E26" s="1229"/>
      <c r="F26" s="1229"/>
      <c r="G26" s="1229">
        <f>yrSales!G28</f>
        <v>6.0659860926172371E-2</v>
      </c>
      <c r="H26" s="1229">
        <f>yrSales!H28</f>
        <v>-4.3088296833589168E-2</v>
      </c>
      <c r="I26" s="1229">
        <f>yrSales!I28</f>
        <v>-3.8031515575574604E-2</v>
      </c>
      <c r="J26" s="1229">
        <f>yrSales!J28</f>
        <v>9.3344647836101524E-2</v>
      </c>
      <c r="K26" s="1229">
        <f>yrSales!K28</f>
        <v>9.5354252134382866E-2</v>
      </c>
      <c r="L26" s="1229">
        <f>yrSales!L28</f>
        <v>9.0090090090090058E-2</v>
      </c>
      <c r="M26" s="1229">
        <f>yrSales!M28</f>
        <v>8.5941127309870913E-2</v>
      </c>
      <c r="N26" s="1229">
        <f>yrSales!N28</f>
        <v>6.9733635469665156E-2</v>
      </c>
      <c r="O26" s="1229">
        <f>yrSales!O28</f>
        <v>5.0359712230215958E-2</v>
      </c>
      <c r="P26" s="1229">
        <f>yrSales!P28</f>
        <v>6.3165905631659136E-2</v>
      </c>
      <c r="Q26" s="1229">
        <f>yrSales!Q28</f>
        <v>5.2254831782390987E-2</v>
      </c>
      <c r="R26" s="1229">
        <f>yrSales!R28</f>
        <v>4.5578231292517035E-2</v>
      </c>
      <c r="S26" s="1229">
        <f>yrSales!S28</f>
        <v>7.4821080026024722E-2</v>
      </c>
      <c r="T26" s="1229">
        <f>yrSales!T28</f>
        <v>8.6561743341404318E-2</v>
      </c>
      <c r="U26" s="1229">
        <f>yrSales!U28</f>
        <v>6.8077994428969335E-2</v>
      </c>
      <c r="V26" s="1229">
        <f>yrSales!V28</f>
        <v>5.4297934487794519E-2</v>
      </c>
      <c r="W26" s="1229">
        <f>yrSales!W28</f>
        <v>4.1804779102557754E-2</v>
      </c>
      <c r="X26" s="1229">
        <f>yrSales!X28</f>
        <v>5.0170956406116574E-2</v>
      </c>
      <c r="Y26" s="1229">
        <f>yrSales!Y28</f>
        <v>5.3449094485518378E-2</v>
      </c>
      <c r="Z26" s="1229">
        <f>yrSales!Z28</f>
        <v>2.7750949713476025E-2</v>
      </c>
      <c r="AA26" s="1229">
        <f>yrSales!AA28</f>
        <v>2.6897214217099119E-2</v>
      </c>
      <c r="AB26" s="1229">
        <f>yrSales!AB28</f>
        <v>2.9243095945011621E-2</v>
      </c>
      <c r="AC26" s="1229">
        <f>yrSales!AC28</f>
        <v>2.8412234252746416E-2</v>
      </c>
      <c r="AD26" s="1229">
        <f>yrSales!AD28</f>
        <v>1.7367915465897887E-2</v>
      </c>
      <c r="AE26" s="1229">
        <f>yrSales!AE28</f>
        <v>1.533406352683464E-2</v>
      </c>
      <c r="AF26" s="1229">
        <f>yrSales!AI28</f>
        <v>0</v>
      </c>
      <c r="AG26" s="1229">
        <f>yrSales!AJ28</f>
        <v>0</v>
      </c>
      <c r="AH26" s="1229">
        <f>yrSales!AK28</f>
        <v>0</v>
      </c>
      <c r="AI26" s="211"/>
      <c r="AJ26" s="239"/>
      <c r="AK26" s="576"/>
      <c r="AL26" s="239"/>
      <c r="AM26" s="625"/>
    </row>
    <row r="27" spans="1:39">
      <c r="A27" s="124"/>
      <c r="B27" s="122"/>
      <c r="C27" s="122"/>
      <c r="D27" s="122"/>
      <c r="E27" s="122"/>
      <c r="F27" s="122"/>
      <c r="G27" s="122"/>
      <c r="H27" s="122"/>
      <c r="I27" s="122"/>
      <c r="J27" s="122"/>
      <c r="K27" s="122"/>
      <c r="L27" s="122"/>
      <c r="M27" s="1229"/>
      <c r="N27" s="1229"/>
      <c r="O27" s="1229"/>
      <c r="P27" s="1229"/>
      <c r="Q27" s="1229"/>
      <c r="R27" s="1229"/>
      <c r="S27" s="1229"/>
      <c r="T27" s="1229"/>
      <c r="U27" s="1229"/>
      <c r="V27" s="1229"/>
      <c r="W27" s="1229"/>
      <c r="X27" s="1229"/>
      <c r="Y27" s="1229"/>
      <c r="Z27" s="1229"/>
      <c r="AA27" s="1229">
        <f t="shared" ref="AA27:AF27" si="14">AA14/Z14-1</f>
        <v>2.3547983710730414E-2</v>
      </c>
      <c r="AB27" s="1229">
        <f t="shared" si="14"/>
        <v>2.7723360047491985E-2</v>
      </c>
      <c r="AC27" s="1229">
        <f t="shared" si="14"/>
        <v>4.5748613678373351E-2</v>
      </c>
      <c r="AD27" s="1229">
        <f t="shared" si="14"/>
        <v>8.0352354457691177E-2</v>
      </c>
      <c r="AE27" s="1229">
        <f t="shared" si="14"/>
        <v>5.1882716300755138E-2</v>
      </c>
      <c r="AF27" s="1229">
        <f t="shared" si="14"/>
        <v>4.8061601077056926E-2</v>
      </c>
      <c r="AG27" s="1229">
        <f>AG14/AF14-1</f>
        <v>3.59659980278908E-2</v>
      </c>
      <c r="AH27" s="1229">
        <f>AH14/AG14-1</f>
        <v>3.4291223198884779E-2</v>
      </c>
      <c r="AI27" s="211"/>
      <c r="AJ27" s="239"/>
      <c r="AK27" s="576"/>
      <c r="AL27" s="239"/>
      <c r="AM27" s="625"/>
    </row>
    <row r="28" spans="1:39">
      <c r="A28" s="124" t="s">
        <v>1903</v>
      </c>
      <c r="B28" s="122">
        <f>'qtrP&amp;L'!F44</f>
        <v>0</v>
      </c>
      <c r="C28" s="122">
        <f>'qtrP&amp;L'!J44</f>
        <v>8.1340000000000003</v>
      </c>
      <c r="D28" s="122">
        <f>'qtrP&amp;L'!N44</f>
        <v>11.425000000000001</v>
      </c>
      <c r="E28" s="122">
        <f>'qtrP&amp;L'!R44</f>
        <v>13.587</v>
      </c>
      <c r="F28" s="122">
        <f>'qtrP&amp;L'!V44</f>
        <v>16.501000000000001</v>
      </c>
      <c r="G28" s="122">
        <f>'qtrP&amp;L'!Z44</f>
        <v>18.79</v>
      </c>
      <c r="H28" s="122">
        <f>'qtrP&amp;L'!AD44</f>
        <v>20.827999999999999</v>
      </c>
      <c r="I28" s="122">
        <f>'qtrP&amp;L'!AH44</f>
        <v>22.058</v>
      </c>
      <c r="J28" s="122">
        <f>+flow!T11</f>
        <v>29.652000000000001</v>
      </c>
      <c r="K28" s="122">
        <f>+flow!V11</f>
        <v>41.542999999999999</v>
      </c>
      <c r="L28" s="122">
        <f>+flow!X11</f>
        <v>47.508000000000003</v>
      </c>
      <c r="M28" s="122">
        <f>+flow!Z11</f>
        <v>65.159000000000006</v>
      </c>
      <c r="N28" s="122">
        <f>+flow!AB11</f>
        <v>78.007999999999996</v>
      </c>
      <c r="O28" s="122">
        <f>+flow!AD11</f>
        <v>89.307000000000002</v>
      </c>
      <c r="P28" s="122">
        <f>+flow!AF11</f>
        <v>106.83199999999999</v>
      </c>
      <c r="Q28" s="122">
        <f>+flow!AH11</f>
        <v>109.449</v>
      </c>
      <c r="R28" s="122">
        <f>flow!AJ11</f>
        <v>115.297</v>
      </c>
      <c r="S28" s="122">
        <f>flow!$AL$11</f>
        <v>128.07599999999999</v>
      </c>
      <c r="T28" s="122">
        <f>flow!$AN$11</f>
        <v>135.83199999999999</v>
      </c>
      <c r="U28" s="122">
        <f>flow!AP11</f>
        <v>139.41900000000001</v>
      </c>
      <c r="V28" s="122">
        <f>+flow!AR11</f>
        <v>147.87</v>
      </c>
      <c r="W28" s="122">
        <f>+flow!AT11</f>
        <v>145.934</v>
      </c>
      <c r="X28" s="122">
        <f>flow!AV11</f>
        <v>163.649</v>
      </c>
      <c r="Y28" s="122">
        <f>flow!AX11</f>
        <v>180.62899999999999</v>
      </c>
      <c r="Z28" s="122">
        <f>flow!AZ11</f>
        <v>194.15799999999999</v>
      </c>
      <c r="AA28" s="122">
        <f>flow!BB11</f>
        <v>202.5</v>
      </c>
      <c r="AB28" s="122">
        <f>flow!BD11</f>
        <v>208.5</v>
      </c>
      <c r="AC28" s="122">
        <f>+flow!BF11</f>
        <v>206.9</v>
      </c>
      <c r="AD28" s="122">
        <f t="shared" ref="AD28:AH28" si="15">+AD7*AD29</f>
        <v>210.46173284360725</v>
      </c>
      <c r="AE28" s="122">
        <f t="shared" si="15"/>
        <v>217.29269674565469</v>
      </c>
      <c r="AF28" s="122">
        <f t="shared" si="15"/>
        <v>228.86761198250457</v>
      </c>
      <c r="AG28" s="122">
        <f t="shared" si="15"/>
        <v>202.88609111139425</v>
      </c>
      <c r="AH28" s="122">
        <f t="shared" si="15"/>
        <v>248.14354246405523</v>
      </c>
      <c r="AI28" s="211"/>
      <c r="AJ28" s="2399">
        <f>RATE(5,,-W28,AB28)*100</f>
        <v>7.3964471829771448</v>
      </c>
      <c r="AK28" s="623" t="s">
        <v>1970</v>
      </c>
      <c r="AL28" s="2399">
        <f>RATE(6,,-AB28,AH28)*100</f>
        <v>2.9436319300994684</v>
      </c>
      <c r="AM28" s="624" t="s">
        <v>1970</v>
      </c>
    </row>
    <row r="29" spans="1:39">
      <c r="A29" s="124" t="s">
        <v>332</v>
      </c>
      <c r="B29" s="203"/>
      <c r="C29" s="203">
        <f t="shared" ref="C29:AC29" si="16">+C28/C7</f>
        <v>1.6535679581058171E-2</v>
      </c>
      <c r="D29" s="203">
        <f t="shared" si="16"/>
        <v>2.3489091193184153E-2</v>
      </c>
      <c r="E29" s="203">
        <f t="shared" si="16"/>
        <v>2.398407063712156E-2</v>
      </c>
      <c r="F29" s="203">
        <f t="shared" si="16"/>
        <v>2.4165569518665674E-2</v>
      </c>
      <c r="G29" s="203">
        <f t="shared" si="16"/>
        <v>2.3391245026715069E-2</v>
      </c>
      <c r="H29" s="203">
        <f t="shared" si="16"/>
        <v>2.2587375882217698E-2</v>
      </c>
      <c r="I29" s="203">
        <f t="shared" si="16"/>
        <v>2.167615289067782E-2</v>
      </c>
      <c r="J29" s="203">
        <f t="shared" si="16"/>
        <v>2.5172994297618954E-2</v>
      </c>
      <c r="K29" s="203">
        <f t="shared" si="16"/>
        <v>2.822809151383783E-2</v>
      </c>
      <c r="L29" s="203">
        <f t="shared" si="16"/>
        <v>2.8481058189892907E-2</v>
      </c>
      <c r="M29" s="203">
        <f t="shared" si="16"/>
        <v>4.0558717986225012E-2</v>
      </c>
      <c r="N29" s="203">
        <f t="shared" si="16"/>
        <v>4.5709544463208178E-2</v>
      </c>
      <c r="O29" s="203">
        <f t="shared" si="16"/>
        <v>4.4652495318855324E-2</v>
      </c>
      <c r="P29" s="203">
        <f t="shared" si="16"/>
        <v>4.8453600298616985E-2</v>
      </c>
      <c r="Q29" s="203">
        <f t="shared" si="16"/>
        <v>4.5696036954632958E-2</v>
      </c>
      <c r="R29" s="203">
        <f t="shared" si="16"/>
        <v>4.5024981118694879E-2</v>
      </c>
      <c r="S29" s="203">
        <f t="shared" si="16"/>
        <v>4.3581483552137951E-2</v>
      </c>
      <c r="T29" s="203">
        <f t="shared" si="16"/>
        <v>4.7679439382573865E-2</v>
      </c>
      <c r="U29" s="203">
        <f t="shared" si="16"/>
        <v>5.1451251600712983E-2</v>
      </c>
      <c r="V29" s="203">
        <f t="shared" si="16"/>
        <v>4.7927423354044527E-2</v>
      </c>
      <c r="W29" s="203">
        <f t="shared" si="16"/>
        <v>4.0059435559824393E-2</v>
      </c>
      <c r="X29" s="203">
        <f t="shared" si="16"/>
        <v>4.3130801378612742E-2</v>
      </c>
      <c r="Y29" s="203">
        <f t="shared" si="16"/>
        <v>4.4808527633690795E-2</v>
      </c>
      <c r="Z29" s="203">
        <f t="shared" si="16"/>
        <v>4.5685170496431338E-2</v>
      </c>
      <c r="AA29" s="203">
        <f t="shared" si="16"/>
        <v>4.9333690647306735E-2</v>
      </c>
      <c r="AB29" s="203">
        <f t="shared" si="16"/>
        <v>5.2101554300564748E-2</v>
      </c>
      <c r="AC29" s="203">
        <f t="shared" si="16"/>
        <v>4.9618686747565831E-2</v>
      </c>
      <c r="AD29" s="206">
        <v>4.8000000000000001E-2</v>
      </c>
      <c r="AE29" s="206">
        <v>4.7E-2</v>
      </c>
      <c r="AF29" s="206">
        <v>4.7E-2</v>
      </c>
      <c r="AG29" s="206">
        <v>0.04</v>
      </c>
      <c r="AH29" s="206">
        <v>4.7E-2</v>
      </c>
      <c r="AI29" s="211"/>
      <c r="AJ29" s="239"/>
      <c r="AK29" s="576"/>
      <c r="AL29" s="239"/>
      <c r="AM29" s="625"/>
    </row>
    <row r="30" spans="1:39">
      <c r="A30" s="124"/>
      <c r="B30" s="122"/>
      <c r="C30" s="122"/>
      <c r="D30" s="122"/>
      <c r="E30" s="122"/>
      <c r="F30" s="122"/>
      <c r="G30" s="122"/>
      <c r="H30" s="122"/>
      <c r="I30" s="122"/>
      <c r="J30" s="122"/>
      <c r="K30" s="122"/>
      <c r="L30" s="122"/>
      <c r="M30" s="122"/>
      <c r="N30" s="122"/>
      <c r="O30" s="322"/>
      <c r="P30" s="322"/>
      <c r="Q30" s="322"/>
      <c r="R30" s="322"/>
      <c r="S30" s="322"/>
      <c r="T30" s="322"/>
      <c r="U30" s="122"/>
      <c r="V30" s="122"/>
      <c r="W30" s="122"/>
      <c r="X30" s="122"/>
      <c r="Y30" s="122"/>
      <c r="Z30" s="122"/>
      <c r="AA30" s="122"/>
      <c r="AB30" s="2177"/>
      <c r="AC30" s="122"/>
      <c r="AD30" s="122"/>
      <c r="AE30" s="122"/>
      <c r="AF30" s="122"/>
      <c r="AG30" s="122"/>
      <c r="AH30" s="122"/>
      <c r="AI30" s="211"/>
      <c r="AJ30" s="239"/>
      <c r="AK30" s="576"/>
      <c r="AL30" s="239"/>
      <c r="AM30" s="625"/>
    </row>
    <row r="31" spans="1:39">
      <c r="A31" s="124" t="s">
        <v>1902</v>
      </c>
      <c r="B31" s="122">
        <f t="shared" ref="B31:I31" si="17">B7-B11-B14-B28</f>
        <v>0</v>
      </c>
      <c r="C31" s="122">
        <f t="shared" si="17"/>
        <v>52.896999999999949</v>
      </c>
      <c r="D31" s="122">
        <f t="shared" si="17"/>
        <v>15.31600000000007</v>
      </c>
      <c r="E31" s="122">
        <f t="shared" si="17"/>
        <v>33.883999999999943</v>
      </c>
      <c r="F31" s="122">
        <f t="shared" si="17"/>
        <v>48.154000000000025</v>
      </c>
      <c r="G31" s="122">
        <f t="shared" si="17"/>
        <v>61.222999999999921</v>
      </c>
      <c r="H31" s="122">
        <f t="shared" si="17"/>
        <v>88.585000000000065</v>
      </c>
      <c r="I31" s="122">
        <f t="shared" si="17"/>
        <v>111.36400000000003</v>
      </c>
      <c r="J31" s="122">
        <f t="shared" ref="J31:AG31" si="18">J7-J11-J14</f>
        <v>161.12200000000007</v>
      </c>
      <c r="K31" s="122">
        <f t="shared" si="18"/>
        <v>256.88300000000004</v>
      </c>
      <c r="L31" s="122">
        <f t="shared" si="18"/>
        <v>327.39599999999996</v>
      </c>
      <c r="M31" s="122">
        <f t="shared" si="18"/>
        <v>309.89700000000005</v>
      </c>
      <c r="N31" s="122">
        <f t="shared" si="18"/>
        <v>319.19699999999989</v>
      </c>
      <c r="O31" s="122">
        <f t="shared" si="18"/>
        <v>355.51900000000001</v>
      </c>
      <c r="P31" s="122">
        <f t="shared" si="18"/>
        <v>294.52900000000011</v>
      </c>
      <c r="Q31" s="122">
        <f t="shared" si="18"/>
        <v>382.70500000000038</v>
      </c>
      <c r="R31" s="122">
        <f t="shared" si="18"/>
        <v>462.06599999999946</v>
      </c>
      <c r="S31" s="122">
        <f t="shared" si="18"/>
        <v>544.99999999999977</v>
      </c>
      <c r="T31" s="122">
        <f t="shared" si="18"/>
        <v>492.49799999999982</v>
      </c>
      <c r="U31" s="122">
        <f t="shared" si="18"/>
        <v>440.07600000000048</v>
      </c>
      <c r="V31" s="122">
        <f t="shared" si="18"/>
        <v>612.41599999999971</v>
      </c>
      <c r="W31" s="122">
        <f t="shared" si="18"/>
        <v>751.14400000000023</v>
      </c>
      <c r="X31" s="122">
        <f t="shared" si="18"/>
        <v>697.21699999999964</v>
      </c>
      <c r="Y31" s="122">
        <f t="shared" si="18"/>
        <v>793.94000000000028</v>
      </c>
      <c r="Z31" s="122">
        <f t="shared" si="18"/>
        <v>891.42899999999918</v>
      </c>
      <c r="AA31" s="122">
        <f t="shared" si="18"/>
        <v>806.80000000000132</v>
      </c>
      <c r="AB31" s="122">
        <f t="shared" si="18"/>
        <v>759.19999999999959</v>
      </c>
      <c r="AC31" s="122">
        <f t="shared" si="18"/>
        <v>794.40000000000009</v>
      </c>
      <c r="AD31" s="122">
        <f t="shared" si="18"/>
        <v>792.16077359147403</v>
      </c>
      <c r="AE31" s="122">
        <f t="shared" si="18"/>
        <v>846.05454264797481</v>
      </c>
      <c r="AF31" s="122">
        <f t="shared" si="18"/>
        <v>905.73140061161394</v>
      </c>
      <c r="AG31" s="122">
        <f t="shared" si="18"/>
        <v>956.6079195902239</v>
      </c>
      <c r="AH31" s="122">
        <f>AH7-AH11-AH14</f>
        <v>1015.8046291507285</v>
      </c>
      <c r="AI31" s="211"/>
      <c r="AJ31" s="2399">
        <f>RATE(5,,-W31,AB31)*100</f>
        <v>0.2135851602668033</v>
      </c>
      <c r="AK31" s="623" t="s">
        <v>1970</v>
      </c>
      <c r="AL31" s="2399">
        <f>RATE(6,,-AB31,AH31)*100</f>
        <v>4.9725300498399596</v>
      </c>
      <c r="AM31" s="624" t="s">
        <v>1970</v>
      </c>
    </row>
    <row r="32" spans="1:39">
      <c r="A32" s="124" t="s">
        <v>1983</v>
      </c>
      <c r="B32" s="203"/>
      <c r="C32" s="203">
        <f t="shared" ref="C32:AG32" si="19">C31/C$7</f>
        <v>0.10753477290376608</v>
      </c>
      <c r="D32" s="203">
        <f t="shared" si="19"/>
        <v>3.1488745795607009E-2</v>
      </c>
      <c r="E32" s="203">
        <f t="shared" si="19"/>
        <v>5.9812780559963613E-2</v>
      </c>
      <c r="F32" s="203">
        <f t="shared" si="19"/>
        <v>7.0521109908601137E-2</v>
      </c>
      <c r="G32" s="203">
        <f t="shared" si="19"/>
        <v>7.6215124761605899E-2</v>
      </c>
      <c r="H32" s="203">
        <f t="shared" si="19"/>
        <v>9.6067922629453448E-2</v>
      </c>
      <c r="I32" s="203">
        <f t="shared" si="19"/>
        <v>0.10943617238722665</v>
      </c>
      <c r="J32" s="203">
        <f t="shared" si="19"/>
        <v>0.13678413554637001</v>
      </c>
      <c r="K32" s="203">
        <f t="shared" si="19"/>
        <v>0.17454966738919203</v>
      </c>
      <c r="L32" s="203">
        <f t="shared" si="19"/>
        <v>0.19627398600526599</v>
      </c>
      <c r="M32" s="203">
        <f t="shared" si="19"/>
        <v>0.19289775821877522</v>
      </c>
      <c r="N32" s="203">
        <f t="shared" si="19"/>
        <v>0.18703657912038069</v>
      </c>
      <c r="O32" s="203">
        <f t="shared" si="19"/>
        <v>0.17775550050123873</v>
      </c>
      <c r="P32" s="203">
        <f t="shared" si="19"/>
        <v>0.13358348100149176</v>
      </c>
      <c r="Q32" s="203">
        <f t="shared" si="19"/>
        <v>0.15978311197656281</v>
      </c>
      <c r="R32" s="203">
        <f t="shared" si="19"/>
        <v>0.18044279491739459</v>
      </c>
      <c r="S32" s="203">
        <f t="shared" si="19"/>
        <v>0.1854516735056933</v>
      </c>
      <c r="T32" s="203">
        <f t="shared" si="19"/>
        <v>0.17287552665821646</v>
      </c>
      <c r="U32" s="203">
        <f t="shared" si="19"/>
        <v>0.16240584855317702</v>
      </c>
      <c r="V32" s="203">
        <f t="shared" si="19"/>
        <v>0.1984954412713229</v>
      </c>
      <c r="W32" s="203">
        <f t="shared" si="19"/>
        <v>0.20619187210758799</v>
      </c>
      <c r="X32" s="203">
        <f t="shared" si="19"/>
        <v>0.18375625848488059</v>
      </c>
      <c r="Y32" s="203">
        <f t="shared" si="19"/>
        <v>0.19695221935288623</v>
      </c>
      <c r="Z32" s="203">
        <f t="shared" si="19"/>
        <v>0.20975229375283666</v>
      </c>
      <c r="AA32" s="203">
        <f t="shared" si="19"/>
        <v>0.19655516846541798</v>
      </c>
      <c r="AB32" s="203">
        <f t="shared" si="19"/>
        <v>0.18971462841721218</v>
      </c>
      <c r="AC32" s="203">
        <f t="shared" si="19"/>
        <v>0.19051273442371339</v>
      </c>
      <c r="AD32" s="203">
        <f t="shared" si="19"/>
        <v>0.18066807974372201</v>
      </c>
      <c r="AE32" s="203">
        <f t="shared" si="19"/>
        <v>0.18300000000000002</v>
      </c>
      <c r="AF32" s="203">
        <f t="shared" si="19"/>
        <v>0.18600000000000003</v>
      </c>
      <c r="AG32" s="203">
        <f t="shared" si="19"/>
        <v>0.18860000000000002</v>
      </c>
      <c r="AH32" s="203">
        <f>AH31/AH$7</f>
        <v>0.19240000000000004</v>
      </c>
      <c r="AI32" s="211"/>
      <c r="AJ32" s="239"/>
      <c r="AK32" s="576"/>
      <c r="AL32" s="239"/>
      <c r="AM32" s="625"/>
    </row>
    <row r="33" spans="1:39">
      <c r="A33" s="124"/>
      <c r="B33" s="122"/>
      <c r="C33" s="122"/>
      <c r="D33" s="122"/>
      <c r="E33" s="122"/>
      <c r="F33" s="122"/>
      <c r="G33" s="122"/>
      <c r="H33" s="122"/>
      <c r="I33" s="122"/>
      <c r="J33" s="122"/>
      <c r="K33" s="122"/>
      <c r="L33" s="122"/>
      <c r="M33" s="242"/>
      <c r="N33" s="122"/>
      <c r="O33" s="122"/>
      <c r="P33" s="122"/>
      <c r="Q33" s="122"/>
      <c r="R33" s="122"/>
      <c r="S33" s="122"/>
      <c r="T33" s="122"/>
      <c r="U33" s="203"/>
      <c r="V33" s="203"/>
      <c r="W33" s="300"/>
      <c r="X33" s="126"/>
      <c r="Y33" s="1274"/>
      <c r="Z33" s="1274"/>
      <c r="AA33" s="1274"/>
      <c r="AB33" s="1274"/>
      <c r="AC33" s="1274"/>
      <c r="AD33" s="1274"/>
      <c r="AE33" s="1274"/>
      <c r="AF33" s="1274"/>
      <c r="AG33" s="1274"/>
      <c r="AH33" s="1274"/>
      <c r="AI33" s="211"/>
      <c r="AJ33" s="239"/>
      <c r="AK33" s="576"/>
      <c r="AL33" s="239"/>
      <c r="AM33" s="625"/>
    </row>
    <row r="34" spans="1:39">
      <c r="A34" s="124" t="s">
        <v>957</v>
      </c>
      <c r="B34" s="126">
        <f>'qtrP&amp;L'!F62</f>
        <v>0</v>
      </c>
      <c r="C34" s="126">
        <f>'qtrP&amp;L'!J62</f>
        <v>5.9619999999999997</v>
      </c>
      <c r="D34" s="126">
        <f>'qtrP&amp;L'!N62</f>
        <v>6.8159999999999998</v>
      </c>
      <c r="E34" s="126">
        <f>'qtrP&amp;L'!R62</f>
        <v>7.9710000000000001</v>
      </c>
      <c r="F34" s="126">
        <f>'qtrP&amp;L'!V62</f>
        <v>13.088999999999999</v>
      </c>
      <c r="G34" s="126">
        <f>'qtrP&amp;L'!Z62</f>
        <v>10.978</v>
      </c>
      <c r="H34" s="126">
        <f>'qtrP&amp;L'!AD62</f>
        <v>6.5269999999999992</v>
      </c>
      <c r="I34" s="126">
        <f>'qtrP&amp;L'!AH62</f>
        <v>5.6639999999999997</v>
      </c>
      <c r="J34" s="126">
        <f>'qtrP&amp;L'!AL62</f>
        <v>5.4740000000000002</v>
      </c>
      <c r="K34" s="126">
        <f>'qtrP&amp;L'!AP62</f>
        <v>8.8249999999999993</v>
      </c>
      <c r="L34" s="126">
        <f>'qtrP&amp;L'!AT62</f>
        <v>9.7550000000000008</v>
      </c>
      <c r="M34" s="126">
        <f>'qtrP&amp;L'!AX62</f>
        <v>20.585000000000001</v>
      </c>
      <c r="N34" s="126">
        <f>'qtrP&amp;L'!BB62</f>
        <v>19.559999999999999</v>
      </c>
      <c r="O34" s="126">
        <f>'qtrP&amp;L'!BF62</f>
        <v>12.834</v>
      </c>
      <c r="P34" s="126">
        <f>'qtrP&amp;L'!BJ62</f>
        <v>15.978</v>
      </c>
      <c r="Q34" s="126">
        <f>'qtrP&amp;L'!BN62</f>
        <v>14.731</v>
      </c>
      <c r="R34" s="126">
        <f>'qtrP&amp;L'!BR62</f>
        <v>10.488</v>
      </c>
      <c r="S34" s="126">
        <f>'qtrP&amp;L'!BV62</f>
        <v>8.1310000000000002</v>
      </c>
      <c r="T34" s="126">
        <f>'qtrP&amp;L'!$BZ$62</f>
        <v>28.9</v>
      </c>
      <c r="U34" s="126">
        <f>'qtrP&amp;L'!$CD$62</f>
        <v>50.517999999999994</v>
      </c>
      <c r="V34" s="126">
        <f>'qtrP&amp;L'!$CH$62</f>
        <v>47.347000000000001</v>
      </c>
      <c r="W34" s="126">
        <f>+'qtrP&amp;L'!CL62</f>
        <v>43.475000000000001</v>
      </c>
      <c r="X34" s="126">
        <f>+'qtrP&amp;L'!CP62</f>
        <v>53.641000000000005</v>
      </c>
      <c r="Y34" s="126">
        <f>'qtrP&amp;L'!CT62</f>
        <v>56.952000000000005</v>
      </c>
      <c r="Z34" s="126">
        <f>'qtrP&amp;L'!CX62</f>
        <v>60.113</v>
      </c>
      <c r="AA34" s="126">
        <f>'qtrP&amp;L'!DB62</f>
        <v>50.199999999999996</v>
      </c>
      <c r="AB34" s="126">
        <f>'qtrP&amp;L'!DF62</f>
        <v>44.599999999999994</v>
      </c>
      <c r="AC34" s="126">
        <f>'qtrP&amp;L'!DJ62</f>
        <v>34</v>
      </c>
      <c r="AD34" s="126">
        <f>'qtrP&amp;L'!DN62</f>
        <v>32.9</v>
      </c>
      <c r="AE34" s="300">
        <f>AD34</f>
        <v>32.9</v>
      </c>
      <c r="AF34" s="300">
        <f>AE34</f>
        <v>32.9</v>
      </c>
      <c r="AG34" s="300">
        <f>AF34</f>
        <v>32.9</v>
      </c>
      <c r="AH34" s="300">
        <f>AG34</f>
        <v>32.9</v>
      </c>
      <c r="AI34" s="211"/>
      <c r="AJ34" s="2399">
        <f>RATE(5,,-W34,AB34)*100</f>
        <v>0.51226358190774735</v>
      </c>
      <c r="AK34" s="623" t="s">
        <v>1970</v>
      </c>
      <c r="AL34" s="2399">
        <f>RATE(6,,-AB34,AH34)*100</f>
        <v>-4.9445898999652202</v>
      </c>
      <c r="AM34" s="624" t="s">
        <v>1970</v>
      </c>
    </row>
    <row r="35" spans="1:39">
      <c r="A35" s="124" t="s">
        <v>1983</v>
      </c>
      <c r="B35" s="203"/>
      <c r="C35" s="203">
        <f t="shared" ref="C35:AH35" si="20">C34/C$7</f>
        <v>1.2120201827178365E-2</v>
      </c>
      <c r="D35" s="203">
        <f t="shared" si="20"/>
        <v>1.4013273135469862E-2</v>
      </c>
      <c r="E35" s="203">
        <f t="shared" si="20"/>
        <v>1.4070584164899974E-2</v>
      </c>
      <c r="F35" s="203">
        <f t="shared" si="20"/>
        <v>1.9168725497231375E-2</v>
      </c>
      <c r="G35" s="203">
        <f t="shared" si="20"/>
        <v>1.3666263326411816E-2</v>
      </c>
      <c r="H35" s="203">
        <f t="shared" si="20"/>
        <v>7.0783465711174815E-3</v>
      </c>
      <c r="I35" s="203">
        <f t="shared" si="20"/>
        <v>5.5659502209084765E-3</v>
      </c>
      <c r="J35" s="203">
        <f t="shared" si="20"/>
        <v>4.6471391739230459E-3</v>
      </c>
      <c r="K35" s="203">
        <f t="shared" si="20"/>
        <v>5.9965074166434497E-3</v>
      </c>
      <c r="L35" s="203">
        <f t="shared" si="20"/>
        <v>5.8481250029975016E-3</v>
      </c>
      <c r="M35" s="203">
        <f t="shared" si="20"/>
        <v>1.2813290715732928E-2</v>
      </c>
      <c r="N35" s="203">
        <f t="shared" si="20"/>
        <v>1.1461371778540046E-2</v>
      </c>
      <c r="O35" s="203">
        <f t="shared" si="20"/>
        <v>6.4168556207485324E-3</v>
      </c>
      <c r="P35" s="203">
        <f t="shared" si="20"/>
        <v>7.2468139281423377E-3</v>
      </c>
      <c r="Q35" s="203">
        <f t="shared" si="20"/>
        <v>6.1503377863543571E-3</v>
      </c>
      <c r="R35" s="203">
        <f t="shared" si="20"/>
        <v>4.0957006858189883E-3</v>
      </c>
      <c r="S35" s="203">
        <f t="shared" si="20"/>
        <v>2.7668028573849413E-3</v>
      </c>
      <c r="T35" s="203">
        <f t="shared" si="20"/>
        <v>1.0144412201516467E-2</v>
      </c>
      <c r="U35" s="203">
        <f t="shared" si="20"/>
        <v>1.8643185852465001E-2</v>
      </c>
      <c r="V35" s="203">
        <f t="shared" si="20"/>
        <v>1.5346045266409319E-2</v>
      </c>
      <c r="W35" s="203">
        <f t="shared" si="20"/>
        <v>1.1934052112347812E-2</v>
      </c>
      <c r="X35" s="203">
        <f t="shared" si="20"/>
        <v>1.4137448543835687E-2</v>
      </c>
      <c r="Y35" s="203">
        <f t="shared" si="20"/>
        <v>1.4128048462837965E-2</v>
      </c>
      <c r="Z35" s="203">
        <f t="shared" si="20"/>
        <v>1.414452484086145E-2</v>
      </c>
      <c r="AA35" s="203">
        <f t="shared" si="20"/>
        <v>1.2229882817258262E-2</v>
      </c>
      <c r="AB35" s="203">
        <f t="shared" si="20"/>
        <v>1.1144984756859412E-2</v>
      </c>
      <c r="AC35" s="203">
        <f t="shared" si="20"/>
        <v>8.1538682910451341E-3</v>
      </c>
      <c r="AD35" s="203">
        <f t="shared" si="20"/>
        <v>7.5035018417029444E-3</v>
      </c>
      <c r="AE35" s="203">
        <f t="shared" si="20"/>
        <v>7.1162078760979896E-3</v>
      </c>
      <c r="AF35" s="203">
        <f t="shared" si="20"/>
        <v>6.75630766016034E-3</v>
      </c>
      <c r="AG35" s="203">
        <f t="shared" si="20"/>
        <v>6.4863983173565733E-3</v>
      </c>
      <c r="AH35" s="203">
        <f t="shared" si="20"/>
        <v>6.2314738664778629E-3</v>
      </c>
      <c r="AI35" s="211"/>
      <c r="AJ35" s="239"/>
      <c r="AK35" s="576"/>
      <c r="AL35" s="239"/>
      <c r="AM35" s="625"/>
    </row>
    <row r="36" spans="1:39" hidden="1" outlineLevel="1">
      <c r="A36" s="124"/>
      <c r="B36" s="203"/>
      <c r="C36" s="203"/>
      <c r="D36" s="203"/>
      <c r="E36" s="203"/>
      <c r="F36" s="203"/>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c r="AG36" s="203"/>
      <c r="AH36" s="203"/>
      <c r="AI36" s="211"/>
      <c r="AJ36" s="239"/>
      <c r="AK36" s="576"/>
      <c r="AL36" s="239"/>
      <c r="AM36" s="625"/>
    </row>
    <row r="37" spans="1:39" hidden="1" outlineLevel="1">
      <c r="A37" s="124" t="s">
        <v>2438</v>
      </c>
      <c r="B37" s="203"/>
      <c r="C37" s="203"/>
      <c r="D37" s="203"/>
      <c r="E37" s="203"/>
      <c r="F37" s="203"/>
      <c r="G37" s="203"/>
      <c r="H37" s="203"/>
      <c r="I37" s="203"/>
      <c r="J37" s="203"/>
      <c r="K37" s="203"/>
      <c r="L37" s="203"/>
      <c r="M37" s="203"/>
      <c r="N37" s="203"/>
      <c r="O37" s="203"/>
      <c r="P37" s="203"/>
      <c r="Q37" s="203"/>
      <c r="R37" s="203"/>
      <c r="S37" s="203"/>
      <c r="T37" s="203"/>
      <c r="U37" s="203"/>
      <c r="V37" s="203"/>
      <c r="W37" s="203"/>
      <c r="X37" s="203"/>
      <c r="Y37" s="203"/>
      <c r="Z37" s="1994">
        <f>'qtrP&amp;L'!CX92-'qtrP&amp;L'!CX72</f>
        <v>-32.822999999999993</v>
      </c>
      <c r="AA37" s="203"/>
      <c r="AB37" s="203"/>
      <c r="AC37" s="203"/>
      <c r="AD37" s="203"/>
      <c r="AE37" s="203"/>
      <c r="AF37" s="203"/>
      <c r="AG37" s="203"/>
      <c r="AH37" s="203"/>
      <c r="AI37" s="211"/>
      <c r="AJ37" s="239"/>
      <c r="AK37" s="576"/>
      <c r="AL37" s="239"/>
      <c r="AM37" s="625"/>
    </row>
    <row r="38" spans="1:39" hidden="1" outlineLevel="1">
      <c r="A38" s="124" t="s">
        <v>1983</v>
      </c>
      <c r="B38" s="203"/>
      <c r="C38" s="203"/>
      <c r="D38" s="203"/>
      <c r="E38" s="203"/>
      <c r="F38" s="203"/>
      <c r="G38" s="203"/>
      <c r="H38" s="203"/>
      <c r="I38" s="203"/>
      <c r="J38" s="203"/>
      <c r="K38" s="203"/>
      <c r="L38" s="203"/>
      <c r="M38" s="203"/>
      <c r="N38" s="203"/>
      <c r="O38" s="203"/>
      <c r="P38" s="203"/>
      <c r="Q38" s="203"/>
      <c r="R38" s="203"/>
      <c r="S38" s="203"/>
      <c r="T38" s="203"/>
      <c r="U38" s="203"/>
      <c r="V38" s="203"/>
      <c r="W38" s="203"/>
      <c r="X38" s="203"/>
      <c r="Y38" s="203"/>
      <c r="Z38" s="203">
        <f>Z37/Z7</f>
        <v>-7.7232169223228793E-3</v>
      </c>
      <c r="AA38" s="203"/>
      <c r="AB38" s="203"/>
      <c r="AC38" s="203"/>
      <c r="AD38" s="203"/>
      <c r="AE38" s="203"/>
      <c r="AF38" s="203"/>
      <c r="AG38" s="203"/>
      <c r="AH38" s="203"/>
      <c r="AI38" s="211"/>
      <c r="AJ38" s="239"/>
      <c r="AK38" s="576"/>
      <c r="AL38" s="239"/>
      <c r="AM38" s="625"/>
    </row>
    <row r="39" spans="1:39" collapsed="1">
      <c r="A39" s="124"/>
      <c r="B39" s="122"/>
      <c r="C39" s="122"/>
      <c r="D39" s="122"/>
      <c r="E39" s="122"/>
      <c r="F39" s="122"/>
      <c r="G39" s="122"/>
      <c r="H39" s="122"/>
      <c r="I39" s="122"/>
      <c r="J39" s="122"/>
      <c r="K39" s="122"/>
      <c r="L39" s="122"/>
      <c r="M39" s="122"/>
      <c r="N39" s="122"/>
      <c r="O39" s="122"/>
      <c r="P39" s="290"/>
      <c r="Q39" s="122"/>
      <c r="R39" s="122"/>
      <c r="S39" s="122"/>
      <c r="T39" s="122"/>
      <c r="U39" s="122"/>
      <c r="V39" s="122"/>
      <c r="W39" s="122"/>
      <c r="X39" s="122"/>
      <c r="Y39" s="122"/>
      <c r="Z39" s="122"/>
      <c r="AA39" s="122"/>
      <c r="AB39" s="122"/>
      <c r="AC39" s="122"/>
      <c r="AD39" s="122"/>
      <c r="AE39" s="122"/>
      <c r="AF39" s="122"/>
      <c r="AG39" s="122"/>
      <c r="AH39" s="122"/>
      <c r="AI39" s="211"/>
      <c r="AJ39" s="239"/>
      <c r="AK39" s="576"/>
      <c r="AL39" s="239"/>
      <c r="AM39" s="625"/>
    </row>
    <row r="40" spans="1:39">
      <c r="A40" s="124" t="s">
        <v>1897</v>
      </c>
      <c r="B40" s="122">
        <f t="shared" ref="B40:O40" si="21">B31-B34</f>
        <v>0</v>
      </c>
      <c r="C40" s="122">
        <f t="shared" si="21"/>
        <v>46.934999999999945</v>
      </c>
      <c r="D40" s="122">
        <f t="shared" si="21"/>
        <v>8.5000000000000711</v>
      </c>
      <c r="E40" s="122">
        <f t="shared" si="21"/>
        <v>25.912999999999943</v>
      </c>
      <c r="F40" s="122">
        <f t="shared" si="21"/>
        <v>35.065000000000026</v>
      </c>
      <c r="G40" s="122">
        <f t="shared" si="21"/>
        <v>50.244999999999919</v>
      </c>
      <c r="H40" s="122">
        <f t="shared" si="21"/>
        <v>82.058000000000064</v>
      </c>
      <c r="I40" s="122">
        <f t="shared" si="21"/>
        <v>105.70000000000003</v>
      </c>
      <c r="J40" s="122">
        <f t="shared" si="21"/>
        <v>155.64800000000008</v>
      </c>
      <c r="K40" s="122">
        <f t="shared" si="21"/>
        <v>248.05800000000005</v>
      </c>
      <c r="L40" s="122">
        <f t="shared" si="21"/>
        <v>317.64099999999996</v>
      </c>
      <c r="M40" s="122">
        <f t="shared" si="21"/>
        <v>289.31200000000007</v>
      </c>
      <c r="N40" s="122">
        <f t="shared" si="21"/>
        <v>299.63699999999989</v>
      </c>
      <c r="O40" s="122">
        <f t="shared" si="21"/>
        <v>342.685</v>
      </c>
      <c r="P40" s="128">
        <v>472.14800000000002</v>
      </c>
      <c r="Q40" s="122">
        <f t="shared" ref="Q40:Y40" si="22">Q31-Q34</f>
        <v>367.97400000000039</v>
      </c>
      <c r="R40" s="122">
        <f t="shared" si="22"/>
        <v>451.57799999999946</v>
      </c>
      <c r="S40" s="122">
        <f t="shared" si="22"/>
        <v>536.8689999999998</v>
      </c>
      <c r="T40" s="122">
        <f t="shared" si="22"/>
        <v>463.59799999999984</v>
      </c>
      <c r="U40" s="122">
        <f t="shared" si="22"/>
        <v>389.5580000000005</v>
      </c>
      <c r="V40" s="122">
        <f t="shared" si="22"/>
        <v>565.06899999999973</v>
      </c>
      <c r="W40" s="122">
        <f t="shared" si="22"/>
        <v>707.66900000000021</v>
      </c>
      <c r="X40" s="122">
        <f t="shared" si="22"/>
        <v>643.57599999999968</v>
      </c>
      <c r="Y40" s="122">
        <f t="shared" si="22"/>
        <v>736.98800000000028</v>
      </c>
      <c r="Z40" s="122">
        <f>Z31-Z34+Z37</f>
        <v>798.49299999999914</v>
      </c>
      <c r="AA40" s="122">
        <f t="shared" ref="AA40:AG40" si="23">AA31-AA34</f>
        <v>756.60000000000127</v>
      </c>
      <c r="AB40" s="122">
        <f t="shared" si="23"/>
        <v>714.59999999999957</v>
      </c>
      <c r="AC40" s="122">
        <f t="shared" si="23"/>
        <v>760.40000000000009</v>
      </c>
      <c r="AD40" s="122">
        <f t="shared" si="23"/>
        <v>759.26077359147405</v>
      </c>
      <c r="AE40" s="122">
        <f t="shared" si="23"/>
        <v>813.15454264797484</v>
      </c>
      <c r="AF40" s="122">
        <f t="shared" si="23"/>
        <v>872.83140061161396</v>
      </c>
      <c r="AG40" s="122">
        <f t="shared" si="23"/>
        <v>923.70791959022392</v>
      </c>
      <c r="AH40" s="122">
        <f>AH31-AH34</f>
        <v>982.90462915072851</v>
      </c>
      <c r="AI40" s="211"/>
      <c r="AJ40" s="2399">
        <f>RATE(5,,-W40,AB40)*100</f>
        <v>0.19511961784421181</v>
      </c>
      <c r="AK40" s="623" t="s">
        <v>1970</v>
      </c>
      <c r="AL40" s="2399">
        <f>RATE(6,,-AB40,AH40)*100</f>
        <v>5.4568338039080881</v>
      </c>
      <c r="AM40" s="624" t="s">
        <v>1970</v>
      </c>
    </row>
    <row r="41" spans="1:39">
      <c r="A41" s="124" t="s">
        <v>1992</v>
      </c>
      <c r="B41" s="203"/>
      <c r="C41" s="203">
        <f t="shared" ref="C41:AG41" si="24">C40/C$7</f>
        <v>9.5414571076587698E-2</v>
      </c>
      <c r="D41" s="203">
        <f t="shared" si="24"/>
        <v>1.7475472660137152E-2</v>
      </c>
      <c r="E41" s="203">
        <f t="shared" si="24"/>
        <v>4.5742196395063633E-2</v>
      </c>
      <c r="F41" s="203">
        <f t="shared" si="24"/>
        <v>5.1352384411369759E-2</v>
      </c>
      <c r="G41" s="203">
        <f t="shared" si="24"/>
        <v>6.2548861435194086E-2</v>
      </c>
      <c r="H41" s="203">
        <f t="shared" si="24"/>
        <v>8.8989576058335962E-2</v>
      </c>
      <c r="I41" s="203">
        <f t="shared" si="24"/>
        <v>0.10387022216631817</v>
      </c>
      <c r="J41" s="203">
        <f t="shared" si="24"/>
        <v>0.13213699637244697</v>
      </c>
      <c r="K41" s="203">
        <f t="shared" si="24"/>
        <v>0.16855315997254861</v>
      </c>
      <c r="L41" s="203">
        <f t="shared" si="24"/>
        <v>0.19042586100226849</v>
      </c>
      <c r="M41" s="203">
        <f t="shared" si="24"/>
        <v>0.1800844675030423</v>
      </c>
      <c r="N41" s="203">
        <f t="shared" si="24"/>
        <v>0.17557520734184062</v>
      </c>
      <c r="O41" s="203">
        <f t="shared" si="24"/>
        <v>0.17133864488049019</v>
      </c>
      <c r="P41" s="203">
        <f t="shared" si="24"/>
        <v>0.21414248983255404</v>
      </c>
      <c r="Q41" s="203">
        <f t="shared" si="24"/>
        <v>0.15363277419020846</v>
      </c>
      <c r="R41" s="203">
        <f t="shared" si="24"/>
        <v>0.17634709423157563</v>
      </c>
      <c r="S41" s="203">
        <f t="shared" si="24"/>
        <v>0.18268487064830838</v>
      </c>
      <c r="T41" s="203">
        <f t="shared" si="24"/>
        <v>0.16273111445669999</v>
      </c>
      <c r="U41" s="203">
        <f t="shared" si="24"/>
        <v>0.14376266270071203</v>
      </c>
      <c r="V41" s="203">
        <f t="shared" si="24"/>
        <v>0.18314939600491359</v>
      </c>
      <c r="W41" s="203">
        <f t="shared" si="24"/>
        <v>0.19425781999524017</v>
      </c>
      <c r="X41" s="203">
        <f t="shared" si="24"/>
        <v>0.16961880994104492</v>
      </c>
      <c r="Y41" s="203">
        <f t="shared" si="24"/>
        <v>0.18282417089004827</v>
      </c>
      <c r="Z41" s="203">
        <f t="shared" si="24"/>
        <v>0.18788455198965232</v>
      </c>
      <c r="AA41" s="203">
        <f t="shared" si="24"/>
        <v>0.1843252856481597</v>
      </c>
      <c r="AB41" s="203">
        <f t="shared" si="24"/>
        <v>0.17856964366035274</v>
      </c>
      <c r="AC41" s="203">
        <f t="shared" si="24"/>
        <v>0.18235886613266825</v>
      </c>
      <c r="AD41" s="203">
        <f t="shared" si="24"/>
        <v>0.17316457790201908</v>
      </c>
      <c r="AE41" s="203">
        <f t="shared" si="24"/>
        <v>0.17588379212390204</v>
      </c>
      <c r="AF41" s="203">
        <f t="shared" si="24"/>
        <v>0.17924369233983969</v>
      </c>
      <c r="AG41" s="203">
        <f t="shared" si="24"/>
        <v>0.18211360168264346</v>
      </c>
      <c r="AH41" s="203">
        <f>AH40/AH$7</f>
        <v>0.18616852613352219</v>
      </c>
      <c r="AI41" s="211"/>
      <c r="AJ41" s="239"/>
      <c r="AK41" s="576"/>
      <c r="AL41" s="239"/>
      <c r="AM41" s="625"/>
    </row>
    <row r="42" spans="1:39">
      <c r="A42" s="124"/>
      <c r="B42" s="122"/>
      <c r="C42" s="122"/>
      <c r="D42" s="122"/>
      <c r="E42" s="122"/>
      <c r="F42" s="122"/>
      <c r="G42" s="122"/>
      <c r="H42" s="122"/>
      <c r="I42" s="122"/>
      <c r="J42" s="122"/>
      <c r="K42" s="122"/>
      <c r="L42" s="122"/>
      <c r="M42" s="122"/>
      <c r="N42" s="122"/>
      <c r="O42" s="122"/>
      <c r="P42" s="122"/>
      <c r="Q42" s="122"/>
      <c r="R42" s="290"/>
      <c r="S42" s="122"/>
      <c r="T42" s="122"/>
      <c r="U42" s="122"/>
      <c r="V42" s="203"/>
      <c r="W42" s="203"/>
      <c r="X42" s="122"/>
      <c r="Y42" s="122"/>
      <c r="Z42" s="122"/>
      <c r="AA42" s="122"/>
      <c r="AB42" s="122"/>
      <c r="AC42" s="122"/>
      <c r="AD42" s="122"/>
      <c r="AE42" s="122"/>
      <c r="AF42" s="122"/>
      <c r="AG42" s="122"/>
      <c r="AH42" s="122"/>
      <c r="AI42" s="211"/>
      <c r="AJ42" s="239"/>
      <c r="AK42" s="576"/>
      <c r="AL42" s="239"/>
      <c r="AM42" s="625"/>
    </row>
    <row r="43" spans="1:39">
      <c r="A43" s="124" t="s">
        <v>1898</v>
      </c>
      <c r="B43" s="126">
        <f>'qtrP&amp;L'!F102</f>
        <v>0</v>
      </c>
      <c r="C43" s="126">
        <f>'qtrP&amp;L'!J102</f>
        <v>23.260999999999996</v>
      </c>
      <c r="D43" s="126">
        <f>'qtrP&amp;L'!N102</f>
        <v>4.2130000000000001</v>
      </c>
      <c r="E43" s="126">
        <f>'qtrP&amp;L'!R102</f>
        <v>16.966999999999999</v>
      </c>
      <c r="F43" s="126">
        <f>'qtrP&amp;L'!V102</f>
        <v>22.225000000000001</v>
      </c>
      <c r="G43" s="126">
        <f>'qtrP&amp;L'!Z102</f>
        <v>29.82</v>
      </c>
      <c r="H43" s="126">
        <f>'qtrP&amp;L'!AD102</f>
        <v>44.447000000000003</v>
      </c>
      <c r="I43" s="126">
        <f>'qtrP&amp;L'!AH102</f>
        <v>54.936</v>
      </c>
      <c r="J43" s="126">
        <f>'qtrP&amp;L'!AL102</f>
        <v>65.585999999999999</v>
      </c>
      <c r="K43" s="126">
        <f>'qtrP&amp;L'!AP102</f>
        <v>102.37899999999999</v>
      </c>
      <c r="L43" s="126">
        <f>'qtrP&amp;L'!AT102</f>
        <v>127.057</v>
      </c>
      <c r="M43" s="126">
        <f>'qtrP&amp;L'!AX102</f>
        <v>115.72499999999999</v>
      </c>
      <c r="N43" s="126">
        <f>'qtrP&amp;L'!BB102</f>
        <v>109.74299999999999</v>
      </c>
      <c r="O43" s="126">
        <f>'qtrP&amp;L'!BF102</f>
        <v>127.16800000000001</v>
      </c>
      <c r="P43" s="126">
        <f>+'qtrP&amp;L'!BJ102</f>
        <v>167.84899999999999</v>
      </c>
      <c r="Q43" s="126">
        <f>'qtrP&amp;L'!BN102</f>
        <v>113.319</v>
      </c>
      <c r="R43" s="300">
        <v>163.91499999999999</v>
      </c>
      <c r="S43" s="126">
        <f>'qtrP&amp;L'!BV102</f>
        <v>195.779</v>
      </c>
      <c r="T43" s="126">
        <f>'qtrP&amp;L'!$BZ$102</f>
        <v>162.11892</v>
      </c>
      <c r="U43" s="126">
        <f>'qtrP&amp;L'!$CD$102</f>
        <v>134.31200000000001</v>
      </c>
      <c r="V43" s="126">
        <f>'qtrP&amp;L'!$CH$102</f>
        <v>188.72899999999998</v>
      </c>
      <c r="W43" s="126">
        <f>+'qtrP&amp;L'!CL102</f>
        <v>242.48500000000001</v>
      </c>
      <c r="X43" s="126">
        <f>+'qtrP&amp;L'!CP102</f>
        <v>227.41900000000001</v>
      </c>
      <c r="Y43" s="126">
        <f>'qtrP&amp;L'!CT102</f>
        <v>255.96600000000001</v>
      </c>
      <c r="Z43" s="126">
        <f>'qtrP&amp;L'!CX102</f>
        <v>253.358</v>
      </c>
      <c r="AA43" s="126">
        <f>'qtrP&amp;L'!DB102</f>
        <v>262.15699999999998</v>
      </c>
      <c r="AB43" s="126">
        <f>'qtrP&amp;L'!DF102</f>
        <v>244.5</v>
      </c>
      <c r="AC43" s="126">
        <f>'qtrP&amp;L'!DJ102</f>
        <v>244.2</v>
      </c>
      <c r="AD43" s="126">
        <f>'qtrP&amp;L'!DN102</f>
        <v>212.5930166056128</v>
      </c>
      <c r="AE43" s="126">
        <f>+AE44*AE40</f>
        <v>203.28863566199371</v>
      </c>
      <c r="AF43" s="126">
        <f>+AF44*AF40</f>
        <v>218.20785015290349</v>
      </c>
      <c r="AG43" s="126">
        <f>+AG44*AG40</f>
        <v>230.92697989755598</v>
      </c>
      <c r="AH43" s="126">
        <f>+AH44*AH40</f>
        <v>245.72615728768213</v>
      </c>
      <c r="AI43" s="211"/>
      <c r="AJ43" s="2399">
        <f>RATE(5,,-W43,AB43)*100</f>
        <v>0.16564616435587556</v>
      </c>
      <c r="AK43" s="623" t="s">
        <v>1970</v>
      </c>
      <c r="AL43" s="2399">
        <f>RATE(6,,-AB43,AH43)*100</f>
        <v>8.3408519126423192E-2</v>
      </c>
      <c r="AM43" s="624" t="s">
        <v>1970</v>
      </c>
    </row>
    <row r="44" spans="1:39">
      <c r="A44" s="124" t="s">
        <v>1993</v>
      </c>
      <c r="B44" s="204"/>
      <c r="C44" s="204">
        <f t="shared" ref="C44:AD44" si="25">C43/C40</f>
        <v>0.49560029828486252</v>
      </c>
      <c r="D44" s="204">
        <f t="shared" si="25"/>
        <v>0.49564705882352528</v>
      </c>
      <c r="E44" s="204">
        <f t="shared" si="25"/>
        <v>0.65476787712731199</v>
      </c>
      <c r="F44" s="204">
        <f t="shared" si="25"/>
        <v>0.63382290032796196</v>
      </c>
      <c r="G44" s="204">
        <f t="shared" si="25"/>
        <v>0.59349188974027367</v>
      </c>
      <c r="H44" s="204">
        <f t="shared" si="25"/>
        <v>0.54165346462258368</v>
      </c>
      <c r="I44" s="204">
        <f t="shared" si="25"/>
        <v>0.5197350993377482</v>
      </c>
      <c r="J44" s="204">
        <f t="shared" si="25"/>
        <v>0.4213738692434208</v>
      </c>
      <c r="K44" s="204">
        <f t="shared" si="25"/>
        <v>0.41272202468777452</v>
      </c>
      <c r="L44" s="204">
        <f t="shared" si="25"/>
        <v>0.40000188892491845</v>
      </c>
      <c r="M44" s="204">
        <f t="shared" si="25"/>
        <v>0.4000006912952106</v>
      </c>
      <c r="N44" s="204">
        <f t="shared" si="25"/>
        <v>0.36625316633126093</v>
      </c>
      <c r="O44" s="204">
        <f t="shared" si="25"/>
        <v>0.37109298627018983</v>
      </c>
      <c r="P44" s="204">
        <f t="shared" si="25"/>
        <v>0.35550081754026275</v>
      </c>
      <c r="Q44" s="204">
        <f t="shared" si="25"/>
        <v>0.30795382282443834</v>
      </c>
      <c r="R44" s="204">
        <f t="shared" si="25"/>
        <v>0.36298269623409507</v>
      </c>
      <c r="S44" s="204">
        <f t="shared" si="25"/>
        <v>0.36466810339207528</v>
      </c>
      <c r="T44" s="204">
        <f t="shared" si="25"/>
        <v>0.34969719455217679</v>
      </c>
      <c r="U44" s="204">
        <f t="shared" si="25"/>
        <v>0.34478049481720269</v>
      </c>
      <c r="V44" s="204">
        <f t="shared" si="25"/>
        <v>0.33399283981248323</v>
      </c>
      <c r="W44" s="204">
        <f t="shared" si="25"/>
        <v>0.34265313303253347</v>
      </c>
      <c r="X44" s="204">
        <f t="shared" si="25"/>
        <v>0.35336774522356351</v>
      </c>
      <c r="Y44" s="204">
        <f t="shared" si="25"/>
        <v>0.34731366046665607</v>
      </c>
      <c r="Z44" s="204">
        <f t="shared" si="25"/>
        <v>0.3172952048421217</v>
      </c>
      <c r="AA44" s="204">
        <f t="shared" si="25"/>
        <v>0.34649352365847153</v>
      </c>
      <c r="AB44" s="204">
        <f t="shared" si="25"/>
        <v>0.34214945424013454</v>
      </c>
      <c r="AC44" s="204">
        <f t="shared" si="25"/>
        <v>0.32114676486059962</v>
      </c>
      <c r="AD44" s="204">
        <f t="shared" si="25"/>
        <v>0.28000000000000008</v>
      </c>
      <c r="AE44" s="301">
        <v>0.25</v>
      </c>
      <c r="AF44" s="301">
        <v>0.25</v>
      </c>
      <c r="AG44" s="301">
        <v>0.25</v>
      </c>
      <c r="AH44" s="301">
        <v>0.25</v>
      </c>
      <c r="AI44" s="211"/>
      <c r="AJ44" s="239"/>
      <c r="AK44" s="576"/>
      <c r="AL44" s="239"/>
      <c r="AM44" s="625"/>
    </row>
    <row r="45" spans="1:39">
      <c r="A45" s="124"/>
      <c r="B45" s="122"/>
      <c r="C45" s="122"/>
      <c r="D45" s="122"/>
      <c r="E45" s="122"/>
      <c r="F45" s="122"/>
      <c r="G45" s="122"/>
      <c r="H45" s="122"/>
      <c r="I45" s="122"/>
      <c r="J45" s="122"/>
      <c r="K45" s="122"/>
      <c r="L45" s="122"/>
      <c r="M45" s="122"/>
      <c r="N45" s="122"/>
      <c r="O45" s="122"/>
      <c r="P45" s="122"/>
      <c r="Q45" s="122"/>
      <c r="R45" s="122"/>
      <c r="S45" s="122"/>
      <c r="T45" s="122"/>
      <c r="U45" s="122"/>
      <c r="V45" s="122"/>
      <c r="W45" s="122"/>
      <c r="X45" s="122"/>
      <c r="Y45" s="122"/>
      <c r="Z45" s="122"/>
      <c r="AA45" s="122"/>
      <c r="AB45" s="122"/>
      <c r="AC45" s="122"/>
      <c r="AD45" s="122"/>
      <c r="AE45" s="122"/>
      <c r="AF45" s="122"/>
      <c r="AG45" s="122"/>
      <c r="AH45" s="122"/>
      <c r="AI45" s="211"/>
      <c r="AJ45" s="239"/>
      <c r="AK45" s="240"/>
      <c r="AL45" s="239"/>
      <c r="AM45" s="626"/>
    </row>
    <row r="46" spans="1:39">
      <c r="A46" s="124" t="s">
        <v>1899</v>
      </c>
      <c r="B46" s="122">
        <f t="shared" ref="B46:AG46" si="26">B40-B43</f>
        <v>0</v>
      </c>
      <c r="C46" s="122">
        <f t="shared" si="26"/>
        <v>23.67399999999995</v>
      </c>
      <c r="D46" s="122">
        <f t="shared" si="26"/>
        <v>4.287000000000071</v>
      </c>
      <c r="E46" s="122">
        <f t="shared" si="26"/>
        <v>8.9459999999999447</v>
      </c>
      <c r="F46" s="122">
        <f t="shared" si="26"/>
        <v>12.840000000000025</v>
      </c>
      <c r="G46" s="122">
        <f t="shared" si="26"/>
        <v>20.424999999999919</v>
      </c>
      <c r="H46" s="122">
        <f t="shared" si="26"/>
        <v>37.611000000000061</v>
      </c>
      <c r="I46" s="122">
        <f t="shared" si="26"/>
        <v>50.764000000000031</v>
      </c>
      <c r="J46" s="122">
        <f t="shared" si="26"/>
        <v>90.062000000000083</v>
      </c>
      <c r="K46" s="122">
        <f t="shared" si="26"/>
        <v>145.67900000000006</v>
      </c>
      <c r="L46" s="122">
        <f t="shared" si="26"/>
        <v>190.58399999999995</v>
      </c>
      <c r="M46" s="122">
        <f t="shared" si="26"/>
        <v>173.58700000000007</v>
      </c>
      <c r="N46" s="122">
        <f t="shared" si="26"/>
        <v>189.89399999999989</v>
      </c>
      <c r="O46" s="122">
        <f t="shared" si="26"/>
        <v>215.517</v>
      </c>
      <c r="P46" s="122">
        <f t="shared" si="26"/>
        <v>304.29900000000004</v>
      </c>
      <c r="Q46" s="122">
        <f t="shared" si="26"/>
        <v>254.65500000000037</v>
      </c>
      <c r="R46" s="122">
        <f t="shared" si="26"/>
        <v>287.66299999999944</v>
      </c>
      <c r="S46" s="122">
        <f t="shared" si="26"/>
        <v>341.0899999999998</v>
      </c>
      <c r="T46" s="122">
        <f t="shared" si="26"/>
        <v>301.47907999999984</v>
      </c>
      <c r="U46" s="122">
        <f t="shared" si="26"/>
        <v>255.24600000000049</v>
      </c>
      <c r="V46" s="122">
        <f t="shared" si="26"/>
        <v>376.33999999999975</v>
      </c>
      <c r="W46" s="122">
        <f t="shared" si="26"/>
        <v>465.1840000000002</v>
      </c>
      <c r="X46" s="122">
        <f t="shared" si="26"/>
        <v>416.1569999999997</v>
      </c>
      <c r="Y46" s="122">
        <f t="shared" si="26"/>
        <v>481.02200000000028</v>
      </c>
      <c r="Z46" s="122">
        <f t="shared" si="26"/>
        <v>545.13499999999908</v>
      </c>
      <c r="AA46" s="122">
        <f t="shared" si="26"/>
        <v>494.44300000000129</v>
      </c>
      <c r="AB46" s="122">
        <f t="shared" si="26"/>
        <v>470.09999999999957</v>
      </c>
      <c r="AC46" s="122">
        <f t="shared" si="26"/>
        <v>516.20000000000005</v>
      </c>
      <c r="AD46" s="122">
        <f t="shared" si="26"/>
        <v>546.66775698586127</v>
      </c>
      <c r="AE46" s="122">
        <f t="shared" si="26"/>
        <v>609.86590698598116</v>
      </c>
      <c r="AF46" s="122">
        <f t="shared" si="26"/>
        <v>654.6235504587105</v>
      </c>
      <c r="AG46" s="122">
        <f t="shared" si="26"/>
        <v>692.78093969266797</v>
      </c>
      <c r="AH46" s="122">
        <f>AH40-AH43</f>
        <v>737.17847186304641</v>
      </c>
      <c r="AI46" s="211"/>
      <c r="AJ46" s="2399">
        <f>RATE(5,,-W46,AB46)*100</f>
        <v>0.21046941230596852</v>
      </c>
      <c r="AK46" s="623" t="s">
        <v>1970</v>
      </c>
      <c r="AL46" s="2399">
        <f>RATE(6,,-AB46,AH46)*100</f>
        <v>7.7863417042131209</v>
      </c>
      <c r="AM46" s="624" t="s">
        <v>1970</v>
      </c>
    </row>
    <row r="47" spans="1:39">
      <c r="A47" s="627" t="s">
        <v>1994</v>
      </c>
      <c r="B47" s="203"/>
      <c r="C47" s="203">
        <f t="shared" ref="C47:AG47" si="27">C46/C$7</f>
        <v>4.8127081190308618E-2</v>
      </c>
      <c r="D47" s="203">
        <f t="shared" si="27"/>
        <v>8.8138060345892451E-3</v>
      </c>
      <c r="E47" s="203">
        <f t="shared" si="27"/>
        <v>1.5791675566327237E-2</v>
      </c>
      <c r="F47" s="203">
        <f t="shared" si="27"/>
        <v>1.8804067184998958E-2</v>
      </c>
      <c r="G47" s="203">
        <f t="shared" si="27"/>
        <v>2.5426619460918221E-2</v>
      </c>
      <c r="H47" s="203">
        <f t="shared" si="27"/>
        <v>4.0788063871043369E-2</v>
      </c>
      <c r="I47" s="203">
        <f t="shared" si="27"/>
        <v>4.9885221930472824E-2</v>
      </c>
      <c r="J47" s="203">
        <f t="shared" si="27"/>
        <v>7.6457918940785116E-2</v>
      </c>
      <c r="K47" s="203">
        <f t="shared" si="27"/>
        <v>9.8987558521155983E-2</v>
      </c>
      <c r="L47" s="203">
        <f t="shared" si="27"/>
        <v>0.11425515690120712</v>
      </c>
      <c r="M47" s="203">
        <f t="shared" si="27"/>
        <v>0.10805055601029549</v>
      </c>
      <c r="N47" s="203">
        <f t="shared" si="27"/>
        <v>0.11127023172362385</v>
      </c>
      <c r="O47" s="203">
        <f t="shared" si="27"/>
        <v>0.1077560754883015</v>
      </c>
      <c r="P47" s="203">
        <f t="shared" si="27"/>
        <v>0.13801465962697368</v>
      </c>
      <c r="Q47" s="203">
        <f t="shared" si="27"/>
        <v>0.10632097406721004</v>
      </c>
      <c r="R47" s="203">
        <f t="shared" si="27"/>
        <v>0.11233615049435025</v>
      </c>
      <c r="S47" s="203">
        <f t="shared" si="27"/>
        <v>0.11606552535056315</v>
      </c>
      <c r="T47" s="203">
        <f t="shared" si="27"/>
        <v>0.10582450026484282</v>
      </c>
      <c r="U47" s="203">
        <f t="shared" si="27"/>
        <v>9.4196100718521941E-2</v>
      </c>
      <c r="V47" s="203">
        <f t="shared" si="27"/>
        <v>0.12197880912329143</v>
      </c>
      <c r="W47" s="203">
        <f t="shared" si="27"/>
        <v>0.12769476935780119</v>
      </c>
      <c r="X47" s="203">
        <f t="shared" si="27"/>
        <v>0.10968099352467371</v>
      </c>
      <c r="Y47" s="203">
        <f t="shared" si="27"/>
        <v>0.11932683887644414</v>
      </c>
      <c r="Z47" s="203">
        <f t="shared" si="27"/>
        <v>0.12826968457942531</v>
      </c>
      <c r="AA47" s="203">
        <f t="shared" si="27"/>
        <v>0.12045776792457456</v>
      </c>
      <c r="AB47" s="203">
        <f t="shared" si="27"/>
        <v>0.11747213753810776</v>
      </c>
      <c r="AC47" s="203">
        <f t="shared" si="27"/>
        <v>0.12379490623051466</v>
      </c>
      <c r="AD47" s="203">
        <f t="shared" si="27"/>
        <v>0.12467849608945374</v>
      </c>
      <c r="AE47" s="203">
        <f t="shared" si="27"/>
        <v>0.13191284409292656</v>
      </c>
      <c r="AF47" s="203">
        <f t="shared" si="27"/>
        <v>0.13443276925487976</v>
      </c>
      <c r="AG47" s="203">
        <f t="shared" si="27"/>
        <v>0.13658520126198259</v>
      </c>
      <c r="AH47" s="203">
        <f>AH46/AH$7</f>
        <v>0.13962639460014165</v>
      </c>
      <c r="AI47" s="211"/>
      <c r="AJ47" s="239"/>
      <c r="AK47" s="576"/>
      <c r="AL47" s="239"/>
      <c r="AM47" s="625"/>
    </row>
    <row r="48" spans="1:39">
      <c r="A48" s="627"/>
      <c r="B48" s="122"/>
      <c r="C48" s="122"/>
      <c r="D48" s="122"/>
      <c r="E48" s="122"/>
      <c r="F48" s="122"/>
      <c r="G48" s="122"/>
      <c r="H48" s="122"/>
      <c r="I48" s="122"/>
      <c r="J48" s="122"/>
      <c r="K48" s="122"/>
      <c r="L48" s="122"/>
      <c r="M48" s="122"/>
      <c r="N48" s="122"/>
      <c r="O48" s="122"/>
      <c r="P48" s="122"/>
      <c r="Q48" s="122"/>
      <c r="R48" s="122"/>
      <c r="S48" s="122"/>
      <c r="T48" s="122"/>
      <c r="U48" s="122"/>
      <c r="V48" s="1296"/>
      <c r="W48" s="1296"/>
      <c r="X48" s="1296"/>
      <c r="Y48" s="122"/>
      <c r="Z48" s="122"/>
      <c r="AA48" s="122"/>
      <c r="AB48" s="122"/>
      <c r="AC48" s="122"/>
      <c r="AD48" s="122"/>
      <c r="AE48" s="122"/>
      <c r="AF48" s="122"/>
      <c r="AG48" s="122"/>
      <c r="AH48" s="122"/>
      <c r="AI48" s="211"/>
      <c r="AJ48" s="239"/>
      <c r="AK48" s="576"/>
      <c r="AL48" s="239"/>
      <c r="AM48" s="625"/>
    </row>
    <row r="49" spans="1:39">
      <c r="A49" s="124" t="s">
        <v>1900</v>
      </c>
      <c r="B49" s="127"/>
      <c r="C49" s="127">
        <f t="shared" ref="C49:AG49" si="28">C46/C52</f>
        <v>1.4245998315080004</v>
      </c>
      <c r="D49" s="127">
        <f t="shared" si="28"/>
        <v>0.25702979794952163</v>
      </c>
      <c r="E49" s="127">
        <f t="shared" si="28"/>
        <v>0.53652392947102945</v>
      </c>
      <c r="F49" s="127">
        <f t="shared" si="28"/>
        <v>0.38234768626049742</v>
      </c>
      <c r="G49" s="127">
        <f t="shared" si="28"/>
        <v>0.5912406646210826</v>
      </c>
      <c r="H49" s="127">
        <f t="shared" si="28"/>
        <v>1.0538246007284973</v>
      </c>
      <c r="I49" s="127">
        <f t="shared" si="28"/>
        <v>1.4060491912253499</v>
      </c>
      <c r="J49" s="127">
        <f t="shared" si="28"/>
        <v>0.62570864828812855</v>
      </c>
      <c r="K49" s="127">
        <f t="shared" si="28"/>
        <v>0.97336068312108337</v>
      </c>
      <c r="L49" s="127">
        <f t="shared" si="28"/>
        <v>1.2553617537018493</v>
      </c>
      <c r="M49" s="127">
        <f t="shared" si="28"/>
        <v>1.1532717234598091</v>
      </c>
      <c r="N49" s="127">
        <f t="shared" si="28"/>
        <v>1.2779643450814644</v>
      </c>
      <c r="O49" s="127">
        <f t="shared" si="28"/>
        <v>1.4515666253569695</v>
      </c>
      <c r="P49" s="127">
        <f t="shared" si="28"/>
        <v>2.0547831430249914</v>
      </c>
      <c r="Q49" s="127">
        <f t="shared" si="28"/>
        <v>1.7492684334171398</v>
      </c>
      <c r="R49" s="127">
        <f t="shared" si="28"/>
        <v>2.0424663272768542</v>
      </c>
      <c r="S49" s="127">
        <f t="shared" si="28"/>
        <v>2.4691617199942075</v>
      </c>
      <c r="T49" s="127">
        <f t="shared" si="28"/>
        <v>2.3849306225773264</v>
      </c>
      <c r="U49" s="127">
        <f t="shared" si="28"/>
        <v>2.0357305216815718</v>
      </c>
      <c r="V49" s="127">
        <f t="shared" si="28"/>
        <v>2.9308599286637675</v>
      </c>
      <c r="W49" s="127">
        <f t="shared" si="28"/>
        <v>3.603765801394843</v>
      </c>
      <c r="X49" s="127">
        <f t="shared" si="28"/>
        <v>3.25296105149816</v>
      </c>
      <c r="Y49" s="127">
        <f t="shared" si="28"/>
        <v>3.7326939156379946</v>
      </c>
      <c r="Z49" s="127">
        <f t="shared" si="28"/>
        <v>4.1965742879137728</v>
      </c>
      <c r="AA49" s="127">
        <f t="shared" si="28"/>
        <v>3.8299225406661606</v>
      </c>
      <c r="AB49" s="127">
        <f t="shared" si="28"/>
        <v>3.7458167330677257</v>
      </c>
      <c r="AC49" s="127">
        <f t="shared" si="28"/>
        <v>4.1262989608313356</v>
      </c>
      <c r="AD49" s="127">
        <f t="shared" si="28"/>
        <v>4.3988554173072725</v>
      </c>
      <c r="AE49" s="127">
        <f t="shared" si="28"/>
        <v>4.9471985965198222</v>
      </c>
      <c r="AF49" s="127">
        <f t="shared" si="28"/>
        <v>5.3457501197422577</v>
      </c>
      <c r="AG49" s="127">
        <f t="shared" si="28"/>
        <v>5.6954020564782768</v>
      </c>
      <c r="AH49" s="127">
        <f>AH46/AH52</f>
        <v>6.101437663319734</v>
      </c>
      <c r="AI49" s="212"/>
      <c r="AJ49" s="2399">
        <f>RATE(5,,-W49,AB49)*100</f>
        <v>0.77620345644632704</v>
      </c>
      <c r="AK49" s="623" t="s">
        <v>1970</v>
      </c>
      <c r="AL49" s="2399">
        <f>RATE(6,,-AB49,AH49)*100</f>
        <v>8.4711577442054242</v>
      </c>
      <c r="AM49" s="624" t="s">
        <v>1970</v>
      </c>
    </row>
    <row r="50" spans="1:39">
      <c r="A50" s="124" t="s">
        <v>1995</v>
      </c>
      <c r="B50" s="322">
        <f>0.72/1.24-1</f>
        <v>-0.41935483870967749</v>
      </c>
      <c r="C50" s="205"/>
      <c r="D50" s="205">
        <f t="shared" ref="D50:AH50" si="29">D49/C49-1</f>
        <v>-0.81957754573265351</v>
      </c>
      <c r="E50" s="205">
        <f t="shared" si="29"/>
        <v>1.0873997246669354</v>
      </c>
      <c r="F50" s="205">
        <f t="shared" si="29"/>
        <v>-0.2873613547163455</v>
      </c>
      <c r="G50" s="205">
        <f t="shared" si="29"/>
        <v>0.54634299060009028</v>
      </c>
      <c r="H50" s="205">
        <f t="shared" si="29"/>
        <v>0.78239533203264666</v>
      </c>
      <c r="I50" s="205">
        <f t="shared" si="29"/>
        <v>0.33423454932952179</v>
      </c>
      <c r="J50" s="205">
        <f t="shared" si="29"/>
        <v>-0.5549880813609136</v>
      </c>
      <c r="K50" s="205">
        <f t="shared" si="29"/>
        <v>0.55561328069236904</v>
      </c>
      <c r="L50" s="205">
        <f t="shared" si="29"/>
        <v>0.2897189864671017</v>
      </c>
      <c r="M50" s="205">
        <f t="shared" si="29"/>
        <v>-8.1323196234865391E-2</v>
      </c>
      <c r="N50" s="205">
        <f t="shared" si="29"/>
        <v>0.10812076554480843</v>
      </c>
      <c r="O50" s="205">
        <f t="shared" si="29"/>
        <v>0.13584281982799662</v>
      </c>
      <c r="P50" s="205">
        <f t="shared" si="29"/>
        <v>0.41556240487389196</v>
      </c>
      <c r="Q50" s="205">
        <f t="shared" si="29"/>
        <v>-0.14868464861848241</v>
      </c>
      <c r="R50" s="205">
        <f t="shared" si="29"/>
        <v>0.16761172171097938</v>
      </c>
      <c r="S50" s="205">
        <f t="shared" si="29"/>
        <v>0.20891183713478934</v>
      </c>
      <c r="T50" s="205">
        <f t="shared" si="29"/>
        <v>-3.4113236380919898E-2</v>
      </c>
      <c r="U50" s="205">
        <f t="shared" si="29"/>
        <v>-0.14641939584740793</v>
      </c>
      <c r="V50" s="205">
        <f t="shared" si="29"/>
        <v>0.43970918422090222</v>
      </c>
      <c r="W50" s="205">
        <f t="shared" si="29"/>
        <v>0.22959332383989617</v>
      </c>
      <c r="X50" s="205">
        <f t="shared" si="29"/>
        <v>-9.7343936656733798E-2</v>
      </c>
      <c r="Y50" s="205">
        <f t="shared" si="29"/>
        <v>0.14747574795551044</v>
      </c>
      <c r="Z50" s="205">
        <f t="shared" si="29"/>
        <v>0.12427495603975647</v>
      </c>
      <c r="AA50" s="205">
        <f t="shared" si="29"/>
        <v>-8.7369297453777306E-2</v>
      </c>
      <c r="AB50" s="205">
        <f t="shared" si="29"/>
        <v>-2.1960185018208178E-2</v>
      </c>
      <c r="AC50" s="205">
        <f t="shared" si="29"/>
        <v>0.10157523842657534</v>
      </c>
      <c r="AD50" s="205">
        <f t="shared" si="29"/>
        <v>6.6053492261022306E-2</v>
      </c>
      <c r="AE50" s="205">
        <f t="shared" si="29"/>
        <v>0.12465587685721524</v>
      </c>
      <c r="AF50" s="205">
        <f t="shared" si="29"/>
        <v>8.0561051966420383E-2</v>
      </c>
      <c r="AG50" s="205">
        <f t="shared" si="29"/>
        <v>6.5407459926854372E-2</v>
      </c>
      <c r="AH50" s="205">
        <f t="shared" si="29"/>
        <v>7.1291825022187671E-2</v>
      </c>
      <c r="AI50" s="212"/>
      <c r="AJ50" s="239"/>
      <c r="AK50" s="576"/>
      <c r="AL50" s="239"/>
      <c r="AM50" s="625"/>
    </row>
    <row r="51" spans="1:39">
      <c r="A51" s="829"/>
      <c r="B51" s="122"/>
      <c r="C51" s="122"/>
      <c r="D51" s="122"/>
      <c r="E51" s="122"/>
      <c r="F51" s="122"/>
      <c r="G51" s="122"/>
      <c r="H51" s="122"/>
      <c r="I51" s="122"/>
      <c r="J51" s="122"/>
      <c r="K51" s="122"/>
      <c r="L51" s="122"/>
      <c r="M51" s="122"/>
      <c r="N51" s="122"/>
      <c r="O51" s="122"/>
      <c r="P51" s="122"/>
      <c r="Q51" s="828"/>
      <c r="R51" s="828"/>
      <c r="S51" s="828"/>
      <c r="T51" s="828"/>
      <c r="U51" s="1495"/>
      <c r="V51" s="828"/>
      <c r="W51" s="1273"/>
      <c r="X51" s="828"/>
      <c r="Y51" s="828"/>
      <c r="Z51" s="828"/>
      <c r="AA51" s="828"/>
      <c r="AB51" s="127"/>
      <c r="AC51" s="2234"/>
      <c r="AD51" s="2234"/>
      <c r="AE51" s="2234"/>
      <c r="AF51" s="2234"/>
      <c r="AG51" s="2234"/>
      <c r="AH51" s="2389"/>
      <c r="AI51" s="211"/>
      <c r="AJ51" s="239"/>
      <c r="AK51" s="576"/>
      <c r="AL51" s="239"/>
      <c r="AM51" s="625"/>
    </row>
    <row r="52" spans="1:39">
      <c r="A52" s="124" t="s">
        <v>1901</v>
      </c>
      <c r="B52" s="293">
        <f>'qtrP&amp;L'!F172</f>
        <v>0</v>
      </c>
      <c r="C52" s="293">
        <f>'qtrP&amp;L'!J172</f>
        <v>16.617999999999999</v>
      </c>
      <c r="D52" s="293">
        <f>'qtrP&amp;L'!N172</f>
        <v>16.678999999999998</v>
      </c>
      <c r="E52" s="293">
        <f>'qtrP&amp;L'!R172</f>
        <v>16.673999999999999</v>
      </c>
      <c r="F52" s="293">
        <f>'qtrP&amp;L'!V172</f>
        <v>33.582000000000001</v>
      </c>
      <c r="G52" s="293">
        <f>'qtrP&amp;L'!Z172</f>
        <v>34.545999999999999</v>
      </c>
      <c r="H52" s="293">
        <f>'qtrP&amp;L'!AD172</f>
        <v>35.69</v>
      </c>
      <c r="I52" s="293">
        <f>'qtrP&amp;L'!AH172</f>
        <v>36.103999999999999</v>
      </c>
      <c r="J52" s="887">
        <f>'qtrP&amp;L'!AL172</f>
        <v>143.93600000000001</v>
      </c>
      <c r="K52" s="887">
        <f>'qtrP&amp;L'!AP172</f>
        <v>149.666</v>
      </c>
      <c r="L52" s="887">
        <f>'qtrP&amp;L'!AT172</f>
        <v>151.816</v>
      </c>
      <c r="M52" s="887">
        <f>'qtrP&amp;L'!AX172</f>
        <v>150.517</v>
      </c>
      <c r="N52" s="887">
        <f>'qtrP&amp;L'!BB172</f>
        <v>148.59100000000001</v>
      </c>
      <c r="O52" s="887">
        <f>'qtrP&amp;L'!BF172</f>
        <v>148.47200000000001</v>
      </c>
      <c r="P52" s="887">
        <f>'qtrP&amp;L'!BJ172</f>
        <v>148.09299999999999</v>
      </c>
      <c r="Q52" s="887">
        <f>+'qtrP&amp;L'!BN172</f>
        <v>145.578</v>
      </c>
      <c r="R52" s="887">
        <f>'qtrP&amp;L'!BR172</f>
        <v>140.84100000000001</v>
      </c>
      <c r="S52" s="887">
        <f>'qtrP&amp;L'!BV172</f>
        <v>138.13999999999999</v>
      </c>
      <c r="T52" s="887">
        <f>'qtrP&amp;L'!$BZ$172</f>
        <v>126.41</v>
      </c>
      <c r="U52" s="887">
        <f>'qtrP&amp;L'!$CD$172</f>
        <v>125.383</v>
      </c>
      <c r="V52" s="887">
        <f>'qtrP&amp;L'!$CH$172</f>
        <v>128.40600000000001</v>
      </c>
      <c r="W52" s="887">
        <f>+'qtrP&amp;L'!CL172</f>
        <v>129.08275</v>
      </c>
      <c r="X52" s="887">
        <f>+'qtrP&amp;L'!CP172</f>
        <v>127.93174999999999</v>
      </c>
      <c r="Y52" s="887">
        <f>'qtrP&amp;L'!CT172</f>
        <v>128.86724999999998</v>
      </c>
      <c r="Z52" s="887">
        <f>'qtrP&amp;L'!CX172</f>
        <v>129.9</v>
      </c>
      <c r="AA52" s="887">
        <f>'qtrP&amp;L'!DB172</f>
        <v>129.1</v>
      </c>
      <c r="AB52" s="887">
        <f>'qtrP&amp;L'!DF172</f>
        <v>125.5</v>
      </c>
      <c r="AC52" s="887">
        <f>'qtrP&amp;L'!DJ172</f>
        <v>125.1</v>
      </c>
      <c r="AD52" s="887">
        <f>'qtrP&amp;L'!DN172</f>
        <v>124.27500000000001</v>
      </c>
      <c r="AE52" s="887">
        <f>+AD52-(200/100)+1</f>
        <v>123.27500000000001</v>
      </c>
      <c r="AF52" s="887">
        <f>+AE52-(200/110)+1</f>
        <v>122.45681818181819</v>
      </c>
      <c r="AG52" s="887">
        <f>+AF52-(200/110)+1</f>
        <v>121.63863636363638</v>
      </c>
      <c r="AH52" s="887">
        <f>+AG52-(200/110)+1</f>
        <v>120.82045454545457</v>
      </c>
      <c r="AI52" s="224"/>
      <c r="AJ52" s="241">
        <f>RATE(5,,-W52,AB52)*100</f>
        <v>-0.56137661941671202</v>
      </c>
      <c r="AK52" s="1746" t="s">
        <v>1970</v>
      </c>
      <c r="AL52" s="241">
        <f>RATE(6,,-AB52,AH52)*100</f>
        <v>-0.63133468297772688</v>
      </c>
      <c r="AM52" s="628" t="s">
        <v>1970</v>
      </c>
    </row>
    <row r="53" spans="1:39">
      <c r="A53" s="627"/>
      <c r="B53" s="122"/>
      <c r="C53" s="122"/>
      <c r="D53" s="122"/>
      <c r="E53" s="122"/>
      <c r="F53" s="122"/>
      <c r="G53" s="122"/>
      <c r="H53" s="122"/>
      <c r="I53" s="122"/>
      <c r="J53" s="122"/>
      <c r="K53" s="122"/>
      <c r="L53" s="122"/>
      <c r="M53" s="122"/>
      <c r="N53" s="322"/>
      <c r="O53" s="322"/>
      <c r="P53" s="322"/>
      <c r="Q53" s="322"/>
      <c r="R53" s="322"/>
      <c r="S53" s="322"/>
      <c r="T53" s="322"/>
      <c r="U53" s="322"/>
      <c r="V53" s="322"/>
      <c r="W53" s="1272"/>
      <c r="X53" s="887"/>
      <c r="Y53" s="621"/>
      <c r="Z53" s="621"/>
      <c r="AA53" s="1482"/>
      <c r="AB53" s="1482"/>
      <c r="AC53" s="1482"/>
      <c r="AD53" s="1482"/>
      <c r="AE53" s="1482"/>
      <c r="AF53" s="1482"/>
      <c r="AG53" s="1482"/>
      <c r="AH53" s="1482"/>
      <c r="AI53" s="122"/>
      <c r="AJ53" s="629"/>
      <c r="AK53" s="629"/>
      <c r="AL53" s="629"/>
      <c r="AM53" s="629"/>
    </row>
    <row r="54" spans="1:39">
      <c r="A54" s="627"/>
      <c r="B54" s="122"/>
      <c r="C54" s="122"/>
      <c r="D54" s="290"/>
      <c r="E54" s="290"/>
      <c r="F54" s="122"/>
      <c r="G54" s="122"/>
      <c r="H54" s="122"/>
      <c r="I54" s="122"/>
      <c r="J54" s="122"/>
      <c r="K54" s="122"/>
      <c r="L54" s="122"/>
      <c r="M54" s="122"/>
      <c r="N54" s="391"/>
      <c r="O54" s="630"/>
      <c r="P54" s="630"/>
      <c r="Q54" s="630"/>
      <c r="R54" s="631"/>
      <c r="S54" s="621"/>
      <c r="T54" s="621"/>
      <c r="U54" s="621"/>
      <c r="V54" s="1244"/>
      <c r="W54" s="1244"/>
      <c r="X54" s="1244"/>
      <c r="Y54" s="1244"/>
      <c r="Z54" s="1244"/>
      <c r="AA54" s="2117"/>
      <c r="AH54" s="621"/>
      <c r="AI54" s="122"/>
      <c r="AJ54" s="113"/>
      <c r="AK54" s="113"/>
      <c r="AL54" s="632"/>
      <c r="AM54" s="113"/>
    </row>
    <row r="55" spans="1:39">
      <c r="A55" s="617" t="s">
        <v>1617</v>
      </c>
      <c r="B55" s="129"/>
      <c r="C55" s="129"/>
      <c r="D55" s="129"/>
      <c r="E55" s="129"/>
      <c r="F55" s="129"/>
      <c r="G55" s="122"/>
      <c r="H55" s="122"/>
      <c r="I55" s="124"/>
      <c r="J55" s="124"/>
      <c r="K55" s="124"/>
      <c r="L55" s="124"/>
      <c r="M55" s="621"/>
      <c r="N55" s="621"/>
      <c r="O55" s="621"/>
      <c r="P55" s="630"/>
      <c r="Q55" s="630"/>
      <c r="R55" s="621"/>
      <c r="S55" s="621"/>
      <c r="T55" s="621"/>
      <c r="U55" s="621"/>
      <c r="V55" s="621"/>
      <c r="W55" s="621"/>
      <c r="X55" s="621"/>
      <c r="Y55" s="621"/>
      <c r="Z55" s="621"/>
      <c r="AA55" s="621"/>
      <c r="AB55" s="633"/>
      <c r="AC55" s="633"/>
      <c r="AD55" s="633"/>
      <c r="AE55" s="633"/>
      <c r="AF55" s="633"/>
      <c r="AG55" s="633"/>
      <c r="AH55" s="633"/>
      <c r="AI55" s="124"/>
      <c r="AJ55" s="124"/>
      <c r="AK55" s="124"/>
      <c r="AL55" s="124"/>
      <c r="AM55" s="124"/>
    </row>
    <row r="56" spans="1:39">
      <c r="A56" s="247"/>
      <c r="B56" s="621"/>
      <c r="C56" s="621"/>
      <c r="D56" s="621"/>
      <c r="E56" s="621"/>
      <c r="F56" s="621"/>
      <c r="G56" s="621"/>
      <c r="H56" s="621"/>
      <c r="I56" s="621"/>
      <c r="J56" s="621"/>
      <c r="K56" s="633"/>
      <c r="L56" s="621"/>
      <c r="M56" s="283"/>
      <c r="N56" s="629"/>
      <c r="O56" s="629"/>
      <c r="P56" s="629"/>
      <c r="Q56" s="634"/>
      <c r="R56" s="629"/>
      <c r="S56" s="629"/>
      <c r="T56" s="629"/>
      <c r="U56" s="629"/>
      <c r="V56" s="629"/>
      <c r="W56" s="629"/>
      <c r="X56" s="629"/>
      <c r="Y56" s="629"/>
      <c r="Z56" s="629"/>
      <c r="AA56" s="629"/>
      <c r="AB56" s="629"/>
      <c r="AC56" s="629"/>
      <c r="AD56" s="629"/>
      <c r="AE56" s="629"/>
      <c r="AF56" s="629"/>
      <c r="AG56" s="629"/>
      <c r="AH56" s="629"/>
      <c r="AI56" s="621"/>
      <c r="AJ56" s="621"/>
      <c r="AK56" s="621"/>
      <c r="AL56" s="621"/>
      <c r="AM56" s="621"/>
    </row>
    <row r="57" spans="1:39">
      <c r="A57" s="247"/>
      <c r="B57" s="621"/>
      <c r="C57" s="621"/>
      <c r="D57" s="621"/>
      <c r="E57" s="621"/>
      <c r="F57" s="621"/>
      <c r="G57" s="621"/>
      <c r="H57" s="621"/>
      <c r="I57" s="621"/>
      <c r="J57" s="621"/>
      <c r="K57" s="633"/>
      <c r="L57" s="621"/>
      <c r="M57" s="283"/>
      <c r="N57" s="629"/>
      <c r="O57" s="629"/>
      <c r="P57" s="629"/>
      <c r="Q57" s="634"/>
      <c r="R57" s="629"/>
      <c r="S57" s="629"/>
      <c r="T57" s="1244"/>
      <c r="U57" s="1244"/>
      <c r="V57" s="621"/>
      <c r="W57" s="621"/>
      <c r="X57" s="621"/>
      <c r="Y57" s="621"/>
      <c r="Z57" s="621"/>
      <c r="AA57" s="621"/>
      <c r="AB57" s="621"/>
      <c r="AC57" s="621"/>
      <c r="AD57" s="621"/>
      <c r="AE57" s="621"/>
      <c r="AF57" s="621"/>
      <c r="AG57" s="621"/>
      <c r="AH57" s="621"/>
      <c r="AI57" s="621"/>
      <c r="AJ57" s="621"/>
      <c r="AK57" s="621"/>
      <c r="AL57" s="621"/>
      <c r="AM57" s="621"/>
    </row>
    <row r="58" spans="1:39" outlineLevel="1">
      <c r="A58" s="247" t="s">
        <v>446</v>
      </c>
      <c r="B58" s="621"/>
      <c r="C58" s="621"/>
      <c r="D58" s="621"/>
      <c r="E58" s="621"/>
      <c r="F58" s="621"/>
      <c r="G58" s="621"/>
      <c r="H58" s="621"/>
      <c r="I58" s="621"/>
      <c r="J58" s="635">
        <f t="shared" ref="J58:AH58" si="30">+J31+J28</f>
        <v>190.77400000000006</v>
      </c>
      <c r="K58" s="635">
        <f t="shared" si="30"/>
        <v>298.42600000000004</v>
      </c>
      <c r="L58" s="635">
        <f t="shared" si="30"/>
        <v>374.90399999999994</v>
      </c>
      <c r="M58" s="635">
        <f t="shared" si="30"/>
        <v>375.05600000000004</v>
      </c>
      <c r="N58" s="635">
        <f t="shared" si="30"/>
        <v>397.20499999999987</v>
      </c>
      <c r="O58" s="635">
        <f t="shared" si="30"/>
        <v>444.82600000000002</v>
      </c>
      <c r="P58" s="635">
        <f t="shared" si="30"/>
        <v>401.3610000000001</v>
      </c>
      <c r="Q58" s="635">
        <f t="shared" si="30"/>
        <v>492.15400000000039</v>
      </c>
      <c r="R58" s="635">
        <f t="shared" si="30"/>
        <v>577.36299999999949</v>
      </c>
      <c r="S58" s="635">
        <f t="shared" si="30"/>
        <v>673.07599999999979</v>
      </c>
      <c r="T58" s="635">
        <f t="shared" si="30"/>
        <v>628.32999999999981</v>
      </c>
      <c r="U58" s="635">
        <f t="shared" si="30"/>
        <v>579.49500000000046</v>
      </c>
      <c r="V58" s="635">
        <f t="shared" si="30"/>
        <v>760.28599999999972</v>
      </c>
      <c r="W58" s="635">
        <f t="shared" si="30"/>
        <v>897.0780000000002</v>
      </c>
      <c r="X58" s="635">
        <f t="shared" si="30"/>
        <v>860.86599999999964</v>
      </c>
      <c r="Y58" s="635">
        <f t="shared" si="30"/>
        <v>974.5690000000003</v>
      </c>
      <c r="Z58" s="635">
        <f t="shared" si="30"/>
        <v>1085.5869999999991</v>
      </c>
      <c r="AA58" s="635">
        <f t="shared" si="30"/>
        <v>1009.3000000000013</v>
      </c>
      <c r="AB58" s="635">
        <f t="shared" si="30"/>
        <v>967.69999999999959</v>
      </c>
      <c r="AC58" s="635">
        <f t="shared" si="30"/>
        <v>1001.3000000000001</v>
      </c>
      <c r="AD58" s="635">
        <f t="shared" si="30"/>
        <v>1002.6225064350813</v>
      </c>
      <c r="AE58" s="635">
        <f t="shared" si="30"/>
        <v>1063.3472393936295</v>
      </c>
      <c r="AF58" s="635">
        <f t="shared" si="30"/>
        <v>1134.5990125941184</v>
      </c>
      <c r="AG58" s="635">
        <f t="shared" si="30"/>
        <v>1159.4940107016182</v>
      </c>
      <c r="AH58" s="635">
        <f t="shared" si="30"/>
        <v>1263.9481716147836</v>
      </c>
      <c r="AI58" s="621"/>
      <c r="AJ58" s="239">
        <f>((AA58/V58)^(1/5)-1)*100</f>
        <v>5.8299658460459369</v>
      </c>
      <c r="AK58" s="623" t="s">
        <v>1970</v>
      </c>
      <c r="AL58" s="239">
        <f>((AF58/AA58)^(1/5)-1)*100</f>
        <v>2.3680488394642651</v>
      </c>
      <c r="AM58" s="623" t="s">
        <v>1970</v>
      </c>
    </row>
    <row r="59" spans="1:39" outlineLevel="1">
      <c r="A59" s="247" t="s">
        <v>1537</v>
      </c>
      <c r="B59" s="621"/>
      <c r="C59" s="621"/>
      <c r="D59" s="621"/>
      <c r="E59" s="621"/>
      <c r="F59" s="621"/>
      <c r="G59" s="621"/>
      <c r="H59" s="621"/>
      <c r="I59" s="621"/>
      <c r="J59" s="636">
        <f>flow!$T$44</f>
        <v>9.2070000000000363</v>
      </c>
      <c r="K59" s="637">
        <f>flow!$V$44</f>
        <v>52.082999999999998</v>
      </c>
      <c r="L59" s="635">
        <f>flow!$X$44</f>
        <v>-5.5889999999999418</v>
      </c>
      <c r="M59" s="635">
        <f>flow!$Z$44</f>
        <v>61.153999999999996</v>
      </c>
      <c r="N59" s="635">
        <f>flow!$AB$44</f>
        <v>-24.774999999999977</v>
      </c>
      <c r="O59" s="635">
        <f>flow!$AD$44</f>
        <v>10.942000000000007</v>
      </c>
      <c r="P59" s="635">
        <f>flow!$AF$44</f>
        <v>-11.468000000000075</v>
      </c>
      <c r="Q59" s="635">
        <f>flow!$AH$44</f>
        <v>105.65500000000009</v>
      </c>
      <c r="R59" s="635">
        <f>flow!$AJ$44</f>
        <v>64.484999999999957</v>
      </c>
      <c r="S59" s="635">
        <f>flow!$AL$44</f>
        <v>221.78900000000016</v>
      </c>
      <c r="T59" s="635">
        <f>flow!$AN$44</f>
        <v>-12.138999999999999</v>
      </c>
      <c r="U59" s="635">
        <f>flow!$AP$44</f>
        <v>611.79600000000005</v>
      </c>
      <c r="V59" s="635">
        <f>flow!$AR$44</f>
        <v>171.923</v>
      </c>
      <c r="W59" s="635">
        <f>flow!$AT$44</f>
        <v>-28.837000000000103</v>
      </c>
      <c r="X59" s="635">
        <f>flow!$AV$44</f>
        <v>108.75999999999954</v>
      </c>
      <c r="Y59" s="635">
        <f>flow!$AX$44</f>
        <v>-66.800000000000068</v>
      </c>
      <c r="Z59" s="635">
        <f>flow!AZ$44</f>
        <v>367.72299999999905</v>
      </c>
      <c r="AA59" s="635">
        <f>flow!BB$44</f>
        <v>560.94300000000135</v>
      </c>
      <c r="AB59" s="635">
        <f>flow!BD$44</f>
        <v>479.2999999999995</v>
      </c>
      <c r="AC59" s="635">
        <f>flow!BF$44</f>
        <v>692.89999999999986</v>
      </c>
      <c r="AD59" s="635">
        <f>flow!BH$44</f>
        <v>275.40200297915453</v>
      </c>
      <c r="AE59" s="635">
        <f>flow!BJ$44</f>
        <v>500.01312900898546</v>
      </c>
      <c r="AF59" s="635">
        <f>flow!BL$44</f>
        <v>684.62756528304703</v>
      </c>
      <c r="AG59" s="635">
        <f>flow!BN$44</f>
        <v>601.11390432693065</v>
      </c>
      <c r="AH59" s="635">
        <f>flow!BP$44</f>
        <v>688.93350134540265</v>
      </c>
      <c r="AI59" s="621"/>
      <c r="AJ59" s="239"/>
      <c r="AK59" s="623" t="s">
        <v>1970</v>
      </c>
      <c r="AL59" s="239"/>
      <c r="AM59" s="623"/>
    </row>
    <row r="60" spans="1:39" outlineLevel="1">
      <c r="A60" s="247" t="s">
        <v>1914</v>
      </c>
      <c r="B60" s="621"/>
      <c r="C60" s="621"/>
      <c r="D60" s="621"/>
      <c r="E60" s="621"/>
      <c r="F60" s="621"/>
      <c r="G60" s="621"/>
      <c r="H60" s="621"/>
      <c r="I60" s="621"/>
      <c r="J60" s="638">
        <f>+J59/J52</f>
        <v>6.3965929301912208E-2</v>
      </c>
      <c r="K60" s="638">
        <f t="shared" ref="K60:R60" si="31">+K59/K52</f>
        <v>0.34799486857402484</v>
      </c>
      <c r="L60" s="987">
        <f>+L59/L52</f>
        <v>-3.6814301522895755E-2</v>
      </c>
      <c r="M60" s="987">
        <f t="shared" si="31"/>
        <v>0.40629297687304422</v>
      </c>
      <c r="N60" s="987">
        <f t="shared" si="31"/>
        <v>-0.16673284384653159</v>
      </c>
      <c r="O60" s="987">
        <f t="shared" si="31"/>
        <v>7.3697397489088892E-2</v>
      </c>
      <c r="P60" s="987">
        <f t="shared" si="31"/>
        <v>-7.7437826230814924E-2</v>
      </c>
      <c r="Q60" s="987">
        <f t="shared" si="31"/>
        <v>0.7257621343884384</v>
      </c>
      <c r="R60" s="987">
        <f t="shared" si="31"/>
        <v>0.45785673205955618</v>
      </c>
      <c r="S60" s="987">
        <f t="shared" ref="S60:Y60" si="32">+S59/S52</f>
        <v>1.6055378601418864</v>
      </c>
      <c r="T60" s="987">
        <f t="shared" si="32"/>
        <v>-9.6028795190253938E-2</v>
      </c>
      <c r="U60" s="987">
        <f t="shared" si="32"/>
        <v>4.8794174648875854</v>
      </c>
      <c r="V60" s="987">
        <f t="shared" si="32"/>
        <v>1.3389016089590828</v>
      </c>
      <c r="W60" s="987">
        <f t="shared" si="32"/>
        <v>-0.22339933104926957</v>
      </c>
      <c r="X60" s="987">
        <f>+X59/X52</f>
        <v>0.85014079773003604</v>
      </c>
      <c r="Y60" s="987">
        <f t="shared" si="32"/>
        <v>-0.51836288894191562</v>
      </c>
      <c r="Z60" s="987">
        <f t="shared" ref="Z60:AH60" si="33">+Z59/Z52</f>
        <v>2.8308160123171597</v>
      </c>
      <c r="AA60" s="987">
        <f t="shared" si="33"/>
        <v>4.3450271107668579</v>
      </c>
      <c r="AB60" s="987">
        <f t="shared" si="33"/>
        <v>3.8191235059760915</v>
      </c>
      <c r="AC60" s="987">
        <f t="shared" si="33"/>
        <v>5.5387689848121493</v>
      </c>
      <c r="AD60" s="987">
        <f t="shared" si="33"/>
        <v>2.2160692253402092</v>
      </c>
      <c r="AE60" s="987">
        <f t="shared" si="33"/>
        <v>4.0560789211842261</v>
      </c>
      <c r="AF60" s="987">
        <f t="shared" si="33"/>
        <v>5.5907672226673721</v>
      </c>
      <c r="AG60" s="987">
        <f t="shared" si="33"/>
        <v>4.9418007493105405</v>
      </c>
      <c r="AH60" s="987">
        <f t="shared" si="33"/>
        <v>5.7021263819713157</v>
      </c>
      <c r="AI60" s="621"/>
      <c r="AJ60" s="239"/>
      <c r="AK60" s="621"/>
      <c r="AL60" s="621"/>
      <c r="AM60" s="621"/>
    </row>
    <row r="61" spans="1:39" outlineLevel="1">
      <c r="A61" s="247" t="s">
        <v>1915</v>
      </c>
      <c r="B61" s="621"/>
      <c r="C61" s="621"/>
      <c r="D61" s="621"/>
      <c r="E61" s="621"/>
      <c r="F61" s="621"/>
      <c r="G61" s="621"/>
      <c r="H61" s="621"/>
      <c r="I61" s="621"/>
      <c r="J61" s="293" t="e">
        <f>'qtrP&amp;L'!#REF!</f>
        <v>#REF!</v>
      </c>
      <c r="K61" s="293" t="e">
        <f>'qtrP&amp;L'!#REF!</f>
        <v>#REF!</v>
      </c>
      <c r="L61" s="987">
        <f>+'qtrP&amp;L'!AT192</f>
        <v>0.15000000000000002</v>
      </c>
      <c r="M61" s="987">
        <f>+'qtrP&amp;L'!AX192</f>
        <v>0.16</v>
      </c>
      <c r="N61" s="987">
        <f>+'qtrP&amp;L'!BB192</f>
        <v>0.16</v>
      </c>
      <c r="O61" s="987">
        <f>+'qtrP&amp;L'!BF192</f>
        <v>0.19</v>
      </c>
      <c r="P61" s="987">
        <f>+'qtrP&amp;L'!BJ192</f>
        <v>0.22999999999999998</v>
      </c>
      <c r="Q61" s="987">
        <f>+'qtrP&amp;L'!BN192</f>
        <v>0.30000000000000004</v>
      </c>
      <c r="R61" s="987">
        <f>+'qtrP&amp;L'!BR192</f>
        <v>0.38</v>
      </c>
      <c r="S61" s="987">
        <f>'qtrP&amp;L'!$BV$192</f>
        <v>0.52</v>
      </c>
      <c r="T61" s="987">
        <f>'qtrP&amp;L'!$BZ$192</f>
        <v>0.66</v>
      </c>
      <c r="U61" s="987">
        <f>'qtrP&amp;L'!$CD$192</f>
        <v>0.68</v>
      </c>
      <c r="V61" s="987">
        <f>'qtrP&amp;L'!$CH$192</f>
        <v>0.95</v>
      </c>
      <c r="W61" s="987">
        <f>'qtrP&amp;L'!$CL$192</f>
        <v>1.1200000000000001</v>
      </c>
      <c r="X61" s="987">
        <f>'qtrP&amp;L'!$CP$192</f>
        <v>1.28</v>
      </c>
      <c r="Y61" s="987">
        <f>'qtrP&amp;L'!CT192</f>
        <v>1.36</v>
      </c>
      <c r="Z61" s="987">
        <f>'qtrP&amp;L'!CX192</f>
        <v>1.52</v>
      </c>
      <c r="AA61" s="987">
        <f>'qtrP&amp;L'!DB192</f>
        <v>1.58</v>
      </c>
      <c r="AB61" s="987">
        <f>'qtrP&amp;L'!DF192</f>
        <v>1.75</v>
      </c>
      <c r="AC61" s="987">
        <f>'qtrP&amp;L'!DJ192</f>
        <v>1.95</v>
      </c>
      <c r="AD61" s="987">
        <f>'qtrP&amp;L'!DN192</f>
        <v>2</v>
      </c>
      <c r="AE61" s="987">
        <f>AD61*1.05</f>
        <v>2.1</v>
      </c>
      <c r="AF61" s="987">
        <f>AE61*1.05</f>
        <v>2.2050000000000001</v>
      </c>
      <c r="AG61" s="987">
        <f>AF61*1.05</f>
        <v>2.3152500000000003</v>
      </c>
      <c r="AH61" s="987">
        <f>AG61*1.05</f>
        <v>2.4310125000000005</v>
      </c>
      <c r="AI61" s="621"/>
      <c r="AJ61" s="239"/>
      <c r="AK61" s="621"/>
      <c r="AL61" s="621"/>
      <c r="AM61" s="621"/>
    </row>
    <row r="62" spans="1:39">
      <c r="A62" s="247"/>
      <c r="B62" s="621"/>
      <c r="C62" s="621"/>
      <c r="D62" s="621"/>
      <c r="E62" s="621"/>
      <c r="F62" s="621"/>
      <c r="G62" s="621"/>
      <c r="H62" s="621"/>
      <c r="I62" s="621"/>
      <c r="J62" s="638"/>
      <c r="K62" s="638"/>
      <c r="L62" s="638"/>
      <c r="M62" s="638"/>
      <c r="N62" s="638"/>
      <c r="O62" s="1482"/>
      <c r="P62" s="1482"/>
      <c r="Q62" s="1482"/>
      <c r="R62" s="1482"/>
      <c r="S62" s="1482"/>
      <c r="T62" s="1482"/>
      <c r="U62" s="1482"/>
      <c r="V62" s="1482"/>
      <c r="W62" s="122"/>
      <c r="X62" s="122"/>
      <c r="Y62" s="122"/>
      <c r="Z62" s="122"/>
      <c r="AA62" s="122"/>
      <c r="AB62" s="122"/>
      <c r="AC62" s="122"/>
      <c r="AD62" s="122"/>
      <c r="AE62" s="122"/>
      <c r="AF62" s="122"/>
      <c r="AG62" s="122"/>
      <c r="AH62" s="122"/>
      <c r="AI62" s="621"/>
      <c r="AJ62" s="239"/>
      <c r="AK62" s="621"/>
      <c r="AL62" s="621"/>
      <c r="AM62" s="621"/>
    </row>
    <row r="63" spans="1:39">
      <c r="A63" s="247" t="s">
        <v>678</v>
      </c>
      <c r="B63" s="621"/>
      <c r="C63" s="621"/>
      <c r="D63" s="621"/>
      <c r="E63" s="621"/>
      <c r="F63" s="621"/>
      <c r="G63" s="621"/>
      <c r="H63" s="621"/>
      <c r="I63" s="621"/>
      <c r="J63" s="621" t="s">
        <v>2382</v>
      </c>
      <c r="K63" s="621" t="s">
        <v>2382</v>
      </c>
      <c r="L63" s="887">
        <f>'qtrP&amp;L'!AT209</f>
        <v>145.89699999999999</v>
      </c>
      <c r="M63" s="887">
        <f>'qtrP&amp;L'!AX209</f>
        <v>145.001</v>
      </c>
      <c r="N63" s="887">
        <f>'qtrP&amp;L'!BB209</f>
        <v>144.86500000000001</v>
      </c>
      <c r="O63" s="887">
        <f>'qtrP&amp;L'!BF209</f>
        <v>146.73500000000001</v>
      </c>
      <c r="P63" s="887">
        <f>'qtrP&amp;L'!BJ209</f>
        <v>144.548</v>
      </c>
      <c r="Q63" s="887">
        <f>'qtrP&amp;L'!BN209</f>
        <v>142.50899999999999</v>
      </c>
      <c r="R63" s="887">
        <f>'qtrP&amp;L'!BR209</f>
        <v>135.875</v>
      </c>
      <c r="S63" s="887">
        <f>'qtrP&amp;L'!BV209</f>
        <v>126.753</v>
      </c>
      <c r="T63" s="887">
        <f>'qtrP&amp;L'!BZ209</f>
        <v>123.84399999999999</v>
      </c>
      <c r="U63" s="887">
        <f>'qtrP&amp;L'!CD209</f>
        <v>124.345</v>
      </c>
      <c r="V63" s="1244">
        <f t="shared" ref="V63:Y64" si="34">U63*V$52/U$52</f>
        <v>127.34297368861809</v>
      </c>
      <c r="W63" s="1244">
        <f t="shared" si="34"/>
        <v>128.01412112287949</v>
      </c>
      <c r="X63" s="1244">
        <f t="shared" si="34"/>
        <v>126.87264983091804</v>
      </c>
      <c r="Y63" s="1244">
        <f t="shared" si="34"/>
        <v>127.80040516856349</v>
      </c>
      <c r="Z63" s="1244">
        <f t="shared" ref="Z63:AC64" si="35">Y63*Z$52/Y$52</f>
        <v>128.82460540902673</v>
      </c>
      <c r="AA63" s="1244">
        <f t="shared" si="35"/>
        <v>128.03122831643842</v>
      </c>
      <c r="AB63" s="1244">
        <f t="shared" si="35"/>
        <v>124.46103139979103</v>
      </c>
      <c r="AC63" s="1244">
        <f t="shared" si="35"/>
        <v>124.06434285349687</v>
      </c>
      <c r="AD63" s="1244">
        <f t="shared" ref="AD63:AH64" si="36">AC63*AD$52/AC$52</f>
        <v>123.24617272676518</v>
      </c>
      <c r="AE63" s="1244">
        <f t="shared" si="36"/>
        <v>122.25445136102979</v>
      </c>
      <c r="AF63" s="1244">
        <f t="shared" si="36"/>
        <v>121.44304297088267</v>
      </c>
      <c r="AG63" s="1244">
        <f t="shared" si="36"/>
        <v>120.63163458073554</v>
      </c>
      <c r="AH63" s="1244">
        <f t="shared" si="36"/>
        <v>119.8202261905884</v>
      </c>
      <c r="AI63" s="621"/>
      <c r="AJ63" s="621"/>
      <c r="AK63" s="621"/>
      <c r="AL63" s="621"/>
      <c r="AM63" s="621"/>
    </row>
    <row r="64" spans="1:39">
      <c r="A64" s="247" t="s">
        <v>679</v>
      </c>
      <c r="B64" s="621"/>
      <c r="C64" s="621"/>
      <c r="D64" s="621"/>
      <c r="E64" s="621"/>
      <c r="F64" s="621"/>
      <c r="G64" s="621"/>
      <c r="H64" s="621"/>
      <c r="I64" s="621"/>
      <c r="J64" s="621" t="s">
        <v>2382</v>
      </c>
      <c r="K64" s="621" t="s">
        <v>2382</v>
      </c>
      <c r="L64" s="887">
        <f>'qtrP&amp;L'!AT182</f>
        <v>145.49</v>
      </c>
      <c r="M64" s="887">
        <f>'qtrP&amp;L'!AX182</f>
        <v>145.535</v>
      </c>
      <c r="N64" s="887">
        <f>'qtrP&amp;L'!BB182</f>
        <v>145.328</v>
      </c>
      <c r="O64" s="887">
        <f>'qtrP&amp;L'!BF182</f>
        <v>145.72999999999999</v>
      </c>
      <c r="P64" s="887">
        <f>'qtrP&amp;L'!BJ182</f>
        <v>145.995</v>
      </c>
      <c r="Q64" s="887">
        <f>'qtrP&amp;L'!BN182</f>
        <v>142.976</v>
      </c>
      <c r="R64" s="887">
        <f>'qtrP&amp;L'!BR182</f>
        <v>138.36199999999999</v>
      </c>
      <c r="S64" s="887">
        <f>'qtrP&amp;L'!BV182</f>
        <v>134.74799999999999</v>
      </c>
      <c r="T64" s="887">
        <f>'qtrP&amp;L'!BZ182</f>
        <v>124.73399999999999</v>
      </c>
      <c r="U64" s="887">
        <f>'qtrP&amp;L'!CD182</f>
        <v>124.345</v>
      </c>
      <c r="V64" s="1244">
        <f t="shared" si="34"/>
        <v>127.34297368861809</v>
      </c>
      <c r="W64" s="1244">
        <f t="shared" si="34"/>
        <v>128.01412112287949</v>
      </c>
      <c r="X64" s="1244">
        <f t="shared" si="34"/>
        <v>126.87264983091804</v>
      </c>
      <c r="Y64" s="1244">
        <f t="shared" si="34"/>
        <v>127.80040516856349</v>
      </c>
      <c r="Z64" s="1244">
        <f t="shared" si="35"/>
        <v>128.82460540902673</v>
      </c>
      <c r="AA64" s="1244">
        <f t="shared" si="35"/>
        <v>128.03122831643842</v>
      </c>
      <c r="AB64" s="1244">
        <f t="shared" si="35"/>
        <v>124.46103139979103</v>
      </c>
      <c r="AC64" s="1244">
        <f t="shared" si="35"/>
        <v>124.06434285349687</v>
      </c>
      <c r="AD64" s="1244">
        <f t="shared" si="36"/>
        <v>123.24617272676518</v>
      </c>
      <c r="AE64" s="1244">
        <f t="shared" si="36"/>
        <v>122.25445136102979</v>
      </c>
      <c r="AF64" s="1244">
        <f t="shared" si="36"/>
        <v>121.44304297088267</v>
      </c>
      <c r="AG64" s="1244">
        <f t="shared" si="36"/>
        <v>120.63163458073554</v>
      </c>
      <c r="AH64" s="1244">
        <f t="shared" si="36"/>
        <v>119.8202261905884</v>
      </c>
      <c r="AI64" s="621"/>
      <c r="AJ64" s="621"/>
      <c r="AK64" s="621"/>
      <c r="AL64" s="621"/>
      <c r="AM64" s="621"/>
    </row>
    <row r="65" spans="1:39">
      <c r="A65" s="247"/>
      <c r="B65" s="621"/>
      <c r="C65" s="621"/>
      <c r="D65" s="621"/>
      <c r="E65" s="621"/>
      <c r="F65" s="621"/>
      <c r="G65" s="621"/>
      <c r="H65" s="621"/>
      <c r="I65" s="621"/>
      <c r="J65" s="621"/>
      <c r="K65" s="621"/>
      <c r="L65" s="621"/>
      <c r="M65" s="629"/>
      <c r="N65" s="988"/>
      <c r="O65" s="122"/>
      <c r="P65" s="122"/>
      <c r="Q65" s="122"/>
      <c r="R65" s="122"/>
      <c r="S65" s="629"/>
      <c r="T65" s="629"/>
      <c r="U65" s="629"/>
      <c r="V65" s="629"/>
      <c r="W65" s="629"/>
      <c r="X65" s="629"/>
      <c r="Y65" s="629"/>
      <c r="Z65" s="629"/>
      <c r="AA65" s="629"/>
      <c r="AB65" s="629"/>
      <c r="AC65" s="629"/>
      <c r="AD65" s="629"/>
      <c r="AE65" s="629"/>
      <c r="AF65" s="629"/>
      <c r="AG65" s="629"/>
      <c r="AH65" s="629"/>
      <c r="AI65" s="621"/>
      <c r="AJ65" s="621"/>
      <c r="AK65" s="621"/>
      <c r="AL65" s="621"/>
      <c r="AM65" s="621"/>
    </row>
    <row r="66" spans="1:39">
      <c r="A66" s="247" t="s">
        <v>680</v>
      </c>
      <c r="B66" s="621"/>
      <c r="C66" s="621"/>
      <c r="D66" s="621"/>
      <c r="E66" s="621"/>
      <c r="F66" s="621"/>
      <c r="G66" s="621"/>
      <c r="H66" s="621"/>
      <c r="I66" s="621"/>
      <c r="J66" s="621"/>
      <c r="K66" s="621"/>
      <c r="L66" s="621"/>
      <c r="M66" s="629"/>
      <c r="N66" s="629"/>
      <c r="O66" s="206"/>
      <c r="P66" s="206"/>
      <c r="Q66" s="206"/>
      <c r="R66" s="206"/>
      <c r="S66" s="300"/>
      <c r="T66" s="300"/>
      <c r="U66" s="1244">
        <f t="shared" ref="U66:Z66" si="37">U63+(U52-U64)</f>
        <v>125.383</v>
      </c>
      <c r="V66" s="1244">
        <f t="shared" si="37"/>
        <v>128.40600000000001</v>
      </c>
      <c r="W66" s="1244">
        <f t="shared" si="37"/>
        <v>129.08275</v>
      </c>
      <c r="X66" s="1244">
        <f t="shared" si="37"/>
        <v>127.93174999999999</v>
      </c>
      <c r="Y66" s="1244">
        <f t="shared" si="37"/>
        <v>128.86724999999998</v>
      </c>
      <c r="Z66" s="1244">
        <f t="shared" si="37"/>
        <v>129.9</v>
      </c>
      <c r="AA66" s="1244">
        <f t="shared" ref="AA66:AI66" si="38">AA63+(AA52-AA64)</f>
        <v>129.1</v>
      </c>
      <c r="AB66" s="1244">
        <f t="shared" si="38"/>
        <v>125.5</v>
      </c>
      <c r="AC66" s="1244">
        <f t="shared" si="38"/>
        <v>125.1</v>
      </c>
      <c r="AD66" s="1244">
        <f t="shared" si="38"/>
        <v>124.27500000000001</v>
      </c>
      <c r="AE66" s="1244">
        <f t="shared" si="38"/>
        <v>123.27500000000001</v>
      </c>
      <c r="AF66" s="1244">
        <f>AF63+(AF52-AF64)</f>
        <v>122.45681818181819</v>
      </c>
      <c r="AG66" s="1244">
        <f>AG63+(AG52-AG64)</f>
        <v>121.63863636363638</v>
      </c>
      <c r="AH66" s="1244">
        <f>AH63+(AH52-AH64)</f>
        <v>120.82045454545457</v>
      </c>
      <c r="AI66" s="1244">
        <f t="shared" si="38"/>
        <v>0</v>
      </c>
      <c r="AJ66" s="621"/>
      <c r="AK66" s="621"/>
      <c r="AL66" s="621"/>
      <c r="AM66" s="621"/>
    </row>
    <row r="67" spans="1:39">
      <c r="A67" s="247"/>
      <c r="B67" s="621"/>
      <c r="C67" s="621"/>
      <c r="D67" s="621"/>
      <c r="E67" s="621"/>
      <c r="F67" s="621"/>
      <c r="G67" s="621"/>
      <c r="H67" s="621"/>
      <c r="I67" s="621"/>
      <c r="J67" s="621"/>
      <c r="K67" s="621"/>
      <c r="L67" s="621"/>
      <c r="M67" s="629"/>
      <c r="N67" s="629"/>
      <c r="O67" s="640"/>
      <c r="P67" s="640"/>
      <c r="Q67" s="640"/>
      <c r="R67" s="640"/>
      <c r="S67" s="629"/>
      <c r="T67" s="640"/>
      <c r="U67" s="629"/>
      <c r="V67" s="629"/>
      <c r="W67" s="629"/>
      <c r="X67" s="629"/>
      <c r="Y67" s="629"/>
      <c r="Z67" s="629"/>
      <c r="AA67" s="629"/>
      <c r="AB67" s="629"/>
      <c r="AC67" s="629"/>
      <c r="AD67" s="629"/>
      <c r="AE67" s="629"/>
      <c r="AF67" s="629"/>
      <c r="AG67" s="629"/>
      <c r="AH67" s="629"/>
      <c r="AI67" s="621"/>
      <c r="AJ67" s="621"/>
      <c r="AK67" s="621"/>
      <c r="AL67" s="621"/>
      <c r="AM67" s="621"/>
    </row>
    <row r="68" spans="1:39">
      <c r="A68" s="247"/>
      <c r="B68" s="621"/>
      <c r="C68" s="621"/>
      <c r="D68" s="621"/>
      <c r="E68" s="621"/>
      <c r="F68" s="621"/>
      <c r="G68" s="621"/>
      <c r="H68" s="621"/>
      <c r="I68" s="621"/>
      <c r="J68" s="621"/>
      <c r="K68" s="621"/>
      <c r="L68" s="621"/>
      <c r="M68" s="629"/>
      <c r="N68" s="629"/>
      <c r="O68" s="126"/>
      <c r="P68" s="126"/>
      <c r="Q68" s="126"/>
      <c r="R68" s="126"/>
      <c r="S68" s="641"/>
      <c r="T68" s="641"/>
      <c r="U68" s="641"/>
      <c r="V68" s="641"/>
      <c r="W68" s="641"/>
      <c r="X68" s="641"/>
      <c r="Y68" s="641"/>
      <c r="Z68" s="641"/>
      <c r="AA68" s="641"/>
      <c r="AB68" s="641"/>
      <c r="AC68" s="641"/>
      <c r="AD68" s="641"/>
      <c r="AE68" s="641"/>
      <c r="AF68" s="641"/>
      <c r="AG68" s="641"/>
      <c r="AH68" s="641"/>
      <c r="AI68" s="621"/>
      <c r="AJ68" s="621"/>
      <c r="AK68" s="621"/>
      <c r="AL68" s="621"/>
      <c r="AM68" s="621"/>
    </row>
    <row r="69" spans="1:39">
      <c r="A69" s="247"/>
      <c r="B69" s="621"/>
      <c r="C69" s="621"/>
      <c r="D69" s="621"/>
      <c r="E69" s="621"/>
      <c r="F69" s="621"/>
      <c r="G69" s="621"/>
      <c r="H69" s="621"/>
      <c r="I69" s="621"/>
      <c r="J69" s="621"/>
      <c r="K69" s="621"/>
      <c r="L69" s="621"/>
      <c r="M69" s="629"/>
      <c r="N69" s="629"/>
      <c r="O69" s="629"/>
      <c r="P69" s="629"/>
      <c r="Q69" s="629"/>
      <c r="R69" s="629"/>
      <c r="S69" s="629"/>
      <c r="T69" s="629"/>
      <c r="U69" s="629"/>
      <c r="V69" s="629"/>
      <c r="W69" s="629"/>
      <c r="X69" s="629"/>
      <c r="Y69" s="629"/>
      <c r="Z69" s="629"/>
      <c r="AA69" s="629"/>
      <c r="AB69" s="629"/>
      <c r="AC69" s="629"/>
      <c r="AD69" s="629"/>
      <c r="AE69" s="629"/>
      <c r="AF69" s="629"/>
      <c r="AG69" s="629"/>
      <c r="AH69" s="629"/>
      <c r="AI69" s="621"/>
      <c r="AJ69" s="621"/>
      <c r="AK69" s="621"/>
      <c r="AL69" s="621"/>
      <c r="AM69" s="621"/>
    </row>
    <row r="70" spans="1:39">
      <c r="A70" s="1235"/>
      <c r="B70" s="1235"/>
      <c r="C70" s="1235"/>
      <c r="D70" s="1235"/>
      <c r="E70" s="1235"/>
      <c r="F70" s="1235"/>
      <c r="G70" s="1235"/>
      <c r="H70" s="1235"/>
      <c r="I70" s="1235"/>
      <c r="J70" s="1235"/>
      <c r="K70" s="1235"/>
      <c r="L70" s="1235"/>
      <c r="M70" s="1248"/>
      <c r="N70" s="1248"/>
      <c r="O70" s="1249"/>
      <c r="P70" s="1249"/>
      <c r="Q70" s="1249"/>
      <c r="R70" s="1249"/>
      <c r="S70" s="1250"/>
      <c r="T70" s="1250"/>
      <c r="U70" s="1250"/>
      <c r="V70" s="1250"/>
      <c r="W70" s="1250"/>
      <c r="X70" s="1250"/>
      <c r="Y70" s="1250"/>
      <c r="Z70" s="1250"/>
      <c r="AA70" s="1250"/>
      <c r="AB70" s="1250"/>
      <c r="AC70" s="1250"/>
      <c r="AD70" s="1250"/>
      <c r="AE70" s="1250"/>
      <c r="AF70" s="1250"/>
      <c r="AG70" s="1250"/>
      <c r="AH70" s="1250"/>
      <c r="AI70" s="621"/>
      <c r="AJ70" s="621"/>
      <c r="AK70" s="621"/>
      <c r="AL70" s="621"/>
      <c r="AM70" s="621"/>
    </row>
    <row r="71" spans="1:39" outlineLevel="1">
      <c r="A71" s="1235" t="s">
        <v>614</v>
      </c>
      <c r="B71" s="1235">
        <v>0</v>
      </c>
      <c r="C71" s="1235">
        <v>0</v>
      </c>
      <c r="D71" s="1235">
        <v>0</v>
      </c>
      <c r="E71" s="1235">
        <v>0</v>
      </c>
      <c r="F71" s="1235">
        <v>0</v>
      </c>
      <c r="G71" s="1235">
        <v>0</v>
      </c>
      <c r="H71" s="1235">
        <v>0</v>
      </c>
      <c r="I71" s="1235">
        <v>0</v>
      </c>
      <c r="J71" s="1235">
        <v>0</v>
      </c>
      <c r="K71" s="1235">
        <v>0</v>
      </c>
      <c r="L71" s="1235">
        <v>0</v>
      </c>
      <c r="M71" s="1248">
        <v>0</v>
      </c>
      <c r="N71" s="1248">
        <v>0</v>
      </c>
      <c r="O71" s="1248">
        <v>0</v>
      </c>
      <c r="P71" s="1248">
        <v>0</v>
      </c>
      <c r="Q71" s="1248">
        <v>0</v>
      </c>
      <c r="R71" s="1248">
        <v>0</v>
      </c>
      <c r="S71" s="1248">
        <v>0</v>
      </c>
      <c r="T71" s="1248">
        <v>0</v>
      </c>
      <c r="U71" s="1248">
        <v>0</v>
      </c>
      <c r="V71" s="1248">
        <v>0</v>
      </c>
      <c r="W71" s="1248">
        <v>0</v>
      </c>
      <c r="X71" s="1248">
        <v>0</v>
      </c>
      <c r="Y71" s="1248">
        <v>0</v>
      </c>
      <c r="Z71" s="1248">
        <v>0</v>
      </c>
      <c r="AA71" s="1248">
        <v>0</v>
      </c>
      <c r="AB71" s="1248"/>
      <c r="AC71" s="1248"/>
      <c r="AD71" s="1248"/>
      <c r="AE71" s="1248"/>
      <c r="AF71" s="1248"/>
      <c r="AG71" s="1248"/>
      <c r="AH71" s="1248"/>
      <c r="AI71" s="629">
        <v>0</v>
      </c>
      <c r="AJ71" s="629"/>
      <c r="AK71" s="629"/>
      <c r="AL71" s="629"/>
      <c r="AM71" s="629"/>
    </row>
    <row r="72" spans="1:39" outlineLevel="1">
      <c r="A72" s="1235" t="s">
        <v>1054</v>
      </c>
      <c r="B72" s="1235"/>
      <c r="C72" s="1235"/>
      <c r="D72" s="1235"/>
      <c r="E72" s="1235"/>
      <c r="F72" s="1235"/>
      <c r="G72" s="1235"/>
      <c r="H72" s="1235"/>
      <c r="I72" s="1235"/>
      <c r="J72" s="1235"/>
      <c r="K72" s="1235"/>
      <c r="L72" s="1235">
        <v>0</v>
      </c>
      <c r="M72" s="1248">
        <v>0</v>
      </c>
      <c r="N72" s="1248">
        <v>0</v>
      </c>
      <c r="O72" s="1248">
        <v>0</v>
      </c>
      <c r="P72" s="1248">
        <v>0</v>
      </c>
      <c r="Q72" s="1248">
        <v>0</v>
      </c>
      <c r="R72" s="1248">
        <v>0</v>
      </c>
      <c r="S72" s="1248">
        <v>0</v>
      </c>
      <c r="T72" s="1248">
        <v>0</v>
      </c>
      <c r="U72" s="1248">
        <v>0</v>
      </c>
      <c r="V72" s="1248">
        <v>0</v>
      </c>
      <c r="W72" s="1248">
        <v>0</v>
      </c>
      <c r="X72" s="1248">
        <v>0</v>
      </c>
      <c r="Y72" s="1248">
        <v>0</v>
      </c>
      <c r="Z72" s="1248">
        <v>0</v>
      </c>
      <c r="AA72" s="1248">
        <v>0</v>
      </c>
      <c r="AB72" s="1248"/>
      <c r="AC72" s="1248"/>
      <c r="AD72" s="1248"/>
      <c r="AE72" s="1248"/>
      <c r="AF72" s="1248"/>
      <c r="AG72" s="1248"/>
      <c r="AH72" s="1248"/>
      <c r="AI72" s="629">
        <v>0</v>
      </c>
      <c r="AJ72" s="629"/>
      <c r="AK72" s="629"/>
      <c r="AL72" s="629"/>
      <c r="AM72" s="629"/>
    </row>
    <row r="73" spans="1:39" outlineLevel="1">
      <c r="A73" s="1235" t="s">
        <v>2091</v>
      </c>
      <c r="B73" s="1235"/>
      <c r="C73" s="1235"/>
      <c r="D73" s="1235"/>
      <c r="E73" s="1235"/>
      <c r="F73" s="1235"/>
      <c r="G73" s="1235"/>
      <c r="H73" s="1235"/>
      <c r="I73" s="1235"/>
      <c r="J73" s="1235"/>
      <c r="K73" s="1235"/>
      <c r="L73" s="1235">
        <v>0</v>
      </c>
      <c r="M73" s="1248">
        <v>0</v>
      </c>
      <c r="N73" s="1248">
        <v>0</v>
      </c>
      <c r="O73" s="1248">
        <v>0</v>
      </c>
      <c r="P73" s="1248">
        <v>0</v>
      </c>
      <c r="Q73" s="1248">
        <v>0</v>
      </c>
      <c r="R73" s="1248">
        <v>0</v>
      </c>
      <c r="S73" s="1248">
        <v>0</v>
      </c>
      <c r="T73" s="1248">
        <v>0</v>
      </c>
      <c r="U73" s="1248">
        <v>0</v>
      </c>
      <c r="V73" s="1248">
        <v>0</v>
      </c>
      <c r="W73" s="1248">
        <v>0</v>
      </c>
      <c r="X73" s="1248">
        <v>0</v>
      </c>
      <c r="Y73" s="1248">
        <v>0</v>
      </c>
      <c r="Z73" s="1248">
        <v>0</v>
      </c>
      <c r="AA73" s="1248">
        <v>0</v>
      </c>
      <c r="AB73" s="1248"/>
      <c r="AC73" s="1248"/>
      <c r="AD73" s="1248"/>
      <c r="AE73" s="1248"/>
      <c r="AF73" s="1248"/>
      <c r="AG73" s="1248"/>
      <c r="AH73" s="1248"/>
      <c r="AI73" s="629">
        <v>0</v>
      </c>
      <c r="AJ73" s="621"/>
      <c r="AK73" s="621"/>
      <c r="AL73" s="621"/>
      <c r="AM73" s="621"/>
    </row>
    <row r="74" spans="1:39" outlineLevel="1">
      <c r="A74" s="1235" t="s">
        <v>613</v>
      </c>
      <c r="B74" s="1235"/>
      <c r="C74" s="1235"/>
      <c r="D74" s="1235"/>
      <c r="E74" s="1235"/>
      <c r="F74" s="1235"/>
      <c r="G74" s="1235"/>
      <c r="H74" s="1235"/>
      <c r="I74" s="1235"/>
      <c r="J74" s="1235"/>
      <c r="K74" s="1235"/>
      <c r="L74" s="1235">
        <v>0</v>
      </c>
      <c r="M74" s="1248">
        <v>0</v>
      </c>
      <c r="N74" s="1248">
        <v>0</v>
      </c>
      <c r="O74" s="1248">
        <v>0</v>
      </c>
      <c r="P74" s="1248">
        <v>0</v>
      </c>
      <c r="Q74" s="1248">
        <v>0</v>
      </c>
      <c r="R74" s="1248">
        <v>0</v>
      </c>
      <c r="S74" s="1248">
        <v>0</v>
      </c>
      <c r="T74" s="1248">
        <v>0</v>
      </c>
      <c r="U74" s="1248">
        <v>0</v>
      </c>
      <c r="V74" s="1248">
        <v>0</v>
      </c>
      <c r="W74" s="1248">
        <v>0</v>
      </c>
      <c r="X74" s="1248">
        <v>0</v>
      </c>
      <c r="Y74" s="1248">
        <v>0</v>
      </c>
      <c r="Z74" s="1248">
        <v>0</v>
      </c>
      <c r="AA74" s="1248">
        <v>0</v>
      </c>
      <c r="AB74" s="1248"/>
      <c r="AC74" s="1248"/>
      <c r="AD74" s="1248"/>
      <c r="AE74" s="1248"/>
      <c r="AF74" s="1248"/>
      <c r="AG74" s="1248"/>
      <c r="AH74" s="1248"/>
      <c r="AI74" s="629">
        <v>0</v>
      </c>
      <c r="AJ74" s="621"/>
      <c r="AK74" s="621"/>
      <c r="AL74" s="621"/>
      <c r="AM74" s="621"/>
    </row>
    <row r="75" spans="1:39" outlineLevel="1">
      <c r="A75" s="1235" t="s">
        <v>1055</v>
      </c>
      <c r="B75" s="1235"/>
      <c r="C75" s="1235"/>
      <c r="D75" s="1235"/>
      <c r="E75" s="1235"/>
      <c r="F75" s="1235"/>
      <c r="G75" s="1235"/>
      <c r="H75" s="1235"/>
      <c r="I75" s="1235"/>
      <c r="J75" s="1235"/>
      <c r="K75" s="1235"/>
      <c r="L75" s="1235">
        <v>0</v>
      </c>
      <c r="M75" s="1248">
        <v>0</v>
      </c>
      <c r="N75" s="1248">
        <v>0</v>
      </c>
      <c r="O75" s="1248">
        <v>0</v>
      </c>
      <c r="P75" s="1248">
        <v>0</v>
      </c>
      <c r="Q75" s="1248">
        <v>0</v>
      </c>
      <c r="R75" s="1248">
        <v>0</v>
      </c>
      <c r="S75" s="1248">
        <v>0</v>
      </c>
      <c r="T75" s="1248">
        <v>0</v>
      </c>
      <c r="U75" s="1248">
        <v>0</v>
      </c>
      <c r="V75" s="1248">
        <v>0</v>
      </c>
      <c r="W75" s="1248">
        <v>0</v>
      </c>
      <c r="X75" s="1248">
        <v>0</v>
      </c>
      <c r="Y75" s="1248">
        <v>0</v>
      </c>
      <c r="Z75" s="1248">
        <v>0</v>
      </c>
      <c r="AA75" s="1248">
        <v>0</v>
      </c>
      <c r="AB75" s="1248"/>
      <c r="AC75" s="1248"/>
      <c r="AD75" s="1248"/>
      <c r="AE75" s="1248"/>
      <c r="AF75" s="1248"/>
      <c r="AG75" s="1248"/>
      <c r="AH75" s="1248"/>
      <c r="AI75" s="629">
        <v>0</v>
      </c>
      <c r="AJ75" s="621"/>
      <c r="AK75" s="621"/>
      <c r="AL75" s="621"/>
      <c r="AM75" s="621"/>
    </row>
    <row r="76" spans="1:39" outlineLevel="1">
      <c r="A76" s="1235" t="s">
        <v>686</v>
      </c>
      <c r="B76" s="1235"/>
      <c r="C76" s="1235"/>
      <c r="D76" s="1235"/>
      <c r="E76" s="1235"/>
      <c r="F76" s="1235"/>
      <c r="G76" s="1235"/>
      <c r="H76" s="1235"/>
      <c r="I76" s="1235"/>
      <c r="J76" s="1235"/>
      <c r="K76" s="1235"/>
      <c r="L76" s="1235">
        <v>0</v>
      </c>
      <c r="M76" s="1248">
        <v>0</v>
      </c>
      <c r="N76" s="1248">
        <v>0</v>
      </c>
      <c r="O76" s="1248">
        <v>0</v>
      </c>
      <c r="P76" s="1248">
        <v>0</v>
      </c>
      <c r="Q76" s="1248">
        <v>0</v>
      </c>
      <c r="R76" s="1248">
        <v>0</v>
      </c>
      <c r="S76" s="1248">
        <v>0</v>
      </c>
      <c r="T76" s="1248">
        <v>0</v>
      </c>
      <c r="U76" s="1248">
        <v>0</v>
      </c>
      <c r="V76" s="1248">
        <v>0</v>
      </c>
      <c r="W76" s="1248">
        <v>0</v>
      </c>
      <c r="X76" s="1248">
        <v>0</v>
      </c>
      <c r="Y76" s="1248">
        <v>0</v>
      </c>
      <c r="Z76" s="1248">
        <v>0</v>
      </c>
      <c r="AA76" s="1248">
        <v>0</v>
      </c>
      <c r="AB76" s="1248"/>
      <c r="AC76" s="1248"/>
      <c r="AD76" s="1248"/>
      <c r="AE76" s="1248"/>
      <c r="AF76" s="1248"/>
      <c r="AG76" s="1248"/>
      <c r="AH76" s="1248"/>
      <c r="AI76" s="629">
        <v>0</v>
      </c>
      <c r="AJ76" s="621"/>
      <c r="AK76" s="621"/>
      <c r="AL76" s="621"/>
      <c r="AM76" s="621"/>
    </row>
    <row r="77" spans="1:39" outlineLevel="1">
      <c r="A77" s="1235" t="s">
        <v>1496</v>
      </c>
      <c r="B77" s="1235"/>
      <c r="C77" s="1235"/>
      <c r="D77" s="1235"/>
      <c r="E77" s="1235"/>
      <c r="F77" s="1235"/>
      <c r="G77" s="1235"/>
      <c r="H77" s="1235"/>
      <c r="I77" s="1235"/>
      <c r="J77" s="1235"/>
      <c r="K77" s="1235"/>
      <c r="L77" s="1235">
        <v>0</v>
      </c>
      <c r="M77" s="1248">
        <v>0</v>
      </c>
      <c r="N77" s="1248">
        <v>0</v>
      </c>
      <c r="O77" s="1248">
        <v>0</v>
      </c>
      <c r="P77" s="1248">
        <v>0</v>
      </c>
      <c r="Q77" s="1248">
        <v>0</v>
      </c>
      <c r="R77" s="1248">
        <v>0</v>
      </c>
      <c r="S77" s="1248">
        <v>0</v>
      </c>
      <c r="T77" s="1248">
        <v>0</v>
      </c>
      <c r="U77" s="1248">
        <v>0</v>
      </c>
      <c r="V77" s="1248">
        <v>0</v>
      </c>
      <c r="W77" s="1248">
        <v>0</v>
      </c>
      <c r="X77" s="1248">
        <v>0</v>
      </c>
      <c r="Y77" s="1248">
        <v>0</v>
      </c>
      <c r="Z77" s="1248">
        <v>0</v>
      </c>
      <c r="AA77" s="1248">
        <v>0</v>
      </c>
      <c r="AB77" s="1248"/>
      <c r="AC77" s="1248"/>
      <c r="AD77" s="1248"/>
      <c r="AE77" s="1248"/>
      <c r="AF77" s="1248"/>
      <c r="AG77" s="1248"/>
      <c r="AH77" s="1248"/>
      <c r="AI77" s="629">
        <v>0</v>
      </c>
      <c r="AJ77" s="621"/>
      <c r="AK77" s="621"/>
      <c r="AL77" s="621"/>
      <c r="AM77" s="621"/>
    </row>
    <row r="78" spans="1:39" outlineLevel="1">
      <c r="A78" s="1235" t="s">
        <v>1497</v>
      </c>
      <c r="B78" s="621"/>
      <c r="C78" s="621"/>
      <c r="D78" s="621"/>
      <c r="E78" s="621"/>
      <c r="F78" s="621"/>
      <c r="G78" s="621"/>
      <c r="H78" s="621"/>
      <c r="I78" s="621"/>
      <c r="J78" s="621"/>
      <c r="K78" s="621"/>
      <c r="L78" s="1235">
        <v>0</v>
      </c>
      <c r="M78" s="1248">
        <v>0</v>
      </c>
      <c r="N78" s="1248">
        <v>0</v>
      </c>
      <c r="O78" s="1248">
        <v>0</v>
      </c>
      <c r="P78" s="1248">
        <v>0</v>
      </c>
      <c r="Q78" s="1248">
        <v>0</v>
      </c>
      <c r="R78" s="1248">
        <v>0</v>
      </c>
      <c r="S78" s="1248">
        <v>0</v>
      </c>
      <c r="T78" s="1248">
        <v>0</v>
      </c>
      <c r="U78" s="1248">
        <v>0</v>
      </c>
      <c r="V78" s="1248">
        <v>0</v>
      </c>
      <c r="W78" s="1248">
        <v>0</v>
      </c>
      <c r="X78" s="1248">
        <v>0</v>
      </c>
      <c r="Y78" s="1248">
        <v>0</v>
      </c>
      <c r="Z78" s="1248">
        <v>0</v>
      </c>
      <c r="AA78" s="1248">
        <v>0</v>
      </c>
      <c r="AB78" s="1248"/>
      <c r="AC78" s="1248"/>
      <c r="AD78" s="1248"/>
      <c r="AE78" s="1248"/>
      <c r="AF78" s="1248"/>
      <c r="AG78" s="1248"/>
      <c r="AH78" s="1248"/>
      <c r="AI78" s="629">
        <v>0</v>
      </c>
      <c r="AJ78" s="621"/>
      <c r="AK78" s="621"/>
      <c r="AL78" s="621"/>
      <c r="AM78" s="621"/>
    </row>
    <row r="79" spans="1:39" outlineLevel="1">
      <c r="A79" s="1235" t="s">
        <v>1867</v>
      </c>
      <c r="B79" s="621"/>
      <c r="C79" s="621"/>
      <c r="D79" s="621"/>
      <c r="E79" s="621"/>
      <c r="F79" s="621"/>
      <c r="G79" s="621"/>
      <c r="H79" s="621"/>
      <c r="I79" s="621"/>
      <c r="J79" s="621"/>
      <c r="K79" s="621"/>
      <c r="L79" s="1235">
        <v>0</v>
      </c>
      <c r="M79" s="1248">
        <v>0</v>
      </c>
      <c r="N79" s="1248">
        <v>0</v>
      </c>
      <c r="O79" s="1248">
        <v>0</v>
      </c>
      <c r="P79" s="1248">
        <v>0</v>
      </c>
      <c r="Q79" s="1248">
        <v>0</v>
      </c>
      <c r="R79" s="1248">
        <v>0</v>
      </c>
      <c r="S79" s="1248">
        <v>0</v>
      </c>
      <c r="T79" s="1248">
        <v>0</v>
      </c>
      <c r="U79" s="1248">
        <v>0</v>
      </c>
      <c r="V79" s="1248">
        <v>0</v>
      </c>
      <c r="W79" s="1248">
        <v>0</v>
      </c>
      <c r="X79" s="1248">
        <v>0</v>
      </c>
      <c r="Y79" s="1248">
        <v>0</v>
      </c>
      <c r="Z79" s="1248">
        <v>0</v>
      </c>
      <c r="AA79" s="1248">
        <v>0</v>
      </c>
      <c r="AB79" s="1248"/>
      <c r="AC79" s="1248"/>
      <c r="AD79" s="1248"/>
      <c r="AE79" s="1248"/>
      <c r="AF79" s="1248"/>
      <c r="AG79" s="1248"/>
      <c r="AH79" s="1248"/>
      <c r="AI79" s="629">
        <v>0</v>
      </c>
      <c r="AJ79" s="621"/>
      <c r="AK79" s="621"/>
      <c r="AL79" s="621"/>
      <c r="AM79" s="621"/>
    </row>
    <row r="80" spans="1:39" outlineLevel="1">
      <c r="A80" s="1235" t="s">
        <v>2072</v>
      </c>
      <c r="B80" s="621"/>
      <c r="C80" s="621"/>
      <c r="D80" s="621"/>
      <c r="E80" s="621"/>
      <c r="F80" s="621"/>
      <c r="G80" s="621"/>
      <c r="H80" s="621"/>
      <c r="I80" s="621"/>
      <c r="J80" s="621"/>
      <c r="K80" s="621"/>
      <c r="L80" s="1235">
        <v>0</v>
      </c>
      <c r="M80" s="1248">
        <v>0</v>
      </c>
      <c r="N80" s="1248">
        <v>0</v>
      </c>
      <c r="O80" s="1248">
        <v>0</v>
      </c>
      <c r="P80" s="1248">
        <v>0</v>
      </c>
      <c r="Q80" s="1248">
        <v>0</v>
      </c>
      <c r="R80" s="1248">
        <v>0</v>
      </c>
      <c r="S80" s="1248">
        <v>0</v>
      </c>
      <c r="T80" s="1248">
        <v>0</v>
      </c>
      <c r="U80" s="1248">
        <v>0</v>
      </c>
      <c r="V80" s="1248">
        <v>0</v>
      </c>
      <c r="W80" s="1248">
        <v>0</v>
      </c>
      <c r="X80" s="1248">
        <v>0</v>
      </c>
      <c r="Y80" s="1248">
        <v>0</v>
      </c>
      <c r="Z80" s="1248">
        <v>0</v>
      </c>
      <c r="AA80" s="1248">
        <v>0</v>
      </c>
      <c r="AB80" s="1248"/>
      <c r="AC80" s="1248"/>
      <c r="AD80" s="1248"/>
      <c r="AE80" s="1248"/>
      <c r="AF80" s="1248"/>
      <c r="AG80" s="1248"/>
      <c r="AH80" s="1248"/>
      <c r="AI80" s="629">
        <v>0</v>
      </c>
      <c r="AJ80" s="621"/>
      <c r="AK80" s="621"/>
      <c r="AL80" s="621"/>
      <c r="AM80" s="621"/>
    </row>
    <row r="81" spans="1:39" outlineLevel="1">
      <c r="A81" s="1235" t="s">
        <v>1053</v>
      </c>
      <c r="B81" s="621"/>
      <c r="C81" s="621"/>
      <c r="D81" s="621"/>
      <c r="E81" s="621"/>
      <c r="F81" s="621"/>
      <c r="G81" s="621"/>
      <c r="H81" s="621"/>
      <c r="I81" s="621"/>
      <c r="J81" s="621"/>
      <c r="K81" s="621"/>
      <c r="L81" s="1235">
        <v>0</v>
      </c>
      <c r="M81" s="1248">
        <v>0</v>
      </c>
      <c r="N81" s="1248">
        <v>0</v>
      </c>
      <c r="O81" s="1248">
        <v>0</v>
      </c>
      <c r="P81" s="1248">
        <v>0</v>
      </c>
      <c r="Q81" s="1248">
        <v>0</v>
      </c>
      <c r="R81" s="1248">
        <v>0</v>
      </c>
      <c r="S81" s="1248">
        <v>0</v>
      </c>
      <c r="T81" s="1248">
        <v>0</v>
      </c>
      <c r="U81" s="1248">
        <v>0</v>
      </c>
      <c r="V81" s="1248">
        <v>0</v>
      </c>
      <c r="W81" s="1248">
        <v>0</v>
      </c>
      <c r="X81" s="1248">
        <v>0</v>
      </c>
      <c r="Y81" s="1248">
        <v>0</v>
      </c>
      <c r="Z81" s="1248">
        <v>0</v>
      </c>
      <c r="AA81" s="1248">
        <v>0</v>
      </c>
      <c r="AB81" s="1248"/>
      <c r="AC81" s="1248"/>
      <c r="AD81" s="1248"/>
      <c r="AE81" s="1248"/>
      <c r="AF81" s="1248"/>
      <c r="AG81" s="1248"/>
      <c r="AH81" s="1248"/>
      <c r="AI81" s="629">
        <v>0</v>
      </c>
      <c r="AJ81" s="621"/>
      <c r="AK81" s="621"/>
      <c r="AL81" s="621"/>
      <c r="AM81" s="621"/>
    </row>
    <row r="82" spans="1:39" outlineLevel="1">
      <c r="A82" s="1235" t="s">
        <v>1866</v>
      </c>
      <c r="B82" s="621"/>
      <c r="C82" s="621"/>
      <c r="D82" s="621"/>
      <c r="E82" s="621"/>
      <c r="F82" s="621"/>
      <c r="G82" s="621"/>
      <c r="H82" s="621"/>
      <c r="I82" s="621"/>
      <c r="J82" s="621"/>
      <c r="K82" s="621"/>
      <c r="L82" s="1235">
        <v>0</v>
      </c>
      <c r="M82" s="1248">
        <v>0</v>
      </c>
      <c r="N82" s="1248">
        <v>0</v>
      </c>
      <c r="O82" s="1248">
        <v>0</v>
      </c>
      <c r="P82" s="1248">
        <v>0</v>
      </c>
      <c r="Q82" s="1248">
        <v>0</v>
      </c>
      <c r="R82" s="1248">
        <v>0</v>
      </c>
      <c r="S82" s="1248">
        <v>0</v>
      </c>
      <c r="T82" s="1248">
        <v>0</v>
      </c>
      <c r="U82" s="1248">
        <v>0</v>
      </c>
      <c r="V82" s="1248">
        <v>0</v>
      </c>
      <c r="W82" s="1248">
        <v>0</v>
      </c>
      <c r="X82" s="1248">
        <v>0</v>
      </c>
      <c r="Y82" s="1248">
        <v>0</v>
      </c>
      <c r="Z82" s="1248">
        <v>0</v>
      </c>
      <c r="AA82" s="1248">
        <v>0</v>
      </c>
      <c r="AB82" s="1248"/>
      <c r="AC82" s="1248"/>
      <c r="AD82" s="1248"/>
      <c r="AE82" s="1248"/>
      <c r="AF82" s="1248"/>
      <c r="AG82" s="1248"/>
      <c r="AH82" s="1248"/>
      <c r="AI82" s="629">
        <v>0</v>
      </c>
      <c r="AJ82" s="621"/>
      <c r="AK82" s="621"/>
      <c r="AL82" s="621"/>
      <c r="AM82" s="621"/>
    </row>
    <row r="83" spans="1:39" outlineLevel="1">
      <c r="A83" s="1235" t="s">
        <v>1495</v>
      </c>
      <c r="B83" s="621"/>
      <c r="C83" s="621"/>
      <c r="D83" s="621"/>
      <c r="E83" s="621"/>
      <c r="F83" s="621"/>
      <c r="G83" s="621"/>
      <c r="H83" s="621"/>
      <c r="I83" s="621"/>
      <c r="J83" s="621"/>
      <c r="K83" s="621"/>
      <c r="L83" s="1235">
        <v>0</v>
      </c>
      <c r="M83" s="1248">
        <v>0</v>
      </c>
      <c r="N83" s="1248">
        <v>0</v>
      </c>
      <c r="O83" s="1248">
        <v>0</v>
      </c>
      <c r="P83" s="1248">
        <v>0</v>
      </c>
      <c r="Q83" s="1248">
        <v>0</v>
      </c>
      <c r="R83" s="1248">
        <v>0</v>
      </c>
      <c r="S83" s="1248">
        <v>0</v>
      </c>
      <c r="T83" s="1248">
        <v>0</v>
      </c>
      <c r="U83" s="1248">
        <v>0</v>
      </c>
      <c r="V83" s="1248">
        <v>0</v>
      </c>
      <c r="W83" s="1248">
        <v>0</v>
      </c>
      <c r="X83" s="1248">
        <v>0</v>
      </c>
      <c r="Y83" s="1248">
        <v>0</v>
      </c>
      <c r="Z83" s="1248">
        <v>0</v>
      </c>
      <c r="AA83" s="1248">
        <v>0</v>
      </c>
      <c r="AB83" s="1248"/>
      <c r="AC83" s="1248"/>
      <c r="AD83" s="1248"/>
      <c r="AE83" s="1248"/>
      <c r="AF83" s="1248"/>
      <c r="AG83" s="1248"/>
      <c r="AH83" s="1248"/>
      <c r="AI83" s="629">
        <v>0</v>
      </c>
      <c r="AJ83" s="621"/>
      <c r="AK83" s="621"/>
      <c r="AL83" s="621"/>
      <c r="AM83" s="621"/>
    </row>
  </sheetData>
  <phoneticPr fontId="0" type="noConversion"/>
  <dataValidations disablePrompts="1" count="1">
    <dataValidation type="custom" allowBlank="1" showInputMessage="1" showErrorMessage="1" sqref="AJ7 AL7 AL11 AL14 AL21 AL28 AL31 AL34 AL40 AL43 AL46 AL49 AJ11 AJ14 AJ21 AJ28 AJ31 AJ34 AJ40 AJ43 AJ46 AJ49">
      <formula1>-1</formula1>
    </dataValidation>
  </dataValidations>
  <printOptions horizontalCentered="1"/>
  <pageMargins left="0" right="0" top="0.5" bottom="0.25" header="0.5" footer="0.5"/>
  <pageSetup scale="75" orientation="landscape"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BY92"/>
  <sheetViews>
    <sheetView showGridLines="0" zoomScale="85" zoomScaleNormal="85" zoomScaleSheetLayoutView="100" workbookViewId="0">
      <pane xSplit="20" ySplit="6" topLeftCell="AS7" activePane="bottomRight" state="frozen"/>
      <selection activeCell="C39" sqref="C39"/>
      <selection pane="topRight" activeCell="C39" sqref="C39"/>
      <selection pane="bottomLeft" activeCell="C39" sqref="C39"/>
      <selection pane="bottomRight" activeCell="BG6" sqref="BG6"/>
    </sheetView>
  </sheetViews>
  <sheetFormatPr defaultRowHeight="12.75" outlineLevelRow="1" outlineLevelCol="1"/>
  <cols>
    <col min="1" max="1" width="1.85546875" customWidth="1"/>
    <col min="2" max="2" width="4" customWidth="1"/>
    <col min="3" max="3" width="29.42578125" customWidth="1"/>
    <col min="4" max="4" width="3" customWidth="1"/>
    <col min="5" max="5" width="9.140625" hidden="1" customWidth="1" outlineLevel="1"/>
    <col min="6" max="6" width="1.5703125" hidden="1" customWidth="1" outlineLevel="1"/>
    <col min="7" max="7" width="9.140625" hidden="1" customWidth="1" outlineLevel="1"/>
    <col min="8" max="8" width="1.5703125" hidden="1" customWidth="1" outlineLevel="1"/>
    <col min="9" max="9" width="9.140625" hidden="1" customWidth="1" outlineLevel="1"/>
    <col min="10" max="10" width="1.5703125" hidden="1" customWidth="1" outlineLevel="1"/>
    <col min="11" max="11" width="9.140625" hidden="1" customWidth="1" outlineLevel="1"/>
    <col min="12" max="12" width="1.5703125" hidden="1" customWidth="1" outlineLevel="1"/>
    <col min="13" max="13" width="9.140625" hidden="1" customWidth="1" outlineLevel="1"/>
    <col min="14" max="14" width="1.5703125" hidden="1" customWidth="1" outlineLevel="1"/>
    <col min="15" max="15" width="9.140625" hidden="1" customWidth="1" outlineLevel="1" collapsed="1"/>
    <col min="16" max="16" width="1.5703125" hidden="1" customWidth="1" outlineLevel="1"/>
    <col min="17" max="17" width="9.140625" hidden="1" customWidth="1" outlineLevel="1"/>
    <col min="18" max="18" width="1.5703125" hidden="1" customWidth="1" outlineLevel="1"/>
    <col min="19" max="19" width="9.140625" hidden="1" customWidth="1" outlineLevel="1"/>
    <col min="20" max="20" width="2.28515625" hidden="1" customWidth="1" outlineLevel="1"/>
    <col min="21" max="21" width="8.140625" hidden="1" customWidth="1" outlineLevel="1"/>
    <col min="22" max="22" width="1.7109375" hidden="1" customWidth="1" outlineLevel="1"/>
    <col min="23" max="23" width="9" hidden="1" customWidth="1" outlineLevel="1"/>
    <col min="24" max="24" width="1.7109375" hidden="1" customWidth="1" outlineLevel="1"/>
    <col min="25" max="25" width="9" hidden="1" customWidth="1" outlineLevel="1"/>
    <col min="26" max="26" width="1.7109375" hidden="1" customWidth="1" outlineLevel="1"/>
    <col min="27" max="27" width="8.7109375" hidden="1" customWidth="1" outlineLevel="1" collapsed="1"/>
    <col min="28" max="28" width="1.7109375" hidden="1" customWidth="1" outlineLevel="1"/>
    <col min="29" max="29" width="8.42578125" hidden="1" customWidth="1" outlineLevel="1"/>
    <col min="30" max="30" width="1.7109375" hidden="1" customWidth="1" outlineLevel="1"/>
    <col min="31" max="31" width="8.42578125" hidden="1" customWidth="1" outlineLevel="1"/>
    <col min="32" max="32" width="1.7109375" hidden="1" customWidth="1" outlineLevel="1"/>
    <col min="33" max="33" width="8.42578125" hidden="1" customWidth="1" outlineLevel="1"/>
    <col min="34" max="34" width="1.7109375" hidden="1" customWidth="1" outlineLevel="1"/>
    <col min="35" max="35" width="8.42578125" hidden="1" customWidth="1" outlineLevel="1"/>
    <col min="36" max="36" width="1.7109375" hidden="1" customWidth="1" outlineLevel="1"/>
    <col min="37" max="37" width="8.42578125" hidden="1" customWidth="1" outlineLevel="1"/>
    <col min="38" max="38" width="1.7109375" hidden="1" customWidth="1" outlineLevel="1"/>
    <col min="39" max="39" width="8.42578125" hidden="1" customWidth="1" outlineLevel="1"/>
    <col min="40" max="40" width="1.7109375" hidden="1" customWidth="1" outlineLevel="1"/>
    <col min="41" max="41" width="8.42578125" hidden="1" customWidth="1" outlineLevel="1"/>
    <col min="42" max="42" width="1.7109375" hidden="1" customWidth="1" outlineLevel="1"/>
    <col min="43" max="43" width="8.42578125" hidden="1" customWidth="1" outlineLevel="1"/>
    <col min="44" max="44" width="1.7109375" hidden="1" customWidth="1" outlineLevel="1"/>
    <col min="45" max="45" width="8.42578125" customWidth="1" collapsed="1"/>
    <col min="46" max="46" width="1.7109375" customWidth="1"/>
    <col min="47" max="47" width="8.42578125" customWidth="1"/>
    <col min="48" max="48" width="1.7109375" customWidth="1"/>
    <col min="49" max="49" width="8.42578125" customWidth="1"/>
    <col min="50" max="50" width="1.7109375" customWidth="1"/>
    <col min="51" max="51" width="8.42578125" customWidth="1"/>
    <col min="52" max="52" width="1.7109375" customWidth="1"/>
    <col min="53" max="53" width="8.42578125" customWidth="1"/>
    <col min="54" max="54" width="1.7109375" customWidth="1"/>
    <col min="55" max="55" width="8.42578125" customWidth="1"/>
    <col min="56" max="56" width="1.7109375" customWidth="1"/>
    <col min="57" max="57" width="8.42578125" customWidth="1"/>
    <col min="58" max="58" width="1.7109375" customWidth="1"/>
    <col min="59" max="59" width="8.42578125" customWidth="1"/>
    <col min="60" max="60" width="1.5703125" customWidth="1"/>
    <col min="61" max="61" width="9.28515625" bestFit="1" customWidth="1"/>
    <col min="62" max="62" width="1.5703125" customWidth="1"/>
    <col min="63" max="63" width="9.28515625" bestFit="1" customWidth="1"/>
    <col min="64" max="64" width="1.5703125" customWidth="1"/>
    <col min="65" max="65" width="9.28515625" customWidth="1"/>
    <col min="66" max="66" width="1.5703125" customWidth="1"/>
    <col min="67" max="67" width="9.28515625" hidden="1" customWidth="1" outlineLevel="1"/>
    <col min="68" max="68" width="1.5703125" hidden="1" customWidth="1" outlineLevel="1"/>
    <col min="69" max="69" width="9.28515625" hidden="1" customWidth="1" outlineLevel="1"/>
    <col min="70" max="70" width="9.140625" hidden="1" customWidth="1" outlineLevel="1"/>
    <col min="71" max="71" width="22.5703125" hidden="1" customWidth="1" outlineLevel="1"/>
    <col min="72" max="76" width="9.140625" hidden="1" customWidth="1" outlineLevel="1"/>
    <col min="77" max="77" width="9.140625" collapsed="1"/>
  </cols>
  <sheetData>
    <row r="1" spans="1:70">
      <c r="A1" s="339" t="str">
        <f>work!A1</f>
        <v>Tiffany and Co.</v>
      </c>
      <c r="B1" s="339"/>
      <c r="C1" s="339"/>
      <c r="D1" s="339"/>
      <c r="E1" s="344"/>
      <c r="F1" s="339"/>
      <c r="G1" s="344"/>
      <c r="H1" s="339"/>
      <c r="I1" s="344"/>
      <c r="J1" s="339"/>
      <c r="K1" s="344"/>
      <c r="L1" s="339"/>
      <c r="M1" s="344"/>
      <c r="N1" s="339"/>
      <c r="O1" s="344"/>
      <c r="P1" s="339"/>
      <c r="Q1" s="339"/>
      <c r="R1" s="339"/>
      <c r="S1" s="344"/>
      <c r="T1" s="339"/>
      <c r="U1" s="339"/>
      <c r="V1" s="339"/>
      <c r="W1" s="344"/>
      <c r="X1" s="339"/>
      <c r="Y1" s="344"/>
      <c r="Z1" s="339"/>
      <c r="AA1" s="344"/>
      <c r="AB1" s="339"/>
      <c r="AC1" s="344"/>
      <c r="AD1" s="339"/>
      <c r="AE1" s="344"/>
      <c r="AF1" s="339"/>
      <c r="AG1" s="344"/>
      <c r="AH1" s="339"/>
      <c r="AI1" s="344"/>
      <c r="AJ1" s="339"/>
      <c r="AK1" s="344"/>
      <c r="AL1" s="339"/>
      <c r="AM1" s="344"/>
      <c r="AN1" s="339"/>
      <c r="AO1" s="344"/>
      <c r="AP1" s="339"/>
      <c r="AQ1" s="344"/>
      <c r="AR1" s="339"/>
      <c r="AS1" s="344"/>
      <c r="AT1" s="339"/>
      <c r="AU1" s="344"/>
      <c r="AV1" s="339"/>
      <c r="AW1" s="344"/>
      <c r="AX1" s="339"/>
      <c r="AY1" s="344"/>
      <c r="AZ1" s="339"/>
      <c r="BA1" s="344"/>
      <c r="BB1" s="344"/>
      <c r="BC1" s="344"/>
      <c r="BD1" s="344"/>
      <c r="BE1" s="344"/>
      <c r="BF1" s="344"/>
      <c r="BG1" s="344"/>
      <c r="BH1" s="339"/>
      <c r="BI1" s="344"/>
      <c r="BJ1" s="339"/>
      <c r="BK1" s="344"/>
      <c r="BL1" s="339"/>
      <c r="BM1" s="344"/>
      <c r="BN1" s="339"/>
      <c r="BO1" s="344"/>
      <c r="BP1" s="2320"/>
      <c r="BQ1" s="2320"/>
      <c r="BR1" s="339"/>
    </row>
    <row r="2" spans="1:70">
      <c r="A2" s="347" t="s">
        <v>1003</v>
      </c>
      <c r="B2" s="347"/>
      <c r="C2" s="347"/>
      <c r="D2" s="347"/>
      <c r="E2" s="349"/>
      <c r="F2" s="347"/>
      <c r="G2" s="349"/>
      <c r="H2" s="347"/>
      <c r="I2" s="349"/>
      <c r="J2" s="347"/>
      <c r="K2" s="349"/>
      <c r="L2" s="347"/>
      <c r="M2" s="349"/>
      <c r="N2" s="347"/>
      <c r="O2" s="349"/>
      <c r="P2" s="347"/>
      <c r="Q2" s="347"/>
      <c r="R2" s="347"/>
      <c r="S2" s="349"/>
      <c r="T2" s="347"/>
      <c r="U2" s="347"/>
      <c r="V2" s="347"/>
      <c r="W2" s="349"/>
      <c r="X2" s="347"/>
      <c r="Y2" s="349"/>
      <c r="Z2" s="347"/>
      <c r="AA2" s="349"/>
      <c r="AB2" s="347"/>
      <c r="AC2" s="349"/>
      <c r="AD2" s="347"/>
      <c r="AE2" s="349"/>
      <c r="AF2" s="347"/>
      <c r="AG2" s="349"/>
      <c r="AH2" s="347"/>
      <c r="AI2" s="349"/>
      <c r="AJ2" s="347"/>
      <c r="AK2" s="349"/>
      <c r="AL2" s="347"/>
      <c r="AM2" s="349"/>
      <c r="AN2" s="347"/>
      <c r="AO2" s="349"/>
      <c r="AP2" s="347"/>
      <c r="AQ2" s="349"/>
      <c r="AR2" s="347"/>
      <c r="AS2" s="349"/>
      <c r="AT2" s="347"/>
      <c r="AU2" s="349"/>
      <c r="AV2" s="347"/>
      <c r="AW2" s="349"/>
      <c r="AX2" s="347"/>
      <c r="AY2" s="349"/>
      <c r="AZ2" s="347"/>
      <c r="BA2" s="349"/>
      <c r="BB2" s="349"/>
      <c r="BC2" s="349"/>
      <c r="BD2" s="349"/>
      <c r="BE2" s="349"/>
      <c r="BF2" s="349"/>
      <c r="BG2" s="349"/>
      <c r="BH2" s="349"/>
      <c r="BI2" s="349"/>
      <c r="BJ2" s="349"/>
      <c r="BK2" s="349"/>
      <c r="BL2" s="349"/>
      <c r="BM2" s="349"/>
      <c r="BN2" s="349"/>
      <c r="BO2" s="349"/>
      <c r="BP2" s="2321"/>
      <c r="BQ2" s="2321"/>
      <c r="BR2" s="339"/>
    </row>
    <row r="3" spans="1:70">
      <c r="A3" s="439" t="s">
        <v>763</v>
      </c>
      <c r="B3" s="440"/>
      <c r="C3" s="330"/>
      <c r="D3" s="330"/>
      <c r="E3" s="330"/>
      <c r="F3" s="330"/>
      <c r="G3" s="330"/>
      <c r="H3" s="330"/>
      <c r="I3" s="330"/>
      <c r="J3" s="330"/>
      <c r="K3" s="330"/>
      <c r="L3" s="330"/>
      <c r="M3" s="330"/>
      <c r="N3" s="330"/>
      <c r="O3" s="330"/>
      <c r="P3" s="330"/>
      <c r="Q3" s="330"/>
      <c r="R3" s="330"/>
      <c r="S3" s="330"/>
      <c r="T3" s="330"/>
      <c r="U3" s="330"/>
      <c r="V3" s="330"/>
      <c r="W3" s="330"/>
      <c r="X3" s="330"/>
      <c r="Y3" s="330"/>
      <c r="Z3" s="330"/>
      <c r="AA3" s="330"/>
      <c r="AB3" s="330"/>
      <c r="AC3" s="330"/>
      <c r="AD3" s="330"/>
      <c r="AE3" s="330"/>
      <c r="AF3" s="330"/>
      <c r="AG3" s="330"/>
      <c r="AH3" s="330"/>
      <c r="AI3" s="330"/>
      <c r="AJ3" s="330"/>
      <c r="AK3" s="330"/>
      <c r="AL3" s="330"/>
      <c r="AM3" s="330"/>
      <c r="AN3" s="330"/>
      <c r="AO3" s="330"/>
      <c r="AP3" s="330"/>
      <c r="AQ3" s="889"/>
      <c r="AR3" s="330"/>
      <c r="AS3" s="330"/>
      <c r="AT3" s="330"/>
      <c r="AU3" s="330"/>
      <c r="AV3" s="330"/>
      <c r="AW3" s="330"/>
      <c r="AX3" s="330"/>
      <c r="AY3" s="330"/>
      <c r="AZ3" s="330"/>
      <c r="BA3" s="330"/>
      <c r="BB3" s="330"/>
      <c r="BC3" s="330"/>
      <c r="BD3" s="330"/>
      <c r="BE3" s="330"/>
      <c r="BF3" s="330"/>
      <c r="BG3" s="330"/>
      <c r="BH3" s="330"/>
      <c r="BI3" s="330"/>
      <c r="BJ3" s="330"/>
      <c r="BK3" s="330"/>
      <c r="BL3" s="330"/>
      <c r="BM3" s="330"/>
      <c r="BN3" s="330"/>
      <c r="BO3" s="330"/>
      <c r="BP3" s="405"/>
      <c r="BQ3" s="405"/>
      <c r="BR3" s="330"/>
    </row>
    <row r="4" spans="1:70">
      <c r="A4" s="440" t="s">
        <v>1004</v>
      </c>
      <c r="B4" s="440"/>
      <c r="C4" s="330"/>
      <c r="D4" s="330"/>
      <c r="E4" s="330"/>
      <c r="F4" s="330"/>
      <c r="G4" s="330"/>
      <c r="H4" s="330"/>
      <c r="I4" s="330"/>
      <c r="J4" s="330"/>
      <c r="K4" s="330"/>
      <c r="L4" s="330"/>
      <c r="M4" s="330"/>
      <c r="N4" s="330"/>
      <c r="O4" s="330"/>
      <c r="P4" s="330"/>
      <c r="Q4" s="330"/>
      <c r="R4" s="330"/>
      <c r="S4" s="330"/>
      <c r="T4" s="330"/>
      <c r="U4" s="330"/>
      <c r="V4" s="330"/>
      <c r="W4" s="330"/>
      <c r="X4" s="330"/>
      <c r="Y4" s="330"/>
      <c r="Z4" s="330"/>
      <c r="AA4" s="330"/>
      <c r="AB4" s="330"/>
      <c r="AC4" s="330"/>
      <c r="AD4" s="330"/>
      <c r="AE4" s="330"/>
      <c r="AF4" s="330"/>
      <c r="AG4" s="330"/>
      <c r="AH4" s="330"/>
      <c r="AI4" s="330"/>
      <c r="AJ4" s="330"/>
      <c r="AK4" s="330"/>
      <c r="AL4" s="330"/>
      <c r="AM4" s="330"/>
      <c r="AN4" s="330"/>
      <c r="AO4" s="330"/>
      <c r="AP4" s="330"/>
      <c r="AQ4" s="330"/>
      <c r="AR4" s="330"/>
      <c r="AS4" s="330"/>
      <c r="AT4" s="330"/>
      <c r="AU4" s="330"/>
      <c r="AV4" s="330"/>
      <c r="AW4" s="330"/>
      <c r="AX4" s="330"/>
      <c r="AY4" s="330"/>
      <c r="AZ4" s="330"/>
      <c r="BA4" s="330"/>
      <c r="BB4" s="330"/>
      <c r="BC4" s="330"/>
      <c r="BD4" s="330"/>
      <c r="BE4" s="330"/>
      <c r="BF4" s="330"/>
      <c r="BG4" s="330"/>
      <c r="BH4" s="330"/>
      <c r="BI4" s="330"/>
      <c r="BJ4" s="330"/>
      <c r="BK4" s="330"/>
      <c r="BL4" s="330"/>
      <c r="BM4" s="330"/>
      <c r="BN4" s="330"/>
      <c r="BO4" s="330"/>
      <c r="BP4" s="405"/>
      <c r="BQ4" s="405"/>
      <c r="BR4" s="330"/>
    </row>
    <row r="5" spans="1:70">
      <c r="A5" s="330"/>
      <c r="B5" s="330"/>
      <c r="C5" s="330"/>
      <c r="D5" s="330"/>
      <c r="E5" s="330"/>
      <c r="F5" s="330"/>
      <c r="G5" s="330"/>
      <c r="H5" s="330"/>
      <c r="I5" s="330"/>
      <c r="J5" s="330"/>
      <c r="K5" s="330"/>
      <c r="L5" s="330"/>
      <c r="M5" s="330"/>
      <c r="N5" s="330"/>
      <c r="O5" s="330"/>
      <c r="P5" s="330"/>
      <c r="Q5" s="330"/>
      <c r="R5" s="330"/>
      <c r="S5" s="330"/>
      <c r="T5" s="330"/>
      <c r="U5" s="330"/>
      <c r="V5" s="330"/>
      <c r="W5" s="367"/>
      <c r="X5" s="330"/>
      <c r="Y5" s="367"/>
      <c r="Z5" s="330"/>
      <c r="AA5" s="367"/>
      <c r="AB5" s="330"/>
      <c r="AC5" s="367"/>
      <c r="AD5" s="330"/>
      <c r="AE5" s="367"/>
      <c r="AF5" s="330"/>
      <c r="AG5" s="367"/>
      <c r="AH5" s="330"/>
      <c r="AI5" s="367"/>
      <c r="AJ5" s="330"/>
      <c r="AK5" s="367"/>
      <c r="AL5" s="330"/>
      <c r="AM5" s="367"/>
      <c r="AN5" s="330"/>
      <c r="AO5" s="367"/>
      <c r="AP5" s="330"/>
      <c r="AQ5" s="1270"/>
      <c r="AR5" s="330"/>
      <c r="AS5" s="367"/>
      <c r="AT5" s="330"/>
      <c r="AU5" s="367"/>
      <c r="AV5" s="330"/>
      <c r="AW5" s="367"/>
      <c r="AX5" s="330"/>
      <c r="AY5" s="1946"/>
      <c r="AZ5" s="330"/>
      <c r="BA5" s="367"/>
      <c r="BB5" s="367"/>
      <c r="BC5" s="367"/>
      <c r="BD5" s="367"/>
      <c r="BE5" s="367"/>
      <c r="BF5" s="367"/>
      <c r="BG5" s="367"/>
      <c r="BH5" s="330"/>
      <c r="BI5" s="367"/>
      <c r="BJ5" s="330"/>
      <c r="BK5" s="367"/>
      <c r="BL5" s="330"/>
      <c r="BM5" s="367"/>
      <c r="BN5" s="330"/>
      <c r="BO5" s="367"/>
      <c r="BP5" s="580"/>
      <c r="BQ5" s="580"/>
      <c r="BR5" s="330"/>
    </row>
    <row r="6" spans="1:70">
      <c r="A6" s="330"/>
      <c r="B6" s="330"/>
      <c r="C6" s="330"/>
      <c r="D6" s="330"/>
      <c r="E6" s="393">
        <v>1990</v>
      </c>
      <c r="F6" s="330"/>
      <c r="G6" s="394">
        <f>E6+1</f>
        <v>1991</v>
      </c>
      <c r="H6" s="330"/>
      <c r="I6" s="394">
        <f>G6+1</f>
        <v>1992</v>
      </c>
      <c r="J6" s="330"/>
      <c r="K6" s="394">
        <f>I6+1</f>
        <v>1993</v>
      </c>
      <c r="L6" s="330"/>
      <c r="M6" s="394">
        <f>K6+1</f>
        <v>1994</v>
      </c>
      <c r="N6" s="330"/>
      <c r="O6" s="394">
        <f>M6+1</f>
        <v>1995</v>
      </c>
      <c r="P6" s="337"/>
      <c r="Q6" s="394">
        <f>O6+1</f>
        <v>1996</v>
      </c>
      <c r="R6" s="337"/>
      <c r="S6" s="394">
        <f>Q6+1</f>
        <v>1997</v>
      </c>
      <c r="T6" s="337"/>
      <c r="U6" s="394">
        <f>S6+1</f>
        <v>1998</v>
      </c>
      <c r="V6" s="337"/>
      <c r="W6" s="394">
        <f>U6+1</f>
        <v>1999</v>
      </c>
      <c r="X6" s="337"/>
      <c r="Y6" s="394">
        <f>W6+1</f>
        <v>2000</v>
      </c>
      <c r="Z6" s="337"/>
      <c r="AA6" s="394">
        <f>Y6+1</f>
        <v>2001</v>
      </c>
      <c r="AB6" s="337"/>
      <c r="AC6" s="394">
        <f>AA6+1</f>
        <v>2002</v>
      </c>
      <c r="AD6" s="337"/>
      <c r="AE6" s="394">
        <f>AC6+1</f>
        <v>2003</v>
      </c>
      <c r="AF6" s="337"/>
      <c r="AG6" s="394">
        <f>AE6+1</f>
        <v>2004</v>
      </c>
      <c r="AH6" s="337"/>
      <c r="AI6" s="394">
        <f>AG6+1</f>
        <v>2005</v>
      </c>
      <c r="AJ6" s="337"/>
      <c r="AK6" s="394">
        <f>AI6+1</f>
        <v>2006</v>
      </c>
      <c r="AL6" s="330"/>
      <c r="AM6" s="394">
        <f>AK6+1</f>
        <v>2007</v>
      </c>
      <c r="AN6" s="330"/>
      <c r="AO6" s="394">
        <f>AM6+1</f>
        <v>2008</v>
      </c>
      <c r="AP6" s="330"/>
      <c r="AQ6" s="394">
        <f>AO6+1</f>
        <v>2009</v>
      </c>
      <c r="AR6" s="330"/>
      <c r="AS6" s="394">
        <f>AQ6+1</f>
        <v>2010</v>
      </c>
      <c r="AT6" s="330"/>
      <c r="AU6" s="394">
        <f>AS6+1</f>
        <v>2011</v>
      </c>
      <c r="AV6" s="330"/>
      <c r="AW6" s="394">
        <f>AU6+1</f>
        <v>2012</v>
      </c>
      <c r="AX6" s="330"/>
      <c r="AY6" s="394">
        <f>AW6+1</f>
        <v>2013</v>
      </c>
      <c r="AZ6" s="330"/>
      <c r="BA6" s="394">
        <f>AY6+1</f>
        <v>2014</v>
      </c>
      <c r="BB6" s="1669"/>
      <c r="BC6" s="394">
        <f>BA6+1</f>
        <v>2015</v>
      </c>
      <c r="BD6" s="1669"/>
      <c r="BE6" s="394">
        <f>BC6+1</f>
        <v>2016</v>
      </c>
      <c r="BF6" s="1669"/>
      <c r="BG6" s="394">
        <f>BE6+1</f>
        <v>2017</v>
      </c>
      <c r="BH6" s="330"/>
      <c r="BI6" s="395">
        <f>BG6+1</f>
        <v>2018</v>
      </c>
      <c r="BJ6" s="330"/>
      <c r="BK6" s="395">
        <f>BI6+1</f>
        <v>2019</v>
      </c>
      <c r="BL6" s="330"/>
      <c r="BM6" s="395">
        <f>BK6+1</f>
        <v>2020</v>
      </c>
      <c r="BN6" s="330"/>
      <c r="BO6" s="395">
        <f>BM6+1</f>
        <v>2021</v>
      </c>
      <c r="BP6" s="2322"/>
      <c r="BQ6" s="2322">
        <f>BO6+1</f>
        <v>2022</v>
      </c>
      <c r="BR6" s="330"/>
    </row>
    <row r="7" spans="1:70" ht="2.1" customHeight="1">
      <c r="A7" s="330"/>
      <c r="B7" s="330"/>
      <c r="C7" s="330"/>
      <c r="D7" s="330"/>
      <c r="E7" s="330"/>
      <c r="F7" s="330"/>
      <c r="G7" s="330"/>
      <c r="H7" s="330"/>
      <c r="I7" s="330"/>
      <c r="J7" s="330"/>
      <c r="K7" s="330"/>
      <c r="L7" s="330"/>
      <c r="M7" s="330"/>
      <c r="N7" s="330"/>
      <c r="O7" s="330"/>
      <c r="P7" s="330"/>
      <c r="Q7" s="367"/>
      <c r="R7" s="330"/>
      <c r="S7" s="330"/>
      <c r="T7" s="330"/>
      <c r="U7" s="330"/>
      <c r="V7" s="330"/>
      <c r="W7" s="330"/>
      <c r="X7" s="330"/>
      <c r="Y7" s="330"/>
      <c r="Z7" s="330"/>
      <c r="AA7" s="330"/>
      <c r="AB7" s="330"/>
      <c r="AC7" s="330"/>
      <c r="AD7" s="330"/>
      <c r="AE7" s="330"/>
      <c r="AF7" s="330"/>
      <c r="AG7" s="330"/>
      <c r="AH7" s="330"/>
      <c r="AI7" s="330"/>
      <c r="AJ7" s="330"/>
      <c r="AK7" s="330"/>
      <c r="AL7" s="330"/>
      <c r="AM7" s="330"/>
      <c r="AN7" s="330"/>
      <c r="AO7" s="330"/>
      <c r="AP7" s="330"/>
      <c r="AQ7" s="330"/>
      <c r="AR7" s="330"/>
      <c r="AS7" s="330"/>
      <c r="AT7" s="330"/>
      <c r="AU7" s="330"/>
      <c r="AV7" s="330"/>
      <c r="AW7" s="330"/>
      <c r="AX7" s="330"/>
      <c r="AY7" s="330"/>
      <c r="AZ7" s="330"/>
      <c r="BA7" s="330"/>
      <c r="BB7" s="330"/>
      <c r="BC7" s="330"/>
      <c r="BD7" s="330"/>
      <c r="BE7" s="330"/>
      <c r="BF7" s="330"/>
      <c r="BG7" s="330"/>
      <c r="BH7" s="330"/>
      <c r="BI7" s="330"/>
      <c r="BJ7" s="330"/>
      <c r="BK7" s="330"/>
      <c r="BL7" s="330"/>
      <c r="BM7" s="330"/>
      <c r="BN7" s="330"/>
      <c r="BO7" s="330"/>
      <c r="BP7" s="405"/>
      <c r="BQ7" s="405"/>
      <c r="BR7" s="330"/>
    </row>
    <row r="8" spans="1:70">
      <c r="A8" s="441" t="s">
        <v>1904</v>
      </c>
      <c r="B8" s="442"/>
      <c r="C8" s="330"/>
      <c r="D8" s="330"/>
      <c r="E8" s="330"/>
      <c r="F8" s="330"/>
      <c r="G8" s="330"/>
      <c r="H8" s="330"/>
      <c r="I8" s="330"/>
      <c r="J8" s="330"/>
      <c r="K8" s="330"/>
      <c r="L8" s="330"/>
      <c r="M8" s="330"/>
      <c r="N8" s="330"/>
      <c r="O8" s="330"/>
      <c r="P8" s="330"/>
      <c r="Q8" s="330"/>
      <c r="R8" s="330"/>
      <c r="S8" s="330"/>
      <c r="T8" s="330"/>
      <c r="U8" s="330"/>
      <c r="V8" s="330"/>
      <c r="W8" s="330"/>
      <c r="X8" s="330"/>
      <c r="Y8" s="330"/>
      <c r="Z8" s="330"/>
      <c r="AA8" s="330"/>
      <c r="AB8" s="330"/>
      <c r="AC8" s="330"/>
      <c r="AD8" s="330"/>
      <c r="AE8" s="330"/>
      <c r="AF8" s="330"/>
      <c r="AG8" s="330"/>
      <c r="AH8" s="330"/>
      <c r="AI8" s="330"/>
      <c r="AJ8" s="330"/>
      <c r="AK8" s="330"/>
      <c r="AL8" s="330"/>
      <c r="AM8" s="330"/>
      <c r="AN8" s="330"/>
      <c r="AO8" s="330"/>
      <c r="AP8" s="330"/>
      <c r="AQ8" s="330"/>
      <c r="AR8" s="330"/>
      <c r="AS8" s="445"/>
      <c r="AT8" s="330"/>
      <c r="AU8" s="445"/>
      <c r="AV8" s="330"/>
      <c r="AW8" s="445"/>
      <c r="AX8" s="330"/>
      <c r="AY8" s="330"/>
      <c r="AZ8" s="330"/>
      <c r="BA8" s="330"/>
      <c r="BB8" s="330"/>
      <c r="BC8" s="330"/>
      <c r="BD8" s="330"/>
      <c r="BE8" s="330"/>
      <c r="BF8" s="330"/>
      <c r="BG8" s="330"/>
      <c r="BH8" s="330"/>
      <c r="BI8" s="330"/>
      <c r="BJ8" s="330"/>
      <c r="BK8" s="330"/>
      <c r="BL8" s="330"/>
      <c r="BM8" s="330"/>
      <c r="BN8" s="330"/>
      <c r="BO8" s="330"/>
      <c r="BP8" s="405"/>
      <c r="BQ8" s="405"/>
      <c r="BR8" s="330"/>
    </row>
    <row r="9" spans="1:70">
      <c r="A9" s="443"/>
      <c r="B9" s="330" t="s">
        <v>1905</v>
      </c>
      <c r="C9" s="330"/>
      <c r="D9" s="330"/>
      <c r="E9" s="444"/>
      <c r="F9" s="330"/>
      <c r="G9" s="444"/>
      <c r="H9" s="330"/>
      <c r="I9" s="421">
        <f>flow!H66</f>
        <v>6.6720000000000343</v>
      </c>
      <c r="J9" s="421">
        <f>flow!I66</f>
        <v>0</v>
      </c>
      <c r="K9" s="421">
        <f>flow!J66</f>
        <v>4.9940000000000087</v>
      </c>
      <c r="L9" s="421">
        <f>flow!K66</f>
        <v>0</v>
      </c>
      <c r="M9" s="421">
        <f>flow!L66</f>
        <v>44.318000000000033</v>
      </c>
      <c r="N9" s="421">
        <f>flow!M66</f>
        <v>0</v>
      </c>
      <c r="O9" s="421">
        <f>flow!N66</f>
        <v>81.966000000000008</v>
      </c>
      <c r="P9" s="330"/>
      <c r="Q9" s="445">
        <f>flow!P66</f>
        <v>117.16100000000007</v>
      </c>
      <c r="R9" s="445"/>
      <c r="S9" s="445">
        <f>flow!R66</f>
        <v>107.25200000000007</v>
      </c>
      <c r="T9" s="445"/>
      <c r="U9" s="445">
        <f>flow!T66</f>
        <v>188.59300000000007</v>
      </c>
      <c r="V9" s="445"/>
      <c r="W9" s="445">
        <f>flow!V66</f>
        <v>216.93600000000006</v>
      </c>
      <c r="X9" s="445"/>
      <c r="Y9" s="445">
        <f>flow!X66</f>
        <v>195.61300000000011</v>
      </c>
      <c r="Z9" s="445"/>
      <c r="AA9" s="445">
        <f>flow!Z66</f>
        <v>173.67500000000013</v>
      </c>
      <c r="AB9" s="445"/>
      <c r="AC9" s="445">
        <f>flow!AB66</f>
        <v>156.19700000000014</v>
      </c>
      <c r="AD9" s="445"/>
      <c r="AE9" s="445">
        <f>flow!AD66</f>
        <v>248.66500000000013</v>
      </c>
      <c r="AF9" s="451"/>
      <c r="AG9" s="445">
        <f>flow!AF66</f>
        <v>187.6810000000001</v>
      </c>
      <c r="AH9" s="445"/>
      <c r="AI9" s="445">
        <f>flow!AH66</f>
        <v>393.60900000000026</v>
      </c>
      <c r="AJ9" s="445"/>
      <c r="AK9" s="1217">
        <f>flow!AJ66</f>
        <v>175.00800000000024</v>
      </c>
      <c r="AL9" s="330"/>
      <c r="AM9" s="445">
        <f>flow!AL66</f>
        <v>246.65400000000045</v>
      </c>
      <c r="AN9" s="330"/>
      <c r="AO9" s="445">
        <f>flow!AN66</f>
        <v>160.44500000000048</v>
      </c>
      <c r="AP9" s="330"/>
      <c r="AQ9" s="445">
        <f>flow!AP66</f>
        <v>785.70200000000057</v>
      </c>
      <c r="AR9" s="330"/>
      <c r="AS9" s="445">
        <f>flow!AR66</f>
        <v>681.59100000000058</v>
      </c>
      <c r="AT9" s="330"/>
      <c r="AU9" s="445">
        <f>flow!AT66</f>
        <v>433.95400000000052</v>
      </c>
      <c r="AV9" s="330"/>
      <c r="AW9" s="445">
        <f>flow!AV66</f>
        <v>504.83800000000008</v>
      </c>
      <c r="AX9" s="330"/>
      <c r="AY9" s="1217">
        <f>flow!AX66</f>
        <v>345.77800000000002</v>
      </c>
      <c r="AZ9" s="1217"/>
      <c r="BA9" s="1217">
        <f>flow!AZ66</f>
        <v>729.95699999999908</v>
      </c>
      <c r="BB9" s="445"/>
      <c r="BC9" s="445">
        <f>flow!BB66</f>
        <v>843.60000000000036</v>
      </c>
      <c r="BD9" s="451"/>
      <c r="BE9" s="445">
        <f>flow!BD66</f>
        <v>927.99999999999989</v>
      </c>
      <c r="BF9" s="445"/>
      <c r="BG9" s="445">
        <f>flow!BF66</f>
        <v>970.69999999999982</v>
      </c>
      <c r="BH9" s="330"/>
      <c r="BI9" s="445">
        <f>flow!BH66</f>
        <v>952.1520029791543</v>
      </c>
      <c r="BJ9" s="330"/>
      <c r="BK9" s="445">
        <f>flow!BJ66</f>
        <v>1047.8876319881397</v>
      </c>
      <c r="BL9" s="330"/>
      <c r="BM9" s="445">
        <f>flow!BL66</f>
        <v>1317.0979131802776</v>
      </c>
      <c r="BN9" s="330"/>
      <c r="BO9" s="445">
        <f>flow!BN66</f>
        <v>1491.1879646662992</v>
      </c>
      <c r="BP9" s="1217"/>
      <c r="BQ9" s="1217">
        <f>flow!BP66</f>
        <v>1741.0054307560199</v>
      </c>
      <c r="BR9" s="330"/>
    </row>
    <row r="10" spans="1:70">
      <c r="A10" s="735"/>
      <c r="B10" s="330" t="s">
        <v>586</v>
      </c>
      <c r="C10" s="433"/>
      <c r="D10" s="433"/>
      <c r="E10" s="404"/>
      <c r="F10" s="433"/>
      <c r="G10" s="404"/>
      <c r="H10" s="433"/>
      <c r="I10" s="404"/>
      <c r="J10" s="433"/>
      <c r="K10" s="404"/>
      <c r="L10" s="433"/>
      <c r="M10" s="404"/>
      <c r="N10" s="433"/>
      <c r="O10" s="404"/>
      <c r="P10" s="433"/>
      <c r="Q10" s="404"/>
      <c r="R10" s="433"/>
      <c r="S10" s="404"/>
      <c r="T10" s="446"/>
      <c r="U10" s="430"/>
      <c r="V10" s="433"/>
      <c r="W10" s="404"/>
      <c r="X10" s="433"/>
      <c r="Y10" s="404"/>
      <c r="Z10" s="433"/>
      <c r="AA10" s="404"/>
      <c r="AB10" s="433"/>
      <c r="AC10" s="404"/>
      <c r="AD10" s="433"/>
      <c r="AE10" s="404">
        <v>27.45</v>
      </c>
      <c r="AF10" s="433"/>
      <c r="AG10" s="404">
        <v>139.19999999999999</v>
      </c>
      <c r="AH10" s="433"/>
      <c r="AI10" s="404">
        <v>0</v>
      </c>
      <c r="AJ10" s="330"/>
      <c r="AK10" s="404">
        <f>15.5</f>
        <v>15.5</v>
      </c>
      <c r="AL10" s="433"/>
      <c r="AM10" s="404">
        <v>0</v>
      </c>
      <c r="AN10" s="433"/>
      <c r="AO10" s="404">
        <v>0</v>
      </c>
      <c r="AP10" s="433"/>
      <c r="AQ10" s="404">
        <v>0</v>
      </c>
      <c r="AR10" s="433"/>
      <c r="AS10" s="404">
        <v>59.28</v>
      </c>
      <c r="AT10" s="433"/>
      <c r="AU10" s="404">
        <v>8.2360000000000007</v>
      </c>
      <c r="AV10" s="433"/>
      <c r="AW10" s="404">
        <v>1.363</v>
      </c>
      <c r="AX10" s="433"/>
      <c r="AY10" s="430">
        <v>21.257000000000001</v>
      </c>
      <c r="AZ10" s="433"/>
      <c r="BA10" s="430">
        <v>1.5</v>
      </c>
      <c r="BB10" s="421"/>
      <c r="BC10" s="2159">
        <v>43</v>
      </c>
      <c r="BD10" s="451"/>
      <c r="BE10" s="2159">
        <v>57.8</v>
      </c>
      <c r="BF10" s="421"/>
      <c r="BG10" s="2458">
        <v>320.5</v>
      </c>
      <c r="BH10" s="433"/>
      <c r="BI10" s="421">
        <f>+BG10</f>
        <v>320.5</v>
      </c>
      <c r="BJ10" s="433"/>
      <c r="BK10" s="421">
        <f>+BI10</f>
        <v>320.5</v>
      </c>
      <c r="BL10" s="433"/>
      <c r="BM10" s="421">
        <f>+BK10</f>
        <v>320.5</v>
      </c>
      <c r="BN10" s="433"/>
      <c r="BO10" s="421">
        <f>+BM10</f>
        <v>320.5</v>
      </c>
      <c r="BP10" s="432"/>
      <c r="BQ10" s="432">
        <f>+BO10</f>
        <v>320.5</v>
      </c>
      <c r="BR10" s="433"/>
    </row>
    <row r="11" spans="1:70">
      <c r="A11" s="443"/>
      <c r="B11" s="330" t="s">
        <v>1005</v>
      </c>
      <c r="C11" s="330"/>
      <c r="D11" s="330"/>
      <c r="E11" s="404"/>
      <c r="F11" s="330"/>
      <c r="G11" s="404"/>
      <c r="H11" s="330"/>
      <c r="I11" s="404">
        <v>51.378</v>
      </c>
      <c r="J11" s="330"/>
      <c r="K11" s="404">
        <v>67.33</v>
      </c>
      <c r="L11" s="330"/>
      <c r="M11" s="404">
        <v>61.622</v>
      </c>
      <c r="N11" s="330"/>
      <c r="O11" s="404">
        <v>80.084000000000003</v>
      </c>
      <c r="P11" s="330"/>
      <c r="Q11" s="404">
        <v>80.772000000000006</v>
      </c>
      <c r="R11" s="330"/>
      <c r="S11" s="404">
        <v>99.492000000000004</v>
      </c>
      <c r="T11" s="446"/>
      <c r="U11" s="404">
        <v>108.381</v>
      </c>
      <c r="V11" s="330"/>
      <c r="W11" s="404">
        <v>119.35599999999999</v>
      </c>
      <c r="X11" s="330"/>
      <c r="Y11" s="404">
        <v>106.988</v>
      </c>
      <c r="Z11" s="330"/>
      <c r="AA11" s="404">
        <v>98.527000000000001</v>
      </c>
      <c r="AB11" s="330"/>
      <c r="AC11" s="404">
        <v>113.06100000000001</v>
      </c>
      <c r="AD11" s="330"/>
      <c r="AE11" s="404">
        <v>131.99</v>
      </c>
      <c r="AF11" s="330"/>
      <c r="AG11" s="404">
        <v>133.54499999999999</v>
      </c>
      <c r="AH11" s="330"/>
      <c r="AI11" s="404">
        <v>142.29400000000001</v>
      </c>
      <c r="AJ11" s="330"/>
      <c r="AK11" s="404">
        <v>165.59399999999999</v>
      </c>
      <c r="AL11" s="330"/>
      <c r="AM11" s="404">
        <v>193.97399999999999</v>
      </c>
      <c r="AN11" s="330"/>
      <c r="AO11" s="404">
        <v>164.447</v>
      </c>
      <c r="AP11" s="330"/>
      <c r="AQ11" s="404">
        <v>158.70599999999999</v>
      </c>
      <c r="AR11" s="330"/>
      <c r="AS11" s="404">
        <v>185.96899999999999</v>
      </c>
      <c r="AT11" s="330"/>
      <c r="AU11" s="404">
        <v>184.08500000000001</v>
      </c>
      <c r="AV11" s="330"/>
      <c r="AW11" s="404">
        <v>173.99799999999999</v>
      </c>
      <c r="AX11" s="330"/>
      <c r="AY11" s="430">
        <v>188.81399999999999</v>
      </c>
      <c r="AZ11" s="330"/>
      <c r="BA11" s="430">
        <v>195.16800000000001</v>
      </c>
      <c r="BB11" s="421"/>
      <c r="BC11" s="2160">
        <v>206.4</v>
      </c>
      <c r="BD11" s="451"/>
      <c r="BE11" s="2160">
        <v>226.8</v>
      </c>
      <c r="BF11" s="421"/>
      <c r="BG11" s="2458">
        <v>231.2</v>
      </c>
      <c r="BH11" s="330"/>
      <c r="BI11" s="421">
        <f>+BI66*BI61</f>
        <v>249.9233077517836</v>
      </c>
      <c r="BJ11" s="330"/>
      <c r="BK11" s="421">
        <f>+BK66*BK61</f>
        <v>263.52518541494294</v>
      </c>
      <c r="BL11" s="330"/>
      <c r="BM11" s="421">
        <f>+BM66*BM61</f>
        <v>277.56284857452681</v>
      </c>
      <c r="BN11" s="330"/>
      <c r="BO11" s="421">
        <f>+BO66*BO61</f>
        <v>289.11267983373682</v>
      </c>
      <c r="BP11" s="432"/>
      <c r="BQ11" s="432">
        <f>+BQ66*BQ61</f>
        <v>300.94004086066275</v>
      </c>
      <c r="BR11" s="330"/>
    </row>
    <row r="12" spans="1:70">
      <c r="A12" s="443"/>
      <c r="B12" s="330" t="s">
        <v>1906</v>
      </c>
      <c r="C12" s="330"/>
      <c r="D12" s="330"/>
      <c r="E12" s="404"/>
      <c r="F12" s="330"/>
      <c r="G12" s="404"/>
      <c r="H12" s="330"/>
      <c r="I12" s="404">
        <v>224.15100000000001</v>
      </c>
      <c r="J12" s="330"/>
      <c r="K12" s="404">
        <v>262.28199999999998</v>
      </c>
      <c r="L12" s="330"/>
      <c r="M12" s="404">
        <v>270.07499999999999</v>
      </c>
      <c r="N12" s="330"/>
      <c r="O12" s="404">
        <v>311.25200000000001</v>
      </c>
      <c r="P12" s="330"/>
      <c r="Q12" s="404">
        <v>335.38900000000001</v>
      </c>
      <c r="R12" s="330"/>
      <c r="S12" s="404">
        <v>386.43099999999998</v>
      </c>
      <c r="T12" s="446"/>
      <c r="U12" s="404">
        <v>481.43900000000002</v>
      </c>
      <c r="V12" s="330"/>
      <c r="W12" s="404">
        <v>504.8</v>
      </c>
      <c r="X12" s="330"/>
      <c r="Y12" s="404">
        <v>651.71699999999998</v>
      </c>
      <c r="Z12" s="330"/>
      <c r="AA12" s="404">
        <v>611.65300000000002</v>
      </c>
      <c r="AB12" s="330"/>
      <c r="AC12" s="404">
        <v>732.08799999999997</v>
      </c>
      <c r="AD12" s="330"/>
      <c r="AE12" s="404">
        <v>871.25099999999998</v>
      </c>
      <c r="AF12" s="330"/>
      <c r="AG12" s="404">
        <v>1057.2449999999999</v>
      </c>
      <c r="AH12" s="330"/>
      <c r="AI12" s="404">
        <v>1060.164</v>
      </c>
      <c r="AJ12" s="330"/>
      <c r="AK12" s="404">
        <v>1146.674</v>
      </c>
      <c r="AL12" s="330"/>
      <c r="AM12" s="404">
        <v>1372.3969999999999</v>
      </c>
      <c r="AN12" s="330"/>
      <c r="AO12" s="404">
        <v>1601.2360000000001</v>
      </c>
      <c r="AP12" s="330"/>
      <c r="AQ12" s="404">
        <v>1427.855</v>
      </c>
      <c r="AR12" s="330"/>
      <c r="AS12" s="404">
        <v>1625.3019999999999</v>
      </c>
      <c r="AT12" s="330"/>
      <c r="AU12" s="404">
        <v>2073.212</v>
      </c>
      <c r="AV12" s="330"/>
      <c r="AW12" s="404">
        <v>2234.3339999999998</v>
      </c>
      <c r="AX12" s="330"/>
      <c r="AY12" s="430">
        <v>2326.58</v>
      </c>
      <c r="AZ12" s="330"/>
      <c r="BA12" s="430">
        <v>2362.1120000000001</v>
      </c>
      <c r="BB12" s="421"/>
      <c r="BC12" s="2160">
        <v>2225</v>
      </c>
      <c r="BD12" s="451"/>
      <c r="BE12" s="2160">
        <v>2157.6</v>
      </c>
      <c r="BF12" s="421"/>
      <c r="BG12" s="2458">
        <v>2253.5</v>
      </c>
      <c r="BH12" s="421"/>
      <c r="BI12" s="421">
        <f>BI67*'yrP&amp;L'!AD7</f>
        <v>2398.3868305302744</v>
      </c>
      <c r="BJ12" s="421"/>
      <c r="BK12" s="421">
        <f>BK67*'yrP&amp;L'!AE7</f>
        <v>2528.9171302100663</v>
      </c>
      <c r="BL12" s="421"/>
      <c r="BM12" s="421">
        <f>BM67*'yrP&amp;L'!AF7</f>
        <v>2663.6294415836173</v>
      </c>
      <c r="BN12" s="421"/>
      <c r="BO12" s="421">
        <f>BO67*'yrP&amp;L'!AG7</f>
        <v>2774.4672959483164</v>
      </c>
      <c r="BP12" s="432"/>
      <c r="BQ12" s="432">
        <f>BQ67*'yrP&amp;L'!AH7</f>
        <v>2887.9684622944301</v>
      </c>
      <c r="BR12" s="330"/>
    </row>
    <row r="13" spans="1:70" outlineLevel="1">
      <c r="A13" s="443"/>
      <c r="B13" s="330" t="s">
        <v>1942</v>
      </c>
      <c r="C13" s="330"/>
      <c r="D13" s="330"/>
      <c r="E13" s="404"/>
      <c r="F13" s="330"/>
      <c r="G13" s="404"/>
      <c r="H13" s="330"/>
      <c r="I13" s="404"/>
      <c r="J13" s="330"/>
      <c r="K13" s="404">
        <f>12.517+15.404</f>
        <v>27.920999999999999</v>
      </c>
      <c r="L13" s="330"/>
      <c r="M13" s="404">
        <v>5.4429999999999996</v>
      </c>
      <c r="N13" s="330"/>
      <c r="O13" s="404">
        <v>8.06</v>
      </c>
      <c r="P13" s="330"/>
      <c r="Q13" s="404">
        <v>14.297000000000001</v>
      </c>
      <c r="R13" s="330"/>
      <c r="S13" s="404">
        <v>17.373000000000001</v>
      </c>
      <c r="T13" s="446"/>
      <c r="U13" s="404">
        <v>18.061</v>
      </c>
      <c r="V13" s="330"/>
      <c r="W13" s="404">
        <v>30.212</v>
      </c>
      <c r="X13" s="330"/>
      <c r="Y13" s="404">
        <v>28.068999999999999</v>
      </c>
      <c r="Z13" s="330"/>
      <c r="AA13" s="404">
        <v>41.17</v>
      </c>
      <c r="AB13" s="330"/>
      <c r="AC13" s="404">
        <v>44.38</v>
      </c>
      <c r="AD13" s="330"/>
      <c r="AE13" s="404">
        <v>45.042999999999999</v>
      </c>
      <c r="AF13" s="330"/>
      <c r="AG13" s="404">
        <v>64.790000000000006</v>
      </c>
      <c r="AH13" s="330"/>
      <c r="AI13" s="404">
        <v>69.575999999999993</v>
      </c>
      <c r="AJ13" s="330"/>
      <c r="AK13" s="404">
        <v>72.933999999999997</v>
      </c>
      <c r="AL13" s="330"/>
      <c r="AM13" s="404">
        <v>20.218</v>
      </c>
      <c r="AN13" s="330"/>
      <c r="AO13" s="404">
        <v>13.64</v>
      </c>
      <c r="AP13" s="330"/>
      <c r="AQ13" s="404">
        <v>6.6509999999999998</v>
      </c>
      <c r="AR13" s="330"/>
      <c r="AS13" s="404">
        <v>41.826000000000001</v>
      </c>
      <c r="AT13" s="330"/>
      <c r="AU13" s="404">
        <v>83.123999999999995</v>
      </c>
      <c r="AV13" s="330"/>
      <c r="AW13" s="404">
        <v>79.507999999999996</v>
      </c>
      <c r="AX13" s="330"/>
      <c r="AY13" s="430">
        <v>101.012</v>
      </c>
      <c r="AZ13" s="330"/>
      <c r="BA13" s="430">
        <v>102.613</v>
      </c>
      <c r="BB13" s="421"/>
      <c r="BC13" s="2159">
        <v>0</v>
      </c>
      <c r="BD13" s="451"/>
      <c r="BE13" s="2159">
        <f>BC13</f>
        <v>0</v>
      </c>
      <c r="BF13" s="421"/>
      <c r="BG13" s="2458">
        <f>BE13</f>
        <v>0</v>
      </c>
      <c r="BH13" s="330"/>
      <c r="BI13" s="421">
        <f>BG13</f>
        <v>0</v>
      </c>
      <c r="BJ13" s="330"/>
      <c r="BK13" s="421">
        <f>BI13</f>
        <v>0</v>
      </c>
      <c r="BL13" s="330"/>
      <c r="BM13" s="421">
        <f>BK13</f>
        <v>0</v>
      </c>
      <c r="BN13" s="330"/>
      <c r="BO13" s="421">
        <f>BM13</f>
        <v>0</v>
      </c>
      <c r="BP13" s="432"/>
      <c r="BQ13" s="432"/>
      <c r="BR13" s="330"/>
    </row>
    <row r="14" spans="1:70">
      <c r="A14" s="443"/>
      <c r="B14" s="330" t="s">
        <v>1372</v>
      </c>
      <c r="C14" s="330"/>
      <c r="D14" s="330"/>
      <c r="E14" s="425"/>
      <c r="F14" s="330"/>
      <c r="G14" s="425"/>
      <c r="H14" s="330"/>
      <c r="I14" s="425">
        <v>11.207000000000001</v>
      </c>
      <c r="J14" s="330"/>
      <c r="K14" s="425">
        <v>17.718</v>
      </c>
      <c r="L14" s="330"/>
      <c r="M14" s="425">
        <f>17.868+7.925</f>
        <v>25.792999999999999</v>
      </c>
      <c r="N14" s="330"/>
      <c r="O14" s="425">
        <v>20.042000000000002</v>
      </c>
      <c r="P14" s="330"/>
      <c r="Q14" s="425">
        <f>21.364</f>
        <v>21.364000000000001</v>
      </c>
      <c r="R14" s="446"/>
      <c r="S14" s="425">
        <v>20.539000000000001</v>
      </c>
      <c r="T14" s="446"/>
      <c r="U14" s="425">
        <v>19.170000000000002</v>
      </c>
      <c r="V14" s="330"/>
      <c r="W14" s="425">
        <v>20.356999999999999</v>
      </c>
      <c r="X14" s="330"/>
      <c r="Y14" s="425">
        <v>22.457999999999998</v>
      </c>
      <c r="Z14" s="330"/>
      <c r="AA14" s="425">
        <v>28.032</v>
      </c>
      <c r="AB14" s="330"/>
      <c r="AC14" s="425">
        <v>24.661999999999999</v>
      </c>
      <c r="AD14" s="330"/>
      <c r="AE14" s="425">
        <v>23.683</v>
      </c>
      <c r="AF14" s="330"/>
      <c r="AG14" s="425">
        <v>25.428000000000001</v>
      </c>
      <c r="AH14" s="330"/>
      <c r="AI14" s="425">
        <v>33.200000000000003</v>
      </c>
      <c r="AJ14" s="330"/>
      <c r="AK14" s="425">
        <f>57.46+73.474</f>
        <v>130.934</v>
      </c>
      <c r="AL14" s="330"/>
      <c r="AM14" s="425">
        <v>89.072000000000003</v>
      </c>
      <c r="AN14" s="330"/>
      <c r="AO14" s="425">
        <v>108.96599999999999</v>
      </c>
      <c r="AP14" s="330"/>
      <c r="AQ14" s="425">
        <v>66.751999999999995</v>
      </c>
      <c r="AR14" s="330"/>
      <c r="AS14" s="425">
        <v>90.576999999999998</v>
      </c>
      <c r="AT14" s="330"/>
      <c r="AU14" s="425">
        <v>107.06399999999999</v>
      </c>
      <c r="AV14" s="330"/>
      <c r="AW14" s="425">
        <v>157.548</v>
      </c>
      <c r="AX14" s="330"/>
      <c r="AY14" s="1709">
        <v>244.947</v>
      </c>
      <c r="AZ14" s="330"/>
      <c r="BA14" s="1709">
        <v>220.03700000000001</v>
      </c>
      <c r="BB14" s="455"/>
      <c r="BC14" s="2167">
        <v>190.4</v>
      </c>
      <c r="BD14" s="451"/>
      <c r="BE14" s="2167">
        <v>203.4</v>
      </c>
      <c r="BF14" s="455"/>
      <c r="BG14" s="2459">
        <v>207.4</v>
      </c>
      <c r="BH14" s="330"/>
      <c r="BI14" s="423">
        <f>+(BI68*BI61)</f>
        <v>222.8576123056589</v>
      </c>
      <c r="BJ14" s="330"/>
      <c r="BK14" s="423">
        <f>+(BK68*BK61)</f>
        <v>234.98646097589153</v>
      </c>
      <c r="BL14" s="330"/>
      <c r="BM14" s="423">
        <f>+(BM68*BM61)</f>
        <v>102.25999684324673</v>
      </c>
      <c r="BN14" s="330"/>
      <c r="BO14" s="423">
        <f>+(BO68*BO61)</f>
        <v>106.51519783348198</v>
      </c>
      <c r="BP14" s="734"/>
      <c r="BQ14" s="1691">
        <f>+(BQ68*BQ61)</f>
        <v>110.87264663287574</v>
      </c>
      <c r="BR14" s="330"/>
    </row>
    <row r="15" spans="1:70">
      <c r="A15" s="443"/>
      <c r="B15" s="330"/>
      <c r="C15" s="330" t="s">
        <v>1588</v>
      </c>
      <c r="D15" s="330"/>
      <c r="E15" s="397">
        <f>SUM(E9:E14)</f>
        <v>0</v>
      </c>
      <c r="F15" s="330"/>
      <c r="G15" s="397">
        <f>SUM(G9:G14)</f>
        <v>0</v>
      </c>
      <c r="H15" s="330"/>
      <c r="I15" s="397">
        <f>SUM(I9:I14)</f>
        <v>293.40800000000002</v>
      </c>
      <c r="J15" s="330"/>
      <c r="K15" s="397">
        <f>SUM(K9:K14)</f>
        <v>380.245</v>
      </c>
      <c r="L15" s="330"/>
      <c r="M15" s="397">
        <f>SUM(M9:M14)</f>
        <v>407.25099999999998</v>
      </c>
      <c r="N15" s="330"/>
      <c r="O15" s="397">
        <f>SUM(O9:O14)</f>
        <v>501.404</v>
      </c>
      <c r="P15" s="330"/>
      <c r="Q15" s="397">
        <f>SUM(Q9:Q14)</f>
        <v>568.98300000000017</v>
      </c>
      <c r="R15" s="330"/>
      <c r="S15" s="397">
        <f>SUM(S9:S14)</f>
        <v>631.0870000000001</v>
      </c>
      <c r="T15" s="330"/>
      <c r="U15" s="397">
        <f>SUM(U9:U14)</f>
        <v>815.64400000000001</v>
      </c>
      <c r="V15" s="330"/>
      <c r="W15" s="397">
        <f>SUM(W9:W14)</f>
        <v>891.66100000000006</v>
      </c>
      <c r="X15" s="330"/>
      <c r="Y15" s="397">
        <f>SUM(Y9:Y14)</f>
        <v>1004.845</v>
      </c>
      <c r="Z15" s="330"/>
      <c r="AA15" s="397">
        <f>SUM(AA9:AA14)</f>
        <v>953.05700000000013</v>
      </c>
      <c r="AB15" s="330"/>
      <c r="AC15" s="397">
        <f>SUM(AC9:AC14)</f>
        <v>1070.3880000000001</v>
      </c>
      <c r="AD15" s="330"/>
      <c r="AE15" s="397">
        <f>SUM(AE9:AE14)</f>
        <v>1348.0820000000001</v>
      </c>
      <c r="AF15" s="330"/>
      <c r="AG15" s="397">
        <f>SUM(AG9:AG14)</f>
        <v>1607.8889999999999</v>
      </c>
      <c r="AH15" s="330"/>
      <c r="AI15" s="397">
        <f>SUM(AI9:AI14)</f>
        <v>1698.8430000000003</v>
      </c>
      <c r="AJ15" s="330"/>
      <c r="AK15" s="397">
        <f>SUM(AK9:AK14)</f>
        <v>1706.6440000000002</v>
      </c>
      <c r="AL15" s="330"/>
      <c r="AM15" s="397">
        <f>SUM(AM9:AM14)</f>
        <v>1922.3150000000005</v>
      </c>
      <c r="AN15" s="330"/>
      <c r="AO15" s="397">
        <f>SUM(AO9:AO14)</f>
        <v>2048.7340000000008</v>
      </c>
      <c r="AP15" s="330"/>
      <c r="AQ15" s="397">
        <f>SUM(AQ9:AQ14)</f>
        <v>2445.6660000000006</v>
      </c>
      <c r="AR15" s="330"/>
      <c r="AS15" s="397">
        <f>SUM(AS9:AS14)</f>
        <v>2684.545000000001</v>
      </c>
      <c r="AT15" s="330"/>
      <c r="AU15" s="397">
        <f>SUM(AU9:AU14)</f>
        <v>2889.6750000000002</v>
      </c>
      <c r="AV15" s="330"/>
      <c r="AW15" s="397">
        <f>SUM(AW9:AW14)</f>
        <v>3151.5889999999999</v>
      </c>
      <c r="AX15" s="330"/>
      <c r="AY15" s="398">
        <f>SUM(AY9:AY14)</f>
        <v>3228.3880000000004</v>
      </c>
      <c r="AZ15" s="330"/>
      <c r="BA15" s="397">
        <f>SUM(BA9:BA14)</f>
        <v>3611.3869999999988</v>
      </c>
      <c r="BB15" s="397"/>
      <c r="BC15" s="397">
        <f>SUM(BC9:BC14)</f>
        <v>3508.4000000000005</v>
      </c>
      <c r="BD15" s="451"/>
      <c r="BE15" s="397">
        <f>SUM(BE9:BE14)</f>
        <v>3573.6</v>
      </c>
      <c r="BF15" s="397"/>
      <c r="BG15" s="397">
        <f>SUM(BG9:BG14)</f>
        <v>3983.2999999999997</v>
      </c>
      <c r="BH15" s="330"/>
      <c r="BI15" s="397">
        <f>SUM(BI9:BI14)</f>
        <v>4143.8197535668714</v>
      </c>
      <c r="BJ15" s="330"/>
      <c r="BK15" s="397">
        <f>SUM(BK9:BK14)</f>
        <v>4395.8164085890403</v>
      </c>
      <c r="BL15" s="330"/>
      <c r="BM15" s="397">
        <f>SUM(BM9:BM14)</f>
        <v>4681.0502001816685</v>
      </c>
      <c r="BN15" s="330"/>
      <c r="BO15" s="397">
        <f>SUM(BO9:BO14)</f>
        <v>4981.783138281834</v>
      </c>
      <c r="BP15" s="398"/>
      <c r="BQ15" s="398">
        <f>SUM(BQ9:BQ14)</f>
        <v>5361.2865805439887</v>
      </c>
      <c r="BR15" s="330"/>
    </row>
    <row r="16" spans="1:70" ht="3" customHeight="1">
      <c r="A16" s="447"/>
      <c r="B16" s="330"/>
      <c r="C16" s="330"/>
      <c r="D16" s="330"/>
      <c r="E16" s="397"/>
      <c r="F16" s="330"/>
      <c r="G16" s="397"/>
      <c r="H16" s="330"/>
      <c r="I16" s="397"/>
      <c r="J16" s="330"/>
      <c r="K16" s="397"/>
      <c r="L16" s="330"/>
      <c r="M16" s="397"/>
      <c r="N16" s="330"/>
      <c r="O16" s="397"/>
      <c r="P16" s="330"/>
      <c r="Q16" s="397"/>
      <c r="R16" s="330"/>
      <c r="S16" s="397"/>
      <c r="T16" s="330"/>
      <c r="U16" s="397"/>
      <c r="V16" s="330"/>
      <c r="W16" s="397"/>
      <c r="X16" s="330"/>
      <c r="Y16" s="397"/>
      <c r="Z16" s="330"/>
      <c r="AA16" s="397"/>
      <c r="AB16" s="330"/>
      <c r="AC16" s="397"/>
      <c r="AD16" s="330"/>
      <c r="AE16" s="397"/>
      <c r="AF16" s="330"/>
      <c r="AG16" s="397"/>
      <c r="AH16" s="330"/>
      <c r="AI16" s="397"/>
      <c r="AJ16" s="330"/>
      <c r="AK16" s="889"/>
      <c r="AL16" s="330"/>
      <c r="AM16" s="397"/>
      <c r="AN16" s="330"/>
      <c r="AO16" s="397"/>
      <c r="AP16" s="330"/>
      <c r="AQ16" s="397"/>
      <c r="AR16" s="330"/>
      <c r="AS16" s="397"/>
      <c r="AT16" s="330"/>
      <c r="AU16" s="397"/>
      <c r="AV16" s="330"/>
      <c r="AW16" s="397"/>
      <c r="AX16" s="330"/>
      <c r="AY16" s="398"/>
      <c r="AZ16" s="330"/>
      <c r="BA16" s="398"/>
      <c r="BB16" s="397"/>
      <c r="BC16" s="397"/>
      <c r="BD16" s="397"/>
      <c r="BE16" s="397"/>
      <c r="BF16" s="397"/>
      <c r="BG16" s="397"/>
      <c r="BH16" s="330"/>
      <c r="BI16" s="397"/>
      <c r="BJ16" s="330"/>
      <c r="BK16" s="397"/>
      <c r="BL16" s="330"/>
      <c r="BM16" s="397"/>
      <c r="BN16" s="330"/>
      <c r="BO16" s="397"/>
      <c r="BP16" s="398"/>
      <c r="BQ16" s="398"/>
      <c r="BR16" s="330"/>
    </row>
    <row r="17" spans="1:70">
      <c r="A17" s="443"/>
      <c r="B17" s="579" t="s">
        <v>540</v>
      </c>
      <c r="C17" s="330"/>
      <c r="D17" s="330"/>
      <c r="E17" s="444"/>
      <c r="F17" s="330"/>
      <c r="G17" s="444"/>
      <c r="H17" s="330"/>
      <c r="I17" s="404">
        <v>94.453999999999994</v>
      </c>
      <c r="J17" s="330"/>
      <c r="K17" s="404">
        <v>97.364999999999995</v>
      </c>
      <c r="L17" s="330"/>
      <c r="M17" s="404">
        <v>112.07599999999999</v>
      </c>
      <c r="N17" s="330"/>
      <c r="O17" s="404">
        <v>115.214</v>
      </c>
      <c r="P17" s="330"/>
      <c r="Q17" s="404">
        <v>129.346</v>
      </c>
      <c r="R17" s="330"/>
      <c r="S17" s="404">
        <v>156.36699999999999</v>
      </c>
      <c r="T17" s="330"/>
      <c r="U17" s="404">
        <v>189.79499999999999</v>
      </c>
      <c r="V17" s="330"/>
      <c r="W17" s="404">
        <v>322.39999999999998</v>
      </c>
      <c r="X17" s="330"/>
      <c r="Y17" s="404">
        <v>423.24400000000003</v>
      </c>
      <c r="Z17" s="330"/>
      <c r="AA17" s="404">
        <v>525.58500000000004</v>
      </c>
      <c r="AB17" s="330"/>
      <c r="AC17" s="404">
        <v>677.63</v>
      </c>
      <c r="AD17" s="330"/>
      <c r="AE17" s="404">
        <v>885.09199999999998</v>
      </c>
      <c r="AF17" s="330"/>
      <c r="AG17" s="404">
        <v>917.85299999999995</v>
      </c>
      <c r="AH17" s="330"/>
      <c r="AI17" s="404">
        <v>866.00400000000002</v>
      </c>
      <c r="AJ17" s="330"/>
      <c r="AK17" s="404">
        <v>912.14300000000003</v>
      </c>
      <c r="AL17" s="330"/>
      <c r="AM17" s="404">
        <v>748.21</v>
      </c>
      <c r="AN17" s="330"/>
      <c r="AO17" s="404">
        <v>741.048</v>
      </c>
      <c r="AP17" s="330"/>
      <c r="AQ17" s="404">
        <v>685.101</v>
      </c>
      <c r="AR17" s="330"/>
      <c r="AS17" s="404">
        <v>665.58799999999997</v>
      </c>
      <c r="AT17" s="330"/>
      <c r="AU17" s="404">
        <v>767.17399999999998</v>
      </c>
      <c r="AV17" s="330"/>
      <c r="AW17" s="404">
        <v>818.83799999999997</v>
      </c>
      <c r="AX17" s="330"/>
      <c r="AY17" s="430">
        <v>855.09500000000003</v>
      </c>
      <c r="AZ17" s="330"/>
      <c r="BA17" s="430">
        <v>899.50699999999995</v>
      </c>
      <c r="BB17" s="421"/>
      <c r="BC17" s="2160">
        <v>935.8</v>
      </c>
      <c r="BD17" s="451"/>
      <c r="BE17" s="2160">
        <v>931.8</v>
      </c>
      <c r="BF17" s="421"/>
      <c r="BG17" s="2458">
        <v>990.5</v>
      </c>
      <c r="BH17" s="330"/>
      <c r="BI17" s="421">
        <f>BG17+flow!BH27-flow!BH11</f>
        <v>1060.0382671563927</v>
      </c>
      <c r="BJ17" s="330"/>
      <c r="BK17" s="421">
        <f>BI17+flow!BJ27-flow!BJ11</f>
        <v>1122.7455704107381</v>
      </c>
      <c r="BL17" s="330"/>
      <c r="BM17" s="421">
        <f>BK17+flow!BL27-flow!BL11</f>
        <v>1183.8779584282336</v>
      </c>
      <c r="BN17" s="330"/>
      <c r="BO17" s="421">
        <f>BM17+flow!BN27-flow!BN11</f>
        <v>1250.9918673168393</v>
      </c>
      <c r="BP17" s="432"/>
      <c r="BQ17" s="432">
        <f>BO17+flow!BP27-flow!BP11</f>
        <v>1272.8483248527841</v>
      </c>
      <c r="BR17" s="330"/>
    </row>
    <row r="18" spans="1:70" ht="3" customHeight="1">
      <c r="A18" s="443"/>
      <c r="B18" s="330"/>
      <c r="C18" s="330"/>
      <c r="D18" s="330"/>
      <c r="E18" s="404"/>
      <c r="F18" s="330"/>
      <c r="G18" s="404"/>
      <c r="H18" s="330"/>
      <c r="I18" s="404"/>
      <c r="J18" s="330"/>
      <c r="K18" s="404"/>
      <c r="L18" s="330"/>
      <c r="M18" s="404"/>
      <c r="N18" s="330"/>
      <c r="O18" s="404"/>
      <c r="P18" s="330"/>
      <c r="Q18" s="404"/>
      <c r="R18" s="330"/>
      <c r="S18" s="404"/>
      <c r="T18" s="330"/>
      <c r="U18" s="404"/>
      <c r="V18" s="330"/>
      <c r="W18" s="404"/>
      <c r="X18" s="330"/>
      <c r="Y18" s="404"/>
      <c r="Z18" s="330"/>
      <c r="AA18" s="404"/>
      <c r="AB18" s="330"/>
      <c r="AC18" s="404"/>
      <c r="AD18" s="330"/>
      <c r="AE18" s="404"/>
      <c r="AF18" s="330"/>
      <c r="AG18" s="404"/>
      <c r="AH18" s="330"/>
      <c r="AI18" s="404"/>
      <c r="AJ18" s="433"/>
      <c r="AK18" s="404"/>
      <c r="AL18" s="330"/>
      <c r="AM18" s="404"/>
      <c r="AN18" s="330"/>
      <c r="AO18" s="404"/>
      <c r="AP18" s="330"/>
      <c r="AQ18" s="404"/>
      <c r="AR18" s="330"/>
      <c r="AS18" s="404"/>
      <c r="AT18" s="330"/>
      <c r="AU18" s="404"/>
      <c r="AV18" s="330"/>
      <c r="AW18" s="404"/>
      <c r="AX18" s="330"/>
      <c r="AY18" s="430"/>
      <c r="AZ18" s="330"/>
      <c r="BA18" s="430"/>
      <c r="BB18" s="404"/>
      <c r="BC18" s="404"/>
      <c r="BD18" s="404"/>
      <c r="BE18" s="404"/>
      <c r="BF18" s="404"/>
      <c r="BG18" s="2458"/>
      <c r="BH18" s="330"/>
      <c r="BI18" s="404"/>
      <c r="BJ18" s="330"/>
      <c r="BK18" s="404"/>
      <c r="BL18" s="330"/>
      <c r="BM18" s="404"/>
      <c r="BN18" s="330"/>
      <c r="BO18" s="404"/>
      <c r="BP18" s="430"/>
      <c r="BQ18" s="430"/>
      <c r="BR18" s="330"/>
    </row>
    <row r="19" spans="1:70">
      <c r="A19" s="443"/>
      <c r="B19" s="330" t="s">
        <v>1380</v>
      </c>
      <c r="C19" s="330"/>
      <c r="D19" s="330"/>
      <c r="E19" s="425"/>
      <c r="F19" s="330"/>
      <c r="G19" s="425"/>
      <c r="H19" s="330"/>
      <c r="I19" s="425">
        <f>5.723+25.77</f>
        <v>31.492999999999999</v>
      </c>
      <c r="J19" s="330"/>
      <c r="K19" s="425">
        <v>26.798999999999999</v>
      </c>
      <c r="L19" s="330"/>
      <c r="M19" s="425">
        <f>5.353+31.992</f>
        <v>37.344999999999999</v>
      </c>
      <c r="N19" s="330"/>
      <c r="O19" s="425">
        <f>10.033+27.606</f>
        <v>37.639000000000003</v>
      </c>
      <c r="P19" s="330"/>
      <c r="Q19" s="425">
        <f>10.259+30.83</f>
        <v>41.088999999999999</v>
      </c>
      <c r="R19" s="330"/>
      <c r="S19" s="425">
        <f>8.859+30.754</f>
        <v>39.613</v>
      </c>
      <c r="T19" s="446"/>
      <c r="U19" s="448">
        <f>9.032+42.552</f>
        <v>51.584000000000003</v>
      </c>
      <c r="V19" s="426"/>
      <c r="W19" s="448">
        <f>6.235+123.266</f>
        <v>129.501</v>
      </c>
      <c r="X19" s="426"/>
      <c r="Y19" s="448">
        <f>7.282+132.969</f>
        <v>140.251</v>
      </c>
      <c r="Z19" s="426"/>
      <c r="AA19" s="448">
        <f>4.56+147.872</f>
        <v>152.43200000000002</v>
      </c>
      <c r="AB19" s="426"/>
      <c r="AC19" s="448">
        <f>6.595+168.973</f>
        <v>175.56800000000001</v>
      </c>
      <c r="AD19" s="426"/>
      <c r="AE19" s="448">
        <v>157.91399999999999</v>
      </c>
      <c r="AF19" s="426"/>
      <c r="AG19" s="448">
        <v>140.376</v>
      </c>
      <c r="AH19" s="426"/>
      <c r="AI19" s="791">
        <f>182.597+29.828</f>
        <v>212.42500000000001</v>
      </c>
      <c r="AJ19" s="681"/>
      <c r="AK19" s="791">
        <f>37.368+156.097+33.258</f>
        <v>226.72300000000001</v>
      </c>
      <c r="AL19" s="330"/>
      <c r="AM19" s="791">
        <f>158.579+171.8</f>
        <v>330.37900000000002</v>
      </c>
      <c r="AN19" s="330"/>
      <c r="AO19" s="791">
        <f>166.517+145.984</f>
        <v>312.50099999999998</v>
      </c>
      <c r="AP19" s="330"/>
      <c r="AQ19" s="791">
        <f>183.825+173.768</f>
        <v>357.59299999999996</v>
      </c>
      <c r="AR19" s="330"/>
      <c r="AS19" s="791">
        <f>202.902+182.634</f>
        <v>385.53599999999994</v>
      </c>
      <c r="AT19" s="330"/>
      <c r="AU19" s="791">
        <f>271.156+230.987</f>
        <v>502.14300000000003</v>
      </c>
      <c r="AV19" s="330"/>
      <c r="AW19" s="791">
        <f>306.385+354.038</f>
        <v>660.423</v>
      </c>
      <c r="AX19" s="330"/>
      <c r="AY19" s="791">
        <f>278.39+390.478</f>
        <v>668.86799999999994</v>
      </c>
      <c r="AZ19" s="330"/>
      <c r="BA19" s="791">
        <f>323.449+346.26</f>
        <v>669.70900000000006</v>
      </c>
      <c r="BB19" s="734"/>
      <c r="BC19" s="2168">
        <v>685.5</v>
      </c>
      <c r="BD19" s="451"/>
      <c r="BE19" s="2168">
        <f>301.8+290.4</f>
        <v>592.20000000000005</v>
      </c>
      <c r="BF19" s="734"/>
      <c r="BG19" s="2460">
        <f>188.2+306.1</f>
        <v>494.3</v>
      </c>
      <c r="BH19" s="330"/>
      <c r="BI19" s="734">
        <f>+BG19-flow!BH13-flow!BH14-flow!BH17-flow!BH18-flow!BH19-flow!BH20</f>
        <v>417.40000000000003</v>
      </c>
      <c r="BJ19" s="330"/>
      <c r="BK19" s="734">
        <f>+BI19-flow!BJ13-flow!BJ14-flow!BJ17-flow!BJ18-flow!BJ19-flow!BJ20</f>
        <v>340.50000000000006</v>
      </c>
      <c r="BL19" s="330"/>
      <c r="BM19" s="734">
        <f>+BK19-flow!BL13-flow!BL14-flow!BL17-flow!BL18-flow!BL19-flow!BL20</f>
        <v>263.60000000000008</v>
      </c>
      <c r="BN19" s="330"/>
      <c r="BO19" s="734">
        <f>+BM19-flow!BN13-flow!BN14-flow!BN17-flow!BN18-flow!BN19-flow!BN20</f>
        <v>186.70000000000007</v>
      </c>
      <c r="BP19" s="734"/>
      <c r="BQ19" s="734">
        <f>+BO19-flow!BP13-flow!BP14-flow!BP17-flow!BP18-flow!BP19-flow!BP20</f>
        <v>109.80000000000007</v>
      </c>
      <c r="BR19" s="330"/>
    </row>
    <row r="20" spans="1:70" ht="3" customHeight="1">
      <c r="A20" s="443"/>
      <c r="B20" s="330"/>
      <c r="C20" s="330"/>
      <c r="D20" s="330"/>
      <c r="E20" s="425"/>
      <c r="F20" s="330"/>
      <c r="G20" s="425"/>
      <c r="H20" s="330"/>
      <c r="I20" s="425"/>
      <c r="J20" s="330"/>
      <c r="K20" s="425"/>
      <c r="L20" s="330"/>
      <c r="M20" s="425"/>
      <c r="N20" s="330"/>
      <c r="O20" s="425"/>
      <c r="P20" s="330"/>
      <c r="Q20" s="425"/>
      <c r="R20" s="330"/>
      <c r="S20" s="425"/>
      <c r="T20" s="446"/>
      <c r="U20" s="425"/>
      <c r="V20" s="330"/>
      <c r="W20" s="425"/>
      <c r="X20" s="330"/>
      <c r="Y20" s="425"/>
      <c r="Z20" s="330"/>
      <c r="AA20" s="425"/>
      <c r="AB20" s="330"/>
      <c r="AC20" s="425"/>
      <c r="AD20" s="330"/>
      <c r="AE20" s="425"/>
      <c r="AF20" s="330"/>
      <c r="AG20" s="425"/>
      <c r="AH20" s="330"/>
      <c r="AI20" s="425"/>
      <c r="AJ20" s="330"/>
      <c r="AK20" s="425"/>
      <c r="AL20" s="330"/>
      <c r="AM20" s="425"/>
      <c r="AN20" s="330"/>
      <c r="AO20" s="425"/>
      <c r="AP20" s="330"/>
      <c r="AQ20" s="425"/>
      <c r="AR20" s="330"/>
      <c r="AS20" s="425"/>
      <c r="AT20" s="330"/>
      <c r="AU20" s="425"/>
      <c r="AV20" s="330"/>
      <c r="AW20" s="425"/>
      <c r="AX20" s="330"/>
      <c r="AY20" s="1709"/>
      <c r="AZ20" s="330"/>
      <c r="BA20" s="1709"/>
      <c r="BB20" s="448"/>
      <c r="BC20" s="425"/>
      <c r="BD20" s="448"/>
      <c r="BE20" s="425"/>
      <c r="BF20" s="448"/>
      <c r="BG20" s="425"/>
      <c r="BH20" s="330"/>
      <c r="BI20" s="425"/>
      <c r="BJ20" s="330"/>
      <c r="BK20" s="425"/>
      <c r="BL20" s="330"/>
      <c r="BM20" s="425"/>
      <c r="BN20" s="330"/>
      <c r="BO20" s="425"/>
      <c r="BP20" s="791"/>
      <c r="BQ20" s="791"/>
      <c r="BR20" s="330"/>
    </row>
    <row r="21" spans="1:70">
      <c r="A21" s="330" t="s">
        <v>1984</v>
      </c>
      <c r="B21" s="330"/>
      <c r="C21" s="330"/>
      <c r="D21" s="330"/>
      <c r="E21" s="449">
        <f>SUM(E15,E17,E19:E19)-E18</f>
        <v>0</v>
      </c>
      <c r="F21" s="397"/>
      <c r="G21" s="449">
        <f>SUM(G15,G17,G19:G19)+G18</f>
        <v>0</v>
      </c>
      <c r="H21" s="397"/>
      <c r="I21" s="449">
        <f>SUM(I15,I17,I19:I19)+I18</f>
        <v>419.35500000000002</v>
      </c>
      <c r="J21" s="397"/>
      <c r="K21" s="449">
        <f>SUM(K15,K17,K19:K19)+K18</f>
        <v>504.40899999999999</v>
      </c>
      <c r="L21" s="397"/>
      <c r="M21" s="449">
        <f>SUM(M15,M17,M19:M19)+M18</f>
        <v>556.67200000000003</v>
      </c>
      <c r="N21" s="397"/>
      <c r="O21" s="449">
        <f>SUM(O15,O17,O19:O19)+O18</f>
        <v>654.25699999999995</v>
      </c>
      <c r="P21" s="397"/>
      <c r="Q21" s="449">
        <f>SUM(Q15,Q17,Q19:Q19)+Q18</f>
        <v>739.41800000000012</v>
      </c>
      <c r="R21" s="397"/>
      <c r="S21" s="449">
        <f>SUM(S15,S17,S19:S19)+S18</f>
        <v>827.06700000000001</v>
      </c>
      <c r="T21" s="397"/>
      <c r="U21" s="449">
        <f>SUM(U15,U17,U19:U19)+U18</f>
        <v>1057.0229999999999</v>
      </c>
      <c r="V21" s="397"/>
      <c r="W21" s="449">
        <f>SUM(W15,W17,W19:W19)+W18</f>
        <v>1343.5620000000001</v>
      </c>
      <c r="X21" s="397"/>
      <c r="Y21" s="449">
        <f>SUM(Y15,Y17,Y19:Y19)+Y18</f>
        <v>1568.34</v>
      </c>
      <c r="Z21" s="397"/>
      <c r="AA21" s="449">
        <f>SUM(AA15,AA17,AA19:AA19)+AA18</f>
        <v>1631.0740000000003</v>
      </c>
      <c r="AB21" s="397"/>
      <c r="AC21" s="449">
        <f>SUM(AC15,AC17,AC19:AC19)+AC18</f>
        <v>1923.586</v>
      </c>
      <c r="AD21" s="397"/>
      <c r="AE21" s="449">
        <f>SUM(AE15,AE17,AE19:AE19)+AE18</f>
        <v>2391.0879999999997</v>
      </c>
      <c r="AF21" s="397"/>
      <c r="AG21" s="449">
        <f>SUM(AG15,AG17,AG19:AG19)+AG18</f>
        <v>2666.1179999999999</v>
      </c>
      <c r="AH21" s="397"/>
      <c r="AI21" s="449">
        <f>SUM(AI15,AI17,AI19:AI19)</f>
        <v>2777.2720000000004</v>
      </c>
      <c r="AJ21" s="397"/>
      <c r="AK21" s="449">
        <f>SUM(AK15,AK17,AK19:AK19)</f>
        <v>2845.51</v>
      </c>
      <c r="AL21" s="330"/>
      <c r="AM21" s="449">
        <f>SUM(AM15,AM17,AM19:AM19)+AM18</f>
        <v>3000.9040000000005</v>
      </c>
      <c r="AN21" s="330"/>
      <c r="AO21" s="449">
        <f>SUM(AO15,AO17,AO19:AO19)+AO18</f>
        <v>3102.2830000000013</v>
      </c>
      <c r="AP21" s="330"/>
      <c r="AQ21" s="449">
        <f>SUM(AQ15,AQ17,AQ19:AQ19)+AQ18</f>
        <v>3488.3600000000006</v>
      </c>
      <c r="AR21" s="330"/>
      <c r="AS21" s="449">
        <f>SUM(AS15,AS17,AS19:AS19)+AS18</f>
        <v>3735.6690000000008</v>
      </c>
      <c r="AT21" s="330"/>
      <c r="AU21" s="449">
        <f>SUM(AU15,AU17,AU19:AU19)+AU18</f>
        <v>4158.9920000000002</v>
      </c>
      <c r="AV21" s="330"/>
      <c r="AW21" s="449">
        <f>SUM(AW15,AW17,AW19:AW19)+AW18</f>
        <v>4630.8499999999995</v>
      </c>
      <c r="AX21" s="330"/>
      <c r="AY21" s="1710">
        <f>SUM(AY15,AY17,AY19:AY19)+AY18</f>
        <v>4752.3510000000006</v>
      </c>
      <c r="AZ21" s="330"/>
      <c r="BA21" s="449">
        <f>SUM(BA15,BA17,BA19:BA19)+BA18</f>
        <v>5180.6029999999982</v>
      </c>
      <c r="BB21" s="427"/>
      <c r="BC21" s="449">
        <f>SUM(BC15,BC17,BC19:BC19)+BC18</f>
        <v>5129.7000000000007</v>
      </c>
      <c r="BD21" s="427"/>
      <c r="BE21" s="449">
        <f>SUM(BE15,BE17,BE19:BE19)+BE18</f>
        <v>5097.5999999999995</v>
      </c>
      <c r="BF21" s="427"/>
      <c r="BG21" s="449">
        <f>SUM(BG15,BG17,BG19:BG19)+BG18</f>
        <v>5468.0999999999995</v>
      </c>
      <c r="BH21" s="330"/>
      <c r="BI21" s="449">
        <f>SUM(BI15,BI17,BI19:BI19)+BI18</f>
        <v>5621.2580207232641</v>
      </c>
      <c r="BJ21" s="330"/>
      <c r="BK21" s="449">
        <f>SUM(BK15,BK17,BK19:BK19)+BK18</f>
        <v>5859.0619789997781</v>
      </c>
      <c r="BL21" s="330"/>
      <c r="BM21" s="449">
        <f>SUM(BM15,BM17,BM19:BM19)+BM18</f>
        <v>6128.5281586099027</v>
      </c>
      <c r="BN21" s="330"/>
      <c r="BO21" s="449">
        <f>SUM(BO15,BO17,BO19:BO19)+BO18</f>
        <v>6419.4750055986733</v>
      </c>
      <c r="BP21" s="1716"/>
      <c r="BQ21" s="1710">
        <f>SUM(BQ15,BQ17,BQ19:BQ19)+BQ18</f>
        <v>6743.9349053967735</v>
      </c>
      <c r="BR21" s="330"/>
    </row>
    <row r="22" spans="1:70" ht="5.0999999999999996" customHeight="1">
      <c r="A22" s="330"/>
      <c r="B22" s="330"/>
      <c r="C22" s="330"/>
      <c r="D22" s="330"/>
      <c r="E22" s="330"/>
      <c r="F22" s="330"/>
      <c r="G22" s="371"/>
      <c r="H22" s="330"/>
      <c r="I22" s="371"/>
      <c r="J22" s="330"/>
      <c r="K22" s="371"/>
      <c r="L22" s="330"/>
      <c r="M22" s="371"/>
      <c r="N22" s="330"/>
      <c r="O22" s="371"/>
      <c r="P22" s="330"/>
      <c r="Q22" s="371"/>
      <c r="R22" s="330"/>
      <c r="S22" s="371"/>
      <c r="T22" s="330"/>
      <c r="U22" s="371"/>
      <c r="V22" s="330"/>
      <c r="W22" s="371"/>
      <c r="X22" s="330"/>
      <c r="Y22" s="371"/>
      <c r="Z22" s="330"/>
      <c r="AA22" s="371"/>
      <c r="AB22" s="330"/>
      <c r="AC22" s="330"/>
      <c r="AD22" s="330"/>
      <c r="AE22" s="330"/>
      <c r="AF22" s="330"/>
      <c r="AG22" s="445"/>
      <c r="AH22" s="330"/>
      <c r="AI22" s="330"/>
      <c r="AJ22" s="330"/>
      <c r="AK22" s="330"/>
      <c r="AL22" s="330"/>
      <c r="AM22" s="330"/>
      <c r="AN22" s="330"/>
      <c r="AO22" s="330"/>
      <c r="AP22" s="330"/>
      <c r="AQ22" s="330"/>
      <c r="AR22" s="330"/>
      <c r="AS22" s="330"/>
      <c r="AT22" s="330"/>
      <c r="AU22" s="330"/>
      <c r="AV22" s="330"/>
      <c r="AW22" s="330"/>
      <c r="AX22" s="330"/>
      <c r="AY22" s="405"/>
      <c r="AZ22" s="330"/>
      <c r="BA22" s="405"/>
      <c r="BB22" s="330"/>
      <c r="BC22" s="330"/>
      <c r="BD22" s="330"/>
      <c r="BE22" s="330"/>
      <c r="BF22" s="330"/>
      <c r="BG22" s="330"/>
      <c r="BH22" s="330"/>
      <c r="BI22" s="330"/>
      <c r="BJ22" s="330"/>
      <c r="BK22" s="330"/>
      <c r="BL22" s="330"/>
      <c r="BM22" s="330"/>
      <c r="BN22" s="330"/>
      <c r="BO22" s="330"/>
      <c r="BP22" s="405"/>
      <c r="BQ22" s="405"/>
      <c r="BR22" s="330"/>
    </row>
    <row r="23" spans="1:70">
      <c r="A23" s="450" t="s">
        <v>1582</v>
      </c>
      <c r="B23" s="330"/>
      <c r="C23" s="330"/>
      <c r="D23" s="330"/>
      <c r="E23" s="330"/>
      <c r="F23" s="330"/>
      <c r="G23" s="330"/>
      <c r="H23" s="330"/>
      <c r="I23" s="330"/>
      <c r="J23" s="330"/>
      <c r="K23" s="330"/>
      <c r="L23" s="330"/>
      <c r="M23" s="330"/>
      <c r="N23" s="330"/>
      <c r="O23" s="330"/>
      <c r="P23" s="330"/>
      <c r="Q23" s="330"/>
      <c r="R23" s="330"/>
      <c r="S23" s="330"/>
      <c r="T23" s="330"/>
      <c r="U23" s="330"/>
      <c r="V23" s="330"/>
      <c r="W23" s="330"/>
      <c r="X23" s="330"/>
      <c r="Y23" s="330"/>
      <c r="Z23" s="330"/>
      <c r="AA23" s="421"/>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405"/>
      <c r="AZ23" s="330"/>
      <c r="BA23" s="405"/>
      <c r="BB23" s="330"/>
      <c r="BC23" s="330"/>
      <c r="BD23" s="330"/>
      <c r="BE23" s="330"/>
      <c r="BF23" s="330"/>
      <c r="BG23" s="330"/>
      <c r="BH23" s="330"/>
      <c r="BI23" s="330"/>
      <c r="BJ23" s="330"/>
      <c r="BK23" s="330"/>
      <c r="BL23" s="330"/>
      <c r="BM23" s="330"/>
      <c r="BN23" s="330"/>
      <c r="BO23" s="330"/>
      <c r="BP23" s="405"/>
      <c r="BQ23" s="405"/>
      <c r="BR23" s="330"/>
    </row>
    <row r="24" spans="1:70" ht="5.0999999999999996" customHeight="1">
      <c r="A24" s="330"/>
      <c r="B24" s="330"/>
      <c r="C24" s="330"/>
      <c r="D24" s="330"/>
      <c r="E24" s="330"/>
      <c r="F24" s="330"/>
      <c r="G24" s="330"/>
      <c r="H24" s="330"/>
      <c r="I24" s="330"/>
      <c r="J24" s="330"/>
      <c r="K24" s="330"/>
      <c r="L24" s="330"/>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405"/>
      <c r="AZ24" s="330"/>
      <c r="BA24" s="405"/>
      <c r="BB24" s="330"/>
      <c r="BC24" s="330"/>
      <c r="BD24" s="330"/>
      <c r="BE24" s="330"/>
      <c r="BF24" s="330"/>
      <c r="BG24" s="330"/>
      <c r="BH24" s="330"/>
      <c r="BI24" s="330"/>
      <c r="BJ24" s="330"/>
      <c r="BK24" s="330"/>
      <c r="BL24" s="330"/>
      <c r="BM24" s="330"/>
      <c r="BN24" s="330"/>
      <c r="BO24" s="330"/>
      <c r="BP24" s="405"/>
      <c r="BQ24" s="405"/>
      <c r="BR24" s="330"/>
    </row>
    <row r="25" spans="1:70">
      <c r="A25" s="330"/>
      <c r="B25" s="442" t="s">
        <v>1583</v>
      </c>
      <c r="C25" s="330"/>
      <c r="D25" s="330"/>
      <c r="E25" s="330"/>
      <c r="F25" s="330"/>
      <c r="G25" s="330"/>
      <c r="H25" s="330"/>
      <c r="I25" s="330"/>
      <c r="J25" s="330"/>
      <c r="K25" s="330"/>
      <c r="L25" s="330"/>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405"/>
      <c r="AZ25" s="330"/>
      <c r="BA25" s="405"/>
      <c r="BB25" s="330"/>
      <c r="BC25" s="330"/>
      <c r="BD25" s="330"/>
      <c r="BE25" s="330"/>
      <c r="BF25" s="330"/>
      <c r="BG25" s="330"/>
      <c r="BH25" s="330"/>
      <c r="BI25" s="330"/>
      <c r="BJ25" s="330"/>
      <c r="BK25" s="330"/>
      <c r="BL25" s="330"/>
      <c r="BM25" s="330"/>
      <c r="BN25" s="330"/>
      <c r="BO25" s="330"/>
      <c r="BP25" s="405"/>
      <c r="BQ25" s="405"/>
      <c r="BR25" s="330"/>
    </row>
    <row r="26" spans="1:70">
      <c r="A26" s="330"/>
      <c r="B26" s="330" t="s">
        <v>589</v>
      </c>
      <c r="C26" s="330"/>
      <c r="D26" s="330"/>
      <c r="E26" s="444"/>
      <c r="F26" s="330"/>
      <c r="G26" s="444"/>
      <c r="H26" s="330"/>
      <c r="I26" s="444">
        <v>63.619</v>
      </c>
      <c r="J26" s="330"/>
      <c r="K26" s="444">
        <v>79.98</v>
      </c>
      <c r="L26" s="330"/>
      <c r="M26" s="444">
        <v>81.64</v>
      </c>
      <c r="N26" s="330"/>
      <c r="O26" s="444">
        <v>107.60899999999999</v>
      </c>
      <c r="P26" s="330"/>
      <c r="Q26" s="444">
        <v>110.068</v>
      </c>
      <c r="R26" s="330"/>
      <c r="S26" s="444">
        <v>118.456</v>
      </c>
      <c r="T26" s="433"/>
      <c r="U26" s="444">
        <v>140.66</v>
      </c>
      <c r="V26" s="451"/>
      <c r="W26" s="444">
        <v>176.101</v>
      </c>
      <c r="X26" s="451"/>
      <c r="Y26" s="444">
        <v>189.53100000000001</v>
      </c>
      <c r="Z26" s="330"/>
      <c r="AA26" s="444">
        <v>134.69399999999999</v>
      </c>
      <c r="AB26" s="330"/>
      <c r="AC26" s="444">
        <v>163.33799999999999</v>
      </c>
      <c r="AD26" s="330"/>
      <c r="AE26" s="444">
        <v>209.84200000000001</v>
      </c>
      <c r="AF26" s="330"/>
      <c r="AG26" s="444">
        <v>186.01300000000001</v>
      </c>
      <c r="AH26" s="330"/>
      <c r="AI26" s="444">
        <v>202.64599999999999</v>
      </c>
      <c r="AJ26" s="330"/>
      <c r="AK26" s="444">
        <v>215.96700000000001</v>
      </c>
      <c r="AL26" s="330"/>
      <c r="AM26" s="444">
        <v>203.62200000000001</v>
      </c>
      <c r="AN26" s="330"/>
      <c r="AO26" s="444">
        <v>223.566</v>
      </c>
      <c r="AP26" s="330"/>
      <c r="AQ26" s="444">
        <v>231.91300000000001</v>
      </c>
      <c r="AR26" s="330"/>
      <c r="AS26" s="444">
        <v>258.61099999999999</v>
      </c>
      <c r="AT26" s="330"/>
      <c r="AU26" s="444">
        <v>328.96199999999999</v>
      </c>
      <c r="AV26" s="330"/>
      <c r="AW26" s="444">
        <v>295.42399999999998</v>
      </c>
      <c r="AX26" s="330"/>
      <c r="AY26" s="1586">
        <v>342.09</v>
      </c>
      <c r="AZ26" s="330"/>
      <c r="BA26" s="1586">
        <v>318.02300000000002</v>
      </c>
      <c r="BB26" s="445"/>
      <c r="BC26" s="2165">
        <v>329.1</v>
      </c>
      <c r="BD26" s="451"/>
      <c r="BE26" s="2165">
        <v>312.8</v>
      </c>
      <c r="BF26" s="445"/>
      <c r="BG26" s="2461">
        <v>437.4</v>
      </c>
      <c r="BH26" s="330"/>
      <c r="BI26" s="445">
        <f>+BI69*BI12</f>
        <v>347.70828725893119</v>
      </c>
      <c r="BJ26" s="330"/>
      <c r="BK26" s="445">
        <f>+BK69*BK12</f>
        <v>366.63203482096253</v>
      </c>
      <c r="BL26" s="330"/>
      <c r="BM26" s="445">
        <f>+BM69*BM12</f>
        <v>386.1620732885408</v>
      </c>
      <c r="BN26" s="330"/>
      <c r="BO26" s="445">
        <f>+BO69*BO12</f>
        <v>402.23089088460949</v>
      </c>
      <c r="BP26" s="1217"/>
      <c r="BQ26" s="1217">
        <f>+BQ69*BQ12</f>
        <v>418.6858245298933</v>
      </c>
      <c r="BR26" s="330"/>
    </row>
    <row r="27" spans="1:70">
      <c r="A27" s="330"/>
      <c r="B27" s="330" t="s">
        <v>588</v>
      </c>
      <c r="C27" s="330"/>
      <c r="D27" s="330"/>
      <c r="E27" s="455"/>
      <c r="F27" s="330"/>
      <c r="G27" s="455"/>
      <c r="H27" s="330"/>
      <c r="I27" s="455"/>
      <c r="J27" s="330"/>
      <c r="K27" s="455"/>
      <c r="L27" s="330"/>
      <c r="M27" s="455"/>
      <c r="N27" s="330"/>
      <c r="O27" s="455"/>
      <c r="P27" s="330"/>
      <c r="Q27" s="455"/>
      <c r="R27" s="330"/>
      <c r="S27" s="455"/>
      <c r="T27" s="355"/>
      <c r="U27" s="455"/>
      <c r="V27" s="451"/>
      <c r="W27" s="448">
        <v>0</v>
      </c>
      <c r="X27" s="451"/>
      <c r="Y27" s="448">
        <v>40.747</v>
      </c>
      <c r="Z27" s="330"/>
      <c r="AA27" s="448">
        <v>51.5</v>
      </c>
      <c r="AB27" s="330"/>
      <c r="AC27" s="448">
        <v>0</v>
      </c>
      <c r="AD27" s="330"/>
      <c r="AE27" s="404">
        <v>51.92</v>
      </c>
      <c r="AF27" s="433"/>
      <c r="AG27" s="404">
        <v>0</v>
      </c>
      <c r="AH27" s="330"/>
      <c r="AI27" s="430">
        <v>6.1859999999999999</v>
      </c>
      <c r="AJ27" s="431"/>
      <c r="AK27" s="430">
        <v>5.3979999999999997</v>
      </c>
      <c r="AL27" s="330"/>
      <c r="AM27" s="430">
        <v>65.64</v>
      </c>
      <c r="AN27" s="330"/>
      <c r="AO27" s="430">
        <v>40.426000000000002</v>
      </c>
      <c r="AP27" s="330"/>
      <c r="AQ27" s="430">
        <v>206.815</v>
      </c>
      <c r="AR27" s="330"/>
      <c r="AS27" s="430">
        <v>60.854999999999997</v>
      </c>
      <c r="AT27" s="330"/>
      <c r="AU27" s="430">
        <v>60.822000000000003</v>
      </c>
      <c r="AV27" s="330"/>
      <c r="AW27" s="430">
        <v>0</v>
      </c>
      <c r="AX27" s="330"/>
      <c r="AY27" s="430">
        <v>0</v>
      </c>
      <c r="AZ27" s="330"/>
      <c r="BA27" s="430">
        <v>0</v>
      </c>
      <c r="BB27" s="430"/>
      <c r="BC27" s="430">
        <v>84.2</v>
      </c>
      <c r="BD27" s="451"/>
      <c r="BE27" s="430">
        <v>0</v>
      </c>
      <c r="BF27" s="430"/>
      <c r="BG27" s="430">
        <v>0</v>
      </c>
      <c r="BH27" s="330"/>
      <c r="BI27" s="430">
        <v>0</v>
      </c>
      <c r="BJ27" s="330"/>
      <c r="BK27" s="430">
        <v>0</v>
      </c>
      <c r="BL27" s="330"/>
      <c r="BM27" s="430">
        <v>0</v>
      </c>
      <c r="BN27" s="330"/>
      <c r="BO27" s="430">
        <v>0</v>
      </c>
      <c r="BP27" s="430"/>
      <c r="BQ27" s="430">
        <v>0</v>
      </c>
      <c r="BR27" s="330"/>
    </row>
    <row r="28" spans="1:70">
      <c r="A28" s="330"/>
      <c r="B28" s="330" t="s">
        <v>587</v>
      </c>
      <c r="C28" s="330"/>
      <c r="D28" s="330"/>
      <c r="E28" s="448"/>
      <c r="F28" s="330"/>
      <c r="G28" s="448"/>
      <c r="H28" s="330"/>
      <c r="I28" s="448">
        <v>22.457999999999998</v>
      </c>
      <c r="J28" s="330"/>
      <c r="K28" s="448">
        <v>59.289000000000001</v>
      </c>
      <c r="L28" s="330"/>
      <c r="M28" s="448">
        <v>60.695999999999998</v>
      </c>
      <c r="N28" s="330"/>
      <c r="O28" s="448">
        <v>78.966999999999999</v>
      </c>
      <c r="P28" s="330"/>
      <c r="Q28" s="448">
        <v>76.337999999999994</v>
      </c>
      <c r="R28" s="330"/>
      <c r="S28" s="448">
        <v>90.054000000000002</v>
      </c>
      <c r="T28" s="446"/>
      <c r="U28" s="448">
        <v>97.37</v>
      </c>
      <c r="V28" s="330"/>
      <c r="W28" s="448">
        <v>20.646000000000001</v>
      </c>
      <c r="X28" s="330"/>
      <c r="Y28" s="448">
        <v>28.777999999999999</v>
      </c>
      <c r="Z28" s="330"/>
      <c r="AA28" s="448">
        <v>40.402000000000001</v>
      </c>
      <c r="AB28" s="330"/>
      <c r="AC28" s="448">
        <v>52.552</v>
      </c>
      <c r="AD28" s="330"/>
      <c r="AE28" s="448">
        <v>41.948</v>
      </c>
      <c r="AF28" s="330"/>
      <c r="AG28" s="448">
        <v>42.957000000000001</v>
      </c>
      <c r="AH28" s="330"/>
      <c r="AI28" s="448">
        <v>38.942</v>
      </c>
      <c r="AJ28" s="330"/>
      <c r="AK28" s="448">
        <v>106.681</v>
      </c>
      <c r="AL28" s="330"/>
      <c r="AM28" s="448">
        <v>44.031999999999996</v>
      </c>
      <c r="AN28" s="330"/>
      <c r="AO28" s="448">
        <v>242.96600000000001</v>
      </c>
      <c r="AP28" s="330"/>
      <c r="AQ28" s="448">
        <v>27.641999999999999</v>
      </c>
      <c r="AR28" s="330"/>
      <c r="AS28" s="448">
        <v>38.890999999999998</v>
      </c>
      <c r="AT28" s="330"/>
      <c r="AU28" s="448">
        <v>112.973</v>
      </c>
      <c r="AV28" s="330"/>
      <c r="AW28" s="448">
        <v>194.03399999999999</v>
      </c>
      <c r="AX28" s="330"/>
      <c r="AY28" s="791">
        <v>252.36500000000001</v>
      </c>
      <c r="AZ28" s="330"/>
      <c r="BA28" s="791">
        <v>234.01300000000001</v>
      </c>
      <c r="BB28" s="455"/>
      <c r="BC28" s="2166">
        <v>221.6</v>
      </c>
      <c r="BD28" s="451"/>
      <c r="BE28" s="2166">
        <v>228.7</v>
      </c>
      <c r="BF28" s="455"/>
      <c r="BG28" s="2462">
        <v>120.6</v>
      </c>
      <c r="BH28" s="330"/>
      <c r="BI28" s="455">
        <f>+BG28</f>
        <v>120.6</v>
      </c>
      <c r="BJ28" s="330"/>
      <c r="BK28" s="455">
        <f>+BI28</f>
        <v>120.6</v>
      </c>
      <c r="BL28" s="330"/>
      <c r="BM28" s="455">
        <f>+BK28</f>
        <v>120.6</v>
      </c>
      <c r="BN28" s="330"/>
      <c r="BO28" s="455">
        <f>+BM28</f>
        <v>120.6</v>
      </c>
      <c r="BP28" s="734"/>
      <c r="BQ28" s="734">
        <f>+BO28</f>
        <v>120.6</v>
      </c>
      <c r="BR28" s="330"/>
    </row>
    <row r="29" spans="1:70">
      <c r="A29" s="330"/>
      <c r="B29" s="330" t="s">
        <v>1584</v>
      </c>
      <c r="C29" s="330"/>
      <c r="D29" s="330"/>
      <c r="E29" s="448"/>
      <c r="F29" s="330"/>
      <c r="G29" s="448"/>
      <c r="H29" s="330"/>
      <c r="I29" s="448">
        <v>2.6789999999999998</v>
      </c>
      <c r="J29" s="330"/>
      <c r="K29" s="448">
        <v>6.359</v>
      </c>
      <c r="L29" s="330"/>
      <c r="M29" s="448">
        <v>13.606999999999999</v>
      </c>
      <c r="N29" s="330"/>
      <c r="O29" s="448">
        <v>19.672000000000001</v>
      </c>
      <c r="P29" s="330"/>
      <c r="Q29" s="448">
        <v>25.829000000000001</v>
      </c>
      <c r="R29" s="330"/>
      <c r="S29" s="448">
        <v>23.501000000000001</v>
      </c>
      <c r="T29" s="446"/>
      <c r="U29" s="448">
        <v>32.484999999999999</v>
      </c>
      <c r="V29" s="330"/>
      <c r="W29" s="448">
        <v>53.954000000000001</v>
      </c>
      <c r="X29" s="330"/>
      <c r="Y29" s="448">
        <v>42.085000000000001</v>
      </c>
      <c r="Z29" s="330"/>
      <c r="AA29" s="448">
        <v>48.997</v>
      </c>
      <c r="AB29" s="330"/>
      <c r="AC29" s="448">
        <v>41.296999999999997</v>
      </c>
      <c r="AD29" s="330"/>
      <c r="AE29" s="448">
        <v>45.921999999999997</v>
      </c>
      <c r="AF29" s="330"/>
      <c r="AG29" s="448">
        <v>118.536</v>
      </c>
      <c r="AH29" s="330"/>
      <c r="AI29" s="448">
        <v>60.363999999999997</v>
      </c>
      <c r="AJ29" s="330"/>
      <c r="AK29" s="448">
        <v>63.113999999999997</v>
      </c>
      <c r="AL29" s="330"/>
      <c r="AM29" s="448">
        <v>203.61099999999999</v>
      </c>
      <c r="AN29" s="330"/>
      <c r="AO29" s="448">
        <v>27.652999999999999</v>
      </c>
      <c r="AP29" s="330"/>
      <c r="AQ29" s="448">
        <v>67.513000000000005</v>
      </c>
      <c r="AR29" s="330"/>
      <c r="AS29" s="448">
        <v>55.691000000000003</v>
      </c>
      <c r="AT29" s="330"/>
      <c r="AU29" s="448">
        <v>60.976999999999997</v>
      </c>
      <c r="AV29" s="330"/>
      <c r="AW29" s="448">
        <v>30.486999999999998</v>
      </c>
      <c r="AX29" s="330"/>
      <c r="AY29" s="791">
        <v>31.975999999999999</v>
      </c>
      <c r="AZ29" s="330"/>
      <c r="BA29" s="791">
        <v>39.859000000000002</v>
      </c>
      <c r="BB29" s="455"/>
      <c r="BC29" s="2166">
        <v>27.1</v>
      </c>
      <c r="BD29" s="451"/>
      <c r="BE29" s="2166">
        <v>22.1</v>
      </c>
      <c r="BF29" s="455"/>
      <c r="BG29" s="2462">
        <v>89.4</v>
      </c>
      <c r="BH29" s="330"/>
      <c r="BI29" s="455">
        <f>BI72*BI64</f>
        <v>82.000163547879183</v>
      </c>
      <c r="BJ29" s="330"/>
      <c r="BK29" s="455">
        <f>BK72*BK64</f>
        <v>91.479886047897168</v>
      </c>
      <c r="BL29" s="330"/>
      <c r="BM29" s="455">
        <f>BM72*BM64</f>
        <v>98.193532568806575</v>
      </c>
      <c r="BN29" s="330"/>
      <c r="BO29" s="455">
        <f>BO72*BO64</f>
        <v>103.91714095390019</v>
      </c>
      <c r="BP29" s="734"/>
      <c r="BQ29" s="734">
        <f>BQ72*BQ64</f>
        <v>110.57677077945696</v>
      </c>
      <c r="BR29" s="330"/>
    </row>
    <row r="30" spans="1:70">
      <c r="A30" s="330"/>
      <c r="B30" s="330" t="s">
        <v>590</v>
      </c>
      <c r="C30" s="330"/>
      <c r="D30" s="330"/>
      <c r="E30" s="425"/>
      <c r="F30" s="330"/>
      <c r="G30" s="425"/>
      <c r="H30" s="330"/>
      <c r="I30" s="425">
        <v>5.3179999999999996</v>
      </c>
      <c r="J30" s="330"/>
      <c r="K30" s="425">
        <v>6.9470000000000001</v>
      </c>
      <c r="L30" s="330"/>
      <c r="M30" s="425">
        <v>8.5289999999999999</v>
      </c>
      <c r="N30" s="330"/>
      <c r="O30" s="425">
        <v>11.054</v>
      </c>
      <c r="P30" s="330"/>
      <c r="Q30" s="425">
        <v>14.237</v>
      </c>
      <c r="R30" s="330"/>
      <c r="S30" s="425">
        <v>17.992000000000001</v>
      </c>
      <c r="T30" s="446"/>
      <c r="U30" s="425">
        <v>22.202000000000002</v>
      </c>
      <c r="V30" s="330"/>
      <c r="W30" s="425">
        <v>30.274999999999999</v>
      </c>
      <c r="X30" s="330"/>
      <c r="Y30" s="425">
        <v>36.057000000000002</v>
      </c>
      <c r="Z30" s="330"/>
      <c r="AA30" s="425">
        <v>38.755000000000003</v>
      </c>
      <c r="AB30" s="330"/>
      <c r="AC30" s="425">
        <v>42.72</v>
      </c>
      <c r="AD30" s="330"/>
      <c r="AE30" s="425">
        <v>45.527000000000001</v>
      </c>
      <c r="AF30" s="330"/>
      <c r="AG30" s="425">
        <v>52.314999999999998</v>
      </c>
      <c r="AH30" s="330"/>
      <c r="AI30" s="425">
        <v>56.472000000000001</v>
      </c>
      <c r="AJ30" s="330"/>
      <c r="AK30" s="425">
        <v>61.511000000000003</v>
      </c>
      <c r="AL30" s="330"/>
      <c r="AM30" s="425">
        <v>67.956000000000003</v>
      </c>
      <c r="AN30" s="330"/>
      <c r="AO30" s="425">
        <v>67.311000000000007</v>
      </c>
      <c r="AP30" s="330"/>
      <c r="AQ30" s="425">
        <v>66.39</v>
      </c>
      <c r="AR30" s="330"/>
      <c r="AS30" s="425">
        <v>65.864999999999995</v>
      </c>
      <c r="AT30" s="330"/>
      <c r="AU30" s="425">
        <v>62.942999999999998</v>
      </c>
      <c r="AV30" s="330"/>
      <c r="AW30" s="425">
        <v>66.647000000000006</v>
      </c>
      <c r="AX30" s="330"/>
      <c r="AY30" s="1709">
        <v>70.308999999999997</v>
      </c>
      <c r="AZ30" s="330"/>
      <c r="BA30" s="1709">
        <v>66.138000000000005</v>
      </c>
      <c r="BB30" s="455"/>
      <c r="BC30" s="2167">
        <v>67.900000000000006</v>
      </c>
      <c r="BD30" s="451"/>
      <c r="BE30" s="2167">
        <v>69.2</v>
      </c>
      <c r="BF30" s="455"/>
      <c r="BG30" s="2459">
        <v>77.400000000000006</v>
      </c>
      <c r="BH30" s="330"/>
      <c r="BI30" s="423">
        <f>+BI71*BI62</f>
        <v>74.931812930592585</v>
      </c>
      <c r="BJ30" s="330"/>
      <c r="BK30" s="423">
        <f>+BK71*BK62</f>
        <v>78.743894159076703</v>
      </c>
      <c r="BL30" s="330"/>
      <c r="BM30" s="423">
        <f>+BM71*BM62</f>
        <v>82.760122412911144</v>
      </c>
      <c r="BN30" s="330"/>
      <c r="BO30" s="423">
        <f>+BO71*BO62</f>
        <v>86.157456568761518</v>
      </c>
      <c r="BP30" s="734"/>
      <c r="BQ30" s="1691">
        <f>+BQ71*BQ62</f>
        <v>89.440356288655437</v>
      </c>
      <c r="BR30" s="330"/>
    </row>
    <row r="31" spans="1:70">
      <c r="A31" s="330"/>
      <c r="B31" s="330"/>
      <c r="C31" s="330" t="s">
        <v>567</v>
      </c>
      <c r="D31" s="330"/>
      <c r="E31" s="397">
        <f>SUM(E26:E30)</f>
        <v>0</v>
      </c>
      <c r="F31" s="330"/>
      <c r="G31" s="397">
        <f>SUM(G26:G30)</f>
        <v>0</v>
      </c>
      <c r="H31" s="330"/>
      <c r="I31" s="397">
        <f>SUM(I26:I30)</f>
        <v>94.073999999999998</v>
      </c>
      <c r="J31" s="330"/>
      <c r="K31" s="397">
        <f>SUM(K26:K30)</f>
        <v>152.57500000000002</v>
      </c>
      <c r="L31" s="330"/>
      <c r="M31" s="397">
        <f>SUM(M26:M30)</f>
        <v>164.47200000000001</v>
      </c>
      <c r="N31" s="330"/>
      <c r="O31" s="397">
        <f>SUM(O26:O30)</f>
        <v>217.30199999999999</v>
      </c>
      <c r="P31" s="330"/>
      <c r="Q31" s="397">
        <f>SUM(Q26:Q30)</f>
        <v>226.47200000000001</v>
      </c>
      <c r="R31" s="330"/>
      <c r="S31" s="397">
        <f>SUM(S26:S30)</f>
        <v>250.00299999999999</v>
      </c>
      <c r="T31" s="330"/>
      <c r="U31" s="397">
        <f>SUM(U26:U30)</f>
        <v>292.71699999999998</v>
      </c>
      <c r="V31" s="330"/>
      <c r="W31" s="397">
        <f>SUM(W26:W30)</f>
        <v>280.976</v>
      </c>
      <c r="X31" s="330"/>
      <c r="Y31" s="397">
        <f>SUM(Y26:Y30)</f>
        <v>337.19800000000004</v>
      </c>
      <c r="Z31" s="330"/>
      <c r="AA31" s="397">
        <f>SUM(AA26:AA30)</f>
        <v>314.34800000000001</v>
      </c>
      <c r="AB31" s="330"/>
      <c r="AC31" s="397">
        <f>SUM(AC26:AC30)</f>
        <v>299.90700000000004</v>
      </c>
      <c r="AD31" s="330"/>
      <c r="AE31" s="397">
        <f>SUM(AE26:AE30)</f>
        <v>395.15899999999993</v>
      </c>
      <c r="AF31" s="330"/>
      <c r="AG31" s="397">
        <f>SUM(AG26:AG30)</f>
        <v>399.82099999999997</v>
      </c>
      <c r="AH31" s="330"/>
      <c r="AI31" s="397">
        <f>SUM(AI26:AI30)</f>
        <v>364.60999999999996</v>
      </c>
      <c r="AJ31" s="330"/>
      <c r="AK31" s="397">
        <f>SUM(AK26:AK30)</f>
        <v>452.67099999999999</v>
      </c>
      <c r="AL31" s="330"/>
      <c r="AM31" s="397">
        <f>SUM(AM26:AM30)</f>
        <v>584.86099999999999</v>
      </c>
      <c r="AN31" s="330"/>
      <c r="AO31" s="397">
        <f>SUM(AO26:AO30)</f>
        <v>601.92200000000003</v>
      </c>
      <c r="AP31" s="330"/>
      <c r="AQ31" s="397">
        <f>SUM(AQ26:AQ30)</f>
        <v>600.27300000000002</v>
      </c>
      <c r="AR31" s="330"/>
      <c r="AS31" s="397">
        <f>SUM(AS26:AS30)</f>
        <v>479.91300000000001</v>
      </c>
      <c r="AT31" s="330"/>
      <c r="AU31" s="397">
        <f>SUM(AU26:AU30)</f>
        <v>626.67700000000002</v>
      </c>
      <c r="AV31" s="330"/>
      <c r="AW31" s="397">
        <f>SUM(AW26:AW30)</f>
        <v>586.59199999999998</v>
      </c>
      <c r="AX31" s="330"/>
      <c r="AY31" s="398">
        <f>SUM(AY26:AY30)</f>
        <v>696.7399999999999</v>
      </c>
      <c r="AZ31" s="330"/>
      <c r="BA31" s="397">
        <f>SUM(BA26:BA30)</f>
        <v>658.03300000000013</v>
      </c>
      <c r="BB31" s="397"/>
      <c r="BC31" s="397">
        <f>SUM(BC26:BC30)</f>
        <v>729.9</v>
      </c>
      <c r="BD31" s="397"/>
      <c r="BE31" s="397">
        <f>SUM(BE26:BE30)</f>
        <v>632.80000000000007</v>
      </c>
      <c r="BF31" s="397"/>
      <c r="BG31" s="397">
        <f>SUM(BG26:BG30)</f>
        <v>724.8</v>
      </c>
      <c r="BH31" s="330"/>
      <c r="BI31" s="397">
        <f>SUM(BI26:BI30)</f>
        <v>625.24026373740298</v>
      </c>
      <c r="BJ31" s="330"/>
      <c r="BK31" s="397">
        <f>SUM(BK26:BK30)</f>
        <v>657.45581502793641</v>
      </c>
      <c r="BL31" s="330"/>
      <c r="BM31" s="397">
        <f>SUM(BM26:BM30)</f>
        <v>687.71572827025852</v>
      </c>
      <c r="BN31" s="330"/>
      <c r="BO31" s="397">
        <f>SUM(BO26:BO30)</f>
        <v>712.90548840727126</v>
      </c>
      <c r="BP31" s="398"/>
      <c r="BQ31" s="398">
        <f>SUM(BQ26:BQ30)</f>
        <v>739.30295159800562</v>
      </c>
      <c r="BR31" s="330"/>
    </row>
    <row r="32" spans="1:70" ht="5.0999999999999996" customHeight="1">
      <c r="A32" s="330"/>
      <c r="B32" s="330"/>
      <c r="C32" s="330"/>
      <c r="D32" s="330"/>
      <c r="E32" s="330"/>
      <c r="F32" s="330"/>
      <c r="G32" s="330"/>
      <c r="H32" s="330"/>
      <c r="I32" s="330"/>
      <c r="J32" s="330"/>
      <c r="K32" s="330"/>
      <c r="L32" s="330"/>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405"/>
      <c r="AZ32" s="330"/>
      <c r="BA32" s="405"/>
      <c r="BB32" s="330"/>
      <c r="BC32" s="330"/>
      <c r="BD32" s="330"/>
      <c r="BE32" s="330"/>
      <c r="BF32" s="330"/>
      <c r="BG32" s="330"/>
      <c r="BH32" s="330"/>
      <c r="BI32" s="330"/>
      <c r="BJ32" s="330"/>
      <c r="BK32" s="330"/>
      <c r="BL32" s="330"/>
      <c r="BM32" s="330"/>
      <c r="BN32" s="330"/>
      <c r="BO32" s="330"/>
      <c r="BP32" s="405"/>
      <c r="BQ32" s="405"/>
      <c r="BR32" s="330"/>
    </row>
    <row r="33" spans="1:70">
      <c r="A33" s="330"/>
      <c r="B33" s="330" t="s">
        <v>1013</v>
      </c>
      <c r="C33" s="330"/>
      <c r="D33" s="330"/>
      <c r="E33" s="444"/>
      <c r="F33" s="426"/>
      <c r="G33" s="444"/>
      <c r="H33" s="426"/>
      <c r="I33" s="1003">
        <v>101.5</v>
      </c>
      <c r="J33" s="1004"/>
      <c r="K33" s="1003">
        <v>101.5</v>
      </c>
      <c r="L33" s="1004"/>
      <c r="M33" s="1003">
        <v>101.5</v>
      </c>
      <c r="N33" s="1004"/>
      <c r="O33" s="1003">
        <v>101.5</v>
      </c>
      <c r="P33" s="1004"/>
      <c r="Q33" s="1003">
        <v>92.674999999999997</v>
      </c>
      <c r="R33" s="1004"/>
      <c r="S33" s="1003">
        <v>90.93</v>
      </c>
      <c r="T33" s="452"/>
      <c r="U33" s="444">
        <v>194.42</v>
      </c>
      <c r="V33" s="426"/>
      <c r="W33" s="444">
        <v>249.58099999999999</v>
      </c>
      <c r="X33" s="426"/>
      <c r="Y33" s="444">
        <v>242.15700000000001</v>
      </c>
      <c r="Z33" s="426"/>
      <c r="AA33" s="444">
        <v>179.065</v>
      </c>
      <c r="AB33" s="426"/>
      <c r="AC33" s="444">
        <v>297.10700000000003</v>
      </c>
      <c r="AD33" s="426"/>
      <c r="AE33" s="444">
        <v>392.99099999999999</v>
      </c>
      <c r="AF33" s="426"/>
      <c r="AG33" s="444">
        <v>397.60599999999999</v>
      </c>
      <c r="AH33" s="426"/>
      <c r="AI33" s="444">
        <v>426.548</v>
      </c>
      <c r="AJ33" s="426"/>
      <c r="AK33" s="444">
        <v>406.38299999999998</v>
      </c>
      <c r="AL33" s="330"/>
      <c r="AM33" s="444">
        <v>343.46499999999997</v>
      </c>
      <c r="AN33" s="330"/>
      <c r="AO33" s="444">
        <v>425.41199999999998</v>
      </c>
      <c r="AP33" s="330"/>
      <c r="AQ33" s="444">
        <v>519.59199999999998</v>
      </c>
      <c r="AR33" s="330"/>
      <c r="AS33" s="444">
        <v>588.49400000000003</v>
      </c>
      <c r="AT33" s="330"/>
      <c r="AU33" s="1586">
        <v>538.35199999999998</v>
      </c>
      <c r="AV33" s="330"/>
      <c r="AW33" s="1586">
        <v>765.23800000000006</v>
      </c>
      <c r="AX33" s="330"/>
      <c r="AY33" s="1586">
        <v>751.154</v>
      </c>
      <c r="AZ33" s="330"/>
      <c r="BA33" s="1586">
        <v>882.53499999999997</v>
      </c>
      <c r="BB33" s="445"/>
      <c r="BC33" s="2165">
        <v>798.1</v>
      </c>
      <c r="BD33" s="451"/>
      <c r="BE33" s="2165">
        <v>878.4</v>
      </c>
      <c r="BF33" s="445"/>
      <c r="BG33" s="2461">
        <v>882.9</v>
      </c>
      <c r="BH33" s="330"/>
      <c r="BI33" s="445">
        <f>+BG33</f>
        <v>882.9</v>
      </c>
      <c r="BJ33" s="330"/>
      <c r="BK33" s="445">
        <f>+BI33</f>
        <v>882.9</v>
      </c>
      <c r="BL33" s="330"/>
      <c r="BM33" s="445">
        <f>+BK33</f>
        <v>882.9</v>
      </c>
      <c r="BN33" s="330"/>
      <c r="BO33" s="445">
        <f>+BM33</f>
        <v>882.9</v>
      </c>
      <c r="BP33" s="1217"/>
      <c r="BQ33" s="1217">
        <f>+BO33</f>
        <v>882.9</v>
      </c>
      <c r="BR33" s="330"/>
    </row>
    <row r="34" spans="1:70">
      <c r="A34" s="330"/>
      <c r="B34" s="330" t="s">
        <v>591</v>
      </c>
      <c r="C34" s="330"/>
      <c r="D34" s="330"/>
      <c r="E34" s="445"/>
      <c r="F34" s="426"/>
      <c r="G34" s="445"/>
      <c r="H34" s="426"/>
      <c r="I34" s="1003">
        <v>12.96</v>
      </c>
      <c r="J34" s="1004"/>
      <c r="K34" s="1003">
        <v>14.32</v>
      </c>
      <c r="L34" s="1004"/>
      <c r="M34" s="1003">
        <v>13.103</v>
      </c>
      <c r="N34" s="1004"/>
      <c r="O34" s="1003">
        <v>11.238</v>
      </c>
      <c r="P34" s="1004"/>
      <c r="Q34" s="1003">
        <v>5.8</v>
      </c>
      <c r="R34" s="1004"/>
      <c r="S34" s="1003">
        <v>2.58</v>
      </c>
      <c r="T34" s="362"/>
      <c r="U34" s="404">
        <v>0</v>
      </c>
      <c r="V34" s="426"/>
      <c r="W34" s="404">
        <v>23.164999999999999</v>
      </c>
      <c r="X34" s="426"/>
      <c r="Y34" s="404">
        <v>26.134</v>
      </c>
      <c r="Z34" s="426"/>
      <c r="AA34" s="404">
        <v>29.998999999999999</v>
      </c>
      <c r="AB34" s="426"/>
      <c r="AC34" s="404">
        <v>33.116999999999997</v>
      </c>
      <c r="AD34" s="426"/>
      <c r="AE34" s="404">
        <v>36.746000000000002</v>
      </c>
      <c r="AF34" s="733"/>
      <c r="AG34" s="404">
        <v>40.22</v>
      </c>
      <c r="AH34" s="426"/>
      <c r="AI34" s="404">
        <v>41.981999999999999</v>
      </c>
      <c r="AJ34" s="733"/>
      <c r="AK34" s="404">
        <v>84.465999999999994</v>
      </c>
      <c r="AL34" s="330"/>
      <c r="AM34" s="404">
        <v>79.254000000000005</v>
      </c>
      <c r="AN34" s="330"/>
      <c r="AO34" s="404">
        <v>200.60300000000001</v>
      </c>
      <c r="AP34" s="330"/>
      <c r="AQ34" s="404">
        <v>219.27600000000001</v>
      </c>
      <c r="AR34" s="330"/>
      <c r="AS34" s="404">
        <v>217.435</v>
      </c>
      <c r="AT34" s="330"/>
      <c r="AU34" s="404">
        <v>338.56400000000002</v>
      </c>
      <c r="AV34" s="330"/>
      <c r="AW34" s="404">
        <v>361.24599999999998</v>
      </c>
      <c r="AX34" s="330"/>
      <c r="AY34" s="430">
        <v>268.11200000000002</v>
      </c>
      <c r="AZ34" s="330"/>
      <c r="BA34" s="430">
        <v>524.21799999999996</v>
      </c>
      <c r="BB34" s="421"/>
      <c r="BC34" s="2160">
        <v>428.1</v>
      </c>
      <c r="BD34" s="451"/>
      <c r="BE34" s="2160">
        <v>318.60000000000002</v>
      </c>
      <c r="BF34" s="421"/>
      <c r="BG34" s="2458">
        <v>287.39999999999998</v>
      </c>
      <c r="BH34" s="330"/>
      <c r="BI34" s="421">
        <f>+BG34</f>
        <v>287.39999999999998</v>
      </c>
      <c r="BJ34" s="330"/>
      <c r="BK34" s="421">
        <f>+BI34</f>
        <v>287.39999999999998</v>
      </c>
      <c r="BL34" s="330"/>
      <c r="BM34" s="421">
        <f>+BK34</f>
        <v>287.39999999999998</v>
      </c>
      <c r="BN34" s="330"/>
      <c r="BO34" s="421">
        <f>+BM34</f>
        <v>287.39999999999998</v>
      </c>
      <c r="BP34" s="432"/>
      <c r="BQ34" s="432">
        <f>+BO34</f>
        <v>287.39999999999998</v>
      </c>
      <c r="BR34" s="330"/>
    </row>
    <row r="35" spans="1:70">
      <c r="A35" s="330"/>
      <c r="B35" s="330" t="s">
        <v>1942</v>
      </c>
      <c r="C35" s="330"/>
      <c r="D35" s="330"/>
      <c r="E35" s="445"/>
      <c r="F35" s="426"/>
      <c r="G35" s="445"/>
      <c r="H35" s="426"/>
      <c r="I35" s="1003">
        <v>3.8580000000000001</v>
      </c>
      <c r="J35" s="1004"/>
      <c r="K35" s="1003">
        <v>6.758</v>
      </c>
      <c r="L35" s="1004"/>
      <c r="M35" s="1003">
        <v>27.591000000000001</v>
      </c>
      <c r="N35" s="1004"/>
      <c r="O35" s="1003">
        <v>25.687999999999999</v>
      </c>
      <c r="P35" s="1004"/>
      <c r="Q35" s="1003"/>
      <c r="R35" s="1004"/>
      <c r="S35" s="1003"/>
      <c r="T35" s="362"/>
      <c r="U35" s="445"/>
      <c r="V35" s="426"/>
      <c r="W35" s="404">
        <v>0</v>
      </c>
      <c r="X35" s="426"/>
      <c r="Y35" s="404">
        <v>0</v>
      </c>
      <c r="Z35" s="426"/>
      <c r="AA35" s="404">
        <v>0</v>
      </c>
      <c r="AB35" s="426"/>
      <c r="AC35" s="404">
        <v>0</v>
      </c>
      <c r="AD35" s="426"/>
      <c r="AE35" s="404">
        <v>22.396999999999998</v>
      </c>
      <c r="AF35" s="733"/>
      <c r="AG35" s="404">
        <v>33.174999999999997</v>
      </c>
      <c r="AH35" s="426"/>
      <c r="AI35" s="430">
        <v>0</v>
      </c>
      <c r="AJ35" s="733"/>
      <c r="AK35" s="404">
        <v>0</v>
      </c>
      <c r="AL35" s="330"/>
      <c r="AM35" s="404">
        <v>145.59899999999999</v>
      </c>
      <c r="AN35" s="330"/>
      <c r="AO35" s="404">
        <v>133.64099999999999</v>
      </c>
      <c r="AP35" s="330"/>
      <c r="AQ35" s="404">
        <v>128.649</v>
      </c>
      <c r="AR35" s="330"/>
      <c r="AS35" s="404">
        <v>124.98</v>
      </c>
      <c r="AT35" s="330"/>
      <c r="AU35" s="404">
        <v>119.69199999999999</v>
      </c>
      <c r="AV35" s="330"/>
      <c r="AW35" s="404">
        <v>96.724000000000004</v>
      </c>
      <c r="AX35" s="330"/>
      <c r="AY35" s="430">
        <v>81.864999999999995</v>
      </c>
      <c r="AZ35" s="330"/>
      <c r="BA35" s="430">
        <v>64.471000000000004</v>
      </c>
      <c r="BB35" s="404"/>
      <c r="BC35" s="404">
        <v>55.1</v>
      </c>
      <c r="BD35" s="451"/>
      <c r="BE35" s="404">
        <v>45.9</v>
      </c>
      <c r="BF35" s="404"/>
      <c r="BG35" s="404">
        <v>40.5</v>
      </c>
      <c r="BH35" s="330"/>
      <c r="BI35" s="404">
        <f>BG35</f>
        <v>40.5</v>
      </c>
      <c r="BJ35" s="330"/>
      <c r="BK35" s="404">
        <f>BI35</f>
        <v>40.5</v>
      </c>
      <c r="BL35" s="330"/>
      <c r="BM35" s="404">
        <f>BK35</f>
        <v>40.5</v>
      </c>
      <c r="BN35" s="330"/>
      <c r="BO35" s="404">
        <f>BM35</f>
        <v>40.5</v>
      </c>
      <c r="BP35" s="430"/>
      <c r="BQ35" s="430">
        <f>BO35</f>
        <v>40.5</v>
      </c>
      <c r="BR35" s="330"/>
    </row>
    <row r="36" spans="1:70">
      <c r="A36" s="330"/>
      <c r="B36" s="330" t="s">
        <v>1534</v>
      </c>
      <c r="C36" s="330"/>
      <c r="D36" s="330"/>
      <c r="E36" s="425"/>
      <c r="F36" s="426"/>
      <c r="G36" s="425"/>
      <c r="H36" s="426"/>
      <c r="I36" s="425">
        <v>2.157</v>
      </c>
      <c r="J36" s="426"/>
      <c r="K36" s="425">
        <f>1.118+25.394+13.663</f>
        <v>40.174999999999997</v>
      </c>
      <c r="L36" s="426"/>
      <c r="M36" s="425">
        <f>16.581+11.728</f>
        <v>28.308999999999997</v>
      </c>
      <c r="N36" s="426"/>
      <c r="O36" s="425">
        <f>18.031+16.12</f>
        <v>34.150999999999996</v>
      </c>
      <c r="P36" s="426"/>
      <c r="Q36" s="425">
        <f>19.191+17.016</f>
        <v>36.206999999999994</v>
      </c>
      <c r="R36" s="426"/>
      <c r="S36" s="425">
        <f>20.121+19.709</f>
        <v>39.83</v>
      </c>
      <c r="T36" s="452"/>
      <c r="U36" s="425">
        <f>21.539+31.894</f>
        <v>53.433</v>
      </c>
      <c r="V36" s="426"/>
      <c r="W36" s="425">
        <v>32.764000000000003</v>
      </c>
      <c r="X36" s="426"/>
      <c r="Y36" s="425">
        <v>37.368000000000002</v>
      </c>
      <c r="Z36" s="426"/>
      <c r="AA36" s="425">
        <v>70.716999999999999</v>
      </c>
      <c r="AB36" s="426"/>
      <c r="AC36" s="425">
        <v>85.406000000000006</v>
      </c>
      <c r="AD36" s="426"/>
      <c r="AE36" s="425">
        <v>75.594999999999999</v>
      </c>
      <c r="AF36" s="426"/>
      <c r="AG36" s="425">
        <v>94.135999999999996</v>
      </c>
      <c r="AH36" s="426"/>
      <c r="AI36" s="425">
        <v>113.21899999999999</v>
      </c>
      <c r="AJ36" s="733"/>
      <c r="AK36" s="425">
        <v>97.094999999999999</v>
      </c>
      <c r="AL36" s="330"/>
      <c r="AM36" s="425">
        <v>131.61000000000001</v>
      </c>
      <c r="AN36" s="330"/>
      <c r="AO36" s="425">
        <v>152.334</v>
      </c>
      <c r="AP36" s="330"/>
      <c r="AQ36" s="425">
        <v>137.33099999999999</v>
      </c>
      <c r="AR36" s="330"/>
      <c r="AS36" s="425">
        <v>147.37200000000001</v>
      </c>
      <c r="AT36" s="330"/>
      <c r="AU36" s="425">
        <v>186.80199999999999</v>
      </c>
      <c r="AV36" s="330"/>
      <c r="AW36" s="425">
        <v>209.732</v>
      </c>
      <c r="AX36" s="330"/>
      <c r="AY36" s="1709">
        <v>220.512</v>
      </c>
      <c r="AZ36" s="330"/>
      <c r="BA36" s="1709">
        <v>200.67500000000001</v>
      </c>
      <c r="BB36" s="448"/>
      <c r="BC36" s="425">
        <v>189</v>
      </c>
      <c r="BD36" s="451"/>
      <c r="BE36" s="425">
        <v>193.5</v>
      </c>
      <c r="BF36" s="448"/>
      <c r="BG36" s="425">
        <v>284.3</v>
      </c>
      <c r="BH36" s="330"/>
      <c r="BI36" s="425">
        <f>BG36</f>
        <v>284.3</v>
      </c>
      <c r="BJ36" s="330"/>
      <c r="BK36" s="425">
        <f>BI36</f>
        <v>284.3</v>
      </c>
      <c r="BL36" s="330"/>
      <c r="BM36" s="425">
        <f>BK36</f>
        <v>284.3</v>
      </c>
      <c r="BN36" s="330"/>
      <c r="BO36" s="425">
        <f>BM36</f>
        <v>284.3</v>
      </c>
      <c r="BP36" s="791"/>
      <c r="BQ36" s="1709">
        <f>BO36</f>
        <v>284.3</v>
      </c>
      <c r="BR36" s="330"/>
    </row>
    <row r="37" spans="1:70" ht="9" hidden="1" customHeight="1" outlineLevel="1">
      <c r="A37" s="330"/>
      <c r="B37" s="330"/>
      <c r="C37" s="330"/>
      <c r="D37" s="330"/>
      <c r="E37" s="425"/>
      <c r="F37" s="426"/>
      <c r="G37" s="425"/>
      <c r="H37" s="426"/>
      <c r="I37" s="425"/>
      <c r="J37" s="426"/>
      <c r="K37" s="425"/>
      <c r="L37" s="426"/>
      <c r="M37" s="425"/>
      <c r="N37" s="426"/>
      <c r="O37" s="425"/>
      <c r="P37" s="426"/>
      <c r="Q37" s="425"/>
      <c r="R37" s="426"/>
      <c r="S37" s="425"/>
      <c r="T37" s="452"/>
      <c r="U37" s="425"/>
      <c r="V37" s="426"/>
      <c r="W37" s="425"/>
      <c r="X37" s="426"/>
      <c r="Y37" s="425"/>
      <c r="Z37" s="426"/>
      <c r="AA37" s="425"/>
      <c r="AB37" s="426"/>
      <c r="AC37" s="425"/>
      <c r="AD37" s="426"/>
      <c r="AE37" s="425"/>
      <c r="AF37" s="426"/>
      <c r="AG37" s="425"/>
      <c r="AH37" s="426"/>
      <c r="AI37" s="425"/>
      <c r="AJ37" s="426"/>
      <c r="AK37" s="425"/>
      <c r="AL37" s="330"/>
      <c r="AM37" s="425"/>
      <c r="AN37" s="330"/>
      <c r="AO37" s="425"/>
      <c r="AP37" s="330"/>
      <c r="AQ37" s="425"/>
      <c r="AR37" s="330"/>
      <c r="AS37" s="425"/>
      <c r="AT37" s="330"/>
      <c r="AU37" s="425"/>
      <c r="AV37" s="330"/>
      <c r="AW37" s="425"/>
      <c r="AX37" s="330"/>
      <c r="AY37" s="1709"/>
      <c r="AZ37" s="330"/>
      <c r="BA37" s="1709"/>
      <c r="BB37" s="448"/>
      <c r="BC37" s="425"/>
      <c r="BD37" s="448"/>
      <c r="BE37" s="425"/>
      <c r="BF37" s="448"/>
      <c r="BG37" s="425"/>
      <c r="BH37" s="330"/>
      <c r="BI37" s="425"/>
      <c r="BJ37" s="330"/>
      <c r="BK37" s="425"/>
      <c r="BL37" s="330"/>
      <c r="BM37" s="425"/>
      <c r="BN37" s="330"/>
      <c r="BO37" s="425"/>
      <c r="BP37" s="791"/>
      <c r="BQ37" s="1709"/>
      <c r="BR37" s="330"/>
    </row>
    <row r="38" spans="1:70" collapsed="1">
      <c r="A38" s="330"/>
      <c r="B38" s="330"/>
      <c r="C38" s="330" t="s">
        <v>29</v>
      </c>
      <c r="D38" s="330"/>
      <c r="E38" s="397">
        <f>SUM(E32:E37)</f>
        <v>0</v>
      </c>
      <c r="F38" s="330"/>
      <c r="G38" s="397">
        <f>SUM(G32:G37)</f>
        <v>0</v>
      </c>
      <c r="H38" s="330"/>
      <c r="I38" s="397">
        <f>SUM(I32:I37)</f>
        <v>120.47500000000001</v>
      </c>
      <c r="J38" s="330"/>
      <c r="K38" s="397">
        <f>SUM(K32:K37)</f>
        <v>162.75299999999999</v>
      </c>
      <c r="L38" s="330"/>
      <c r="M38" s="397">
        <f>SUM(M32:M37)</f>
        <v>170.50299999999999</v>
      </c>
      <c r="N38" s="330"/>
      <c r="O38" s="397">
        <f>SUM(O32:O37)</f>
        <v>172.577</v>
      </c>
      <c r="P38" s="330"/>
      <c r="Q38" s="397">
        <f>SUM(Q32:Q37)</f>
        <v>134.68199999999999</v>
      </c>
      <c r="R38" s="330"/>
      <c r="S38" s="397">
        <f>SUM(S33:S37)</f>
        <v>133.34</v>
      </c>
      <c r="T38" s="330"/>
      <c r="U38" s="397">
        <f>SUM(U33:U37)</f>
        <v>247.85299999999998</v>
      </c>
      <c r="V38" s="330"/>
      <c r="W38" s="397">
        <f>SUM(W33:W37)</f>
        <v>305.51</v>
      </c>
      <c r="X38" s="330"/>
      <c r="Y38" s="397">
        <f>SUM(Y33:Y37)</f>
        <v>305.65899999999999</v>
      </c>
      <c r="Z38" s="330"/>
      <c r="AA38" s="397">
        <f>SUM(AA33:AA37)</f>
        <v>279.78100000000001</v>
      </c>
      <c r="AB38" s="330"/>
      <c r="AC38" s="397">
        <f>SUM(AC33:AC37)</f>
        <v>415.63000000000005</v>
      </c>
      <c r="AD38" s="330"/>
      <c r="AE38" s="397">
        <f>SUM(AE33:AE37)</f>
        <v>527.72899999999993</v>
      </c>
      <c r="AF38" s="330"/>
      <c r="AG38" s="397">
        <f>SUM(AG33:AG37)</f>
        <v>565.13700000000006</v>
      </c>
      <c r="AH38" s="330"/>
      <c r="AI38" s="397">
        <f>SUM(AI33:AI37)</f>
        <v>581.74900000000002</v>
      </c>
      <c r="AJ38" s="330"/>
      <c r="AK38" s="397">
        <f>SUM(AK33:AK37)</f>
        <v>587.94399999999996</v>
      </c>
      <c r="AL38" s="330"/>
      <c r="AM38" s="397">
        <f>SUM(AM33:AM37)</f>
        <v>699.928</v>
      </c>
      <c r="AN38" s="330"/>
      <c r="AO38" s="397">
        <f>SUM(AO33:AO37)</f>
        <v>911.99</v>
      </c>
      <c r="AP38" s="330"/>
      <c r="AQ38" s="397">
        <f>SUM(AQ33:AQ37)</f>
        <v>1004.848</v>
      </c>
      <c r="AR38" s="330"/>
      <c r="AS38" s="397">
        <f>SUM(AS33:AS37)</f>
        <v>1078.2810000000002</v>
      </c>
      <c r="AT38" s="330"/>
      <c r="AU38" s="397">
        <f>SUM(AU33:AU37)</f>
        <v>1183.4099999999999</v>
      </c>
      <c r="AV38" s="330"/>
      <c r="AW38" s="397">
        <f>SUM(AW33:AW37)</f>
        <v>1432.9399999999998</v>
      </c>
      <c r="AX38" s="330"/>
      <c r="AY38" s="398">
        <f>SUM(AY33:AY37)</f>
        <v>1321.643</v>
      </c>
      <c r="AZ38" s="330"/>
      <c r="BA38" s="397">
        <f>SUM(BA33:BA37)</f>
        <v>1671.8989999999999</v>
      </c>
      <c r="BB38" s="397"/>
      <c r="BC38" s="397">
        <f>SUM(BC33:BC37)</f>
        <v>1470.3</v>
      </c>
      <c r="BD38" s="397"/>
      <c r="BE38" s="397">
        <f>SUM(BE33:BE37)</f>
        <v>1436.4</v>
      </c>
      <c r="BF38" s="397"/>
      <c r="BG38" s="397">
        <f>SUM(BG33:BG37)</f>
        <v>1495.1</v>
      </c>
      <c r="BH38" s="330"/>
      <c r="BI38" s="397">
        <f>SUM(BI33:BI37)</f>
        <v>1495.1</v>
      </c>
      <c r="BJ38" s="330"/>
      <c r="BK38" s="397">
        <f>SUM(BK33:BK37)</f>
        <v>1495.1</v>
      </c>
      <c r="BL38" s="330"/>
      <c r="BM38" s="397">
        <f>SUM(BM33:BM37)</f>
        <v>1495.1</v>
      </c>
      <c r="BN38" s="330"/>
      <c r="BO38" s="397">
        <f>SUM(BO33:BO37)</f>
        <v>1495.1</v>
      </c>
      <c r="BP38" s="398"/>
      <c r="BQ38" s="398">
        <f>SUM(BQ33:BQ37)</f>
        <v>1495.1</v>
      </c>
      <c r="BR38" s="330"/>
    </row>
    <row r="39" spans="1:70" ht="5.0999999999999996" customHeight="1">
      <c r="A39" s="330"/>
      <c r="B39" s="330"/>
      <c r="C39" s="330"/>
      <c r="D39" s="330"/>
      <c r="E39" s="330"/>
      <c r="F39" s="330"/>
      <c r="G39" s="330"/>
      <c r="H39" s="330"/>
      <c r="I39" s="330"/>
      <c r="J39" s="330"/>
      <c r="K39" s="330"/>
      <c r="L39" s="330"/>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405"/>
      <c r="AZ39" s="330"/>
      <c r="BA39" s="330"/>
      <c r="BB39" s="330"/>
      <c r="BC39" s="330"/>
      <c r="BD39" s="330"/>
      <c r="BE39" s="330"/>
      <c r="BF39" s="330"/>
      <c r="BG39" s="330"/>
      <c r="BH39" s="330"/>
      <c r="BI39" s="330"/>
      <c r="BJ39" s="330"/>
      <c r="BK39" s="330"/>
      <c r="BL39" s="330"/>
      <c r="BM39" s="330"/>
      <c r="BN39" s="330"/>
      <c r="BO39" s="330"/>
      <c r="BP39" s="405"/>
      <c r="BQ39" s="405"/>
      <c r="BR39" s="330"/>
    </row>
    <row r="40" spans="1:70">
      <c r="A40" s="330"/>
      <c r="B40" s="330" t="s">
        <v>1907</v>
      </c>
      <c r="C40" s="330"/>
      <c r="D40" s="330"/>
      <c r="E40" s="453">
        <f>+E31+E38</f>
        <v>0</v>
      </c>
      <c r="F40" s="330"/>
      <c r="G40" s="453">
        <f>+G31+G38</f>
        <v>0</v>
      </c>
      <c r="H40" s="330"/>
      <c r="I40" s="453">
        <f>+I31+I38</f>
        <v>214.54900000000001</v>
      </c>
      <c r="J40" s="330"/>
      <c r="K40" s="453">
        <f>+K31+K38</f>
        <v>315.32799999999997</v>
      </c>
      <c r="L40" s="330"/>
      <c r="M40" s="453">
        <f>+M31+M38</f>
        <v>334.97500000000002</v>
      </c>
      <c r="N40" s="330"/>
      <c r="O40" s="453">
        <f>+O31+O38</f>
        <v>389.87900000000002</v>
      </c>
      <c r="P40" s="330"/>
      <c r="Q40" s="453">
        <f>+Q31+Q38</f>
        <v>361.154</v>
      </c>
      <c r="R40" s="330"/>
      <c r="S40" s="453">
        <f>+S31+S38</f>
        <v>383.34299999999996</v>
      </c>
      <c r="T40" s="330"/>
      <c r="U40" s="453">
        <f>+U31+U38</f>
        <v>540.56999999999994</v>
      </c>
      <c r="V40" s="330"/>
      <c r="W40" s="453">
        <f>+W31+W38</f>
        <v>586.48599999999999</v>
      </c>
      <c r="X40" s="330"/>
      <c r="Y40" s="453">
        <f>+Y31+Y38</f>
        <v>642.85699999999997</v>
      </c>
      <c r="Z40" s="330"/>
      <c r="AA40" s="453">
        <f>+AA31+AA38</f>
        <v>594.12900000000002</v>
      </c>
      <c r="AB40" s="330"/>
      <c r="AC40" s="453">
        <f>+AC31+AC38</f>
        <v>715.53700000000003</v>
      </c>
      <c r="AD40" s="330"/>
      <c r="AE40" s="453">
        <f>+AE31+AE38</f>
        <v>922.88799999999992</v>
      </c>
      <c r="AF40" s="330"/>
      <c r="AG40" s="453">
        <f>+AG31+AG38</f>
        <v>964.95800000000008</v>
      </c>
      <c r="AH40" s="330"/>
      <c r="AI40" s="453">
        <f>+AI31+AI38</f>
        <v>946.35899999999992</v>
      </c>
      <c r="AJ40" s="330"/>
      <c r="AK40" s="453">
        <f>+AK31+AK38</f>
        <v>1040.615</v>
      </c>
      <c r="AL40" s="330"/>
      <c r="AM40" s="453">
        <f>+AM31+AM38</f>
        <v>1284.789</v>
      </c>
      <c r="AN40" s="330"/>
      <c r="AO40" s="453">
        <f>+AO31+AO38</f>
        <v>1513.912</v>
      </c>
      <c r="AP40" s="330"/>
      <c r="AQ40" s="453">
        <f>+AQ31+AQ38</f>
        <v>1605.1210000000001</v>
      </c>
      <c r="AR40" s="330"/>
      <c r="AS40" s="453">
        <f>+AS31+AS38</f>
        <v>1558.1940000000002</v>
      </c>
      <c r="AT40" s="330"/>
      <c r="AU40" s="453">
        <f>+AU31+AU38</f>
        <v>1810.087</v>
      </c>
      <c r="AV40" s="330"/>
      <c r="AW40" s="453">
        <f>+AW31+AW38</f>
        <v>2019.5319999999997</v>
      </c>
      <c r="AX40" s="330"/>
      <c r="AY40" s="1711">
        <f>+AY31+AY38</f>
        <v>2018.3829999999998</v>
      </c>
      <c r="AZ40" s="330"/>
      <c r="BA40" s="453">
        <f>+BA31+BA38</f>
        <v>2329.9319999999998</v>
      </c>
      <c r="BB40" s="427"/>
      <c r="BC40" s="453">
        <f>+BC31+BC38</f>
        <v>2200.1999999999998</v>
      </c>
      <c r="BD40" s="427"/>
      <c r="BE40" s="453">
        <f>+BE31+BE38</f>
        <v>2069.2000000000003</v>
      </c>
      <c r="BF40" s="427"/>
      <c r="BG40" s="453">
        <f>+BG31+BG38</f>
        <v>2219.8999999999996</v>
      </c>
      <c r="BH40" s="330"/>
      <c r="BI40" s="453">
        <f>+BI31+BI38</f>
        <v>2120.3402637374029</v>
      </c>
      <c r="BJ40" s="330"/>
      <c r="BK40" s="453">
        <f>+BK31+BK38</f>
        <v>2152.5558150279362</v>
      </c>
      <c r="BL40" s="330"/>
      <c r="BM40" s="453">
        <f>+BM31+BM38</f>
        <v>2182.8157282702587</v>
      </c>
      <c r="BN40" s="330"/>
      <c r="BO40" s="453">
        <f>+BO31+BO38</f>
        <v>2208.0054884072711</v>
      </c>
      <c r="BP40" s="1716"/>
      <c r="BQ40" s="1711">
        <f>+BQ31+BQ38</f>
        <v>2234.4029515980055</v>
      </c>
      <c r="BR40" s="330"/>
    </row>
    <row r="41" spans="1:70" ht="6" customHeight="1">
      <c r="A41" s="330"/>
      <c r="B41" s="330"/>
      <c r="C41" s="330"/>
      <c r="D41" s="330"/>
      <c r="E41" s="330"/>
      <c r="F41" s="330"/>
      <c r="G41" s="330"/>
      <c r="H41" s="330"/>
      <c r="I41" s="330"/>
      <c r="J41" s="330"/>
      <c r="K41" s="330"/>
      <c r="L41" s="330"/>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405"/>
      <c r="BQ41" s="405"/>
      <c r="BR41" s="330"/>
    </row>
    <row r="42" spans="1:70">
      <c r="A42" s="442" t="s">
        <v>24</v>
      </c>
      <c r="B42" s="330"/>
      <c r="C42" s="330"/>
      <c r="D42" s="330"/>
      <c r="E42" s="330"/>
      <c r="F42" s="330"/>
      <c r="G42" s="330"/>
      <c r="H42" s="330"/>
      <c r="I42" s="330"/>
      <c r="J42" s="330"/>
      <c r="K42" s="330"/>
      <c r="L42" s="330"/>
      <c r="M42" s="330"/>
      <c r="N42" s="330"/>
      <c r="O42" s="330"/>
      <c r="P42" s="330"/>
      <c r="Q42" s="330"/>
      <c r="R42" s="330"/>
      <c r="S42" s="330"/>
      <c r="T42" s="330"/>
      <c r="U42" s="454"/>
      <c r="V42" s="330"/>
      <c r="W42" s="330"/>
      <c r="X42" s="330"/>
      <c r="Y42" s="330"/>
      <c r="Z42" s="330"/>
      <c r="AA42" s="330"/>
      <c r="AB42" s="330"/>
      <c r="AC42" s="330"/>
      <c r="AD42" s="330"/>
      <c r="AE42" s="330"/>
      <c r="AF42" s="330"/>
      <c r="AG42" s="330"/>
      <c r="AH42" s="330"/>
      <c r="AI42" s="330"/>
      <c r="AJ42" s="330"/>
      <c r="AK42" s="330"/>
      <c r="AL42" s="330"/>
      <c r="AM42" s="330"/>
      <c r="AN42" s="330"/>
      <c r="AO42" s="330"/>
      <c r="AP42" s="330"/>
      <c r="AQ42" s="445"/>
      <c r="AR42" s="330"/>
      <c r="AS42" s="330"/>
      <c r="AT42" s="330"/>
      <c r="AU42" s="330"/>
      <c r="AV42" s="330"/>
      <c r="AW42" s="330"/>
      <c r="AX42" s="330"/>
      <c r="AY42" s="330"/>
      <c r="AZ42" s="330"/>
      <c r="BA42" s="330"/>
      <c r="BB42" s="330"/>
      <c r="BC42" s="330"/>
      <c r="BD42" s="330"/>
      <c r="BE42" s="330"/>
      <c r="BF42" s="330"/>
      <c r="BG42" s="330"/>
      <c r="BH42" s="330"/>
      <c r="BI42" s="330"/>
      <c r="BJ42" s="330"/>
      <c r="BK42" s="330"/>
      <c r="BL42" s="330"/>
      <c r="BM42" s="330"/>
      <c r="BN42" s="330"/>
      <c r="BO42" s="330"/>
      <c r="BP42" s="405"/>
      <c r="BQ42" s="405"/>
      <c r="BR42" s="330"/>
    </row>
    <row r="43" spans="1:70">
      <c r="A43" s="330"/>
      <c r="B43" s="330" t="s">
        <v>25</v>
      </c>
      <c r="C43" s="330"/>
      <c r="D43" s="330"/>
      <c r="E43" s="448"/>
      <c r="F43" s="426"/>
      <c r="G43" s="448"/>
      <c r="H43" s="426"/>
      <c r="I43" s="448">
        <v>0.156</v>
      </c>
      <c r="J43" s="426"/>
      <c r="K43" s="448">
        <v>0.157</v>
      </c>
      <c r="L43" s="426"/>
      <c r="M43" s="448">
        <v>0.157</v>
      </c>
      <c r="N43" s="426"/>
      <c r="O43" s="448">
        <v>0.32</v>
      </c>
      <c r="P43" s="426"/>
      <c r="Q43" s="448">
        <v>0.34499999999999997</v>
      </c>
      <c r="R43" s="426"/>
      <c r="S43" s="448">
        <v>0.34899999999999998</v>
      </c>
      <c r="T43" s="452"/>
      <c r="U43" s="448">
        <v>0.34699999999999998</v>
      </c>
      <c r="V43" s="452"/>
      <c r="W43" s="448">
        <v>1.45</v>
      </c>
      <c r="X43" s="426"/>
      <c r="Y43" s="448">
        <v>1.4590000000000001</v>
      </c>
      <c r="Z43" s="426"/>
      <c r="AA43" s="448">
        <v>1.45</v>
      </c>
      <c r="AB43" s="426"/>
      <c r="AC43" s="448">
        <v>1.4490000000000001</v>
      </c>
      <c r="AD43" s="426"/>
      <c r="AE43" s="448">
        <v>1.4670000000000001</v>
      </c>
      <c r="AF43" s="426"/>
      <c r="AG43" s="448">
        <v>1.4450000000000001</v>
      </c>
      <c r="AH43" s="426"/>
      <c r="AI43" s="448">
        <v>1.425</v>
      </c>
      <c r="AJ43" s="426"/>
      <c r="AK43" s="448">
        <v>1.3580000000000001</v>
      </c>
      <c r="AL43" s="330"/>
      <c r="AM43" s="448">
        <v>1.268</v>
      </c>
      <c r="AN43" s="330"/>
      <c r="AO43" s="448">
        <v>1.238</v>
      </c>
      <c r="AP43" s="330"/>
      <c r="AQ43" s="448">
        <v>1.2629999999999999</v>
      </c>
      <c r="AR43" s="330"/>
      <c r="AS43" s="448">
        <v>1.2689999999999999</v>
      </c>
      <c r="AT43" s="330"/>
      <c r="AU43" s="448">
        <v>1.2669999999999999</v>
      </c>
      <c r="AV43" s="330"/>
      <c r="AW43" s="448">
        <v>1.2689999999999999</v>
      </c>
      <c r="AX43" s="330"/>
      <c r="AY43" s="448">
        <v>1.2829999999999999</v>
      </c>
      <c r="AZ43" s="330"/>
      <c r="BA43" s="448">
        <v>1.2929999999999999</v>
      </c>
      <c r="BB43" s="455"/>
      <c r="BC43" s="2166">
        <v>1.3</v>
      </c>
      <c r="BD43" s="451"/>
      <c r="BE43" s="2166">
        <v>1.2</v>
      </c>
      <c r="BF43" s="455"/>
      <c r="BG43" s="2462">
        <f>+BE43</f>
        <v>1.2</v>
      </c>
      <c r="BH43" s="330"/>
      <c r="BI43" s="455">
        <f>+BG43</f>
        <v>1.2</v>
      </c>
      <c r="BJ43" s="330"/>
      <c r="BK43" s="455">
        <f>+BI43</f>
        <v>1.2</v>
      </c>
      <c r="BL43" s="330"/>
      <c r="BM43" s="455">
        <f>+BK43</f>
        <v>1.2</v>
      </c>
      <c r="BN43" s="330"/>
      <c r="BO43" s="455">
        <f>+BM43</f>
        <v>1.2</v>
      </c>
      <c r="BP43" s="734"/>
      <c r="BQ43" s="734">
        <f>+BO43</f>
        <v>1.2</v>
      </c>
      <c r="BR43" s="330"/>
    </row>
    <row r="44" spans="1:70">
      <c r="A44" s="330"/>
      <c r="B44" s="330" t="s">
        <v>26</v>
      </c>
      <c r="C44" s="330"/>
      <c r="D44" s="330"/>
      <c r="E44" s="448"/>
      <c r="F44" s="426"/>
      <c r="G44" s="448"/>
      <c r="H44" s="426"/>
      <c r="I44" s="448">
        <v>69.552999999999997</v>
      </c>
      <c r="J44" s="426"/>
      <c r="K44" s="448">
        <v>70.498000000000005</v>
      </c>
      <c r="L44" s="426"/>
      <c r="M44" s="448">
        <v>71.820999999999998</v>
      </c>
      <c r="N44" s="426"/>
      <c r="O44" s="448">
        <v>82.46</v>
      </c>
      <c r="P44" s="426"/>
      <c r="Q44" s="448">
        <v>150.04499999999999</v>
      </c>
      <c r="R44" s="426"/>
      <c r="S44" s="448">
        <v>168.08500000000001</v>
      </c>
      <c r="T44" s="452"/>
      <c r="U44" s="448">
        <v>185.238</v>
      </c>
      <c r="V44" s="452"/>
      <c r="W44" s="448">
        <v>293.173</v>
      </c>
      <c r="X44" s="426"/>
      <c r="Y44" s="448">
        <v>318.79399999999998</v>
      </c>
      <c r="Z44" s="426"/>
      <c r="AA44" s="448">
        <v>330.74299999999999</v>
      </c>
      <c r="AB44" s="426"/>
      <c r="AC44" s="448">
        <v>351.39800000000002</v>
      </c>
      <c r="AD44" s="426"/>
      <c r="AE44" s="448">
        <v>395.18200000000002</v>
      </c>
      <c r="AF44" s="426"/>
      <c r="AG44" s="448">
        <v>426.30799999999999</v>
      </c>
      <c r="AH44" s="426"/>
      <c r="AI44" s="448">
        <v>488.96</v>
      </c>
      <c r="AJ44" s="426"/>
      <c r="AK44" s="448">
        <v>536.18700000000001</v>
      </c>
      <c r="AL44" s="330"/>
      <c r="AM44" s="448">
        <v>632.67100000000005</v>
      </c>
      <c r="AN44" s="330"/>
      <c r="AO44" s="448">
        <v>687.26700000000005</v>
      </c>
      <c r="AP44" s="330"/>
      <c r="AQ44" s="448">
        <v>764.13199999999995</v>
      </c>
      <c r="AR44" s="330"/>
      <c r="AS44" s="448">
        <v>863.96699999999998</v>
      </c>
      <c r="AT44" s="330"/>
      <c r="AU44" s="448">
        <v>970.21500000000003</v>
      </c>
      <c r="AV44" s="330"/>
      <c r="AW44" s="448">
        <v>1019.997</v>
      </c>
      <c r="AX44" s="330"/>
      <c r="AY44" s="448">
        <v>1095.3040000000001</v>
      </c>
      <c r="AZ44" s="330"/>
      <c r="BA44" s="448">
        <v>1173.625</v>
      </c>
      <c r="BB44" s="455"/>
      <c r="BC44" s="2166">
        <v>1175.7</v>
      </c>
      <c r="BD44" s="451"/>
      <c r="BE44" s="2166">
        <v>1190.2</v>
      </c>
      <c r="BF44" s="455"/>
      <c r="BG44" s="2462">
        <v>1256</v>
      </c>
      <c r="BH44" s="330"/>
      <c r="BI44" s="455">
        <f>BG44+flow!BH56+flow!BH12</f>
        <v>1310.5999999999999</v>
      </c>
      <c r="BJ44" s="330"/>
      <c r="BK44" s="455">
        <f>BI44+flow!BJ56+flow!BJ12</f>
        <v>1365.1999999999998</v>
      </c>
      <c r="BL44" s="330"/>
      <c r="BM44" s="455">
        <f>BK44+flow!BL56+flow!BL12</f>
        <v>1419.7999999999997</v>
      </c>
      <c r="BN44" s="330"/>
      <c r="BO44" s="455">
        <f>BM44+flow!BN56+flow!BN12</f>
        <v>1474.3999999999996</v>
      </c>
      <c r="BP44" s="734"/>
      <c r="BQ44" s="734">
        <f>BO44+flow!BP56+flow!BP12</f>
        <v>1528.9999999999995</v>
      </c>
      <c r="BR44" s="330"/>
    </row>
    <row r="45" spans="1:70">
      <c r="A45" s="330"/>
      <c r="B45" s="330" t="s">
        <v>27</v>
      </c>
      <c r="C45" s="330"/>
      <c r="D45" s="330"/>
      <c r="E45" s="448"/>
      <c r="F45" s="426"/>
      <c r="G45" s="448"/>
      <c r="H45" s="426"/>
      <c r="I45" s="448">
        <v>140.70500000000001</v>
      </c>
      <c r="J45" s="426"/>
      <c r="K45" s="448">
        <v>126.08199999999999</v>
      </c>
      <c r="L45" s="426"/>
      <c r="M45" s="448">
        <v>151.03200000000001</v>
      </c>
      <c r="N45" s="426"/>
      <c r="O45" s="448">
        <v>185.82300000000001</v>
      </c>
      <c r="P45" s="426"/>
      <c r="Q45" s="448">
        <v>237.959</v>
      </c>
      <c r="R45" s="426"/>
      <c r="S45" s="448">
        <v>293.68900000000002</v>
      </c>
      <c r="T45" s="452"/>
      <c r="U45" s="448">
        <v>344.22300000000001</v>
      </c>
      <c r="V45" s="452"/>
      <c r="W45" s="448">
        <v>473.81900000000002</v>
      </c>
      <c r="X45" s="426"/>
      <c r="Y45" s="448">
        <v>630.07600000000002</v>
      </c>
      <c r="Z45" s="426"/>
      <c r="AA45" s="448">
        <v>743.54300000000001</v>
      </c>
      <c r="AB45" s="426"/>
      <c r="AC45" s="448">
        <v>874.69399999999996</v>
      </c>
      <c r="AD45" s="426"/>
      <c r="AE45" s="448">
        <v>1058.203</v>
      </c>
      <c r="AF45" s="426"/>
      <c r="AG45" s="448">
        <v>1246.3309999999999</v>
      </c>
      <c r="AH45" s="426"/>
      <c r="AI45" s="448">
        <v>1331.3209999999999</v>
      </c>
      <c r="AJ45" s="426"/>
      <c r="AK45" s="448">
        <v>1269.94</v>
      </c>
      <c r="AL45" s="330"/>
      <c r="AM45" s="448">
        <v>1037.663</v>
      </c>
      <c r="AN45" s="330"/>
      <c r="AO45" s="448">
        <v>971.29899999999998</v>
      </c>
      <c r="AP45" s="330"/>
      <c r="AQ45" s="448">
        <v>1151.1089999999999</v>
      </c>
      <c r="AR45" s="330"/>
      <c r="AS45" s="448">
        <v>1324.8040000000001</v>
      </c>
      <c r="AT45" s="330"/>
      <c r="AU45" s="448">
        <v>1462.5530000000001</v>
      </c>
      <c r="AV45" s="330"/>
      <c r="AW45" s="448">
        <v>1671.3409999999999</v>
      </c>
      <c r="AX45" s="330"/>
      <c r="AY45" s="448">
        <v>1682.3979999999999</v>
      </c>
      <c r="AZ45" s="330"/>
      <c r="BA45" s="448">
        <v>1950.6030000000001</v>
      </c>
      <c r="BB45" s="455"/>
      <c r="BC45" s="2166">
        <v>2012.5</v>
      </c>
      <c r="BD45" s="451"/>
      <c r="BE45" s="2166">
        <v>2078.3000000000002</v>
      </c>
      <c r="BF45" s="455"/>
      <c r="BG45" s="2462">
        <v>2114.1999999999998</v>
      </c>
      <c r="BH45" s="330"/>
      <c r="BI45" s="455">
        <f>+BG45+flow!BH10+flow!BH55+flow!BH61</f>
        <v>2312.3177569858608</v>
      </c>
      <c r="BJ45" s="330"/>
      <c r="BK45" s="455">
        <f>+BI45+flow!BJ10+flow!BJ55+flow!BJ61</f>
        <v>2463.3061639718421</v>
      </c>
      <c r="BL45" s="330"/>
      <c r="BM45" s="455">
        <f>+BK45+flow!BL10+flow!BL55+flow!BL61</f>
        <v>2647.9124303396438</v>
      </c>
      <c r="BN45" s="330"/>
      <c r="BO45" s="455">
        <f>+BM45+flow!BN10+flow!BN55+flow!BN61</f>
        <v>2859.0695171914026</v>
      </c>
      <c r="BP45" s="734"/>
      <c r="BQ45" s="734">
        <f>+BO45+flow!BP10+flow!BP55+flow!BP61</f>
        <v>3102.5319537987671</v>
      </c>
      <c r="BR45" s="330"/>
    </row>
    <row r="46" spans="1:70">
      <c r="A46" s="330"/>
      <c r="B46" s="330" t="s">
        <v>548</v>
      </c>
      <c r="C46" s="426"/>
      <c r="D46" s="330"/>
      <c r="E46" s="448"/>
      <c r="F46" s="426"/>
      <c r="G46" s="448"/>
      <c r="H46" s="426"/>
      <c r="I46" s="448">
        <v>-5.6079999999999997</v>
      </c>
      <c r="J46" s="426"/>
      <c r="K46" s="448">
        <v>-7.6559999999999997</v>
      </c>
      <c r="L46" s="426"/>
      <c r="M46" s="448">
        <v>-1.3129999999999999</v>
      </c>
      <c r="N46" s="426"/>
      <c r="O46" s="448">
        <v>-4.2249999999999996</v>
      </c>
      <c r="P46" s="426"/>
      <c r="Q46" s="448">
        <v>-10.085000000000001</v>
      </c>
      <c r="R46" s="426"/>
      <c r="S46" s="448">
        <v>-18.399000000000001</v>
      </c>
      <c r="T46" s="452"/>
      <c r="U46" s="448">
        <v>-13.355</v>
      </c>
      <c r="V46" s="452"/>
      <c r="W46" s="448">
        <v>-11.366</v>
      </c>
      <c r="X46" s="426"/>
      <c r="Y46" s="448">
        <v>-24.846</v>
      </c>
      <c r="Z46" s="426"/>
      <c r="AA46" s="448">
        <f>-45.306+6.515</f>
        <v>-38.790999999999997</v>
      </c>
      <c r="AB46" s="426"/>
      <c r="AC46" s="448">
        <f>-14.561-2.284-2.647</f>
        <v>-19.491999999999997</v>
      </c>
      <c r="AD46" s="426"/>
      <c r="AE46" s="448">
        <f>15.856-2.508</f>
        <v>13.347999999999999</v>
      </c>
      <c r="AF46" s="426"/>
      <c r="AG46" s="448">
        <f>29.045-2.118+0.149</f>
        <v>27.076000000000004</v>
      </c>
      <c r="AH46" s="426"/>
      <c r="AI46" s="448">
        <f>5.281+3.247+0.679</f>
        <v>9.206999999999999</v>
      </c>
      <c r="AJ46" s="426"/>
      <c r="AK46" s="448">
        <f>11.846+2.046+0.178-16.66</f>
        <v>-2.59</v>
      </c>
      <c r="AL46" s="330"/>
      <c r="AM46" s="448">
        <f>42.117+0.889-0.621+2.128</f>
        <v>44.512999999999998</v>
      </c>
      <c r="AN46" s="330"/>
      <c r="AO46" s="448">
        <f>-26.238-8.984-6.14-30.071</f>
        <v>-71.433000000000007</v>
      </c>
      <c r="AP46" s="330"/>
      <c r="AQ46" s="791">
        <v>-33.265000000000001</v>
      </c>
      <c r="AR46" s="330"/>
      <c r="AS46" s="448">
        <v>-12.565</v>
      </c>
      <c r="AT46" s="330"/>
      <c r="AU46" s="448">
        <v>-85.13</v>
      </c>
      <c r="AV46" s="330"/>
      <c r="AW46" s="448">
        <v>-93.875</v>
      </c>
      <c r="AX46" s="330"/>
      <c r="AY46" s="448">
        <v>-58.548000000000002</v>
      </c>
      <c r="AZ46" s="330"/>
      <c r="BA46" s="448">
        <v>-290.46199999999999</v>
      </c>
      <c r="BB46" s="455"/>
      <c r="BC46" s="2166">
        <v>-278.10000000000002</v>
      </c>
      <c r="BD46" s="451"/>
      <c r="BE46" s="2166">
        <v>-256.2</v>
      </c>
      <c r="BF46" s="455"/>
      <c r="BG46" s="2462">
        <v>-138</v>
      </c>
      <c r="BH46" s="426"/>
      <c r="BI46" s="455">
        <f>+BG46</f>
        <v>-138</v>
      </c>
      <c r="BJ46" s="426"/>
      <c r="BK46" s="455">
        <f>+BI46</f>
        <v>-138</v>
      </c>
      <c r="BL46" s="426"/>
      <c r="BM46" s="455">
        <f>+BK46</f>
        <v>-138</v>
      </c>
      <c r="BN46" s="426"/>
      <c r="BO46" s="455">
        <f>+BM46</f>
        <v>-138</v>
      </c>
      <c r="BP46" s="734"/>
      <c r="BQ46" s="734">
        <f>+BO46</f>
        <v>-138</v>
      </c>
      <c r="BR46" s="426"/>
    </row>
    <row r="47" spans="1:70">
      <c r="A47" s="330"/>
      <c r="B47" s="330" t="s">
        <v>465</v>
      </c>
      <c r="C47" s="426"/>
      <c r="D47" s="330"/>
      <c r="E47" s="425">
        <v>0</v>
      </c>
      <c r="F47" s="426"/>
      <c r="G47" s="425">
        <v>0</v>
      </c>
      <c r="H47" s="426"/>
      <c r="I47" s="425">
        <v>0</v>
      </c>
      <c r="J47" s="426"/>
      <c r="K47" s="425">
        <v>0</v>
      </c>
      <c r="L47" s="426"/>
      <c r="M47" s="425">
        <v>0</v>
      </c>
      <c r="N47" s="426"/>
      <c r="O47" s="425">
        <v>0</v>
      </c>
      <c r="P47" s="426"/>
      <c r="Q47" s="425">
        <v>0</v>
      </c>
      <c r="R47" s="426"/>
      <c r="S47" s="425">
        <v>0</v>
      </c>
      <c r="T47" s="452"/>
      <c r="U47" s="425">
        <v>0</v>
      </c>
      <c r="V47" s="452"/>
      <c r="W47" s="425">
        <v>0</v>
      </c>
      <c r="X47" s="425"/>
      <c r="Y47" s="425">
        <v>0</v>
      </c>
      <c r="Z47" s="426"/>
      <c r="AA47" s="425">
        <v>0</v>
      </c>
      <c r="AB47" s="426"/>
      <c r="AC47" s="425">
        <v>0</v>
      </c>
      <c r="AD47" s="426"/>
      <c r="AE47" s="425">
        <v>0</v>
      </c>
      <c r="AF47" s="426"/>
      <c r="AG47" s="425">
        <v>0</v>
      </c>
      <c r="AH47" s="426"/>
      <c r="AI47" s="425">
        <v>0</v>
      </c>
      <c r="AJ47" s="426"/>
      <c r="AK47" s="425">
        <v>0</v>
      </c>
      <c r="AL47" s="426"/>
      <c r="AM47" s="425">
        <v>0</v>
      </c>
      <c r="AN47" s="426"/>
      <c r="AO47" s="425">
        <v>0</v>
      </c>
      <c r="AP47" s="426"/>
      <c r="AQ47" s="425">
        <v>0</v>
      </c>
      <c r="AR47" s="426"/>
      <c r="AS47" s="425">
        <v>0</v>
      </c>
      <c r="AT47" s="426"/>
      <c r="AU47" s="425">
        <v>0</v>
      </c>
      <c r="AV47" s="426"/>
      <c r="AW47" s="425">
        <v>12.586</v>
      </c>
      <c r="AX47" s="426"/>
      <c r="AY47" s="425">
        <v>13.531000000000001</v>
      </c>
      <c r="AZ47" s="426"/>
      <c r="BA47" s="425">
        <v>15.612</v>
      </c>
      <c r="BB47" s="455"/>
      <c r="BC47" s="2167">
        <v>18.100000000000001</v>
      </c>
      <c r="BD47" s="451"/>
      <c r="BE47" s="2167">
        <v>14.9</v>
      </c>
      <c r="BF47" s="455"/>
      <c r="BG47" s="2459">
        <v>14.8</v>
      </c>
      <c r="BH47" s="426"/>
      <c r="BI47" s="423">
        <f>+BG47</f>
        <v>14.8</v>
      </c>
      <c r="BJ47" s="426"/>
      <c r="BK47" s="423">
        <f>+BI47</f>
        <v>14.8</v>
      </c>
      <c r="BL47" s="426"/>
      <c r="BM47" s="423">
        <f>+BK47</f>
        <v>14.8</v>
      </c>
      <c r="BN47" s="426"/>
      <c r="BO47" s="423">
        <f>+BM47</f>
        <v>14.8</v>
      </c>
      <c r="BP47" s="734"/>
      <c r="BQ47" s="1691">
        <f>+BO47</f>
        <v>14.8</v>
      </c>
      <c r="BR47" s="426"/>
    </row>
    <row r="48" spans="1:70">
      <c r="A48" s="330"/>
      <c r="B48" s="330"/>
      <c r="C48" s="330" t="s">
        <v>28</v>
      </c>
      <c r="D48" s="330"/>
      <c r="E48" s="397">
        <f>SUM(E43:E47)</f>
        <v>0</v>
      </c>
      <c r="F48" s="397"/>
      <c r="G48" s="397">
        <f>SUM(G43:G47)</f>
        <v>0</v>
      </c>
      <c r="H48" s="397"/>
      <c r="I48" s="397">
        <f>SUM(I43:I47)</f>
        <v>204.80600000000001</v>
      </c>
      <c r="J48" s="397"/>
      <c r="K48" s="397">
        <f>SUM(K43:K47)</f>
        <v>189.08099999999999</v>
      </c>
      <c r="L48" s="397"/>
      <c r="M48" s="397">
        <f>SUM(M43:M47)</f>
        <v>221.697</v>
      </c>
      <c r="N48" s="397"/>
      <c r="O48" s="397">
        <f>SUM(O43:O47)</f>
        <v>264.37799999999999</v>
      </c>
      <c r="P48" s="397"/>
      <c r="Q48" s="397">
        <f>SUM(Q43:Q47)</f>
        <v>378.26400000000001</v>
      </c>
      <c r="R48" s="397"/>
      <c r="S48" s="397">
        <f>SUM(S43:S47)</f>
        <v>443.72400000000005</v>
      </c>
      <c r="T48" s="397"/>
      <c r="U48" s="397">
        <f>SUM(U43:U47)</f>
        <v>516.45299999999997</v>
      </c>
      <c r="V48" s="397"/>
      <c r="W48" s="397">
        <f>SUM(W43:W47)</f>
        <v>757.07600000000002</v>
      </c>
      <c r="X48" s="397"/>
      <c r="Y48" s="397">
        <f>SUM(Y43:Y47)</f>
        <v>925.48299999999995</v>
      </c>
      <c r="Z48" s="397"/>
      <c r="AA48" s="397">
        <f>SUM(AA43:AA47)</f>
        <v>1036.9449999999999</v>
      </c>
      <c r="AB48" s="397"/>
      <c r="AC48" s="397">
        <f>SUM(AC43:AC47)</f>
        <v>1208.049</v>
      </c>
      <c r="AD48" s="397"/>
      <c r="AE48" s="397">
        <f>SUM(AE43:AE47)</f>
        <v>1468.1999999999998</v>
      </c>
      <c r="AF48" s="397"/>
      <c r="AG48" s="397">
        <f>SUM(AG43:AG47)</f>
        <v>1701.1599999999999</v>
      </c>
      <c r="AH48" s="397"/>
      <c r="AI48" s="397">
        <f>SUM(AI43:AI47)</f>
        <v>1830.913</v>
      </c>
      <c r="AJ48" s="397"/>
      <c r="AK48" s="397">
        <f>SUM(AK43:AK47)</f>
        <v>1804.8950000000002</v>
      </c>
      <c r="AL48" s="397"/>
      <c r="AM48" s="397">
        <f>SUM(AM43:AM47)</f>
        <v>1716.115</v>
      </c>
      <c r="AN48" s="397"/>
      <c r="AO48" s="397">
        <f>SUM(AO43:AO47)</f>
        <v>1588.3710000000001</v>
      </c>
      <c r="AP48" s="397"/>
      <c r="AQ48" s="397">
        <f>SUM(AQ43:AQ47)</f>
        <v>1883.2389999999998</v>
      </c>
      <c r="AR48" s="397"/>
      <c r="AS48" s="397">
        <f>SUM(AS43:AS47)</f>
        <v>2177.4749999999999</v>
      </c>
      <c r="AT48" s="397"/>
      <c r="AU48" s="397">
        <f>SUM(AU43:AU47)</f>
        <v>2348.9050000000002</v>
      </c>
      <c r="AV48" s="397"/>
      <c r="AW48" s="397">
        <f>SUM(AW43:AW47)</f>
        <v>2611.3179999999998</v>
      </c>
      <c r="AX48" s="397"/>
      <c r="AY48" s="397">
        <f t="shared" ref="AY48:BI48" si="0">SUM(AY43:AY47)</f>
        <v>2733.9679999999998</v>
      </c>
      <c r="AZ48" s="397"/>
      <c r="BA48" s="397">
        <f>SUM(BA43:BA47)</f>
        <v>2850.6709999999998</v>
      </c>
      <c r="BB48" s="397"/>
      <c r="BC48" s="397">
        <f t="shared" si="0"/>
        <v>2929.5</v>
      </c>
      <c r="BD48" s="397"/>
      <c r="BE48" s="397">
        <f t="shared" si="0"/>
        <v>3028.4000000000005</v>
      </c>
      <c r="BF48" s="397"/>
      <c r="BG48" s="397">
        <f t="shared" si="0"/>
        <v>3248.2</v>
      </c>
      <c r="BH48" s="330"/>
      <c r="BI48" s="397">
        <f t="shared" si="0"/>
        <v>3500.9177569858612</v>
      </c>
      <c r="BJ48" s="330"/>
      <c r="BK48" s="397">
        <f>SUM(BK43:BK47)</f>
        <v>3706.5061639718424</v>
      </c>
      <c r="BL48" s="330"/>
      <c r="BM48" s="397">
        <f>SUM(BM43:BM47)</f>
        <v>3945.712430339644</v>
      </c>
      <c r="BN48" s="330"/>
      <c r="BO48" s="397">
        <f>SUM(BO43:BO47)</f>
        <v>4211.4695171914027</v>
      </c>
      <c r="BP48" s="398"/>
      <c r="BQ48" s="398">
        <f>SUM(BQ43:BQ47)</f>
        <v>4509.5319537987671</v>
      </c>
      <c r="BR48" s="330"/>
    </row>
    <row r="49" spans="1:70">
      <c r="A49" s="330"/>
      <c r="B49" s="330"/>
      <c r="C49" s="330"/>
      <c r="D49" s="330"/>
      <c r="E49" s="330"/>
      <c r="F49" s="330"/>
      <c r="G49" s="330"/>
      <c r="H49" s="330"/>
      <c r="I49" s="330"/>
      <c r="J49" s="330"/>
      <c r="K49" s="330"/>
      <c r="L49" s="330"/>
      <c r="M49" s="330"/>
      <c r="N49" s="330"/>
      <c r="O49" s="330"/>
      <c r="P49" s="330"/>
      <c r="Q49" s="330"/>
      <c r="R49" s="330"/>
      <c r="S49" s="330"/>
      <c r="T49" s="330"/>
      <c r="U49" s="330"/>
      <c r="V49" s="330"/>
      <c r="W49" s="330"/>
      <c r="X49" s="330"/>
      <c r="Y49" s="330"/>
      <c r="Z49" s="330"/>
      <c r="AA49" s="330"/>
      <c r="AB49" s="330"/>
      <c r="AC49" s="330"/>
      <c r="AD49" s="330"/>
      <c r="AE49" s="330"/>
      <c r="AF49" s="330"/>
      <c r="AG49" s="330"/>
      <c r="AH49" s="330"/>
      <c r="AI49" s="330"/>
      <c r="AJ49" s="330"/>
      <c r="AK49" s="330"/>
      <c r="AL49" s="330"/>
      <c r="AM49" s="330"/>
      <c r="AN49" s="330"/>
      <c r="AO49" s="330"/>
      <c r="AP49" s="330"/>
      <c r="AQ49" s="330"/>
      <c r="AR49" s="330"/>
      <c r="AS49" s="330"/>
      <c r="AT49" s="330"/>
      <c r="AU49" s="330"/>
      <c r="AV49" s="330"/>
      <c r="AW49" s="330"/>
      <c r="AX49" s="330"/>
      <c r="AY49" s="330"/>
      <c r="AZ49" s="330"/>
      <c r="BA49" s="330"/>
      <c r="BB49" s="330"/>
      <c r="BC49" s="330"/>
      <c r="BD49" s="330"/>
      <c r="BE49" s="330"/>
      <c r="BF49" s="330"/>
      <c r="BG49" s="330"/>
      <c r="BH49" s="330"/>
      <c r="BI49" s="330"/>
      <c r="BJ49" s="330"/>
      <c r="BK49" s="330"/>
      <c r="BL49" s="330"/>
      <c r="BM49" s="330"/>
      <c r="BN49" s="330"/>
      <c r="BO49" s="330"/>
      <c r="BP49" s="405"/>
      <c r="BQ49" s="405"/>
      <c r="BR49" s="330"/>
    </row>
    <row r="50" spans="1:70">
      <c r="A50" s="330" t="s">
        <v>1014</v>
      </c>
      <c r="B50" s="330"/>
      <c r="C50" s="330"/>
      <c r="D50" s="330"/>
      <c r="E50" s="449">
        <f>E48+E40</f>
        <v>0</v>
      </c>
      <c r="F50" s="330"/>
      <c r="G50" s="449">
        <f>G48+G40</f>
        <v>0</v>
      </c>
      <c r="H50" s="330"/>
      <c r="I50" s="449">
        <f>I48+I40</f>
        <v>419.35500000000002</v>
      </c>
      <c r="J50" s="330"/>
      <c r="K50" s="449">
        <f>K48+K40</f>
        <v>504.40899999999999</v>
      </c>
      <c r="L50" s="330"/>
      <c r="M50" s="449">
        <f>M48+M40</f>
        <v>556.67200000000003</v>
      </c>
      <c r="N50" s="330"/>
      <c r="O50" s="449">
        <f>O48+O40</f>
        <v>654.25700000000006</v>
      </c>
      <c r="P50" s="330"/>
      <c r="Q50" s="449">
        <f>Q48+Q40</f>
        <v>739.41800000000001</v>
      </c>
      <c r="R50" s="330"/>
      <c r="S50" s="449">
        <f>S48+S40</f>
        <v>827.06700000000001</v>
      </c>
      <c r="T50" s="330"/>
      <c r="U50" s="449">
        <f>U48+U40</f>
        <v>1057.0229999999999</v>
      </c>
      <c r="V50" s="330"/>
      <c r="W50" s="449">
        <f>W48+W40</f>
        <v>1343.5619999999999</v>
      </c>
      <c r="X50" s="330"/>
      <c r="Y50" s="449">
        <f>Y48+Y40</f>
        <v>1568.34</v>
      </c>
      <c r="Z50" s="330"/>
      <c r="AA50" s="449">
        <f>AA48+AA40</f>
        <v>1631.0740000000001</v>
      </c>
      <c r="AB50" s="330"/>
      <c r="AC50" s="449">
        <f>AC48+AC40</f>
        <v>1923.586</v>
      </c>
      <c r="AD50" s="330"/>
      <c r="AE50" s="449">
        <f>AE48+AE40</f>
        <v>2391.0879999999997</v>
      </c>
      <c r="AF50" s="330"/>
      <c r="AG50" s="449">
        <f>AG48+AG40</f>
        <v>2666.1179999999999</v>
      </c>
      <c r="AH50" s="330"/>
      <c r="AI50" s="449">
        <f>AI48+AI40</f>
        <v>2777.2719999999999</v>
      </c>
      <c r="AJ50" s="330"/>
      <c r="AK50" s="449">
        <f>AK48+AK40</f>
        <v>2845.51</v>
      </c>
      <c r="AL50" s="330"/>
      <c r="AM50" s="449">
        <f>AM48+AM40</f>
        <v>3000.904</v>
      </c>
      <c r="AN50" s="330"/>
      <c r="AO50" s="449">
        <f>AO48+AO40</f>
        <v>3102.2830000000004</v>
      </c>
      <c r="AP50" s="330"/>
      <c r="AQ50" s="449">
        <f>AQ48+AQ40</f>
        <v>3488.3599999999997</v>
      </c>
      <c r="AR50" s="330"/>
      <c r="AS50" s="449">
        <f>AS48+AS40</f>
        <v>3735.6689999999999</v>
      </c>
      <c r="AT50" s="330"/>
      <c r="AU50" s="449">
        <f>AU48+AU40</f>
        <v>4158.9920000000002</v>
      </c>
      <c r="AV50" s="330"/>
      <c r="AW50" s="449">
        <f>AW48+AW40</f>
        <v>4630.8499999999995</v>
      </c>
      <c r="AX50" s="330"/>
      <c r="AY50" s="449">
        <f>AY48+AY40</f>
        <v>4752.3509999999997</v>
      </c>
      <c r="AZ50" s="330"/>
      <c r="BA50" s="449">
        <f>BA48+BA40</f>
        <v>5180.6029999999992</v>
      </c>
      <c r="BB50" s="427"/>
      <c r="BC50" s="449">
        <f>BC48+BC40</f>
        <v>5129.7</v>
      </c>
      <c r="BD50" s="427"/>
      <c r="BE50" s="449">
        <f>BE48+BE40</f>
        <v>5097.6000000000004</v>
      </c>
      <c r="BF50" s="427"/>
      <c r="BG50" s="449">
        <f>BG48+BG40</f>
        <v>5468.0999999999995</v>
      </c>
      <c r="BH50" s="330"/>
      <c r="BI50" s="449">
        <f>BI48+BI40</f>
        <v>5621.2580207232641</v>
      </c>
      <c r="BJ50" s="330"/>
      <c r="BK50" s="449">
        <f>BK48+BK40</f>
        <v>5859.0619789997781</v>
      </c>
      <c r="BL50" s="330"/>
      <c r="BM50" s="449">
        <f>BM48+BM40</f>
        <v>6128.5281586099027</v>
      </c>
      <c r="BN50" s="330"/>
      <c r="BO50" s="449">
        <f>BO48+BO40</f>
        <v>6419.4750055986733</v>
      </c>
      <c r="BP50" s="1716"/>
      <c r="BQ50" s="1710">
        <f>BQ48+BQ40</f>
        <v>6743.9349053967726</v>
      </c>
      <c r="BR50" s="330"/>
    </row>
    <row r="51" spans="1:70">
      <c r="A51" s="330"/>
      <c r="B51" s="330"/>
      <c r="C51" s="330"/>
      <c r="D51" s="330"/>
      <c r="E51" s="330"/>
      <c r="F51" s="330"/>
      <c r="G51" s="330"/>
      <c r="H51" s="330"/>
      <c r="I51" s="330"/>
      <c r="J51" s="330"/>
      <c r="K51" s="330"/>
      <c r="L51" s="330"/>
      <c r="M51" s="330"/>
      <c r="N51" s="330"/>
      <c r="O51" s="330"/>
      <c r="P51" s="330"/>
      <c r="Q51" s="330"/>
      <c r="R51" s="330"/>
      <c r="S51" s="330"/>
      <c r="T51" s="330"/>
      <c r="U51" s="330"/>
      <c r="V51" s="330"/>
      <c r="W51" s="330"/>
      <c r="X51" s="330"/>
      <c r="Y51" s="330"/>
      <c r="Z51" s="330"/>
      <c r="AA51" s="330"/>
      <c r="AB51" s="330"/>
      <c r="AC51" s="330"/>
      <c r="AD51" s="330"/>
      <c r="AE51" s="330"/>
      <c r="AF51" s="330"/>
      <c r="AG51" s="330"/>
      <c r="AH51" s="330"/>
      <c r="AI51" s="330"/>
      <c r="AJ51" s="330"/>
      <c r="AK51" s="330"/>
      <c r="AL51" s="330"/>
      <c r="AM51" s="330"/>
      <c r="AN51" s="330"/>
      <c r="AO51" s="330"/>
      <c r="AP51" s="330"/>
      <c r="AQ51" s="330"/>
      <c r="AR51" s="330"/>
      <c r="AS51" s="330"/>
      <c r="AT51" s="330"/>
      <c r="AU51" s="330"/>
      <c r="AV51" s="330"/>
      <c r="AW51" s="330"/>
      <c r="AX51" s="330"/>
      <c r="AY51" s="330"/>
      <c r="AZ51" s="330"/>
      <c r="BA51" s="330"/>
      <c r="BB51" s="330"/>
      <c r="BC51" s="330"/>
      <c r="BD51" s="330"/>
      <c r="BE51" s="330"/>
      <c r="BF51" s="330"/>
      <c r="BG51" s="330"/>
      <c r="BH51" s="330"/>
      <c r="BI51" s="330"/>
      <c r="BJ51" s="330"/>
      <c r="BK51" s="330"/>
      <c r="BL51" s="330"/>
      <c r="BM51" s="330"/>
      <c r="BN51" s="330"/>
      <c r="BO51" s="330"/>
      <c r="BP51" s="405"/>
      <c r="BQ51" s="405"/>
      <c r="BR51" s="330"/>
    </row>
    <row r="52" spans="1:70">
      <c r="A52" s="330" t="s">
        <v>1617</v>
      </c>
      <c r="B52" s="330"/>
      <c r="C52" s="330"/>
      <c r="D52" s="330"/>
      <c r="E52" s="330"/>
      <c r="F52" s="330"/>
      <c r="G52" s="330"/>
      <c r="H52" s="330"/>
      <c r="I52" s="330"/>
      <c r="J52" s="330"/>
      <c r="K52" s="330"/>
      <c r="L52" s="330"/>
      <c r="M52" s="330"/>
      <c r="N52" s="330"/>
      <c r="O52" s="330"/>
      <c r="P52" s="330"/>
      <c r="Q52" s="330"/>
      <c r="R52" s="330"/>
      <c r="S52" s="330"/>
      <c r="T52" s="330"/>
      <c r="U52" s="330"/>
      <c r="V52" s="330"/>
      <c r="W52" s="397"/>
      <c r="X52" s="397"/>
      <c r="Y52" s="397"/>
      <c r="Z52" s="397"/>
      <c r="AA52" s="397"/>
      <c r="AB52" s="397"/>
      <c r="AC52" s="397"/>
      <c r="AD52" s="397"/>
      <c r="AE52" s="397"/>
      <c r="AF52" s="397"/>
      <c r="AG52" s="397"/>
      <c r="AH52" s="397"/>
      <c r="AI52" s="397"/>
      <c r="AJ52" s="397"/>
      <c r="AK52" s="397"/>
      <c r="AL52" s="397"/>
      <c r="AM52" s="397"/>
      <c r="AN52" s="397"/>
      <c r="AO52" s="397"/>
      <c r="AP52" s="397"/>
      <c r="AQ52" s="397"/>
      <c r="AR52" s="397"/>
      <c r="AS52" s="397"/>
      <c r="AT52" s="397"/>
      <c r="AU52" s="397"/>
      <c r="AV52" s="397"/>
      <c r="AW52" s="397"/>
      <c r="AX52" s="397"/>
      <c r="AY52" s="397"/>
      <c r="AZ52" s="397"/>
      <c r="BA52" s="397"/>
      <c r="BB52" s="397"/>
      <c r="BC52" s="397"/>
      <c r="BD52" s="397"/>
      <c r="BE52" s="397"/>
      <c r="BF52" s="397"/>
      <c r="BG52" s="397"/>
      <c r="BH52" s="397"/>
      <c r="BI52" s="397"/>
      <c r="BJ52" s="397"/>
      <c r="BK52" s="397"/>
      <c r="BL52" s="397"/>
      <c r="BM52" s="397"/>
      <c r="BN52" s="397"/>
      <c r="BO52" s="397"/>
      <c r="BP52" s="398"/>
      <c r="BQ52" s="398"/>
      <c r="BR52" s="330"/>
    </row>
    <row r="53" spans="1:70">
      <c r="B53" s="330"/>
      <c r="C53" s="330"/>
      <c r="D53" s="330"/>
      <c r="E53" s="330"/>
      <c r="F53" s="330"/>
      <c r="G53" s="330"/>
      <c r="H53" s="330"/>
      <c r="I53" s="330"/>
      <c r="J53" s="330"/>
      <c r="K53" s="330"/>
      <c r="L53" s="330"/>
      <c r="M53" s="330"/>
      <c r="N53" s="330"/>
      <c r="O53" s="330"/>
      <c r="P53" s="330"/>
      <c r="Q53" s="330"/>
      <c r="R53" s="330"/>
      <c r="S53" s="330"/>
      <c r="T53" s="330"/>
      <c r="U53" s="330"/>
      <c r="V53" s="330"/>
      <c r="W53" s="330"/>
      <c r="X53" s="330"/>
      <c r="Y53" s="330"/>
      <c r="Z53" s="330"/>
      <c r="AA53" s="330"/>
      <c r="AB53" s="330"/>
      <c r="AC53" s="330"/>
      <c r="AD53" s="330"/>
      <c r="AE53" s="330"/>
      <c r="AF53" s="330"/>
      <c r="AG53" s="330"/>
      <c r="AH53" s="330"/>
      <c r="AI53" s="1257">
        <f>AI26/AG26-1</f>
        <v>8.9418481503980907E-2</v>
      </c>
      <c r="AJ53" s="989"/>
      <c r="AK53" s="1257">
        <f>AK26/AI26-1</f>
        <v>6.5735321693988658E-2</v>
      </c>
      <c r="AL53" s="989"/>
      <c r="AM53" s="1257">
        <f>AM26/AK26-1</f>
        <v>-5.7161510786370107E-2</v>
      </c>
      <c r="AN53" s="989"/>
      <c r="AO53" s="1257">
        <f>AO26/AM26-1</f>
        <v>9.7946194419070487E-2</v>
      </c>
      <c r="AP53" s="989"/>
      <c r="AQ53" s="1257">
        <f>AQ26/AO26-1</f>
        <v>3.7335730835637015E-2</v>
      </c>
      <c r="AR53" s="989"/>
      <c r="AS53" s="1257">
        <f>AS26/AQ26-1</f>
        <v>0.11512075649058051</v>
      </c>
      <c r="AT53" s="989"/>
      <c r="AU53" s="1257">
        <f>AU26/AS26-1</f>
        <v>0.27203405887607257</v>
      </c>
      <c r="AV53" s="989"/>
      <c r="AW53" s="1257">
        <f>AW26/AU26-1</f>
        <v>-0.10195098522017743</v>
      </c>
      <c r="AX53" s="989"/>
      <c r="AY53" s="1257">
        <f>AY26/AW26-1</f>
        <v>0.1579627924610052</v>
      </c>
      <c r="AZ53" s="989"/>
      <c r="BA53" s="1257">
        <f>BA26/AY26-1</f>
        <v>-7.0352831126311632E-2</v>
      </c>
      <c r="BB53" s="1257"/>
      <c r="BC53" s="1257">
        <f>BC26/BA26-1</f>
        <v>3.4830814123506748E-2</v>
      </c>
      <c r="BD53" s="1257"/>
      <c r="BE53" s="1257">
        <f>BE26/BC26-1</f>
        <v>-4.9529018535399594E-2</v>
      </c>
      <c r="BF53" s="1257"/>
      <c r="BG53" s="1257">
        <f>BG26/BE26-1</f>
        <v>0.39833759590792828</v>
      </c>
      <c r="BH53" s="330"/>
      <c r="BI53" s="1257">
        <f>BI26/BG26-1</f>
        <v>-0.20505649917939828</v>
      </c>
      <c r="BJ53" s="330"/>
      <c r="BK53" s="1257">
        <f>BK26/BI26-1</f>
        <v>5.4424206311594725E-2</v>
      </c>
      <c r="BL53" s="330"/>
      <c r="BM53" s="1257">
        <f>BM26/BK26-1</f>
        <v>5.3268772536789744E-2</v>
      </c>
      <c r="BN53" s="330"/>
      <c r="BO53" s="1257">
        <f>BO26/BM26-1</f>
        <v>4.1611589297797291E-2</v>
      </c>
      <c r="BP53" s="1257"/>
      <c r="BQ53" s="1257">
        <f>BQ26/BO26-1</f>
        <v>4.0909174352808053E-2</v>
      </c>
      <c r="BR53" s="330"/>
    </row>
    <row r="54" spans="1:70">
      <c r="A54" s="330"/>
      <c r="B54" s="330"/>
      <c r="C54" s="330"/>
      <c r="D54" s="330"/>
      <c r="E54" s="330"/>
      <c r="F54" s="330"/>
      <c r="G54" s="330"/>
      <c r="H54" s="330"/>
      <c r="I54" s="330"/>
      <c r="J54" s="330"/>
      <c r="K54" s="330"/>
      <c r="L54" s="330"/>
      <c r="M54" s="330"/>
      <c r="N54" s="330"/>
      <c r="O54" s="330"/>
      <c r="P54" s="330"/>
      <c r="Q54" s="330"/>
      <c r="R54" s="330"/>
      <c r="S54" s="330"/>
      <c r="T54" s="330"/>
      <c r="U54" s="330"/>
      <c r="V54" s="330"/>
      <c r="W54" s="330"/>
      <c r="X54" s="330"/>
      <c r="Y54" s="330"/>
      <c r="Z54" s="330"/>
      <c r="AA54" s="330"/>
      <c r="AB54" s="330"/>
      <c r="AC54" s="330"/>
      <c r="AD54" s="330"/>
      <c r="AE54" s="889">
        <f>AE12/AC12-1</f>
        <v>0.19009053556403055</v>
      </c>
      <c r="AF54" s="330"/>
      <c r="AG54" s="889">
        <f>AG12/AE12-1</f>
        <v>0.21347923847433159</v>
      </c>
      <c r="AH54" s="330"/>
      <c r="AI54" s="889">
        <f>AI12/AG12-1</f>
        <v>2.7609494488034514E-3</v>
      </c>
      <c r="AJ54" s="330"/>
      <c r="AK54" s="889">
        <f>AK12/AI12-1</f>
        <v>8.1600582551378809E-2</v>
      </c>
      <c r="AL54" s="330"/>
      <c r="AM54" s="889">
        <f>AM12/AK12-1</f>
        <v>0.19685019456270925</v>
      </c>
      <c r="AN54" s="330"/>
      <c r="AO54" s="889">
        <f>AO12/AM12-1</f>
        <v>0.16674402523468079</v>
      </c>
      <c r="AP54" s="330"/>
      <c r="AQ54" s="889">
        <f>AQ12/AO12-1</f>
        <v>-0.10827947910239344</v>
      </c>
      <c r="AR54" s="330"/>
      <c r="AS54" s="889">
        <f>AS12/AQ12-1</f>
        <v>0.13828224854764648</v>
      </c>
      <c r="AT54" s="330"/>
      <c r="AU54" s="889">
        <f>AU12/AS12-1</f>
        <v>0.27558570653330894</v>
      </c>
      <c r="AV54" s="330"/>
      <c r="AW54" s="889">
        <f>AW12/AU12-1</f>
        <v>7.7716123580222396E-2</v>
      </c>
      <c r="AX54" s="330"/>
      <c r="AY54" s="889">
        <f>AY12/AW12-1</f>
        <v>4.1285680654727486E-2</v>
      </c>
      <c r="AZ54" s="330"/>
      <c r="BA54" s="889">
        <f>BA12/AY12-1</f>
        <v>1.5272202116411338E-2</v>
      </c>
      <c r="BB54" s="889"/>
      <c r="BC54" s="889">
        <f>BC12/BA12-1</f>
        <v>-5.8046358513059504E-2</v>
      </c>
      <c r="BD54" s="889"/>
      <c r="BE54" s="889">
        <f>BE12/BC12-1</f>
        <v>-3.029213483146076E-2</v>
      </c>
      <c r="BF54" s="889"/>
      <c r="BG54" s="889">
        <f>BG12/BE12-1</f>
        <v>4.4447534297367586E-2</v>
      </c>
      <c r="BH54" s="330"/>
      <c r="BI54" s="889">
        <f>BI12/BG12-1</f>
        <v>6.4294133805313791E-2</v>
      </c>
      <c r="BJ54" s="330"/>
      <c r="BK54" s="889">
        <f>BK12/BI12-1</f>
        <v>5.4424206311594947E-2</v>
      </c>
      <c r="BL54" s="330"/>
      <c r="BM54" s="889">
        <f>BM12/BK12-1</f>
        <v>5.3268772536789744E-2</v>
      </c>
      <c r="BN54" s="330"/>
      <c r="BO54" s="889">
        <f>BO12/BM12-1</f>
        <v>4.1611589297797513E-2</v>
      </c>
      <c r="BP54" s="2323"/>
      <c r="BQ54" s="2323">
        <f>BQ12/BO12-1</f>
        <v>4.0909174352808053E-2</v>
      </c>
      <c r="BR54" s="330"/>
    </row>
    <row r="55" spans="1:70">
      <c r="A55" s="989"/>
      <c r="B55" s="989"/>
      <c r="C55" s="990" t="s">
        <v>1317</v>
      </c>
      <c r="D55" s="989"/>
      <c r="E55" s="990" t="str">
        <f>IF(E50=E21,"","No")</f>
        <v/>
      </c>
      <c r="F55" s="990" t="str">
        <f>IF(F50=F21,"","No")</f>
        <v/>
      </c>
      <c r="G55" s="990" t="str">
        <f>IF(G50=G21,"","No")</f>
        <v/>
      </c>
      <c r="H55" s="990" t="str">
        <f>IF(H50=H21,"","No")</f>
        <v/>
      </c>
      <c r="I55" s="990" t="str">
        <f>IF(I50=I21,"","No")</f>
        <v/>
      </c>
      <c r="J55" s="989"/>
      <c r="K55" s="990" t="str">
        <f>IF(K50=K21,"","No")</f>
        <v/>
      </c>
      <c r="L55" s="989"/>
      <c r="M55" s="990" t="str">
        <f>IF(M50=M21,"","No")</f>
        <v/>
      </c>
      <c r="N55" s="990"/>
      <c r="O55" s="990" t="str">
        <f>IF(O50=O21,"","No")</f>
        <v/>
      </c>
      <c r="P55" s="989"/>
      <c r="Q55" s="990" t="str">
        <f>IF(Q50=Q21,"","No")</f>
        <v/>
      </c>
      <c r="R55" s="989"/>
      <c r="S55" s="990" t="str">
        <f>IF(S50=S21,"","No")</f>
        <v/>
      </c>
      <c r="T55" s="989"/>
      <c r="U55" s="990" t="str">
        <f>IF(U50=U21," ","No")</f>
        <v xml:space="preserve"> </v>
      </c>
      <c r="V55" s="989"/>
      <c r="W55" s="990" t="str">
        <f>IF(W50=W21," ","No")</f>
        <v xml:space="preserve"> </v>
      </c>
      <c r="X55" s="989"/>
      <c r="Y55" s="990" t="str">
        <f>IF(Y50=Y21," ","No")</f>
        <v xml:space="preserve"> </v>
      </c>
      <c r="Z55" s="989"/>
      <c r="AA55" s="990" t="str">
        <f>IF(AA50=AA21," ","No")</f>
        <v xml:space="preserve"> </v>
      </c>
      <c r="AB55" s="989"/>
      <c r="AC55" s="990" t="str">
        <f>IF(AC50=AC21," ","No")</f>
        <v xml:space="preserve"> </v>
      </c>
      <c r="AD55" s="989"/>
      <c r="AE55" s="990" t="str">
        <f>IF(AE50=AE21," ","No")</f>
        <v xml:space="preserve"> </v>
      </c>
      <c r="AF55" s="989"/>
      <c r="AG55" s="990" t="str">
        <f>IF(AG50=AG21," ","No")</f>
        <v xml:space="preserve"> </v>
      </c>
      <c r="AH55" s="989"/>
      <c r="AI55" s="990" t="str">
        <f>IF(AI50=AI21," ","No")</f>
        <v xml:space="preserve"> </v>
      </c>
      <c r="AJ55" s="989"/>
      <c r="AK55" s="990" t="str">
        <f>IF(AK50=AK21," ","No")</f>
        <v xml:space="preserve"> </v>
      </c>
      <c r="AL55" s="989"/>
      <c r="AM55" s="990" t="str">
        <f>IF(AM50=AM21," ","No")</f>
        <v xml:space="preserve"> </v>
      </c>
      <c r="AN55" s="989"/>
      <c r="AO55" s="990" t="str">
        <f>IF(AO50=AO21," ","No")</f>
        <v xml:space="preserve"> </v>
      </c>
      <c r="AP55" s="989"/>
      <c r="AQ55" s="990" t="str">
        <f>IF(AQ50=AQ21," ","No")</f>
        <v xml:space="preserve"> </v>
      </c>
      <c r="AR55" s="989"/>
      <c r="AS55" s="2426" t="str">
        <f>IF(AS50=AS21," ","No")</f>
        <v xml:space="preserve"> </v>
      </c>
      <c r="AT55" s="989"/>
      <c r="AU55" s="2426" t="str">
        <f>IF(AU50=AU21," ","No")</f>
        <v xml:space="preserve"> </v>
      </c>
      <c r="AV55" s="989"/>
      <c r="AW55" s="2426">
        <f>AW50-AW21</f>
        <v>0</v>
      </c>
      <c r="AX55" s="2426">
        <f t="shared" ref="AX55:BK55" si="1">AX50-AX21</f>
        <v>0</v>
      </c>
      <c r="AY55" s="2426">
        <f t="shared" si="1"/>
        <v>0</v>
      </c>
      <c r="AZ55" s="2426">
        <f t="shared" si="1"/>
        <v>0</v>
      </c>
      <c r="BA55" s="2426">
        <f t="shared" si="1"/>
        <v>0</v>
      </c>
      <c r="BB55" s="2426">
        <f t="shared" si="1"/>
        <v>0</v>
      </c>
      <c r="BC55" s="2426">
        <f t="shared" si="1"/>
        <v>0</v>
      </c>
      <c r="BD55" s="2426"/>
      <c r="BE55" s="2426">
        <f t="shared" si="1"/>
        <v>0</v>
      </c>
      <c r="BF55" s="2426">
        <f t="shared" si="1"/>
        <v>0</v>
      </c>
      <c r="BG55" s="2426">
        <f t="shared" si="1"/>
        <v>0</v>
      </c>
      <c r="BH55" s="2426">
        <f t="shared" si="1"/>
        <v>0</v>
      </c>
      <c r="BI55" s="2426">
        <f t="shared" si="1"/>
        <v>0</v>
      </c>
      <c r="BJ55" s="2426">
        <f t="shared" si="1"/>
        <v>0</v>
      </c>
      <c r="BK55" s="2426">
        <f t="shared" si="1"/>
        <v>0</v>
      </c>
      <c r="BL55" s="2426">
        <f>BL50-BL21</f>
        <v>0</v>
      </c>
      <c r="BM55" s="2426">
        <f>BM50-BM21</f>
        <v>0</v>
      </c>
      <c r="BN55" s="2425">
        <f>BN50-BN21</f>
        <v>0</v>
      </c>
      <c r="BO55" s="2040">
        <f>BO50-BO21</f>
        <v>0</v>
      </c>
      <c r="BP55" s="2040"/>
      <c r="BQ55" s="2040">
        <f>BQ50-BQ21</f>
        <v>0</v>
      </c>
      <c r="BR55" s="989"/>
    </row>
    <row r="56" spans="1:70">
      <c r="A56" s="330"/>
      <c r="B56" s="330"/>
      <c r="C56" s="330"/>
      <c r="D56" s="330"/>
      <c r="E56" s="330"/>
      <c r="F56" s="330"/>
      <c r="G56" s="793" t="str">
        <f>IF(G55="no",G50-G21,"")</f>
        <v/>
      </c>
      <c r="H56" s="793" t="str">
        <f>IF(H55="no",H50-H21,"")</f>
        <v/>
      </c>
      <c r="I56" s="793" t="str">
        <f>IF(I55="no",I50-I21,"")</f>
        <v/>
      </c>
      <c r="J56" s="793" t="str">
        <f>IF(J55="no",J50-J21,"")</f>
        <v/>
      </c>
      <c r="K56" s="793" t="str">
        <f>IF(K55="no",K50-K21,"")</f>
        <v/>
      </c>
      <c r="L56" s="793"/>
      <c r="M56" s="793" t="str">
        <f t="shared" ref="M56:AC56" si="2">IF(M55="no",M50-M21,"")</f>
        <v/>
      </c>
      <c r="N56" s="793" t="str">
        <f t="shared" si="2"/>
        <v/>
      </c>
      <c r="O56" s="793" t="str">
        <f t="shared" si="2"/>
        <v/>
      </c>
      <c r="P56" s="793" t="str">
        <f t="shared" si="2"/>
        <v/>
      </c>
      <c r="Q56" s="793" t="str">
        <f t="shared" si="2"/>
        <v/>
      </c>
      <c r="R56" s="793" t="str">
        <f t="shared" si="2"/>
        <v/>
      </c>
      <c r="S56" s="793" t="str">
        <f t="shared" si="2"/>
        <v/>
      </c>
      <c r="T56" s="793" t="str">
        <f t="shared" si="2"/>
        <v/>
      </c>
      <c r="U56" s="793" t="str">
        <f t="shared" si="2"/>
        <v/>
      </c>
      <c r="V56" s="793" t="str">
        <f t="shared" si="2"/>
        <v/>
      </c>
      <c r="W56" s="793" t="str">
        <f t="shared" si="2"/>
        <v/>
      </c>
      <c r="X56" s="793" t="str">
        <f t="shared" si="2"/>
        <v/>
      </c>
      <c r="Y56" s="793" t="str">
        <f t="shared" si="2"/>
        <v/>
      </c>
      <c r="Z56" s="793" t="str">
        <f t="shared" si="2"/>
        <v/>
      </c>
      <c r="AA56" s="793" t="str">
        <f t="shared" si="2"/>
        <v/>
      </c>
      <c r="AB56" s="793" t="str">
        <f t="shared" si="2"/>
        <v/>
      </c>
      <c r="AC56" s="793" t="str">
        <f t="shared" si="2"/>
        <v/>
      </c>
      <c r="AD56" s="330"/>
      <c r="AE56" s="792" t="str">
        <f>IF(AE55="no",AE50-AE21,"")</f>
        <v/>
      </c>
      <c r="AF56" s="405"/>
      <c r="AG56" s="793" t="str">
        <f>IF(AG55="no",AG50-AG21,"")</f>
        <v/>
      </c>
      <c r="AH56" s="793"/>
      <c r="AI56" s="792" t="str">
        <f>IF(AI53="no",AI50-AI21,"")</f>
        <v/>
      </c>
      <c r="AJ56" s="792"/>
      <c r="AK56" s="792" t="str">
        <f>IF(AK53="no",AK50-AK21,"")</f>
        <v/>
      </c>
      <c r="AL56" s="792"/>
      <c r="AM56" s="792" t="str">
        <f>IF(AM53="no",AM50-AM21,"")</f>
        <v/>
      </c>
      <c r="AN56" s="792"/>
      <c r="AO56" s="792" t="str">
        <f>IF(AO53="no",AO50-AO21,"")</f>
        <v/>
      </c>
      <c r="AP56" s="357"/>
      <c r="AQ56" s="792" t="str">
        <f>IF(AQ53="no",AQ50-AQ21,"")</f>
        <v/>
      </c>
      <c r="AR56" s="357"/>
      <c r="AS56" s="792" t="str">
        <f>IF(AS53="no",AS50-AS21,"")</f>
        <v/>
      </c>
      <c r="AT56" s="357"/>
      <c r="AU56" s="792"/>
      <c r="AV56" s="357"/>
      <c r="AW56" s="792"/>
      <c r="AX56" s="825"/>
      <c r="AY56" s="825"/>
      <c r="AZ56" s="825"/>
      <c r="BA56" s="825"/>
      <c r="BB56" s="825"/>
      <c r="BC56" s="825"/>
      <c r="BD56" s="825"/>
      <c r="BE56" s="825"/>
      <c r="BF56" s="825"/>
      <c r="BG56" s="825"/>
      <c r="BH56" s="825"/>
      <c r="BI56" s="825"/>
      <c r="BJ56" s="825"/>
      <c r="BK56" s="825"/>
      <c r="BL56" s="825"/>
      <c r="BM56" s="825"/>
      <c r="BN56" s="825"/>
      <c r="BO56" s="825"/>
      <c r="BP56" s="825"/>
      <c r="BQ56" s="825"/>
      <c r="BR56" s="330"/>
    </row>
    <row r="57" spans="1:70">
      <c r="A57" s="330"/>
      <c r="B57" s="330"/>
      <c r="C57" s="330"/>
      <c r="D57" s="330"/>
      <c r="E57" s="330"/>
      <c r="F57" s="330"/>
      <c r="G57" s="330"/>
      <c r="H57" s="330"/>
      <c r="I57" s="330"/>
      <c r="J57" s="330"/>
      <c r="K57" s="330"/>
      <c r="L57" s="330"/>
      <c r="M57" s="330"/>
      <c r="N57" s="330"/>
      <c r="O57" s="330"/>
      <c r="P57" s="330"/>
      <c r="Q57" s="330"/>
      <c r="R57" s="330"/>
      <c r="S57" s="330"/>
      <c r="T57" s="330"/>
      <c r="U57" s="330"/>
      <c r="V57" s="330"/>
      <c r="W57" s="330"/>
      <c r="X57" s="330"/>
      <c r="Y57" s="330"/>
      <c r="Z57" s="330"/>
      <c r="AA57" s="330"/>
      <c r="AB57" s="330"/>
      <c r="AC57" s="330"/>
      <c r="AD57" s="330"/>
      <c r="AE57" s="330"/>
      <c r="AF57" s="330"/>
      <c r="AG57" s="330"/>
      <c r="AH57" s="330"/>
      <c r="AI57" s="330"/>
      <c r="AJ57" s="330"/>
      <c r="AK57" s="330"/>
      <c r="AL57" s="330"/>
      <c r="AM57" s="330"/>
      <c r="AN57" s="330"/>
      <c r="AO57" s="330"/>
      <c r="AP57" s="330"/>
      <c r="AQ57" s="330"/>
      <c r="AR57" s="330"/>
      <c r="AS57" s="330"/>
      <c r="AT57" s="330"/>
      <c r="AU57" s="330"/>
      <c r="AV57" s="330"/>
      <c r="AW57" s="330"/>
      <c r="AX57" s="330"/>
      <c r="AY57" s="330"/>
      <c r="AZ57" s="330"/>
      <c r="BA57" s="330"/>
      <c r="BB57" s="330"/>
      <c r="BC57" s="330"/>
      <c r="BD57" s="330"/>
      <c r="BE57" s="330"/>
      <c r="BF57" s="330"/>
      <c r="BG57" s="330"/>
      <c r="BH57" s="330"/>
      <c r="BI57" s="330"/>
      <c r="BJ57" s="330"/>
      <c r="BK57" s="330"/>
      <c r="BL57" s="330"/>
      <c r="BM57" s="330"/>
      <c r="BN57" s="330"/>
      <c r="BO57" s="330"/>
      <c r="BP57" s="405"/>
      <c r="BQ57" s="405"/>
      <c r="BR57" s="330"/>
    </row>
    <row r="58" spans="1:70">
      <c r="A58" s="330"/>
      <c r="B58" s="330"/>
      <c r="C58" s="330"/>
      <c r="D58" s="330"/>
      <c r="E58" s="330"/>
      <c r="F58" s="330"/>
      <c r="G58" s="330"/>
      <c r="H58" s="330"/>
      <c r="I58" s="330"/>
      <c r="J58" s="330"/>
      <c r="K58" s="330"/>
      <c r="L58" s="330"/>
      <c r="M58" s="330"/>
      <c r="N58" s="330"/>
      <c r="O58" s="330"/>
      <c r="P58" s="330"/>
      <c r="Q58" s="330"/>
      <c r="R58" s="330"/>
      <c r="S58" s="330"/>
      <c r="T58" s="330"/>
      <c r="U58" s="330"/>
      <c r="V58" s="330"/>
      <c r="W58" s="330"/>
      <c r="X58" s="330"/>
      <c r="Y58" s="330"/>
      <c r="Z58" s="330"/>
      <c r="AA58" s="330"/>
      <c r="AB58" s="330"/>
      <c r="AC58" s="330"/>
      <c r="AD58" s="330"/>
      <c r="AE58" s="330"/>
      <c r="AF58" s="330"/>
      <c r="AG58" s="330"/>
      <c r="AH58" s="330"/>
      <c r="AI58" s="330"/>
      <c r="AJ58" s="330"/>
      <c r="AK58" s="330"/>
      <c r="AL58" s="330"/>
      <c r="AM58" s="330"/>
      <c r="AN58" s="330"/>
      <c r="AO58" s="330"/>
      <c r="AP58" s="330"/>
      <c r="AQ58" s="330"/>
      <c r="AR58" s="330"/>
      <c r="AS58" s="330"/>
      <c r="AT58" s="330"/>
      <c r="AU58" s="330"/>
      <c r="AV58" s="330"/>
      <c r="AW58" s="330"/>
      <c r="AX58" s="330"/>
      <c r="AY58" s="330"/>
      <c r="AZ58" s="330"/>
      <c r="BA58" s="330"/>
      <c r="BB58" s="330"/>
      <c r="BC58" s="330"/>
      <c r="BD58" s="330"/>
      <c r="BE58" s="330"/>
      <c r="BF58" s="330"/>
      <c r="BG58" s="330"/>
      <c r="BH58" s="330"/>
      <c r="BI58" s="330"/>
      <c r="BJ58" s="330"/>
      <c r="BK58" s="330"/>
      <c r="BL58" s="330"/>
      <c r="BM58" s="330"/>
      <c r="BN58" s="330"/>
      <c r="BO58" s="330"/>
      <c r="BP58" s="405"/>
      <c r="BQ58" s="405"/>
      <c r="BR58" s="330"/>
    </row>
    <row r="59" spans="1:70">
      <c r="A59" s="330" t="s">
        <v>1018</v>
      </c>
      <c r="B59" s="330"/>
      <c r="C59" s="330"/>
      <c r="D59" s="330"/>
      <c r="E59" s="330"/>
      <c r="F59" s="330"/>
      <c r="G59" s="330"/>
      <c r="H59" s="330"/>
      <c r="I59" s="330"/>
      <c r="J59" s="330"/>
      <c r="K59" s="330"/>
      <c r="L59" s="330"/>
      <c r="M59" s="330"/>
      <c r="N59" s="330"/>
      <c r="O59" s="330"/>
      <c r="P59" s="330"/>
      <c r="Q59" s="330"/>
      <c r="R59" s="330"/>
      <c r="S59" s="330"/>
      <c r="T59" s="330"/>
      <c r="U59" s="330"/>
      <c r="V59" s="330"/>
      <c r="W59" s="330"/>
      <c r="X59" s="330"/>
      <c r="Y59" s="330"/>
      <c r="Z59" s="330"/>
      <c r="AA59" s="330"/>
      <c r="AB59" s="330"/>
      <c r="AC59" s="330"/>
      <c r="AD59" s="330"/>
      <c r="AE59" s="330"/>
      <c r="AF59" s="330"/>
      <c r="AG59" s="330"/>
      <c r="AH59" s="330"/>
      <c r="AI59" s="330"/>
      <c r="AJ59" s="330"/>
      <c r="AK59" s="330"/>
      <c r="AL59" s="330"/>
      <c r="AM59" s="330"/>
      <c r="AN59" s="330"/>
      <c r="AO59" s="330"/>
      <c r="AP59" s="330"/>
      <c r="AQ59" s="330"/>
      <c r="AR59" s="330"/>
      <c r="AS59" s="330"/>
      <c r="AT59" s="330"/>
      <c r="AU59" s="330"/>
      <c r="AV59" s="330"/>
      <c r="AW59" s="330"/>
      <c r="AX59" s="330"/>
      <c r="AY59" s="330"/>
      <c r="AZ59" s="330"/>
      <c r="BA59" s="330"/>
      <c r="BB59" s="330"/>
      <c r="BC59" s="330"/>
      <c r="BD59" s="330"/>
      <c r="BE59" s="330"/>
      <c r="BF59" s="330"/>
      <c r="BG59" s="330"/>
      <c r="BH59" s="330"/>
      <c r="BI59" s="330"/>
      <c r="BJ59" s="330"/>
      <c r="BK59" s="330"/>
      <c r="BL59" s="330"/>
      <c r="BM59" s="330"/>
      <c r="BN59" s="330"/>
      <c r="BO59" s="330"/>
      <c r="BP59" s="405"/>
      <c r="BQ59" s="405"/>
      <c r="BR59" s="330"/>
    </row>
    <row r="60" spans="1:70">
      <c r="A60" s="330"/>
      <c r="B60" s="330"/>
      <c r="C60" s="330"/>
      <c r="D60" s="330"/>
      <c r="E60" s="330"/>
      <c r="F60" s="330"/>
      <c r="G60" s="330"/>
      <c r="H60" s="330"/>
      <c r="I60" s="330"/>
      <c r="J60" s="330"/>
      <c r="K60" s="330"/>
      <c r="L60" s="330"/>
      <c r="M60" s="330"/>
      <c r="N60" s="330"/>
      <c r="O60" s="330"/>
      <c r="P60" s="330"/>
      <c r="Q60" s="330"/>
      <c r="R60" s="330"/>
      <c r="S60" s="330"/>
      <c r="T60" s="330"/>
      <c r="U60" s="330"/>
      <c r="V60" s="330"/>
      <c r="W60" s="330"/>
      <c r="X60" s="330"/>
      <c r="Y60" s="330"/>
      <c r="Z60" s="330"/>
      <c r="AA60" s="330"/>
      <c r="AB60" s="330"/>
      <c r="AC60" s="330"/>
      <c r="AD60" s="330"/>
      <c r="AE60" s="330"/>
      <c r="AF60" s="330"/>
      <c r="AG60" s="330"/>
      <c r="AH60" s="330"/>
      <c r="AI60" s="330"/>
      <c r="AJ60" s="330"/>
      <c r="AK60" s="330"/>
      <c r="AL60" s="330"/>
      <c r="AM60" s="330"/>
      <c r="AN60" s="330"/>
      <c r="AO60" s="330"/>
      <c r="AP60" s="330"/>
      <c r="AQ60" s="330"/>
      <c r="AR60" s="330"/>
      <c r="AS60" s="330"/>
      <c r="AT60" s="330"/>
      <c r="AU60" s="330"/>
      <c r="AV60" s="330"/>
      <c r="AW60" s="330"/>
      <c r="AX60" s="330"/>
      <c r="AY60" s="330"/>
      <c r="AZ60" s="330"/>
      <c r="BA60" s="330"/>
      <c r="BB60" s="330"/>
      <c r="BC60" s="330"/>
      <c r="BD60" s="330"/>
      <c r="BE60" s="330"/>
      <c r="BF60" s="330"/>
      <c r="BG60" s="330"/>
      <c r="BH60" s="330"/>
      <c r="BI60" s="330"/>
      <c r="BJ60" s="330"/>
      <c r="BK60" s="330"/>
      <c r="BL60" s="330"/>
      <c r="BM60" s="330"/>
      <c r="BN60" s="330"/>
      <c r="BO60" s="330"/>
      <c r="BP60" s="405"/>
      <c r="BQ60" s="405"/>
      <c r="BR60" s="330"/>
    </row>
    <row r="61" spans="1:70">
      <c r="A61" s="330"/>
      <c r="B61" s="330" t="s">
        <v>1015</v>
      </c>
      <c r="C61" s="330"/>
      <c r="D61" s="330"/>
      <c r="E61" s="342"/>
      <c r="F61" s="330"/>
      <c r="G61" s="342">
        <f>'qtrP&amp;L'!J14</f>
        <v>491.90599999999995</v>
      </c>
      <c r="H61" s="330"/>
      <c r="I61" s="342">
        <f>'qtrP&amp;L'!N14</f>
        <v>486.39600000000007</v>
      </c>
      <c r="J61" s="330"/>
      <c r="K61" s="342">
        <f>'qtrP&amp;L'!R14</f>
        <v>566.50099999999998</v>
      </c>
      <c r="L61" s="330"/>
      <c r="M61" s="342">
        <f>'qtrP&amp;L'!V14</f>
        <v>682.83100000000002</v>
      </c>
      <c r="N61" s="330"/>
      <c r="O61" s="342">
        <f>'qtrP&amp;L'!Z14</f>
        <v>803.29199999999992</v>
      </c>
      <c r="P61" s="330"/>
      <c r="Q61" s="342">
        <f>'qtrP&amp;L'!AD14</f>
        <v>922.10800000000006</v>
      </c>
      <c r="R61" s="330"/>
      <c r="S61" s="342">
        <f>'qtrP&amp;L'!AH14</f>
        <v>1017.616</v>
      </c>
      <c r="T61" s="330"/>
      <c r="U61" s="342">
        <f>'qtrP&amp;L'!AL14</f>
        <v>1177.9290000000001</v>
      </c>
      <c r="V61" s="330"/>
      <c r="W61" s="342">
        <f>'qtrP&amp;L'!AP14</f>
        <v>1471.69</v>
      </c>
      <c r="X61" s="330"/>
      <c r="Y61" s="342">
        <f>'qtrP&amp;L'!AT14</f>
        <v>1668.056</v>
      </c>
      <c r="Z61" s="330"/>
      <c r="AA61" s="342">
        <f>'qtrP&amp;L'!AX14</f>
        <v>1606.5350000000001</v>
      </c>
      <c r="AB61" s="330"/>
      <c r="AC61" s="342">
        <f>'qtrP&amp;L'!BB14</f>
        <v>1706.6019999999999</v>
      </c>
      <c r="AD61" s="330"/>
      <c r="AE61" s="342">
        <f>'qtrP&amp;L'!BF14</f>
        <v>2000.0450000000001</v>
      </c>
      <c r="AF61" s="330"/>
      <c r="AG61" s="342">
        <f>'yrP&amp;L'!P7</f>
        <v>2204.8310000000001</v>
      </c>
      <c r="AH61" s="330"/>
      <c r="AI61" s="342">
        <f>'yrP&amp;L'!Q7</f>
        <v>2395.1530000000002</v>
      </c>
      <c r="AJ61" s="330"/>
      <c r="AK61" s="342">
        <f>'yrP&amp;L'!R7</f>
        <v>2560.7339999999995</v>
      </c>
      <c r="AL61" s="330"/>
      <c r="AM61" s="342">
        <f>'yrP&amp;L'!S7</f>
        <v>2938.7709999999997</v>
      </c>
      <c r="AN61" s="330"/>
      <c r="AO61" s="342">
        <f>'yrP&amp;L'!T7</f>
        <v>2848.8589999999999</v>
      </c>
      <c r="AP61" s="330"/>
      <c r="AQ61" s="342">
        <f>'yrP&amp;L'!U7</f>
        <v>2709.7300000000005</v>
      </c>
      <c r="AR61" s="330"/>
      <c r="AS61" s="342">
        <f>'yrP&amp;L'!V7</f>
        <v>3085.2899999999995</v>
      </c>
      <c r="AT61" s="330"/>
      <c r="AU61" s="342">
        <f>'yrP&amp;L'!W7</f>
        <v>3642.9369999999999</v>
      </c>
      <c r="AV61" s="330"/>
      <c r="AW61" s="342">
        <f>'yrP&amp;L'!X7</f>
        <v>3794.2489999999998</v>
      </c>
      <c r="AX61" s="330"/>
      <c r="AY61" s="342">
        <f>'yrP&amp;L'!Y7</f>
        <v>4031.13</v>
      </c>
      <c r="AZ61" s="330"/>
      <c r="BA61" s="342">
        <f>'yrP&amp;L'!Z7</f>
        <v>4249.9129999999996</v>
      </c>
      <c r="BB61" s="342"/>
      <c r="BC61" s="342">
        <f>'yrP&amp;L'!AA7</f>
        <v>4104.7000000000007</v>
      </c>
      <c r="BD61" s="342"/>
      <c r="BE61" s="342">
        <f>'yrP&amp;L'!AB7</f>
        <v>4001.7999999999997</v>
      </c>
      <c r="BF61" s="342"/>
      <c r="BG61" s="342">
        <f>'yrP&amp;L'!AC7</f>
        <v>4169.8</v>
      </c>
      <c r="BH61" s="330"/>
      <c r="BI61" s="342">
        <f>'yrP&amp;L'!AD7</f>
        <v>4384.6194342418175</v>
      </c>
      <c r="BJ61" s="330"/>
      <c r="BK61" s="342">
        <f>'yrP&amp;L'!AE7</f>
        <v>4623.2488669288232</v>
      </c>
      <c r="BL61" s="330"/>
      <c r="BM61" s="342">
        <f>'yrP&amp;L'!AF7</f>
        <v>4869.5236592022247</v>
      </c>
      <c r="BN61" s="330"/>
      <c r="BO61" s="342">
        <f>'yrP&amp;L'!AG7</f>
        <v>5072.1522777848559</v>
      </c>
      <c r="BP61" s="1655"/>
      <c r="BQ61" s="1655">
        <f>'yrP&amp;L'!AH7</f>
        <v>5279.6498396607494</v>
      </c>
      <c r="BR61" s="330"/>
    </row>
    <row r="62" spans="1:70">
      <c r="A62" s="330"/>
      <c r="B62" s="330" t="s">
        <v>1016</v>
      </c>
      <c r="C62" s="330"/>
      <c r="D62" s="330"/>
      <c r="E62" s="355"/>
      <c r="F62" s="330"/>
      <c r="G62" s="342">
        <f>'qtrP&amp;L'!J24</f>
        <v>248.89400000000001</v>
      </c>
      <c r="H62" s="330"/>
      <c r="I62" s="342">
        <f>'qtrP&amp;L'!N24</f>
        <v>249.363</v>
      </c>
      <c r="J62" s="330"/>
      <c r="K62" s="342">
        <f>'qtrP&amp;L'!R24</f>
        <v>276.11900000000003</v>
      </c>
      <c r="L62" s="330"/>
      <c r="M62" s="342">
        <f>'qtrP&amp;L'!V24</f>
        <v>324.62900000000002</v>
      </c>
      <c r="N62" s="330"/>
      <c r="O62" s="342">
        <f>'qtrP&amp;L'!Z24</f>
        <v>375.92200000000003</v>
      </c>
      <c r="P62" s="330"/>
      <c r="Q62" s="342">
        <f>'qtrP&amp;L'!AD24</f>
        <v>422.41399999999999</v>
      </c>
      <c r="R62" s="330"/>
      <c r="S62" s="342">
        <f>'qtrP&amp;L'!AH24</f>
        <v>453.40800000000002</v>
      </c>
      <c r="T62" s="330"/>
      <c r="U62" s="342">
        <f>'qtrP&amp;L'!AL24</f>
        <v>552.33000000000004</v>
      </c>
      <c r="V62" s="330"/>
      <c r="W62" s="342">
        <f>'qtrP&amp;L'!AP24</f>
        <v>650.01</v>
      </c>
      <c r="X62" s="330"/>
      <c r="Y62" s="342">
        <f>'qtrP&amp;L'!AT24</f>
        <v>719.64200000000005</v>
      </c>
      <c r="Z62" s="330"/>
      <c r="AA62" s="342">
        <f>'qtrP&amp;L'!AX24</f>
        <v>663.05799999999999</v>
      </c>
      <c r="AB62" s="330"/>
      <c r="AC62" s="342">
        <f>'qtrP&amp;L'!BB24</f>
        <v>695.154</v>
      </c>
      <c r="AD62" s="330"/>
      <c r="AE62" s="342">
        <f>'qtrP&amp;L'!BF24</f>
        <v>842.6629999999999</v>
      </c>
      <c r="AF62" s="330"/>
      <c r="AG62" s="342">
        <f>'yrP&amp;L'!P11</f>
        <v>974.25800000000004</v>
      </c>
      <c r="AH62" s="330"/>
      <c r="AI62" s="342">
        <f>'yrP&amp;L'!Q11</f>
        <v>1052.8129999999999</v>
      </c>
      <c r="AJ62" s="330"/>
      <c r="AK62" s="342">
        <f>'yrP&amp;L'!R11</f>
        <v>1087.914</v>
      </c>
      <c r="AL62" s="330"/>
      <c r="AM62" s="342">
        <f>'yrP&amp;L'!S11</f>
        <v>1262.2939999999999</v>
      </c>
      <c r="AN62" s="330"/>
      <c r="AO62" s="342">
        <f>'yrP&amp;L'!T11</f>
        <v>1202.4170000000001</v>
      </c>
      <c r="AP62" s="330"/>
      <c r="AQ62" s="342">
        <f>'yrP&amp;L'!U11</f>
        <v>1179.4850000000001</v>
      </c>
      <c r="AR62" s="330"/>
      <c r="AS62" s="342">
        <f>'yrP&amp;L'!V11</f>
        <v>1262.002</v>
      </c>
      <c r="AT62" s="330"/>
      <c r="AU62" s="342">
        <f>'yrP&amp;L'!W11</f>
        <v>1491.57</v>
      </c>
      <c r="AV62" s="330"/>
      <c r="AW62" s="342">
        <f>'yrP&amp;L'!X11</f>
        <v>1630.9649999999999</v>
      </c>
      <c r="AX62" s="330"/>
      <c r="AY62" s="342">
        <f>'yrP&amp;L'!Y11</f>
        <v>1690.6869999999999</v>
      </c>
      <c r="AZ62" s="330"/>
      <c r="BA62" s="342">
        <f>'yrP&amp;L'!Z11</f>
        <v>1712.7380000000001</v>
      </c>
      <c r="BB62" s="342"/>
      <c r="BC62" s="342">
        <f>'yrP&amp;L'!AA11</f>
        <v>1613.3999999999999</v>
      </c>
      <c r="BD62" s="342"/>
      <c r="BE62" s="342">
        <f>'yrP&amp;L'!AB11</f>
        <v>1511.4</v>
      </c>
      <c r="BF62" s="342"/>
      <c r="BG62" s="342">
        <f>'yrP&amp;L'!AC11</f>
        <v>1565</v>
      </c>
      <c r="BH62" s="330"/>
      <c r="BI62" s="342">
        <f>'yrP&amp;L'!AD11</f>
        <v>1636.5887581401394</v>
      </c>
      <c r="BJ62" s="330"/>
      <c r="BK62" s="342">
        <f>'yrP&amp;L'!AE11</f>
        <v>1719.8485784975221</v>
      </c>
      <c r="BL62" s="330"/>
      <c r="BM62" s="342">
        <f>'yrP&amp;L'!AF11</f>
        <v>1807.5671822958657</v>
      </c>
      <c r="BN62" s="330"/>
      <c r="BO62" s="342">
        <f>'yrP&amp;L'!AG11</f>
        <v>1881.7684950581815</v>
      </c>
      <c r="BP62" s="1655"/>
      <c r="BQ62" s="1655">
        <f>'yrP&amp;L'!AH11</f>
        <v>1953.4704406744772</v>
      </c>
      <c r="BR62" s="330"/>
    </row>
    <row r="63" spans="1:70">
      <c r="A63" s="330"/>
      <c r="B63" s="330" t="s">
        <v>1017</v>
      </c>
      <c r="C63" s="330"/>
      <c r="D63" s="330"/>
      <c r="E63" s="355"/>
      <c r="F63" s="330"/>
      <c r="G63" s="342">
        <f>'qtrP&amp;L'!J34</f>
        <v>181.98099999999999</v>
      </c>
      <c r="H63" s="330"/>
      <c r="I63" s="342">
        <f>'qtrP&amp;L'!N34</f>
        <v>210.292</v>
      </c>
      <c r="J63" s="330"/>
      <c r="K63" s="342">
        <f>'qtrP&amp;L'!R34</f>
        <v>242.911</v>
      </c>
      <c r="L63" s="330"/>
      <c r="M63" s="342">
        <f>'qtrP&amp;L'!V34</f>
        <v>293.54699999999997</v>
      </c>
      <c r="N63" s="330"/>
      <c r="O63" s="342">
        <f>'qtrP&amp;L'!Z34</f>
        <v>347.35699999999997</v>
      </c>
      <c r="P63" s="330"/>
      <c r="Q63" s="342">
        <f>'qtrP&amp;L'!AD34</f>
        <v>390.28100000000001</v>
      </c>
      <c r="R63" s="330"/>
      <c r="S63" s="342">
        <f>'qtrP&amp;L'!AH34</f>
        <v>430.78599999999994</v>
      </c>
      <c r="T63" s="330"/>
      <c r="U63" s="342">
        <f>'qtrP&amp;L'!AL34</f>
        <v>464.47699999999998</v>
      </c>
      <c r="V63" s="330"/>
      <c r="W63" s="342">
        <f>'qtrP&amp;L'!AP34</f>
        <v>564.79700000000003</v>
      </c>
      <c r="X63" s="330"/>
      <c r="Y63" s="342">
        <f>'qtrP&amp;L'!AT34</f>
        <v>621.01800000000003</v>
      </c>
      <c r="Z63" s="330"/>
      <c r="AA63" s="342">
        <f>'qtrP&amp;L'!AX34</f>
        <v>633.58000000000004</v>
      </c>
      <c r="AB63" s="330"/>
      <c r="AC63" s="342">
        <f>'qtrP&amp;L'!BB34</f>
        <v>692.25099999999998</v>
      </c>
      <c r="AD63" s="330"/>
      <c r="AE63" s="342">
        <f>'qtrP&amp;L'!BF34</f>
        <v>801.86300000000006</v>
      </c>
      <c r="AF63" s="330"/>
      <c r="AG63" s="342">
        <f>'yrP&amp;L'!P14</f>
        <v>936.04399999999998</v>
      </c>
      <c r="AH63" s="330"/>
      <c r="AI63" s="342">
        <f>'yrP&amp;L'!Q14</f>
        <v>959.63499999999999</v>
      </c>
      <c r="AJ63" s="330"/>
      <c r="AK63" s="342">
        <f>'yrP&amp;L'!R14</f>
        <v>1010.754</v>
      </c>
      <c r="AL63" s="330"/>
      <c r="AM63" s="342">
        <f>'yrP&amp;L'!S14</f>
        <v>1131.4770000000001</v>
      </c>
      <c r="AN63" s="330"/>
      <c r="AO63" s="342">
        <f>'yrP&amp;L'!T14</f>
        <v>1153.944</v>
      </c>
      <c r="AP63" s="330"/>
      <c r="AQ63" s="342">
        <f>'yrP&amp;L'!U14</f>
        <v>1090.1689999999999</v>
      </c>
      <c r="AR63" s="330"/>
      <c r="AS63" s="342">
        <f>'yrP&amp;L'!V14</f>
        <v>1210.8719999999998</v>
      </c>
      <c r="AT63" s="330"/>
      <c r="AU63" s="342">
        <f>'yrP&amp;L'!W14</f>
        <v>1400.223</v>
      </c>
      <c r="AV63" s="330"/>
      <c r="AW63" s="342">
        <f>'yrP&amp;L'!X14</f>
        <v>1466.067</v>
      </c>
      <c r="AX63" s="330"/>
      <c r="AY63" s="342">
        <f>'yrP&amp;L'!Y14</f>
        <v>1546.5029999999999</v>
      </c>
      <c r="AZ63" s="330"/>
      <c r="BA63" s="342">
        <f>'yrP&amp;L'!Z14</f>
        <v>1645.7460000000001</v>
      </c>
      <c r="BB63" s="342"/>
      <c r="BC63" s="342">
        <f>'yrP&amp;L'!AA14</f>
        <v>1684.4999999999998</v>
      </c>
      <c r="BD63" s="342"/>
      <c r="BE63" s="342">
        <f>'yrP&amp;L'!AB14</f>
        <v>1731.2</v>
      </c>
      <c r="BF63" s="342"/>
      <c r="BG63" s="342">
        <f>'yrP&amp;L'!AC14</f>
        <v>1810.4</v>
      </c>
      <c r="BH63" s="330"/>
      <c r="BI63" s="342">
        <f>'yrP&amp;L'!AD14</f>
        <v>1955.8699025102042</v>
      </c>
      <c r="BJ63" s="330"/>
      <c r="BK63" s="342">
        <f>'yrP&amp;L'!AE14</f>
        <v>2057.3457457833265</v>
      </c>
      <c r="BL63" s="330"/>
      <c r="BM63" s="342">
        <f>'yrP&amp;L'!AF14</f>
        <v>2156.2250762947451</v>
      </c>
      <c r="BN63" s="330"/>
      <c r="BO63" s="342">
        <f>'yrP&amp;L'!AG14</f>
        <v>2233.7758631364504</v>
      </c>
      <c r="BP63" s="1655"/>
      <c r="BQ63" s="1655">
        <f>'yrP&amp;L'!AH14</f>
        <v>2310.3747698355437</v>
      </c>
      <c r="BR63" s="330"/>
    </row>
    <row r="64" spans="1:70">
      <c r="A64" s="330"/>
      <c r="B64" s="330" t="s">
        <v>1019</v>
      </c>
      <c r="C64" s="330"/>
      <c r="D64" s="330"/>
      <c r="E64" s="355"/>
      <c r="F64" s="330"/>
      <c r="G64" s="342">
        <f>'qtrP&amp;L'!J112</f>
        <v>31.808</v>
      </c>
      <c r="H64" s="330"/>
      <c r="I64" s="342">
        <f>'qtrP&amp;L'!N112</f>
        <v>15.712000000000016</v>
      </c>
      <c r="J64" s="330"/>
      <c r="K64" s="342">
        <f>'qtrP&amp;L'!R112</f>
        <v>22.532999999999991</v>
      </c>
      <c r="L64" s="330"/>
      <c r="M64" s="342">
        <f>'qtrP&amp;L'!V112</f>
        <v>29.341000000000015</v>
      </c>
      <c r="N64" s="330"/>
      <c r="O64" s="342">
        <f>'qtrP&amp;L'!Z112</f>
        <v>39.214999999999975</v>
      </c>
      <c r="P64" s="330"/>
      <c r="Q64" s="342">
        <f>'qtrP&amp;L'!AD112</f>
        <v>58.439000000000071</v>
      </c>
      <c r="R64" s="330"/>
      <c r="S64" s="342">
        <f>'qtrP&amp;L'!AH112</f>
        <v>72.822000000000031</v>
      </c>
      <c r="T64" s="330"/>
      <c r="U64" s="342">
        <f>'qtrP&amp;L'!AL112</f>
        <v>90.06200000000004</v>
      </c>
      <c r="V64" s="330"/>
      <c r="W64" s="342">
        <f>'qtrP&amp;L'!AP112</f>
        <v>145.67899999999995</v>
      </c>
      <c r="X64" s="330"/>
      <c r="Y64" s="342">
        <f>'qtrP&amp;L'!AT112</f>
        <v>190.584</v>
      </c>
      <c r="Z64" s="330"/>
      <c r="AA64" s="342">
        <f>'qtrP&amp;L'!AX112</f>
        <v>173.58699999999999</v>
      </c>
      <c r="AB64" s="330"/>
      <c r="AC64" s="342">
        <f>'qtrP&amp;L'!BB112</f>
        <v>181.87900000000005</v>
      </c>
      <c r="AD64" s="330"/>
      <c r="AE64" s="342">
        <f>'qtrP&amp;L'!BF112</f>
        <v>215.51699999999994</v>
      </c>
      <c r="AF64" s="330"/>
      <c r="AG64" s="342">
        <f>'yrP&amp;L'!P46</f>
        <v>304.29900000000004</v>
      </c>
      <c r="AH64" s="330"/>
      <c r="AI64" s="342">
        <f>'yrP&amp;L'!Q46</f>
        <v>254.65500000000037</v>
      </c>
      <c r="AJ64" s="330"/>
      <c r="AK64" s="342">
        <f>'yrP&amp;L'!R46</f>
        <v>287.66299999999944</v>
      </c>
      <c r="AL64" s="330"/>
      <c r="AM64" s="342">
        <f>'yrP&amp;L'!S46</f>
        <v>341.0899999999998</v>
      </c>
      <c r="AN64" s="330"/>
      <c r="AO64" s="342">
        <f>'yrP&amp;L'!T46</f>
        <v>301.47907999999984</v>
      </c>
      <c r="AP64" s="330"/>
      <c r="AQ64" s="342">
        <f>'yrP&amp;L'!U46</f>
        <v>255.24600000000049</v>
      </c>
      <c r="AR64" s="330"/>
      <c r="AS64" s="342">
        <f>'yrP&amp;L'!V46</f>
        <v>376.33999999999975</v>
      </c>
      <c r="AT64" s="330"/>
      <c r="AU64" s="342">
        <f>'yrP&amp;L'!W46</f>
        <v>465.1840000000002</v>
      </c>
      <c r="AV64" s="330"/>
      <c r="AW64" s="342">
        <f>'yrP&amp;L'!X46</f>
        <v>416.1569999999997</v>
      </c>
      <c r="AX64" s="330"/>
      <c r="AY64" s="342">
        <f>'yrP&amp;L'!Y46</f>
        <v>481.02200000000028</v>
      </c>
      <c r="AZ64" s="330"/>
      <c r="BA64" s="342">
        <f>'yrP&amp;L'!Z46</f>
        <v>545.13499999999908</v>
      </c>
      <c r="BB64" s="342"/>
      <c r="BC64" s="342">
        <f>'yrP&amp;L'!AA46</f>
        <v>494.44300000000129</v>
      </c>
      <c r="BD64" s="342"/>
      <c r="BE64" s="342">
        <f>'yrP&amp;L'!AB46</f>
        <v>470.09999999999957</v>
      </c>
      <c r="BF64" s="342"/>
      <c r="BG64" s="342">
        <f>'yrP&amp;L'!AC46</f>
        <v>516.20000000000005</v>
      </c>
      <c r="BH64" s="330"/>
      <c r="BI64" s="342">
        <f>'yrP&amp;L'!AD46</f>
        <v>546.66775698586127</v>
      </c>
      <c r="BJ64" s="330"/>
      <c r="BK64" s="342">
        <f>'yrP&amp;L'!AE46</f>
        <v>609.86590698598116</v>
      </c>
      <c r="BL64" s="330"/>
      <c r="BM64" s="342">
        <f>'yrP&amp;L'!AF46</f>
        <v>654.6235504587105</v>
      </c>
      <c r="BN64" s="330"/>
      <c r="BO64" s="342">
        <f>'yrP&amp;L'!AG46</f>
        <v>692.78093969266797</v>
      </c>
      <c r="BP64" s="1655"/>
      <c r="BQ64" s="1655">
        <f>'yrP&amp;L'!AH46</f>
        <v>737.17847186304641</v>
      </c>
      <c r="BR64" s="330"/>
    </row>
    <row r="65" spans="1:70">
      <c r="A65" s="330"/>
      <c r="B65" s="330"/>
      <c r="C65" s="330"/>
      <c r="D65" s="330"/>
      <c r="E65" s="330"/>
      <c r="F65" s="330"/>
      <c r="G65" s="330"/>
      <c r="H65" s="330"/>
      <c r="I65" s="330"/>
      <c r="J65" s="330"/>
      <c r="K65" s="330"/>
      <c r="L65" s="330"/>
      <c r="M65" s="330"/>
      <c r="N65" s="330"/>
      <c r="O65" s="330"/>
      <c r="P65" s="330"/>
      <c r="Q65" s="330"/>
      <c r="R65" s="330"/>
      <c r="S65" s="330"/>
      <c r="T65" s="330"/>
      <c r="U65" s="330"/>
      <c r="V65" s="330"/>
      <c r="W65" s="330"/>
      <c r="X65" s="330"/>
      <c r="Y65" s="330"/>
      <c r="Z65" s="330"/>
      <c r="AA65" s="330"/>
      <c r="AB65" s="330"/>
      <c r="AC65" s="330"/>
      <c r="AD65" s="330"/>
      <c r="AE65" s="330"/>
      <c r="AF65" s="330"/>
      <c r="AG65" s="330"/>
      <c r="AH65" s="330"/>
      <c r="AI65" s="330"/>
      <c r="AJ65" s="330"/>
      <c r="AK65" s="330"/>
      <c r="AL65" s="330"/>
      <c r="AM65" s="330"/>
      <c r="AN65" s="330"/>
      <c r="AO65" s="330"/>
      <c r="AP65" s="330"/>
      <c r="AQ65" s="330"/>
      <c r="AR65" s="330"/>
      <c r="AS65" s="330"/>
      <c r="AT65" s="330"/>
      <c r="AU65" s="330"/>
      <c r="AV65" s="330"/>
      <c r="AW65" s="330"/>
      <c r="AX65" s="330"/>
      <c r="AY65" s="330"/>
      <c r="AZ65" s="330"/>
      <c r="BA65" s="330"/>
      <c r="BB65" s="330"/>
      <c r="BC65" s="330"/>
      <c r="BD65" s="330"/>
      <c r="BE65" s="330"/>
      <c r="BF65" s="330"/>
      <c r="BG65" s="330"/>
      <c r="BH65" s="330"/>
      <c r="BI65" s="330"/>
      <c r="BJ65" s="330"/>
      <c r="BK65" s="330"/>
      <c r="BL65" s="330"/>
      <c r="BM65" s="330"/>
      <c r="BN65" s="330"/>
      <c r="BO65" s="330"/>
      <c r="BP65" s="405"/>
      <c r="BQ65" s="405"/>
      <c r="BR65" s="330"/>
    </row>
    <row r="66" spans="1:70">
      <c r="A66" s="330"/>
      <c r="B66" s="330" t="s">
        <v>1020</v>
      </c>
      <c r="C66" s="330"/>
      <c r="D66" s="330"/>
      <c r="E66" s="371"/>
      <c r="F66" s="330"/>
      <c r="G66" s="371">
        <f>G11/G61</f>
        <v>0</v>
      </c>
      <c r="H66" s="330"/>
      <c r="I66" s="371">
        <f>I11/I61</f>
        <v>0.10562998050970812</v>
      </c>
      <c r="J66" s="330"/>
      <c r="K66" s="371">
        <f>K11/K61</f>
        <v>0.11885239390574774</v>
      </c>
      <c r="L66" s="330"/>
      <c r="M66" s="371">
        <f>M11/M61</f>
        <v>9.0244877575856974E-2</v>
      </c>
      <c r="N66" s="330"/>
      <c r="O66" s="371">
        <f>O11/O61</f>
        <v>9.9694756078736013E-2</v>
      </c>
      <c r="P66" s="330"/>
      <c r="Q66" s="371">
        <f>Q11/Q61</f>
        <v>8.7594945494454013E-2</v>
      </c>
      <c r="R66" s="330"/>
      <c r="S66" s="371">
        <f>S11/S61</f>
        <v>9.7769689155830883E-2</v>
      </c>
      <c r="T66" s="330"/>
      <c r="U66" s="371">
        <f>U11/U61</f>
        <v>9.2009790063747474E-2</v>
      </c>
      <c r="V66" s="330"/>
      <c r="W66" s="371">
        <f>W11/W61</f>
        <v>8.1101318891886195E-2</v>
      </c>
      <c r="X66" s="330"/>
      <c r="Y66" s="371">
        <f>Y11/Y61</f>
        <v>6.4139333451634709E-2</v>
      </c>
      <c r="Z66" s="330"/>
      <c r="AA66" s="371">
        <f>AA11/AA61</f>
        <v>6.1328884835997965E-2</v>
      </c>
      <c r="AB66" s="330"/>
      <c r="AC66" s="371">
        <f>AC11/AC61</f>
        <v>6.6249189910711465E-2</v>
      </c>
      <c r="AD66" s="330"/>
      <c r="AE66" s="371">
        <f>AE11/AE61</f>
        <v>6.5993515145909218E-2</v>
      </c>
      <c r="AF66" s="330"/>
      <c r="AG66" s="371">
        <f>AG11/AG61</f>
        <v>6.0569268120776593E-2</v>
      </c>
      <c r="AH66" s="330"/>
      <c r="AI66" s="371">
        <f>AI11/AI61</f>
        <v>5.9409148392607899E-2</v>
      </c>
      <c r="AJ66" s="330"/>
      <c r="AK66" s="371">
        <f>AK11/AK61</f>
        <v>6.4666615118946377E-2</v>
      </c>
      <c r="AL66" s="330"/>
      <c r="AM66" s="371">
        <f>AM11/AM61</f>
        <v>6.6005142966226366E-2</v>
      </c>
      <c r="AN66" s="330"/>
      <c r="AO66" s="371">
        <f>AO11/AO61</f>
        <v>5.7723811532968114E-2</v>
      </c>
      <c r="AP66" s="330"/>
      <c r="AQ66" s="371">
        <f>AQ11/AQ61</f>
        <v>5.8568934912334426E-2</v>
      </c>
      <c r="AR66" s="330"/>
      <c r="AS66" s="371">
        <f>AS11/AS61</f>
        <v>6.0276019434153685E-2</v>
      </c>
      <c r="AT66" s="330"/>
      <c r="AU66" s="371">
        <f>AU11/AU61</f>
        <v>5.0532029513549098E-2</v>
      </c>
      <c r="AV66" s="330"/>
      <c r="AW66" s="371">
        <f>AW11/AW61</f>
        <v>4.5858350361296797E-2</v>
      </c>
      <c r="AX66" s="330"/>
      <c r="AY66" s="371">
        <f>AY11/AY61</f>
        <v>4.6838975671833948E-2</v>
      </c>
      <c r="AZ66" s="330"/>
      <c r="BA66" s="371">
        <f>BA11/BA61</f>
        <v>4.5922822420129551E-2</v>
      </c>
      <c r="BB66" s="456"/>
      <c r="BC66" s="371">
        <f>BC11/BC61</f>
        <v>5.0283820985699314E-2</v>
      </c>
      <c r="BD66" s="456"/>
      <c r="BE66" s="371">
        <f>BE11/BE61</f>
        <v>5.6674496476585547E-2</v>
      </c>
      <c r="BF66" s="456"/>
      <c r="BG66" s="456">
        <v>5.7000000000000002E-2</v>
      </c>
      <c r="BH66" s="330"/>
      <c r="BI66" s="456">
        <v>5.7000000000000002E-2</v>
      </c>
      <c r="BJ66" s="330"/>
      <c r="BK66" s="456">
        <v>5.7000000000000002E-2</v>
      </c>
      <c r="BL66" s="330"/>
      <c r="BM66" s="456">
        <v>5.7000000000000002E-2</v>
      </c>
      <c r="BN66" s="330"/>
      <c r="BO66" s="456">
        <v>5.7000000000000002E-2</v>
      </c>
      <c r="BP66" s="2324"/>
      <c r="BQ66" s="2324">
        <v>5.7000000000000002E-2</v>
      </c>
      <c r="BR66" s="330"/>
    </row>
    <row r="67" spans="1:70">
      <c r="A67" s="330"/>
      <c r="B67" s="330" t="s">
        <v>1022</v>
      </c>
      <c r="C67" s="330"/>
      <c r="D67" s="330"/>
      <c r="E67" s="371"/>
      <c r="F67" s="330"/>
      <c r="G67" s="371">
        <f>G12/G61</f>
        <v>0</v>
      </c>
      <c r="H67" s="330"/>
      <c r="I67" s="371">
        <f>I12/I61</f>
        <v>0.46084054967557292</v>
      </c>
      <c r="J67" s="330"/>
      <c r="K67" s="371">
        <f>K12/K61</f>
        <v>0.46298594353761069</v>
      </c>
      <c r="L67" s="330"/>
      <c r="M67" s="371">
        <f>M12/M61</f>
        <v>0.39552246456297385</v>
      </c>
      <c r="N67" s="330"/>
      <c r="O67" s="371">
        <f>O12/O61</f>
        <v>0.38747055865115054</v>
      </c>
      <c r="P67" s="330"/>
      <c r="Q67" s="371">
        <f>Q12/Q61</f>
        <v>0.36371986795472983</v>
      </c>
      <c r="R67" s="330"/>
      <c r="S67" s="371">
        <f>S12/S61</f>
        <v>0.37974147419065735</v>
      </c>
      <c r="T67" s="330"/>
      <c r="U67" s="371">
        <f>U12/U61</f>
        <v>0.40871648460985338</v>
      </c>
      <c r="V67" s="330"/>
      <c r="W67" s="371">
        <f>W12/W61</f>
        <v>0.34300701914125936</v>
      </c>
      <c r="X67" s="330"/>
      <c r="Y67" s="371">
        <f>Y12/Y61</f>
        <v>0.39070450872152973</v>
      </c>
      <c r="Z67" s="330"/>
      <c r="AA67" s="371">
        <f>AA12/AA61</f>
        <v>0.38072808871266423</v>
      </c>
      <c r="AB67" s="330"/>
      <c r="AC67" s="371">
        <f>AC12/AC61</f>
        <v>0.42897406659549209</v>
      </c>
      <c r="AD67" s="330"/>
      <c r="AE67" s="371">
        <f>AE12/AE61</f>
        <v>0.4356156986467804</v>
      </c>
      <c r="AF67" s="330"/>
      <c r="AG67" s="371">
        <f>AG12/AG61</f>
        <v>0.47951294226178781</v>
      </c>
      <c r="AH67" s="330"/>
      <c r="AI67" s="371">
        <f>AI12/AI61</f>
        <v>0.44262892600180442</v>
      </c>
      <c r="AJ67" s="330"/>
      <c r="AK67" s="371">
        <f>AK12/AK61</f>
        <v>0.44779114113375312</v>
      </c>
      <c r="AL67" s="330"/>
      <c r="AM67" s="371">
        <f>AM12/AM61</f>
        <v>0.46699691809943683</v>
      </c>
      <c r="AN67" s="371"/>
      <c r="AO67" s="371">
        <f>AO12/AO61</f>
        <v>0.56206221508330179</v>
      </c>
      <c r="AP67" s="330"/>
      <c r="AQ67" s="371">
        <f>AQ12/AQ61</f>
        <v>0.52693626302251506</v>
      </c>
      <c r="AR67" s="330"/>
      <c r="AS67" s="371">
        <f>AS12/AS61</f>
        <v>0.52679067445847882</v>
      </c>
      <c r="AT67" s="330"/>
      <c r="AU67" s="371">
        <f>AU12/AU61</f>
        <v>0.56910454394352694</v>
      </c>
      <c r="AV67" s="330"/>
      <c r="AW67" s="371">
        <f>AW12/AW61</f>
        <v>0.58887384565430467</v>
      </c>
      <c r="AX67" s="330"/>
      <c r="AY67" s="371">
        <f>AY12/AY61</f>
        <v>0.57715330440844126</v>
      </c>
      <c r="AZ67" s="330"/>
      <c r="BA67" s="371">
        <f>BA12/BA61</f>
        <v>0.55580243642634575</v>
      </c>
      <c r="BB67" s="371"/>
      <c r="BC67" s="371">
        <f>BC12/BC61</f>
        <v>0.54206153921114808</v>
      </c>
      <c r="BD67" s="371"/>
      <c r="BE67" s="371">
        <f>BE12/BE61</f>
        <v>0.53915737917936934</v>
      </c>
      <c r="BF67" s="2118"/>
      <c r="BG67" s="2118">
        <v>0.54700000000000004</v>
      </c>
      <c r="BH67" s="2119"/>
      <c r="BI67" s="2118">
        <f>BG67</f>
        <v>0.54700000000000004</v>
      </c>
      <c r="BJ67" s="2119"/>
      <c r="BK67" s="2118">
        <f>BI67</f>
        <v>0.54700000000000004</v>
      </c>
      <c r="BL67" s="2119"/>
      <c r="BM67" s="2118">
        <f>BK67</f>
        <v>0.54700000000000004</v>
      </c>
      <c r="BN67" s="2119"/>
      <c r="BO67" s="2118">
        <f>BM67</f>
        <v>0.54700000000000004</v>
      </c>
      <c r="BP67" s="2325"/>
      <c r="BQ67" s="2325">
        <f>BO67</f>
        <v>0.54700000000000004</v>
      </c>
      <c r="BR67" s="330"/>
    </row>
    <row r="68" spans="1:70">
      <c r="A68" s="330"/>
      <c r="B68" s="330" t="s">
        <v>1368</v>
      </c>
      <c r="C68" s="330"/>
      <c r="D68" s="330"/>
      <c r="E68" s="371"/>
      <c r="F68" s="330"/>
      <c r="G68" s="371">
        <f>G14/G61</f>
        <v>0</v>
      </c>
      <c r="H68" s="330"/>
      <c r="I68" s="371">
        <f>I14/I61</f>
        <v>2.304089671790064E-2</v>
      </c>
      <c r="J68" s="330"/>
      <c r="K68" s="371">
        <f>K14/K61</f>
        <v>3.1276202513323012E-2</v>
      </c>
      <c r="L68" s="330"/>
      <c r="M68" s="371">
        <f>M14/M61</f>
        <v>3.7773621877155543E-2</v>
      </c>
      <c r="N68" s="330"/>
      <c r="O68" s="371">
        <f>O14/O61</f>
        <v>2.4949831443609551E-2</v>
      </c>
      <c r="P68" s="330"/>
      <c r="Q68" s="371">
        <f>Q14/Q61</f>
        <v>2.3168652695779668E-2</v>
      </c>
      <c r="R68" s="330"/>
      <c r="S68" s="371">
        <f>S14/S61</f>
        <v>2.0183448373453251E-2</v>
      </c>
      <c r="T68" s="330"/>
      <c r="U68" s="371">
        <f>U14/U61</f>
        <v>1.6274325532353816E-2</v>
      </c>
      <c r="V68" s="330"/>
      <c r="W68" s="371">
        <f>W14/W61</f>
        <v>1.3832396768341158E-2</v>
      </c>
      <c r="X68" s="330"/>
      <c r="Y68" s="371">
        <f>Y14/Y61</f>
        <v>1.3463576762410853E-2</v>
      </c>
      <c r="Z68" s="330"/>
      <c r="AA68" s="371">
        <f>AA14/AA61</f>
        <v>1.7448732831839953E-2</v>
      </c>
      <c r="AB68" s="330"/>
      <c r="AC68" s="371">
        <f>AC14/AC61</f>
        <v>1.4450938180079481E-2</v>
      </c>
      <c r="AD68" s="330"/>
      <c r="AE68" s="371">
        <f>AE14/AE61</f>
        <v>1.1841233572244625E-2</v>
      </c>
      <c r="AF68" s="330"/>
      <c r="AG68" s="371">
        <f>AG14/AG61</f>
        <v>1.1532856713280972E-2</v>
      </c>
      <c r="AH68" s="330"/>
      <c r="AI68" s="371">
        <f>AI14/AI61</f>
        <v>1.3861327439207432E-2</v>
      </c>
      <c r="AJ68" s="330"/>
      <c r="AK68" s="371">
        <f>AK14/AK61</f>
        <v>5.113143340932718E-2</v>
      </c>
      <c r="AL68" s="330"/>
      <c r="AM68" s="371">
        <f>AM14/AM61</f>
        <v>3.0309268738530497E-2</v>
      </c>
      <c r="AN68" s="330"/>
      <c r="AO68" s="371">
        <f>AO14/AO61</f>
        <v>3.8248997230119146E-2</v>
      </c>
      <c r="AP68" s="330"/>
      <c r="AQ68" s="371">
        <f>AQ14/AQ61</f>
        <v>2.4634188646101268E-2</v>
      </c>
      <c r="AR68" s="330"/>
      <c r="AS68" s="371">
        <f>AS14/AS61</f>
        <v>2.9357694090344832E-2</v>
      </c>
      <c r="AT68" s="330"/>
      <c r="AU68" s="371">
        <f>AU14/AU61</f>
        <v>2.9389473383701115E-2</v>
      </c>
      <c r="AV68" s="330"/>
      <c r="AW68" s="371">
        <f>AW14/AW61</f>
        <v>4.1522841542555589E-2</v>
      </c>
      <c r="AX68" s="330"/>
      <c r="AY68" s="371">
        <f>AY14/AY61</f>
        <v>6.0763855296157653E-2</v>
      </c>
      <c r="AZ68" s="330"/>
      <c r="BA68" s="371">
        <f>BA14/BA61</f>
        <v>5.1774471618595497E-2</v>
      </c>
      <c r="BB68" s="456"/>
      <c r="BC68" s="371">
        <f>BC14/BC61</f>
        <v>4.6385850366652853E-2</v>
      </c>
      <c r="BD68" s="456"/>
      <c r="BE68" s="371">
        <f>BE14/BE61</f>
        <v>5.0827127792493383E-2</v>
      </c>
      <c r="BF68" s="456">
        <f t="shared" ref="BF68:BK68" si="3">BD68</f>
        <v>0</v>
      </c>
      <c r="BG68" s="456">
        <f t="shared" si="3"/>
        <v>5.0827127792493383E-2</v>
      </c>
      <c r="BH68" s="456">
        <f t="shared" si="3"/>
        <v>0</v>
      </c>
      <c r="BI68" s="456">
        <f t="shared" si="3"/>
        <v>5.0827127792493383E-2</v>
      </c>
      <c r="BJ68" s="456">
        <f t="shared" si="3"/>
        <v>0</v>
      </c>
      <c r="BK68" s="456">
        <f t="shared" si="3"/>
        <v>5.0827127792493383E-2</v>
      </c>
      <c r="BL68" s="330"/>
      <c r="BM68" s="456">
        <v>2.1000000000000001E-2</v>
      </c>
      <c r="BN68" s="330"/>
      <c r="BO68" s="456">
        <v>2.1000000000000001E-2</v>
      </c>
      <c r="BP68" s="2324"/>
      <c r="BQ68" s="2324">
        <v>2.1000000000000001E-2</v>
      </c>
      <c r="BR68" s="330"/>
    </row>
    <row r="69" spans="1:70">
      <c r="A69" s="330"/>
      <c r="B69" s="330" t="s">
        <v>1021</v>
      </c>
      <c r="C69" s="330"/>
      <c r="D69" s="330"/>
      <c r="E69" s="371"/>
      <c r="F69" s="330"/>
      <c r="G69" s="371">
        <v>0</v>
      </c>
      <c r="H69" s="330"/>
      <c r="I69" s="371">
        <f>+I26/I12</f>
        <v>0.28382206637489904</v>
      </c>
      <c r="J69" s="330"/>
      <c r="K69" s="371">
        <f>+K26/K12</f>
        <v>0.3049389588305717</v>
      </c>
      <c r="L69" s="371"/>
      <c r="M69" s="371">
        <f>+M26/M12</f>
        <v>0.30228640192539113</v>
      </c>
      <c r="N69" s="330"/>
      <c r="O69" s="371">
        <f>+O26/O12</f>
        <v>0.34572950535257602</v>
      </c>
      <c r="P69" s="330"/>
      <c r="Q69" s="371">
        <f>+Q26/Q12</f>
        <v>0.32818011324163882</v>
      </c>
      <c r="R69" s="330"/>
      <c r="S69" s="371">
        <f>+S26/S12</f>
        <v>0.30653855410150843</v>
      </c>
      <c r="T69" s="330"/>
      <c r="U69" s="371">
        <f>+U26/U12</f>
        <v>0.29216577801133681</v>
      </c>
      <c r="V69" s="330"/>
      <c r="W69" s="371">
        <f>+W26/W12</f>
        <v>0.34885301109350236</v>
      </c>
      <c r="X69" s="330"/>
      <c r="Y69" s="371">
        <f>+Y26/Y12</f>
        <v>0.29081794705370584</v>
      </c>
      <c r="Z69" s="330"/>
      <c r="AA69" s="371">
        <f>+AA26/AA12</f>
        <v>0.22021309467949962</v>
      </c>
      <c r="AB69" s="330"/>
      <c r="AC69" s="371">
        <f>+AC26/AC12</f>
        <v>0.22311252199189169</v>
      </c>
      <c r="AD69" s="330"/>
      <c r="AE69" s="371">
        <f>+AE26/AE12</f>
        <v>0.24085137348479371</v>
      </c>
      <c r="AF69" s="330"/>
      <c r="AG69" s="371">
        <f>+AG26/AG12</f>
        <v>0.17594124351498472</v>
      </c>
      <c r="AH69" s="330"/>
      <c r="AI69" s="371">
        <f>+AI26/AI12</f>
        <v>0.19114589818179073</v>
      </c>
      <c r="AJ69" s="330"/>
      <c r="AK69" s="371">
        <f>+AK26/AK12</f>
        <v>0.1883421094399978</v>
      </c>
      <c r="AL69" s="330"/>
      <c r="AM69" s="371">
        <f>+AM26/AM12</f>
        <v>0.14836960442204408</v>
      </c>
      <c r="AN69" s="330"/>
      <c r="AO69" s="371">
        <f>+AO26/AO12</f>
        <v>0.13962089286026544</v>
      </c>
      <c r="AP69" s="330"/>
      <c r="AQ69" s="371">
        <f>+AQ26/AQ12</f>
        <v>0.16242055390778476</v>
      </c>
      <c r="AR69" s="330"/>
      <c r="AS69" s="371">
        <f>+AS26/AS12</f>
        <v>0.15911565973585218</v>
      </c>
      <c r="AT69" s="330"/>
      <c r="AU69" s="371">
        <f>+AU26/AU12</f>
        <v>0.15867262971659435</v>
      </c>
      <c r="AV69" s="330"/>
      <c r="AW69" s="371">
        <f>+AW26/AW12</f>
        <v>0.13222016045944787</v>
      </c>
      <c r="AX69" s="330"/>
      <c r="AY69" s="371">
        <f>+AY26/AY12</f>
        <v>0.14703556292927816</v>
      </c>
      <c r="AZ69" s="330"/>
      <c r="BA69" s="371">
        <f>+BA26/BA12</f>
        <v>0.13463502154004553</v>
      </c>
      <c r="BB69" s="456"/>
      <c r="BC69" s="371">
        <f>+BC26/BC12</f>
        <v>0.14791011235955057</v>
      </c>
      <c r="BD69" s="456"/>
      <c r="BE69" s="371">
        <f>+BE26/BE12</f>
        <v>0.1449758991472006</v>
      </c>
      <c r="BF69" s="456"/>
      <c r="BG69" s="456">
        <f>BE69</f>
        <v>0.1449758991472006</v>
      </c>
      <c r="BH69" s="330"/>
      <c r="BI69" s="456">
        <f>BG69</f>
        <v>0.1449758991472006</v>
      </c>
      <c r="BJ69" s="330"/>
      <c r="BK69" s="456">
        <f>BI69</f>
        <v>0.1449758991472006</v>
      </c>
      <c r="BL69" s="330"/>
      <c r="BM69" s="456">
        <f>BK69</f>
        <v>0.1449758991472006</v>
      </c>
      <c r="BN69" s="330"/>
      <c r="BO69" s="456">
        <f>BM69</f>
        <v>0.1449758991472006</v>
      </c>
      <c r="BP69" s="2324"/>
      <c r="BQ69" s="2324">
        <f>BO69</f>
        <v>0.1449758991472006</v>
      </c>
      <c r="BR69" s="330"/>
    </row>
    <row r="70" spans="1:70">
      <c r="A70" s="330"/>
      <c r="B70" s="330" t="s">
        <v>817</v>
      </c>
      <c r="C70" s="330"/>
      <c r="D70" s="330"/>
      <c r="E70" s="330"/>
      <c r="F70" s="330"/>
      <c r="G70" s="371">
        <f>G27/G63</f>
        <v>0</v>
      </c>
      <c r="H70" s="330"/>
      <c r="I70" s="371">
        <f>I27/I63</f>
        <v>0</v>
      </c>
      <c r="J70" s="330"/>
      <c r="K70" s="371">
        <f>K27/K63</f>
        <v>0</v>
      </c>
      <c r="L70" s="330"/>
      <c r="M70" s="371">
        <f>M27/M63</f>
        <v>0</v>
      </c>
      <c r="N70" s="330"/>
      <c r="O70" s="371">
        <f>O27/O63</f>
        <v>0</v>
      </c>
      <c r="P70" s="330"/>
      <c r="Q70" s="371">
        <f>Q27/Q63</f>
        <v>0</v>
      </c>
      <c r="R70" s="330"/>
      <c r="S70" s="371">
        <f>S27/S63</f>
        <v>0</v>
      </c>
      <c r="T70" s="330"/>
      <c r="U70" s="371">
        <f>U27/U63</f>
        <v>0</v>
      </c>
      <c r="V70" s="330"/>
      <c r="W70" s="371">
        <f>W27/W63</f>
        <v>0</v>
      </c>
      <c r="X70" s="330"/>
      <c r="Y70" s="371">
        <f>Y27/Y63</f>
        <v>6.5613235043106635E-2</v>
      </c>
      <c r="Z70" s="330"/>
      <c r="AA70" s="371">
        <f>AA27/AA63</f>
        <v>8.1284131443543031E-2</v>
      </c>
      <c r="AB70" s="330"/>
      <c r="AC70" s="371">
        <f>AC27/AC63</f>
        <v>0</v>
      </c>
      <c r="AD70" s="330"/>
      <c r="AE70" s="371">
        <f>AE27/AE63</f>
        <v>6.474921526495174E-2</v>
      </c>
      <c r="AF70" s="330"/>
      <c r="AG70" s="371">
        <f>AG27/AG63</f>
        <v>0</v>
      </c>
      <c r="AH70" s="330"/>
      <c r="AI70" s="371">
        <f>AI27/AI63</f>
        <v>6.4462008993002549E-3</v>
      </c>
      <c r="AJ70" s="330"/>
      <c r="AK70" s="371">
        <f>AK27/AK63</f>
        <v>5.340567536710218E-3</v>
      </c>
      <c r="AL70" s="330"/>
      <c r="AM70" s="371">
        <f>AM27/AM63</f>
        <v>5.8012668397148151E-2</v>
      </c>
      <c r="AN70" s="330"/>
      <c r="AO70" s="371">
        <f>AO27/AO63</f>
        <v>3.5032895877096293E-2</v>
      </c>
      <c r="AP70" s="330"/>
      <c r="AQ70" s="371">
        <f>AQ27/AQ63</f>
        <v>0.18970911849447197</v>
      </c>
      <c r="AR70" s="330"/>
      <c r="AS70" s="371">
        <f>AS27/AS63</f>
        <v>5.0257170039442654E-2</v>
      </c>
      <c r="AT70" s="330"/>
      <c r="AU70" s="371">
        <f>AU27/AU63</f>
        <v>4.3437366762294295E-2</v>
      </c>
      <c r="AV70" s="330"/>
      <c r="AW70" s="371">
        <f>AW27/AW63</f>
        <v>0</v>
      </c>
      <c r="AX70" s="330"/>
      <c r="AY70" s="371">
        <f>AY27/AY63</f>
        <v>0</v>
      </c>
      <c r="AZ70" s="330"/>
      <c r="BA70" s="371">
        <f>BA27/BA63</f>
        <v>0</v>
      </c>
      <c r="BB70" s="456"/>
      <c r="BC70" s="371">
        <f>BC27/BC63</f>
        <v>4.9985158800831118E-2</v>
      </c>
      <c r="BD70" s="456"/>
      <c r="BE70" s="371">
        <f>BE27/BE63</f>
        <v>0</v>
      </c>
      <c r="BF70" s="456"/>
      <c r="BG70" s="456">
        <f>BE70</f>
        <v>0</v>
      </c>
      <c r="BH70" s="330"/>
      <c r="BI70" s="456">
        <f>BG70</f>
        <v>0</v>
      </c>
      <c r="BJ70" s="330"/>
      <c r="BK70" s="456">
        <f>BI70</f>
        <v>0</v>
      </c>
      <c r="BL70" s="330"/>
      <c r="BM70" s="456">
        <f>BK70</f>
        <v>0</v>
      </c>
      <c r="BN70" s="330"/>
      <c r="BO70" s="456">
        <f>BM70</f>
        <v>0</v>
      </c>
      <c r="BP70" s="2324"/>
      <c r="BQ70" s="2324">
        <f>BO70</f>
        <v>0</v>
      </c>
      <c r="BR70" s="330"/>
    </row>
    <row r="71" spans="1:70">
      <c r="A71" s="330"/>
      <c r="B71" s="330" t="s">
        <v>590</v>
      </c>
      <c r="C71" s="330"/>
      <c r="D71" s="330"/>
      <c r="E71" s="330"/>
      <c r="F71" s="330"/>
      <c r="G71" s="330"/>
      <c r="H71" s="330"/>
      <c r="I71" s="330"/>
      <c r="J71" s="330"/>
      <c r="K71" s="330"/>
      <c r="L71" s="330"/>
      <c r="M71" s="330"/>
      <c r="N71" s="330"/>
      <c r="O71" s="330"/>
      <c r="P71" s="330"/>
      <c r="Q71" s="330"/>
      <c r="R71" s="330"/>
      <c r="S71" s="330"/>
      <c r="T71" s="330"/>
      <c r="U71" s="371">
        <f>+U30/U62</f>
        <v>4.0196983687288398E-2</v>
      </c>
      <c r="V71" s="330"/>
      <c r="W71" s="371">
        <f>+W30/W62</f>
        <v>4.6576206519899695E-2</v>
      </c>
      <c r="X71" s="330"/>
      <c r="Y71" s="371">
        <f>+Y30/Y62</f>
        <v>5.010407952843219E-2</v>
      </c>
      <c r="Z71" s="330"/>
      <c r="AA71" s="371">
        <f>+AA30/AA62</f>
        <v>5.8448883808052993E-2</v>
      </c>
      <c r="AB71" s="330"/>
      <c r="AC71" s="371">
        <f>+AC30/AC62</f>
        <v>6.1454008752017536E-2</v>
      </c>
      <c r="AD71" s="330"/>
      <c r="AE71" s="371">
        <f>+AE30/AE62</f>
        <v>5.402752939193961E-2</v>
      </c>
      <c r="AF71" s="330"/>
      <c r="AG71" s="371">
        <f>+AG30/AG62</f>
        <v>5.3697275259736124E-2</v>
      </c>
      <c r="AH71" s="330"/>
      <c r="AI71" s="371">
        <f>+AI30/AI62</f>
        <v>5.36391552915855E-2</v>
      </c>
      <c r="AJ71" s="330"/>
      <c r="AK71" s="371">
        <f>+AK30/AK62</f>
        <v>5.6540314767527584E-2</v>
      </c>
      <c r="AL71" s="330"/>
      <c r="AM71" s="371">
        <f>+AM30/AM62</f>
        <v>5.3835318871831767E-2</v>
      </c>
      <c r="AN71" s="330"/>
      <c r="AO71" s="371">
        <f>+AO30/AO62</f>
        <v>5.5979747458660349E-2</v>
      </c>
      <c r="AP71" s="330"/>
      <c r="AQ71" s="371">
        <f>+AQ30/AQ62</f>
        <v>5.6287277922143983E-2</v>
      </c>
      <c r="AR71" s="330"/>
      <c r="AS71" s="371">
        <f>+AS30/AS62</f>
        <v>5.219088400810775E-2</v>
      </c>
      <c r="AT71" s="330"/>
      <c r="AU71" s="371">
        <f>+AU30/AU62</f>
        <v>4.2199159275126207E-2</v>
      </c>
      <c r="AV71" s="330"/>
      <c r="AW71" s="371">
        <f>+AW30/AW62</f>
        <v>4.0863537844159754E-2</v>
      </c>
      <c r="AX71" s="330"/>
      <c r="AY71" s="371">
        <f>+AY30/AY62</f>
        <v>4.1586053480035037E-2</v>
      </c>
      <c r="AZ71" s="330"/>
      <c r="BA71" s="371">
        <f>+BA30/BA62</f>
        <v>3.8615363237109242E-2</v>
      </c>
      <c r="BB71" s="456"/>
      <c r="BC71" s="371">
        <f>+BC30/BC62</f>
        <v>4.2085037808355034E-2</v>
      </c>
      <c r="BD71" s="456"/>
      <c r="BE71" s="371">
        <f>+BE30/BE62</f>
        <v>4.5785364562657138E-2</v>
      </c>
      <c r="BF71" s="456"/>
      <c r="BG71" s="456">
        <f>BE71</f>
        <v>4.5785364562657138E-2</v>
      </c>
      <c r="BH71" s="330"/>
      <c r="BI71" s="456">
        <f>BG71</f>
        <v>4.5785364562657138E-2</v>
      </c>
      <c r="BJ71" s="330"/>
      <c r="BK71" s="456">
        <f>BI71</f>
        <v>4.5785364562657138E-2</v>
      </c>
      <c r="BL71" s="330"/>
      <c r="BM71" s="456">
        <f>BK71</f>
        <v>4.5785364562657138E-2</v>
      </c>
      <c r="BN71" s="330"/>
      <c r="BO71" s="456">
        <f>BM71</f>
        <v>4.5785364562657138E-2</v>
      </c>
      <c r="BP71" s="2324"/>
      <c r="BQ71" s="2324">
        <f>BO71</f>
        <v>4.5785364562657138E-2</v>
      </c>
      <c r="BR71" s="330"/>
    </row>
    <row r="72" spans="1:70">
      <c r="A72" s="330"/>
      <c r="B72" s="330" t="s">
        <v>685</v>
      </c>
      <c r="C72" s="330"/>
      <c r="D72" s="330"/>
      <c r="E72" s="330"/>
      <c r="F72" s="330"/>
      <c r="G72" s="330"/>
      <c r="H72" s="330"/>
      <c r="I72" s="330"/>
      <c r="J72" s="330"/>
      <c r="K72" s="330"/>
      <c r="L72" s="330"/>
      <c r="M72" s="330"/>
      <c r="N72" s="330"/>
      <c r="O72" s="330"/>
      <c r="P72" s="330"/>
      <c r="Q72" s="330"/>
      <c r="R72" s="330"/>
      <c r="S72" s="330"/>
      <c r="T72" s="330"/>
      <c r="U72" s="330"/>
      <c r="V72" s="330"/>
      <c r="W72" s="330"/>
      <c r="X72" s="330"/>
      <c r="Y72" s="330"/>
      <c r="Z72" s="330"/>
      <c r="AA72" s="330"/>
      <c r="AB72" s="330"/>
      <c r="AC72" s="889">
        <f>AC29/AC64</f>
        <v>0.22705754924977586</v>
      </c>
      <c r="AD72" s="330"/>
      <c r="AE72" s="889">
        <f>AE29/AE64</f>
        <v>0.21307831864771692</v>
      </c>
      <c r="AF72" s="330"/>
      <c r="AG72" s="889">
        <f>AG29/AG64</f>
        <v>0.38953792158370548</v>
      </c>
      <c r="AH72" s="330"/>
      <c r="AI72" s="889">
        <f>AI29/AI64</f>
        <v>0.23704227287899279</v>
      </c>
      <c r="AJ72" s="330"/>
      <c r="AK72" s="889">
        <f>AK29/AK64</f>
        <v>0.21940256480673606</v>
      </c>
      <c r="AL72" s="330"/>
      <c r="AM72" s="889">
        <f>AM29/AM64</f>
        <v>0.59694215602920087</v>
      </c>
      <c r="AN72" s="330"/>
      <c r="AO72" s="889">
        <f>AO29/AO64</f>
        <v>9.172444071409537E-2</v>
      </c>
      <c r="AP72" s="330"/>
      <c r="AQ72" s="889">
        <f>AQ29/AQ64</f>
        <v>0.26450169640268556</v>
      </c>
      <c r="AR72" s="330"/>
      <c r="AS72" s="889">
        <f>AS29/AS64</f>
        <v>0.14798054950310899</v>
      </c>
      <c r="AT72" s="330"/>
      <c r="AU72" s="889">
        <f>AU29/AU64</f>
        <v>0.1310814645387631</v>
      </c>
      <c r="AV72" s="330"/>
      <c r="AW72" s="889">
        <f>AW29/AW64</f>
        <v>7.3258409686728851E-2</v>
      </c>
      <c r="AX72" s="330"/>
      <c r="AY72" s="889">
        <f>AY29/AY64</f>
        <v>6.6475130035632421E-2</v>
      </c>
      <c r="AZ72" s="330"/>
      <c r="BA72" s="889">
        <f>BA29/BA64</f>
        <v>7.3117668100562375E-2</v>
      </c>
      <c r="BB72" s="456"/>
      <c r="BC72" s="889">
        <f>BC29/BC64</f>
        <v>5.4809148880659513E-2</v>
      </c>
      <c r="BD72" s="456"/>
      <c r="BE72" s="889">
        <f>BE29/BE64</f>
        <v>4.7011274196979411E-2</v>
      </c>
      <c r="BF72" s="456"/>
      <c r="BG72" s="456">
        <v>0.15</v>
      </c>
      <c r="BH72" s="330"/>
      <c r="BI72" s="456">
        <v>0.15</v>
      </c>
      <c r="BJ72" s="330"/>
      <c r="BK72" s="456">
        <v>0.15</v>
      </c>
      <c r="BL72" s="330"/>
      <c r="BM72" s="456">
        <v>0.15</v>
      </c>
      <c r="BN72" s="330"/>
      <c r="BO72" s="456">
        <v>0.15</v>
      </c>
      <c r="BP72" s="2324"/>
      <c r="BQ72" s="2324">
        <v>0.15</v>
      </c>
      <c r="BR72" s="330"/>
    </row>
    <row r="73" spans="1:70">
      <c r="A73" s="330"/>
      <c r="B73" s="330" t="s">
        <v>698</v>
      </c>
      <c r="C73" s="330"/>
      <c r="D73" s="330"/>
      <c r="E73" s="330"/>
      <c r="F73" s="330"/>
      <c r="G73" s="330"/>
      <c r="H73" s="330"/>
      <c r="I73" s="330"/>
      <c r="J73" s="330"/>
      <c r="K73" s="330"/>
      <c r="L73" s="330"/>
      <c r="M73" s="330"/>
      <c r="N73" s="330"/>
      <c r="O73" s="330"/>
      <c r="P73" s="330"/>
      <c r="Q73" s="330"/>
      <c r="R73" s="330"/>
      <c r="S73" s="330"/>
      <c r="T73" s="330"/>
      <c r="U73" s="330"/>
      <c r="V73" s="330"/>
      <c r="W73" s="330"/>
      <c r="X73" s="330"/>
      <c r="Y73" s="330"/>
      <c r="Z73" s="330"/>
      <c r="AA73" s="330"/>
      <c r="AB73" s="330"/>
      <c r="AC73" s="330"/>
      <c r="AD73" s="330"/>
      <c r="AE73" s="330"/>
      <c r="AF73" s="330"/>
      <c r="AG73" s="330"/>
      <c r="AH73" s="330"/>
      <c r="AI73" s="371">
        <f>AI64/AVERAGE(AI48,AG48)</f>
        <v>0.14419577398315403</v>
      </c>
      <c r="AJ73" s="330"/>
      <c r="AK73" s="371">
        <f>AK64/AVERAGE(AK48,AI48)</f>
        <v>0.15823882889305455</v>
      </c>
      <c r="AL73" s="330"/>
      <c r="AM73" s="371">
        <f>AM64/AVERAGE(AM48,AK48)</f>
        <v>0.1937455446022589</v>
      </c>
      <c r="AN73" s="330"/>
      <c r="AO73" s="371">
        <f>AO64/AVERAGE(AO48,AM48)</f>
        <v>0.18246655001715839</v>
      </c>
      <c r="AP73" s="330"/>
      <c r="AQ73" s="371">
        <f>AQ64/AVERAGE(AQ48,AO48)</f>
        <v>0.1470476234369647</v>
      </c>
      <c r="AR73" s="330"/>
      <c r="AS73" s="371">
        <f>AS64/AVERAGE(AS48,AQ48)</f>
        <v>0.18535656537249348</v>
      </c>
      <c r="AT73" s="330"/>
      <c r="AU73" s="371">
        <f>AU64/AVERAGE(AU48,AS48)</f>
        <v>0.205543502754961</v>
      </c>
      <c r="AV73" s="330"/>
      <c r="AW73" s="371">
        <f>AW64/AVERAGE(AW48,AU48)</f>
        <v>0.16779769780511872</v>
      </c>
      <c r="AX73" s="330"/>
      <c r="AY73" s="371">
        <f>AY64/AVERAGE(AY48,AW48)</f>
        <v>0.17997989256327923</v>
      </c>
      <c r="AZ73" s="330"/>
      <c r="BA73" s="371">
        <f>BA64/AVERAGE(BA48,AY48)</f>
        <v>0.19522658492339404</v>
      </c>
      <c r="BB73" s="371"/>
      <c r="BC73" s="371">
        <f>BC64/AVERAGE(BC48,BA48)</f>
        <v>0.17108248181584984</v>
      </c>
      <c r="BD73" s="371"/>
      <c r="BE73" s="371">
        <f>BE64/AVERAGE(BE48,BC48)</f>
        <v>0.15780728108897416</v>
      </c>
      <c r="BF73" s="371"/>
      <c r="BG73" s="371">
        <f>BG64/AVERAGE(BG48,BE48)</f>
        <v>0.16448395628206355</v>
      </c>
      <c r="BH73" s="330"/>
      <c r="BI73" s="371">
        <f>BI64/AVERAGE(BI48,BG48)</f>
        <v>0.1619968051142737</v>
      </c>
      <c r="BJ73" s="330"/>
      <c r="BK73" s="371">
        <f>BK64/AVERAGE(BK48,BI48)</f>
        <v>0.16923270052497308</v>
      </c>
      <c r="BL73" s="330"/>
      <c r="BM73" s="371">
        <f>BM64/AVERAGE(BM48,BK48)</f>
        <v>0.1710937925754879</v>
      </c>
      <c r="BN73" s="330"/>
      <c r="BO73" s="371">
        <f>BO64/AVERAGE(BO48,BM48)</f>
        <v>0.16985791028048691</v>
      </c>
      <c r="BP73" s="1658"/>
      <c r="BQ73" s="1658">
        <f>BQ64/AVERAGE(BQ48,BO48)</f>
        <v>0.1690582152325559</v>
      </c>
      <c r="BR73" s="330"/>
    </row>
    <row r="74" spans="1:70">
      <c r="A74" s="330"/>
      <c r="B74" s="330" t="s">
        <v>699</v>
      </c>
      <c r="C74" s="330"/>
      <c r="D74" s="330"/>
      <c r="E74" s="330"/>
      <c r="F74" s="330"/>
      <c r="G74" s="330"/>
      <c r="H74" s="330"/>
      <c r="I74" s="330"/>
      <c r="J74" s="330"/>
      <c r="K74" s="330"/>
      <c r="L74" s="330"/>
      <c r="M74" s="330"/>
      <c r="N74" s="330"/>
      <c r="O74" s="330"/>
      <c r="P74" s="330"/>
      <c r="Q74" s="330"/>
      <c r="R74" s="330"/>
      <c r="S74" s="330"/>
      <c r="T74" s="330"/>
      <c r="U74" s="330"/>
      <c r="V74" s="330"/>
      <c r="W74" s="330"/>
      <c r="X74" s="330"/>
      <c r="Y74" s="330"/>
      <c r="Z74" s="330"/>
      <c r="AA74" s="330"/>
      <c r="AB74" s="330"/>
      <c r="AC74" s="330"/>
      <c r="AD74" s="330"/>
      <c r="AE74" s="330"/>
      <c r="AF74" s="330"/>
      <c r="AG74" s="330"/>
      <c r="AH74" s="330"/>
      <c r="AI74" s="371">
        <f>AI64/AVERAGE(AI21,AG21)</f>
        <v>9.3564855724098533E-2</v>
      </c>
      <c r="AJ74" s="330"/>
      <c r="AK74" s="371">
        <f>AK64/AVERAGE(AK21,AI21)</f>
        <v>0.10232052389724496</v>
      </c>
      <c r="AL74" s="330"/>
      <c r="AM74" s="371">
        <f>AM64/AVERAGE(AM21,AK21)</f>
        <v>0.11668349179514136</v>
      </c>
      <c r="AN74" s="330"/>
      <c r="AO74" s="371">
        <f>AO64/AVERAGE(AO21,AM21)</f>
        <v>9.8793984192193277E-2</v>
      </c>
      <c r="AP74" s="330"/>
      <c r="AQ74" s="371">
        <f>AQ64/AVERAGE(AQ21,AO21)</f>
        <v>7.7457085750206892E-2</v>
      </c>
      <c r="AR74" s="330"/>
      <c r="AS74" s="371">
        <f>AS64/AVERAGE(AS21,AQ21)</f>
        <v>0.10419116534554324</v>
      </c>
      <c r="AT74" s="330"/>
      <c r="AU74" s="371">
        <f>AU64/AVERAGE(AU21,AS21)</f>
        <v>0.11784774545734139</v>
      </c>
      <c r="AV74" s="330"/>
      <c r="AW74" s="371">
        <f>AW64/AVERAGE(AW21,AU21)</f>
        <v>9.4690439259317666E-2</v>
      </c>
      <c r="AX74" s="330"/>
      <c r="AY74" s="371">
        <f>AY64/AVERAGE(AY21,AW21)</f>
        <v>0.1025283376110136</v>
      </c>
      <c r="AZ74" s="330"/>
      <c r="BA74" s="371">
        <f>BA64/AVERAGE(BA21,AY21)</f>
        <v>0.10976291644962802</v>
      </c>
      <c r="BB74" s="371"/>
      <c r="BC74" s="371">
        <f>BC64/AVERAGE(BC21,BA21)</f>
        <v>9.5912409169740462E-2</v>
      </c>
      <c r="BD74" s="371"/>
      <c r="BE74" s="371">
        <f>BE64/AVERAGE(BE21,BC21)</f>
        <v>9.1930421518875871E-2</v>
      </c>
      <c r="BF74" s="371"/>
      <c r="BG74" s="371">
        <f>BG64/AVERAGE(BG21,BE21)</f>
        <v>9.7712409021645533E-2</v>
      </c>
      <c r="BH74" s="330"/>
      <c r="BI74" s="371">
        <f>BI64/AVERAGE(BI21,BG21)</f>
        <v>9.8593219907640223E-2</v>
      </c>
      <c r="BJ74" s="330"/>
      <c r="BK74" s="371">
        <f>BK64/AVERAGE(BK21,BI21)</f>
        <v>0.10624545430801474</v>
      </c>
      <c r="BL74" s="330"/>
      <c r="BM74" s="371">
        <f>BM64/AVERAGE(BM21,BK21)</f>
        <v>0.10921687227275224</v>
      </c>
      <c r="BN74" s="330"/>
      <c r="BO74" s="371">
        <f>BO64/AVERAGE(BO21,BM21)</f>
        <v>0.11042090611974481</v>
      </c>
      <c r="BP74" s="1658"/>
      <c r="BQ74" s="1658">
        <f>BQ64/AVERAGE(BQ21,BO21)</f>
        <v>0.11200418080839043</v>
      </c>
      <c r="BR74" s="330"/>
    </row>
    <row r="75" spans="1:70">
      <c r="A75" s="330"/>
      <c r="B75" s="330" t="s">
        <v>439</v>
      </c>
      <c r="C75" s="330"/>
      <c r="D75" s="330"/>
      <c r="E75" s="330"/>
      <c r="F75" s="330"/>
      <c r="G75" s="330"/>
      <c r="H75" s="330"/>
      <c r="I75" s="330"/>
      <c r="J75" s="330"/>
      <c r="K75" s="330"/>
      <c r="L75" s="330"/>
      <c r="M75" s="330"/>
      <c r="N75" s="330"/>
      <c r="O75" s="330"/>
      <c r="P75" s="330"/>
      <c r="Q75" s="330"/>
      <c r="R75" s="330"/>
      <c r="S75" s="330"/>
      <c r="T75" s="330"/>
      <c r="U75" s="330"/>
      <c r="V75" s="330"/>
      <c r="W75" s="330"/>
      <c r="X75" s="330"/>
      <c r="Y75" s="330"/>
      <c r="Z75" s="330"/>
      <c r="AA75" s="330"/>
      <c r="AB75" s="330"/>
      <c r="AC75" s="330"/>
      <c r="AD75" s="330"/>
      <c r="AE75" s="330"/>
      <c r="AF75" s="330"/>
      <c r="AG75" s="371">
        <f>(AG27+AG28+AG33)/AG48</f>
        <v>0.25897799148816103</v>
      </c>
      <c r="AH75" s="330"/>
      <c r="AI75" s="371">
        <f>(AI27+AI28+AI33)/AI48</f>
        <v>0.25761792067673339</v>
      </c>
      <c r="AJ75" s="330"/>
      <c r="AK75" s="371">
        <f>(AK27+AK28+AK33)/AK48</f>
        <v>0.28725327512126742</v>
      </c>
      <c r="AL75" s="330"/>
      <c r="AM75" s="371">
        <f>(AM27+AM28+AM33)/AM48</f>
        <v>0.26404815528096892</v>
      </c>
      <c r="AN75" s="330"/>
      <c r="AO75" s="371">
        <f>(AO27+AO28+AO33)/AO48</f>
        <v>0.44624587076948641</v>
      </c>
      <c r="AP75" s="330"/>
      <c r="AQ75" s="371">
        <f>(AQ27+AQ28+AQ33)/AQ48</f>
        <v>0.40040005543640506</v>
      </c>
      <c r="AR75" s="330"/>
      <c r="AS75" s="371">
        <f>(AS27+AS28+AS33)/AS48</f>
        <v>0.31607251518387125</v>
      </c>
      <c r="AT75" s="330"/>
      <c r="AU75" s="371">
        <f>(AU27+AU28+AU33)/AU48</f>
        <v>0.30318254676115036</v>
      </c>
      <c r="AV75" s="330"/>
      <c r="AW75" s="371">
        <f>(AW27+AW28+AW33)/AW48</f>
        <v>0.36735165920044976</v>
      </c>
      <c r="AX75" s="330"/>
      <c r="AY75" s="371">
        <f>(AY27+AY28+AY33)/AY48</f>
        <v>0.36705586897871523</v>
      </c>
      <c r="AZ75" s="330"/>
      <c r="BA75" s="371">
        <f>(BA27+BA28+BA33)/BA48</f>
        <v>0.3916790117133826</v>
      </c>
      <c r="BB75" s="371"/>
      <c r="BC75" s="371">
        <f>(BC27+BC28+BC33)/BC48</f>
        <v>0.37682198327359623</v>
      </c>
      <c r="BD75" s="371"/>
      <c r="BE75" s="371">
        <f>(BE27+BE28+BE33)/BE48</f>
        <v>0.36557257957997613</v>
      </c>
      <c r="BF75" s="371"/>
      <c r="BG75" s="371">
        <f>(BG27+BG28+BG33)/BG48</f>
        <v>0.30894033618619543</v>
      </c>
      <c r="BH75" s="330"/>
      <c r="BI75" s="371">
        <f>(BI27+BI28+BI33)/BI48</f>
        <v>0.28663912426893745</v>
      </c>
      <c r="BJ75" s="330"/>
      <c r="BK75" s="371">
        <f>(BK27+BK28+BK33)/BK48</f>
        <v>0.27074014060849771</v>
      </c>
      <c r="BL75" s="330"/>
      <c r="BM75" s="371">
        <f>(BM27+BM28+BM33)/BM48</f>
        <v>0.25432669453653506</v>
      </c>
      <c r="BN75" s="330"/>
      <c r="BO75" s="371">
        <f>(BO27+BO28+BO33)/BO48</f>
        <v>0.23827787329426681</v>
      </c>
      <c r="BP75" s="1658"/>
      <c r="BQ75" s="1658">
        <f>(BQ27+BQ28+BQ33)/BQ48</f>
        <v>0.22252863718033211</v>
      </c>
      <c r="BR75" s="330"/>
    </row>
    <row r="76" spans="1:70">
      <c r="A76" s="457"/>
      <c r="B76" s="457" t="s">
        <v>30</v>
      </c>
      <c r="C76" s="457"/>
      <c r="D76" s="457"/>
      <c r="E76" s="457"/>
      <c r="F76" s="457"/>
      <c r="G76" s="457"/>
      <c r="H76" s="457"/>
      <c r="I76" s="457"/>
      <c r="J76" s="457"/>
      <c r="K76" s="457"/>
      <c r="L76" s="457"/>
      <c r="M76" s="457" t="str">
        <f>IF(M50=M21," ","Unbalanced")</f>
        <v xml:space="preserve"> </v>
      </c>
      <c r="N76" s="457"/>
      <c r="O76" s="457" t="str">
        <f>IF(O50=O21," ",O50-O21)</f>
        <v xml:space="preserve"> </v>
      </c>
      <c r="P76" s="457"/>
      <c r="Q76" s="457" t="str">
        <f>IF(Q50=Q21," ",Q50-Q21)</f>
        <v xml:space="preserve"> </v>
      </c>
      <c r="R76" s="457"/>
      <c r="S76" s="457" t="str">
        <f>IF(S50=S21," ",S50-S21)</f>
        <v xml:space="preserve"> </v>
      </c>
      <c r="T76" s="457"/>
      <c r="U76" s="457" t="str">
        <f>IF(U50=U21," ",U50-U21)</f>
        <v xml:space="preserve"> </v>
      </c>
      <c r="V76" s="457"/>
      <c r="W76" s="457" t="str">
        <f>IF(W50=W21," ",W50-W21)</f>
        <v xml:space="preserve"> </v>
      </c>
      <c r="X76" s="457"/>
      <c r="Y76" s="457" t="str">
        <f>IF(Y50=Y21," ",Y50-Y21)</f>
        <v xml:space="preserve"> </v>
      </c>
      <c r="Z76" s="457"/>
      <c r="AA76" s="457" t="str">
        <f>IF(AA50=AA21," ",AA50-AA21)</f>
        <v xml:space="preserve"> </v>
      </c>
      <c r="AB76" s="457"/>
      <c r="AC76" s="457" t="str">
        <f>IF(AC50=AC21," ",AC50-AC21)</f>
        <v xml:space="preserve"> </v>
      </c>
      <c r="AD76" s="457"/>
      <c r="AE76" s="457" t="str">
        <f>IF(AE50=AE21," ",AE50-AE21)</f>
        <v xml:space="preserve"> </v>
      </c>
      <c r="AF76" s="457"/>
      <c r="AG76" s="457" t="str">
        <f>IF(AG50=AG21," ",AG50-AG21)</f>
        <v xml:space="preserve"> </v>
      </c>
      <c r="AH76" s="457"/>
      <c r="AI76" s="457" t="str">
        <f>IF(AI50=AI21," ",AI50-AI21)</f>
        <v xml:space="preserve"> </v>
      </c>
      <c r="AJ76" s="457"/>
      <c r="AK76" s="457" t="str">
        <f>IF(AK50=AK21," ",AK50-AK21)</f>
        <v xml:space="preserve"> </v>
      </c>
      <c r="AL76" s="457"/>
      <c r="AM76" s="457" t="str">
        <f>IF(AM50=AM21," ",AM50-AM21)</f>
        <v xml:space="preserve"> </v>
      </c>
      <c r="AN76" s="457"/>
      <c r="AO76" s="457" t="str">
        <f>IF(AO50=AO21," ",AO50-AO21)</f>
        <v xml:space="preserve"> </v>
      </c>
      <c r="AP76" s="457"/>
      <c r="AQ76" s="457" t="str">
        <f>IF(AQ50=AQ21," ",AQ50-AQ21)</f>
        <v xml:space="preserve"> </v>
      </c>
      <c r="AR76" s="457"/>
      <c r="AS76" s="457" t="str">
        <f>IF(AS50=AS21," ",AS50-AS21)</f>
        <v xml:space="preserve"> </v>
      </c>
      <c r="AT76" s="457"/>
      <c r="AU76" s="457" t="str">
        <f>IF(AU50=AU21," ",AU50-AU21)</f>
        <v xml:space="preserve"> </v>
      </c>
      <c r="AV76" s="457"/>
      <c r="AW76" s="457" t="str">
        <f>IF(AW50=AW21," ",AW50-AW21)</f>
        <v xml:space="preserve"> </v>
      </c>
      <c r="AX76" s="457"/>
      <c r="AY76" s="457" t="str">
        <f>IF(AY50=AY21," ",AY50-AY21)</f>
        <v xml:space="preserve"> </v>
      </c>
      <c r="AZ76" s="457"/>
      <c r="BA76" s="457" t="str">
        <f>IF(BA50=BA21," ",BA50-BA21)</f>
        <v xml:space="preserve"> </v>
      </c>
      <c r="BB76" s="457"/>
      <c r="BC76" s="457"/>
      <c r="BD76" s="457"/>
      <c r="BE76" s="457"/>
      <c r="BF76" s="457"/>
      <c r="BG76" s="457"/>
      <c r="BH76" s="457"/>
      <c r="BI76" s="457"/>
      <c r="BJ76" s="457"/>
      <c r="BK76" s="457"/>
      <c r="BL76" s="457"/>
      <c r="BM76" s="457"/>
      <c r="BN76" s="457"/>
      <c r="BO76" s="457"/>
      <c r="BP76" s="989"/>
      <c r="BQ76" s="989"/>
      <c r="BR76" s="457"/>
    </row>
    <row r="77" spans="1:70">
      <c r="A77" s="330"/>
      <c r="B77" s="330"/>
      <c r="C77" s="330"/>
      <c r="D77" s="330"/>
      <c r="E77" s="330"/>
      <c r="F77" s="330"/>
      <c r="G77" s="330"/>
      <c r="H77" s="330"/>
      <c r="I77" s="330"/>
      <c r="J77" s="330"/>
      <c r="K77" s="330"/>
      <c r="L77" s="330"/>
      <c r="M77" s="330"/>
      <c r="N77" s="330"/>
      <c r="O77" s="330"/>
      <c r="P77" s="330"/>
      <c r="Q77" s="330"/>
      <c r="R77" s="330"/>
      <c r="S77" s="330"/>
      <c r="T77" s="330"/>
      <c r="U77" s="330"/>
      <c r="V77" s="330"/>
      <c r="W77" s="330"/>
      <c r="X77" s="330"/>
      <c r="Y77" s="330"/>
      <c r="Z77" s="330"/>
      <c r="AA77" s="330"/>
      <c r="AB77" s="330"/>
      <c r="AC77" s="330"/>
      <c r="AD77" s="330"/>
      <c r="AE77" s="330"/>
      <c r="AF77" s="330"/>
      <c r="AG77" s="330"/>
      <c r="AH77" s="330"/>
      <c r="AI77" s="330"/>
      <c r="AJ77" s="330"/>
      <c r="AK77" s="330"/>
      <c r="AL77" s="330"/>
      <c r="AM77" s="330"/>
      <c r="AN77" s="330"/>
      <c r="AO77" s="330"/>
      <c r="AP77" s="330"/>
      <c r="AQ77" s="330"/>
      <c r="AR77" s="330"/>
      <c r="AS77" s="330"/>
      <c r="AT77" s="330"/>
      <c r="AU77" s="330"/>
      <c r="AV77" s="330"/>
      <c r="AW77" s="330"/>
      <c r="AX77" s="330"/>
      <c r="AY77" s="330"/>
      <c r="AZ77" s="330"/>
      <c r="BA77" s="330"/>
      <c r="BB77" s="330"/>
      <c r="BC77" s="330"/>
      <c r="BD77" s="330"/>
      <c r="BE77" s="330"/>
      <c r="BF77" s="330"/>
      <c r="BG77" s="330"/>
      <c r="BH77" s="330"/>
      <c r="BI77" s="330"/>
      <c r="BJ77" s="330"/>
      <c r="BK77" s="330"/>
      <c r="BL77" s="330"/>
      <c r="BM77" s="330"/>
      <c r="BN77" s="330"/>
      <c r="BO77" s="330"/>
      <c r="BP77" s="405"/>
      <c r="BQ77" s="405"/>
      <c r="BR77" s="330"/>
    </row>
    <row r="78" spans="1:70">
      <c r="A78" s="330"/>
      <c r="B78" s="330"/>
      <c r="C78" s="330"/>
      <c r="D78" s="330"/>
      <c r="E78" s="330"/>
      <c r="F78" s="330"/>
      <c r="G78" s="330"/>
      <c r="H78" s="330"/>
      <c r="I78" s="330"/>
      <c r="J78" s="330"/>
      <c r="K78" s="330"/>
      <c r="L78" s="330"/>
      <c r="M78" s="330"/>
      <c r="N78" s="330"/>
      <c r="O78" s="330"/>
      <c r="P78" s="330"/>
      <c r="Q78" s="330"/>
      <c r="R78" s="330"/>
      <c r="S78" s="330"/>
      <c r="T78" s="330"/>
      <c r="U78" s="330"/>
      <c r="V78" s="330"/>
      <c r="W78" s="330"/>
      <c r="X78" s="330"/>
      <c r="Y78" s="330"/>
      <c r="Z78" s="330"/>
      <c r="AA78" s="330"/>
      <c r="AB78" s="330"/>
      <c r="AC78" s="330"/>
      <c r="AD78" s="330"/>
      <c r="AE78" s="330"/>
      <c r="AF78" s="330"/>
      <c r="AG78" s="330"/>
      <c r="AH78" s="330"/>
      <c r="AI78" s="330"/>
      <c r="AJ78" s="330"/>
      <c r="AK78" s="330"/>
      <c r="AL78" s="330"/>
      <c r="AM78" s="330"/>
      <c r="AN78" s="330"/>
      <c r="AO78" s="330"/>
      <c r="AP78" s="330"/>
      <c r="AQ78" s="330"/>
      <c r="AR78" s="330"/>
      <c r="AS78" s="330"/>
      <c r="AT78" s="330"/>
      <c r="AU78" s="330"/>
      <c r="AV78" s="330"/>
      <c r="AW78" s="330"/>
      <c r="AX78" s="330"/>
      <c r="AY78" s="330"/>
      <c r="AZ78" s="330"/>
      <c r="BA78" s="330"/>
      <c r="BB78" s="330"/>
      <c r="BC78" s="330"/>
      <c r="BD78" s="330"/>
      <c r="BE78" s="330"/>
      <c r="BF78" s="330"/>
      <c r="BG78" s="330"/>
      <c r="BH78" s="330"/>
      <c r="BI78" s="330"/>
      <c r="BJ78" s="330"/>
      <c r="BK78" s="330"/>
      <c r="BL78" s="330"/>
      <c r="BM78" s="330"/>
      <c r="BN78" s="330"/>
      <c r="BO78" s="330"/>
      <c r="BP78" s="405"/>
      <c r="BQ78" s="405"/>
      <c r="BR78" s="330"/>
    </row>
    <row r="79" spans="1:70">
      <c r="A79" s="330"/>
      <c r="B79" s="330" t="s">
        <v>1535</v>
      </c>
      <c r="C79" s="330"/>
      <c r="D79" s="330"/>
      <c r="E79" s="330"/>
      <c r="F79" s="330"/>
      <c r="G79" s="330"/>
      <c r="H79" s="330"/>
      <c r="I79" s="330"/>
      <c r="J79" s="330"/>
      <c r="K79" s="330"/>
      <c r="L79" s="330"/>
      <c r="M79" s="330"/>
      <c r="N79" s="330"/>
      <c r="O79" s="330"/>
      <c r="P79" s="330"/>
      <c r="Q79" s="330"/>
      <c r="R79" s="330"/>
      <c r="S79" s="330"/>
      <c r="T79" s="330"/>
      <c r="U79" s="575"/>
      <c r="V79" s="330"/>
      <c r="W79" s="575">
        <f>W9/'yrP&amp;L'!K52</f>
        <v>1.4494674809241916</v>
      </c>
      <c r="X79" s="330"/>
      <c r="Y79" s="575">
        <f>Y9/'yrP&amp;L'!L52</f>
        <v>1.2884873794593463</v>
      </c>
      <c r="Z79" s="330"/>
      <c r="AA79" s="575">
        <f>AA9/'yrP&amp;L'!M52</f>
        <v>1.1538563750274065</v>
      </c>
      <c r="AB79" s="330"/>
      <c r="AC79" s="575">
        <f>AC9/'yrP&amp;L'!N52</f>
        <v>1.0511874878020886</v>
      </c>
      <c r="AD79" s="330"/>
      <c r="AE79" s="575">
        <f>AE9/'yrP&amp;L'!O52</f>
        <v>1.6748275769168606</v>
      </c>
      <c r="AF79" s="330"/>
      <c r="AG79" s="575">
        <f>AG9/'yrP&amp;L'!P52</f>
        <v>1.2673185093150934</v>
      </c>
      <c r="AH79" s="330"/>
      <c r="AI79" s="575">
        <f>AI9/'yrP&amp;L'!Q52</f>
        <v>2.703767052714011</v>
      </c>
      <c r="AJ79" s="575"/>
      <c r="AK79" s="575">
        <f>AK9/'yrP&amp;L'!R52</f>
        <v>1.2425927109293475</v>
      </c>
      <c r="AL79" s="575"/>
      <c r="AM79" s="575">
        <f>AM9/'yrP&amp;L'!S52</f>
        <v>1.7855364123353155</v>
      </c>
      <c r="AN79" s="575"/>
      <c r="AO79" s="575">
        <f>AO9/'yrP&amp;L'!T52</f>
        <v>1.2692429396408551</v>
      </c>
      <c r="AP79" s="575"/>
      <c r="AQ79" s="575">
        <f>AQ9/'yrP&amp;L'!U52</f>
        <v>6.2664157022881941</v>
      </c>
      <c r="AR79" s="575"/>
      <c r="AS79" s="575">
        <f>AS9/'yrP&amp;L'!V52</f>
        <v>5.3080930797626324</v>
      </c>
      <c r="AT79" s="575"/>
      <c r="AU79" s="575">
        <f>AU9/'yrP&amp;L'!W52</f>
        <v>3.3618279746906579</v>
      </c>
      <c r="AV79" s="575"/>
      <c r="AW79" s="575">
        <f>AW9/'yrP&amp;L'!X52</f>
        <v>3.9461509750316095</v>
      </c>
      <c r="AX79" s="575"/>
      <c r="AY79" s="575">
        <f>AY9/'yrP&amp;L'!Y52</f>
        <v>2.6832108235412804</v>
      </c>
      <c r="AZ79" s="575"/>
      <c r="BA79" s="575">
        <f>BA9/'yrP&amp;L'!Z52</f>
        <v>5.6193764434180062</v>
      </c>
      <c r="BB79" s="575"/>
      <c r="BC79" s="575">
        <f>BC9/'yrP&amp;L'!AA52</f>
        <v>6.5344694035631328</v>
      </c>
      <c r="BD79" s="575"/>
      <c r="BE79" s="575">
        <f>BE9/'yrP&amp;L'!AB52</f>
        <v>7.3944223107569709</v>
      </c>
      <c r="BF79" s="575"/>
      <c r="BG79" s="575">
        <f>BG9/'yrP&amp;L'!AC52</f>
        <v>7.7593924860111896</v>
      </c>
      <c r="BH79" s="330"/>
      <c r="BI79" s="575">
        <f>BI9/'yrP&amp;L'!AD52</f>
        <v>7.6616536147990688</v>
      </c>
      <c r="BJ79" s="330"/>
      <c r="BK79" s="575">
        <f>BK9/'yrP&amp;L'!AE52</f>
        <v>8.5004066679224461</v>
      </c>
      <c r="BL79" s="330"/>
      <c r="BM79" s="575">
        <f>BM9/'yrP&amp;L'!AF52</f>
        <v>10.755611102231253</v>
      </c>
      <c r="BN79" s="330"/>
      <c r="BO79" s="575">
        <f>BO9/'yrP&amp;L'!AG52</f>
        <v>12.259163775960307</v>
      </c>
      <c r="BP79" s="2326"/>
      <c r="BQ79" s="2327">
        <f>BQ9/'yrP&amp;L'!AH52</f>
        <v>14.409856653047321</v>
      </c>
      <c r="BR79" s="330"/>
    </row>
    <row r="80" spans="1:70">
      <c r="A80" s="330"/>
      <c r="B80" s="330"/>
      <c r="C80" s="330"/>
      <c r="D80" s="330"/>
      <c r="E80" s="330"/>
      <c r="F80" s="330"/>
      <c r="G80" s="330"/>
      <c r="H80" s="330"/>
      <c r="I80" s="330"/>
      <c r="J80" s="330"/>
      <c r="K80" s="330"/>
      <c r="L80" s="330"/>
      <c r="M80" s="330"/>
      <c r="N80" s="330"/>
      <c r="O80" s="330"/>
      <c r="P80" s="330"/>
      <c r="Q80" s="330"/>
      <c r="R80" s="330"/>
      <c r="S80" s="330"/>
      <c r="T80" s="330"/>
      <c r="U80" s="330"/>
      <c r="V80" s="330"/>
      <c r="W80" s="330"/>
      <c r="X80" s="330"/>
      <c r="Y80" s="330"/>
      <c r="Z80" s="330"/>
      <c r="AA80" s="330"/>
      <c r="AB80" s="330"/>
      <c r="AC80" s="330"/>
      <c r="AD80" s="330"/>
      <c r="AE80" s="330"/>
      <c r="AF80" s="330"/>
      <c r="AG80" s="330"/>
      <c r="AH80" s="330"/>
      <c r="AI80" s="330"/>
      <c r="AJ80" s="330"/>
      <c r="AK80" s="330"/>
      <c r="AL80" s="330"/>
      <c r="AM80" s="330"/>
      <c r="AN80" s="330"/>
      <c r="AO80" s="330"/>
      <c r="AP80" s="330"/>
      <c r="AQ80" s="330"/>
      <c r="AR80" s="330"/>
      <c r="AS80" s="330"/>
      <c r="AT80" s="330"/>
      <c r="AU80" s="330"/>
      <c r="AV80" s="330"/>
      <c r="AW80" s="330"/>
      <c r="AX80" s="330"/>
      <c r="AY80" s="330"/>
      <c r="AZ80" s="330"/>
      <c r="BA80" s="330"/>
      <c r="BB80" s="330"/>
      <c r="BC80" s="330"/>
      <c r="BD80" s="330"/>
      <c r="BE80" s="330"/>
      <c r="BF80" s="330"/>
      <c r="BG80" s="330"/>
      <c r="BH80" s="330"/>
      <c r="BI80" s="330"/>
      <c r="BJ80" s="330"/>
      <c r="BK80" s="330"/>
      <c r="BL80" s="330"/>
      <c r="BM80" s="330"/>
      <c r="BN80" s="330"/>
      <c r="BO80" s="330"/>
      <c r="BP80" s="405"/>
      <c r="BQ80" s="405"/>
      <c r="BR80" s="330"/>
    </row>
    <row r="81" spans="1:70">
      <c r="A81" s="330"/>
      <c r="B81" s="330"/>
      <c r="C81" s="330"/>
      <c r="D81" s="330"/>
      <c r="E81" s="330"/>
      <c r="F81" s="330"/>
      <c r="G81" s="330"/>
      <c r="H81" s="330"/>
      <c r="I81" s="330"/>
      <c r="J81" s="330"/>
      <c r="K81" s="330"/>
      <c r="L81" s="330"/>
      <c r="M81" s="330"/>
      <c r="N81" s="330"/>
      <c r="O81" s="330"/>
      <c r="P81" s="330"/>
      <c r="Q81" s="330"/>
      <c r="R81" s="330"/>
      <c r="S81" s="330"/>
      <c r="T81" s="330"/>
      <c r="U81" s="330"/>
      <c r="V81" s="330"/>
      <c r="W81" s="330"/>
      <c r="X81" s="330"/>
      <c r="Y81" s="330"/>
      <c r="Z81" s="330"/>
      <c r="AA81" s="330"/>
      <c r="AB81" s="330"/>
      <c r="AC81" s="330"/>
      <c r="AD81" s="330"/>
      <c r="AE81" s="330"/>
      <c r="AF81" s="330"/>
      <c r="AG81" s="330"/>
      <c r="AH81" s="330"/>
      <c r="AI81" s="330"/>
      <c r="AJ81" s="330"/>
      <c r="AK81" s="330"/>
      <c r="AL81" s="330"/>
      <c r="AM81" s="330"/>
      <c r="AN81" s="330"/>
      <c r="AO81" s="330"/>
      <c r="AP81" s="330"/>
      <c r="AQ81" s="330"/>
      <c r="AR81" s="330"/>
      <c r="AS81" s="330"/>
      <c r="AT81" s="330"/>
      <c r="AU81" s="330"/>
      <c r="AV81" s="330"/>
      <c r="AW81" s="330"/>
      <c r="AX81" s="330"/>
      <c r="AY81" s="330"/>
      <c r="AZ81" s="330"/>
      <c r="BA81" s="330"/>
      <c r="BB81" s="330"/>
      <c r="BC81" s="330"/>
      <c r="BD81" s="330"/>
      <c r="BE81" s="330"/>
      <c r="BF81" s="330"/>
      <c r="BG81" s="330"/>
      <c r="BH81" s="330"/>
      <c r="BI81" s="330"/>
      <c r="BJ81" s="330"/>
      <c r="BK81" s="330"/>
      <c r="BL81" s="330"/>
      <c r="BM81" s="330"/>
      <c r="BN81" s="330"/>
      <c r="BO81" s="330"/>
      <c r="BP81" s="405"/>
      <c r="BQ81" s="405"/>
      <c r="BR81" s="330"/>
    </row>
    <row r="82" spans="1:70">
      <c r="A82" s="330"/>
      <c r="B82" s="330"/>
      <c r="C82" s="330" t="s">
        <v>2420</v>
      </c>
      <c r="D82" s="330"/>
      <c r="E82" s="330"/>
      <c r="F82" s="330"/>
      <c r="G82" s="330"/>
      <c r="H82" s="330"/>
      <c r="I82" s="330"/>
      <c r="J82" s="330"/>
      <c r="K82" s="330"/>
      <c r="L82" s="330"/>
      <c r="M82" s="330"/>
      <c r="N82" s="330"/>
      <c r="O82" s="330"/>
      <c r="P82" s="330"/>
      <c r="Q82" s="330"/>
      <c r="R82" s="330"/>
      <c r="S82" s="330"/>
      <c r="T82" s="330"/>
      <c r="U82" s="330"/>
      <c r="V82" s="330"/>
      <c r="W82" s="330"/>
      <c r="X82" s="330"/>
      <c r="Y82" s="330"/>
      <c r="Z82" s="330"/>
      <c r="AA82" s="330"/>
      <c r="AB82" s="330"/>
      <c r="AC82" s="342"/>
      <c r="AD82" s="342"/>
      <c r="AE82" s="342"/>
      <c r="AF82" s="342"/>
      <c r="AG82" s="342">
        <v>196.92599999999999</v>
      </c>
      <c r="AH82" s="342"/>
      <c r="AI82" s="342">
        <v>249.01499999999999</v>
      </c>
      <c r="AJ82" s="342"/>
      <c r="AK82" s="342">
        <v>265.48200000000003</v>
      </c>
      <c r="AL82" s="342"/>
      <c r="AM82" s="342">
        <v>273.56400000000002</v>
      </c>
      <c r="AN82" s="342"/>
      <c r="AO82" s="342">
        <v>327.83100000000002</v>
      </c>
      <c r="AP82" s="342"/>
      <c r="AQ82" s="342">
        <f>AO82+10</f>
        <v>337.83100000000002</v>
      </c>
      <c r="AR82" s="342"/>
      <c r="AS82" s="342">
        <f>AQ82+10</f>
        <v>347.83100000000002</v>
      </c>
      <c r="AT82" s="342"/>
      <c r="AU82" s="342">
        <f>AS82+10</f>
        <v>357.83100000000002</v>
      </c>
      <c r="AV82" s="342"/>
      <c r="AW82" s="342">
        <f>AU82+10</f>
        <v>367.83100000000002</v>
      </c>
      <c r="AX82" s="342"/>
      <c r="AY82" s="342">
        <f>AW82+10</f>
        <v>377.83100000000002</v>
      </c>
      <c r="AZ82" s="342"/>
      <c r="BA82" s="342">
        <f>AY82+10</f>
        <v>387.83100000000002</v>
      </c>
      <c r="BB82" s="342"/>
      <c r="BC82" s="342">
        <f>BA82+10</f>
        <v>397.83100000000002</v>
      </c>
      <c r="BD82" s="342"/>
      <c r="BE82" s="342">
        <f>BC82+10</f>
        <v>407.83100000000002</v>
      </c>
      <c r="BF82" s="342"/>
      <c r="BG82" s="342">
        <f>BE82+10</f>
        <v>417.83100000000002</v>
      </c>
      <c r="BH82" s="330"/>
      <c r="BI82" s="342">
        <f>BG82+10</f>
        <v>427.83100000000002</v>
      </c>
      <c r="BJ82" s="330"/>
      <c r="BK82" s="342">
        <f>BI82+10</f>
        <v>437.83100000000002</v>
      </c>
      <c r="BL82" s="330"/>
      <c r="BM82" s="342">
        <f>BK82+10</f>
        <v>447.83100000000002</v>
      </c>
      <c r="BN82" s="330"/>
      <c r="BO82" s="342">
        <f>BM82+10</f>
        <v>457.83100000000002</v>
      </c>
      <c r="BP82" s="1655"/>
      <c r="BQ82" s="1655">
        <f>BO82+10</f>
        <v>467.83100000000002</v>
      </c>
      <c r="BR82" s="330"/>
    </row>
    <row r="83" spans="1:70">
      <c r="A83" s="330"/>
      <c r="B83" s="330"/>
      <c r="C83" s="330" t="s">
        <v>2421</v>
      </c>
      <c r="D83" s="330"/>
      <c r="E83" s="330"/>
      <c r="F83" s="330"/>
      <c r="G83" s="330"/>
      <c r="H83" s="330"/>
      <c r="I83" s="330"/>
      <c r="J83" s="330"/>
      <c r="K83" s="330"/>
      <c r="L83" s="330"/>
      <c r="M83" s="330"/>
      <c r="N83" s="330"/>
      <c r="O83" s="330"/>
      <c r="P83" s="330"/>
      <c r="Q83" s="330"/>
      <c r="R83" s="330"/>
      <c r="S83" s="330"/>
      <c r="T83" s="330"/>
      <c r="U83" s="330"/>
      <c r="V83" s="330"/>
      <c r="W83" s="330"/>
      <c r="X83" s="330"/>
      <c r="Y83" s="330"/>
      <c r="Z83" s="330"/>
      <c r="AA83" s="330"/>
      <c r="AB83" s="330"/>
      <c r="AC83" s="1256"/>
      <c r="AD83" s="342"/>
      <c r="AE83" s="1256"/>
      <c r="AF83" s="342"/>
      <c r="AG83" s="1256">
        <v>143.49700000000001</v>
      </c>
      <c r="AH83" s="342"/>
      <c r="AI83" s="1256">
        <v>173.43600000000001</v>
      </c>
      <c r="AJ83" s="342"/>
      <c r="AK83" s="1256">
        <v>211.02</v>
      </c>
      <c r="AL83" s="342"/>
      <c r="AM83" s="1256">
        <v>238.732</v>
      </c>
      <c r="AN83" s="342"/>
      <c r="AO83" s="1256">
        <v>160.31399999999999</v>
      </c>
      <c r="AP83" s="342"/>
      <c r="AQ83" s="1256">
        <f>AO83*1.35</f>
        <v>216.4239</v>
      </c>
      <c r="AR83" s="342"/>
      <c r="AS83" s="1256">
        <f>AQ83*1.08</f>
        <v>233.73781200000002</v>
      </c>
      <c r="AT83" s="342"/>
      <c r="AU83" s="1256">
        <f>AS83*1.05</f>
        <v>245.42470260000002</v>
      </c>
      <c r="AV83" s="342"/>
      <c r="AW83" s="1256">
        <f>AU83*1.05</f>
        <v>257.69593773000003</v>
      </c>
      <c r="AX83" s="342"/>
      <c r="AY83" s="1256">
        <f>AW83*1.05</f>
        <v>270.58073461650002</v>
      </c>
      <c r="AZ83" s="342"/>
      <c r="BA83" s="1256">
        <f>AY83*1.05</f>
        <v>284.10977134732502</v>
      </c>
      <c r="BB83" s="1670"/>
      <c r="BC83" s="1256">
        <f>BA83*1.05</f>
        <v>298.3152599146913</v>
      </c>
      <c r="BD83" s="1670"/>
      <c r="BE83" s="1256">
        <f>BC83*1.05</f>
        <v>313.23102291042585</v>
      </c>
      <c r="BF83" s="1670"/>
      <c r="BG83" s="1256">
        <f>BE83*1.05</f>
        <v>328.89257405594714</v>
      </c>
      <c r="BH83" s="330"/>
      <c r="BI83" s="1256">
        <f>BG83*1.05</f>
        <v>345.33720275874452</v>
      </c>
      <c r="BJ83" s="330"/>
      <c r="BK83" s="1256">
        <f>BI83*1.05</f>
        <v>362.60406289668174</v>
      </c>
      <c r="BL83" s="330"/>
      <c r="BM83" s="1256">
        <f>BK83*1.05</f>
        <v>380.73426604151587</v>
      </c>
      <c r="BN83" s="330"/>
      <c r="BO83" s="1256">
        <f>BM83*1.05</f>
        <v>399.77097934359165</v>
      </c>
      <c r="BP83" s="2003"/>
      <c r="BQ83" s="2328">
        <f>BO83*1.05</f>
        <v>419.75952831077126</v>
      </c>
      <c r="BR83" s="330"/>
    </row>
    <row r="84" spans="1:70">
      <c r="A84" s="330"/>
      <c r="B84" s="330"/>
      <c r="C84" s="330" t="s">
        <v>2422</v>
      </c>
      <c r="D84" s="330"/>
      <c r="E84" s="330"/>
      <c r="F84" s="330"/>
      <c r="G84" s="330"/>
      <c r="H84" s="330"/>
      <c r="I84" s="330"/>
      <c r="J84" s="330"/>
      <c r="K84" s="330"/>
      <c r="L84" s="330"/>
      <c r="M84" s="330"/>
      <c r="N84" s="330"/>
      <c r="O84" s="330"/>
      <c r="P84" s="330"/>
      <c r="Q84" s="330"/>
      <c r="R84" s="330"/>
      <c r="S84" s="330"/>
      <c r="T84" s="330"/>
      <c r="U84" s="330"/>
      <c r="V84" s="330"/>
      <c r="W84" s="330"/>
      <c r="X84" s="330"/>
      <c r="Y84" s="330"/>
      <c r="Z84" s="330"/>
      <c r="AA84" s="330"/>
      <c r="AB84" s="330"/>
      <c r="AC84" s="342"/>
      <c r="AD84" s="342"/>
      <c r="AE84" s="342"/>
      <c r="AF84" s="342"/>
      <c r="AG84" s="342">
        <f>AG83-AG82</f>
        <v>-53.428999999999974</v>
      </c>
      <c r="AH84" s="342"/>
      <c r="AI84" s="342">
        <f>AI83-AI82</f>
        <v>-75.578999999999979</v>
      </c>
      <c r="AJ84" s="342"/>
      <c r="AK84" s="342">
        <f>AK83-AK82</f>
        <v>-54.462000000000018</v>
      </c>
      <c r="AL84" s="342"/>
      <c r="AM84" s="342">
        <f>AM83-AM82</f>
        <v>-34.832000000000022</v>
      </c>
      <c r="AN84" s="342"/>
      <c r="AO84" s="342">
        <f>AO83-AO82</f>
        <v>-167.51700000000002</v>
      </c>
      <c r="AP84" s="342"/>
      <c r="AQ84" s="342">
        <f>AQ83-AQ82</f>
        <v>-121.40710000000001</v>
      </c>
      <c r="AR84" s="342"/>
      <c r="AS84" s="342">
        <f>AS83-AS82</f>
        <v>-114.093188</v>
      </c>
      <c r="AT84" s="342"/>
      <c r="AU84" s="342">
        <f>AU83-AU82</f>
        <v>-112.4062974</v>
      </c>
      <c r="AV84" s="342"/>
      <c r="AW84" s="342">
        <f>AW83-AW82</f>
        <v>-110.13506226999999</v>
      </c>
      <c r="AX84" s="342"/>
      <c r="AY84" s="342">
        <f>AY83-AY82</f>
        <v>-107.25026538349999</v>
      </c>
      <c r="AZ84" s="342"/>
      <c r="BA84" s="342">
        <f>BA83-BA82</f>
        <v>-103.72122865267499</v>
      </c>
      <c r="BB84" s="342"/>
      <c r="BC84" s="342">
        <f>BC83-BC82</f>
        <v>-99.515740085308721</v>
      </c>
      <c r="BD84" s="342"/>
      <c r="BE84" s="342">
        <f>BE83-BE82</f>
        <v>-94.599977089574168</v>
      </c>
      <c r="BF84" s="342"/>
      <c r="BG84" s="342">
        <f>BG83-BG82</f>
        <v>-88.938425944052881</v>
      </c>
      <c r="BH84" s="330"/>
      <c r="BI84" s="342">
        <f>BI83-BI82</f>
        <v>-82.493797241255493</v>
      </c>
      <c r="BJ84" s="330"/>
      <c r="BK84" s="342">
        <f>BK83-BK82</f>
        <v>-75.226937103318278</v>
      </c>
      <c r="BL84" s="330"/>
      <c r="BM84" s="342">
        <f>BM83-BM82</f>
        <v>-67.096733958484151</v>
      </c>
      <c r="BN84" s="330"/>
      <c r="BO84" s="342">
        <f>BO83-BO82</f>
        <v>-58.060020656408369</v>
      </c>
      <c r="BP84" s="1655"/>
      <c r="BQ84" s="1655">
        <f>BQ83-BQ82</f>
        <v>-48.071471689228758</v>
      </c>
      <c r="BR84" s="330"/>
    </row>
    <row r="85" spans="1:70">
      <c r="A85" s="330"/>
      <c r="B85" s="330"/>
      <c r="C85" s="330"/>
      <c r="D85" s="330"/>
      <c r="E85" s="330"/>
      <c r="F85" s="330"/>
      <c r="G85" s="330"/>
      <c r="H85" s="330"/>
      <c r="I85" s="330"/>
      <c r="J85" s="330"/>
      <c r="K85" s="330"/>
      <c r="L85" s="330"/>
      <c r="M85" s="330"/>
      <c r="N85" s="330"/>
      <c r="O85" s="330"/>
      <c r="P85" s="330"/>
      <c r="Q85" s="330"/>
      <c r="R85" s="330"/>
      <c r="S85" s="330"/>
      <c r="T85" s="330"/>
      <c r="U85" s="330"/>
      <c r="V85" s="330"/>
      <c r="W85" s="330"/>
      <c r="X85" s="330"/>
      <c r="Y85" s="330"/>
      <c r="Z85" s="330"/>
      <c r="AA85" s="330"/>
      <c r="AB85" s="330"/>
      <c r="AC85" s="330"/>
      <c r="AD85" s="330"/>
      <c r="AE85" s="330"/>
      <c r="AF85" s="330"/>
      <c r="AG85" s="330"/>
      <c r="AH85" s="330"/>
      <c r="AI85" s="330"/>
      <c r="AJ85" s="330"/>
      <c r="AK85" s="330"/>
      <c r="AL85" s="330"/>
      <c r="AM85" s="330"/>
      <c r="AN85" s="330"/>
      <c r="AO85" s="330"/>
      <c r="AP85" s="330"/>
      <c r="AQ85" s="330"/>
      <c r="AR85" s="330"/>
      <c r="AS85" s="330"/>
      <c r="AT85" s="330"/>
      <c r="AU85" s="330"/>
      <c r="AV85" s="330"/>
      <c r="AW85" s="330"/>
      <c r="AX85" s="330"/>
      <c r="AY85" s="330"/>
      <c r="AZ85" s="330"/>
      <c r="BA85" s="330"/>
      <c r="BB85" s="330"/>
      <c r="BC85" s="330"/>
      <c r="BD85" s="330"/>
      <c r="BE85" s="330"/>
      <c r="BF85" s="330"/>
      <c r="BG85" s="330"/>
      <c r="BH85" s="330"/>
      <c r="BI85" s="330"/>
      <c r="BJ85" s="330"/>
      <c r="BK85" s="330"/>
      <c r="BL85" s="330"/>
      <c r="BM85" s="330"/>
      <c r="BN85" s="330"/>
      <c r="BO85" s="330"/>
      <c r="BP85" s="405"/>
      <c r="BQ85" s="405"/>
      <c r="BR85" s="330"/>
    </row>
    <row r="86" spans="1:70">
      <c r="A86" s="330"/>
      <c r="B86" s="330"/>
      <c r="C86" s="330" t="s">
        <v>2423</v>
      </c>
      <c r="D86" s="330"/>
      <c r="E86" s="330"/>
      <c r="F86" s="330"/>
      <c r="G86" s="330"/>
      <c r="H86" s="330"/>
      <c r="I86" s="330"/>
      <c r="J86" s="330"/>
      <c r="K86" s="330"/>
      <c r="L86" s="330"/>
      <c r="M86" s="330"/>
      <c r="N86" s="330"/>
      <c r="O86" s="330"/>
      <c r="P86" s="330"/>
      <c r="Q86" s="330"/>
      <c r="R86" s="330"/>
      <c r="S86" s="330"/>
      <c r="T86" s="330"/>
      <c r="U86" s="330"/>
      <c r="V86" s="330"/>
      <c r="W86" s="330"/>
      <c r="X86" s="330"/>
      <c r="Y86" s="330"/>
      <c r="Z86" s="330"/>
      <c r="AA86" s="330"/>
      <c r="AB86" s="330"/>
      <c r="AC86" s="330"/>
      <c r="AD86" s="330"/>
      <c r="AE86" s="330"/>
      <c r="AF86" s="330"/>
      <c r="AG86" s="421">
        <f>AG17+434.355</f>
        <v>1352.2080000000001</v>
      </c>
      <c r="AH86" s="421"/>
      <c r="AI86" s="421">
        <f>AI17+487.941</f>
        <v>1353.9449999999999</v>
      </c>
      <c r="AJ86" s="421"/>
      <c r="AK86" s="421">
        <f>AK17+531.836</f>
        <v>1443.979</v>
      </c>
      <c r="AL86" s="421"/>
      <c r="AM86" s="421">
        <f>AM17+651.233</f>
        <v>1399.443</v>
      </c>
      <c r="AN86" s="421"/>
      <c r="AO86" s="421">
        <f>AO17+733.54</f>
        <v>1474.588</v>
      </c>
      <c r="AP86" s="421"/>
      <c r="AQ86" s="421">
        <f>AO86</f>
        <v>1474.588</v>
      </c>
      <c r="AR86" s="421"/>
      <c r="AS86" s="421">
        <f>AQ86</f>
        <v>1474.588</v>
      </c>
      <c r="AT86" s="421"/>
      <c r="AU86" s="421">
        <f>AS86</f>
        <v>1474.588</v>
      </c>
      <c r="AV86" s="421"/>
      <c r="AW86" s="421">
        <f>AU86</f>
        <v>1474.588</v>
      </c>
      <c r="AX86" s="421"/>
      <c r="AY86" s="421">
        <f>AW86</f>
        <v>1474.588</v>
      </c>
      <c r="AZ86" s="421"/>
      <c r="BA86" s="421">
        <f>AY86</f>
        <v>1474.588</v>
      </c>
      <c r="BB86" s="421"/>
      <c r="BC86" s="421">
        <f>BA86</f>
        <v>1474.588</v>
      </c>
      <c r="BD86" s="421"/>
      <c r="BE86" s="421">
        <f>BC86</f>
        <v>1474.588</v>
      </c>
      <c r="BF86" s="421"/>
      <c r="BG86" s="421">
        <f>BE86</f>
        <v>1474.588</v>
      </c>
      <c r="BH86" s="330"/>
      <c r="BI86" s="421">
        <f>BG86</f>
        <v>1474.588</v>
      </c>
      <c r="BJ86" s="330"/>
      <c r="BK86" s="421">
        <f>BI86</f>
        <v>1474.588</v>
      </c>
      <c r="BL86" s="330"/>
      <c r="BM86" s="421">
        <f>BK86</f>
        <v>1474.588</v>
      </c>
      <c r="BN86" s="330"/>
      <c r="BO86" s="421">
        <f>BM86</f>
        <v>1474.588</v>
      </c>
      <c r="BP86" s="432"/>
      <c r="BQ86" s="432">
        <f>BO86</f>
        <v>1474.588</v>
      </c>
      <c r="BR86" s="330"/>
    </row>
    <row r="87" spans="1:70">
      <c r="A87" s="330"/>
      <c r="B87" s="330"/>
      <c r="C87" s="330"/>
      <c r="D87" s="330"/>
      <c r="E87" s="330"/>
      <c r="F87" s="330"/>
      <c r="G87" s="330"/>
      <c r="H87" s="330"/>
      <c r="I87" s="330"/>
      <c r="J87" s="330"/>
      <c r="K87" s="330"/>
      <c r="L87" s="330"/>
      <c r="M87" s="330"/>
      <c r="N87" s="330"/>
      <c r="O87" s="330"/>
      <c r="P87" s="330"/>
      <c r="Q87" s="330"/>
      <c r="R87" s="330"/>
      <c r="S87" s="330"/>
      <c r="T87" s="330"/>
      <c r="U87" s="330"/>
      <c r="V87" s="330"/>
      <c r="W87" s="330"/>
      <c r="X87" s="330"/>
      <c r="Y87" s="330"/>
      <c r="Z87" s="330"/>
      <c r="AA87" s="330"/>
      <c r="AB87" s="330"/>
      <c r="AC87" s="330"/>
      <c r="AD87" s="330"/>
      <c r="AE87" s="330"/>
      <c r="AF87" s="330"/>
      <c r="AG87" s="330"/>
      <c r="AH87" s="330"/>
      <c r="AI87" s="371"/>
      <c r="AJ87" s="330"/>
      <c r="AK87" s="371"/>
      <c r="AL87" s="330"/>
      <c r="AM87" s="371"/>
      <c r="AN87" s="330"/>
      <c r="AO87" s="371"/>
      <c r="AP87" s="330"/>
      <c r="AQ87" s="330"/>
      <c r="AR87" s="330"/>
      <c r="AS87" s="330"/>
      <c r="AT87" s="330"/>
      <c r="AU87" s="330"/>
      <c r="AV87" s="330"/>
      <c r="AW87" s="330"/>
      <c r="AX87" s="330"/>
      <c r="AY87" s="330"/>
      <c r="AZ87" s="330"/>
      <c r="BA87" s="330"/>
      <c r="BB87" s="330"/>
      <c r="BC87" s="330"/>
      <c r="BD87" s="330"/>
      <c r="BE87" s="330"/>
      <c r="BF87" s="330"/>
      <c r="BG87" s="330"/>
      <c r="BH87" s="330"/>
      <c r="BI87" s="330"/>
      <c r="BJ87" s="330"/>
      <c r="BK87" s="330"/>
      <c r="BL87" s="330"/>
      <c r="BM87" s="330"/>
      <c r="BN87" s="330"/>
      <c r="BO87" s="330"/>
      <c r="BP87" s="405"/>
      <c r="BQ87" s="405"/>
      <c r="BR87" s="330"/>
    </row>
    <row r="88" spans="1:70" hidden="1" outlineLevel="1">
      <c r="A88" s="330"/>
      <c r="B88" s="330"/>
      <c r="C88" s="339" t="s">
        <v>2394</v>
      </c>
      <c r="D88" s="330"/>
      <c r="E88" s="330"/>
      <c r="F88" s="330"/>
      <c r="G88" s="330"/>
      <c r="H88" s="330"/>
      <c r="I88" s="330"/>
      <c r="J88" s="330"/>
      <c r="K88" s="330"/>
      <c r="L88" s="330"/>
      <c r="M88" s="330"/>
      <c r="N88" s="330"/>
      <c r="O88" s="330"/>
      <c r="P88" s="330"/>
      <c r="Q88" s="330"/>
      <c r="R88" s="330"/>
      <c r="S88" s="330"/>
      <c r="T88" s="330"/>
      <c r="U88" s="330"/>
      <c r="V88" s="330"/>
      <c r="W88" s="330"/>
      <c r="X88" s="330"/>
      <c r="Y88" s="330"/>
      <c r="Z88" s="330"/>
      <c r="AA88" s="330"/>
      <c r="AB88" s="330"/>
      <c r="AC88" s="330"/>
      <c r="AD88" s="330"/>
      <c r="AE88" s="330"/>
      <c r="AF88" s="330"/>
      <c r="AG88" s="330"/>
      <c r="AH88" s="330"/>
      <c r="AI88" s="330"/>
      <c r="AJ88" s="330"/>
      <c r="AK88" s="330"/>
      <c r="AL88" s="330"/>
      <c r="AM88" s="330"/>
      <c r="AN88" s="330"/>
      <c r="AO88" s="330"/>
      <c r="AP88" s="330"/>
      <c r="AQ88" s="330"/>
      <c r="AR88" s="330"/>
      <c r="AS88" s="330"/>
      <c r="AT88" s="330"/>
      <c r="AU88" s="330"/>
      <c r="AV88" s="330"/>
      <c r="AW88" s="330"/>
      <c r="AX88" s="330"/>
      <c r="AY88" s="330"/>
      <c r="AZ88" s="330"/>
      <c r="BA88" s="330"/>
      <c r="BB88" s="330"/>
      <c r="BC88" s="330"/>
      <c r="BD88" s="330"/>
      <c r="BE88" s="330"/>
      <c r="BF88" s="330"/>
      <c r="BG88" s="330"/>
      <c r="BH88" s="330"/>
      <c r="BI88" s="330"/>
      <c r="BJ88" s="330"/>
      <c r="BK88" s="330"/>
      <c r="BL88" s="330"/>
      <c r="BM88" s="330"/>
      <c r="BN88" s="330"/>
      <c r="BO88" s="330"/>
      <c r="BP88" s="405"/>
      <c r="BQ88" s="405"/>
      <c r="BR88" s="330"/>
    </row>
    <row r="89" spans="1:70" hidden="1" outlineLevel="1">
      <c r="A89" s="432"/>
      <c r="B89" s="432"/>
      <c r="C89" s="432" t="s">
        <v>1127</v>
      </c>
      <c r="D89" s="432"/>
      <c r="E89" s="432"/>
      <c r="F89" s="432"/>
      <c r="G89" s="432"/>
      <c r="H89" s="432"/>
      <c r="I89" s="432"/>
      <c r="J89" s="432"/>
      <c r="K89" s="432"/>
      <c r="L89" s="432"/>
      <c r="M89" s="432"/>
      <c r="N89" s="432"/>
      <c r="O89" s="432"/>
      <c r="P89" s="432"/>
      <c r="Q89" s="432">
        <f>flow!P55+flow!P56</f>
        <v>13.462</v>
      </c>
      <c r="R89" s="432"/>
      <c r="S89" s="432">
        <f>flow!R55+flow!R56</f>
        <v>1.3739999999999988</v>
      </c>
      <c r="T89" s="432"/>
      <c r="U89" s="432">
        <f>flow!T55+flow!T56</f>
        <v>-18.962</v>
      </c>
      <c r="V89" s="432">
        <f>flow!U55+flow!U56</f>
        <v>0</v>
      </c>
      <c r="W89" s="432">
        <f>flow!V55+flow!V56</f>
        <v>87.805999999999997</v>
      </c>
      <c r="X89" s="432"/>
      <c r="Y89" s="432">
        <f>flow!X55+flow!X56</f>
        <v>-2.5780000000000012</v>
      </c>
      <c r="Z89" s="432"/>
      <c r="AA89" s="432">
        <f>flow!Z55+flow!Z56</f>
        <v>-72.444000000000003</v>
      </c>
      <c r="AB89" s="432"/>
      <c r="AC89" s="432">
        <f>flow!AB55+flow!AB56</f>
        <v>-26.872000000000003</v>
      </c>
      <c r="AD89" s="432"/>
      <c r="AE89" s="432">
        <f>flow!AD55+flow!AD56</f>
        <v>17.977</v>
      </c>
      <c r="AF89" s="432"/>
      <c r="AG89" s="432">
        <f>flow!AF55+flow!AF56</f>
        <v>-78.040999999999997</v>
      </c>
      <c r="AH89" s="432"/>
      <c r="AI89" s="432">
        <f>flow!AH55+flow!AH56</f>
        <v>-99.635000000000005</v>
      </c>
      <c r="AJ89" s="432"/>
      <c r="AK89" s="432">
        <f>flow!AJ55+flow!AJ56</f>
        <v>-253.15699999999998</v>
      </c>
      <c r="AL89" s="432"/>
      <c r="AM89" s="432">
        <f>flow!AL55+flow!AL56</f>
        <v>-487.03899999999993</v>
      </c>
      <c r="AN89" s="432"/>
      <c r="AO89" s="432">
        <f>flow!AN55+flow!AN56</f>
        <v>-177.82599999999999</v>
      </c>
      <c r="AP89" s="432"/>
      <c r="AQ89" s="432">
        <f>flow!AP55+flow!AP56</f>
        <v>72.367000000000004</v>
      </c>
      <c r="AR89" s="432"/>
      <c r="AS89" s="432">
        <f>flow!AR55+flow!AR56</f>
        <v>-5.9789999999999992</v>
      </c>
      <c r="AT89" s="432"/>
      <c r="AU89" s="432">
        <f>flow!AT55+flow!AT56</f>
        <v>-89.780999999999992</v>
      </c>
      <c r="AV89" s="432"/>
      <c r="AW89" s="432">
        <f>flow!AV55+flow!AV56</f>
        <v>-29.332000000000001</v>
      </c>
      <c r="AX89" s="432"/>
      <c r="AY89" s="432">
        <f>flow!AX55+flow!AX56</f>
        <v>42.771000000000001</v>
      </c>
      <c r="AZ89" s="432"/>
      <c r="BA89" s="432">
        <f>flow!AZ55+flow!AZ56</f>
        <v>29.985000000000007</v>
      </c>
      <c r="BB89" s="432"/>
      <c r="BC89" s="432">
        <f>flow!BB55+flow!BB56</f>
        <v>-216.20000000000002</v>
      </c>
      <c r="BD89" s="432"/>
      <c r="BE89" s="432">
        <f>flow!BD55+flow!BD56</f>
        <v>-167.6</v>
      </c>
      <c r="BF89" s="432"/>
      <c r="BG89" s="432">
        <f>flow!BF55+flow!BF56</f>
        <v>-44.6</v>
      </c>
      <c r="BH89" s="432"/>
      <c r="BI89" s="432">
        <f>flow!BH55+flow!BH56</f>
        <v>-45.4</v>
      </c>
      <c r="BJ89" s="432"/>
      <c r="BK89" s="432">
        <f>flow!BJ55+flow!BJ56</f>
        <v>-145.4</v>
      </c>
      <c r="BL89" s="432"/>
      <c r="BM89" s="432">
        <f>flow!BL55+flow!BL56</f>
        <v>-145.4</v>
      </c>
      <c r="BN89" s="432"/>
      <c r="BO89" s="432">
        <f>flow!BR55+flow!BR56</f>
        <v>0</v>
      </c>
      <c r="BP89" s="432"/>
      <c r="BQ89" s="432"/>
      <c r="BR89" s="432"/>
    </row>
    <row r="90" spans="1:70" hidden="1" outlineLevel="1">
      <c r="A90" s="421"/>
      <c r="B90" s="421"/>
      <c r="C90" s="421" t="s">
        <v>2381</v>
      </c>
      <c r="D90" s="421"/>
      <c r="E90" s="421"/>
      <c r="F90" s="421"/>
      <c r="G90" s="421"/>
      <c r="H90" s="421"/>
      <c r="I90" s="421"/>
      <c r="J90" s="421"/>
      <c r="K90" s="421"/>
      <c r="L90" s="421"/>
      <c r="M90" s="421"/>
      <c r="N90" s="421"/>
      <c r="O90" s="421"/>
      <c r="P90" s="421"/>
      <c r="Q90" s="421">
        <f>flow!P61</f>
        <v>-6.3029999999999999</v>
      </c>
      <c r="R90" s="421"/>
      <c r="S90" s="421">
        <f>flow!R61</f>
        <v>-9.0969999999999995</v>
      </c>
      <c r="T90" s="421"/>
      <c r="U90" s="421">
        <f>flow!T61</f>
        <v>-11.897</v>
      </c>
      <c r="V90" s="421">
        <f>flow!U61</f>
        <v>0</v>
      </c>
      <c r="W90" s="421">
        <f>flow!V61</f>
        <v>-16.082999999999998</v>
      </c>
      <c r="X90" s="421"/>
      <c r="Y90" s="421">
        <f>flow!X61</f>
        <v>-21.82</v>
      </c>
      <c r="Z90" s="421"/>
      <c r="AA90" s="421">
        <f>flow!Z61</f>
        <v>-23.315000000000001</v>
      </c>
      <c r="AB90" s="421"/>
      <c r="AC90" s="421">
        <f>flow!AB61</f>
        <v>-23.256</v>
      </c>
      <c r="AD90" s="421"/>
      <c r="AE90" s="421">
        <f>flow!AD61</f>
        <v>-27.7</v>
      </c>
      <c r="AF90" s="421"/>
      <c r="AG90" s="421">
        <f>flow!AF61</f>
        <v>-33.569000000000003</v>
      </c>
      <c r="AH90" s="421"/>
      <c r="AI90" s="421">
        <f>flow!AH61</f>
        <v>-42.902999999999999</v>
      </c>
      <c r="AJ90" s="421"/>
      <c r="AK90" s="421">
        <f>flow!AJ61</f>
        <v>-52.610999999999997</v>
      </c>
      <c r="AL90" s="421"/>
      <c r="AM90" s="421">
        <f>flow!AL61</f>
        <v>-69.921000000000006</v>
      </c>
      <c r="AN90" s="421"/>
      <c r="AO90" s="421">
        <f>flow!AN61</f>
        <v>-82.257999999999996</v>
      </c>
      <c r="AP90" s="421"/>
      <c r="AQ90" s="421">
        <f>flow!AP61</f>
        <v>-84.578999999999994</v>
      </c>
      <c r="AR90" s="421"/>
      <c r="AS90" s="421">
        <f>flow!AR61</f>
        <v>-120.39</v>
      </c>
      <c r="AT90" s="421"/>
      <c r="AU90" s="421">
        <f>flow!AT61</f>
        <v>-142.84</v>
      </c>
      <c r="AV90" s="421"/>
      <c r="AW90" s="421">
        <f>flow!AV61</f>
        <v>-158.59399999999999</v>
      </c>
      <c r="AX90" s="421"/>
      <c r="AY90" s="421">
        <f>flow!AX61</f>
        <v>-170.31200000000001</v>
      </c>
      <c r="AZ90" s="421"/>
      <c r="BA90" s="421">
        <f>flow!AZ61</f>
        <v>-191.17099999999999</v>
      </c>
      <c r="BB90" s="421"/>
      <c r="BC90" s="421">
        <f>flow!BB61</f>
        <v>-203.4</v>
      </c>
      <c r="BD90" s="421"/>
      <c r="BE90" s="421">
        <f>flow!BD61</f>
        <v>-218.8</v>
      </c>
      <c r="BF90" s="421"/>
      <c r="BG90" s="421">
        <f>flow!BF61</f>
        <v>-242.6</v>
      </c>
      <c r="BH90" s="421"/>
      <c r="BI90" s="421">
        <f>flow!BH61</f>
        <v>-248.55</v>
      </c>
      <c r="BJ90" s="421"/>
      <c r="BK90" s="421">
        <f>flow!BJ61</f>
        <v>-258.8775</v>
      </c>
      <c r="BL90" s="421"/>
      <c r="BM90" s="421">
        <f>flow!BL61</f>
        <v>-270.01728409090913</v>
      </c>
      <c r="BN90" s="421"/>
      <c r="BO90" s="421">
        <f>flow!BR61</f>
        <v>0</v>
      </c>
      <c r="BP90" s="432"/>
      <c r="BQ90" s="432"/>
      <c r="BR90" s="421"/>
    </row>
    <row r="91" spans="1:70" hidden="1" outlineLevel="1">
      <c r="A91" s="421"/>
      <c r="B91" s="421"/>
      <c r="C91" s="421" t="s">
        <v>696</v>
      </c>
      <c r="D91" s="421"/>
      <c r="E91" s="421"/>
      <c r="F91" s="421"/>
      <c r="G91" s="421"/>
      <c r="H91" s="421"/>
      <c r="I91" s="421"/>
      <c r="J91" s="421"/>
      <c r="K91" s="421"/>
      <c r="L91" s="421"/>
      <c r="M91" s="421"/>
      <c r="N91" s="421"/>
      <c r="O91" s="421"/>
      <c r="P91" s="421"/>
      <c r="Q91" s="421">
        <v>0</v>
      </c>
      <c r="R91" s="421"/>
      <c r="S91" s="421">
        <v>0</v>
      </c>
      <c r="T91" s="421"/>
      <c r="U91" s="421">
        <v>0</v>
      </c>
      <c r="V91" s="421">
        <v>0</v>
      </c>
      <c r="W91" s="421">
        <v>0</v>
      </c>
      <c r="X91" s="421"/>
      <c r="Y91" s="421">
        <v>0</v>
      </c>
      <c r="Z91" s="421"/>
      <c r="AA91" s="421">
        <v>0</v>
      </c>
      <c r="AB91" s="421"/>
      <c r="AC91" s="421">
        <v>0</v>
      </c>
      <c r="AD91" s="421"/>
      <c r="AE91" s="421">
        <v>0</v>
      </c>
      <c r="AF91" s="421"/>
      <c r="AG91" s="421">
        <v>0</v>
      </c>
      <c r="AH91" s="421"/>
      <c r="AI91" s="421">
        <v>0</v>
      </c>
      <c r="AJ91" s="421"/>
      <c r="AK91" s="421">
        <v>0</v>
      </c>
      <c r="AL91" s="421"/>
      <c r="AM91" s="421">
        <v>0</v>
      </c>
      <c r="AN91" s="421"/>
      <c r="AO91" s="421">
        <v>0</v>
      </c>
      <c r="AP91" s="421"/>
      <c r="AQ91" s="421">
        <v>0</v>
      </c>
      <c r="AR91" s="421"/>
      <c r="AS91" s="421">
        <v>0</v>
      </c>
      <c r="AT91" s="421"/>
      <c r="AU91" s="421">
        <v>0</v>
      </c>
      <c r="AV91" s="421"/>
      <c r="AW91" s="421">
        <v>0</v>
      </c>
      <c r="AX91" s="421"/>
      <c r="AY91" s="421">
        <v>0</v>
      </c>
      <c r="AZ91" s="421"/>
      <c r="BA91" s="421">
        <v>0</v>
      </c>
      <c r="BB91" s="421"/>
      <c r="BC91" s="421">
        <v>0</v>
      </c>
      <c r="BD91" s="421"/>
      <c r="BE91" s="421">
        <v>0</v>
      </c>
      <c r="BF91" s="421"/>
      <c r="BG91" s="421">
        <v>0</v>
      </c>
      <c r="BH91" s="421"/>
      <c r="BI91" s="421">
        <v>0</v>
      </c>
      <c r="BJ91" s="421"/>
      <c r="BK91" s="421">
        <v>0</v>
      </c>
      <c r="BL91" s="421"/>
      <c r="BM91" s="421">
        <v>0</v>
      </c>
      <c r="BN91" s="421"/>
      <c r="BO91" s="421">
        <v>0</v>
      </c>
      <c r="BP91" s="432"/>
      <c r="BQ91" s="432"/>
      <c r="BR91" s="421"/>
    </row>
    <row r="92" spans="1:70" collapsed="1">
      <c r="A92" s="330"/>
      <c r="B92" s="330"/>
      <c r="C92" s="330"/>
      <c r="D92" s="330"/>
      <c r="E92" s="330"/>
      <c r="F92" s="330"/>
      <c r="G92" s="330"/>
      <c r="H92" s="330"/>
      <c r="I92" s="330"/>
      <c r="J92" s="330"/>
      <c r="K92" s="330"/>
      <c r="L92" s="330"/>
      <c r="M92" s="330"/>
      <c r="N92" s="330"/>
      <c r="O92" s="330"/>
      <c r="P92" s="330"/>
      <c r="Q92" s="330"/>
      <c r="R92" s="330"/>
      <c r="S92" s="330"/>
      <c r="T92" s="330"/>
      <c r="U92" s="330"/>
      <c r="V92" s="330"/>
      <c r="W92" s="330"/>
      <c r="X92" s="330"/>
      <c r="Y92" s="330"/>
      <c r="Z92" s="330"/>
      <c r="AA92" s="330"/>
      <c r="AB92" s="330"/>
      <c r="AC92" s="330"/>
      <c r="AD92" s="330"/>
      <c r="AE92" s="330"/>
      <c r="AF92" s="330"/>
      <c r="AG92" s="330"/>
      <c r="AH92" s="330"/>
      <c r="AI92" s="330"/>
      <c r="AJ92" s="330"/>
      <c r="AK92" s="330"/>
      <c r="AL92" s="330"/>
      <c r="AM92" s="330"/>
      <c r="AN92" s="330"/>
      <c r="AO92" s="330"/>
      <c r="AP92" s="330"/>
      <c r="AQ92" s="330"/>
      <c r="AR92" s="330"/>
      <c r="AS92" s="330"/>
      <c r="AT92" s="330"/>
      <c r="AU92" s="330"/>
      <c r="AV92" s="330"/>
      <c r="AW92" s="330"/>
      <c r="AX92" s="330"/>
      <c r="AY92" s="330"/>
      <c r="AZ92" s="330"/>
      <c r="BA92" s="330"/>
      <c r="BB92" s="330"/>
      <c r="BC92" s="330"/>
      <c r="BD92" s="330"/>
      <c r="BE92" s="330"/>
      <c r="BF92" s="330"/>
      <c r="BG92" s="330"/>
      <c r="BH92" s="330"/>
      <c r="BI92" s="330"/>
      <c r="BJ92" s="330"/>
      <c r="BK92" s="330"/>
      <c r="BL92" s="330"/>
      <c r="BM92" s="330"/>
      <c r="BN92" s="330"/>
      <c r="BO92" s="330"/>
      <c r="BP92" s="405"/>
      <c r="BQ92" s="405"/>
      <c r="BR92" s="330"/>
    </row>
  </sheetData>
  <phoneticPr fontId="0" type="noConversion"/>
  <printOptions horizontalCentered="1"/>
  <pageMargins left="0" right="0" top="0" bottom="0" header="0" footer="0"/>
  <pageSetup paperSize="5" scale="57" orientation="landscape" r:id="rId1"/>
  <headerFooter alignWithMargins="0">
    <oddFooter>&amp;R&amp;8&amp;D/&amp;T
&amp;F/&amp;A</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BY90"/>
  <sheetViews>
    <sheetView showGridLines="0" zoomScale="90" zoomScaleNormal="90" workbookViewId="0">
      <pane xSplit="3" ySplit="8" topLeftCell="M9" activePane="bottomRight" state="frozen"/>
      <selection activeCell="C39" sqref="C39"/>
      <selection pane="topRight" activeCell="C39" sqref="C39"/>
      <selection pane="bottomLeft" activeCell="C39" sqref="C39"/>
      <selection pane="bottomRight" activeCell="BH11" sqref="BH11"/>
    </sheetView>
  </sheetViews>
  <sheetFormatPr defaultRowHeight="12.75" outlineLevelRow="1" outlineLevelCol="1"/>
  <cols>
    <col min="1" max="1" width="2.7109375" customWidth="1"/>
    <col min="2" max="2" width="4.28515625" customWidth="1"/>
    <col min="3" max="3" width="36.85546875" customWidth="1"/>
    <col min="4" max="4" width="9.140625" hidden="1" customWidth="1" outlineLevel="1"/>
    <col min="5" max="5" width="1.7109375" hidden="1" customWidth="1" outlineLevel="1"/>
    <col min="6" max="6" width="9.140625" hidden="1" customWidth="1" outlineLevel="1"/>
    <col min="7" max="7" width="1.7109375" hidden="1" customWidth="1" outlineLevel="1"/>
    <col min="8" max="8" width="9" hidden="1" customWidth="1" outlineLevel="1"/>
    <col min="9" max="9" width="1.7109375" hidden="1" customWidth="1" outlineLevel="1"/>
    <col min="10" max="10" width="9.28515625" hidden="1" customWidth="1" outlineLevel="1"/>
    <col min="11" max="11" width="1.7109375" hidden="1" customWidth="1" outlineLevel="1"/>
    <col min="12" max="12" width="9" hidden="1" customWidth="1" outlineLevel="1"/>
    <col min="13" max="13" width="1.7109375" customWidth="1" collapsed="1"/>
    <col min="14" max="14" width="9" hidden="1" customWidth="1" outlineLevel="1"/>
    <col min="15" max="15" width="1.7109375" hidden="1" customWidth="1" outlineLevel="1"/>
    <col min="16" max="16" width="9.5703125" hidden="1" customWidth="1" outlineLevel="1"/>
    <col min="17" max="17" width="1.7109375" hidden="1" customWidth="1" outlineLevel="1"/>
    <col min="18" max="18" width="9.28515625" hidden="1" customWidth="1" outlineLevel="1"/>
    <col min="19" max="19" width="1.7109375" hidden="1" customWidth="1" outlineLevel="1"/>
    <col min="20" max="20" width="8.140625" hidden="1" customWidth="1" outlineLevel="1" collapsed="1"/>
    <col min="21" max="21" width="1.7109375" hidden="1" customWidth="1" outlineLevel="1"/>
    <col min="22" max="22" width="8.140625" hidden="1" customWidth="1" outlineLevel="1" collapsed="1"/>
    <col min="23" max="23" width="1.7109375" hidden="1" customWidth="1" outlineLevel="1"/>
    <col min="24" max="24" width="8.140625" hidden="1" customWidth="1" outlineLevel="1"/>
    <col min="25" max="25" width="1.7109375" hidden="1" customWidth="1" outlineLevel="1"/>
    <col min="26" max="26" width="8.140625" hidden="1" customWidth="1" outlineLevel="1" collapsed="1"/>
    <col min="27" max="27" width="1.7109375" hidden="1" customWidth="1" outlineLevel="1"/>
    <col min="28" max="28" width="8.140625" hidden="1" customWidth="1" outlineLevel="1"/>
    <col min="29" max="29" width="1.7109375" hidden="1" customWidth="1" outlineLevel="1"/>
    <col min="30" max="30" width="8.140625" hidden="1" customWidth="1" outlineLevel="1"/>
    <col min="31" max="31" width="1.7109375" hidden="1" customWidth="1" outlineLevel="1" collapsed="1"/>
    <col min="32" max="32" width="8.140625" hidden="1" customWidth="1" outlineLevel="1"/>
    <col min="33" max="33" width="1.7109375" hidden="1" customWidth="1" outlineLevel="1"/>
    <col min="34" max="34" width="8.140625" hidden="1" customWidth="1" outlineLevel="1"/>
    <col min="35" max="35" width="1.7109375" hidden="1" customWidth="1" outlineLevel="1"/>
    <col min="36" max="36" width="8.140625" hidden="1" customWidth="1" outlineLevel="1"/>
    <col min="37" max="37" width="1.7109375" hidden="1" customWidth="1" outlineLevel="1"/>
    <col min="38" max="38" width="8.140625" hidden="1" customWidth="1" outlineLevel="1"/>
    <col min="39" max="39" width="1.7109375" hidden="1" customWidth="1" outlineLevel="1"/>
    <col min="40" max="40" width="8.140625" hidden="1" customWidth="1" outlineLevel="1"/>
    <col min="41" max="41" width="1.7109375" hidden="1" customWidth="1" outlineLevel="1"/>
    <col min="42" max="42" width="8.140625" hidden="1" customWidth="1" outlineLevel="1"/>
    <col min="43" max="43" width="1.7109375" hidden="1" customWidth="1" outlineLevel="1"/>
    <col min="44" max="44" width="8.140625" hidden="1" customWidth="1" outlineLevel="1"/>
    <col min="45" max="45" width="1.7109375" hidden="1" customWidth="1" outlineLevel="1"/>
    <col min="46" max="46" width="8.140625" customWidth="1" collapsed="1"/>
    <col min="47" max="47" width="1.7109375" customWidth="1"/>
    <col min="48" max="48" width="8.42578125" customWidth="1"/>
    <col min="49" max="49" width="1.7109375" customWidth="1"/>
    <col min="50" max="50" width="8.140625" customWidth="1"/>
    <col min="51" max="51" width="1.7109375" customWidth="1"/>
    <col min="52" max="52" width="8.140625" customWidth="1"/>
    <col min="53" max="53" width="1.7109375" customWidth="1"/>
    <col min="54" max="54" width="8.140625" customWidth="1"/>
    <col min="55" max="55" width="1.7109375" customWidth="1"/>
    <col min="56" max="56" width="8.140625" customWidth="1"/>
    <col min="57" max="57" width="1.7109375" customWidth="1"/>
    <col min="58" max="58" width="8.140625" customWidth="1"/>
    <col min="59" max="59" width="1.7109375" customWidth="1"/>
    <col min="60" max="60" width="8.140625" customWidth="1"/>
    <col min="61" max="61" width="1.7109375" customWidth="1"/>
    <col min="62" max="62" width="8.140625" customWidth="1"/>
    <col min="63" max="63" width="1.7109375" customWidth="1"/>
    <col min="64" max="64" width="8.140625" customWidth="1"/>
    <col min="65" max="65" width="1.7109375" customWidth="1"/>
    <col min="66" max="66" width="8.140625" hidden="1" customWidth="1" outlineLevel="1"/>
    <col min="67" max="67" width="1.7109375" hidden="1" customWidth="1" outlineLevel="1"/>
    <col min="68" max="68" width="8.140625" hidden="1" customWidth="1" outlineLevel="1"/>
    <col min="69" max="69" width="2.140625" hidden="1" customWidth="1" outlineLevel="1"/>
    <col min="70" max="70" width="9.140625" hidden="1" customWidth="1" outlineLevel="1"/>
    <col min="71" max="71" width="25" hidden="1" customWidth="1" outlineLevel="1"/>
    <col min="72" max="72" width="2.140625" hidden="1" customWidth="1" outlineLevel="1"/>
    <col min="73" max="76" width="9.140625" hidden="1" customWidth="1" outlineLevel="1"/>
    <col min="77" max="77" width="9.140625" collapsed="1"/>
  </cols>
  <sheetData>
    <row r="1" spans="1:70">
      <c r="A1" s="133" t="str">
        <f>'qtrP&amp;L'!A1</f>
        <v>Tiffany and Co.</v>
      </c>
      <c r="B1" s="133"/>
      <c r="C1" s="133"/>
      <c r="D1" s="133"/>
      <c r="E1" s="152"/>
      <c r="F1" s="133"/>
      <c r="G1" s="133"/>
      <c r="H1" s="133"/>
      <c r="I1" s="152"/>
      <c r="J1" s="155"/>
      <c r="K1" s="155"/>
      <c r="L1" s="155"/>
      <c r="M1" s="152"/>
      <c r="N1" s="133"/>
      <c r="O1" s="152"/>
      <c r="P1" s="133"/>
      <c r="Q1" s="133"/>
      <c r="R1" s="133"/>
      <c r="S1" s="152"/>
      <c r="T1" s="155"/>
      <c r="U1" s="155"/>
      <c r="V1" s="155"/>
      <c r="W1" s="156"/>
      <c r="X1" s="155"/>
      <c r="Y1" s="155"/>
      <c r="Z1" s="155"/>
      <c r="AA1" s="155"/>
      <c r="AB1" s="155"/>
      <c r="AC1" s="155"/>
      <c r="AD1" s="155"/>
      <c r="AE1" s="155"/>
      <c r="AF1" s="155"/>
      <c r="AG1" s="155"/>
      <c r="AH1" s="155"/>
      <c r="AI1" s="155"/>
      <c r="AJ1" s="155"/>
      <c r="AK1" s="156"/>
      <c r="AL1" s="155"/>
      <c r="AM1" s="155"/>
      <c r="AN1" s="155"/>
      <c r="AO1" s="155"/>
      <c r="AP1" s="155"/>
      <c r="AQ1" s="155"/>
      <c r="AR1" s="155"/>
      <c r="AS1" s="155"/>
      <c r="AT1" s="155"/>
      <c r="AU1" s="155"/>
      <c r="AV1" s="155"/>
      <c r="AW1" s="155"/>
      <c r="AX1" s="155"/>
      <c r="AY1" s="155"/>
      <c r="AZ1" s="155"/>
      <c r="BA1" s="155"/>
      <c r="BB1" s="155"/>
      <c r="BC1" s="155"/>
      <c r="BD1" s="155"/>
      <c r="BE1" s="155"/>
      <c r="BF1" s="133"/>
      <c r="BG1" s="155"/>
      <c r="BH1" s="133"/>
      <c r="BI1" s="155"/>
      <c r="BJ1" s="133"/>
      <c r="BK1" s="155"/>
      <c r="BL1" s="133"/>
      <c r="BM1" s="155"/>
      <c r="BN1" s="133"/>
      <c r="BP1" s="621"/>
      <c r="BQ1" s="2235"/>
      <c r="BR1" s="133"/>
    </row>
    <row r="2" spans="1:70">
      <c r="A2" s="135" t="s">
        <v>1023</v>
      </c>
      <c r="B2" s="135"/>
      <c r="C2" s="135"/>
      <c r="D2" s="135"/>
      <c r="E2" s="153"/>
      <c r="F2" s="135"/>
      <c r="G2" s="135"/>
      <c r="H2" s="135"/>
      <c r="I2" s="153"/>
      <c r="J2" s="135"/>
      <c r="K2" s="135"/>
      <c r="L2" s="135"/>
      <c r="M2" s="153"/>
      <c r="N2" s="135"/>
      <c r="O2" s="153"/>
      <c r="P2" s="135"/>
      <c r="Q2" s="135"/>
      <c r="R2" s="135"/>
      <c r="S2" s="153"/>
      <c r="T2" s="135"/>
      <c r="U2" s="135"/>
      <c r="V2" s="135"/>
      <c r="W2" s="153"/>
      <c r="X2" s="135"/>
      <c r="Y2" s="135"/>
      <c r="Z2" s="135"/>
      <c r="AA2" s="135"/>
      <c r="AB2" s="135"/>
      <c r="AC2" s="135"/>
      <c r="AD2" s="135"/>
      <c r="AE2" s="135"/>
      <c r="AF2" s="135"/>
      <c r="AG2" s="135"/>
      <c r="AH2" s="135"/>
      <c r="AI2" s="135"/>
      <c r="AJ2" s="135"/>
      <c r="AK2" s="153"/>
      <c r="AL2" s="135"/>
      <c r="AM2" s="135"/>
      <c r="AN2" s="135"/>
      <c r="AO2" s="135"/>
      <c r="AP2" s="135"/>
      <c r="AQ2" s="135"/>
      <c r="AR2" s="135"/>
      <c r="AS2" s="135"/>
      <c r="AT2" s="135"/>
      <c r="AU2" s="135"/>
      <c r="AV2" s="135"/>
      <c r="AW2" s="135"/>
      <c r="AX2" s="135"/>
      <c r="AY2" s="135"/>
      <c r="AZ2" s="135"/>
      <c r="BA2" s="135"/>
      <c r="BB2" s="135"/>
      <c r="BC2" s="135"/>
      <c r="BD2" s="135"/>
      <c r="BE2" s="135"/>
      <c r="BF2" s="135"/>
      <c r="BG2" s="135"/>
      <c r="BH2" s="135"/>
      <c r="BI2" s="135"/>
      <c r="BJ2" s="135"/>
      <c r="BK2" s="135"/>
      <c r="BL2" s="135"/>
      <c r="BM2" s="135"/>
      <c r="BN2" s="135"/>
      <c r="BO2" s="155"/>
      <c r="BP2" s="283"/>
      <c r="BQ2" s="155"/>
      <c r="BR2" s="133"/>
    </row>
    <row r="3" spans="1:70">
      <c r="A3" s="134" t="str">
        <f>+'qtrP&amp;L'!A3</f>
        <v>For the fiscal year ending January 31 of the following year</v>
      </c>
      <c r="B3" s="134"/>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2"/>
      <c r="AN3" s="132"/>
      <c r="AO3" s="132"/>
      <c r="AP3" s="132"/>
      <c r="AQ3" s="132"/>
      <c r="AR3" s="132"/>
      <c r="AS3" s="132"/>
      <c r="AT3" s="132"/>
      <c r="AU3" s="132"/>
      <c r="AV3" s="132"/>
      <c r="AW3" s="132"/>
      <c r="AX3" s="132"/>
      <c r="AY3" s="132"/>
      <c r="AZ3" s="132"/>
      <c r="BA3" s="132"/>
      <c r="BB3" s="132"/>
      <c r="BC3" s="132"/>
      <c r="BD3" s="132"/>
      <c r="BE3" s="132"/>
      <c r="BF3" s="132"/>
      <c r="BG3" s="132"/>
      <c r="BH3" s="132"/>
      <c r="BI3" s="132"/>
      <c r="BJ3" s="132"/>
      <c r="BK3" s="132"/>
      <c r="BL3" s="132"/>
      <c r="BM3" s="132"/>
      <c r="BN3" s="132"/>
      <c r="BO3" s="132"/>
      <c r="BP3" s="256"/>
      <c r="BQ3" s="132"/>
      <c r="BR3" s="132"/>
    </row>
    <row r="4" spans="1:70">
      <c r="A4" s="134" t="s">
        <v>1004</v>
      </c>
      <c r="B4" s="134"/>
      <c r="C4" s="132"/>
      <c r="D4" s="132"/>
      <c r="E4" s="132"/>
      <c r="F4" s="132"/>
      <c r="G4" s="132"/>
      <c r="H4" s="132"/>
      <c r="I4" s="132"/>
      <c r="J4" s="132"/>
      <c r="K4" s="132"/>
      <c r="L4" s="132"/>
      <c r="M4" s="132"/>
      <c r="N4" s="132"/>
      <c r="O4" s="132"/>
      <c r="P4" s="132"/>
      <c r="Q4" s="132"/>
      <c r="R4" s="132"/>
      <c r="S4" s="132"/>
      <c r="T4" s="132"/>
      <c r="U4" s="132"/>
      <c r="V4" s="132"/>
      <c r="W4" s="132"/>
      <c r="X4" s="132"/>
      <c r="Y4" s="132"/>
      <c r="Z4" s="132"/>
      <c r="AA4" s="132"/>
      <c r="AB4" s="132"/>
      <c r="AC4" s="132"/>
      <c r="AD4" s="132"/>
      <c r="AE4" s="132"/>
      <c r="AF4" s="132"/>
      <c r="AG4" s="132"/>
      <c r="AH4" s="132"/>
      <c r="AI4" s="132"/>
      <c r="AJ4" s="132"/>
      <c r="AK4" s="132"/>
      <c r="AL4" s="132"/>
      <c r="AM4" s="132"/>
      <c r="AN4" s="132"/>
      <c r="AO4" s="132"/>
      <c r="AP4" s="132"/>
      <c r="AQ4" s="132"/>
      <c r="AR4" s="132"/>
      <c r="AS4" s="132"/>
      <c r="AT4" s="132"/>
      <c r="AU4" s="132"/>
      <c r="AV4" s="132"/>
      <c r="AW4" s="132"/>
      <c r="AX4" s="132"/>
      <c r="AY4" s="132"/>
      <c r="AZ4" s="132"/>
      <c r="BA4" s="132"/>
      <c r="BB4" s="132"/>
      <c r="BC4" s="132"/>
      <c r="BD4" s="132"/>
      <c r="BE4" s="132"/>
      <c r="BF4" s="132"/>
      <c r="BG4" s="132"/>
      <c r="BH4" s="132"/>
      <c r="BI4" s="132"/>
      <c r="BJ4" s="132"/>
      <c r="BK4" s="132"/>
      <c r="BL4" s="132"/>
      <c r="BM4" s="132"/>
      <c r="BN4" s="132"/>
      <c r="BO4" s="132"/>
      <c r="BP4" s="256"/>
      <c r="BQ4" s="132"/>
      <c r="BR4" s="132"/>
    </row>
    <row r="5" spans="1:70">
      <c r="A5" s="134"/>
      <c r="B5" s="134"/>
      <c r="C5" s="132"/>
      <c r="D5" s="132"/>
      <c r="E5" s="132"/>
      <c r="F5" s="132"/>
      <c r="G5" s="132"/>
      <c r="H5" s="132"/>
      <c r="I5" s="132"/>
      <c r="J5" s="132"/>
      <c r="K5" s="132"/>
      <c r="L5" s="132"/>
      <c r="M5" s="132"/>
      <c r="N5" s="132"/>
      <c r="O5" s="132"/>
      <c r="P5" s="132"/>
      <c r="Q5" s="132"/>
      <c r="R5" s="132"/>
      <c r="S5" s="132"/>
      <c r="T5" s="132"/>
      <c r="U5" s="132"/>
      <c r="V5" s="132"/>
      <c r="W5" s="132"/>
      <c r="X5" s="132"/>
      <c r="Y5" s="132"/>
      <c r="Z5" s="132"/>
      <c r="AA5" s="132"/>
      <c r="AB5" s="132"/>
      <c r="AC5" s="132"/>
      <c r="AD5" s="132"/>
      <c r="AE5" s="132"/>
      <c r="AF5" s="132"/>
      <c r="AG5" s="132"/>
      <c r="AH5" s="132"/>
      <c r="AI5" s="132"/>
      <c r="AJ5" s="132"/>
      <c r="AK5" s="132"/>
      <c r="AL5" s="132"/>
      <c r="AM5" s="132"/>
      <c r="AN5" s="132"/>
      <c r="AO5" s="132"/>
      <c r="AP5" s="132"/>
      <c r="AQ5" s="132"/>
      <c r="AR5" s="132"/>
      <c r="AS5" s="132"/>
      <c r="AT5" s="132"/>
      <c r="AU5" s="132"/>
      <c r="AV5" s="132"/>
      <c r="AW5" s="132"/>
      <c r="AX5" s="132"/>
      <c r="AY5" s="132"/>
      <c r="AZ5" s="132"/>
      <c r="BA5" s="132"/>
      <c r="BB5" s="132"/>
      <c r="BC5" s="132"/>
      <c r="BD5" s="132"/>
      <c r="BE5" s="132"/>
      <c r="BF5" s="132"/>
      <c r="BG5" s="132"/>
      <c r="BH5" s="132"/>
      <c r="BI5" s="132"/>
      <c r="BJ5" s="132"/>
      <c r="BK5" s="132"/>
      <c r="BL5" s="132"/>
      <c r="BM5" s="132"/>
      <c r="BN5" s="132"/>
      <c r="BO5" s="132"/>
      <c r="BP5" s="256"/>
      <c r="BQ5" s="132"/>
      <c r="BR5" s="132"/>
    </row>
    <row r="6" spans="1:70">
      <c r="A6" s="227"/>
      <c r="B6" s="227"/>
      <c r="C6" s="227"/>
      <c r="D6" s="227"/>
      <c r="E6" s="227"/>
      <c r="F6" s="1499"/>
      <c r="G6" s="658"/>
      <c r="H6" s="1497"/>
      <c r="I6" s="246" t="s">
        <v>445</v>
      </c>
      <c r="J6" s="227"/>
      <c r="K6" s="227"/>
      <c r="L6" s="227"/>
      <c r="M6" s="227"/>
      <c r="N6" s="227"/>
      <c r="O6" s="227"/>
      <c r="P6" s="1499"/>
      <c r="Q6" s="658"/>
      <c r="R6" s="1497"/>
      <c r="S6" s="246"/>
      <c r="T6" s="227"/>
      <c r="U6" s="227"/>
      <c r="V6" s="1500" t="s">
        <v>445</v>
      </c>
      <c r="W6" s="1501"/>
      <c r="X6" s="1501"/>
      <c r="Y6" s="1501"/>
      <c r="Z6" s="1501"/>
      <c r="AA6" s="1501"/>
      <c r="AB6" s="1501"/>
      <c r="AC6" s="1501"/>
      <c r="AD6" s="1501"/>
      <c r="AE6" s="1501"/>
      <c r="AF6" s="1501"/>
      <c r="AG6" s="1501"/>
      <c r="AH6" s="1501"/>
      <c r="AI6" s="1501"/>
      <c r="AJ6" s="1501"/>
      <c r="AK6" s="138"/>
      <c r="AL6" s="1501"/>
      <c r="AM6" s="138"/>
      <c r="AN6" s="1501"/>
      <c r="AO6" s="138"/>
      <c r="AP6" s="1501"/>
      <c r="AQ6" s="138"/>
      <c r="AR6" s="1501"/>
      <c r="AS6" s="138"/>
      <c r="AT6" s="1501"/>
      <c r="AU6" s="138"/>
      <c r="AV6" s="1501"/>
      <c r="AW6" s="138"/>
      <c r="AX6" s="1501"/>
      <c r="AY6" s="138"/>
      <c r="AZ6" s="1501"/>
      <c r="BA6" s="164"/>
      <c r="BB6" s="164"/>
      <c r="BC6" s="164"/>
      <c r="BD6" s="164"/>
      <c r="BE6" s="164"/>
      <c r="BF6" s="164"/>
      <c r="BG6" s="164"/>
      <c r="BH6" s="164"/>
      <c r="BI6" s="164"/>
      <c r="BJ6" s="164"/>
      <c r="BK6" s="164"/>
      <c r="BL6" s="164"/>
      <c r="BM6" s="164"/>
      <c r="BN6" s="164"/>
      <c r="BO6" s="164"/>
      <c r="BP6" s="775"/>
      <c r="BQ6" s="164"/>
      <c r="BR6" s="164"/>
    </row>
    <row r="7" spans="1:70">
      <c r="A7" s="552"/>
      <c r="B7" s="552"/>
      <c r="C7" s="552"/>
      <c r="D7" s="552"/>
      <c r="E7" s="552"/>
      <c r="F7" s="552"/>
      <c r="G7" s="552"/>
      <c r="H7" s="552"/>
      <c r="I7" s="552"/>
      <c r="J7" s="552"/>
      <c r="K7" s="552"/>
      <c r="L7" s="552"/>
      <c r="M7" s="552"/>
      <c r="N7" s="552"/>
      <c r="O7" s="552"/>
      <c r="P7" s="552"/>
      <c r="Q7" s="552"/>
      <c r="R7" s="552"/>
      <c r="S7" s="552"/>
      <c r="T7" s="552"/>
      <c r="U7" s="552"/>
      <c r="V7" s="552"/>
      <c r="W7" s="552"/>
      <c r="X7" s="552"/>
      <c r="Y7" s="552"/>
      <c r="Z7" s="552"/>
      <c r="AA7" s="552"/>
      <c r="AB7" s="552"/>
      <c r="AC7" s="552"/>
      <c r="AD7" s="552"/>
      <c r="AE7" s="552"/>
      <c r="AF7" s="552"/>
      <c r="AG7" s="552"/>
      <c r="AH7" s="552"/>
      <c r="AI7" s="552"/>
      <c r="AJ7" s="552"/>
      <c r="AK7" s="1502"/>
      <c r="AL7" s="552"/>
      <c r="AM7" s="1502"/>
      <c r="AN7" s="552"/>
      <c r="AO7" s="1502"/>
      <c r="AP7" s="552"/>
      <c r="AQ7" s="1502"/>
      <c r="AR7" s="552"/>
      <c r="AS7" s="1502"/>
      <c r="AT7" s="552"/>
      <c r="AU7" s="1502"/>
      <c r="AV7" s="552"/>
      <c r="AW7" s="1502"/>
      <c r="AX7" s="552"/>
      <c r="AY7" s="1502"/>
      <c r="AZ7" s="552"/>
      <c r="BA7" s="131"/>
      <c r="BB7" s="131"/>
      <c r="BC7" s="131"/>
      <c r="BD7" s="131"/>
      <c r="BE7" s="131"/>
      <c r="BF7" s="131"/>
      <c r="BG7" s="131"/>
      <c r="BH7" s="131"/>
      <c r="BI7" s="131"/>
      <c r="BJ7" s="131"/>
      <c r="BK7" s="131"/>
      <c r="BL7" s="131"/>
      <c r="BM7" s="131"/>
      <c r="BN7" s="131"/>
      <c r="BO7" s="131"/>
      <c r="BP7" s="247"/>
      <c r="BQ7" s="131"/>
      <c r="BR7" s="131"/>
    </row>
    <row r="8" spans="1:70">
      <c r="A8" s="330"/>
      <c r="B8" s="330"/>
      <c r="C8" s="330"/>
      <c r="D8" s="394">
        <v>1990</v>
      </c>
      <c r="E8" s="337"/>
      <c r="F8" s="394">
        <f>D8+1</f>
        <v>1991</v>
      </c>
      <c r="G8" s="337"/>
      <c r="H8" s="394">
        <f>F8+1</f>
        <v>1992</v>
      </c>
      <c r="I8" s="337"/>
      <c r="J8" s="394">
        <f>H8+1</f>
        <v>1993</v>
      </c>
      <c r="K8" s="337"/>
      <c r="L8" s="394">
        <f>J8+1</f>
        <v>1994</v>
      </c>
      <c r="M8" s="337"/>
      <c r="N8" s="394">
        <f>L8+1</f>
        <v>1995</v>
      </c>
      <c r="O8" s="337"/>
      <c r="P8" s="394">
        <f>N8+1</f>
        <v>1996</v>
      </c>
      <c r="Q8" s="337"/>
      <c r="R8" s="394">
        <f>P8+1</f>
        <v>1997</v>
      </c>
      <c r="S8" s="337"/>
      <c r="T8" s="394">
        <f>R8+1</f>
        <v>1998</v>
      </c>
      <c r="U8" s="337"/>
      <c r="V8" s="394">
        <f>T8+1</f>
        <v>1999</v>
      </c>
      <c r="W8" s="330"/>
      <c r="X8" s="394">
        <f>V8+1</f>
        <v>2000</v>
      </c>
      <c r="Y8" s="337"/>
      <c r="Z8" s="394">
        <f>X8+1</f>
        <v>2001</v>
      </c>
      <c r="AA8" s="337"/>
      <c r="AB8" s="394">
        <f>Z8+1</f>
        <v>2002</v>
      </c>
      <c r="AC8" s="337"/>
      <c r="AD8" s="394">
        <f>AB8+1</f>
        <v>2003</v>
      </c>
      <c r="AE8" s="337"/>
      <c r="AF8" s="394">
        <f>AD8+1</f>
        <v>2004</v>
      </c>
      <c r="AG8" s="337"/>
      <c r="AH8" s="394">
        <f>AF8+1</f>
        <v>2005</v>
      </c>
      <c r="AI8" s="337"/>
      <c r="AJ8" s="394">
        <f>AH8+1</f>
        <v>2006</v>
      </c>
      <c r="AK8" s="131"/>
      <c r="AL8" s="394">
        <f>AJ8+1</f>
        <v>2007</v>
      </c>
      <c r="AM8" s="131"/>
      <c r="AN8" s="394">
        <f>AL8+1</f>
        <v>2008</v>
      </c>
      <c r="AO8" s="131"/>
      <c r="AP8" s="394">
        <f>AN8+1</f>
        <v>2009</v>
      </c>
      <c r="AQ8" s="131"/>
      <c r="AR8" s="394">
        <f>AP8+1</f>
        <v>2010</v>
      </c>
      <c r="AS8" s="131"/>
      <c r="AT8" s="394">
        <f>AR8+1</f>
        <v>2011</v>
      </c>
      <c r="AU8" s="131"/>
      <c r="AV8" s="394">
        <f>AT8+1</f>
        <v>2012</v>
      </c>
      <c r="AW8" s="131"/>
      <c r="AX8" s="394">
        <f>AV8+1</f>
        <v>2013</v>
      </c>
      <c r="AY8" s="131"/>
      <c r="AZ8" s="394">
        <f>AX8+1</f>
        <v>2014</v>
      </c>
      <c r="BA8" s="396"/>
      <c r="BB8" s="394">
        <f>AZ8+1</f>
        <v>2015</v>
      </c>
      <c r="BC8" s="303"/>
      <c r="BD8" s="394">
        <f>BB8+1</f>
        <v>2016</v>
      </c>
      <c r="BE8" s="131"/>
      <c r="BF8" s="394">
        <f>BD8+1</f>
        <v>2017</v>
      </c>
      <c r="BG8" s="396"/>
      <c r="BH8" s="2240">
        <f>BF8+1</f>
        <v>2018</v>
      </c>
      <c r="BI8" s="396"/>
      <c r="BJ8" s="2240">
        <f>BH8+1</f>
        <v>2019</v>
      </c>
      <c r="BK8" s="396"/>
      <c r="BL8" s="2240">
        <f>BJ8+1</f>
        <v>2020</v>
      </c>
      <c r="BM8" s="396"/>
      <c r="BN8" s="2240">
        <f>BL8+1</f>
        <v>2021</v>
      </c>
      <c r="BO8" s="131"/>
      <c r="BP8" s="2319">
        <f>BN8+1</f>
        <v>2022</v>
      </c>
      <c r="BQ8" s="131"/>
      <c r="BR8" s="303"/>
    </row>
    <row r="9" spans="1:70" ht="6" customHeight="1">
      <c r="A9" s="330"/>
      <c r="B9" s="330"/>
      <c r="C9" s="330"/>
      <c r="D9" s="330"/>
      <c r="E9" s="330"/>
      <c r="F9" s="330"/>
      <c r="G9" s="330"/>
      <c r="H9" s="330"/>
      <c r="I9" s="330"/>
      <c r="J9" s="330"/>
      <c r="K9" s="330"/>
      <c r="L9" s="330"/>
      <c r="M9" s="330"/>
      <c r="N9" s="330"/>
      <c r="O9" s="330"/>
      <c r="P9" s="330"/>
      <c r="Q9" s="330"/>
      <c r="R9" s="330"/>
      <c r="S9" s="330"/>
      <c r="T9" s="330"/>
      <c r="U9" s="330"/>
      <c r="V9" s="330"/>
      <c r="W9" s="330"/>
      <c r="X9" s="330"/>
      <c r="Y9" s="330"/>
      <c r="Z9" s="330"/>
      <c r="AA9" s="330"/>
      <c r="AB9" s="330"/>
      <c r="AC9" s="330"/>
      <c r="AD9" s="330"/>
      <c r="AE9" s="330"/>
      <c r="AF9" s="330"/>
      <c r="AG9" s="330"/>
      <c r="AH9" s="330"/>
      <c r="AI9" s="330"/>
      <c r="AJ9" s="330"/>
      <c r="AK9" s="131"/>
      <c r="AL9" s="330"/>
      <c r="AM9" s="131"/>
      <c r="AN9" s="330"/>
      <c r="AO9" s="131"/>
      <c r="AP9" s="330"/>
      <c r="AQ9" s="131"/>
      <c r="AR9" s="330"/>
      <c r="AS9" s="131"/>
      <c r="AT9" s="330"/>
      <c r="AU9" s="131"/>
      <c r="AV9" s="330"/>
      <c r="AW9" s="131"/>
      <c r="AX9" s="330"/>
      <c r="AY9" s="131"/>
      <c r="AZ9" s="330"/>
      <c r="BA9" s="304"/>
      <c r="BB9" s="131"/>
      <c r="BC9" s="304"/>
      <c r="BD9" s="304"/>
      <c r="BE9" s="131"/>
      <c r="BF9" s="304"/>
      <c r="BG9" s="304"/>
      <c r="BH9" s="304"/>
      <c r="BI9" s="304"/>
      <c r="BJ9" s="304"/>
      <c r="BK9" s="304"/>
      <c r="BL9" s="304"/>
      <c r="BM9" s="304"/>
      <c r="BN9" s="304"/>
      <c r="BO9" s="131"/>
      <c r="BP9" s="247"/>
      <c r="BQ9" s="131"/>
      <c r="BR9" s="304"/>
    </row>
    <row r="10" spans="1:70">
      <c r="A10" s="330" t="s">
        <v>626</v>
      </c>
      <c r="B10" s="330"/>
      <c r="C10" s="330"/>
      <c r="D10" s="397">
        <f>'qtrP&amp;L'!F132</f>
        <v>0</v>
      </c>
      <c r="E10" s="330" t="s">
        <v>1228</v>
      </c>
      <c r="F10" s="401">
        <v>25.47</v>
      </c>
      <c r="G10" s="397"/>
      <c r="H10" s="397">
        <f>'qtrP&amp;L'!N132</f>
        <v>15.712000000000016</v>
      </c>
      <c r="I10" s="397"/>
      <c r="J10" s="397">
        <f>'qtrP&amp;L'!R132</f>
        <v>-10.242000000000019</v>
      </c>
      <c r="K10" s="397"/>
      <c r="L10" s="398">
        <f>'qtrP&amp;L'!V132</f>
        <v>29.341000000000015</v>
      </c>
      <c r="M10" s="330"/>
      <c r="N10" s="397">
        <f>'qtrP&amp;L'!Z132</f>
        <v>39.214999999999975</v>
      </c>
      <c r="O10" s="397" t="s">
        <v>1228</v>
      </c>
      <c r="P10" s="397">
        <f>'qtrP&amp;L'!AD132</f>
        <v>58.439000000000071</v>
      </c>
      <c r="Q10" s="397"/>
      <c r="R10" s="397">
        <f>'qtrP&amp;L'!AH132</f>
        <v>72.822000000000031</v>
      </c>
      <c r="S10" s="397"/>
      <c r="T10" s="397">
        <f>'qtrP&amp;L'!AL132</f>
        <v>90.06200000000004</v>
      </c>
      <c r="U10" s="397"/>
      <c r="V10" s="398">
        <f>'qtrP&amp;L'!AP132</f>
        <v>145.67899999999995</v>
      </c>
      <c r="W10" s="399"/>
      <c r="X10" s="397">
        <f>'qtrP&amp;L'!AT132</f>
        <v>190.584</v>
      </c>
      <c r="Y10" s="397"/>
      <c r="Z10" s="397">
        <f>+'qtrP&amp;L'!AX132</f>
        <v>173.58699999999999</v>
      </c>
      <c r="AA10" s="400"/>
      <c r="AB10" s="397">
        <f>'qtrP&amp;L'!BB132</f>
        <v>189.89400000000006</v>
      </c>
      <c r="AC10" s="400"/>
      <c r="AD10" s="397">
        <f>'qtrP&amp;L'!BF132</f>
        <v>215.51699999999994</v>
      </c>
      <c r="AE10" s="400"/>
      <c r="AF10" s="400">
        <f>'qtrP&amp;L'!BJ132</f>
        <v>304.29899999999992</v>
      </c>
      <c r="AG10" s="400"/>
      <c r="AH10" s="397">
        <f>'qtrP&amp;L'!BN132</f>
        <v>254.65500000000011</v>
      </c>
      <c r="AI10" s="397"/>
      <c r="AJ10" s="412">
        <v>287.66300000000001</v>
      </c>
      <c r="AK10" s="131"/>
      <c r="AL10" s="398">
        <f>323.478+46.521</f>
        <v>369.99900000000002</v>
      </c>
      <c r="AM10" s="131"/>
      <c r="AN10" s="398">
        <f>'qtrP&amp;L'!$BZ$152+12.133</f>
        <v>232.15500000000006</v>
      </c>
      <c r="AO10" s="131"/>
      <c r="AP10" s="397">
        <f>'qtrP&amp;L'!$CD152+0.853</f>
        <v>265.6760000000001</v>
      </c>
      <c r="AQ10" s="131"/>
      <c r="AR10" s="398">
        <f>+'qtrP&amp;L'!CH152</f>
        <v>368.40300000000002</v>
      </c>
      <c r="AS10" s="247"/>
      <c r="AT10" s="398">
        <f>ROUND('qtrP&amp;L'!CL152,3)</f>
        <v>439.19</v>
      </c>
      <c r="AU10" s="247"/>
      <c r="AV10" s="398">
        <f>'yrP&amp;L'!X46</f>
        <v>416.1569999999997</v>
      </c>
      <c r="AW10" s="247"/>
      <c r="AX10" s="398">
        <v>181.369</v>
      </c>
      <c r="AY10" s="131"/>
      <c r="AZ10" s="397">
        <f>'yrP&amp;L'!Z46-60.956</f>
        <v>484.17899999999906</v>
      </c>
      <c r="BA10" s="131"/>
      <c r="BB10" s="397">
        <f>'yrP&amp;L'!AA46-30.5</f>
        <v>463.94300000000129</v>
      </c>
      <c r="BC10" s="131"/>
      <c r="BD10" s="397">
        <f>'yrP&amp;L'!AB46-24</f>
        <v>446.09999999999957</v>
      </c>
      <c r="BE10" s="131"/>
      <c r="BF10" s="397">
        <f>'yrP&amp;L'!AC46-146.1</f>
        <v>370.1</v>
      </c>
      <c r="BG10" s="131"/>
      <c r="BH10" s="397">
        <f>'yrP&amp;L'!AD46</f>
        <v>546.66775698586127</v>
      </c>
      <c r="BI10" s="131"/>
      <c r="BJ10" s="397">
        <f>'yrP&amp;L'!AE46</f>
        <v>609.86590698598116</v>
      </c>
      <c r="BK10" s="131"/>
      <c r="BL10" s="397">
        <f>'yrP&amp;L'!AF46</f>
        <v>654.6235504587105</v>
      </c>
      <c r="BM10" s="131"/>
      <c r="BN10" s="397">
        <f>'yrP&amp;L'!AG46</f>
        <v>692.78093969266797</v>
      </c>
      <c r="BO10" s="131"/>
      <c r="BP10" s="397">
        <f>'yrP&amp;L'!AH46</f>
        <v>737.17847186304641</v>
      </c>
      <c r="BQ10" s="131"/>
      <c r="BR10" s="131"/>
    </row>
    <row r="11" spans="1:70">
      <c r="A11" s="330"/>
      <c r="B11" s="330" t="s">
        <v>627</v>
      </c>
      <c r="C11" s="330"/>
      <c r="D11" s="338">
        <f>'yrP&amp;L'!B28</f>
        <v>0</v>
      </c>
      <c r="E11" s="338" t="s">
        <v>1228</v>
      </c>
      <c r="F11" s="338">
        <v>8.1340000000000003</v>
      </c>
      <c r="G11" s="338"/>
      <c r="H11" s="338">
        <v>11.425000000000001</v>
      </c>
      <c r="I11" s="338"/>
      <c r="J11" s="338">
        <v>13.587</v>
      </c>
      <c r="K11" s="338"/>
      <c r="L11" s="338">
        <v>16.501000000000001</v>
      </c>
      <c r="M11" s="338"/>
      <c r="N11" s="338">
        <v>18.79</v>
      </c>
      <c r="O11" s="338" t="s">
        <v>1228</v>
      </c>
      <c r="P11" s="338">
        <v>20.827999999999999</v>
      </c>
      <c r="Q11" s="338"/>
      <c r="R11" s="338">
        <v>22.058</v>
      </c>
      <c r="S11" s="338"/>
      <c r="T11" s="421">
        <v>29.652000000000001</v>
      </c>
      <c r="U11" s="338"/>
      <c r="V11" s="338">
        <v>41.542999999999999</v>
      </c>
      <c r="W11" s="402"/>
      <c r="X11" s="421">
        <v>47.508000000000003</v>
      </c>
      <c r="Y11" s="403"/>
      <c r="Z11" s="421">
        <v>65.159000000000006</v>
      </c>
      <c r="AA11" s="421"/>
      <c r="AB11" s="421">
        <v>78.007999999999996</v>
      </c>
      <c r="AC11" s="421"/>
      <c r="AD11" s="421">
        <v>89.307000000000002</v>
      </c>
      <c r="AE11" s="338"/>
      <c r="AF11" s="421">
        <v>106.83199999999999</v>
      </c>
      <c r="AG11" s="338"/>
      <c r="AH11" s="338">
        <v>109.449</v>
      </c>
      <c r="AI11" s="338"/>
      <c r="AJ11" s="338">
        <v>115.297</v>
      </c>
      <c r="AK11" s="131"/>
      <c r="AL11" s="338">
        <v>128.07599999999999</v>
      </c>
      <c r="AM11" s="131"/>
      <c r="AN11" s="338">
        <v>135.83199999999999</v>
      </c>
      <c r="AO11" s="131"/>
      <c r="AP11" s="338">
        <v>139.41900000000001</v>
      </c>
      <c r="AQ11" s="131"/>
      <c r="AR11" s="2152">
        <v>147.87</v>
      </c>
      <c r="AS11" s="2154"/>
      <c r="AT11" s="2152">
        <v>145.934</v>
      </c>
      <c r="AU11" s="2154"/>
      <c r="AV11" s="2152">
        <v>163.649</v>
      </c>
      <c r="AW11" s="2154"/>
      <c r="AX11" s="2152">
        <v>180.62899999999999</v>
      </c>
      <c r="AY11" s="131"/>
      <c r="AZ11" s="2151">
        <v>194.15799999999999</v>
      </c>
      <c r="BA11" s="131"/>
      <c r="BB11" s="2151">
        <v>202.5</v>
      </c>
      <c r="BC11" s="131"/>
      <c r="BD11" s="2151">
        <v>208.5</v>
      </c>
      <c r="BE11" s="131"/>
      <c r="BF11" s="2463">
        <v>206.9</v>
      </c>
      <c r="BG11" s="131"/>
      <c r="BH11" s="338">
        <f>+'yrP&amp;L'!AD28</f>
        <v>210.46173284360725</v>
      </c>
      <c r="BI11" s="131"/>
      <c r="BJ11" s="338">
        <f>+'yrP&amp;L'!AE28</f>
        <v>217.29269674565469</v>
      </c>
      <c r="BK11" s="131"/>
      <c r="BL11" s="338">
        <f>+'yrP&amp;L'!AF28</f>
        <v>228.86761198250457</v>
      </c>
      <c r="BM11" s="131"/>
      <c r="BN11" s="338">
        <f>+'yrP&amp;L'!AG28</f>
        <v>202.88609111139425</v>
      </c>
      <c r="BO11" s="131"/>
      <c r="BP11" s="338">
        <f>+'yrP&amp;L'!AH28</f>
        <v>248.14354246405523</v>
      </c>
      <c r="BQ11" s="131"/>
      <c r="BR11" s="131"/>
    </row>
    <row r="12" spans="1:70">
      <c r="A12" s="330"/>
      <c r="B12" s="330" t="s">
        <v>1219</v>
      </c>
      <c r="C12" s="330"/>
      <c r="D12" s="338"/>
      <c r="E12" s="338"/>
      <c r="F12" s="338"/>
      <c r="G12" s="338"/>
      <c r="H12" s="338"/>
      <c r="I12" s="338"/>
      <c r="J12" s="338"/>
      <c r="K12" s="338"/>
      <c r="L12" s="338"/>
      <c r="M12" s="338"/>
      <c r="N12" s="338"/>
      <c r="O12" s="338"/>
      <c r="P12" s="338"/>
      <c r="Q12" s="338"/>
      <c r="R12" s="338"/>
      <c r="S12" s="338"/>
      <c r="T12" s="421"/>
      <c r="U12" s="338"/>
      <c r="V12" s="338">
        <v>0.193</v>
      </c>
      <c r="W12" s="402"/>
      <c r="X12" s="421">
        <v>1.1679999999999999</v>
      </c>
      <c r="Y12" s="403"/>
      <c r="Z12" s="421">
        <v>-2.633</v>
      </c>
      <c r="AA12" s="421"/>
      <c r="AB12" s="421">
        <v>2.8929999999999998</v>
      </c>
      <c r="AC12" s="421"/>
      <c r="AD12" s="421"/>
      <c r="AE12" s="338"/>
      <c r="AF12" s="421">
        <f>-193.597</f>
        <v>-193.59700000000001</v>
      </c>
      <c r="AG12" s="338"/>
      <c r="AH12" s="338">
        <v>0</v>
      </c>
      <c r="AI12" s="338"/>
      <c r="AJ12" s="432">
        <v>-6.774</v>
      </c>
      <c r="AK12" s="131"/>
      <c r="AL12" s="338">
        <v>-105.051</v>
      </c>
      <c r="AM12" s="131"/>
      <c r="AN12" s="338">
        <v>0</v>
      </c>
      <c r="AO12" s="131"/>
      <c r="AP12" s="338">
        <v>0</v>
      </c>
      <c r="AQ12" s="131"/>
      <c r="AR12" s="2152">
        <v>0</v>
      </c>
      <c r="AS12" s="2154"/>
      <c r="AT12" s="2152">
        <v>0</v>
      </c>
      <c r="AU12" s="2154"/>
      <c r="AV12" s="2152">
        <v>0</v>
      </c>
      <c r="AW12" s="2154"/>
      <c r="AX12" s="2152">
        <v>0</v>
      </c>
      <c r="AY12" s="131"/>
      <c r="AZ12" s="2151">
        <v>0</v>
      </c>
      <c r="BA12" s="131"/>
      <c r="BB12" s="2151">
        <v>0</v>
      </c>
      <c r="BC12" s="131"/>
      <c r="BD12" s="2151">
        <v>0</v>
      </c>
      <c r="BE12" s="131"/>
      <c r="BF12" s="338">
        <v>0</v>
      </c>
      <c r="BG12" s="131"/>
      <c r="BH12" s="338">
        <v>0</v>
      </c>
      <c r="BI12" s="131"/>
      <c r="BJ12" s="338">
        <v>0</v>
      </c>
      <c r="BK12" s="131"/>
      <c r="BL12" s="338">
        <v>0</v>
      </c>
      <c r="BM12" s="131"/>
      <c r="BN12" s="338">
        <v>0</v>
      </c>
      <c r="BO12" s="131"/>
      <c r="BP12" s="338">
        <v>0</v>
      </c>
      <c r="BQ12" s="131"/>
      <c r="BR12" s="131"/>
    </row>
    <row r="13" spans="1:70" outlineLevel="1">
      <c r="A13" s="405"/>
      <c r="B13" s="405" t="s">
        <v>1589</v>
      </c>
      <c r="C13" s="405"/>
      <c r="D13" s="412"/>
      <c r="E13" s="412"/>
      <c r="F13" s="412">
        <v>1.042</v>
      </c>
      <c r="G13" s="412"/>
      <c r="H13" s="412">
        <v>1.1519999999999999</v>
      </c>
      <c r="I13" s="412"/>
      <c r="J13" s="412">
        <v>2.6280000000000001</v>
      </c>
      <c r="K13" s="412"/>
      <c r="L13" s="412">
        <v>1.825</v>
      </c>
      <c r="M13" s="412"/>
      <c r="N13" s="412">
        <v>1.7450000000000001</v>
      </c>
      <c r="O13" s="412"/>
      <c r="P13" s="412">
        <v>2.1379999999999999</v>
      </c>
      <c r="Q13" s="412"/>
      <c r="R13" s="412">
        <v>1.2549999999999999</v>
      </c>
      <c r="S13" s="412"/>
      <c r="T13" s="432">
        <f>1.996-2.58</f>
        <v>-0.58400000000000007</v>
      </c>
      <c r="U13" s="412"/>
      <c r="V13" s="412">
        <v>1.4419999999999999</v>
      </c>
      <c r="W13" s="416"/>
      <c r="X13" s="432">
        <v>1.2769999999999999</v>
      </c>
      <c r="Y13" s="1174"/>
      <c r="Z13" s="432">
        <v>1.702</v>
      </c>
      <c r="AA13" s="432"/>
      <c r="AB13" s="432">
        <v>0.82899999999999996</v>
      </c>
      <c r="AC13" s="432"/>
      <c r="AD13" s="432"/>
      <c r="AE13" s="412"/>
      <c r="AF13" s="432"/>
      <c r="AG13" s="412"/>
      <c r="AH13" s="412"/>
      <c r="AI13" s="412"/>
      <c r="AJ13" s="412"/>
      <c r="AK13" s="790"/>
      <c r="AL13" s="412">
        <f>+AJ13</f>
        <v>0</v>
      </c>
      <c r="AM13" s="247"/>
      <c r="AN13" s="412"/>
      <c r="AO13" s="247"/>
      <c r="AP13" s="412">
        <f>+AN13</f>
        <v>0</v>
      </c>
      <c r="AQ13" s="247"/>
      <c r="AR13" s="2152">
        <f>+AP13</f>
        <v>0</v>
      </c>
      <c r="AS13" s="2154"/>
      <c r="AT13" s="2152">
        <f>+AR13</f>
        <v>0</v>
      </c>
      <c r="AU13" s="2154"/>
      <c r="AV13" s="2152">
        <f>+AT13</f>
        <v>0</v>
      </c>
      <c r="AW13" s="2154"/>
      <c r="AX13" s="2152">
        <v>0</v>
      </c>
      <c r="AY13" s="247"/>
      <c r="AZ13" s="2152">
        <v>0</v>
      </c>
      <c r="BA13" s="247"/>
      <c r="BB13" s="412">
        <f>+AZ13</f>
        <v>0</v>
      </c>
      <c r="BC13" s="247"/>
      <c r="BD13" s="412">
        <f>+BB13</f>
        <v>0</v>
      </c>
      <c r="BE13" s="247"/>
      <c r="BF13" s="412">
        <f>+BD13</f>
        <v>0</v>
      </c>
      <c r="BG13" s="247"/>
      <c r="BH13" s="412">
        <f>+BF13</f>
        <v>0</v>
      </c>
      <c r="BI13" s="247"/>
      <c r="BJ13" s="412">
        <f>+BH13</f>
        <v>0</v>
      </c>
      <c r="BK13" s="247"/>
      <c r="BL13" s="412">
        <f>+BJ13</f>
        <v>0</v>
      </c>
      <c r="BM13" s="247"/>
      <c r="BN13" s="412">
        <f>+BL13</f>
        <v>0</v>
      </c>
      <c r="BO13" s="247"/>
      <c r="BP13" s="412">
        <f>+BN13</f>
        <v>0</v>
      </c>
      <c r="BQ13" s="247"/>
      <c r="BR13" s="247"/>
    </row>
    <row r="14" spans="1:70">
      <c r="A14" s="330"/>
      <c r="B14" s="330" t="s">
        <v>580</v>
      </c>
      <c r="C14" s="330"/>
      <c r="D14" s="338"/>
      <c r="E14" s="338"/>
      <c r="F14" s="338">
        <v>2.1890000000000001</v>
      </c>
      <c r="G14" s="338"/>
      <c r="H14" s="338">
        <v>2.02</v>
      </c>
      <c r="I14" s="338"/>
      <c r="J14" s="338">
        <v>3.8330000000000002</v>
      </c>
      <c r="K14" s="338"/>
      <c r="L14" s="338">
        <v>1.788</v>
      </c>
      <c r="M14" s="338"/>
      <c r="N14" s="338">
        <v>3.044</v>
      </c>
      <c r="O14" s="338"/>
      <c r="P14" s="338">
        <v>5.22</v>
      </c>
      <c r="Q14" s="338"/>
      <c r="R14" s="338">
        <v>6.0190000000000001</v>
      </c>
      <c r="S14" s="338"/>
      <c r="T14" s="421">
        <v>6.0149999999999997</v>
      </c>
      <c r="U14" s="338"/>
      <c r="V14" s="338">
        <v>3.5070000000000001</v>
      </c>
      <c r="W14" s="402"/>
      <c r="X14" s="421">
        <v>17.666</v>
      </c>
      <c r="Y14" s="403"/>
      <c r="Z14" s="421">
        <v>10.085000000000001</v>
      </c>
      <c r="AA14" s="421"/>
      <c r="AB14" s="421">
        <v>12.257999999999999</v>
      </c>
      <c r="AC14" s="421"/>
      <c r="AD14" s="421">
        <v>6.5330000000000004</v>
      </c>
      <c r="AE14" s="338"/>
      <c r="AF14" s="421">
        <v>2.4329999999999998</v>
      </c>
      <c r="AG14" s="338"/>
      <c r="AH14" s="412">
        <v>10.179</v>
      </c>
      <c r="AI14" s="338"/>
      <c r="AJ14" s="338">
        <v>9.8800000000000008</v>
      </c>
      <c r="AK14" s="131"/>
      <c r="AL14" s="338">
        <v>35.356999999999999</v>
      </c>
      <c r="AM14" s="131"/>
      <c r="AN14" s="338">
        <v>20.995999999999999</v>
      </c>
      <c r="AO14" s="131"/>
      <c r="AP14" s="338">
        <v>31.599</v>
      </c>
      <c r="AQ14" s="131"/>
      <c r="AR14" s="2152">
        <v>25.608000000000001</v>
      </c>
      <c r="AS14" s="2154"/>
      <c r="AT14" s="2152">
        <v>30.664999999999999</v>
      </c>
      <c r="AU14" s="2154"/>
      <c r="AV14" s="2152">
        <v>32.228000000000002</v>
      </c>
      <c r="AW14" s="2154"/>
      <c r="AX14" s="2152">
        <v>31.667000000000002</v>
      </c>
      <c r="AY14" s="131"/>
      <c r="AZ14" s="2151">
        <v>33.619999999999997</v>
      </c>
      <c r="BA14" s="131"/>
      <c r="BB14" s="2151">
        <v>25.4</v>
      </c>
      <c r="BC14" s="131"/>
      <c r="BD14" s="2151">
        <v>19.2</v>
      </c>
      <c r="BE14" s="131"/>
      <c r="BF14" s="2463">
        <v>28.9</v>
      </c>
      <c r="BG14" s="131"/>
      <c r="BH14" s="338">
        <f>+BF14</f>
        <v>28.9</v>
      </c>
      <c r="BI14" s="131"/>
      <c r="BJ14" s="338">
        <f>+BH14</f>
        <v>28.9</v>
      </c>
      <c r="BK14" s="131"/>
      <c r="BL14" s="338">
        <f>+BJ14</f>
        <v>28.9</v>
      </c>
      <c r="BM14" s="131"/>
      <c r="BN14" s="338">
        <f>+BL14</f>
        <v>28.9</v>
      </c>
      <c r="BO14" s="131"/>
      <c r="BP14" s="338">
        <f>+BN14</f>
        <v>28.9</v>
      </c>
      <c r="BQ14" s="131"/>
      <c r="BR14" s="131"/>
    </row>
    <row r="15" spans="1:70">
      <c r="A15" s="330"/>
      <c r="B15" s="330" t="s">
        <v>1587</v>
      </c>
      <c r="C15" s="330"/>
      <c r="D15" s="338"/>
      <c r="E15" s="338"/>
      <c r="F15" s="421">
        <v>-4.1109999999999998</v>
      </c>
      <c r="G15" s="421"/>
      <c r="H15" s="421">
        <v>-4.5960000000000001</v>
      </c>
      <c r="I15" s="421"/>
      <c r="J15" s="421">
        <v>-7.181</v>
      </c>
      <c r="K15" s="421"/>
      <c r="L15" s="421">
        <v>-2.0390000000000001</v>
      </c>
      <c r="M15" s="421"/>
      <c r="N15" s="338">
        <v>-7.5279999999999996</v>
      </c>
      <c r="O15" s="338"/>
      <c r="P15" s="338">
        <v>-6.6950000000000003</v>
      </c>
      <c r="Q15" s="338"/>
      <c r="R15" s="338">
        <v>-1.782</v>
      </c>
      <c r="S15" s="338"/>
      <c r="T15" s="421">
        <v>-0.61799999999999999</v>
      </c>
      <c r="U15" s="338"/>
      <c r="V15" s="338">
        <v>-8.98</v>
      </c>
      <c r="W15" s="402"/>
      <c r="X15" s="421">
        <v>0.78200000000000003</v>
      </c>
      <c r="Y15" s="403"/>
      <c r="Z15" s="421">
        <v>-14.667999999999999</v>
      </c>
      <c r="AA15" s="421"/>
      <c r="AB15" s="421">
        <v>-1.3149999999999999</v>
      </c>
      <c r="AC15" s="421"/>
      <c r="AD15" s="421">
        <v>18.497</v>
      </c>
      <c r="AE15" s="338"/>
      <c r="AF15" s="421">
        <v>-15.06</v>
      </c>
      <c r="AG15" s="338"/>
      <c r="AH15" s="432">
        <v>-58.441000000000003</v>
      </c>
      <c r="AI15" s="338"/>
      <c r="AJ15" s="338">
        <v>12.882</v>
      </c>
      <c r="AK15" s="131"/>
      <c r="AL15" s="338">
        <v>-70.486999999999995</v>
      </c>
      <c r="AM15" s="131"/>
      <c r="AN15" s="338">
        <v>14.625999999999999</v>
      </c>
      <c r="AO15" s="131"/>
      <c r="AP15" s="338">
        <v>-14.839</v>
      </c>
      <c r="AQ15" s="131"/>
      <c r="AR15" s="2152">
        <v>-60.332000000000001</v>
      </c>
      <c r="AS15" s="2154"/>
      <c r="AT15" s="2152">
        <v>-50.768000000000001</v>
      </c>
      <c r="AU15" s="2154"/>
      <c r="AV15" s="2152">
        <v>-19.282</v>
      </c>
      <c r="AW15" s="2154"/>
      <c r="AX15" s="2152">
        <v>-27.855</v>
      </c>
      <c r="AY15" s="131"/>
      <c r="AZ15" s="2151">
        <v>37.712000000000003</v>
      </c>
      <c r="BA15" s="131"/>
      <c r="BB15" s="2151">
        <v>-1.9</v>
      </c>
      <c r="BC15" s="131"/>
      <c r="BD15" s="2151">
        <v>46.1</v>
      </c>
      <c r="BE15" s="131"/>
      <c r="BF15" s="2463">
        <v>96.8</v>
      </c>
      <c r="BG15" s="131"/>
      <c r="BH15" s="338">
        <f>(bal!BI35-bal!BG35)-(bal!BI13-bal!BG13)</f>
        <v>0</v>
      </c>
      <c r="BI15" s="131"/>
      <c r="BJ15" s="338">
        <f>(bal!BK35-bal!BI35)-(bal!BK13-bal!BI13)</f>
        <v>0</v>
      </c>
      <c r="BK15" s="131"/>
      <c r="BL15" s="338">
        <f>(bal!BM35-bal!BK35)-(bal!BM13-bal!BK13)</f>
        <v>0</v>
      </c>
      <c r="BM15" s="131"/>
      <c r="BN15" s="338">
        <f>(bal!BO35-bal!BM35)-(bal!BO13-bal!BM13)</f>
        <v>0</v>
      </c>
      <c r="BO15" s="131"/>
      <c r="BP15" s="338">
        <f>(bal!BQ35-bal!BO35)-(bal!BQ13-bal!BO13)</f>
        <v>0</v>
      </c>
      <c r="BQ15" s="131"/>
      <c r="BR15" s="131"/>
    </row>
    <row r="16" spans="1:70" outlineLevel="1">
      <c r="A16" s="330"/>
      <c r="B16" s="330" t="s">
        <v>65</v>
      </c>
      <c r="C16" s="330"/>
      <c r="D16" s="338"/>
      <c r="E16" s="338"/>
      <c r="F16" s="421"/>
      <c r="G16" s="421"/>
      <c r="H16" s="421"/>
      <c r="I16" s="421"/>
      <c r="J16" s="421"/>
      <c r="K16" s="421"/>
      <c r="L16" s="421"/>
      <c r="M16" s="421"/>
      <c r="N16" s="338">
        <f>-2.33+2.956+2.419</f>
        <v>3.0449999999999999</v>
      </c>
      <c r="O16" s="338"/>
      <c r="P16" s="338">
        <f>-4.5+2.281</f>
        <v>-2.2189999999999999</v>
      </c>
      <c r="Q16" s="338"/>
      <c r="R16" s="338">
        <v>0</v>
      </c>
      <c r="S16" s="338"/>
      <c r="T16" s="421"/>
      <c r="U16" s="338"/>
      <c r="V16" s="338"/>
      <c r="W16" s="402"/>
      <c r="X16" s="421"/>
      <c r="Y16" s="403"/>
      <c r="Z16" s="421"/>
      <c r="AA16" s="421"/>
      <c r="AB16" s="421"/>
      <c r="AC16" s="421"/>
      <c r="AD16" s="421">
        <v>0.17499999999999999</v>
      </c>
      <c r="AE16" s="338"/>
      <c r="AF16" s="421">
        <v>1.353</v>
      </c>
      <c r="AG16" s="338"/>
      <c r="AH16" s="432">
        <v>4.9249999999999998</v>
      </c>
      <c r="AI16" s="338"/>
      <c r="AJ16" s="338"/>
      <c r="AK16" s="131"/>
      <c r="AL16" s="338"/>
      <c r="AM16" s="131"/>
      <c r="AN16" s="338"/>
      <c r="AO16" s="131"/>
      <c r="AP16" s="338"/>
      <c r="AQ16" s="131"/>
      <c r="AR16" s="2152"/>
      <c r="AS16" s="2154"/>
      <c r="AT16" s="2152"/>
      <c r="AU16" s="2154"/>
      <c r="AV16" s="2152"/>
      <c r="AW16" s="2154"/>
      <c r="AX16" s="2152"/>
      <c r="AY16" s="131"/>
      <c r="AZ16" s="2151"/>
      <c r="BA16" s="131"/>
      <c r="BB16" s="338"/>
      <c r="BC16" s="131"/>
      <c r="BD16" s="338"/>
      <c r="BE16" s="131"/>
      <c r="BF16" s="338"/>
      <c r="BG16" s="131"/>
      <c r="BH16" s="338"/>
      <c r="BI16" s="131"/>
      <c r="BJ16" s="338"/>
      <c r="BK16" s="131"/>
      <c r="BL16" s="338"/>
      <c r="BM16" s="131"/>
      <c r="BN16" s="338"/>
      <c r="BO16" s="131"/>
      <c r="BP16" s="247"/>
      <c r="BQ16" s="131"/>
      <c r="BR16" s="131"/>
    </row>
    <row r="17" spans="1:70">
      <c r="A17" s="330"/>
      <c r="B17" s="330" t="s">
        <v>581</v>
      </c>
      <c r="C17" s="330"/>
      <c r="D17" s="338"/>
      <c r="E17" s="338"/>
      <c r="F17" s="421">
        <v>11.96</v>
      </c>
      <c r="G17" s="421"/>
      <c r="H17" s="421">
        <v>1.6</v>
      </c>
      <c r="I17" s="421"/>
      <c r="J17" s="421">
        <v>1.55</v>
      </c>
      <c r="K17" s="421"/>
      <c r="L17" s="421">
        <v>2.2610000000000001</v>
      </c>
      <c r="M17" s="421"/>
      <c r="N17" s="338">
        <v>1.45</v>
      </c>
      <c r="O17" s="338"/>
      <c r="P17" s="338">
        <v>1.1599999999999999</v>
      </c>
      <c r="Q17" s="338"/>
      <c r="R17" s="338">
        <v>0.93</v>
      </c>
      <c r="S17" s="338"/>
      <c r="T17" s="421">
        <v>1.4179999999999999</v>
      </c>
      <c r="U17" s="338"/>
      <c r="V17" s="338">
        <v>1.6259999999999999</v>
      </c>
      <c r="W17" s="402"/>
      <c r="X17" s="421">
        <v>2.97</v>
      </c>
      <c r="Y17" s="338"/>
      <c r="Z17" s="421">
        <v>3.8650000000000002</v>
      </c>
      <c r="AA17" s="421"/>
      <c r="AB17" s="421">
        <v>3.117</v>
      </c>
      <c r="AC17" s="421"/>
      <c r="AD17" s="421">
        <v>3.63</v>
      </c>
      <c r="AE17" s="338"/>
      <c r="AF17" s="421">
        <v>19.21</v>
      </c>
      <c r="AG17" s="338"/>
      <c r="AH17" s="412">
        <v>22.334</v>
      </c>
      <c r="AI17" s="338"/>
      <c r="AJ17" s="338">
        <v>24.751000000000001</v>
      </c>
      <c r="AK17" s="131"/>
      <c r="AL17" s="338">
        <v>26.666</v>
      </c>
      <c r="AM17" s="131"/>
      <c r="AN17" s="338">
        <v>23.178999999999998</v>
      </c>
      <c r="AO17" s="131"/>
      <c r="AP17" s="338">
        <v>24.088000000000001</v>
      </c>
      <c r="AQ17" s="131"/>
      <c r="AR17" s="2152">
        <v>26.992999999999999</v>
      </c>
      <c r="AS17" s="2154"/>
      <c r="AT17" s="2152">
        <v>33.457000000000001</v>
      </c>
      <c r="AU17" s="2154"/>
      <c r="AV17" s="2152">
        <v>46.008000000000003</v>
      </c>
      <c r="AW17" s="2154"/>
      <c r="AX17" s="2152">
        <v>48.98</v>
      </c>
      <c r="AY17" s="131"/>
      <c r="AZ17" s="2151">
        <v>39.234000000000002</v>
      </c>
      <c r="BA17" s="131"/>
      <c r="BB17" s="2151">
        <v>65.8</v>
      </c>
      <c r="BC17" s="131"/>
      <c r="BD17" s="2151">
        <v>45.4</v>
      </c>
      <c r="BE17" s="131"/>
      <c r="BF17" s="2463">
        <v>35</v>
      </c>
      <c r="BG17" s="131"/>
      <c r="BH17" s="338">
        <v>10</v>
      </c>
      <c r="BI17" s="131"/>
      <c r="BJ17" s="338">
        <v>10</v>
      </c>
      <c r="BK17" s="131"/>
      <c r="BL17" s="338">
        <v>10</v>
      </c>
      <c r="BM17" s="131"/>
      <c r="BN17" s="338">
        <v>10</v>
      </c>
      <c r="BO17" s="131"/>
      <c r="BP17" s="412">
        <v>10</v>
      </c>
      <c r="BQ17" s="131"/>
      <c r="BR17" s="131"/>
    </row>
    <row r="18" spans="1:70" outlineLevel="1">
      <c r="A18" s="330"/>
      <c r="B18" s="330" t="s">
        <v>582</v>
      </c>
      <c r="C18" s="330"/>
      <c r="D18" s="338"/>
      <c r="E18" s="338"/>
      <c r="F18" s="421"/>
      <c r="G18" s="421"/>
      <c r="H18" s="421"/>
      <c r="I18" s="421"/>
      <c r="J18" s="131"/>
      <c r="K18" s="421"/>
      <c r="L18" s="421"/>
      <c r="M18" s="421"/>
      <c r="N18" s="131"/>
      <c r="O18" s="338"/>
      <c r="P18" s="338"/>
      <c r="Q18" s="338"/>
      <c r="R18" s="338"/>
      <c r="S18" s="338"/>
      <c r="T18" s="421">
        <v>0</v>
      </c>
      <c r="U18" s="338"/>
      <c r="V18" s="338">
        <v>0</v>
      </c>
      <c r="W18" s="402"/>
      <c r="X18" s="421">
        <v>0</v>
      </c>
      <c r="Y18" s="338"/>
      <c r="Z18" s="421">
        <v>-7.1879999999999997</v>
      </c>
      <c r="AA18" s="421"/>
      <c r="AB18" s="421">
        <v>-6.7619999999999996</v>
      </c>
      <c r="AC18" s="421"/>
      <c r="AD18" s="421"/>
      <c r="AE18" s="338"/>
      <c r="AF18" s="421">
        <v>2.883</v>
      </c>
      <c r="AG18" s="338"/>
      <c r="AH18" s="412">
        <v>1.5720000000000001</v>
      </c>
      <c r="AI18" s="338"/>
      <c r="AJ18" s="338"/>
      <c r="AK18" s="131"/>
      <c r="AL18" s="338"/>
      <c r="AM18" s="131"/>
      <c r="AN18" s="338"/>
      <c r="AO18" s="131"/>
      <c r="AP18" s="338"/>
      <c r="AQ18" s="131"/>
      <c r="AR18" s="2152"/>
      <c r="AS18" s="2154"/>
      <c r="AT18" s="2152"/>
      <c r="AU18" s="2154"/>
      <c r="AV18" s="2152"/>
      <c r="AW18" s="2154"/>
      <c r="AX18" s="2152"/>
      <c r="AY18" s="131"/>
      <c r="AZ18" s="2151"/>
      <c r="BA18" s="131"/>
      <c r="BB18" s="338"/>
      <c r="BC18" s="131"/>
      <c r="BD18" s="338"/>
      <c r="BE18" s="131"/>
      <c r="BF18" s="338"/>
      <c r="BG18" s="131"/>
      <c r="BH18" s="338"/>
      <c r="BI18" s="131"/>
      <c r="BJ18" s="338"/>
      <c r="BK18" s="131"/>
      <c r="BL18" s="338"/>
      <c r="BM18" s="131"/>
      <c r="BN18" s="338"/>
      <c r="BO18" s="131"/>
      <c r="BP18" s="247"/>
      <c r="BQ18" s="131"/>
      <c r="BR18" s="131"/>
    </row>
    <row r="19" spans="1:70">
      <c r="A19" s="330"/>
      <c r="B19" s="330" t="s">
        <v>1</v>
      </c>
      <c r="C19" s="330"/>
      <c r="D19" s="338"/>
      <c r="E19" s="338"/>
      <c r="F19" s="421"/>
      <c r="G19" s="421"/>
      <c r="H19" s="421"/>
      <c r="I19" s="421"/>
      <c r="J19" s="131"/>
      <c r="K19" s="421"/>
      <c r="L19" s="421"/>
      <c r="M19" s="421"/>
      <c r="N19" s="131"/>
      <c r="O19" s="338"/>
      <c r="P19" s="338"/>
      <c r="Q19" s="338"/>
      <c r="R19" s="338"/>
      <c r="S19" s="338"/>
      <c r="T19" s="421"/>
      <c r="U19" s="338"/>
      <c r="V19" s="338"/>
      <c r="W19" s="402"/>
      <c r="X19" s="421"/>
      <c r="Y19" s="338"/>
      <c r="Z19" s="421"/>
      <c r="AA19" s="421"/>
      <c r="AB19" s="421"/>
      <c r="AC19" s="421"/>
      <c r="AD19" s="421"/>
      <c r="AE19" s="338"/>
      <c r="AF19" s="421">
        <f>22.1</f>
        <v>22.1</v>
      </c>
      <c r="AG19" s="338"/>
      <c r="AH19" s="412">
        <f>25.622</f>
        <v>25.622</v>
      </c>
      <c r="AI19" s="338"/>
      <c r="AJ19" s="338">
        <v>32.792999999999999</v>
      </c>
      <c r="AK19" s="131"/>
      <c r="AL19" s="338">
        <v>37.069000000000003</v>
      </c>
      <c r="AM19" s="131"/>
      <c r="AN19" s="338">
        <v>22.405999999999999</v>
      </c>
      <c r="AO19" s="131"/>
      <c r="AP19" s="338">
        <v>23.538</v>
      </c>
      <c r="AQ19" s="131"/>
      <c r="AR19" s="2152">
        <v>25.436</v>
      </c>
      <c r="AS19" s="2154"/>
      <c r="AT19" s="2152">
        <v>30.446999999999999</v>
      </c>
      <c r="AU19" s="2154"/>
      <c r="AV19" s="2152">
        <v>26.937999999999999</v>
      </c>
      <c r="AW19" s="2154"/>
      <c r="AX19" s="2152">
        <v>32.188000000000002</v>
      </c>
      <c r="AY19" s="131"/>
      <c r="AZ19" s="2151">
        <v>26.451000000000001</v>
      </c>
      <c r="BA19" s="131"/>
      <c r="BB19" s="2151">
        <v>24.5</v>
      </c>
      <c r="BC19" s="131"/>
      <c r="BD19" s="2151">
        <v>24.3</v>
      </c>
      <c r="BE19" s="131"/>
      <c r="BF19" s="2463">
        <v>28</v>
      </c>
      <c r="BG19" s="131"/>
      <c r="BH19" s="338">
        <f>BF19</f>
        <v>28</v>
      </c>
      <c r="BI19" s="131"/>
      <c r="BJ19" s="338">
        <f>BH19</f>
        <v>28</v>
      </c>
      <c r="BK19" s="131"/>
      <c r="BL19" s="338">
        <f>BJ19</f>
        <v>28</v>
      </c>
      <c r="BM19" s="131"/>
      <c r="BN19" s="338">
        <f>BL19</f>
        <v>28</v>
      </c>
      <c r="BO19" s="131"/>
      <c r="BP19" s="412">
        <f>BN19</f>
        <v>28</v>
      </c>
      <c r="BQ19" s="131"/>
      <c r="BR19" s="131"/>
    </row>
    <row r="20" spans="1:70">
      <c r="A20" s="330"/>
      <c r="B20" s="330" t="s">
        <v>610</v>
      </c>
      <c r="C20" s="330"/>
      <c r="D20" s="368"/>
      <c r="E20" s="330"/>
      <c r="F20" s="368"/>
      <c r="G20" s="405"/>
      <c r="H20" s="368">
        <f>7</f>
        <v>7</v>
      </c>
      <c r="I20" s="330"/>
      <c r="J20" s="423">
        <f>57.5-43.837-12.517</f>
        <v>1.1459999999999972</v>
      </c>
      <c r="K20" s="330"/>
      <c r="L20" s="368">
        <f>4.592-0.56</f>
        <v>4.032</v>
      </c>
      <c r="M20" s="330"/>
      <c r="N20" s="368">
        <f>-1.865+2.233+7.925</f>
        <v>8.2929999999999993</v>
      </c>
      <c r="O20" s="330"/>
      <c r="P20" s="368">
        <f>-5.438+4.805</f>
        <v>-0.63300000000000001</v>
      </c>
      <c r="Q20" s="405"/>
      <c r="R20" s="368">
        <f>6.875-3.22</f>
        <v>3.6549999999999998</v>
      </c>
      <c r="S20" s="330"/>
      <c r="T20" s="423">
        <f>7.082+0.435</f>
        <v>7.5169999999999995</v>
      </c>
      <c r="U20" s="330"/>
      <c r="V20" s="368">
        <f>19.632+0.017</f>
        <v>19.649000000000001</v>
      </c>
      <c r="W20" s="330"/>
      <c r="X20" s="423">
        <v>0</v>
      </c>
      <c r="Y20" s="330"/>
      <c r="Z20" s="423">
        <v>7.8</v>
      </c>
      <c r="AA20" s="455"/>
      <c r="AB20" s="423">
        <v>0</v>
      </c>
      <c r="AC20" s="455"/>
      <c r="AD20" s="423"/>
      <c r="AE20" s="330"/>
      <c r="AF20" s="423">
        <f>-2+12.193</f>
        <v>10.193</v>
      </c>
      <c r="AG20" s="330"/>
      <c r="AH20" s="368">
        <f>-8.636</f>
        <v>-8.6359999999999992</v>
      </c>
      <c r="AI20" s="330"/>
      <c r="AJ20" s="368">
        <f>-6.33-0.265</f>
        <v>-6.5949999999999998</v>
      </c>
      <c r="AK20" s="131"/>
      <c r="AL20" s="368">
        <f>-18.739-3.536+47.981</f>
        <v>25.706</v>
      </c>
      <c r="AM20" s="131"/>
      <c r="AN20" s="368">
        <f>-10.196-9.793+21.164+97.839</f>
        <v>99.01400000000001</v>
      </c>
      <c r="AO20" s="131"/>
      <c r="AP20" s="368">
        <f>-9.802-1.349</f>
        <v>-11.151</v>
      </c>
      <c r="AQ20" s="131"/>
      <c r="AR20" s="2155">
        <f>-10.203-9.124</f>
        <v>-19.326999999999998</v>
      </c>
      <c r="AS20" s="2154"/>
      <c r="AT20" s="2155">
        <f>30.884-10.976-18.771</f>
        <v>1.1370000000000005</v>
      </c>
      <c r="AU20" s="2154"/>
      <c r="AV20" s="2155">
        <f>-10.812-11.763</f>
        <v>-22.574999999999999</v>
      </c>
      <c r="AW20" s="2154"/>
      <c r="AX20" s="2155">
        <f>-14.876-9.453</f>
        <v>-24.329000000000001</v>
      </c>
      <c r="AY20" s="131"/>
      <c r="AZ20" s="2153">
        <f>-9.156-14.111</f>
        <v>-23.267000000000003</v>
      </c>
      <c r="BA20" s="131"/>
      <c r="BB20" s="2153">
        <f>-8.3-2.2+37.9</f>
        <v>27.4</v>
      </c>
      <c r="BC20" s="131"/>
      <c r="BD20" s="2153">
        <f>+-8.5-0.7+12.6+25.4</f>
        <v>28.799999999999997</v>
      </c>
      <c r="BE20" s="131"/>
      <c r="BF20" s="2464">
        <f>+-8.2+3+10-3.5</f>
        <v>1.3000000000000007</v>
      </c>
      <c r="BG20" s="131"/>
      <c r="BH20" s="368">
        <v>10</v>
      </c>
      <c r="BI20" s="131"/>
      <c r="BJ20" s="368">
        <v>10</v>
      </c>
      <c r="BK20" s="131"/>
      <c r="BL20" s="368">
        <v>10</v>
      </c>
      <c r="BM20" s="131"/>
      <c r="BN20" s="368">
        <v>10</v>
      </c>
      <c r="BO20" s="131"/>
      <c r="BP20" s="1660">
        <v>10</v>
      </c>
      <c r="BQ20" s="131"/>
      <c r="BR20" s="131"/>
    </row>
    <row r="21" spans="1:70" ht="6" customHeight="1">
      <c r="A21" s="330"/>
      <c r="B21" s="330"/>
      <c r="C21" s="330"/>
      <c r="D21" s="366"/>
      <c r="E21" s="330"/>
      <c r="F21" s="366"/>
      <c r="G21" s="405"/>
      <c r="H21" s="366"/>
      <c r="I21" s="330"/>
      <c r="J21" s="366"/>
      <c r="K21" s="330"/>
      <c r="L21" s="366"/>
      <c r="M21" s="330"/>
      <c r="N21" s="366"/>
      <c r="O21" s="330"/>
      <c r="P21" s="366"/>
      <c r="Q21" s="405"/>
      <c r="R21" s="366"/>
      <c r="S21" s="330"/>
      <c r="T21" s="366"/>
      <c r="U21" s="330"/>
      <c r="V21" s="366"/>
      <c r="W21" s="330"/>
      <c r="X21" s="366"/>
      <c r="Y21" s="330"/>
      <c r="Z21" s="366"/>
      <c r="AA21" s="330"/>
      <c r="AB21" s="366"/>
      <c r="AC21" s="330"/>
      <c r="AD21" s="366"/>
      <c r="AE21" s="330"/>
      <c r="AF21" s="366"/>
      <c r="AG21" s="330"/>
      <c r="AH21" s="366"/>
      <c r="AI21" s="330"/>
      <c r="AJ21" s="844"/>
      <c r="AK21" s="131"/>
      <c r="AL21" s="366"/>
      <c r="AM21" s="131"/>
      <c r="AN21" s="366"/>
      <c r="AO21" s="131"/>
      <c r="AP21" s="366"/>
      <c r="AQ21" s="131"/>
      <c r="AR21" s="374"/>
      <c r="AS21" s="247"/>
      <c r="AT21" s="374"/>
      <c r="AU21" s="247"/>
      <c r="AV21" s="374"/>
      <c r="AW21" s="247"/>
      <c r="AX21" s="374"/>
      <c r="AY21" s="131"/>
      <c r="AZ21" s="366"/>
      <c r="BA21" s="131"/>
      <c r="BB21" s="366"/>
      <c r="BC21" s="131"/>
      <c r="BD21" s="366"/>
      <c r="BE21" s="131"/>
      <c r="BF21" s="366"/>
      <c r="BG21" s="131"/>
      <c r="BH21" s="366"/>
      <c r="BI21" s="131"/>
      <c r="BJ21" s="366"/>
      <c r="BK21" s="131"/>
      <c r="BL21" s="366"/>
      <c r="BM21" s="131"/>
      <c r="BN21" s="366"/>
      <c r="BO21" s="131"/>
      <c r="BP21" s="247"/>
      <c r="BQ21" s="131"/>
      <c r="BR21" s="131"/>
    </row>
    <row r="22" spans="1:70">
      <c r="A22" s="339" t="s">
        <v>611</v>
      </c>
      <c r="B22" s="339"/>
      <c r="C22" s="339"/>
      <c r="D22" s="406">
        <f>SUM(D10:D20)</f>
        <v>0</v>
      </c>
      <c r="E22" s="407"/>
      <c r="F22" s="406">
        <f>SUM(F10:F20)</f>
        <v>44.684000000000005</v>
      </c>
      <c r="G22" s="407"/>
      <c r="H22" s="406">
        <f>SUM(H10:H20)</f>
        <v>34.313000000000017</v>
      </c>
      <c r="I22" s="407"/>
      <c r="J22" s="406">
        <f>SUM(J10:J20)</f>
        <v>5.3209999999999784</v>
      </c>
      <c r="K22" s="407"/>
      <c r="L22" s="406">
        <f>SUM(L10:L20)</f>
        <v>53.709000000000017</v>
      </c>
      <c r="M22" s="407"/>
      <c r="N22" s="406">
        <f>SUM(N10:N20)</f>
        <v>68.053999999999974</v>
      </c>
      <c r="O22" s="407"/>
      <c r="P22" s="406">
        <f>SUM(P10:P20)</f>
        <v>78.238000000000071</v>
      </c>
      <c r="Q22" s="407"/>
      <c r="R22" s="406">
        <f>SUM(R10:R20)</f>
        <v>104.95700000000004</v>
      </c>
      <c r="S22" s="407"/>
      <c r="T22" s="406">
        <f>SUM(T10:T20)</f>
        <v>133.46200000000005</v>
      </c>
      <c r="U22" s="407"/>
      <c r="V22" s="406">
        <f>SUM(V10:V20)</f>
        <v>204.65899999999999</v>
      </c>
      <c r="W22" s="407"/>
      <c r="X22" s="406">
        <f>SUM(X10:X20)</f>
        <v>261.95500000000004</v>
      </c>
      <c r="Y22" s="407"/>
      <c r="Z22" s="406">
        <f>SUM(Z10:Z20)</f>
        <v>237.709</v>
      </c>
      <c r="AA22" s="407"/>
      <c r="AB22" s="406">
        <f>SUM(AB10:AB20)</f>
        <v>278.92200000000003</v>
      </c>
      <c r="AC22" s="407"/>
      <c r="AD22" s="406">
        <f>SUM(AD10:AD20)</f>
        <v>333.65899999999999</v>
      </c>
      <c r="AE22" s="407"/>
      <c r="AF22" s="406">
        <f>SUM(AF10:AF20)</f>
        <v>260.6459999999999</v>
      </c>
      <c r="AG22" s="407"/>
      <c r="AH22" s="406">
        <f>SUM(AH10:AH20)</f>
        <v>361.65900000000011</v>
      </c>
      <c r="AI22" s="407"/>
      <c r="AJ22" s="406">
        <f>SUM(AJ10:AJ20)</f>
        <v>469.89699999999999</v>
      </c>
      <c r="AK22" s="131"/>
      <c r="AL22" s="406">
        <f>SUM(AL10:AL20)</f>
        <v>447.33500000000015</v>
      </c>
      <c r="AM22" s="131"/>
      <c r="AN22" s="406">
        <f>SUM(AN10:AN20)</f>
        <v>548.20800000000008</v>
      </c>
      <c r="AO22" s="131"/>
      <c r="AP22" s="406">
        <f>SUM(AP10:AP20)</f>
        <v>458.33000000000015</v>
      </c>
      <c r="AQ22" s="131"/>
      <c r="AR22" s="1712">
        <f>SUM(AR10:AR20)</f>
        <v>514.65099999999995</v>
      </c>
      <c r="AS22" s="247"/>
      <c r="AT22" s="1712">
        <f>SUM(AT10:AT20)</f>
        <v>630.0619999999999</v>
      </c>
      <c r="AU22" s="247"/>
      <c r="AV22" s="1712">
        <f>SUM(AV10:AV20)</f>
        <v>643.12299999999959</v>
      </c>
      <c r="AW22" s="247"/>
      <c r="AX22" s="1712">
        <f>SUM(AX10:AX20)</f>
        <v>422.64899999999994</v>
      </c>
      <c r="AY22" s="131"/>
      <c r="AZ22" s="406">
        <f>SUM(AZ10:AZ20)</f>
        <v>792.08699999999908</v>
      </c>
      <c r="BA22" s="131"/>
      <c r="BB22" s="407">
        <f>SUM(BB10:BB20)</f>
        <v>807.64300000000128</v>
      </c>
      <c r="BC22" s="131"/>
      <c r="BD22" s="406">
        <f>SUM(BD10:BD20)</f>
        <v>818.39999999999952</v>
      </c>
      <c r="BE22" s="131"/>
      <c r="BF22" s="406">
        <f>SUM(BF10:BF20)</f>
        <v>766.99999999999989</v>
      </c>
      <c r="BG22" s="131"/>
      <c r="BH22" s="406">
        <f>SUM(BH10:BH20)</f>
        <v>834.0294898294685</v>
      </c>
      <c r="BI22" s="131"/>
      <c r="BJ22" s="406">
        <f>SUM(BJ10:BJ20)</f>
        <v>904.0586037316358</v>
      </c>
      <c r="BK22" s="131"/>
      <c r="BL22" s="406">
        <f>SUM(BL10:BL20)</f>
        <v>960.39116244121499</v>
      </c>
      <c r="BM22" s="131"/>
      <c r="BN22" s="406">
        <f>SUM(BN10:BN20)</f>
        <v>972.56703080406226</v>
      </c>
      <c r="BO22" s="131"/>
      <c r="BP22" s="1712">
        <f>SUM(BP10:BP20)</f>
        <v>1062.2220143271015</v>
      </c>
      <c r="BQ22" s="131"/>
      <c r="BR22" s="131"/>
    </row>
    <row r="23" spans="1:70" hidden="1" outlineLevel="1">
      <c r="A23" s="330"/>
      <c r="B23" s="330"/>
      <c r="C23" s="330"/>
      <c r="D23" s="397"/>
      <c r="E23" s="330"/>
      <c r="F23" s="397"/>
      <c r="G23" s="397"/>
      <c r="H23" s="397"/>
      <c r="I23" s="397"/>
      <c r="J23" s="397"/>
      <c r="K23" s="397"/>
      <c r="L23" s="397"/>
      <c r="M23" s="330"/>
      <c r="N23" s="397"/>
      <c r="O23" s="330"/>
      <c r="P23" s="397"/>
      <c r="Q23" s="397"/>
      <c r="R23" s="397"/>
      <c r="S23" s="397"/>
      <c r="T23" s="397"/>
      <c r="U23" s="397"/>
      <c r="V23" s="397"/>
      <c r="W23" s="397"/>
      <c r="X23" s="397"/>
      <c r="Y23" s="397"/>
      <c r="Z23" s="397"/>
      <c r="AA23" s="397"/>
      <c r="AB23" s="397"/>
      <c r="AC23" s="397"/>
      <c r="AD23" s="397"/>
      <c r="AE23" s="397"/>
      <c r="AF23" s="397"/>
      <c r="AG23" s="397"/>
      <c r="AH23" s="397"/>
      <c r="AI23" s="397"/>
      <c r="AJ23" s="415"/>
      <c r="AK23" s="131"/>
      <c r="AL23" s="397"/>
      <c r="AM23" s="131"/>
      <c r="AN23" s="397"/>
      <c r="AO23" s="131"/>
      <c r="AP23" s="397"/>
      <c r="AQ23" s="131"/>
      <c r="AR23" s="398"/>
      <c r="AS23" s="247"/>
      <c r="AT23" s="398"/>
      <c r="AU23" s="247"/>
      <c r="AV23" s="398"/>
      <c r="AW23" s="247"/>
      <c r="AX23" s="398"/>
      <c r="AY23" s="131"/>
      <c r="AZ23" s="397"/>
      <c r="BA23" s="131"/>
      <c r="BB23" s="397"/>
      <c r="BC23" s="131"/>
      <c r="BD23" s="397"/>
      <c r="BE23" s="131"/>
      <c r="BF23" s="397"/>
      <c r="BG23" s="131"/>
      <c r="BH23" s="397"/>
      <c r="BI23" s="131"/>
      <c r="BJ23" s="397"/>
      <c r="BK23" s="131"/>
      <c r="BL23" s="397"/>
      <c r="BM23" s="131"/>
      <c r="BN23" s="397"/>
      <c r="BO23" s="131"/>
      <c r="BP23" s="247"/>
      <c r="BQ23" s="131"/>
      <c r="BR23" s="131"/>
    </row>
    <row r="24" spans="1:70" hidden="1" outlineLevel="1">
      <c r="A24" s="330"/>
      <c r="B24" s="330"/>
      <c r="C24" s="330"/>
      <c r="D24" s="330"/>
      <c r="E24" s="330"/>
      <c r="F24" s="405"/>
      <c r="G24" s="405"/>
      <c r="H24" s="405"/>
      <c r="I24" s="330"/>
      <c r="J24" s="330"/>
      <c r="K24" s="330"/>
      <c r="L24" s="330"/>
      <c r="M24" s="330"/>
      <c r="N24" s="397"/>
      <c r="O24" s="330"/>
      <c r="P24" s="405"/>
      <c r="Q24" s="405"/>
      <c r="R24" s="405"/>
      <c r="S24" s="330"/>
      <c r="T24" s="330"/>
      <c r="U24" s="330"/>
      <c r="V24" s="330"/>
      <c r="W24" s="330"/>
      <c r="X24" s="330"/>
      <c r="Y24" s="330"/>
      <c r="Z24" s="330"/>
      <c r="AA24" s="330"/>
      <c r="AB24" s="330"/>
      <c r="AC24" s="330"/>
      <c r="AD24" s="330"/>
      <c r="AE24" s="330"/>
      <c r="AF24" s="330"/>
      <c r="AG24" s="330"/>
      <c r="AH24" s="330"/>
      <c r="AI24" s="330"/>
      <c r="AJ24" s="415"/>
      <c r="AK24" s="131"/>
      <c r="AL24" s="330"/>
      <c r="AM24" s="131"/>
      <c r="AN24" s="330"/>
      <c r="AO24" s="131"/>
      <c r="AP24" s="330"/>
      <c r="AQ24" s="131"/>
      <c r="AR24" s="405"/>
      <c r="AS24" s="247"/>
      <c r="AT24" s="405"/>
      <c r="AU24" s="247"/>
      <c r="AV24" s="405"/>
      <c r="AW24" s="247"/>
      <c r="AX24" s="405"/>
      <c r="AY24" s="131"/>
      <c r="AZ24" s="330"/>
      <c r="BA24" s="131"/>
      <c r="BB24" s="330"/>
      <c r="BC24" s="131"/>
      <c r="BD24" s="330"/>
      <c r="BE24" s="131"/>
      <c r="BF24" s="330"/>
      <c r="BG24" s="131"/>
      <c r="BH24" s="330"/>
      <c r="BI24" s="131"/>
      <c r="BJ24" s="330"/>
      <c r="BK24" s="131"/>
      <c r="BL24" s="330"/>
      <c r="BM24" s="131"/>
      <c r="BN24" s="330"/>
      <c r="BO24" s="131"/>
      <c r="BP24" s="247"/>
      <c r="BQ24" s="131"/>
      <c r="BR24" s="131"/>
    </row>
    <row r="25" spans="1:70" hidden="1" outlineLevel="1">
      <c r="A25" s="340"/>
      <c r="B25" s="340"/>
      <c r="C25" s="453"/>
      <c r="D25" s="340"/>
      <c r="E25" s="340"/>
      <c r="F25" s="408"/>
      <c r="G25" s="409"/>
      <c r="H25" s="410"/>
      <c r="I25" s="341" t="s">
        <v>612</v>
      </c>
      <c r="J25" s="340"/>
      <c r="K25" s="340"/>
      <c r="L25" s="340"/>
      <c r="M25" s="340"/>
      <c r="N25" s="340"/>
      <c r="O25" s="340"/>
      <c r="P25" s="408"/>
      <c r="Q25" s="409"/>
      <c r="R25" s="410"/>
      <c r="S25" s="341"/>
      <c r="T25" s="340"/>
      <c r="U25" s="340"/>
      <c r="V25" s="582" t="s">
        <v>612</v>
      </c>
      <c r="W25" s="396"/>
      <c r="X25" s="396"/>
      <c r="Y25" s="396"/>
      <c r="Z25" s="396"/>
      <c r="AA25" s="396"/>
      <c r="AB25" s="396"/>
      <c r="AC25" s="396"/>
      <c r="AD25" s="396"/>
      <c r="AE25" s="396"/>
      <c r="AF25" s="396"/>
      <c r="AG25" s="396"/>
      <c r="AH25" s="396"/>
      <c r="AI25" s="396"/>
      <c r="AJ25" s="843"/>
      <c r="AK25" s="225"/>
      <c r="AL25" s="396"/>
      <c r="AM25" s="225"/>
      <c r="AN25" s="396"/>
      <c r="AO25" s="225"/>
      <c r="AP25" s="396"/>
      <c r="AQ25" s="225"/>
      <c r="AR25" s="1713"/>
      <c r="AS25" s="392"/>
      <c r="AT25" s="1713"/>
      <c r="AU25" s="392"/>
      <c r="AV25" s="1713"/>
      <c r="AW25" s="392"/>
      <c r="AX25" s="1713"/>
      <c r="AY25" s="225"/>
      <c r="AZ25" s="396"/>
      <c r="BA25" s="225"/>
      <c r="BB25" s="396"/>
      <c r="BC25" s="225"/>
      <c r="BD25" s="396"/>
      <c r="BE25" s="225"/>
      <c r="BF25" s="396"/>
      <c r="BG25" s="225"/>
      <c r="BH25" s="396"/>
      <c r="BI25" s="225"/>
      <c r="BJ25" s="396"/>
      <c r="BK25" s="225"/>
      <c r="BL25" s="396"/>
      <c r="BM25" s="225"/>
      <c r="BN25" s="396"/>
      <c r="BO25" s="225"/>
      <c r="BP25" s="392"/>
      <c r="BQ25" s="225"/>
      <c r="BR25" s="225"/>
    </row>
    <row r="26" spans="1:70" ht="6" customHeight="1" collapsed="1">
      <c r="A26" s="330"/>
      <c r="B26" s="330"/>
      <c r="C26" s="330"/>
      <c r="D26" s="330"/>
      <c r="E26" s="330"/>
      <c r="F26" s="405"/>
      <c r="G26" s="405"/>
      <c r="H26" s="405"/>
      <c r="I26" s="330"/>
      <c r="J26" s="330"/>
      <c r="K26" s="330"/>
      <c r="L26" s="330"/>
      <c r="M26" s="330"/>
      <c r="N26" s="330"/>
      <c r="O26" s="330"/>
      <c r="P26" s="405"/>
      <c r="Q26" s="405"/>
      <c r="R26" s="405"/>
      <c r="S26" s="330"/>
      <c r="T26" s="330"/>
      <c r="U26" s="330"/>
      <c r="V26" s="330"/>
      <c r="W26" s="330"/>
      <c r="X26" s="330"/>
      <c r="Y26" s="330"/>
      <c r="Z26" s="330"/>
      <c r="AA26" s="330"/>
      <c r="AB26" s="330"/>
      <c r="AC26" s="330"/>
      <c r="AD26" s="330"/>
      <c r="AE26" s="330"/>
      <c r="AF26" s="330"/>
      <c r="AG26" s="330"/>
      <c r="AH26" s="330"/>
      <c r="AI26" s="330"/>
      <c r="AJ26" s="415"/>
      <c r="AK26" s="131"/>
      <c r="AL26" s="330"/>
      <c r="AM26" s="131"/>
      <c r="AN26" s="330"/>
      <c r="AO26" s="131"/>
      <c r="AP26" s="330"/>
      <c r="AQ26" s="131"/>
      <c r="AR26" s="405"/>
      <c r="AS26" s="247"/>
      <c r="AT26" s="405"/>
      <c r="AU26" s="247"/>
      <c r="AV26" s="405"/>
      <c r="AW26" s="247"/>
      <c r="AX26" s="405"/>
      <c r="AY26" s="131"/>
      <c r="AZ26" s="330"/>
      <c r="BA26" s="131"/>
      <c r="BB26" s="330"/>
      <c r="BC26" s="131"/>
      <c r="BD26" s="330"/>
      <c r="BE26" s="131"/>
      <c r="BF26" s="330"/>
      <c r="BG26" s="131"/>
      <c r="BH26" s="330"/>
      <c r="BI26" s="131"/>
      <c r="BJ26" s="330"/>
      <c r="BK26" s="131"/>
      <c r="BL26" s="330"/>
      <c r="BM26" s="131"/>
      <c r="BN26" s="330"/>
      <c r="BO26" s="131"/>
      <c r="BP26" s="247"/>
      <c r="BQ26" s="131"/>
      <c r="BR26" s="131"/>
    </row>
    <row r="27" spans="1:70">
      <c r="A27" s="330" t="s">
        <v>583</v>
      </c>
      <c r="B27" s="330"/>
      <c r="C27" s="330"/>
      <c r="D27" s="338">
        <v>24.835000000000001</v>
      </c>
      <c r="E27" s="338"/>
      <c r="F27" s="338">
        <v>41.384999999999998</v>
      </c>
      <c r="G27" s="338"/>
      <c r="H27" s="338">
        <v>22.754000000000001</v>
      </c>
      <c r="I27" s="338"/>
      <c r="J27" s="338">
        <v>18.103000000000002</v>
      </c>
      <c r="K27" s="338"/>
      <c r="L27" s="338">
        <v>19.227</v>
      </c>
      <c r="M27" s="338"/>
      <c r="N27" s="338">
        <v>26.454999999999998</v>
      </c>
      <c r="O27" s="338"/>
      <c r="P27" s="415">
        <v>39.884</v>
      </c>
      <c r="Q27" s="415"/>
      <c r="R27" s="415">
        <v>50.564999999999998</v>
      </c>
      <c r="S27" s="415"/>
      <c r="T27" s="338">
        <f>62.821+8.15</f>
        <v>70.971000000000004</v>
      </c>
      <c r="U27" s="338"/>
      <c r="V27" s="338">
        <f>171.237+7.031</f>
        <v>178.268</v>
      </c>
      <c r="W27" s="338"/>
      <c r="X27" s="421">
        <f>108.382+7.903</f>
        <v>116.28500000000001</v>
      </c>
      <c r="Y27" s="338"/>
      <c r="Z27" s="421">
        <f>170.806+9.546</f>
        <v>180.352</v>
      </c>
      <c r="AA27" s="338"/>
      <c r="AB27" s="421">
        <f>219.717+26.499</f>
        <v>246.21600000000001</v>
      </c>
      <c r="AC27" s="338"/>
      <c r="AD27" s="421">
        <v>272.89999999999998</v>
      </c>
      <c r="AE27" s="338"/>
      <c r="AF27" s="421">
        <v>142.321</v>
      </c>
      <c r="AG27" s="338"/>
      <c r="AH27" s="412">
        <v>157.036</v>
      </c>
      <c r="AI27" s="412"/>
      <c r="AJ27" s="412">
        <v>174.55099999999999</v>
      </c>
      <c r="AK27" s="131"/>
      <c r="AL27" s="412">
        <v>184.26599999999999</v>
      </c>
      <c r="AM27" s="247"/>
      <c r="AN27" s="412">
        <v>154.40899999999999</v>
      </c>
      <c r="AO27" s="247"/>
      <c r="AP27" s="412">
        <v>75.403000000000006</v>
      </c>
      <c r="AQ27" s="247"/>
      <c r="AR27" s="2152">
        <v>127.002</v>
      </c>
      <c r="AS27" s="2154"/>
      <c r="AT27" s="2152">
        <v>239.44300000000001</v>
      </c>
      <c r="AU27" s="2154"/>
      <c r="AV27" s="2152">
        <v>219.53</v>
      </c>
      <c r="AW27" s="2154"/>
      <c r="AX27" s="2152">
        <v>221.452</v>
      </c>
      <c r="AY27" s="2154"/>
      <c r="AZ27" s="2152">
        <v>247.39400000000001</v>
      </c>
      <c r="BA27" s="131"/>
      <c r="BB27" s="2152">
        <v>252.7</v>
      </c>
      <c r="BC27" s="131"/>
      <c r="BD27" s="2152">
        <v>222.8</v>
      </c>
      <c r="BE27" s="131"/>
      <c r="BF27" s="2465">
        <v>239.3</v>
      </c>
      <c r="BG27" s="131"/>
      <c r="BH27" s="412">
        <v>280</v>
      </c>
      <c r="BI27" s="131"/>
      <c r="BJ27" s="412">
        <v>280</v>
      </c>
      <c r="BK27" s="131"/>
      <c r="BL27" s="412">
        <v>290</v>
      </c>
      <c r="BM27" s="131"/>
      <c r="BN27" s="412">
        <v>270</v>
      </c>
      <c r="BO27" s="131"/>
      <c r="BP27" s="412">
        <v>270</v>
      </c>
      <c r="BQ27" s="131"/>
      <c r="BR27" s="131"/>
    </row>
    <row r="28" spans="1:70" ht="12.75" hidden="1" customHeight="1" outlineLevel="1">
      <c r="A28" s="405"/>
      <c r="B28" s="405"/>
      <c r="C28" s="405"/>
      <c r="D28" s="412"/>
      <c r="E28" s="412"/>
      <c r="F28" s="412"/>
      <c r="G28" s="412"/>
      <c r="H28" s="412"/>
      <c r="I28" s="412"/>
      <c r="J28" s="412"/>
      <c r="K28" s="412"/>
      <c r="L28" s="412"/>
      <c r="M28" s="412"/>
      <c r="N28" s="412"/>
      <c r="O28" s="412"/>
      <c r="P28" s="413"/>
      <c r="Q28" s="413"/>
      <c r="R28" s="413"/>
      <c r="S28" s="413"/>
      <c r="T28" s="432"/>
      <c r="U28" s="412"/>
      <c r="V28" s="412"/>
      <c r="W28" s="412"/>
      <c r="X28" s="432"/>
      <c r="Y28" s="412"/>
      <c r="Z28" s="432"/>
      <c r="AA28" s="412"/>
      <c r="AB28" s="432"/>
      <c r="AC28" s="412"/>
      <c r="AD28" s="432"/>
      <c r="AE28" s="412"/>
      <c r="AF28" s="432"/>
      <c r="AG28" s="412"/>
      <c r="AH28" s="432"/>
      <c r="AI28" s="412"/>
      <c r="AJ28" s="412"/>
      <c r="AK28" s="247"/>
      <c r="AL28" s="412"/>
      <c r="AM28" s="247"/>
      <c r="AN28" s="412"/>
      <c r="AO28" s="247"/>
      <c r="AP28" s="412"/>
      <c r="AQ28" s="247"/>
      <c r="AR28" s="412"/>
      <c r="AS28" s="247"/>
      <c r="AT28" s="412"/>
      <c r="AU28" s="247"/>
      <c r="AV28" s="412"/>
      <c r="AW28" s="247"/>
      <c r="AX28" s="412"/>
      <c r="AY28" s="247"/>
      <c r="AZ28" s="412"/>
      <c r="BA28" s="247"/>
      <c r="BB28" s="412"/>
      <c r="BC28" s="247"/>
      <c r="BD28" s="412"/>
      <c r="BE28" s="247"/>
      <c r="BF28" s="412"/>
      <c r="BG28" s="247"/>
      <c r="BH28" s="412"/>
      <c r="BI28" s="247"/>
      <c r="BJ28" s="412"/>
      <c r="BK28" s="247"/>
      <c r="BL28" s="412"/>
      <c r="BM28" s="247"/>
      <c r="BN28" s="412"/>
      <c r="BO28" s="247"/>
      <c r="BP28" s="247"/>
      <c r="BQ28" s="247"/>
      <c r="BR28" s="247"/>
    </row>
    <row r="29" spans="1:70" ht="6" customHeight="1" collapsed="1">
      <c r="A29" s="330"/>
      <c r="B29" s="330"/>
      <c r="C29" s="330"/>
      <c r="D29" s="330"/>
      <c r="E29" s="330"/>
      <c r="F29" s="405"/>
      <c r="G29" s="405"/>
      <c r="H29" s="405"/>
      <c r="I29" s="330"/>
      <c r="J29" s="330"/>
      <c r="K29" s="330"/>
      <c r="L29" s="330"/>
      <c r="M29" s="330"/>
      <c r="N29" s="330"/>
      <c r="O29" s="330"/>
      <c r="P29" s="405"/>
      <c r="Q29" s="405"/>
      <c r="R29" s="405"/>
      <c r="S29" s="330"/>
      <c r="T29" s="330"/>
      <c r="U29" s="330"/>
      <c r="V29" s="330"/>
      <c r="W29" s="330"/>
      <c r="X29" s="421"/>
      <c r="Y29" s="330"/>
      <c r="Z29" s="421"/>
      <c r="AA29" s="330"/>
      <c r="AB29" s="330"/>
      <c r="AC29" s="330"/>
      <c r="AD29" s="330" t="s">
        <v>958</v>
      </c>
      <c r="AE29" s="330"/>
      <c r="AF29" s="330"/>
      <c r="AG29" s="330"/>
      <c r="AH29" s="330"/>
      <c r="AI29" s="330"/>
      <c r="AJ29" s="889"/>
      <c r="AK29" s="131"/>
      <c r="AL29" s="889"/>
      <c r="AM29" s="131"/>
      <c r="AN29" s="889"/>
      <c r="AO29" s="131"/>
      <c r="AP29" s="1267"/>
      <c r="AQ29" s="131"/>
      <c r="AR29" s="1714"/>
      <c r="AS29" s="247"/>
      <c r="AT29" s="1714"/>
      <c r="AU29" s="247"/>
      <c r="AV29" s="1714"/>
      <c r="AW29" s="247"/>
      <c r="AX29" s="1714"/>
      <c r="AY29" s="131"/>
      <c r="AZ29" s="1258"/>
      <c r="BA29" s="131"/>
      <c r="BB29" s="1258"/>
      <c r="BC29" s="131"/>
      <c r="BD29" s="1258"/>
      <c r="BE29" s="131"/>
      <c r="BF29" s="1258"/>
      <c r="BG29" s="131"/>
      <c r="BH29" s="1258"/>
      <c r="BI29" s="131"/>
      <c r="BJ29" s="1258"/>
      <c r="BK29" s="131"/>
      <c r="BL29" s="1258"/>
      <c r="BM29" s="131"/>
      <c r="BN29" s="1258"/>
      <c r="BO29" s="131"/>
      <c r="BP29" s="247"/>
      <c r="BQ29" s="131"/>
      <c r="BR29" s="131"/>
    </row>
    <row r="30" spans="1:70">
      <c r="A30" s="330" t="s">
        <v>1613</v>
      </c>
      <c r="B30" s="330"/>
      <c r="C30" s="330"/>
      <c r="D30" s="330"/>
      <c r="E30" s="330"/>
      <c r="F30" s="405"/>
      <c r="G30" s="405"/>
      <c r="H30" s="405"/>
      <c r="I30" s="330"/>
      <c r="J30" s="330"/>
      <c r="K30" s="330"/>
      <c r="L30" s="330"/>
      <c r="M30" s="330"/>
      <c r="N30" s="330"/>
      <c r="O30" s="330"/>
      <c r="P30" s="405"/>
      <c r="Q30" s="405"/>
      <c r="R30" s="405"/>
      <c r="S30" s="330"/>
      <c r="T30" s="330"/>
      <c r="U30" s="330"/>
      <c r="V30" s="330"/>
      <c r="W30" s="330"/>
      <c r="X30" s="330"/>
      <c r="Y30" s="330"/>
      <c r="Z30" s="330"/>
      <c r="AA30" s="330"/>
      <c r="AB30" s="330"/>
      <c r="AC30" s="330"/>
      <c r="AD30" s="330" t="s">
        <v>1735</v>
      </c>
      <c r="AE30" s="330"/>
      <c r="AF30" s="330"/>
      <c r="AG30" s="330"/>
      <c r="AH30" s="330"/>
      <c r="AI30" s="330"/>
      <c r="AJ30" s="338"/>
      <c r="AK30" s="131"/>
      <c r="AL30" s="330"/>
      <c r="AM30" s="131"/>
      <c r="AN30" s="330"/>
      <c r="AO30" s="131"/>
      <c r="AP30" s="330"/>
      <c r="AQ30" s="131"/>
      <c r="AR30" s="405"/>
      <c r="AS30" s="247"/>
      <c r="AT30" s="412"/>
      <c r="AU30" s="247"/>
      <c r="AV30" s="405"/>
      <c r="AW30" s="247"/>
      <c r="AX30" s="405"/>
      <c r="AY30" s="131"/>
      <c r="AZ30" s="330"/>
      <c r="BA30" s="131"/>
      <c r="BB30" s="330"/>
      <c r="BC30" s="131"/>
      <c r="BD30" s="330"/>
      <c r="BE30" s="131"/>
      <c r="BF30" s="330"/>
      <c r="BG30" s="131"/>
      <c r="BH30" s="330"/>
      <c r="BI30" s="131"/>
      <c r="BJ30" s="330"/>
      <c r="BK30" s="131"/>
      <c r="BL30" s="330"/>
      <c r="BM30" s="131"/>
      <c r="BN30" s="330"/>
      <c r="BO30" s="131"/>
      <c r="BP30" s="247"/>
      <c r="BQ30" s="131"/>
      <c r="BR30" s="131"/>
    </row>
    <row r="31" spans="1:70">
      <c r="A31" s="330"/>
      <c r="B31" s="330" t="s">
        <v>1005</v>
      </c>
      <c r="C31" s="330"/>
      <c r="D31" s="401"/>
      <c r="E31" s="401"/>
      <c r="F31" s="401">
        <v>9.7469999999999999</v>
      </c>
      <c r="G31" s="401"/>
      <c r="H31" s="401">
        <v>1.976</v>
      </c>
      <c r="I31" s="401"/>
      <c r="J31" s="401">
        <v>18.263999999999999</v>
      </c>
      <c r="K31" s="401"/>
      <c r="L31" s="401">
        <v>-5.8390000000000004</v>
      </c>
      <c r="M31" s="401"/>
      <c r="N31" s="397">
        <v>15.83</v>
      </c>
      <c r="O31" s="397"/>
      <c r="P31" s="397">
        <v>9.4390000000000001</v>
      </c>
      <c r="Q31" s="397"/>
      <c r="R31" s="398">
        <v>18.734000000000002</v>
      </c>
      <c r="S31" s="397"/>
      <c r="T31" s="397">
        <v>6.1790000000000003</v>
      </c>
      <c r="U31" s="397"/>
      <c r="V31" s="445">
        <v>12.742000000000001</v>
      </c>
      <c r="W31" s="397"/>
      <c r="X31" s="445">
        <v>-10.234999999999999</v>
      </c>
      <c r="Y31" s="401"/>
      <c r="Z31" s="445">
        <f>-4.107</f>
        <v>-4.1070000000000002</v>
      </c>
      <c r="AA31" s="397"/>
      <c r="AB31" s="445">
        <v>7.9870000000000001</v>
      </c>
      <c r="AC31" s="445"/>
      <c r="AD31" s="445">
        <v>12.045999999999999</v>
      </c>
      <c r="AE31" s="397"/>
      <c r="AF31" s="445">
        <v>-4.96</v>
      </c>
      <c r="AG31" s="397"/>
      <c r="AH31" s="445">
        <v>17.558</v>
      </c>
      <c r="AI31" s="397"/>
      <c r="AJ31" s="338">
        <v>16.643999999999998</v>
      </c>
      <c r="AK31" s="131"/>
      <c r="AL31" s="397">
        <v>9.875</v>
      </c>
      <c r="AM31" s="131"/>
      <c r="AN31" s="397">
        <v>-31.411999999999999</v>
      </c>
      <c r="AO31" s="131"/>
      <c r="AP31" s="397">
        <v>-13.897</v>
      </c>
      <c r="AQ31" s="131"/>
      <c r="AR31" s="2156">
        <v>22.562999999999999</v>
      </c>
      <c r="AS31" s="2154"/>
      <c r="AT31" s="2156">
        <v>-5.4950000000000001</v>
      </c>
      <c r="AU31" s="2154"/>
      <c r="AV31" s="2156">
        <v>1.393</v>
      </c>
      <c r="AW31" s="2154"/>
      <c r="AX31" s="2156">
        <v>23.239000000000001</v>
      </c>
      <c r="AY31" s="2157"/>
      <c r="AZ31" s="2158">
        <v>17.561</v>
      </c>
      <c r="BA31" s="411"/>
      <c r="BB31" s="2158">
        <v>16.7</v>
      </c>
      <c r="BC31" s="131"/>
      <c r="BD31" s="2158">
        <v>19.2</v>
      </c>
      <c r="BE31" s="131"/>
      <c r="BF31" s="397">
        <v>-7</v>
      </c>
      <c r="BG31" s="411"/>
      <c r="BH31" s="397">
        <f>bal!BI11-bal!BG11</f>
        <v>18.723307751783608</v>
      </c>
      <c r="BI31" s="411"/>
      <c r="BJ31" s="397">
        <f>bal!BK11-bal!BI11</f>
        <v>13.601877663159343</v>
      </c>
      <c r="BK31" s="411"/>
      <c r="BL31" s="397">
        <f>bal!BM11-bal!BK11</f>
        <v>14.037663159583872</v>
      </c>
      <c r="BM31" s="411"/>
      <c r="BN31" s="397">
        <f>bal!BO11-bal!BM11</f>
        <v>11.549831259210009</v>
      </c>
      <c r="BO31" s="131"/>
      <c r="BP31" s="398">
        <f>bal!BQ11-bal!BO11</f>
        <v>11.827361026925928</v>
      </c>
      <c r="BQ31" s="131"/>
      <c r="BR31" s="131"/>
    </row>
    <row r="32" spans="1:70">
      <c r="A32" s="330"/>
      <c r="B32" s="330" t="s">
        <v>1618</v>
      </c>
      <c r="C32" s="330"/>
      <c r="D32" s="338"/>
      <c r="E32" s="338"/>
      <c r="F32" s="413">
        <v>42.841000000000001</v>
      </c>
      <c r="G32" s="415"/>
      <c r="H32" s="413">
        <v>17.585999999999999</v>
      </c>
      <c r="I32" s="415"/>
      <c r="J32" s="413">
        <v>16.015000000000001</v>
      </c>
      <c r="K32" s="415"/>
      <c r="L32" s="413">
        <v>-2.63</v>
      </c>
      <c r="M32" s="415"/>
      <c r="N32" s="412">
        <v>54.746000000000002</v>
      </c>
      <c r="O32" s="338"/>
      <c r="P32" s="412">
        <v>53.176000000000002</v>
      </c>
      <c r="Q32" s="338"/>
      <c r="R32" s="412">
        <v>70.697000000000003</v>
      </c>
      <c r="S32" s="338"/>
      <c r="T32" s="432">
        <v>81.891000000000005</v>
      </c>
      <c r="U32" s="338"/>
      <c r="V32" s="421">
        <v>13.398</v>
      </c>
      <c r="W32" s="338"/>
      <c r="X32" s="421">
        <v>182.041</v>
      </c>
      <c r="Y32" s="415"/>
      <c r="Z32" s="421">
        <v>-2.819</v>
      </c>
      <c r="AA32" s="338"/>
      <c r="AB32" s="421">
        <v>64.459999999999994</v>
      </c>
      <c r="AC32" s="338"/>
      <c r="AD32" s="412">
        <v>109.18300000000001</v>
      </c>
      <c r="AE32" s="338"/>
      <c r="AF32" s="421">
        <v>175.392</v>
      </c>
      <c r="AG32" s="338"/>
      <c r="AH32" s="421">
        <v>43.628</v>
      </c>
      <c r="AI32" s="338"/>
      <c r="AJ32" s="412">
        <v>189.16900000000001</v>
      </c>
      <c r="AK32" s="131"/>
      <c r="AL32" s="412">
        <v>112.965</v>
      </c>
      <c r="AM32" s="131"/>
      <c r="AN32" s="412">
        <v>257.61900000000003</v>
      </c>
      <c r="AO32" s="131"/>
      <c r="AP32" s="412">
        <v>-163.95500000000001</v>
      </c>
      <c r="AQ32" s="131"/>
      <c r="AR32" s="2152">
        <v>187.773</v>
      </c>
      <c r="AS32" s="2154"/>
      <c r="AT32" s="2152">
        <v>459.416</v>
      </c>
      <c r="AU32" s="2154"/>
      <c r="AV32" s="2152">
        <v>233.7</v>
      </c>
      <c r="AW32" s="2154"/>
      <c r="AX32" s="2152">
        <v>168.273</v>
      </c>
      <c r="AY32" s="2157"/>
      <c r="AZ32" s="2152">
        <v>167.607</v>
      </c>
      <c r="BA32" s="411"/>
      <c r="BB32" s="2152">
        <v>-63.7</v>
      </c>
      <c r="BC32" s="131"/>
      <c r="BD32" s="2152">
        <v>-54.8</v>
      </c>
      <c r="BE32" s="131"/>
      <c r="BF32" s="2465">
        <v>52.9</v>
      </c>
      <c r="BG32" s="411"/>
      <c r="BH32" s="412">
        <f>bal!BI12-bal!BG12</f>
        <v>144.88683053027444</v>
      </c>
      <c r="BI32" s="411"/>
      <c r="BJ32" s="412">
        <f>bal!BK12-bal!BI12</f>
        <v>130.53029967979182</v>
      </c>
      <c r="BK32" s="411"/>
      <c r="BL32" s="412">
        <f>bal!BM12-bal!BK12</f>
        <v>134.71231137355107</v>
      </c>
      <c r="BM32" s="411"/>
      <c r="BN32" s="412">
        <f>bal!BO12-bal!BM12</f>
        <v>110.83785436469907</v>
      </c>
      <c r="BO32" s="131"/>
      <c r="BP32" s="412">
        <f>bal!BQ12-bal!BO12</f>
        <v>113.50116634611368</v>
      </c>
      <c r="BQ32" s="131"/>
      <c r="BR32" s="131"/>
    </row>
    <row r="33" spans="1:70">
      <c r="A33" s="330"/>
      <c r="B33" s="330" t="s">
        <v>1006</v>
      </c>
      <c r="C33" s="330"/>
      <c r="D33" s="338"/>
      <c r="E33" s="338"/>
      <c r="F33" s="413">
        <v>0.64700000000000002</v>
      </c>
      <c r="G33" s="415"/>
      <c r="H33" s="413">
        <v>-1.474</v>
      </c>
      <c r="I33" s="415"/>
      <c r="J33" s="413">
        <v>7.1929999999999996</v>
      </c>
      <c r="K33" s="415"/>
      <c r="L33" s="413">
        <v>-0.39300000000000002</v>
      </c>
      <c r="M33" s="415"/>
      <c r="N33" s="412">
        <f>2.674</f>
        <v>2.6739999999999999</v>
      </c>
      <c r="O33" s="338"/>
      <c r="P33" s="412">
        <v>1.6879999999999999</v>
      </c>
      <c r="Q33" s="338"/>
      <c r="R33" s="412">
        <v>-0.28799999999999998</v>
      </c>
      <c r="S33" s="338"/>
      <c r="T33" s="432">
        <v>-1.865</v>
      </c>
      <c r="U33" s="338"/>
      <c r="V33" s="421">
        <v>1.0649999999999999</v>
      </c>
      <c r="W33" s="338"/>
      <c r="X33" s="421">
        <v>3.9129999999999998</v>
      </c>
      <c r="Y33" s="415"/>
      <c r="Z33" s="421">
        <v>-10.079000000000001</v>
      </c>
      <c r="AA33" s="338"/>
      <c r="AB33" s="421">
        <v>-0.44500000000000001</v>
      </c>
      <c r="AC33" s="338"/>
      <c r="AD33" s="421">
        <v>0.46600000000000003</v>
      </c>
      <c r="AE33" s="338"/>
      <c r="AF33" s="421">
        <v>3.8860000000000001</v>
      </c>
      <c r="AG33" s="338"/>
      <c r="AH33" s="421">
        <v>0.32600000000000001</v>
      </c>
      <c r="AI33" s="338"/>
      <c r="AJ33" s="412">
        <v>22.036999999999999</v>
      </c>
      <c r="AK33" s="131"/>
      <c r="AL33" s="412">
        <v>36.131</v>
      </c>
      <c r="AM33" s="131"/>
      <c r="AN33" s="412">
        <v>19.283000000000001</v>
      </c>
      <c r="AO33" s="131"/>
      <c r="AP33" s="412">
        <v>-60.323</v>
      </c>
      <c r="AQ33" s="131"/>
      <c r="AR33" s="2152">
        <v>7.4080000000000004</v>
      </c>
      <c r="AS33" s="2154"/>
      <c r="AT33" s="2152">
        <v>5.8929999999999998</v>
      </c>
      <c r="AU33" s="2154"/>
      <c r="AV33" s="2152">
        <v>22.120999999999999</v>
      </c>
      <c r="AW33" s="2154"/>
      <c r="AX33" s="2152">
        <v>14.654</v>
      </c>
      <c r="AY33" s="2157"/>
      <c r="AZ33" s="2152">
        <v>20.864000000000001</v>
      </c>
      <c r="BA33" s="411"/>
      <c r="BB33" s="2152">
        <v>-1.1000000000000001</v>
      </c>
      <c r="BC33" s="131"/>
      <c r="BD33" s="2152">
        <v>-33.6</v>
      </c>
      <c r="BE33" s="131"/>
      <c r="BF33" s="2465">
        <v>28.8</v>
      </c>
      <c r="BG33" s="411"/>
      <c r="BH33" s="412">
        <f>bal!BI14-bal!BG14</f>
        <v>15.457612305658898</v>
      </c>
      <c r="BI33" s="411"/>
      <c r="BJ33" s="412">
        <f>bal!BK14-bal!BI14</f>
        <v>12.128848670232628</v>
      </c>
      <c r="BK33" s="411"/>
      <c r="BL33" s="412">
        <f>bal!BM14-bal!BK14</f>
        <v>-132.72646413264482</v>
      </c>
      <c r="BM33" s="411"/>
      <c r="BN33" s="412">
        <f>bal!BO14-bal!BM14</f>
        <v>4.2552009902352523</v>
      </c>
      <c r="BO33" s="131"/>
      <c r="BP33" s="412">
        <f>bal!BQ14-bal!BO14</f>
        <v>4.3574487993937652</v>
      </c>
      <c r="BQ33" s="131"/>
      <c r="BR33" s="131"/>
    </row>
    <row r="34" spans="1:70">
      <c r="A34" s="405"/>
      <c r="B34" s="405" t="s">
        <v>31</v>
      </c>
      <c r="C34" s="405"/>
      <c r="D34" s="398"/>
      <c r="E34" s="412"/>
      <c r="F34" s="412">
        <v>5.0679999999999996</v>
      </c>
      <c r="G34" s="412"/>
      <c r="H34" s="412">
        <v>7.2779999999999996</v>
      </c>
      <c r="I34" s="412"/>
      <c r="J34" s="413">
        <v>1.85</v>
      </c>
      <c r="K34" s="413"/>
      <c r="L34" s="413">
        <v>7.8630000000000004</v>
      </c>
      <c r="M34" s="412"/>
      <c r="N34" s="412">
        <f>-2.203</f>
        <v>-2.2029999999999998</v>
      </c>
      <c r="O34" s="412"/>
      <c r="P34" s="412">
        <v>7.5570000000000004</v>
      </c>
      <c r="Q34" s="412"/>
      <c r="R34" s="412">
        <v>1.879</v>
      </c>
      <c r="S34" s="412"/>
      <c r="T34" s="432">
        <v>4.8689999999999998</v>
      </c>
      <c r="U34" s="412"/>
      <c r="V34" s="421">
        <v>10.137</v>
      </c>
      <c r="W34" s="412"/>
      <c r="X34" s="421">
        <v>4.2190000000000003</v>
      </c>
      <c r="Y34" s="412"/>
      <c r="Z34" s="421">
        <v>9.4529999999999994</v>
      </c>
      <c r="AA34" s="412"/>
      <c r="AB34" s="421">
        <v>0.13</v>
      </c>
      <c r="AC34" s="412"/>
      <c r="AD34" s="421">
        <v>-10.725</v>
      </c>
      <c r="AE34" s="412"/>
      <c r="AF34" s="421">
        <v>28.963000000000001</v>
      </c>
      <c r="AG34" s="412"/>
      <c r="AH34" s="421">
        <v>35.201999999999998</v>
      </c>
      <c r="AI34" s="412"/>
      <c r="AJ34" s="338">
        <v>32.56</v>
      </c>
      <c r="AK34" s="247"/>
      <c r="AL34" s="421">
        <v>15.446999999999999</v>
      </c>
      <c r="AM34" s="247"/>
      <c r="AN34" s="421">
        <v>9.4E-2</v>
      </c>
      <c r="AO34" s="247"/>
      <c r="AP34" s="421">
        <v>13.557</v>
      </c>
      <c r="AQ34" s="247"/>
      <c r="AR34" s="2159">
        <v>-4.6029999999999998</v>
      </c>
      <c r="AS34" s="2154"/>
      <c r="AT34" s="2159">
        <v>11.371</v>
      </c>
      <c r="AU34" s="2154"/>
      <c r="AV34" s="2159">
        <v>4.5609999999999999</v>
      </c>
      <c r="AW34" s="2154"/>
      <c r="AX34" s="2159">
        <v>21.332999999999998</v>
      </c>
      <c r="AY34" s="2154"/>
      <c r="AZ34" s="2160">
        <v>20.18</v>
      </c>
      <c r="BA34" s="414"/>
      <c r="BB34" s="2160">
        <v>17.5</v>
      </c>
      <c r="BC34" s="247"/>
      <c r="BD34" s="2160">
        <v>-0.8</v>
      </c>
      <c r="BE34" s="247"/>
      <c r="BF34" s="2458">
        <v>3.7</v>
      </c>
      <c r="BG34" s="414"/>
      <c r="BH34" s="421">
        <f>bal!BI10-bal!BG10</f>
        <v>0</v>
      </c>
      <c r="BI34" s="414"/>
      <c r="BJ34" s="421">
        <f>bal!BK10-bal!BI10</f>
        <v>0</v>
      </c>
      <c r="BK34" s="414"/>
      <c r="BL34" s="421">
        <f>bal!BM10-bal!BK10</f>
        <v>0</v>
      </c>
      <c r="BM34" s="414"/>
      <c r="BN34" s="421">
        <f>bal!BO10-bal!BM10</f>
        <v>0</v>
      </c>
      <c r="BO34" s="247"/>
      <c r="BP34" s="432">
        <f>bal!BQ10-bal!BO10</f>
        <v>0</v>
      </c>
      <c r="BQ34" s="247"/>
      <c r="BR34" s="247"/>
    </row>
    <row r="35" spans="1:70">
      <c r="A35" s="330" t="s">
        <v>1619</v>
      </c>
      <c r="B35" s="330"/>
      <c r="C35" s="330"/>
      <c r="D35" s="417"/>
      <c r="E35" s="417"/>
      <c r="F35" s="418"/>
      <c r="G35" s="405"/>
      <c r="H35" s="417"/>
      <c r="I35" s="405"/>
      <c r="J35" s="417"/>
      <c r="K35" s="417"/>
      <c r="L35" s="419"/>
      <c r="M35" s="417"/>
      <c r="N35" s="417"/>
      <c r="O35" s="417"/>
      <c r="P35" s="418"/>
      <c r="Q35" s="405"/>
      <c r="R35" s="417"/>
      <c r="S35" s="405"/>
      <c r="T35" s="416"/>
      <c r="U35" s="417"/>
      <c r="V35" s="421"/>
      <c r="W35" s="420"/>
      <c r="X35" s="419"/>
      <c r="Y35" s="417"/>
      <c r="Z35" s="419"/>
      <c r="AA35" s="417"/>
      <c r="AB35" s="421"/>
      <c r="AC35" s="417"/>
      <c r="AD35" s="421"/>
      <c r="AE35" s="417"/>
      <c r="AF35" s="421"/>
      <c r="AG35" s="417"/>
      <c r="AH35" s="421"/>
      <c r="AI35" s="417"/>
      <c r="AJ35" s="412"/>
      <c r="AK35" s="131"/>
      <c r="AL35" s="419"/>
      <c r="AM35" s="131"/>
      <c r="AN35" s="419"/>
      <c r="AO35" s="131"/>
      <c r="AP35" s="419"/>
      <c r="AQ35" s="131"/>
      <c r="AR35" s="2161"/>
      <c r="AS35" s="2154"/>
      <c r="AT35" s="2161"/>
      <c r="AU35" s="2154"/>
      <c r="AV35" s="2161"/>
      <c r="AW35" s="2154"/>
      <c r="AX35" s="2161"/>
      <c r="AY35" s="2157"/>
      <c r="AZ35" s="2161"/>
      <c r="BA35" s="411"/>
      <c r="BB35" s="2161"/>
      <c r="BC35" s="131"/>
      <c r="BD35" s="2161"/>
      <c r="BE35" s="131"/>
      <c r="BF35" s="419"/>
      <c r="BG35" s="411"/>
      <c r="BH35" s="419"/>
      <c r="BI35" s="411"/>
      <c r="BJ35" s="419"/>
      <c r="BK35" s="411"/>
      <c r="BL35" s="419"/>
      <c r="BM35" s="411"/>
      <c r="BN35" s="419"/>
      <c r="BO35" s="131"/>
      <c r="BP35" s="247"/>
      <c r="BQ35" s="131"/>
      <c r="BR35" s="131"/>
    </row>
    <row r="36" spans="1:70">
      <c r="A36" s="330"/>
      <c r="B36" s="330" t="s">
        <v>66</v>
      </c>
      <c r="C36" s="330"/>
      <c r="D36" s="421"/>
      <c r="E36" s="421"/>
      <c r="F36" s="422">
        <v>-8.4179999999999993</v>
      </c>
      <c r="G36" s="422"/>
      <c r="H36" s="422">
        <f>17.188-6.61</f>
        <v>10.577999999999999</v>
      </c>
      <c r="I36" s="422"/>
      <c r="J36" s="422">
        <f>-11.384-3.516</f>
        <v>-14.9</v>
      </c>
      <c r="K36" s="422"/>
      <c r="L36" s="422">
        <f>3.055-4.877</f>
        <v>-1.8219999999999996</v>
      </c>
      <c r="M36" s="422"/>
      <c r="N36" s="421">
        <f>-13.037-15.449</f>
        <v>-28.486000000000001</v>
      </c>
      <c r="O36" s="421"/>
      <c r="P36" s="421">
        <f>-2.139-4.932</f>
        <v>-7.0709999999999997</v>
      </c>
      <c r="Q36" s="421"/>
      <c r="R36" s="421">
        <f>-4.724-8.132</f>
        <v>-12.856</v>
      </c>
      <c r="S36" s="421"/>
      <c r="T36" s="421">
        <f>-10.611-10.576</f>
        <v>-21.187000000000001</v>
      </c>
      <c r="U36" s="422"/>
      <c r="V36" s="421">
        <f>3.86-37.612</f>
        <v>-33.752000000000002</v>
      </c>
      <c r="W36" s="422"/>
      <c r="X36" s="421">
        <f>-11.044-0.605</f>
        <v>-11.649000000000001</v>
      </c>
      <c r="Y36" s="421"/>
      <c r="Z36" s="421">
        <f>17.163+6.197</f>
        <v>23.36</v>
      </c>
      <c r="AA36" s="421"/>
      <c r="AB36" s="421">
        <f>3.527-13.235</f>
        <v>-9.7079999999999984</v>
      </c>
      <c r="AC36" s="421"/>
      <c r="AD36" s="421">
        <v>-39.101999999999997</v>
      </c>
      <c r="AE36" s="421"/>
      <c r="AF36" s="421">
        <v>23.274999999999999</v>
      </c>
      <c r="AG36" s="421"/>
      <c r="AH36" s="421">
        <v>-23.928999999999998</v>
      </c>
      <c r="AI36" s="421"/>
      <c r="AJ36" s="421">
        <v>-17.678000000000001</v>
      </c>
      <c r="AK36" s="131"/>
      <c r="AL36" s="421">
        <v>-9.8369999999999997</v>
      </c>
      <c r="AM36" s="421"/>
      <c r="AN36" s="421">
        <v>-4.7190000000000003</v>
      </c>
      <c r="AO36" s="421"/>
      <c r="AP36" s="397">
        <v>-4.3689999999999998</v>
      </c>
      <c r="AQ36" s="421"/>
      <c r="AR36" s="2156">
        <v>-21.439</v>
      </c>
      <c r="AS36" s="2159"/>
      <c r="AT36" s="2159">
        <v>-39.862000000000002</v>
      </c>
      <c r="AU36" s="2159"/>
      <c r="AV36" s="2159">
        <v>13.68</v>
      </c>
      <c r="AW36" s="2159"/>
      <c r="AX36" s="2159">
        <v>-45.412999999999997</v>
      </c>
      <c r="AY36" s="2160"/>
      <c r="AZ36" s="2160">
        <v>5.9269999999999996</v>
      </c>
      <c r="BA36" s="411"/>
      <c r="BB36" s="2160">
        <v>15.3</v>
      </c>
      <c r="BC36" s="131"/>
      <c r="BD36" s="2160">
        <v>24.6</v>
      </c>
      <c r="BE36" s="131"/>
      <c r="BF36" s="2458">
        <v>-98.8</v>
      </c>
      <c r="BG36" s="411"/>
      <c r="BH36" s="421">
        <f>bal!BG26-bal!BI26</f>
        <v>89.691712741068784</v>
      </c>
      <c r="BI36" s="411"/>
      <c r="BJ36" s="421">
        <f>bal!BI26-bal!BK26</f>
        <v>-18.923747562031338</v>
      </c>
      <c r="BK36" s="411"/>
      <c r="BL36" s="421">
        <f>bal!BK26-bal!BM26</f>
        <v>-19.530038467578265</v>
      </c>
      <c r="BM36" s="411"/>
      <c r="BN36" s="421">
        <f>bal!BM26-bal!BO26</f>
        <v>-16.068817596068698</v>
      </c>
      <c r="BO36" s="131"/>
      <c r="BP36" s="432">
        <f>bal!BO26-bal!BQ26</f>
        <v>-16.454933645283802</v>
      </c>
      <c r="BQ36" s="131"/>
      <c r="BR36" s="131"/>
    </row>
    <row r="37" spans="1:70">
      <c r="A37" s="330"/>
      <c r="B37" s="330" t="s">
        <v>1584</v>
      </c>
      <c r="C37" s="330"/>
      <c r="D37" s="421"/>
      <c r="E37" s="421"/>
      <c r="F37" s="422">
        <v>1.6890000000000001</v>
      </c>
      <c r="G37" s="422"/>
      <c r="H37" s="422">
        <v>4.9059999999999997</v>
      </c>
      <c r="I37" s="422"/>
      <c r="J37" s="422">
        <v>-3.044</v>
      </c>
      <c r="K37" s="422"/>
      <c r="L37" s="422">
        <v>-6.7</v>
      </c>
      <c r="M37" s="422"/>
      <c r="N37" s="421">
        <v>-6.8929999999999998</v>
      </c>
      <c r="O37" s="421"/>
      <c r="P37" s="421">
        <v>-6.867</v>
      </c>
      <c r="Q37" s="421"/>
      <c r="R37" s="421">
        <v>1.873</v>
      </c>
      <c r="S37" s="421"/>
      <c r="T37" s="421">
        <v>-8.1050000000000004</v>
      </c>
      <c r="U37" s="422"/>
      <c r="V37" s="421">
        <v>-20.594999999999999</v>
      </c>
      <c r="W37" s="422"/>
      <c r="X37" s="421">
        <f>10.897-12.401</f>
        <v>-1.5039999999999996</v>
      </c>
      <c r="Y37" s="421"/>
      <c r="Z37" s="421">
        <f>-8.564-5.294</f>
        <v>-13.858000000000001</v>
      </c>
      <c r="AA37" s="421"/>
      <c r="AB37" s="421">
        <v>0.38600000000000001</v>
      </c>
      <c r="AC37" s="421"/>
      <c r="AD37" s="421">
        <v>-21.797999999999998</v>
      </c>
      <c r="AE37" s="421"/>
      <c r="AF37" s="421">
        <v>-75.81</v>
      </c>
      <c r="AG37" s="421"/>
      <c r="AH37" s="421">
        <v>43.109000000000002</v>
      </c>
      <c r="AI37" s="421"/>
      <c r="AJ37" s="421">
        <v>-8.1219999999999999</v>
      </c>
      <c r="AK37" s="131"/>
      <c r="AL37" s="421">
        <v>-151.101</v>
      </c>
      <c r="AM37" s="131"/>
      <c r="AN37" s="421">
        <v>161.93199999999999</v>
      </c>
      <c r="AO37" s="131"/>
      <c r="AP37" s="397">
        <v>-29.065999999999999</v>
      </c>
      <c r="AQ37" s="131"/>
      <c r="AR37" s="2156">
        <v>-0.501</v>
      </c>
      <c r="AS37" s="2154"/>
      <c r="AT37" s="2159">
        <v>-17.550999999999998</v>
      </c>
      <c r="AU37" s="2154"/>
      <c r="AV37" s="2159">
        <v>16.559000000000001</v>
      </c>
      <c r="AW37" s="2154"/>
      <c r="AX37" s="2159">
        <v>70.143000000000001</v>
      </c>
      <c r="AY37" s="2157"/>
      <c r="AZ37" s="2160">
        <v>-81.89</v>
      </c>
      <c r="BA37" s="411"/>
      <c r="BB37" s="2160">
        <v>-3.1</v>
      </c>
      <c r="BC37" s="131"/>
      <c r="BD37" s="2160">
        <v>39.299999999999997</v>
      </c>
      <c r="BE37" s="131"/>
      <c r="BF37" s="2458">
        <v>-149.69999999999999</v>
      </c>
      <c r="BG37" s="411"/>
      <c r="BH37" s="421">
        <f>+bal!BG29-bal!BI29</f>
        <v>7.3998364521208231</v>
      </c>
      <c r="BI37" s="411"/>
      <c r="BJ37" s="421">
        <f>+bal!BI29-bal!BK29</f>
        <v>-9.479722500017985</v>
      </c>
      <c r="BK37" s="411"/>
      <c r="BL37" s="421">
        <f>+bal!BK29-bal!BM29</f>
        <v>-6.7136465209094069</v>
      </c>
      <c r="BM37" s="411"/>
      <c r="BN37" s="421">
        <f>+bal!BM29-bal!BO29</f>
        <v>-5.7236083850936126</v>
      </c>
      <c r="BO37" s="131"/>
      <c r="BP37" s="432">
        <f>+bal!BO29-bal!BQ29</f>
        <v>-6.6596298255567774</v>
      </c>
      <c r="BQ37" s="131"/>
      <c r="BR37" s="131"/>
    </row>
    <row r="38" spans="1:70">
      <c r="A38" s="330"/>
      <c r="B38" s="330" t="s">
        <v>590</v>
      </c>
      <c r="C38" s="330"/>
      <c r="D38" s="421"/>
      <c r="E38" s="421"/>
      <c r="F38" s="422"/>
      <c r="G38" s="422"/>
      <c r="H38" s="422"/>
      <c r="I38" s="422"/>
      <c r="J38" s="422"/>
      <c r="K38" s="422"/>
      <c r="L38" s="422"/>
      <c r="M38" s="422"/>
      <c r="N38" s="421"/>
      <c r="O38" s="421"/>
      <c r="P38" s="421"/>
      <c r="Q38" s="421"/>
      <c r="R38" s="421"/>
      <c r="S38" s="421"/>
      <c r="T38" s="421"/>
      <c r="U38" s="422"/>
      <c r="V38" s="421"/>
      <c r="W38" s="422"/>
      <c r="X38" s="421"/>
      <c r="Y38" s="421"/>
      <c r="Z38" s="421"/>
      <c r="AA38" s="421"/>
      <c r="AB38" s="421"/>
      <c r="AC38" s="421"/>
      <c r="AD38" s="421"/>
      <c r="AE38" s="421"/>
      <c r="AF38" s="421"/>
      <c r="AG38" s="421"/>
      <c r="AH38" s="421"/>
      <c r="AI38" s="421"/>
      <c r="AJ38" s="421">
        <v>-4.8869999999999996</v>
      </c>
      <c r="AK38" s="131"/>
      <c r="AL38" s="421">
        <v>-5.9390000000000001</v>
      </c>
      <c r="AM38" s="131"/>
      <c r="AN38" s="421">
        <v>-0.47599999999999998</v>
      </c>
      <c r="AO38" s="131"/>
      <c r="AP38" s="412">
        <v>1.7130000000000001</v>
      </c>
      <c r="AQ38" s="131"/>
      <c r="AR38" s="2152">
        <v>0.999</v>
      </c>
      <c r="AS38" s="2154"/>
      <c r="AT38" s="2159">
        <v>2.988</v>
      </c>
      <c r="AU38" s="2154"/>
      <c r="AV38" s="2159">
        <v>-1.64</v>
      </c>
      <c r="AW38" s="2154"/>
      <c r="AX38" s="2159">
        <v>-4.7110000000000003</v>
      </c>
      <c r="AY38" s="2157"/>
      <c r="AZ38" s="2160">
        <v>2.7389999999999999</v>
      </c>
      <c r="BA38" s="411"/>
      <c r="BB38" s="2160">
        <v>-3</v>
      </c>
      <c r="BC38" s="131"/>
      <c r="BD38" s="2160">
        <v>-1.5</v>
      </c>
      <c r="BE38" s="131"/>
      <c r="BF38" s="2458">
        <v>-6.2</v>
      </c>
      <c r="BG38" s="411"/>
      <c r="BH38" s="421">
        <f>(bal!BG30-bal!BI30)</f>
        <v>2.4681870694074206</v>
      </c>
      <c r="BI38" s="411"/>
      <c r="BJ38" s="421">
        <f>(bal!BI30-bal!BK30)</f>
        <v>-3.8120812284841179</v>
      </c>
      <c r="BK38" s="411"/>
      <c r="BL38" s="421">
        <f>(bal!BK30-bal!BM30)</f>
        <v>-4.0162282538344414</v>
      </c>
      <c r="BM38" s="411"/>
      <c r="BN38" s="421">
        <f>(bal!BM30-bal!BO30)</f>
        <v>-3.3973341558503733</v>
      </c>
      <c r="BO38" s="131"/>
      <c r="BP38" s="432">
        <f>(bal!BO30-bal!BQ30)</f>
        <v>-3.2828997198939192</v>
      </c>
      <c r="BQ38" s="131"/>
      <c r="BR38" s="131"/>
    </row>
    <row r="39" spans="1:70">
      <c r="A39" s="330"/>
      <c r="B39" s="330" t="s">
        <v>1375</v>
      </c>
      <c r="C39" s="330"/>
      <c r="D39" s="423"/>
      <c r="E39" s="421"/>
      <c r="F39" s="1690">
        <f>0.545-0.246</f>
        <v>0.29900000000000004</v>
      </c>
      <c r="G39" s="422"/>
      <c r="H39" s="1690">
        <f>-0.631-0.352</f>
        <v>-0.98299999999999998</v>
      </c>
      <c r="I39" s="422"/>
      <c r="J39" s="1690">
        <f>-1.629+1.074</f>
        <v>-0.55499999999999994</v>
      </c>
      <c r="K39" s="422"/>
      <c r="L39" s="1690">
        <f>-1.582-0.762</f>
        <v>-2.3440000000000003</v>
      </c>
      <c r="M39" s="422"/>
      <c r="N39" s="423">
        <f>-2.525-1.07</f>
        <v>-3.5949999999999998</v>
      </c>
      <c r="O39" s="421"/>
      <c r="P39" s="423">
        <f>-3.183-1.285</f>
        <v>-4.468</v>
      </c>
      <c r="Q39" s="421"/>
      <c r="R39" s="423">
        <f>-3.755-0.979</f>
        <v>-4.734</v>
      </c>
      <c r="S39" s="421"/>
      <c r="T39" s="423">
        <f>-4.21-4.288</f>
        <v>-8.4980000000000011</v>
      </c>
      <c r="U39" s="422"/>
      <c r="V39" s="423">
        <f>-7.349-1.338</f>
        <v>-8.6870000000000012</v>
      </c>
      <c r="W39" s="422"/>
      <c r="X39" s="423">
        <f>-5.875-9.651</f>
        <v>-15.526</v>
      </c>
      <c r="Y39" s="421"/>
      <c r="Z39" s="423">
        <f>-2.755-2.992</f>
        <v>-5.7469999999999999</v>
      </c>
      <c r="AA39" s="421"/>
      <c r="AB39" s="423">
        <f>-3.786-1.543</f>
        <v>-5.3289999999999997</v>
      </c>
      <c r="AC39" s="421"/>
      <c r="AD39" s="423">
        <f>-2.617+2.364</f>
        <v>-0.25300000000000011</v>
      </c>
      <c r="AE39" s="421"/>
      <c r="AF39" s="423">
        <f>-6.687-14.266</f>
        <v>-20.952999999999999</v>
      </c>
      <c r="AG39" s="421"/>
      <c r="AH39" s="423">
        <f>-4.201-12.725</f>
        <v>-16.925999999999998</v>
      </c>
      <c r="AI39" s="421"/>
      <c r="AJ39" s="423">
        <v>1.1379999999999999</v>
      </c>
      <c r="AK39" s="131"/>
      <c r="AL39" s="423">
        <v>33.738999999999997</v>
      </c>
      <c r="AM39" s="131"/>
      <c r="AN39" s="423">
        <v>3.617</v>
      </c>
      <c r="AO39" s="131"/>
      <c r="AP39" s="423">
        <v>27.471</v>
      </c>
      <c r="AQ39" s="131"/>
      <c r="AR39" s="2162">
        <v>23.526</v>
      </c>
      <c r="AS39" s="2154"/>
      <c r="AT39" s="2162">
        <v>2.6960000000000002</v>
      </c>
      <c r="AU39" s="2154"/>
      <c r="AV39" s="2162">
        <v>24.459</v>
      </c>
      <c r="AW39" s="2154"/>
      <c r="AX39" s="2162">
        <v>20.478999999999999</v>
      </c>
      <c r="AY39" s="2154"/>
      <c r="AZ39" s="2162">
        <v>23.981999999999999</v>
      </c>
      <c r="BA39" s="411"/>
      <c r="BB39" s="2162">
        <v>15.4</v>
      </c>
      <c r="BC39" s="131"/>
      <c r="BD39" s="2162">
        <v>123.9</v>
      </c>
      <c r="BE39" s="131"/>
      <c r="BF39" s="2466">
        <v>11.1</v>
      </c>
      <c r="BG39" s="411"/>
      <c r="BH39" s="1691">
        <f>(bal!BG36-bal!BI36)+(bal!BG34-bal!BI34)</f>
        <v>0</v>
      </c>
      <c r="BI39" s="411"/>
      <c r="BJ39" s="1691">
        <f>(bal!BI36-bal!BK36)+(bal!BI34-bal!BK34)</f>
        <v>0</v>
      </c>
      <c r="BK39" s="411"/>
      <c r="BL39" s="1691">
        <f>(bal!BK36-bal!BM36)+(bal!BK34-bal!BM34)</f>
        <v>0</v>
      </c>
      <c r="BM39" s="411"/>
      <c r="BN39" s="1691">
        <f>(bal!BM36-bal!BO36)+(bal!BM34-bal!BO34)</f>
        <v>0</v>
      </c>
      <c r="BO39" s="131"/>
      <c r="BP39" s="1691">
        <f>(bal!BO36-bal!BQ36)+(bal!BO34-bal!BQ34)</f>
        <v>0</v>
      </c>
      <c r="BQ39" s="131"/>
      <c r="BR39" s="131"/>
    </row>
    <row r="40" spans="1:70">
      <c r="A40" s="330" t="s">
        <v>1620</v>
      </c>
      <c r="B40" s="330"/>
      <c r="C40" s="330"/>
      <c r="D40" s="445">
        <f>SUM(D31:D39)</f>
        <v>0</v>
      </c>
      <c r="E40" s="445"/>
      <c r="F40" s="445">
        <f>SUM(F31:F39)</f>
        <v>51.872999999999998</v>
      </c>
      <c r="G40" s="445"/>
      <c r="H40" s="445">
        <f>SUM(H31:H39)</f>
        <v>39.866999999999997</v>
      </c>
      <c r="I40" s="397"/>
      <c r="J40" s="445">
        <f>SUM(J31:J39)</f>
        <v>24.822999999999997</v>
      </c>
      <c r="K40" s="445"/>
      <c r="L40" s="445">
        <f>SUM(L31:L39)</f>
        <v>-11.865000000000002</v>
      </c>
      <c r="M40" s="445"/>
      <c r="N40" s="445">
        <f>SUM(N31:N39)</f>
        <v>32.073000000000008</v>
      </c>
      <c r="O40" s="445"/>
      <c r="P40" s="445">
        <f>SUM(P31:P39)</f>
        <v>53.454000000000008</v>
      </c>
      <c r="Q40" s="445"/>
      <c r="R40" s="445">
        <f>SUM(R31:R39)</f>
        <v>75.305000000000035</v>
      </c>
      <c r="S40" s="445"/>
      <c r="T40" s="445">
        <f>SUM(T31:T39)</f>
        <v>53.284000000000006</v>
      </c>
      <c r="U40" s="445"/>
      <c r="V40" s="445">
        <f>SUM(V31:V39)</f>
        <v>-25.692000000000004</v>
      </c>
      <c r="W40" s="445"/>
      <c r="X40" s="445">
        <f>SUM(X31:X39)</f>
        <v>151.25899999999999</v>
      </c>
      <c r="Y40" s="397"/>
      <c r="Z40" s="445">
        <f>SUM(Z31:Z39)</f>
        <v>-3.7970000000000041</v>
      </c>
      <c r="AA40" s="445"/>
      <c r="AB40" s="445">
        <f>SUM(AB31:AB39)</f>
        <v>57.480999999999995</v>
      </c>
      <c r="AC40" s="445"/>
      <c r="AD40" s="445">
        <f>SUM(AD31:AD39)</f>
        <v>49.817000000000021</v>
      </c>
      <c r="AE40" s="397"/>
      <c r="AF40" s="445">
        <f>SUM(AF31:AF39)</f>
        <v>129.79299999999998</v>
      </c>
      <c r="AG40" s="445"/>
      <c r="AH40" s="445">
        <f>SUM(AH31:AH39)</f>
        <v>98.968000000000004</v>
      </c>
      <c r="AI40" s="445"/>
      <c r="AJ40" s="338">
        <f>SUM(AJ31:AJ39)</f>
        <v>230.86100000000002</v>
      </c>
      <c r="AK40" s="131"/>
      <c r="AL40" s="445">
        <f>SUM(AL31:AL39)</f>
        <v>41.280000000000015</v>
      </c>
      <c r="AM40" s="131"/>
      <c r="AN40" s="445">
        <f>SUM(AN31:AN39)</f>
        <v>405.93800000000005</v>
      </c>
      <c r="AO40" s="131"/>
      <c r="AP40" s="445">
        <f>SUM(AP31:AP39)</f>
        <v>-228.86899999999997</v>
      </c>
      <c r="AQ40" s="131"/>
      <c r="AR40" s="1217">
        <f>SUM(AR31:AR39)</f>
        <v>215.72599999999997</v>
      </c>
      <c r="AS40" s="247"/>
      <c r="AT40" s="1217">
        <f>SUM(AT31:AT39)</f>
        <v>419.45599999999996</v>
      </c>
      <c r="AU40" s="247"/>
      <c r="AV40" s="1217">
        <f>SUM(AV31:AV39)</f>
        <v>314.83300000000003</v>
      </c>
      <c r="AW40" s="247"/>
      <c r="AX40" s="1217">
        <f>SUM(AX31:AX39)</f>
        <v>267.99700000000001</v>
      </c>
      <c r="AY40" s="247"/>
      <c r="AZ40" s="1217">
        <f>SUM(AZ31:AZ39)</f>
        <v>176.97000000000003</v>
      </c>
      <c r="BA40" s="411"/>
      <c r="BB40" s="1217">
        <f>SUM(BB31:BB39)</f>
        <v>-6.0000000000000018</v>
      </c>
      <c r="BC40" s="131"/>
      <c r="BD40" s="1217">
        <f>SUM(BD31:BD39)</f>
        <v>116.30000000000001</v>
      </c>
      <c r="BE40" s="131"/>
      <c r="BF40" s="1217">
        <f>SUM(BF31:BF39)</f>
        <v>-165.19999999999996</v>
      </c>
      <c r="BG40" s="411"/>
      <c r="BH40" s="1217">
        <f>SUM(BH31:BH39)</f>
        <v>278.62748685031397</v>
      </c>
      <c r="BI40" s="411"/>
      <c r="BJ40" s="1217">
        <f>SUM(BJ31:BJ39)</f>
        <v>124.04547472265035</v>
      </c>
      <c r="BK40" s="411"/>
      <c r="BL40" s="1217">
        <f>SUM(BL31:BL39)</f>
        <v>-14.236402841831989</v>
      </c>
      <c r="BM40" s="411"/>
      <c r="BN40" s="1217">
        <f>SUM(BN31:BN39)</f>
        <v>101.45312647713165</v>
      </c>
      <c r="BO40" s="131"/>
      <c r="BP40" s="1217">
        <f>SUM(BP31:BP39)</f>
        <v>103.28851298169886</v>
      </c>
      <c r="BQ40" s="131"/>
      <c r="BR40" s="131"/>
    </row>
    <row r="41" spans="1:70" ht="6" customHeight="1">
      <c r="A41" s="330"/>
      <c r="B41" s="330"/>
      <c r="C41" s="330"/>
      <c r="D41" s="330"/>
      <c r="E41" s="330"/>
      <c r="F41" s="401">
        <f>+F22-F40</f>
        <v>-7.188999999999993</v>
      </c>
      <c r="G41" s="330"/>
      <c r="H41" s="401">
        <f>+H22-H40</f>
        <v>-5.5539999999999807</v>
      </c>
      <c r="I41" s="330"/>
      <c r="J41" s="401"/>
      <c r="K41" s="330"/>
      <c r="L41" s="330"/>
      <c r="M41" s="330"/>
      <c r="N41" s="330"/>
      <c r="O41" s="330"/>
      <c r="P41" s="401"/>
      <c r="Q41" s="330"/>
      <c r="R41" s="401"/>
      <c r="S41" s="330"/>
      <c r="T41" s="330"/>
      <c r="U41" s="330"/>
      <c r="V41" s="401"/>
      <c r="W41" s="330"/>
      <c r="X41" s="397"/>
      <c r="Y41" s="330"/>
      <c r="Z41" s="397"/>
      <c r="AA41" s="330"/>
      <c r="AB41" s="397"/>
      <c r="AC41" s="330"/>
      <c r="AD41" s="330" t="s">
        <v>509</v>
      </c>
      <c r="AE41" s="330"/>
      <c r="AF41" s="330"/>
      <c r="AG41" s="330"/>
      <c r="AH41" s="330"/>
      <c r="AI41" s="330"/>
      <c r="AJ41" s="338"/>
      <c r="AK41" s="131"/>
      <c r="AL41" s="330"/>
      <c r="AM41" s="131"/>
      <c r="AN41" s="330"/>
      <c r="AO41" s="131"/>
      <c r="AP41" s="330"/>
      <c r="AQ41" s="131"/>
      <c r="AR41" s="405"/>
      <c r="AS41" s="247"/>
      <c r="AT41" s="405"/>
      <c r="AU41" s="247"/>
      <c r="AV41" s="405"/>
      <c r="AW41" s="247"/>
      <c r="AX41" s="405"/>
      <c r="AY41" s="131"/>
      <c r="AZ41" s="330"/>
      <c r="BA41" s="411"/>
      <c r="BB41" s="330"/>
      <c r="BC41" s="131"/>
      <c r="BD41" s="330"/>
      <c r="BE41" s="131"/>
      <c r="BF41" s="330"/>
      <c r="BG41" s="411"/>
      <c r="BH41" s="330"/>
      <c r="BI41" s="411"/>
      <c r="BJ41" s="330"/>
      <c r="BK41" s="411"/>
      <c r="BL41" s="330"/>
      <c r="BM41" s="411"/>
      <c r="BN41" s="330"/>
      <c r="BO41" s="131"/>
      <c r="BP41" s="247"/>
      <c r="BQ41" s="131"/>
      <c r="BR41" s="131"/>
    </row>
    <row r="42" spans="1:70">
      <c r="A42" s="339" t="s">
        <v>2395</v>
      </c>
      <c r="B42" s="339"/>
      <c r="C42" s="339"/>
      <c r="D42" s="406">
        <f>D40+D27+D28</f>
        <v>24.835000000000001</v>
      </c>
      <c r="E42" s="406"/>
      <c r="F42" s="406">
        <f>F40+F27+F28</f>
        <v>93.257999999999996</v>
      </c>
      <c r="G42" s="406"/>
      <c r="H42" s="406">
        <f>H40+H27+H28</f>
        <v>62.620999999999995</v>
      </c>
      <c r="I42" s="406"/>
      <c r="J42" s="406">
        <f>J40+J27+J28</f>
        <v>42.926000000000002</v>
      </c>
      <c r="K42" s="406"/>
      <c r="L42" s="406">
        <f>L40+L27+L28</f>
        <v>7.3619999999999983</v>
      </c>
      <c r="M42" s="406"/>
      <c r="N42" s="406">
        <f>N40+N27+N28</f>
        <v>58.528000000000006</v>
      </c>
      <c r="O42" s="406"/>
      <c r="P42" s="406">
        <f>P40+P27+P28</f>
        <v>93.338000000000008</v>
      </c>
      <c r="Q42" s="406"/>
      <c r="R42" s="406">
        <f>R40+R27+R28</f>
        <v>125.87000000000003</v>
      </c>
      <c r="S42" s="406"/>
      <c r="T42" s="406">
        <f>T40+T27+T28</f>
        <v>124.25500000000001</v>
      </c>
      <c r="U42" s="406"/>
      <c r="V42" s="406">
        <f>V40+V27+V28</f>
        <v>152.57599999999999</v>
      </c>
      <c r="W42" s="406"/>
      <c r="X42" s="406">
        <f>X40+X27+X28</f>
        <v>267.54399999999998</v>
      </c>
      <c r="Y42" s="406"/>
      <c r="Z42" s="406">
        <f>Z40+Z27+Z28</f>
        <v>176.55500000000001</v>
      </c>
      <c r="AA42" s="406"/>
      <c r="AB42" s="406">
        <f>AB40+AB27+AB28</f>
        <v>303.697</v>
      </c>
      <c r="AC42" s="406"/>
      <c r="AD42" s="406">
        <f>AD40+AD27+AD28</f>
        <v>322.71699999999998</v>
      </c>
      <c r="AE42" s="406"/>
      <c r="AF42" s="406">
        <f>AF40+AF27+AF28</f>
        <v>272.11399999999998</v>
      </c>
      <c r="AG42" s="406"/>
      <c r="AH42" s="406">
        <f>AH40+AH27+AH28</f>
        <v>256.00400000000002</v>
      </c>
      <c r="AI42" s="406"/>
      <c r="AJ42" s="406">
        <f>AJ40+AJ27+AJ28</f>
        <v>405.41200000000003</v>
      </c>
      <c r="AK42" s="131"/>
      <c r="AL42" s="406">
        <f>AL40+AL27+AL28</f>
        <v>225.54599999999999</v>
      </c>
      <c r="AM42" s="131"/>
      <c r="AN42" s="406">
        <f>AN40+AN27+AN28</f>
        <v>560.34699999999998</v>
      </c>
      <c r="AO42" s="131"/>
      <c r="AP42" s="406">
        <f>AP40+AP27</f>
        <v>-153.46599999999995</v>
      </c>
      <c r="AQ42" s="131"/>
      <c r="AR42" s="1712">
        <f>AR40+AR27+AR28</f>
        <v>342.72799999999995</v>
      </c>
      <c r="AS42" s="247"/>
      <c r="AT42" s="1712">
        <f>AT40+AT27+AT28</f>
        <v>658.899</v>
      </c>
      <c r="AU42" s="247"/>
      <c r="AV42" s="1712">
        <f>AV40+AV27+AV28</f>
        <v>534.36300000000006</v>
      </c>
      <c r="AW42" s="247"/>
      <c r="AX42" s="1712">
        <f>AX40+AX27+AX28</f>
        <v>489.44900000000001</v>
      </c>
      <c r="AY42" s="131"/>
      <c r="AZ42" s="406">
        <f>AZ40+AZ27+AZ28</f>
        <v>424.36400000000003</v>
      </c>
      <c r="BA42" s="411"/>
      <c r="BB42" s="406">
        <f>BB40+BB27+BB28</f>
        <v>246.7</v>
      </c>
      <c r="BC42" s="131"/>
      <c r="BD42" s="406">
        <f>BD40+BD27+BD28</f>
        <v>339.1</v>
      </c>
      <c r="BE42" s="131"/>
      <c r="BF42" s="406">
        <f>BF40+BF27+BF28</f>
        <v>74.100000000000051</v>
      </c>
      <c r="BG42" s="411"/>
      <c r="BH42" s="406">
        <f>BH40+BH27+BH28</f>
        <v>558.62748685031397</v>
      </c>
      <c r="BI42" s="411"/>
      <c r="BJ42" s="406">
        <f>BJ40+BJ27+BJ28</f>
        <v>404.04547472265034</v>
      </c>
      <c r="BK42" s="411"/>
      <c r="BL42" s="406">
        <f>BL40+BL27+BL28</f>
        <v>275.76359715816801</v>
      </c>
      <c r="BM42" s="411"/>
      <c r="BN42" s="406">
        <f>BN40+BN27+BN28</f>
        <v>371.45312647713166</v>
      </c>
      <c r="BO42" s="131"/>
      <c r="BP42" s="1712">
        <f>BP40+BP27+BP28</f>
        <v>373.28851298169889</v>
      </c>
      <c r="BQ42" s="131"/>
      <c r="BR42" s="131"/>
    </row>
    <row r="43" spans="1:70" ht="6" customHeight="1">
      <c r="A43" s="340"/>
      <c r="B43" s="340"/>
      <c r="C43" s="340"/>
      <c r="D43" s="340"/>
      <c r="E43" s="340"/>
      <c r="F43" s="340"/>
      <c r="G43" s="340"/>
      <c r="H43" s="340"/>
      <c r="I43" s="340"/>
      <c r="J43" s="340"/>
      <c r="K43" s="340"/>
      <c r="L43" s="340"/>
      <c r="M43" s="340"/>
      <c r="N43" s="340"/>
      <c r="O43" s="340"/>
      <c r="P43" s="340"/>
      <c r="Q43" s="340"/>
      <c r="R43" s="340"/>
      <c r="S43" s="340"/>
      <c r="T43" s="340"/>
      <c r="U43" s="340"/>
      <c r="V43" s="340"/>
      <c r="W43" s="340"/>
      <c r="X43" s="340"/>
      <c r="Y43" s="340"/>
      <c r="Z43" s="340"/>
      <c r="AA43" s="340"/>
      <c r="AB43" s="340"/>
      <c r="AC43" s="340"/>
      <c r="AD43" s="340"/>
      <c r="AE43" s="340"/>
      <c r="AF43" s="340"/>
      <c r="AG43" s="340"/>
      <c r="AH43" s="340"/>
      <c r="AI43" s="340"/>
      <c r="AJ43" s="368"/>
      <c r="AK43" s="225"/>
      <c r="AL43" s="340"/>
      <c r="AM43" s="225"/>
      <c r="AN43" s="340"/>
      <c r="AO43" s="225"/>
      <c r="AP43" s="340"/>
      <c r="AQ43" s="225"/>
      <c r="AR43" s="409"/>
      <c r="AS43" s="392"/>
      <c r="AT43" s="409"/>
      <c r="AU43" s="392"/>
      <c r="AV43" s="409"/>
      <c r="AW43" s="392"/>
      <c r="AX43" s="409"/>
      <c r="AY43" s="225"/>
      <c r="AZ43" s="340"/>
      <c r="BA43" s="991"/>
      <c r="BB43" s="340"/>
      <c r="BC43" s="225"/>
      <c r="BD43" s="340"/>
      <c r="BE43" s="225"/>
      <c r="BF43" s="340"/>
      <c r="BG43" s="991"/>
      <c r="BH43" s="340"/>
      <c r="BI43" s="991"/>
      <c r="BJ43" s="340"/>
      <c r="BK43" s="991"/>
      <c r="BL43" s="340"/>
      <c r="BM43" s="991"/>
      <c r="BN43" s="340"/>
      <c r="BO43" s="225"/>
      <c r="BP43" s="392"/>
      <c r="BQ43" s="225"/>
      <c r="BR43" s="225"/>
    </row>
    <row r="44" spans="1:70">
      <c r="A44" s="993" t="s">
        <v>1621</v>
      </c>
      <c r="B44" s="347"/>
      <c r="C44" s="347"/>
      <c r="D44" s="994">
        <f>D22-D42</f>
        <v>-24.835000000000001</v>
      </c>
      <c r="E44" s="347"/>
      <c r="F44" s="994">
        <f>F22-F42</f>
        <v>-48.573999999999991</v>
      </c>
      <c r="G44" s="994"/>
      <c r="H44" s="994">
        <f>H22-H42</f>
        <v>-28.307999999999979</v>
      </c>
      <c r="I44" s="994"/>
      <c r="J44" s="994">
        <f>J22-J42</f>
        <v>-37.605000000000025</v>
      </c>
      <c r="K44" s="994"/>
      <c r="L44" s="994">
        <f>L22-L42</f>
        <v>46.347000000000023</v>
      </c>
      <c r="M44" s="347"/>
      <c r="N44" s="994">
        <f>N22-N42</f>
        <v>9.5259999999999678</v>
      </c>
      <c r="O44" s="347"/>
      <c r="P44" s="994">
        <f>P22-P42</f>
        <v>-15.099999999999937</v>
      </c>
      <c r="Q44" s="994"/>
      <c r="R44" s="994">
        <f>R22-R42</f>
        <v>-20.912999999999997</v>
      </c>
      <c r="S44" s="994"/>
      <c r="T44" s="994">
        <f>T22-T42</f>
        <v>9.2070000000000363</v>
      </c>
      <c r="U44" s="994"/>
      <c r="V44" s="994">
        <f>V22-V42</f>
        <v>52.082999999999998</v>
      </c>
      <c r="W44" s="994"/>
      <c r="X44" s="994">
        <f>X22-X42</f>
        <v>-5.5889999999999418</v>
      </c>
      <c r="Y44" s="994"/>
      <c r="Z44" s="994">
        <f>Z22-Z42</f>
        <v>61.153999999999996</v>
      </c>
      <c r="AA44" s="994"/>
      <c r="AB44" s="994">
        <f>AB22-AB42</f>
        <v>-24.774999999999977</v>
      </c>
      <c r="AC44" s="994"/>
      <c r="AD44" s="994">
        <f>AD22-AD42</f>
        <v>10.942000000000007</v>
      </c>
      <c r="AE44" s="994"/>
      <c r="AF44" s="994">
        <f>AF22-AF42</f>
        <v>-11.468000000000075</v>
      </c>
      <c r="AG44" s="994"/>
      <c r="AH44" s="994">
        <f>AH22-AH42</f>
        <v>105.65500000000009</v>
      </c>
      <c r="AI44" s="994"/>
      <c r="AJ44" s="995">
        <f>AJ22-AJ42</f>
        <v>64.484999999999957</v>
      </c>
      <c r="AK44" s="135"/>
      <c r="AL44" s="994">
        <f>AL22-AL42</f>
        <v>221.78900000000016</v>
      </c>
      <c r="AM44" s="135"/>
      <c r="AN44" s="994">
        <f>ROUND(AN22-AN42,3)</f>
        <v>-12.138999999999999</v>
      </c>
      <c r="AO44" s="135"/>
      <c r="AP44" s="994">
        <f>AP22-AP42</f>
        <v>611.79600000000005</v>
      </c>
      <c r="AQ44" s="135"/>
      <c r="AR44" s="1715">
        <f>AR22-AR42</f>
        <v>171.923</v>
      </c>
      <c r="AS44" s="284"/>
      <c r="AT44" s="1715">
        <f>AT22-AT42</f>
        <v>-28.837000000000103</v>
      </c>
      <c r="AU44" s="284"/>
      <c r="AV44" s="1715">
        <f>AV22-AV42</f>
        <v>108.75999999999954</v>
      </c>
      <c r="AW44" s="284"/>
      <c r="AX44" s="1715">
        <f>AX22-AX42</f>
        <v>-66.800000000000068</v>
      </c>
      <c r="AY44" s="135"/>
      <c r="AZ44" s="994">
        <f>AZ22-AZ42</f>
        <v>367.72299999999905</v>
      </c>
      <c r="BA44" s="992"/>
      <c r="BB44" s="994">
        <f>BB22-BB42</f>
        <v>560.94300000000135</v>
      </c>
      <c r="BC44" s="135"/>
      <c r="BD44" s="994">
        <f>BD22-BD42</f>
        <v>479.2999999999995</v>
      </c>
      <c r="BE44" s="135"/>
      <c r="BF44" s="994">
        <f>BF22-BF42</f>
        <v>692.89999999999986</v>
      </c>
      <c r="BG44" s="992"/>
      <c r="BH44" s="994">
        <f>BH22-BH42</f>
        <v>275.40200297915453</v>
      </c>
      <c r="BI44" s="992"/>
      <c r="BJ44" s="994">
        <f>BJ22-BJ42</f>
        <v>500.01312900898546</v>
      </c>
      <c r="BK44" s="992"/>
      <c r="BL44" s="994">
        <f>BL22-BL42</f>
        <v>684.62756528304703</v>
      </c>
      <c r="BM44" s="992"/>
      <c r="BN44" s="994">
        <f>BN22-BN42</f>
        <v>601.11390432693065</v>
      </c>
      <c r="BO44" s="135"/>
      <c r="BP44" s="1715">
        <f>BP22-BP42</f>
        <v>688.93350134540265</v>
      </c>
      <c r="BQ44" s="135"/>
      <c r="BR44" s="135"/>
    </row>
    <row r="45" spans="1:70" hidden="1" outlineLevel="1">
      <c r="A45" s="426"/>
      <c r="B45" s="426"/>
      <c r="C45" s="426"/>
      <c r="D45" s="427"/>
      <c r="E45" s="426"/>
      <c r="F45" s="427"/>
      <c r="G45" s="427"/>
      <c r="H45" s="427"/>
      <c r="I45" s="427"/>
      <c r="J45" s="427"/>
      <c r="K45" s="427"/>
      <c r="L45" s="427"/>
      <c r="M45" s="426"/>
      <c r="N45" s="427"/>
      <c r="O45" s="426"/>
      <c r="P45" s="427"/>
      <c r="Q45" s="427"/>
      <c r="R45" s="427"/>
      <c r="S45" s="427"/>
      <c r="T45" s="427"/>
      <c r="U45" s="427"/>
      <c r="V45" s="427"/>
      <c r="W45" s="427"/>
      <c r="X45" s="427"/>
      <c r="Y45" s="427"/>
      <c r="Z45" s="427"/>
      <c r="AA45" s="427"/>
      <c r="AB45" s="427"/>
      <c r="AC45" s="427"/>
      <c r="AD45" s="427"/>
      <c r="AE45" s="427"/>
      <c r="AF45" s="427"/>
      <c r="AG45" s="427"/>
      <c r="AH45" s="427"/>
      <c r="AI45" s="427"/>
      <c r="AJ45" s="844"/>
      <c r="AK45" s="131"/>
      <c r="AL45" s="427"/>
      <c r="AM45" s="131"/>
      <c r="AN45" s="427"/>
      <c r="AO45" s="131"/>
      <c r="AP45" s="427"/>
      <c r="AQ45" s="131"/>
      <c r="AR45" s="1716"/>
      <c r="AS45" s="247"/>
      <c r="AT45" s="1716"/>
      <c r="AU45" s="247"/>
      <c r="AV45" s="1716"/>
      <c r="AW45" s="247"/>
      <c r="AX45" s="1716"/>
      <c r="AY45" s="131"/>
      <c r="AZ45" s="427"/>
      <c r="BA45" s="411"/>
      <c r="BB45" s="427"/>
      <c r="BC45" s="131"/>
      <c r="BD45" s="427"/>
      <c r="BE45" s="131"/>
      <c r="BF45" s="427"/>
      <c r="BG45" s="411"/>
      <c r="BH45" s="427"/>
      <c r="BI45" s="411"/>
      <c r="BJ45" s="427"/>
      <c r="BK45" s="411"/>
      <c r="BL45" s="427"/>
      <c r="BM45" s="411"/>
      <c r="BN45" s="427"/>
      <c r="BO45" s="131"/>
      <c r="BP45" s="247"/>
      <c r="BQ45" s="131"/>
      <c r="BR45" s="131"/>
    </row>
    <row r="46" spans="1:70" hidden="1" outlineLevel="1">
      <c r="A46" s="330"/>
      <c r="B46" s="330"/>
      <c r="C46" s="330"/>
      <c r="D46" s="330"/>
      <c r="E46" s="330"/>
      <c r="F46" s="330"/>
      <c r="G46" s="330"/>
      <c r="H46" s="330"/>
      <c r="I46" s="330"/>
      <c r="J46" s="330"/>
      <c r="K46" s="330"/>
      <c r="L46" s="330"/>
      <c r="M46" s="330"/>
      <c r="N46" s="330"/>
      <c r="O46" s="330"/>
      <c r="P46" s="330"/>
      <c r="Q46" s="330"/>
      <c r="R46" s="330"/>
      <c r="S46" s="330"/>
      <c r="T46" s="330"/>
      <c r="U46" s="330"/>
      <c r="V46" s="330"/>
      <c r="W46" s="330"/>
      <c r="X46" s="330"/>
      <c r="Y46" s="330"/>
      <c r="Z46" s="330"/>
      <c r="AA46" s="330"/>
      <c r="AB46" s="330"/>
      <c r="AC46" s="330"/>
      <c r="AD46" s="330"/>
      <c r="AE46" s="330"/>
      <c r="AF46" s="330"/>
      <c r="AG46" s="330"/>
      <c r="AH46" s="330"/>
      <c r="AI46" s="330"/>
      <c r="AJ46" s="415" t="s">
        <v>510</v>
      </c>
      <c r="AK46" s="131"/>
      <c r="AL46" s="330"/>
      <c r="AM46" s="131"/>
      <c r="AN46" s="330"/>
      <c r="AO46" s="131"/>
      <c r="AP46" s="330"/>
      <c r="AQ46" s="131"/>
      <c r="AR46" s="405"/>
      <c r="AS46" s="247"/>
      <c r="AT46" s="405"/>
      <c r="AU46" s="247"/>
      <c r="AV46" s="405"/>
      <c r="AW46" s="247"/>
      <c r="AX46" s="405"/>
      <c r="AY46" s="131"/>
      <c r="AZ46" s="330"/>
      <c r="BA46" s="411"/>
      <c r="BB46" s="330"/>
      <c r="BC46" s="131"/>
      <c r="BD46" s="330"/>
      <c r="BE46" s="131"/>
      <c r="BF46" s="330"/>
      <c r="BG46" s="411"/>
      <c r="BH46" s="330"/>
      <c r="BI46" s="411"/>
      <c r="BJ46" s="330"/>
      <c r="BK46" s="411"/>
      <c r="BL46" s="330"/>
      <c r="BM46" s="411"/>
      <c r="BN46" s="330"/>
      <c r="BO46" s="131"/>
      <c r="BP46" s="247"/>
      <c r="BQ46" s="131"/>
      <c r="BR46" s="131"/>
    </row>
    <row r="47" spans="1:70" hidden="1" outlineLevel="1">
      <c r="A47" s="340"/>
      <c r="B47" s="340"/>
      <c r="C47" s="340"/>
      <c r="D47" s="428"/>
      <c r="E47" s="428"/>
      <c r="F47" s="429"/>
      <c r="G47" s="428"/>
      <c r="H47" s="341"/>
      <c r="I47" s="341" t="s">
        <v>1610</v>
      </c>
      <c r="J47" s="428"/>
      <c r="K47" s="428"/>
      <c r="L47" s="428"/>
      <c r="M47" s="428"/>
      <c r="N47" s="428"/>
      <c r="O47" s="428"/>
      <c r="P47" s="429"/>
      <c r="Q47" s="428"/>
      <c r="R47" s="429"/>
      <c r="S47" s="341"/>
      <c r="T47" s="429"/>
      <c r="U47" s="428"/>
      <c r="V47" s="582" t="s">
        <v>1610</v>
      </c>
      <c r="W47" s="396"/>
      <c r="X47" s="396"/>
      <c r="Y47" s="396"/>
      <c r="Z47" s="396"/>
      <c r="AA47" s="396"/>
      <c r="AB47" s="396"/>
      <c r="AC47" s="396"/>
      <c r="AD47" s="396"/>
      <c r="AE47" s="396"/>
      <c r="AF47" s="396"/>
      <c r="AG47" s="396"/>
      <c r="AH47" s="396"/>
      <c r="AI47" s="396"/>
      <c r="AJ47" s="843"/>
      <c r="AK47" s="225"/>
      <c r="AL47" s="396"/>
      <c r="AM47" s="225"/>
      <c r="AN47" s="396"/>
      <c r="AO47" s="225"/>
      <c r="AP47" s="396"/>
      <c r="AQ47" s="225"/>
      <c r="AR47" s="1713"/>
      <c r="AS47" s="392"/>
      <c r="AT47" s="1713"/>
      <c r="AU47" s="392"/>
      <c r="AV47" s="1713"/>
      <c r="AW47" s="392"/>
      <c r="AX47" s="1713"/>
      <c r="AY47" s="225"/>
      <c r="AZ47" s="396"/>
      <c r="BA47" s="991"/>
      <c r="BB47" s="396"/>
      <c r="BC47" s="225"/>
      <c r="BD47" s="396"/>
      <c r="BE47" s="225"/>
      <c r="BF47" s="396"/>
      <c r="BG47" s="991"/>
      <c r="BH47" s="396"/>
      <c r="BI47" s="991"/>
      <c r="BJ47" s="396"/>
      <c r="BK47" s="991"/>
      <c r="BL47" s="396"/>
      <c r="BM47" s="991"/>
      <c r="BN47" s="396"/>
      <c r="BO47" s="225"/>
      <c r="BP47" s="392"/>
      <c r="BQ47" s="225"/>
      <c r="BR47" s="225"/>
    </row>
    <row r="48" spans="1:70" ht="6" customHeight="1" collapsed="1">
      <c r="A48" s="330"/>
      <c r="B48" s="330"/>
      <c r="C48" s="330"/>
      <c r="D48" s="330"/>
      <c r="E48" s="330"/>
      <c r="F48" s="330"/>
      <c r="G48" s="330"/>
      <c r="H48" s="330"/>
      <c r="I48" s="330"/>
      <c r="J48" s="330"/>
      <c r="K48" s="330"/>
      <c r="L48" s="330"/>
      <c r="M48" s="330"/>
      <c r="N48" s="330"/>
      <c r="O48" s="330"/>
      <c r="P48" s="330"/>
      <c r="Q48" s="330"/>
      <c r="R48" s="330"/>
      <c r="S48" s="330"/>
      <c r="T48" s="330"/>
      <c r="U48" s="330"/>
      <c r="V48" s="330"/>
      <c r="W48" s="330"/>
      <c r="X48" s="330"/>
      <c r="Y48" s="330"/>
      <c r="Z48" s="330"/>
      <c r="AA48" s="330"/>
      <c r="AB48" s="330"/>
      <c r="AC48" s="330"/>
      <c r="AD48" s="330"/>
      <c r="AE48" s="330"/>
      <c r="AF48" s="330"/>
      <c r="AG48" s="330"/>
      <c r="AH48" s="330"/>
      <c r="AI48" s="330"/>
      <c r="AJ48" s="415"/>
      <c r="AK48" s="131"/>
      <c r="AL48" s="330"/>
      <c r="AM48" s="131"/>
      <c r="AN48" s="330"/>
      <c r="AO48" s="131"/>
      <c r="AP48" s="330"/>
      <c r="AQ48" s="131"/>
      <c r="AR48" s="405"/>
      <c r="AS48" s="247"/>
      <c r="AT48" s="405"/>
      <c r="AU48" s="247"/>
      <c r="AV48" s="405"/>
      <c r="AW48" s="247"/>
      <c r="AX48" s="405"/>
      <c r="AY48" s="131"/>
      <c r="AZ48" s="330"/>
      <c r="BA48" s="411"/>
      <c r="BB48" s="330"/>
      <c r="BC48" s="131"/>
      <c r="BD48" s="330"/>
      <c r="BE48" s="131"/>
      <c r="BF48" s="330"/>
      <c r="BG48" s="411"/>
      <c r="BH48" s="330"/>
      <c r="BI48" s="411"/>
      <c r="BJ48" s="330"/>
      <c r="BK48" s="411"/>
      <c r="BL48" s="330"/>
      <c r="BM48" s="411"/>
      <c r="BN48" s="330"/>
      <c r="BO48" s="131"/>
      <c r="BP48" s="247"/>
      <c r="BQ48" s="131"/>
      <c r="BR48" s="131"/>
    </row>
    <row r="49" spans="1:70">
      <c r="A49" s="330" t="s">
        <v>1223</v>
      </c>
      <c r="B49" s="330"/>
      <c r="C49" s="330"/>
      <c r="D49" s="338"/>
      <c r="E49" s="338"/>
      <c r="F49" s="422">
        <f>50-18.226</f>
        <v>31.774000000000001</v>
      </c>
      <c r="G49" s="415"/>
      <c r="H49" s="422">
        <v>51.5</v>
      </c>
      <c r="I49" s="415"/>
      <c r="J49" s="422">
        <v>0</v>
      </c>
      <c r="K49" s="415"/>
      <c r="L49" s="422">
        <v>0</v>
      </c>
      <c r="M49" s="415"/>
      <c r="N49" s="421">
        <v>0</v>
      </c>
      <c r="O49" s="421"/>
      <c r="P49" s="421">
        <f>46.625-26.029-0.916</f>
        <v>19.68</v>
      </c>
      <c r="Q49" s="421"/>
      <c r="R49" s="421">
        <v>0</v>
      </c>
      <c r="S49" s="421"/>
      <c r="T49" s="421">
        <v>100</v>
      </c>
      <c r="U49" s="421"/>
      <c r="V49" s="421">
        <v>48.817999999999998</v>
      </c>
      <c r="W49" s="421"/>
      <c r="X49" s="421">
        <v>0</v>
      </c>
      <c r="Y49" s="415"/>
      <c r="Z49" s="421">
        <v>0</v>
      </c>
      <c r="AA49" s="338"/>
      <c r="AB49" s="421">
        <f>100-51.5</f>
        <v>48.5</v>
      </c>
      <c r="AC49" s="338"/>
      <c r="AD49" s="421">
        <f>135.105-4</f>
        <v>131.10499999999999</v>
      </c>
      <c r="AE49" s="338"/>
      <c r="AF49" s="421">
        <v>-51.53</v>
      </c>
      <c r="AG49" s="338"/>
      <c r="AH49" s="421">
        <v>61.914000000000001</v>
      </c>
      <c r="AI49" s="338"/>
      <c r="AJ49" s="421">
        <v>-14.56</v>
      </c>
      <c r="AK49" s="131"/>
      <c r="AL49" s="445">
        <v>-32.301000000000002</v>
      </c>
      <c r="AM49" s="1294"/>
      <c r="AN49" s="445">
        <f>-73.483+100</f>
        <v>26.516999999999996</v>
      </c>
      <c r="AO49" s="1294"/>
      <c r="AP49" s="445">
        <f>300-40</f>
        <v>260</v>
      </c>
      <c r="AQ49" s="131"/>
      <c r="AR49" s="2163">
        <f>118.43-218.845</f>
        <v>-100.41499999999999</v>
      </c>
      <c r="AS49" s="2154"/>
      <c r="AT49" s="2159">
        <v>-58.914999999999999</v>
      </c>
      <c r="AU49" s="2154"/>
      <c r="AV49" s="2159">
        <f>250-60</f>
        <v>190</v>
      </c>
      <c r="AW49" s="2154"/>
      <c r="AX49" s="2159">
        <v>0</v>
      </c>
      <c r="AY49" s="2157"/>
      <c r="AZ49" s="2160">
        <f>548.037-400</f>
        <v>148.03700000000003</v>
      </c>
      <c r="BA49" s="411"/>
      <c r="BB49" s="2160">
        <v>0</v>
      </c>
      <c r="BC49" s="131"/>
      <c r="BD49" s="2160">
        <f>98.1-97.1</f>
        <v>1</v>
      </c>
      <c r="BE49" s="131"/>
      <c r="BF49" s="2458">
        <v>0</v>
      </c>
      <c r="BG49" s="411"/>
      <c r="BH49" s="421">
        <f>bal!BI33-bal!BG33+bal!BI27-bal!BG27</f>
        <v>0</v>
      </c>
      <c r="BI49" s="411"/>
      <c r="BJ49" s="421">
        <f>bal!BK33-bal!BI33+bal!BK27-bal!BI27</f>
        <v>0</v>
      </c>
      <c r="BK49" s="411"/>
      <c r="BL49" s="421">
        <f>bal!BM33-bal!BK33+bal!BM27-bal!BK27</f>
        <v>0</v>
      </c>
      <c r="BM49" s="411"/>
      <c r="BN49" s="421">
        <f>bal!BO33-bal!BM33+bal!BO27-bal!BM27</f>
        <v>0</v>
      </c>
      <c r="BO49" s="131"/>
      <c r="BP49" s="432">
        <f>bal!BQ33-bal!BO33+bal!BQ27-bal!BO27</f>
        <v>0</v>
      </c>
      <c r="BQ49" s="131"/>
      <c r="BR49" s="131"/>
    </row>
    <row r="50" spans="1:70">
      <c r="A50" s="330" t="s">
        <v>592</v>
      </c>
      <c r="B50" s="330"/>
      <c r="C50" s="330"/>
      <c r="D50" s="338"/>
      <c r="E50" s="330"/>
      <c r="F50" s="422">
        <v>12.052</v>
      </c>
      <c r="G50" s="330"/>
      <c r="H50" s="338">
        <v>-21.2</v>
      </c>
      <c r="I50" s="330"/>
      <c r="J50" s="338">
        <v>36.911999999999999</v>
      </c>
      <c r="K50" s="330"/>
      <c r="L50" s="338">
        <v>-4.0720000000000001</v>
      </c>
      <c r="M50" s="330"/>
      <c r="N50" s="338">
        <v>22.826000000000001</v>
      </c>
      <c r="O50" s="330"/>
      <c r="P50" s="338">
        <v>7.0890000000000004</v>
      </c>
      <c r="Q50" s="330"/>
      <c r="R50" s="338">
        <v>18.913</v>
      </c>
      <c r="S50" s="330"/>
      <c r="T50" s="338">
        <v>1.4999999999999999E-2</v>
      </c>
      <c r="U50" s="330"/>
      <c r="V50" s="421">
        <v>-77.676000000000002</v>
      </c>
      <c r="W50" s="330"/>
      <c r="X50" s="421">
        <v>9.84</v>
      </c>
      <c r="Y50" s="330"/>
      <c r="Z50" s="421">
        <v>13.852</v>
      </c>
      <c r="AA50" s="330"/>
      <c r="AB50" s="421">
        <v>-1.905</v>
      </c>
      <c r="AC50" s="330"/>
      <c r="AD50" s="421">
        <v>-15.225</v>
      </c>
      <c r="AE50" s="330"/>
      <c r="AF50" s="421">
        <v>-0.79700000000000004</v>
      </c>
      <c r="AG50" s="330"/>
      <c r="AH50" s="421">
        <v>-3.7949999999999999</v>
      </c>
      <c r="AI50" s="330"/>
      <c r="AJ50" s="421">
        <f>71.548</f>
        <v>71.548000000000002</v>
      </c>
      <c r="AK50" s="131"/>
      <c r="AL50" s="421">
        <v>-75.147000000000006</v>
      </c>
      <c r="AM50" s="131"/>
      <c r="AN50" s="421">
        <f>103.976-25.473+116.001</f>
        <v>194.50400000000002</v>
      </c>
      <c r="AO50" s="131"/>
      <c r="AP50" s="421">
        <f>-126.811-93</f>
        <v>-219.81100000000001</v>
      </c>
      <c r="AQ50" s="131"/>
      <c r="AR50" s="2159">
        <v>9.17</v>
      </c>
      <c r="AS50" s="2154"/>
      <c r="AT50" s="2159">
        <f>13.548+61.02-4.517-1.859</f>
        <v>68.192000000000007</v>
      </c>
      <c r="AU50" s="2154"/>
      <c r="AV50" s="2159">
        <f>47.278+40.298-0.361-1.258</f>
        <v>85.956999999999994</v>
      </c>
      <c r="AW50" s="2154"/>
      <c r="AX50" s="2159">
        <f>49.883+89.806-69.737-7.171</f>
        <v>62.780999999999999</v>
      </c>
      <c r="AY50" s="2157"/>
      <c r="AZ50" s="2160">
        <f>-12.454+19.803-3.412-8.073</f>
        <v>-4.1360000000000001</v>
      </c>
      <c r="BA50" s="411"/>
      <c r="BB50" s="2160">
        <f>-11.3+24.8-16-0.2</f>
        <v>-2.7</v>
      </c>
      <c r="BC50" s="131"/>
      <c r="BD50" s="2160">
        <f>14.2+76.8-83.1-1.5</f>
        <v>6.4000000000000057</v>
      </c>
      <c r="BE50" s="131"/>
      <c r="BF50" s="2458">
        <f>+-67.8+39.2-96.1</f>
        <v>-124.69999999999999</v>
      </c>
      <c r="BG50" s="411"/>
      <c r="BH50" s="421">
        <f>+bal!BI28-bal!BG28</f>
        <v>0</v>
      </c>
      <c r="BI50" s="411"/>
      <c r="BJ50" s="421">
        <f>+bal!BK28-bal!BI28</f>
        <v>0</v>
      </c>
      <c r="BK50" s="411"/>
      <c r="BL50" s="421">
        <f>+bal!BM28-bal!BK28</f>
        <v>0</v>
      </c>
      <c r="BM50" s="411"/>
      <c r="BN50" s="421">
        <f>+bal!BO28-bal!BM28</f>
        <v>0</v>
      </c>
      <c r="BO50" s="131"/>
      <c r="BP50" s="432">
        <f>+bal!BQ28-bal!BO28</f>
        <v>0</v>
      </c>
      <c r="BQ50" s="131"/>
      <c r="BR50" s="131"/>
    </row>
    <row r="51" spans="1:70">
      <c r="A51" s="330" t="s">
        <v>1007</v>
      </c>
      <c r="B51" s="330"/>
      <c r="C51" s="330"/>
      <c r="D51" s="338"/>
      <c r="E51" s="330"/>
      <c r="F51" s="422"/>
      <c r="G51" s="330"/>
      <c r="H51" s="338"/>
      <c r="I51" s="330"/>
      <c r="J51" s="338"/>
      <c r="K51" s="330"/>
      <c r="L51" s="338"/>
      <c r="M51" s="330"/>
      <c r="N51" s="338"/>
      <c r="O51" s="330"/>
      <c r="P51" s="338"/>
      <c r="Q51" s="330"/>
      <c r="R51" s="338"/>
      <c r="S51" s="330"/>
      <c r="T51" s="338"/>
      <c r="U51" s="330"/>
      <c r="V51" s="421"/>
      <c r="W51" s="330"/>
      <c r="X51" s="421"/>
      <c r="Y51" s="330"/>
      <c r="Z51" s="421"/>
      <c r="AA51" s="330"/>
      <c r="AB51" s="421"/>
      <c r="AC51" s="330"/>
      <c r="AD51" s="421">
        <v>-27.45</v>
      </c>
      <c r="AE51" s="330"/>
      <c r="AF51" s="421">
        <f>237.519-383.989</f>
        <v>-146.46999999999997</v>
      </c>
      <c r="AG51" s="330"/>
      <c r="AH51" s="421">
        <f>-100.234+248.228</f>
        <v>147.99400000000003</v>
      </c>
      <c r="AI51" s="330"/>
      <c r="AJ51" s="421">
        <f>150.278-163.341</f>
        <v>-13.063000000000017</v>
      </c>
      <c r="AK51" s="131"/>
      <c r="AL51" s="421">
        <f>883.207-870.025</f>
        <v>13.182000000000016</v>
      </c>
      <c r="AM51" s="131"/>
      <c r="AN51" s="421">
        <v>-1.5429999999999999</v>
      </c>
      <c r="AO51" s="131"/>
      <c r="AP51" s="421">
        <f>-14.187+0.754</f>
        <v>-13.433</v>
      </c>
      <c r="AQ51" s="131"/>
      <c r="AR51" s="2159">
        <f>-61.556+1.946</f>
        <v>-59.61</v>
      </c>
      <c r="AS51" s="2154"/>
      <c r="AT51" s="2159">
        <f>-40.912+96.051</f>
        <v>55.139000000000003</v>
      </c>
      <c r="AU51" s="2154"/>
      <c r="AV51" s="2159">
        <f>-15.226+19.289</f>
        <v>4.0630000000000006</v>
      </c>
      <c r="AW51" s="2154"/>
      <c r="AX51" s="2159">
        <v>-23.46</v>
      </c>
      <c r="AY51" s="2157"/>
      <c r="AZ51" s="2160">
        <f>-40.063+55.308</f>
        <v>15.244999999999997</v>
      </c>
      <c r="BA51" s="411"/>
      <c r="BB51" s="2160">
        <f>-100+73.6</f>
        <v>-26.400000000000006</v>
      </c>
      <c r="BC51" s="131"/>
      <c r="BD51" s="2160">
        <f>-125.5+109.8</f>
        <v>-15.700000000000003</v>
      </c>
      <c r="BE51" s="131"/>
      <c r="BF51" s="2458">
        <f>+-598+351.4</f>
        <v>-246.60000000000002</v>
      </c>
      <c r="BG51" s="411"/>
      <c r="BH51" s="421">
        <v>0</v>
      </c>
      <c r="BI51" s="411"/>
      <c r="BJ51" s="421">
        <v>0</v>
      </c>
      <c r="BK51" s="411"/>
      <c r="BL51" s="421">
        <v>0</v>
      </c>
      <c r="BM51" s="411"/>
      <c r="BN51" s="421">
        <v>0</v>
      </c>
      <c r="BO51" s="131"/>
      <c r="BP51" s="432">
        <v>0</v>
      </c>
      <c r="BQ51" s="131"/>
      <c r="BR51" s="131"/>
    </row>
    <row r="52" spans="1:70">
      <c r="A52" s="330" t="s">
        <v>1008</v>
      </c>
      <c r="B52" s="330"/>
      <c r="C52" s="330"/>
      <c r="D52" s="338"/>
      <c r="E52" s="330"/>
      <c r="F52" s="422"/>
      <c r="G52" s="330"/>
      <c r="H52" s="338"/>
      <c r="I52" s="330"/>
      <c r="J52" s="338"/>
      <c r="K52" s="330"/>
      <c r="L52" s="338"/>
      <c r="M52" s="330"/>
      <c r="N52" s="338"/>
      <c r="O52" s="330"/>
      <c r="P52" s="338"/>
      <c r="Q52" s="330"/>
      <c r="R52" s="338"/>
      <c r="S52" s="330"/>
      <c r="T52" s="338"/>
      <c r="U52" s="330"/>
      <c r="V52" s="421"/>
      <c r="W52" s="330"/>
      <c r="X52" s="421"/>
      <c r="Y52" s="330"/>
      <c r="Z52" s="421"/>
      <c r="AA52" s="330"/>
      <c r="AB52" s="421"/>
      <c r="AC52" s="330"/>
      <c r="AD52" s="421"/>
      <c r="AE52" s="330"/>
      <c r="AF52" s="421">
        <v>267.238</v>
      </c>
      <c r="AG52" s="330"/>
      <c r="AH52" s="421">
        <v>75</v>
      </c>
      <c r="AI52" s="330"/>
      <c r="AJ52" s="421">
        <v>0</v>
      </c>
      <c r="AK52" s="131"/>
      <c r="AL52" s="421">
        <v>509.03500000000003</v>
      </c>
      <c r="AM52" s="131"/>
      <c r="AN52" s="421">
        <v>0</v>
      </c>
      <c r="AO52" s="131"/>
      <c r="AP52" s="421">
        <v>3.65</v>
      </c>
      <c r="AQ52" s="131"/>
      <c r="AR52" s="2159">
        <v>0</v>
      </c>
      <c r="AS52" s="2154"/>
      <c r="AT52" s="2159">
        <v>0</v>
      </c>
      <c r="AU52" s="2154"/>
      <c r="AV52" s="2159">
        <v>0</v>
      </c>
      <c r="AW52" s="2154"/>
      <c r="AX52" s="2159">
        <v>0</v>
      </c>
      <c r="AY52" s="2157"/>
      <c r="AZ52" s="2160">
        <v>0</v>
      </c>
      <c r="BA52" s="411"/>
      <c r="BB52" s="2160">
        <v>0.9</v>
      </c>
      <c r="BC52" s="131"/>
      <c r="BD52" s="2160">
        <v>0</v>
      </c>
      <c r="BE52" s="131"/>
      <c r="BF52" s="2458">
        <v>0</v>
      </c>
      <c r="BG52" s="411"/>
      <c r="BH52" s="421">
        <v>0</v>
      </c>
      <c r="BI52" s="411"/>
      <c r="BJ52" s="421">
        <v>0</v>
      </c>
      <c r="BK52" s="411"/>
      <c r="BL52" s="421">
        <v>0</v>
      </c>
      <c r="BM52" s="411"/>
      <c r="BN52" s="421">
        <v>0</v>
      </c>
      <c r="BO52" s="131"/>
      <c r="BP52" s="432">
        <v>0</v>
      </c>
      <c r="BQ52" s="131"/>
      <c r="BR52" s="131"/>
    </row>
    <row r="53" spans="1:70">
      <c r="A53" s="330" t="s">
        <v>1009</v>
      </c>
      <c r="B53" s="330"/>
      <c r="C53" s="330"/>
      <c r="D53" s="338"/>
      <c r="E53" s="330"/>
      <c r="F53" s="422"/>
      <c r="G53" s="330"/>
      <c r="H53" s="338"/>
      <c r="I53" s="330"/>
      <c r="J53" s="338"/>
      <c r="K53" s="330"/>
      <c r="L53" s="338"/>
      <c r="M53" s="330"/>
      <c r="N53" s="338"/>
      <c r="O53" s="330"/>
      <c r="P53" s="338"/>
      <c r="Q53" s="330"/>
      <c r="R53" s="338"/>
      <c r="S53" s="330"/>
      <c r="T53" s="338"/>
      <c r="U53" s="330"/>
      <c r="V53" s="421"/>
      <c r="W53" s="330"/>
      <c r="X53" s="421"/>
      <c r="Y53" s="330"/>
      <c r="Z53" s="421">
        <v>-2.5</v>
      </c>
      <c r="AA53" s="330"/>
      <c r="AB53" s="421"/>
      <c r="AC53" s="330"/>
      <c r="AD53" s="421"/>
      <c r="AE53" s="330"/>
      <c r="AF53" s="421"/>
      <c r="AG53" s="330"/>
      <c r="AH53" s="421">
        <v>-25.363</v>
      </c>
      <c r="AI53" s="330"/>
      <c r="AJ53" s="421">
        <v>-9.7279999999999998</v>
      </c>
      <c r="AK53" s="131"/>
      <c r="AL53" s="421">
        <v>-7.1719999999999997</v>
      </c>
      <c r="AM53" s="131"/>
      <c r="AN53" s="421">
        <v>-5</v>
      </c>
      <c r="AO53" s="131"/>
      <c r="AP53" s="421">
        <v>0</v>
      </c>
      <c r="AQ53" s="131"/>
      <c r="AR53" s="2159">
        <v>0</v>
      </c>
      <c r="AS53" s="2154"/>
      <c r="AT53" s="2159">
        <v>-56.604999999999997</v>
      </c>
      <c r="AU53" s="2154"/>
      <c r="AV53" s="2159">
        <v>-8.0150000000000006</v>
      </c>
      <c r="AW53" s="2154"/>
      <c r="AX53" s="2159">
        <f>1.181-3.05</f>
        <v>-1.8689999999999998</v>
      </c>
      <c r="AY53" s="2157"/>
      <c r="AZ53" s="2160">
        <v>15.16</v>
      </c>
      <c r="BA53" s="411"/>
      <c r="BB53" s="2160">
        <v>0</v>
      </c>
      <c r="BC53" s="131"/>
      <c r="BD53" s="2160">
        <v>0</v>
      </c>
      <c r="BE53" s="131"/>
      <c r="BF53" s="2458">
        <v>0</v>
      </c>
      <c r="BG53" s="411"/>
      <c r="BH53" s="421">
        <v>0</v>
      </c>
      <c r="BI53" s="411"/>
      <c r="BJ53" s="421">
        <v>0</v>
      </c>
      <c r="BK53" s="411"/>
      <c r="BL53" s="421">
        <v>0</v>
      </c>
      <c r="BM53" s="411"/>
      <c r="BN53" s="421">
        <v>0</v>
      </c>
      <c r="BO53" s="131"/>
      <c r="BP53" s="432">
        <v>0</v>
      </c>
      <c r="BQ53" s="131"/>
      <c r="BR53" s="131"/>
    </row>
    <row r="54" spans="1:70">
      <c r="A54" s="330" t="s">
        <v>1010</v>
      </c>
      <c r="B54" s="330"/>
      <c r="C54" s="330"/>
      <c r="D54" s="338"/>
      <c r="E54" s="330"/>
      <c r="F54" s="422"/>
      <c r="G54" s="330"/>
      <c r="H54" s="338"/>
      <c r="I54" s="330"/>
      <c r="J54" s="338"/>
      <c r="K54" s="330"/>
      <c r="L54" s="338"/>
      <c r="M54" s="330"/>
      <c r="N54" s="338"/>
      <c r="O54" s="330"/>
      <c r="P54" s="338"/>
      <c r="Q54" s="330"/>
      <c r="R54" s="338"/>
      <c r="S54" s="330"/>
      <c r="T54" s="338"/>
      <c r="U54" s="330"/>
      <c r="V54" s="421"/>
      <c r="W54" s="330"/>
      <c r="X54" s="421"/>
      <c r="Y54" s="330"/>
      <c r="Z54" s="421"/>
      <c r="AA54" s="330"/>
      <c r="AB54" s="421"/>
      <c r="AC54" s="330"/>
      <c r="AD54" s="421"/>
      <c r="AE54" s="330"/>
      <c r="AF54" s="421">
        <v>-4.5</v>
      </c>
      <c r="AG54" s="330"/>
      <c r="AH54" s="421">
        <v>-6.8449999999999998</v>
      </c>
      <c r="AI54" s="330"/>
      <c r="AJ54" s="421">
        <v>-0.4</v>
      </c>
      <c r="AK54" s="131"/>
      <c r="AL54" s="421">
        <v>-0.4</v>
      </c>
      <c r="AM54" s="131"/>
      <c r="AN54" s="421">
        <v>-1.9</v>
      </c>
      <c r="AO54" s="131"/>
      <c r="AP54" s="421">
        <v>0</v>
      </c>
      <c r="AQ54" s="131"/>
      <c r="AR54" s="2159">
        <v>0</v>
      </c>
      <c r="AS54" s="2154"/>
      <c r="AT54" s="2159">
        <v>0</v>
      </c>
      <c r="AU54" s="2154"/>
      <c r="AV54" s="2159">
        <v>-25</v>
      </c>
      <c r="AW54" s="2154"/>
      <c r="AX54" s="2159">
        <v>0</v>
      </c>
      <c r="AY54" s="2157"/>
      <c r="AZ54" s="2160">
        <v>0</v>
      </c>
      <c r="BA54" s="411"/>
      <c r="BB54" s="2160">
        <v>0</v>
      </c>
      <c r="BC54" s="131"/>
      <c r="BD54" s="2160">
        <v>0</v>
      </c>
      <c r="BE54" s="131"/>
      <c r="BF54" s="2458">
        <v>0</v>
      </c>
      <c r="BG54" s="411"/>
      <c r="BH54" s="421">
        <v>0</v>
      </c>
      <c r="BI54" s="411"/>
      <c r="BJ54" s="421">
        <v>0</v>
      </c>
      <c r="BK54" s="411"/>
      <c r="BL54" s="421">
        <v>0</v>
      </c>
      <c r="BM54" s="411"/>
      <c r="BN54" s="421">
        <v>0</v>
      </c>
      <c r="BO54" s="131"/>
      <c r="BP54" s="432">
        <v>0</v>
      </c>
      <c r="BQ54" s="131"/>
      <c r="BR54" s="131"/>
    </row>
    <row r="55" spans="1:70">
      <c r="A55" s="330" t="s">
        <v>1224</v>
      </c>
      <c r="B55" s="330"/>
      <c r="C55" s="330"/>
      <c r="D55" s="338"/>
      <c r="E55" s="330"/>
      <c r="F55" s="415">
        <v>0</v>
      </c>
      <c r="G55" s="330"/>
      <c r="H55" s="338">
        <v>0</v>
      </c>
      <c r="I55" s="405"/>
      <c r="J55" s="422">
        <v>0</v>
      </c>
      <c r="K55" s="415"/>
      <c r="L55" s="422">
        <v>0</v>
      </c>
      <c r="M55" s="415"/>
      <c r="N55" s="421">
        <v>0</v>
      </c>
      <c r="O55" s="432"/>
      <c r="P55" s="421">
        <v>0</v>
      </c>
      <c r="Q55" s="421"/>
      <c r="R55" s="421">
        <v>-8.6720000000000006</v>
      </c>
      <c r="S55" s="421"/>
      <c r="T55" s="421">
        <v>-30.035</v>
      </c>
      <c r="U55" s="432"/>
      <c r="V55" s="421"/>
      <c r="W55" s="421"/>
      <c r="X55" s="421">
        <v>-13.319000000000001</v>
      </c>
      <c r="Y55" s="422"/>
      <c r="Z55" s="421">
        <v>-39.265000000000001</v>
      </c>
      <c r="AA55" s="412"/>
      <c r="AB55" s="421">
        <v>-37.526000000000003</v>
      </c>
      <c r="AC55" s="412"/>
      <c r="AD55" s="421">
        <v>-4.6100000000000003</v>
      </c>
      <c r="AE55" s="412"/>
      <c r="AF55" s="421">
        <v>-86.731999999999999</v>
      </c>
      <c r="AG55" s="412"/>
      <c r="AH55" s="432">
        <v>-132.816</v>
      </c>
      <c r="AI55" s="412"/>
      <c r="AJ55" s="432">
        <v>-281.17599999999999</v>
      </c>
      <c r="AK55" s="131"/>
      <c r="AL55" s="432">
        <v>-574.60799999999995</v>
      </c>
      <c r="AM55" s="247"/>
      <c r="AN55" s="432">
        <v>-218.37899999999999</v>
      </c>
      <c r="AO55" s="247"/>
      <c r="AP55" s="432">
        <v>-0.46700000000000003</v>
      </c>
      <c r="AQ55" s="247"/>
      <c r="AR55" s="2159">
        <v>-80.786000000000001</v>
      </c>
      <c r="AS55" s="2154"/>
      <c r="AT55" s="2159">
        <f>-174.118</f>
        <v>-174.11799999999999</v>
      </c>
      <c r="AU55" s="2154"/>
      <c r="AV55" s="2159">
        <v>-54.106999999999999</v>
      </c>
      <c r="AW55" s="2154"/>
      <c r="AX55" s="2159">
        <v>0</v>
      </c>
      <c r="AY55" s="2154"/>
      <c r="AZ55" s="2159">
        <v>-27.027999999999999</v>
      </c>
      <c r="BA55" s="411"/>
      <c r="BB55" s="2159">
        <v>-220.4</v>
      </c>
      <c r="BC55" s="131"/>
      <c r="BD55" s="2159">
        <v>-183.6</v>
      </c>
      <c r="BE55" s="131"/>
      <c r="BF55" s="2467">
        <v>-99.2</v>
      </c>
      <c r="BG55" s="411"/>
      <c r="BH55" s="432">
        <v>-100</v>
      </c>
      <c r="BI55" s="411"/>
      <c r="BJ55" s="432">
        <v>-200</v>
      </c>
      <c r="BK55" s="411"/>
      <c r="BL55" s="432">
        <v>-200</v>
      </c>
      <c r="BM55" s="411"/>
      <c r="BN55" s="432">
        <v>-200</v>
      </c>
      <c r="BO55" s="131"/>
      <c r="BP55" s="432">
        <v>-200</v>
      </c>
      <c r="BQ55" s="131"/>
      <c r="BR55" s="131"/>
    </row>
    <row r="56" spans="1:70">
      <c r="A56" s="330" t="s">
        <v>61</v>
      </c>
      <c r="B56" s="330"/>
      <c r="C56" s="330"/>
      <c r="D56" s="338">
        <f>(+bal!E44-bal!C44)+(bal!E43-bal!C43)</f>
        <v>0</v>
      </c>
      <c r="E56" s="412"/>
      <c r="F56" s="415">
        <f>2.013+3.572</f>
        <v>5.585</v>
      </c>
      <c r="G56" s="412"/>
      <c r="H56" s="415">
        <f>1.095+0.619</f>
        <v>1.714</v>
      </c>
      <c r="I56" s="413"/>
      <c r="J56" s="415">
        <f>0.569+0.377</f>
        <v>0.94599999999999995</v>
      </c>
      <c r="K56" s="413"/>
      <c r="L56" s="415">
        <f>0.967+0.356</f>
        <v>1.323</v>
      </c>
      <c r="M56" s="413"/>
      <c r="N56" s="421">
        <v>7.9710000000000001</v>
      </c>
      <c r="O56" s="432"/>
      <c r="P56" s="421">
        <v>13.462</v>
      </c>
      <c r="Q56" s="432"/>
      <c r="R56" s="421">
        <v>10.045999999999999</v>
      </c>
      <c r="S56" s="432"/>
      <c r="T56" s="421">
        <v>11.073</v>
      </c>
      <c r="U56" s="432"/>
      <c r="V56" s="421">
        <f>16.38+71.426</f>
        <v>87.805999999999997</v>
      </c>
      <c r="W56" s="421"/>
      <c r="X56" s="421">
        <v>10.741</v>
      </c>
      <c r="Y56" s="338"/>
      <c r="Z56" s="421">
        <f>6.306-39.485</f>
        <v>-33.179000000000002</v>
      </c>
      <c r="AA56" s="338"/>
      <c r="AB56" s="421">
        <v>10.654</v>
      </c>
      <c r="AC56" s="338"/>
      <c r="AD56" s="421">
        <v>22.587</v>
      </c>
      <c r="AE56" s="338"/>
      <c r="AF56" s="421">
        <f>6.691+2</f>
        <v>8.6909999999999989</v>
      </c>
      <c r="AG56" s="338"/>
      <c r="AH56" s="421">
        <f>24.545+8.636</f>
        <v>33.180999999999997</v>
      </c>
      <c r="AI56" s="338"/>
      <c r="AJ56" s="421">
        <f>21.689+6.33</f>
        <v>28.018999999999998</v>
      </c>
      <c r="AK56" s="131"/>
      <c r="AL56" s="421">
        <f>68.83+18.739</f>
        <v>87.569000000000003</v>
      </c>
      <c r="AM56" s="131"/>
      <c r="AN56" s="421">
        <f>30.357+10.196</f>
        <v>40.552999999999997</v>
      </c>
      <c r="AO56" s="131"/>
      <c r="AP56" s="421">
        <f>71.485+1.349</f>
        <v>72.834000000000003</v>
      </c>
      <c r="AQ56" s="131"/>
      <c r="AR56" s="2159">
        <f>65.683+9.124</f>
        <v>74.807000000000002</v>
      </c>
      <c r="AS56" s="2154"/>
      <c r="AT56" s="2159">
        <f>65.566+18.771</f>
        <v>84.337000000000003</v>
      </c>
      <c r="AU56" s="2154"/>
      <c r="AV56" s="2159">
        <f>13.012+11.763</f>
        <v>24.774999999999999</v>
      </c>
      <c r="AW56" s="2154"/>
      <c r="AX56" s="2159">
        <f>27.895+14.876</f>
        <v>42.771000000000001</v>
      </c>
      <c r="AY56" s="2154"/>
      <c r="AZ56" s="2160">
        <f>42.902+14.111</f>
        <v>57.013000000000005</v>
      </c>
      <c r="BA56" s="411"/>
      <c r="BB56" s="2160">
        <f>2+2.2</f>
        <v>4.2</v>
      </c>
      <c r="BC56" s="131"/>
      <c r="BD56" s="2160">
        <f>15.3+0.7</f>
        <v>16</v>
      </c>
      <c r="BE56" s="131"/>
      <c r="BF56" s="2458">
        <v>54.6</v>
      </c>
      <c r="BG56" s="411"/>
      <c r="BH56" s="421">
        <f>BF56</f>
        <v>54.6</v>
      </c>
      <c r="BI56" s="411"/>
      <c r="BJ56" s="421">
        <f>BH56</f>
        <v>54.6</v>
      </c>
      <c r="BK56" s="411"/>
      <c r="BL56" s="421">
        <f>BJ56</f>
        <v>54.6</v>
      </c>
      <c r="BM56" s="411"/>
      <c r="BN56" s="421">
        <f>BL56</f>
        <v>54.6</v>
      </c>
      <c r="BO56" s="131"/>
      <c r="BP56" s="432">
        <f>BN56</f>
        <v>54.6</v>
      </c>
      <c r="BQ56" s="131"/>
      <c r="BR56" s="131"/>
    </row>
    <row r="57" spans="1:70">
      <c r="A57" s="330" t="s">
        <v>1375</v>
      </c>
      <c r="B57" s="330"/>
      <c r="C57" s="330"/>
      <c r="D57" s="338"/>
      <c r="E57" s="412"/>
      <c r="F57" s="415">
        <f>-1.382+4.218</f>
        <v>2.8360000000000003</v>
      </c>
      <c r="G57" s="412"/>
      <c r="H57" s="415">
        <f>-0.945+4.31</f>
        <v>3.3649999999999998</v>
      </c>
      <c r="I57" s="413"/>
      <c r="J57" s="415">
        <v>2.4500000000000002</v>
      </c>
      <c r="K57" s="413"/>
      <c r="L57" s="415">
        <f>0.25-0.133</f>
        <v>0.11699999999999999</v>
      </c>
      <c r="M57" s="413"/>
      <c r="N57" s="421">
        <f>1.729+0.174</f>
        <v>1.903</v>
      </c>
      <c r="O57" s="432"/>
      <c r="P57" s="421">
        <f>1.59+15</f>
        <v>16.59</v>
      </c>
      <c r="Q57" s="432"/>
      <c r="R57" s="421">
        <v>0.85099999999999998</v>
      </c>
      <c r="S57" s="432"/>
      <c r="T57" s="421">
        <v>3.952</v>
      </c>
      <c r="U57" s="432"/>
      <c r="V57" s="421">
        <f>-70.636+5.316</f>
        <v>-65.319999999999993</v>
      </c>
      <c r="W57" s="421"/>
      <c r="X57" s="421">
        <f>3.761-1.519</f>
        <v>2.242</v>
      </c>
      <c r="Y57" s="338"/>
      <c r="Z57" s="421">
        <v>4.5540000000000003</v>
      </c>
      <c r="AA57" s="338"/>
      <c r="AB57" s="421">
        <v>2.9449999999999998</v>
      </c>
      <c r="AC57" s="338"/>
      <c r="AD57" s="421">
        <v>3.214</v>
      </c>
      <c r="AE57" s="338"/>
      <c r="AF57" s="421">
        <v>-4.2119999999999997</v>
      </c>
      <c r="AG57" s="338"/>
      <c r="AH57" s="421">
        <f>-1.807-0.732</f>
        <v>-2.5389999999999997</v>
      </c>
      <c r="AI57" s="338"/>
      <c r="AJ57" s="421">
        <f>0.605-0.091+(-5.454-7.842+0.52)-2.015</f>
        <v>-14.277000000000001</v>
      </c>
      <c r="AK57" s="131"/>
      <c r="AL57" s="421">
        <f>6.133-2.362-21.256+1.495</f>
        <v>-15.989999999999998</v>
      </c>
      <c r="AM57" s="131"/>
      <c r="AN57" s="421">
        <f>1.162-0.645-9.046</f>
        <v>-8.5289999999999999</v>
      </c>
      <c r="AO57" s="131"/>
      <c r="AP57" s="421">
        <f>4.293-11-6.439-5.887</f>
        <v>-19.033000000000001</v>
      </c>
      <c r="AQ57" s="131"/>
      <c r="AR57" s="2159">
        <f>-7-0.185</f>
        <v>-7.1849999999999996</v>
      </c>
      <c r="AS57" s="2154"/>
      <c r="AT57" s="2159">
        <f>9.527-1.674</f>
        <v>7.8529999999999998</v>
      </c>
      <c r="AU57" s="2154"/>
      <c r="AV57" s="2164">
        <f>-29.335+12.75-82.664</f>
        <v>-99.248999999999995</v>
      </c>
      <c r="AW57" s="2154"/>
      <c r="AX57" s="2159">
        <v>-0.66600000000000004</v>
      </c>
      <c r="AY57" s="2154"/>
      <c r="AZ57" s="2160">
        <f>-1.91-4.18</f>
        <v>-6.09</v>
      </c>
      <c r="BA57" s="411"/>
      <c r="BB57" s="2160">
        <v>0</v>
      </c>
      <c r="BC57" s="131"/>
      <c r="BD57" s="2160">
        <f>1.7-3.8</f>
        <v>-2.0999999999999996</v>
      </c>
      <c r="BE57" s="131"/>
      <c r="BF57" s="2458">
        <f>4.8-0.5-8.7</f>
        <v>-4.3999999999999995</v>
      </c>
      <c r="BG57" s="411"/>
      <c r="BH57" s="421">
        <v>0</v>
      </c>
      <c r="BI57" s="411"/>
      <c r="BJ57" s="421">
        <v>0</v>
      </c>
      <c r="BK57" s="411"/>
      <c r="BL57" s="421">
        <v>0</v>
      </c>
      <c r="BM57" s="411"/>
      <c r="BN57" s="421">
        <v>0</v>
      </c>
      <c r="BO57" s="131"/>
      <c r="BP57" s="432">
        <v>0</v>
      </c>
      <c r="BQ57" s="131"/>
      <c r="BR57" s="131"/>
    </row>
    <row r="58" spans="1:70" ht="7.9" customHeight="1">
      <c r="A58" s="330"/>
      <c r="B58" s="330"/>
      <c r="C58" s="330"/>
      <c r="D58" s="330"/>
      <c r="E58" s="330"/>
      <c r="F58" s="330"/>
      <c r="G58" s="330"/>
      <c r="H58" s="330"/>
      <c r="I58" s="330"/>
      <c r="J58" s="330"/>
      <c r="K58" s="330"/>
      <c r="L58" s="330"/>
      <c r="M58" s="330"/>
      <c r="N58" s="330"/>
      <c r="O58" s="330"/>
      <c r="P58" s="330"/>
      <c r="Q58" s="330"/>
      <c r="R58" s="330"/>
      <c r="S58" s="330"/>
      <c r="T58" s="330"/>
      <c r="U58" s="330"/>
      <c r="V58" s="330"/>
      <c r="W58" s="330"/>
      <c r="X58" s="330"/>
      <c r="Y58" s="330"/>
      <c r="Z58" s="330"/>
      <c r="AA58" s="330"/>
      <c r="AB58" s="330"/>
      <c r="AC58" s="330"/>
      <c r="AD58" s="330"/>
      <c r="AE58" s="330"/>
      <c r="AF58" s="330"/>
      <c r="AG58" s="330"/>
      <c r="AH58" s="330"/>
      <c r="AI58" s="330"/>
      <c r="AJ58" s="330"/>
      <c r="AK58" s="131"/>
      <c r="AL58" s="330"/>
      <c r="AM58" s="131"/>
      <c r="AN58" s="330"/>
      <c r="AO58" s="131"/>
      <c r="AP58" s="330"/>
      <c r="AQ58" s="131"/>
      <c r="AR58" s="405"/>
      <c r="AS58" s="247"/>
      <c r="AT58" s="405"/>
      <c r="AU58" s="247"/>
      <c r="AV58" s="405"/>
      <c r="AW58" s="247"/>
      <c r="AX58" s="405"/>
      <c r="AY58" s="131"/>
      <c r="AZ58" s="330"/>
      <c r="BA58" s="131"/>
      <c r="BB58" s="330"/>
      <c r="BC58" s="131"/>
      <c r="BD58" s="330"/>
      <c r="BE58" s="131"/>
      <c r="BF58" s="330"/>
      <c r="BG58" s="131"/>
      <c r="BH58" s="330"/>
      <c r="BI58" s="131"/>
      <c r="BJ58" s="330"/>
      <c r="BK58" s="131"/>
      <c r="BL58" s="330"/>
      <c r="BM58" s="131"/>
      <c r="BN58" s="330"/>
      <c r="BO58" s="131"/>
      <c r="BP58" s="247"/>
      <c r="BQ58" s="131"/>
      <c r="BR58" s="131"/>
    </row>
    <row r="59" spans="1:70">
      <c r="A59" s="330" t="s">
        <v>818</v>
      </c>
      <c r="B59" s="330"/>
      <c r="C59" s="330"/>
      <c r="D59" s="445">
        <f>SUM(D49:D57)</f>
        <v>0</v>
      </c>
      <c r="E59" s="427"/>
      <c r="F59" s="445">
        <f>SUM(F49:F57)</f>
        <v>52.247</v>
      </c>
      <c r="G59" s="427"/>
      <c r="H59" s="445">
        <f>SUM(H49:H57)</f>
        <v>35.379000000000005</v>
      </c>
      <c r="I59" s="427"/>
      <c r="J59" s="445">
        <f>SUM(J49:J57)</f>
        <v>40.308</v>
      </c>
      <c r="K59" s="427"/>
      <c r="L59" s="445">
        <f>SUM(L49:L57)</f>
        <v>-2.6320000000000001</v>
      </c>
      <c r="M59" s="427"/>
      <c r="N59" s="445">
        <f>SUM(N49:N57)</f>
        <v>32.700000000000003</v>
      </c>
      <c r="O59" s="427"/>
      <c r="P59" s="445">
        <f>SUM(P49:P57)</f>
        <v>56.820999999999998</v>
      </c>
      <c r="Q59" s="427"/>
      <c r="R59" s="445">
        <f>SUM(R49:R57)</f>
        <v>21.137999999999998</v>
      </c>
      <c r="S59" s="427"/>
      <c r="T59" s="445">
        <f>SUM(T49:T57)</f>
        <v>85.004999999999995</v>
      </c>
      <c r="U59" s="427"/>
      <c r="V59" s="445">
        <f>SUM(V49:V57)</f>
        <v>-6.3719999999999999</v>
      </c>
      <c r="W59" s="427"/>
      <c r="X59" s="445">
        <f>SUM(X49:X57)</f>
        <v>9.5039999999999978</v>
      </c>
      <c r="Y59" s="427"/>
      <c r="Z59" s="445">
        <f>SUM(Z49:Z57)</f>
        <v>-56.537999999999997</v>
      </c>
      <c r="AA59" s="427"/>
      <c r="AB59" s="445">
        <f>SUM(AB49:AB57)</f>
        <v>22.667999999999996</v>
      </c>
      <c r="AC59" s="427"/>
      <c r="AD59" s="445">
        <f>SUM(AD49:AD57)</f>
        <v>109.621</v>
      </c>
      <c r="AE59" s="427"/>
      <c r="AF59" s="445">
        <f>SUM(AF49:AF57)</f>
        <v>-18.311999999999969</v>
      </c>
      <c r="AG59" s="427"/>
      <c r="AH59" s="445">
        <f>SUM(AH49:AH57)</f>
        <v>146.73100000000005</v>
      </c>
      <c r="AI59" s="427"/>
      <c r="AJ59" s="445">
        <f>SUM(AJ49:AJ57)</f>
        <v>-233.637</v>
      </c>
      <c r="AK59" s="131"/>
      <c r="AL59" s="445">
        <f>SUM(AL49:AL57)</f>
        <v>-95.831999999999937</v>
      </c>
      <c r="AM59" s="131"/>
      <c r="AN59" s="445">
        <f>SUM(AN49:AN57)</f>
        <v>26.22300000000001</v>
      </c>
      <c r="AO59" s="131"/>
      <c r="AP59" s="445">
        <f>SUM(AP49:AP57)</f>
        <v>83.74</v>
      </c>
      <c r="AQ59" s="131"/>
      <c r="AR59" s="1217">
        <f>SUM(AR49:AR57)</f>
        <v>-164.01900000000001</v>
      </c>
      <c r="AS59" s="247"/>
      <c r="AT59" s="1217">
        <f>SUM(AT49:AT57)</f>
        <v>-74.11699999999999</v>
      </c>
      <c r="AU59" s="247"/>
      <c r="AV59" s="1217">
        <f>SUM(AV49:AV57)</f>
        <v>118.42400000000001</v>
      </c>
      <c r="AW59" s="247"/>
      <c r="AX59" s="1217">
        <f>SUM(AX49:AX57)</f>
        <v>79.557000000000002</v>
      </c>
      <c r="AY59" s="131"/>
      <c r="AZ59" s="445">
        <f>SUM(AZ49:AZ57)</f>
        <v>198.20100000000005</v>
      </c>
      <c r="BA59" s="131"/>
      <c r="BB59" s="445">
        <f>SUM(BB49:BB57)</f>
        <v>-244.40000000000003</v>
      </c>
      <c r="BC59" s="131"/>
      <c r="BD59" s="445">
        <f>SUM(BD49:BD57)</f>
        <v>-177.99999999999997</v>
      </c>
      <c r="BE59" s="131"/>
      <c r="BF59" s="445">
        <f>SUM(BF49:BF57)</f>
        <v>-420.29999999999995</v>
      </c>
      <c r="BG59" s="131"/>
      <c r="BH59" s="445">
        <f>SUM(BH49:BH57)</f>
        <v>-45.4</v>
      </c>
      <c r="BI59" s="131"/>
      <c r="BJ59" s="445">
        <f>SUM(BJ49:BJ57)</f>
        <v>-145.4</v>
      </c>
      <c r="BK59" s="131"/>
      <c r="BL59" s="445">
        <f>SUM(BL49:BL57)</f>
        <v>-145.4</v>
      </c>
      <c r="BM59" s="131"/>
      <c r="BN59" s="445">
        <f>SUM(BN49:BN57)</f>
        <v>-145.4</v>
      </c>
      <c r="BO59" s="131"/>
      <c r="BP59" s="1217">
        <f>SUM(BP49:BP57)</f>
        <v>-145.4</v>
      </c>
      <c r="BQ59" s="131"/>
      <c r="BR59" s="131"/>
    </row>
    <row r="60" spans="1:70" ht="6" customHeight="1">
      <c r="A60" s="330"/>
      <c r="B60" s="330"/>
      <c r="C60" s="330"/>
      <c r="D60" s="330"/>
      <c r="E60" s="330"/>
      <c r="F60" s="330"/>
      <c r="G60" s="330"/>
      <c r="H60" s="330"/>
      <c r="I60" s="330"/>
      <c r="J60" s="330"/>
      <c r="K60" s="330"/>
      <c r="L60" s="330"/>
      <c r="M60" s="330"/>
      <c r="N60" s="330"/>
      <c r="O60" s="330"/>
      <c r="P60" s="330"/>
      <c r="Q60" s="330"/>
      <c r="R60" s="330"/>
      <c r="S60" s="330"/>
      <c r="T60" s="330"/>
      <c r="U60" s="330"/>
      <c r="V60" s="330"/>
      <c r="W60" s="330"/>
      <c r="X60" s="445"/>
      <c r="Y60" s="330"/>
      <c r="Z60" s="397"/>
      <c r="AA60" s="330"/>
      <c r="AB60" s="330"/>
      <c r="AC60" s="330"/>
      <c r="AD60" s="330"/>
      <c r="AE60" s="330"/>
      <c r="AF60" s="330"/>
      <c r="AG60" s="330"/>
      <c r="AH60" s="330"/>
      <c r="AI60" s="330"/>
      <c r="AJ60" s="330"/>
      <c r="AK60" s="131"/>
      <c r="AL60" s="330"/>
      <c r="AM60" s="131"/>
      <c r="AN60" s="330"/>
      <c r="AO60" s="131"/>
      <c r="AP60" s="330"/>
      <c r="AQ60" s="131"/>
      <c r="AR60" s="405"/>
      <c r="AS60" s="247"/>
      <c r="AT60" s="405"/>
      <c r="AU60" s="247"/>
      <c r="AV60" s="405"/>
      <c r="AW60" s="247"/>
      <c r="AX60" s="405"/>
      <c r="AY60" s="131"/>
      <c r="AZ60" s="330"/>
      <c r="BA60" s="131"/>
      <c r="BB60" s="330"/>
      <c r="BC60" s="131"/>
      <c r="BD60" s="330"/>
      <c r="BE60" s="131"/>
      <c r="BF60" s="330"/>
      <c r="BG60" s="131"/>
      <c r="BH60" s="330"/>
      <c r="BI60" s="131"/>
      <c r="BJ60" s="330"/>
      <c r="BK60" s="131"/>
      <c r="BL60" s="330"/>
      <c r="BM60" s="131"/>
      <c r="BN60" s="330"/>
      <c r="BO60" s="131"/>
      <c r="BP60" s="247"/>
      <c r="BQ60" s="131"/>
      <c r="BR60" s="131"/>
    </row>
    <row r="61" spans="1:70">
      <c r="A61" s="330" t="s">
        <v>1369</v>
      </c>
      <c r="B61" s="330"/>
      <c r="C61" s="330"/>
      <c r="D61" s="330"/>
      <c r="E61" s="330"/>
      <c r="F61" s="330">
        <v>-4.3440000000000003</v>
      </c>
      <c r="G61" s="330"/>
      <c r="H61" s="330">
        <v>-4.3710000000000004</v>
      </c>
      <c r="I61" s="330"/>
      <c r="J61" s="330">
        <v>-4.3810000000000002</v>
      </c>
      <c r="K61" s="330"/>
      <c r="L61" s="422">
        <v>-4.391</v>
      </c>
      <c r="M61" s="330"/>
      <c r="N61" s="421">
        <v>-4.4240000000000004</v>
      </c>
      <c r="O61" s="421"/>
      <c r="P61" s="421">
        <v>-6.3029999999999999</v>
      </c>
      <c r="Q61" s="421"/>
      <c r="R61" s="421">
        <v>-9.0969999999999995</v>
      </c>
      <c r="S61" s="421"/>
      <c r="T61" s="421">
        <v>-11.897</v>
      </c>
      <c r="U61" s="421"/>
      <c r="V61" s="421">
        <v>-16.082999999999998</v>
      </c>
      <c r="W61" s="421"/>
      <c r="X61" s="421">
        <v>-21.82</v>
      </c>
      <c r="Y61" s="422"/>
      <c r="Z61" s="421">
        <v>-23.315000000000001</v>
      </c>
      <c r="AA61" s="421"/>
      <c r="AB61" s="421">
        <v>-23.256</v>
      </c>
      <c r="AC61" s="421"/>
      <c r="AD61" s="421">
        <v>-27.7</v>
      </c>
      <c r="AE61" s="421"/>
      <c r="AF61" s="421">
        <v>-33.569000000000003</v>
      </c>
      <c r="AG61" s="421"/>
      <c r="AH61" s="421">
        <f>-42.903</f>
        <v>-42.902999999999999</v>
      </c>
      <c r="AI61" s="421"/>
      <c r="AJ61" s="421">
        <f>-52.611</f>
        <v>-52.610999999999997</v>
      </c>
      <c r="AK61" s="131"/>
      <c r="AL61" s="421">
        <v>-69.921000000000006</v>
      </c>
      <c r="AM61" s="131"/>
      <c r="AN61" s="421">
        <v>-82.257999999999996</v>
      </c>
      <c r="AO61" s="131"/>
      <c r="AP61" s="421">
        <v>-84.578999999999994</v>
      </c>
      <c r="AQ61" s="131"/>
      <c r="AR61" s="2159">
        <v>-120.39</v>
      </c>
      <c r="AS61" s="2154"/>
      <c r="AT61" s="2159">
        <v>-142.84</v>
      </c>
      <c r="AU61" s="2154"/>
      <c r="AV61" s="2159">
        <v>-158.59399999999999</v>
      </c>
      <c r="AW61" s="2154"/>
      <c r="AX61" s="2159">
        <v>-170.31200000000001</v>
      </c>
      <c r="AY61" s="2157"/>
      <c r="AZ61" s="2160">
        <v>-191.17099999999999</v>
      </c>
      <c r="BA61" s="131"/>
      <c r="BB61" s="2160">
        <v>-203.4</v>
      </c>
      <c r="BC61" s="131"/>
      <c r="BD61" s="2160">
        <v>-218.8</v>
      </c>
      <c r="BE61" s="131"/>
      <c r="BF61" s="2458">
        <v>-242.6</v>
      </c>
      <c r="BG61" s="131"/>
      <c r="BH61" s="421">
        <f>-'yrP&amp;L'!AD61*'yrP&amp;L'!AD52</f>
        <v>-248.55</v>
      </c>
      <c r="BI61" s="131"/>
      <c r="BJ61" s="421">
        <f>-'yrP&amp;L'!AE61*'yrP&amp;L'!AE52</f>
        <v>-258.8775</v>
      </c>
      <c r="BK61" s="131"/>
      <c r="BL61" s="421">
        <f>-'yrP&amp;L'!AF61*'yrP&amp;L'!AF52</f>
        <v>-270.01728409090913</v>
      </c>
      <c r="BM61" s="131"/>
      <c r="BN61" s="421">
        <f>-'yrP&amp;L'!AG61*'yrP&amp;L'!AG52</f>
        <v>-281.62385284090914</v>
      </c>
      <c r="BO61" s="131"/>
      <c r="BP61" s="421">
        <f>-'yrP&amp;L'!AH61*'yrP&amp;L'!AH52</f>
        <v>-293.7160352556819</v>
      </c>
      <c r="BQ61" s="131"/>
      <c r="BR61" s="131"/>
    </row>
    <row r="62" spans="1:70">
      <c r="A62" s="330" t="s">
        <v>1370</v>
      </c>
      <c r="B62" s="330"/>
      <c r="C62" s="330"/>
      <c r="D62" s="330"/>
      <c r="E62" s="330"/>
      <c r="F62" s="330"/>
      <c r="G62" s="330"/>
      <c r="H62" s="330"/>
      <c r="I62" s="330"/>
      <c r="J62" s="330"/>
      <c r="K62" s="330"/>
      <c r="L62" s="330"/>
      <c r="M62" s="330"/>
      <c r="N62" s="415">
        <v>-0.154</v>
      </c>
      <c r="O62" s="330"/>
      <c r="P62" s="415">
        <v>-0.223</v>
      </c>
      <c r="Q62" s="330"/>
      <c r="R62" s="415">
        <v>-1.0369999999999999</v>
      </c>
      <c r="S62" s="330"/>
      <c r="T62" s="421">
        <v>-0.97399999999999998</v>
      </c>
      <c r="U62" s="330"/>
      <c r="V62" s="421">
        <v>-1.2849999999999999</v>
      </c>
      <c r="W62" s="330"/>
      <c r="X62" s="421">
        <v>-3.4180000000000001</v>
      </c>
      <c r="Y62" s="330"/>
      <c r="Z62" s="421">
        <v>-3.2389999999999999</v>
      </c>
      <c r="AA62" s="330"/>
      <c r="AB62" s="421">
        <v>7.8849999999999998</v>
      </c>
      <c r="AC62" s="330"/>
      <c r="AD62" s="421">
        <v>-0.39500000000000002</v>
      </c>
      <c r="AE62" s="330"/>
      <c r="AF62" s="421">
        <v>2.3650000000000002</v>
      </c>
      <c r="AG62" s="330"/>
      <c r="AH62" s="421">
        <v>-3.5550000000000002</v>
      </c>
      <c r="AI62" s="330"/>
      <c r="AJ62" s="421">
        <v>3.1619999999999999</v>
      </c>
      <c r="AK62" s="131"/>
      <c r="AL62" s="421">
        <v>15.61</v>
      </c>
      <c r="AM62" s="131"/>
      <c r="AN62" s="421">
        <v>-18.035</v>
      </c>
      <c r="AO62" s="131"/>
      <c r="AP62" s="421">
        <v>14.3</v>
      </c>
      <c r="AQ62" s="131"/>
      <c r="AR62" s="2159">
        <v>8.375</v>
      </c>
      <c r="AS62" s="2154"/>
      <c r="AT62" s="2159">
        <v>-1.843</v>
      </c>
      <c r="AU62" s="2154"/>
      <c r="AV62" s="2159">
        <v>2.294</v>
      </c>
      <c r="AW62" s="2154"/>
      <c r="AX62" s="2159">
        <v>-1.5049999999999999</v>
      </c>
      <c r="AY62" s="2157"/>
      <c r="AZ62" s="2160">
        <v>9.4260000000000002</v>
      </c>
      <c r="BA62" s="131"/>
      <c r="BB62" s="2160">
        <v>0.5</v>
      </c>
      <c r="BC62" s="131"/>
      <c r="BD62" s="2160">
        <v>1.9</v>
      </c>
      <c r="BE62" s="131"/>
      <c r="BF62" s="2458">
        <v>12.7</v>
      </c>
      <c r="BG62" s="131"/>
      <c r="BH62" s="421">
        <v>0</v>
      </c>
      <c r="BI62" s="131"/>
      <c r="BJ62" s="421">
        <v>0</v>
      </c>
      <c r="BK62" s="131"/>
      <c r="BL62" s="421">
        <v>0</v>
      </c>
      <c r="BM62" s="131"/>
      <c r="BN62" s="421">
        <v>0</v>
      </c>
      <c r="BO62" s="131"/>
      <c r="BP62" s="421">
        <v>0</v>
      </c>
      <c r="BQ62" s="131"/>
      <c r="BR62" s="131"/>
    </row>
    <row r="63" spans="1:70" ht="6" customHeight="1">
      <c r="A63" s="330"/>
      <c r="B63" s="330"/>
      <c r="C63" s="330"/>
      <c r="D63" s="330"/>
      <c r="E63" s="330"/>
      <c r="F63" s="330"/>
      <c r="G63" s="330"/>
      <c r="H63" s="330"/>
      <c r="I63" s="330"/>
      <c r="J63" s="330"/>
      <c r="K63" s="330"/>
      <c r="L63" s="330"/>
      <c r="M63" s="330"/>
      <c r="N63" s="330"/>
      <c r="O63" s="330"/>
      <c r="P63" s="330"/>
      <c r="Q63" s="330"/>
      <c r="R63" s="330"/>
      <c r="S63" s="330"/>
      <c r="T63" s="330"/>
      <c r="U63" s="330"/>
      <c r="V63" s="330"/>
      <c r="W63" s="330"/>
      <c r="X63" s="330"/>
      <c r="Y63" s="330"/>
      <c r="Z63" s="330"/>
      <c r="AA63" s="330"/>
      <c r="AB63" s="330"/>
      <c r="AC63" s="330"/>
      <c r="AD63" s="330"/>
      <c r="AE63" s="330"/>
      <c r="AF63" s="131"/>
      <c r="AG63" s="330"/>
      <c r="AH63" s="330"/>
      <c r="AI63" s="330"/>
      <c r="AJ63" s="330"/>
      <c r="AK63" s="131"/>
      <c r="AL63" s="330"/>
      <c r="AM63" s="131"/>
      <c r="AN63" s="330"/>
      <c r="AO63" s="131"/>
      <c r="AP63" s="330"/>
      <c r="AQ63" s="131"/>
      <c r="AR63" s="405"/>
      <c r="AS63" s="247"/>
      <c r="AT63" s="405"/>
      <c r="AU63" s="247"/>
      <c r="AV63" s="405"/>
      <c r="AW63" s="247"/>
      <c r="AX63" s="405"/>
      <c r="AY63" s="131"/>
      <c r="AZ63" s="330"/>
      <c r="BA63" s="131"/>
      <c r="BB63" s="330"/>
      <c r="BC63" s="131"/>
      <c r="BD63" s="330"/>
      <c r="BE63" s="131"/>
      <c r="BF63" s="330"/>
      <c r="BG63" s="131"/>
      <c r="BH63" s="330"/>
      <c r="BI63" s="131"/>
      <c r="BJ63" s="330"/>
      <c r="BK63" s="131"/>
      <c r="BL63" s="330"/>
      <c r="BM63" s="131"/>
      <c r="BN63" s="330"/>
      <c r="BO63" s="131"/>
      <c r="BP63" s="330"/>
      <c r="BQ63" s="131"/>
      <c r="BR63" s="131"/>
    </row>
    <row r="64" spans="1:70">
      <c r="A64" s="330" t="s">
        <v>1225</v>
      </c>
      <c r="B64" s="330"/>
      <c r="C64" s="330"/>
      <c r="D64" s="338"/>
      <c r="E64" s="338"/>
      <c r="F64" s="413">
        <v>4.6429999999999998</v>
      </c>
      <c r="G64" s="412"/>
      <c r="H64" s="1002">
        <f>F66</f>
        <v>3.9720000000000084</v>
      </c>
      <c r="I64" s="412"/>
      <c r="J64" s="1002">
        <f>H66</f>
        <v>6.6720000000000343</v>
      </c>
      <c r="K64" s="412"/>
      <c r="L64" s="1001">
        <f>J66</f>
        <v>4.9940000000000087</v>
      </c>
      <c r="M64" s="412"/>
      <c r="N64" s="1002">
        <f>L66</f>
        <v>44.318000000000033</v>
      </c>
      <c r="O64" s="412"/>
      <c r="P64" s="1001">
        <f>N66</f>
        <v>81.966000000000008</v>
      </c>
      <c r="Q64" s="412"/>
      <c r="R64" s="1001">
        <f>P66</f>
        <v>117.16100000000007</v>
      </c>
      <c r="S64" s="412"/>
      <c r="T64" s="1001">
        <f>R66</f>
        <v>107.25200000000007</v>
      </c>
      <c r="U64" s="412"/>
      <c r="V64" s="1001">
        <f>+T66</f>
        <v>188.59300000000007</v>
      </c>
      <c r="W64" s="412"/>
      <c r="X64" s="1001">
        <f>+V66</f>
        <v>216.93600000000006</v>
      </c>
      <c r="Y64" s="412"/>
      <c r="Z64" s="1001">
        <f>+X66</f>
        <v>195.61300000000011</v>
      </c>
      <c r="AA64" s="412"/>
      <c r="AB64" s="412">
        <f>+Z66</f>
        <v>173.67500000000013</v>
      </c>
      <c r="AC64" s="412"/>
      <c r="AD64" s="412">
        <f>+AB66</f>
        <v>156.19700000000014</v>
      </c>
      <c r="AE64" s="412"/>
      <c r="AF64" s="412">
        <f>+AD66</f>
        <v>248.66500000000013</v>
      </c>
      <c r="AG64" s="412"/>
      <c r="AH64" s="412">
        <f>AF66</f>
        <v>187.6810000000001</v>
      </c>
      <c r="AI64" s="412"/>
      <c r="AJ64" s="412">
        <f>AH66</f>
        <v>393.60900000000026</v>
      </c>
      <c r="AK64" s="131"/>
      <c r="AL64" s="412">
        <f>AJ66</f>
        <v>175.00800000000024</v>
      </c>
      <c r="AM64" s="131"/>
      <c r="AN64" s="412">
        <f>AL66</f>
        <v>246.65400000000045</v>
      </c>
      <c r="AO64" s="131"/>
      <c r="AP64" s="412">
        <f>AN66</f>
        <v>160.44500000000048</v>
      </c>
      <c r="AQ64" s="131"/>
      <c r="AR64" s="412">
        <f>AP66</f>
        <v>785.70200000000057</v>
      </c>
      <c r="AS64" s="247"/>
      <c r="AT64" s="412">
        <f>AR66</f>
        <v>681.59100000000058</v>
      </c>
      <c r="AU64" s="247"/>
      <c r="AV64" s="412">
        <f>AT66</f>
        <v>433.95400000000052</v>
      </c>
      <c r="AW64" s="247"/>
      <c r="AX64" s="412">
        <f>AV66</f>
        <v>504.83800000000008</v>
      </c>
      <c r="AY64" s="131"/>
      <c r="AZ64" s="412">
        <f>AX66</f>
        <v>345.77800000000002</v>
      </c>
      <c r="BA64" s="131"/>
      <c r="BB64" s="412">
        <f>AZ66</f>
        <v>729.95699999999908</v>
      </c>
      <c r="BC64" s="131"/>
      <c r="BD64" s="412">
        <f>BB66</f>
        <v>843.60000000000036</v>
      </c>
      <c r="BE64" s="131"/>
      <c r="BF64" s="412">
        <f>BD66</f>
        <v>927.99999999999989</v>
      </c>
      <c r="BG64" s="131"/>
      <c r="BH64" s="412">
        <f>BF66</f>
        <v>970.69999999999982</v>
      </c>
      <c r="BI64" s="131"/>
      <c r="BJ64" s="412">
        <f>BH66</f>
        <v>952.1520029791543</v>
      </c>
      <c r="BK64" s="131"/>
      <c r="BL64" s="412">
        <f>BJ66</f>
        <v>1047.8876319881397</v>
      </c>
      <c r="BM64" s="131"/>
      <c r="BN64" s="412">
        <f>BL66</f>
        <v>1317.0979131802776</v>
      </c>
      <c r="BO64" s="131"/>
      <c r="BP64" s="412">
        <f>BN66</f>
        <v>1491.1879646662992</v>
      </c>
      <c r="BQ64" s="131"/>
      <c r="BR64" s="131"/>
    </row>
    <row r="65" spans="1:70">
      <c r="A65" s="330"/>
      <c r="B65" s="330" t="s">
        <v>1227</v>
      </c>
      <c r="C65" s="330"/>
      <c r="D65" s="338">
        <f>D59+D44+D61+D62</f>
        <v>-24.835000000000001</v>
      </c>
      <c r="E65" s="338"/>
      <c r="F65" s="413">
        <f>F59+F44+F61+F62</f>
        <v>-0.67099999999999138</v>
      </c>
      <c r="G65" s="412"/>
      <c r="H65" s="1002">
        <f>H59+H44+H61+H62</f>
        <v>2.7000000000000259</v>
      </c>
      <c r="I65" s="412"/>
      <c r="J65" s="1002">
        <f>J59+J44+J61+J62</f>
        <v>-1.6780000000000257</v>
      </c>
      <c r="K65" s="412"/>
      <c r="L65" s="1001">
        <f>L59+L44+L61+L62</f>
        <v>39.324000000000026</v>
      </c>
      <c r="M65" s="412"/>
      <c r="N65" s="1001">
        <f>N59+N44+N61+N62</f>
        <v>37.647999999999968</v>
      </c>
      <c r="O65" s="412"/>
      <c r="P65" s="1001">
        <f>P59+P44+P61+P62</f>
        <v>35.195000000000064</v>
      </c>
      <c r="Q65" s="412"/>
      <c r="R65" s="1001">
        <f>R59+R44+R61+R62</f>
        <v>-9.9089999999999989</v>
      </c>
      <c r="S65" s="412"/>
      <c r="T65" s="1001">
        <f>T59+T44+T61+T62</f>
        <v>81.341000000000022</v>
      </c>
      <c r="U65" s="412"/>
      <c r="V65" s="1001">
        <f>V59+V44+V61+V62</f>
        <v>28.343</v>
      </c>
      <c r="W65" s="412"/>
      <c r="X65" s="1000">
        <f>X59+X44+X61+X62</f>
        <v>-21.322999999999944</v>
      </c>
      <c r="Y65" s="412"/>
      <c r="Z65" s="1000">
        <f>Z59+Z44+Z61+Z62</f>
        <v>-21.938000000000002</v>
      </c>
      <c r="AA65" s="412"/>
      <c r="AB65" s="432">
        <f>AB59+AB44+AB61+AB62</f>
        <v>-17.47799999999998</v>
      </c>
      <c r="AC65" s="412"/>
      <c r="AD65" s="412">
        <f>AD59+AD44+AD61+AD62</f>
        <v>92.468000000000004</v>
      </c>
      <c r="AE65" s="412"/>
      <c r="AF65" s="432">
        <f>AF59+AF44+AF61+AF62</f>
        <v>-60.984000000000044</v>
      </c>
      <c r="AG65" s="412"/>
      <c r="AH65" s="412">
        <f>AH59+AH44+AH61+AH62</f>
        <v>205.92800000000014</v>
      </c>
      <c r="AI65" s="1174"/>
      <c r="AJ65" s="412">
        <f>AJ59+AJ44+AJ61+AJ62</f>
        <v>-218.60100000000003</v>
      </c>
      <c r="AK65" s="411"/>
      <c r="AL65" s="412">
        <f>AL59+AL44+AL61+AL62</f>
        <v>71.646000000000214</v>
      </c>
      <c r="AM65" s="411"/>
      <c r="AN65" s="1174">
        <f>AN59+AN44+AN61+AN62</f>
        <v>-86.208999999999975</v>
      </c>
      <c r="AO65" s="131"/>
      <c r="AP65" s="412">
        <f>AP59+AP44+AP61+AP62</f>
        <v>625.25700000000006</v>
      </c>
      <c r="AQ65" s="131"/>
      <c r="AR65" s="412">
        <f>AR59+AR44+AR61+AR62</f>
        <v>-104.111</v>
      </c>
      <c r="AS65" s="247"/>
      <c r="AT65" s="412">
        <f>AT59+AT44+AT61+AT62</f>
        <v>-247.63700000000009</v>
      </c>
      <c r="AU65" s="247"/>
      <c r="AV65" s="412">
        <f>AV59+AV44+AV61+AV62</f>
        <v>70.883999999999546</v>
      </c>
      <c r="AW65" s="247"/>
      <c r="AX65" s="412">
        <f>AX59+AX44+AX61+AX62</f>
        <v>-159.06000000000006</v>
      </c>
      <c r="AY65" s="131"/>
      <c r="AZ65" s="412">
        <f>AZ59+AZ44+AZ61+AZ62</f>
        <v>384.17899999999906</v>
      </c>
      <c r="BA65" s="434"/>
      <c r="BB65" s="412">
        <f>BB59+BB44+BB61+BB62</f>
        <v>113.64300000000131</v>
      </c>
      <c r="BC65" s="131"/>
      <c r="BD65" s="412">
        <f>BD59+BD44+BD61+BD62</f>
        <v>84.399999999999494</v>
      </c>
      <c r="BE65" s="131"/>
      <c r="BF65" s="412">
        <f>BF59+BF44+BF61+BF62</f>
        <v>42.699999999999918</v>
      </c>
      <c r="BG65" s="434"/>
      <c r="BH65" s="412">
        <f>BH59+BH44+BH61+BH62</f>
        <v>-18.547997020845486</v>
      </c>
      <c r="BI65" s="434"/>
      <c r="BJ65" s="412">
        <f>BJ59+BJ44+BJ61+BJ62</f>
        <v>95.735629008985427</v>
      </c>
      <c r="BK65" s="434"/>
      <c r="BL65" s="412">
        <f>BL59+BL44+BL61+BL62</f>
        <v>269.21028119213793</v>
      </c>
      <c r="BM65" s="434"/>
      <c r="BN65" s="412">
        <f>BN59+BN44+BN61+BN62</f>
        <v>174.09005148602154</v>
      </c>
      <c r="BO65" s="131"/>
      <c r="BP65" s="412">
        <f>BP59+BP44+BP61+BP62</f>
        <v>249.81746608972077</v>
      </c>
      <c r="BQ65" s="131"/>
      <c r="BR65" s="131"/>
    </row>
    <row r="66" spans="1:70">
      <c r="A66" s="330" t="s">
        <v>1226</v>
      </c>
      <c r="B66" s="330"/>
      <c r="C66" s="330"/>
      <c r="D66" s="415">
        <f>D64+D65</f>
        <v>-24.835000000000001</v>
      </c>
      <c r="E66" s="415"/>
      <c r="F66" s="413">
        <f>F64+F65</f>
        <v>3.9720000000000084</v>
      </c>
      <c r="G66" s="413"/>
      <c r="H66" s="1002">
        <f>H64+H65</f>
        <v>6.6720000000000343</v>
      </c>
      <c r="I66" s="413"/>
      <c r="J66" s="1002">
        <f>J64+J65</f>
        <v>4.9940000000000087</v>
      </c>
      <c r="K66" s="413"/>
      <c r="L66" s="1002">
        <f>L64+L65</f>
        <v>44.318000000000033</v>
      </c>
      <c r="M66" s="413"/>
      <c r="N66" s="1001">
        <f>N64+N65</f>
        <v>81.966000000000008</v>
      </c>
      <c r="O66" s="412"/>
      <c r="P66" s="1001">
        <f>P64+P65</f>
        <v>117.16100000000007</v>
      </c>
      <c r="Q66" s="435"/>
      <c r="R66" s="1002">
        <f>R64+R65</f>
        <v>107.25200000000007</v>
      </c>
      <c r="S66" s="413"/>
      <c r="T66" s="1002">
        <f>T64+T65</f>
        <v>188.59300000000007</v>
      </c>
      <c r="U66" s="413"/>
      <c r="V66" s="1001">
        <f>V64+V65</f>
        <v>216.93600000000006</v>
      </c>
      <c r="W66" s="413"/>
      <c r="X66" s="1001">
        <f>X64+X65</f>
        <v>195.61300000000011</v>
      </c>
      <c r="Y66" s="413"/>
      <c r="Z66" s="1001">
        <f>Z64+Z65</f>
        <v>173.67500000000013</v>
      </c>
      <c r="AA66" s="413"/>
      <c r="AB66" s="412">
        <f>AB64+AB65</f>
        <v>156.19700000000014</v>
      </c>
      <c r="AC66" s="412"/>
      <c r="AD66" s="412">
        <f>AD64+AD65</f>
        <v>248.66500000000013</v>
      </c>
      <c r="AE66" s="412"/>
      <c r="AF66" s="412">
        <f>AF64+AF65</f>
        <v>187.6810000000001</v>
      </c>
      <c r="AG66" s="412"/>
      <c r="AH66" s="412">
        <f>AH64+AH65</f>
        <v>393.60900000000026</v>
      </c>
      <c r="AI66" s="412"/>
      <c r="AJ66" s="412">
        <f>AJ64+AJ65</f>
        <v>175.00800000000024</v>
      </c>
      <c r="AK66" s="131"/>
      <c r="AL66" s="412">
        <f>AL64+AL65</f>
        <v>246.65400000000045</v>
      </c>
      <c r="AM66" s="131"/>
      <c r="AN66" s="412">
        <f>AN64+AN65</f>
        <v>160.44500000000048</v>
      </c>
      <c r="AO66" s="131"/>
      <c r="AP66" s="412">
        <f>AP64+AP65</f>
        <v>785.70200000000057</v>
      </c>
      <c r="AQ66" s="131"/>
      <c r="AR66" s="412">
        <f>AR64+AR65</f>
        <v>681.59100000000058</v>
      </c>
      <c r="AS66" s="131"/>
      <c r="AT66" s="412">
        <f>AT64+AT65</f>
        <v>433.95400000000052</v>
      </c>
      <c r="AU66" s="131"/>
      <c r="AV66" s="412">
        <f>AV64+AV65</f>
        <v>504.83800000000008</v>
      </c>
      <c r="AW66" s="131"/>
      <c r="AX66" s="412">
        <f>AX64+AX65</f>
        <v>345.77800000000002</v>
      </c>
      <c r="AY66" s="131"/>
      <c r="AZ66" s="412">
        <f>AZ64+AZ65</f>
        <v>729.95699999999908</v>
      </c>
      <c r="BA66" s="131"/>
      <c r="BB66" s="412">
        <f>BB64+BB65</f>
        <v>843.60000000000036</v>
      </c>
      <c r="BC66" s="131"/>
      <c r="BD66" s="412">
        <f>BD64+BD65</f>
        <v>927.99999999999989</v>
      </c>
      <c r="BE66" s="131"/>
      <c r="BF66" s="412">
        <f>BF64+BF65</f>
        <v>970.69999999999982</v>
      </c>
      <c r="BG66" s="131"/>
      <c r="BH66" s="412">
        <f>BH64+BH65</f>
        <v>952.1520029791543</v>
      </c>
      <c r="BI66" s="131"/>
      <c r="BJ66" s="412">
        <f>BJ64+BJ65</f>
        <v>1047.8876319881397</v>
      </c>
      <c r="BK66" s="131"/>
      <c r="BL66" s="412">
        <f>BL64+BL65</f>
        <v>1317.0979131802776</v>
      </c>
      <c r="BM66" s="131"/>
      <c r="BN66" s="412">
        <f>BN64+BN65</f>
        <v>1491.1879646662992</v>
      </c>
      <c r="BO66" s="131"/>
      <c r="BP66" s="412">
        <f>BP64+BP65</f>
        <v>1741.0054307560199</v>
      </c>
      <c r="BQ66" s="131"/>
      <c r="BR66" s="131"/>
    </row>
    <row r="67" spans="1:70" ht="6" customHeight="1">
      <c r="A67" s="330"/>
      <c r="B67" s="330"/>
      <c r="C67" s="330"/>
      <c r="D67" s="330"/>
      <c r="E67" s="330"/>
      <c r="F67" s="330"/>
      <c r="G67" s="330"/>
      <c r="H67" s="330"/>
      <c r="I67" s="330"/>
      <c r="J67" s="330"/>
      <c r="K67" s="330"/>
      <c r="L67" s="330"/>
      <c r="M67" s="330"/>
      <c r="N67" s="330"/>
      <c r="O67" s="330"/>
      <c r="P67" s="330"/>
      <c r="Q67" s="330"/>
      <c r="R67" s="330"/>
      <c r="S67" s="330"/>
      <c r="T67" s="330"/>
      <c r="U67" s="330"/>
      <c r="V67" s="338"/>
      <c r="W67" s="436"/>
      <c r="X67" s="338"/>
      <c r="Y67" s="330"/>
      <c r="Z67" s="338"/>
      <c r="AA67" s="330"/>
      <c r="AB67" s="338"/>
      <c r="AC67" s="330"/>
      <c r="AD67" s="338"/>
      <c r="AE67" s="330"/>
      <c r="AF67" s="338"/>
      <c r="AG67" s="330"/>
      <c r="AH67" s="338">
        <f>AH66-bal!AI9</f>
        <v>0</v>
      </c>
      <c r="AI67" s="330"/>
      <c r="AJ67" s="845"/>
      <c r="AK67" s="131"/>
      <c r="AL67" s="330"/>
      <c r="AM67" s="131"/>
      <c r="AN67" s="330"/>
      <c r="AO67" s="131"/>
      <c r="AP67" s="330"/>
      <c r="AQ67" s="131"/>
      <c r="AR67" s="330"/>
      <c r="AS67" s="131"/>
      <c r="AT67" s="330"/>
      <c r="AU67" s="131"/>
      <c r="AV67" s="330"/>
      <c r="AW67" s="131"/>
      <c r="AX67" s="330"/>
      <c r="AY67" s="131"/>
      <c r="AZ67" s="330"/>
      <c r="BA67" s="131"/>
      <c r="BB67" s="330"/>
      <c r="BC67" s="131"/>
      <c r="BD67" s="330"/>
      <c r="BE67" s="131"/>
      <c r="BF67" s="330"/>
      <c r="BG67" s="131"/>
      <c r="BH67" s="330"/>
      <c r="BI67" s="131"/>
      <c r="BJ67" s="330"/>
      <c r="BK67" s="131"/>
      <c r="BL67" s="330"/>
      <c r="BM67" s="131"/>
      <c r="BN67" s="330"/>
      <c r="BO67" s="131"/>
      <c r="BP67" s="330"/>
      <c r="BQ67" s="131"/>
      <c r="BR67" s="131"/>
    </row>
    <row r="68" spans="1:70">
      <c r="A68" s="330" t="s">
        <v>408</v>
      </c>
      <c r="B68" s="330"/>
      <c r="C68" s="330"/>
      <c r="D68" s="397">
        <f>-D59+D65</f>
        <v>-24.835000000000001</v>
      </c>
      <c r="E68" s="330"/>
      <c r="F68" s="397">
        <f>-F59+F65</f>
        <v>-52.917999999999992</v>
      </c>
      <c r="G68" s="330"/>
      <c r="H68" s="397">
        <f>-H59+H65</f>
        <v>-32.678999999999981</v>
      </c>
      <c r="I68" s="330"/>
      <c r="J68" s="397">
        <f>-J59+J65</f>
        <v>-41.986000000000026</v>
      </c>
      <c r="K68" s="330"/>
      <c r="L68" s="397">
        <f>-L59+L65</f>
        <v>41.956000000000024</v>
      </c>
      <c r="M68" s="330"/>
      <c r="N68" s="397">
        <f>-N59+N65</f>
        <v>4.9479999999999649</v>
      </c>
      <c r="O68" s="330"/>
      <c r="P68" s="397">
        <f>-P59+P65</f>
        <v>-21.625999999999934</v>
      </c>
      <c r="Q68" s="330"/>
      <c r="R68" s="397">
        <f>-R59+R65</f>
        <v>-31.046999999999997</v>
      </c>
      <c r="S68" s="330"/>
      <c r="T68" s="445">
        <f>-T59+T65</f>
        <v>-3.6639999999999731</v>
      </c>
      <c r="U68" s="427"/>
      <c r="V68" s="445">
        <f>-V59+V65</f>
        <v>34.715000000000003</v>
      </c>
      <c r="W68" s="427"/>
      <c r="X68" s="445">
        <f>-X59+X65</f>
        <v>-30.826999999999941</v>
      </c>
      <c r="Y68" s="131"/>
      <c r="Z68" s="445">
        <f>-Z59+Z65</f>
        <v>34.599999999999994</v>
      </c>
      <c r="AA68" s="427"/>
      <c r="AB68" s="445">
        <f>-AB59+AB65</f>
        <v>-40.145999999999972</v>
      </c>
      <c r="AC68" s="131"/>
      <c r="AD68" s="445">
        <f>-AD59+AD65</f>
        <v>-17.152999999999992</v>
      </c>
      <c r="AE68" s="330"/>
      <c r="AF68" s="445">
        <f>-AF59+AF65</f>
        <v>-42.672000000000075</v>
      </c>
      <c r="AG68" s="427"/>
      <c r="AH68" s="445">
        <f>-AH59+AH65</f>
        <v>59.197000000000088</v>
      </c>
      <c r="AI68" s="427"/>
      <c r="AJ68" s="445">
        <f>-AJ59+AJ65</f>
        <v>15.035999999999973</v>
      </c>
      <c r="AK68" s="131"/>
      <c r="AL68" s="445">
        <f>-AL59+AL65</f>
        <v>167.47800000000015</v>
      </c>
      <c r="AM68" s="131"/>
      <c r="AN68" s="397">
        <f>-AN59+AN65</f>
        <v>-112.43199999999999</v>
      </c>
      <c r="AO68" s="131"/>
      <c r="AP68" s="397">
        <f>-AP59+AP65</f>
        <v>541.51700000000005</v>
      </c>
      <c r="AQ68" s="131"/>
      <c r="AR68" s="397">
        <f>-AR59+AR65</f>
        <v>59.908000000000001</v>
      </c>
      <c r="AS68" s="131"/>
      <c r="AT68" s="397">
        <f>-AT59+AT65</f>
        <v>-173.5200000000001</v>
      </c>
      <c r="AU68" s="131"/>
      <c r="AV68" s="397">
        <f>-AV59+AV65</f>
        <v>-47.540000000000461</v>
      </c>
      <c r="AW68" s="131"/>
      <c r="AX68" s="397">
        <f>-AX59+AX65</f>
        <v>-238.61700000000008</v>
      </c>
      <c r="AY68" s="131"/>
      <c r="AZ68" s="397">
        <f>-AZ59+AZ65</f>
        <v>185.97799999999901</v>
      </c>
      <c r="BA68" s="131"/>
      <c r="BB68" s="397">
        <f>-BB59+BB65</f>
        <v>358.04300000000137</v>
      </c>
      <c r="BC68" s="131"/>
      <c r="BD68" s="397">
        <f>-BD59+BD65</f>
        <v>262.39999999999947</v>
      </c>
      <c r="BE68" s="131"/>
      <c r="BF68" s="397">
        <f>-BF59+BF65</f>
        <v>462.99999999999989</v>
      </c>
      <c r="BG68" s="131"/>
      <c r="BH68" s="397">
        <f>-BH59+BH65</f>
        <v>26.852002979154513</v>
      </c>
      <c r="BI68" s="131"/>
      <c r="BJ68" s="397">
        <f>-BJ59+BJ65</f>
        <v>241.13562900898543</v>
      </c>
      <c r="BK68" s="131"/>
      <c r="BL68" s="397">
        <f>-BL59+BL65</f>
        <v>414.6102811921379</v>
      </c>
      <c r="BM68" s="131"/>
      <c r="BN68" s="397">
        <f>-BN59+BN65</f>
        <v>319.49005148602157</v>
      </c>
      <c r="BO68" s="131"/>
      <c r="BP68" s="397">
        <f>-BP59+BP65</f>
        <v>395.2174660897208</v>
      </c>
      <c r="BQ68" s="131"/>
      <c r="BR68" s="131"/>
    </row>
    <row r="69" spans="1:70">
      <c r="A69" s="330"/>
      <c r="B69" s="330"/>
      <c r="C69" s="330"/>
      <c r="D69" s="330"/>
      <c r="E69" s="330"/>
      <c r="F69" s="437"/>
      <c r="G69" s="330"/>
      <c r="H69" s="330"/>
      <c r="I69" s="330"/>
      <c r="J69" s="330"/>
      <c r="K69" s="330"/>
      <c r="L69" s="330"/>
      <c r="M69" s="330"/>
      <c r="N69" s="330"/>
      <c r="O69" s="330"/>
      <c r="P69" s="437"/>
      <c r="Q69" s="330"/>
      <c r="R69" s="330"/>
      <c r="S69" s="330"/>
      <c r="T69" s="330"/>
      <c r="U69" s="330"/>
      <c r="V69" s="330"/>
      <c r="W69" s="330"/>
      <c r="X69" s="330"/>
      <c r="Y69" s="330"/>
      <c r="Z69" s="330"/>
      <c r="AA69" s="330"/>
      <c r="AB69" s="330"/>
      <c r="AC69" s="330"/>
      <c r="AD69" s="330"/>
      <c r="AE69" s="330"/>
      <c r="AF69" s="330"/>
      <c r="AG69" s="330"/>
      <c r="AH69" s="330"/>
      <c r="AI69" s="330"/>
      <c r="AJ69" s="330"/>
      <c r="AK69" s="131"/>
      <c r="AL69" s="330"/>
      <c r="AM69" s="131"/>
      <c r="AN69" s="330"/>
      <c r="AO69" s="131"/>
      <c r="AP69" s="330"/>
      <c r="AQ69" s="131"/>
      <c r="AR69" s="330"/>
      <c r="AS69" s="131"/>
      <c r="AT69" s="338"/>
      <c r="AU69" s="131"/>
      <c r="AV69" s="330"/>
      <c r="AW69" s="131"/>
      <c r="AX69" s="330"/>
      <c r="AY69" s="131"/>
      <c r="AZ69" s="330"/>
      <c r="BA69" s="131"/>
      <c r="BB69" s="131"/>
      <c r="BC69" s="131"/>
      <c r="BD69" s="131"/>
      <c r="BE69" s="131"/>
      <c r="BF69" s="131"/>
      <c r="BG69" s="131"/>
      <c r="BH69" s="131"/>
      <c r="BI69" s="131"/>
      <c r="BJ69" s="131"/>
      <c r="BK69" s="131"/>
      <c r="BL69" s="131"/>
      <c r="BM69" s="131"/>
      <c r="BN69" s="131"/>
      <c r="BO69" s="131"/>
      <c r="BP69" s="247"/>
      <c r="BQ69" s="131"/>
      <c r="BR69" s="131"/>
    </row>
    <row r="70" spans="1:70">
      <c r="A70" s="131"/>
      <c r="B70" s="131"/>
      <c r="C70" s="131"/>
      <c r="D70" s="131"/>
      <c r="E70" s="131"/>
      <c r="F70" s="438"/>
      <c r="G70" s="131"/>
      <c r="H70" s="131"/>
      <c r="I70" s="131"/>
      <c r="J70" s="131"/>
      <c r="K70" s="131"/>
      <c r="L70" s="131"/>
      <c r="M70" s="131"/>
      <c r="N70" s="131"/>
      <c r="O70" s="131"/>
      <c r="P70" s="438"/>
      <c r="Q70" s="131"/>
      <c r="R70" s="131"/>
      <c r="S70" s="131"/>
      <c r="T70" s="131"/>
      <c r="U70" s="131"/>
      <c r="V70" s="131"/>
      <c r="W70" s="131"/>
      <c r="X70" s="131"/>
      <c r="Y70" s="131"/>
      <c r="Z70" s="131"/>
      <c r="AA70" s="131"/>
      <c r="AB70" s="131"/>
      <c r="AC70" s="131"/>
      <c r="AD70" s="131"/>
      <c r="AE70" s="131"/>
      <c r="AF70" s="131"/>
      <c r="AG70" s="131"/>
      <c r="AH70" s="131"/>
      <c r="AI70" s="131"/>
      <c r="AJ70" s="1253"/>
      <c r="AK70" s="131"/>
      <c r="AL70" s="131"/>
      <c r="AM70" s="131"/>
      <c r="AN70" s="131"/>
      <c r="AO70" s="131"/>
      <c r="AP70" s="131"/>
      <c r="AQ70" s="131"/>
      <c r="AR70" s="131"/>
      <c r="AS70" s="131"/>
      <c r="AT70" s="1253"/>
      <c r="AU70" s="131"/>
      <c r="AV70" s="1707"/>
      <c r="AW70" s="131"/>
      <c r="AX70" s="411"/>
      <c r="AY70" s="131"/>
      <c r="AZ70" s="131"/>
      <c r="BA70" s="131"/>
      <c r="BB70" s="131"/>
      <c r="BC70" s="131"/>
      <c r="BD70" s="131"/>
      <c r="BE70" s="131"/>
      <c r="BF70" s="131"/>
      <c r="BG70" s="131"/>
      <c r="BH70" s="131"/>
      <c r="BI70" s="131"/>
      <c r="BJ70" s="131"/>
      <c r="BK70" s="131"/>
      <c r="BL70" s="131"/>
      <c r="BM70" s="131"/>
      <c r="BN70" s="131"/>
      <c r="BO70" s="131"/>
      <c r="BP70" s="247"/>
      <c r="BQ70" s="131"/>
      <c r="BR70" s="131"/>
    </row>
    <row r="71" spans="1:70">
      <c r="A71" s="132" t="s">
        <v>545</v>
      </c>
      <c r="B71" s="132"/>
      <c r="C71" s="132"/>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132"/>
      <c r="AB71" s="132"/>
      <c r="AC71" s="132"/>
      <c r="AD71" s="132"/>
      <c r="AE71" s="132"/>
      <c r="AF71" s="338"/>
      <c r="AG71" s="132"/>
      <c r="AH71" s="132"/>
      <c r="AI71" s="132"/>
      <c r="AJ71" s="132"/>
      <c r="AK71" s="132"/>
      <c r="AL71" s="1172"/>
      <c r="AM71" s="132"/>
      <c r="AN71" s="132"/>
      <c r="AO71" s="132"/>
      <c r="AP71" s="132"/>
      <c r="AQ71" s="132"/>
      <c r="AR71" s="132"/>
      <c r="AS71" s="132"/>
      <c r="AT71" s="151"/>
      <c r="AU71" s="132"/>
      <c r="AV71" s="151"/>
      <c r="AW71" s="132"/>
      <c r="AX71" s="132"/>
      <c r="AY71" s="132"/>
      <c r="AZ71" s="132"/>
      <c r="BA71" s="132"/>
      <c r="BB71" s="132"/>
      <c r="BC71" s="132"/>
      <c r="BD71" s="132"/>
      <c r="BE71" s="132"/>
      <c r="BF71" s="132"/>
      <c r="BG71" s="132"/>
      <c r="BH71" s="132"/>
      <c r="BI71" s="132"/>
      <c r="BJ71" s="132"/>
      <c r="BK71" s="132"/>
      <c r="BL71" s="132"/>
      <c r="BM71" s="132"/>
      <c r="BN71" s="132"/>
      <c r="BO71" s="132"/>
      <c r="BP71" s="256"/>
      <c r="BQ71" s="132"/>
      <c r="BR71" s="132"/>
    </row>
    <row r="72" spans="1:70">
      <c r="A72" s="131"/>
      <c r="B72" s="131"/>
      <c r="C72" s="131"/>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131"/>
      <c r="AB72" s="131"/>
      <c r="AC72" s="131"/>
      <c r="AD72" s="131"/>
      <c r="AE72" s="131"/>
      <c r="AF72" s="131"/>
      <c r="AG72" s="131"/>
      <c r="AH72" s="131"/>
      <c r="AI72" s="131"/>
      <c r="AJ72" s="131"/>
      <c r="AK72" s="131"/>
      <c r="AL72" s="131"/>
      <c r="AM72" s="131"/>
      <c r="AN72" s="131"/>
      <c r="AO72" s="131"/>
      <c r="AP72" s="131"/>
      <c r="AQ72" s="131"/>
      <c r="AR72" s="131"/>
      <c r="AS72" s="131"/>
      <c r="AT72" s="1708"/>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247"/>
      <c r="BQ72" s="131"/>
      <c r="BR72" s="131"/>
    </row>
    <row r="73" spans="1:70">
      <c r="A73" s="131"/>
      <c r="B73" s="131"/>
      <c r="C73" s="155"/>
      <c r="D73" s="227"/>
      <c r="E73" s="227"/>
      <c r="F73" s="227"/>
      <c r="G73" s="227"/>
      <c r="H73" s="227"/>
      <c r="I73" s="227"/>
      <c r="J73" s="227"/>
      <c r="K73" s="227"/>
      <c r="L73" s="227"/>
      <c r="M73" s="227"/>
      <c r="N73" s="227"/>
      <c r="O73" s="227"/>
      <c r="P73" s="227"/>
      <c r="Q73" s="227"/>
      <c r="R73" s="227"/>
      <c r="S73" s="227"/>
      <c r="T73" s="227"/>
      <c r="U73" s="227"/>
      <c r="V73" s="227"/>
      <c r="W73" s="227"/>
      <c r="X73" s="227"/>
      <c r="Y73" s="227"/>
      <c r="Z73" s="227"/>
      <c r="AA73" s="227"/>
      <c r="AB73" s="227"/>
      <c r="AC73" s="227"/>
      <c r="AD73" s="227"/>
      <c r="AE73" s="227"/>
      <c r="AF73" s="227"/>
      <c r="AG73" s="227"/>
      <c r="AH73" s="227"/>
      <c r="AI73" s="227"/>
      <c r="AJ73" s="227"/>
      <c r="AK73" s="131"/>
      <c r="AL73" s="227"/>
      <c r="AM73" s="131"/>
      <c r="AN73" s="227"/>
      <c r="AO73" s="131"/>
      <c r="AP73" s="227"/>
      <c r="AQ73" s="131"/>
      <c r="AR73" s="227"/>
      <c r="AS73" s="131"/>
      <c r="AT73" s="227"/>
      <c r="AU73" s="131"/>
      <c r="AV73" s="1706"/>
      <c r="AW73" s="131"/>
      <c r="AX73" s="227"/>
      <c r="AY73" s="131"/>
      <c r="AZ73" s="227"/>
      <c r="BA73" s="131"/>
      <c r="BB73" s="131"/>
      <c r="BC73" s="131"/>
      <c r="BD73" s="131"/>
      <c r="BE73" s="131"/>
      <c r="BF73" s="131"/>
      <c r="BG73" s="131"/>
      <c r="BH73" s="131"/>
      <c r="BI73" s="131"/>
      <c r="BJ73" s="131"/>
      <c r="BK73" s="131"/>
      <c r="BL73" s="131"/>
      <c r="BM73" s="131"/>
      <c r="BN73" s="131"/>
      <c r="BO73" s="131"/>
      <c r="BP73" s="247"/>
      <c r="BQ73" s="131"/>
      <c r="BR73" s="131"/>
    </row>
    <row r="74" spans="1:70">
      <c r="A74" s="131"/>
      <c r="B74" s="131"/>
      <c r="C74" s="227"/>
      <c r="D74" s="227"/>
      <c r="E74" s="227"/>
      <c r="F74" s="227"/>
      <c r="G74" s="227"/>
      <c r="H74" s="227"/>
      <c r="I74" s="227"/>
      <c r="J74" s="227"/>
      <c r="K74" s="227"/>
      <c r="L74" s="227"/>
      <c r="M74" s="227"/>
      <c r="N74" s="227"/>
      <c r="O74" s="227"/>
      <c r="P74" s="227"/>
      <c r="Q74" s="227"/>
      <c r="R74" s="227"/>
      <c r="S74" s="227"/>
      <c r="T74" s="227"/>
      <c r="U74" s="227"/>
      <c r="V74" s="227"/>
      <c r="W74" s="227"/>
      <c r="X74" s="227"/>
      <c r="Y74" s="227"/>
      <c r="Z74" s="227"/>
      <c r="AA74" s="227"/>
      <c r="AB74" s="227"/>
      <c r="AC74" s="227"/>
      <c r="AD74" s="227"/>
      <c r="AE74" s="227"/>
      <c r="AF74" s="227"/>
      <c r="AG74" s="227"/>
      <c r="AH74" s="227"/>
      <c r="AI74" s="227"/>
      <c r="AJ74" s="227"/>
      <c r="AK74" s="131"/>
      <c r="AL74" s="227"/>
      <c r="AM74" s="131"/>
      <c r="AN74" s="227"/>
      <c r="AO74" s="131"/>
      <c r="AP74" s="227"/>
      <c r="AQ74" s="131"/>
      <c r="AR74" s="227"/>
      <c r="AS74" s="131"/>
      <c r="AT74" s="227"/>
      <c r="AU74" s="131"/>
      <c r="AV74" s="227"/>
      <c r="AW74" s="131"/>
      <c r="AX74" s="227"/>
      <c r="AY74" s="131"/>
      <c r="AZ74" s="227"/>
      <c r="BA74" s="131"/>
      <c r="BB74" s="131"/>
      <c r="BC74" s="131"/>
      <c r="BD74" s="131"/>
      <c r="BE74" s="131"/>
      <c r="BF74" s="131"/>
      <c r="BG74" s="131"/>
      <c r="BH74" s="131"/>
      <c r="BI74" s="131"/>
      <c r="BJ74" s="131"/>
      <c r="BK74" s="131"/>
      <c r="BL74" s="131"/>
      <c r="BM74" s="131"/>
      <c r="BN74" s="131"/>
      <c r="BO74" s="131"/>
      <c r="BP74" s="247"/>
      <c r="BQ74" s="131"/>
      <c r="BR74" s="131"/>
    </row>
    <row r="75" spans="1:70">
      <c r="A75" s="131"/>
      <c r="B75" s="131"/>
      <c r="C75" s="227"/>
      <c r="D75" s="227"/>
      <c r="E75" s="227"/>
      <c r="F75" s="227"/>
      <c r="G75" s="227"/>
      <c r="H75" s="227"/>
      <c r="I75" s="227"/>
      <c r="J75" s="227"/>
      <c r="K75" s="227"/>
      <c r="L75" s="227"/>
      <c r="M75" s="227"/>
      <c r="N75" s="227"/>
      <c r="O75" s="227"/>
      <c r="P75" s="227"/>
      <c r="Q75" s="227"/>
      <c r="R75" s="227"/>
      <c r="S75" s="227"/>
      <c r="T75" s="227"/>
      <c r="U75" s="227"/>
      <c r="V75" s="227"/>
      <c r="W75" s="227"/>
      <c r="X75" s="227"/>
      <c r="Y75" s="227"/>
      <c r="Z75" s="227"/>
      <c r="AA75" s="227"/>
      <c r="AB75" s="227"/>
      <c r="AC75" s="227"/>
      <c r="AD75" s="227"/>
      <c r="AE75" s="227"/>
      <c r="AF75" s="227"/>
      <c r="AG75" s="227"/>
      <c r="AH75" s="227"/>
      <c r="AI75" s="227"/>
      <c r="AJ75" s="227"/>
      <c r="AK75" s="131"/>
      <c r="AL75" s="227"/>
      <c r="AM75" s="131"/>
      <c r="AN75" s="227"/>
      <c r="AO75" s="131"/>
      <c r="AP75" s="227"/>
      <c r="AQ75" s="131"/>
      <c r="AR75" s="227"/>
      <c r="AS75" s="131"/>
      <c r="AT75" s="227"/>
      <c r="AU75" s="131"/>
      <c r="AV75" s="227"/>
      <c r="AW75" s="131"/>
      <c r="AX75" s="227"/>
      <c r="AY75" s="131"/>
      <c r="AZ75" s="227"/>
      <c r="BA75" s="131"/>
      <c r="BB75" s="131"/>
      <c r="BC75" s="131"/>
      <c r="BD75" s="131"/>
      <c r="BE75" s="131"/>
      <c r="BF75" s="131"/>
      <c r="BG75" s="131"/>
      <c r="BH75" s="131"/>
      <c r="BI75" s="131"/>
      <c r="BJ75" s="131"/>
      <c r="BK75" s="131"/>
      <c r="BL75" s="131"/>
      <c r="BM75" s="131"/>
      <c r="BN75" s="131"/>
      <c r="BO75" s="131"/>
      <c r="BP75" s="247"/>
      <c r="BQ75" s="131"/>
      <c r="BR75" s="131"/>
    </row>
    <row r="77" spans="1:70">
      <c r="A77" s="131"/>
      <c r="B77" s="131"/>
      <c r="C77" s="227"/>
      <c r="D77" s="227"/>
      <c r="E77" s="227"/>
      <c r="F77" s="227"/>
      <c r="G77" s="227"/>
      <c r="H77" s="227"/>
      <c r="I77" s="227"/>
      <c r="J77" s="227"/>
      <c r="K77" s="227"/>
      <c r="L77" s="227"/>
      <c r="M77" s="227"/>
      <c r="N77" s="227"/>
      <c r="O77" s="227"/>
      <c r="P77" s="227"/>
      <c r="Q77" s="227"/>
      <c r="R77" s="227"/>
      <c r="S77" s="227"/>
      <c r="T77" s="227"/>
      <c r="U77" s="227"/>
      <c r="V77" s="227"/>
      <c r="W77" s="227"/>
      <c r="X77" s="227"/>
      <c r="Y77" s="227"/>
      <c r="Z77" s="227"/>
      <c r="AA77" s="227"/>
      <c r="AB77" s="227"/>
      <c r="AC77" s="227"/>
      <c r="AD77" s="227"/>
      <c r="AE77" s="227"/>
      <c r="AF77" s="227"/>
      <c r="AG77" s="227"/>
      <c r="AH77" s="227"/>
      <c r="AI77" s="227"/>
      <c r="AJ77" s="227"/>
      <c r="AK77" s="131"/>
      <c r="AL77" s="227"/>
      <c r="AM77" s="131"/>
      <c r="AN77" s="227"/>
      <c r="AO77" s="131"/>
      <c r="AP77" s="227"/>
      <c r="AQ77" s="131"/>
      <c r="AR77" s="227"/>
      <c r="AS77" s="131"/>
      <c r="AT77" s="227"/>
      <c r="AU77" s="131"/>
      <c r="AV77" s="227"/>
      <c r="AW77" s="131"/>
      <c r="AX77" s="227"/>
      <c r="AY77" s="131"/>
      <c r="AZ77" s="227"/>
      <c r="BA77" s="131"/>
      <c r="BB77" s="131"/>
      <c r="BC77" s="131"/>
      <c r="BD77" s="131"/>
      <c r="BE77" s="131"/>
      <c r="BF77" s="131"/>
      <c r="BG77" s="131"/>
      <c r="BH77" s="131"/>
      <c r="BI77" s="131"/>
      <c r="BJ77" s="131"/>
      <c r="BK77" s="131"/>
      <c r="BL77" s="131"/>
      <c r="BM77" s="131"/>
      <c r="BN77" s="131"/>
      <c r="BO77" s="131"/>
      <c r="BP77" s="247"/>
      <c r="BQ77" s="131"/>
      <c r="BR77" s="131"/>
    </row>
    <row r="78" spans="1:70">
      <c r="A78" s="131"/>
      <c r="B78" s="131"/>
      <c r="C78" s="227"/>
      <c r="D78" s="227"/>
      <c r="E78" s="227"/>
      <c r="F78" s="227"/>
      <c r="G78" s="227"/>
      <c r="H78" s="227"/>
      <c r="I78" s="227"/>
      <c r="J78" s="227"/>
      <c r="K78" s="227"/>
      <c r="L78" s="227"/>
      <c r="M78" s="227"/>
      <c r="N78" s="227"/>
      <c r="O78" s="227"/>
      <c r="P78" s="227"/>
      <c r="Q78" s="227"/>
      <c r="R78" s="227"/>
      <c r="S78" s="227"/>
      <c r="T78" s="227"/>
      <c r="U78" s="227"/>
      <c r="V78" s="227"/>
      <c r="W78" s="227"/>
      <c r="X78" s="227"/>
      <c r="Y78" s="227"/>
      <c r="Z78" s="227"/>
      <c r="AA78" s="227"/>
      <c r="AB78" s="227"/>
      <c r="AC78" s="227"/>
      <c r="AD78" s="227"/>
      <c r="AE78" s="227"/>
      <c r="AF78" s="227"/>
      <c r="AG78" s="227"/>
      <c r="AH78" s="227"/>
      <c r="AI78" s="227"/>
      <c r="AJ78" s="227"/>
      <c r="AK78" s="131"/>
      <c r="AL78" s="227"/>
      <c r="AM78" s="131"/>
      <c r="AN78" s="227"/>
      <c r="AO78" s="131"/>
      <c r="AP78" s="227"/>
      <c r="AQ78" s="131"/>
      <c r="AR78" s="227"/>
      <c r="AS78" s="131"/>
      <c r="AT78" s="227"/>
      <c r="AU78" s="131"/>
      <c r="AV78" s="227"/>
      <c r="AW78" s="131"/>
      <c r="AX78" s="227"/>
      <c r="AY78" s="131"/>
      <c r="AZ78" s="227"/>
      <c r="BA78" s="131"/>
      <c r="BB78" s="131"/>
      <c r="BC78" s="131"/>
      <c r="BD78" s="131"/>
      <c r="BE78" s="131"/>
      <c r="BF78" s="131"/>
      <c r="BG78" s="131"/>
      <c r="BH78" s="118">
        <f>+BH27/'yrP&amp;L'!AD7</f>
        <v>6.3859590142152714E-2</v>
      </c>
      <c r="BI78" s="131"/>
      <c r="BJ78" s="118">
        <f>+BJ27/'yrP&amp;L'!AE7</f>
        <v>6.0563471285940342E-2</v>
      </c>
      <c r="BK78" s="131"/>
      <c r="BL78" s="118">
        <f>+BL27/'yrP&amp;L'!AF7</f>
        <v>5.9554079679224881E-2</v>
      </c>
      <c r="BM78" s="131"/>
      <c r="BN78" s="131"/>
      <c r="BO78" s="131"/>
      <c r="BP78" s="247"/>
      <c r="BQ78" s="131"/>
      <c r="BR78" s="131"/>
    </row>
    <row r="79" spans="1:70">
      <c r="A79" s="131"/>
      <c r="B79" s="131"/>
      <c r="C79" s="227"/>
      <c r="D79" s="227"/>
      <c r="E79" s="227"/>
      <c r="F79" s="227"/>
      <c r="G79" s="227"/>
      <c r="H79" s="227"/>
      <c r="I79" s="227"/>
      <c r="J79" s="227"/>
      <c r="K79" s="227"/>
      <c r="L79" s="227"/>
      <c r="M79" s="227"/>
      <c r="N79" s="227"/>
      <c r="O79" s="227"/>
      <c r="P79" s="227"/>
      <c r="Q79" s="227"/>
      <c r="R79" s="227"/>
      <c r="S79" s="227"/>
      <c r="T79" s="227"/>
      <c r="U79" s="227"/>
      <c r="V79" s="227"/>
      <c r="W79" s="227"/>
      <c r="X79" s="227"/>
      <c r="Y79" s="227"/>
      <c r="Z79" s="227"/>
      <c r="AA79" s="227"/>
      <c r="AB79" s="227"/>
      <c r="AC79" s="227"/>
      <c r="AD79" s="227"/>
      <c r="AE79" s="227"/>
      <c r="AF79" s="227"/>
      <c r="AG79" s="227"/>
      <c r="AH79" s="227"/>
      <c r="AI79" s="227"/>
      <c r="AJ79" s="227"/>
      <c r="AK79" s="131"/>
      <c r="AL79" s="227"/>
      <c r="AM79" s="131"/>
      <c r="AN79" s="227"/>
      <c r="AO79" s="131"/>
      <c r="AP79" s="227"/>
      <c r="AQ79" s="131"/>
      <c r="AR79" s="227"/>
      <c r="AS79" s="131"/>
      <c r="AT79" s="227"/>
      <c r="AU79" s="131"/>
      <c r="AV79" s="227"/>
      <c r="AW79" s="131"/>
      <c r="AX79" s="227"/>
      <c r="AY79" s="131"/>
      <c r="AZ79" s="227"/>
      <c r="BA79" s="131"/>
      <c r="BB79" s="131"/>
      <c r="BC79" s="131"/>
      <c r="BD79" s="131"/>
      <c r="BE79" s="131"/>
      <c r="BF79" s="131"/>
      <c r="BG79" s="131"/>
      <c r="BH79" s="131"/>
      <c r="BI79" s="131"/>
      <c r="BJ79" s="131"/>
      <c r="BK79" s="131"/>
      <c r="BL79" s="131"/>
      <c r="BM79" s="131"/>
      <c r="BN79" s="131"/>
      <c r="BO79" s="131"/>
      <c r="BP79" s="247"/>
      <c r="BQ79" s="131"/>
      <c r="BR79" s="131"/>
    </row>
    <row r="80" spans="1:70">
      <c r="A80" s="131"/>
      <c r="B80" s="131"/>
      <c r="C80" s="227"/>
      <c r="D80" s="227"/>
      <c r="E80" s="227"/>
      <c r="F80" s="227"/>
      <c r="G80" s="227"/>
      <c r="H80" s="227"/>
      <c r="I80" s="227"/>
      <c r="J80" s="227"/>
      <c r="K80" s="227"/>
      <c r="L80" s="227"/>
      <c r="M80" s="227"/>
      <c r="N80" s="227"/>
      <c r="O80" s="227"/>
      <c r="P80" s="227"/>
      <c r="Q80" s="227"/>
      <c r="R80" s="227"/>
      <c r="S80" s="227"/>
      <c r="T80" s="227"/>
      <c r="U80" s="227"/>
      <c r="V80" s="227"/>
      <c r="W80" s="227"/>
      <c r="X80" s="227"/>
      <c r="Y80" s="227"/>
      <c r="Z80" s="227"/>
      <c r="AA80" s="227"/>
      <c r="AB80" s="227"/>
      <c r="AC80" s="227"/>
      <c r="AD80" s="227"/>
      <c r="AE80" s="227"/>
      <c r="AF80" s="227"/>
      <c r="AG80" s="227"/>
      <c r="AH80" s="227"/>
      <c r="AI80" s="227"/>
      <c r="AJ80" s="227"/>
      <c r="AK80" s="131"/>
      <c r="AL80" s="227"/>
      <c r="AM80" s="131"/>
      <c r="AN80" s="227"/>
      <c r="AO80" s="131"/>
      <c r="AP80" s="227"/>
      <c r="AQ80" s="131"/>
      <c r="AR80" s="227"/>
      <c r="AS80" s="131"/>
      <c r="AT80" s="227"/>
      <c r="AU80" s="131"/>
      <c r="AV80" s="227"/>
      <c r="AW80" s="131"/>
      <c r="AX80" s="227"/>
      <c r="AY80" s="131"/>
      <c r="AZ80" s="227"/>
      <c r="BA80" s="131"/>
      <c r="BB80" s="131"/>
      <c r="BC80" s="131"/>
      <c r="BD80" s="131"/>
      <c r="BE80" s="131"/>
      <c r="BF80" s="131"/>
      <c r="BG80" s="131"/>
      <c r="BH80" s="131"/>
      <c r="BI80" s="131"/>
      <c r="BJ80" s="131"/>
      <c r="BK80" s="131"/>
      <c r="BL80" s="131"/>
      <c r="BM80" s="131"/>
      <c r="BN80" s="131"/>
      <c r="BO80" s="131"/>
      <c r="BP80" s="247"/>
      <c r="BQ80" s="131"/>
      <c r="BR80" s="131"/>
    </row>
    <row r="81" spans="1:70">
      <c r="A81" s="131"/>
      <c r="B81" s="131"/>
      <c r="C81" s="227"/>
      <c r="D81" s="227"/>
      <c r="E81" s="227"/>
      <c r="F81" s="227"/>
      <c r="G81" s="227"/>
      <c r="H81" s="227"/>
      <c r="I81" s="227"/>
      <c r="J81" s="227"/>
      <c r="K81" s="227"/>
      <c r="L81" s="227"/>
      <c r="M81" s="227"/>
      <c r="N81" s="227"/>
      <c r="O81" s="227"/>
      <c r="P81" s="227"/>
      <c r="Q81" s="227"/>
      <c r="R81" s="227"/>
      <c r="S81" s="227"/>
      <c r="T81" s="227"/>
      <c r="U81" s="227"/>
      <c r="V81" s="227"/>
      <c r="W81" s="227"/>
      <c r="X81" s="227"/>
      <c r="Y81" s="227"/>
      <c r="Z81" s="227"/>
      <c r="AA81" s="227"/>
      <c r="AB81" s="227"/>
      <c r="AC81" s="227"/>
      <c r="AD81" s="227"/>
      <c r="AE81" s="227"/>
      <c r="AF81" s="227"/>
      <c r="AG81" s="227"/>
      <c r="AH81" s="227"/>
      <c r="AI81" s="227"/>
      <c r="AJ81" s="227"/>
      <c r="AK81" s="131"/>
      <c r="AL81" s="227"/>
      <c r="AM81" s="131"/>
      <c r="AN81" s="227"/>
      <c r="AO81" s="131"/>
      <c r="AP81" s="227"/>
      <c r="AQ81" s="131"/>
      <c r="AR81" s="227"/>
      <c r="AS81" s="131"/>
      <c r="AT81" s="227"/>
      <c r="AU81" s="131"/>
      <c r="AV81" s="227"/>
      <c r="AW81" s="131"/>
      <c r="AX81" s="227"/>
      <c r="AY81" s="131"/>
      <c r="AZ81" s="227"/>
      <c r="BA81" s="131"/>
      <c r="BB81" s="131"/>
      <c r="BC81" s="131"/>
      <c r="BD81" s="131"/>
      <c r="BE81" s="131"/>
      <c r="BF81" s="131"/>
      <c r="BG81" s="131"/>
      <c r="BH81" s="131"/>
      <c r="BI81" s="131"/>
      <c r="BJ81" s="131"/>
      <c r="BK81" s="131"/>
      <c r="BL81" s="131"/>
      <c r="BM81" s="131"/>
      <c r="BN81" s="131"/>
      <c r="BO81" s="131"/>
      <c r="BP81" s="247"/>
      <c r="BQ81" s="131"/>
      <c r="BR81" s="131"/>
    </row>
    <row r="82" spans="1:70">
      <c r="A82" s="131"/>
      <c r="B82" s="131"/>
      <c r="C82" s="227"/>
      <c r="D82" s="227"/>
      <c r="E82" s="227"/>
      <c r="F82" s="227"/>
      <c r="G82" s="227"/>
      <c r="H82" s="227"/>
      <c r="I82" s="227"/>
      <c r="J82" s="227"/>
      <c r="K82" s="227"/>
      <c r="L82" s="227"/>
      <c r="M82" s="227"/>
      <c r="N82" s="227"/>
      <c r="O82" s="227"/>
      <c r="P82" s="227"/>
      <c r="Q82" s="227"/>
      <c r="R82" s="227"/>
      <c r="S82" s="227"/>
      <c r="T82" s="227"/>
      <c r="U82" s="227"/>
      <c r="V82" s="227"/>
      <c r="W82" s="227"/>
      <c r="X82" s="227"/>
      <c r="Y82" s="227"/>
      <c r="Z82" s="227"/>
      <c r="AA82" s="227"/>
      <c r="AB82" s="227"/>
      <c r="AC82" s="227"/>
      <c r="AD82" s="227"/>
      <c r="AE82" s="227"/>
      <c r="AF82" s="227"/>
      <c r="AG82" s="227"/>
      <c r="AH82" s="227"/>
      <c r="AI82" s="227"/>
      <c r="AJ82" s="227"/>
      <c r="AK82" s="131"/>
      <c r="AL82" s="227"/>
      <c r="AM82" s="131"/>
      <c r="AN82" s="227"/>
      <c r="AO82" s="131"/>
      <c r="AP82" s="227"/>
      <c r="AQ82" s="131"/>
      <c r="AR82" s="227"/>
      <c r="AS82" s="131"/>
      <c r="AT82" s="227"/>
      <c r="AU82" s="131"/>
      <c r="AV82" s="227"/>
      <c r="AW82" s="131"/>
      <c r="AX82" s="227"/>
      <c r="AY82" s="131"/>
      <c r="AZ82" s="227"/>
      <c r="BA82" s="131"/>
      <c r="BB82" s="131"/>
      <c r="BC82" s="131"/>
      <c r="BD82" s="131"/>
      <c r="BE82" s="131"/>
      <c r="BF82" s="131"/>
      <c r="BG82" s="131"/>
      <c r="BH82" s="131"/>
      <c r="BI82" s="131"/>
      <c r="BJ82" s="131"/>
      <c r="BK82" s="131"/>
      <c r="BL82" s="131"/>
      <c r="BM82" s="131"/>
      <c r="BN82" s="131"/>
      <c r="BO82" s="131"/>
      <c r="BP82" s="247"/>
      <c r="BQ82" s="131"/>
      <c r="BR82" s="131"/>
    </row>
    <row r="83" spans="1:70">
      <c r="A83" s="131"/>
      <c r="B83" s="131"/>
      <c r="C83" s="227"/>
      <c r="D83" s="227"/>
      <c r="E83" s="227"/>
      <c r="F83" s="227"/>
      <c r="G83" s="227"/>
      <c r="H83" s="227"/>
      <c r="I83" s="227"/>
      <c r="J83" s="227"/>
      <c r="K83" s="227"/>
      <c r="L83" s="227"/>
      <c r="M83" s="227"/>
      <c r="N83" s="227"/>
      <c r="O83" s="227"/>
      <c r="P83" s="227"/>
      <c r="Q83" s="227"/>
      <c r="R83" s="227"/>
      <c r="S83" s="227"/>
      <c r="T83" s="227"/>
      <c r="U83" s="227"/>
      <c r="V83" s="227"/>
      <c r="W83" s="227"/>
      <c r="X83" s="227"/>
      <c r="Y83" s="227"/>
      <c r="Z83" s="227"/>
      <c r="AA83" s="227"/>
      <c r="AB83" s="227"/>
      <c r="AC83" s="227"/>
      <c r="AD83" s="227"/>
      <c r="AE83" s="227"/>
      <c r="AF83" s="227"/>
      <c r="AG83" s="227"/>
      <c r="AH83" s="227"/>
      <c r="AI83" s="227"/>
      <c r="AJ83" s="227"/>
      <c r="AK83" s="131"/>
      <c r="AL83" s="227"/>
      <c r="AM83" s="131"/>
      <c r="AN83" s="227"/>
      <c r="AO83" s="131"/>
      <c r="AP83" s="227"/>
      <c r="AQ83" s="131"/>
      <c r="AR83" s="227"/>
      <c r="AS83" s="131"/>
      <c r="AT83" s="227"/>
      <c r="AU83" s="131"/>
      <c r="AV83" s="227"/>
      <c r="AW83" s="131"/>
      <c r="AX83" s="227"/>
      <c r="AY83" s="131"/>
      <c r="AZ83" s="227"/>
      <c r="BA83" s="131"/>
      <c r="BB83" s="131"/>
      <c r="BC83" s="131"/>
      <c r="BD83" s="131"/>
      <c r="BE83" s="131"/>
      <c r="BF83" s="131"/>
      <c r="BG83" s="131"/>
      <c r="BH83" s="131"/>
      <c r="BI83" s="131"/>
      <c r="BJ83" s="131"/>
      <c r="BK83" s="131"/>
      <c r="BL83" s="131"/>
      <c r="BM83" s="131"/>
      <c r="BN83" s="131"/>
      <c r="BO83" s="131"/>
      <c r="BP83" s="247"/>
      <c r="BQ83" s="131"/>
      <c r="BR83" s="131"/>
    </row>
    <row r="84" spans="1:70">
      <c r="A84" s="131"/>
      <c r="B84" s="131"/>
      <c r="C84" s="227"/>
      <c r="D84" s="227"/>
      <c r="E84" s="227"/>
      <c r="F84" s="227"/>
      <c r="G84" s="227"/>
      <c r="H84" s="227"/>
      <c r="I84" s="227"/>
      <c r="J84" s="227"/>
      <c r="K84" s="227"/>
      <c r="L84" s="227"/>
      <c r="M84" s="227"/>
      <c r="N84" s="227"/>
      <c r="O84" s="227"/>
      <c r="P84" s="227"/>
      <c r="Q84" s="227"/>
      <c r="R84" s="227"/>
      <c r="S84" s="227"/>
      <c r="T84" s="227"/>
      <c r="U84" s="227"/>
      <c r="V84" s="227"/>
      <c r="W84" s="227"/>
      <c r="X84" s="227"/>
      <c r="Y84" s="227"/>
      <c r="Z84" s="227"/>
      <c r="AA84" s="227"/>
      <c r="AB84" s="227"/>
      <c r="AC84" s="227"/>
      <c r="AD84" s="227"/>
      <c r="AE84" s="227"/>
      <c r="AF84" s="227"/>
      <c r="AG84" s="227"/>
      <c r="AH84" s="227"/>
      <c r="AI84" s="227"/>
      <c r="AJ84" s="227"/>
      <c r="AK84" s="131"/>
      <c r="AL84" s="227"/>
      <c r="AM84" s="131"/>
      <c r="AN84" s="227"/>
      <c r="AO84" s="131"/>
      <c r="AP84" s="227"/>
      <c r="AQ84" s="131"/>
      <c r="AR84" s="227"/>
      <c r="AS84" s="131"/>
      <c r="AT84" s="227"/>
      <c r="AU84" s="131"/>
      <c r="AV84" s="227"/>
      <c r="AW84" s="131"/>
      <c r="AX84" s="227"/>
      <c r="AY84" s="131"/>
      <c r="AZ84" s="227"/>
      <c r="BA84" s="131"/>
      <c r="BB84" s="131"/>
      <c r="BC84" s="131"/>
      <c r="BD84" s="131"/>
      <c r="BE84" s="131"/>
      <c r="BF84" s="131"/>
      <c r="BG84" s="131"/>
      <c r="BH84" s="131"/>
      <c r="BI84" s="131"/>
      <c r="BJ84" s="131"/>
      <c r="BK84" s="131"/>
      <c r="BL84" s="131"/>
      <c r="BM84" s="131"/>
      <c r="BN84" s="131"/>
      <c r="BO84" s="131"/>
      <c r="BP84" s="247"/>
      <c r="BQ84" s="131"/>
      <c r="BR84" s="131"/>
    </row>
    <row r="85" spans="1:70">
      <c r="A85" s="131"/>
      <c r="B85" s="131"/>
      <c r="C85" s="227"/>
      <c r="D85" s="227"/>
      <c r="E85" s="227"/>
      <c r="F85" s="227"/>
      <c r="G85" s="227"/>
      <c r="H85" s="227"/>
      <c r="I85" s="227"/>
      <c r="J85" s="227"/>
      <c r="K85" s="227"/>
      <c r="L85" s="227"/>
      <c r="M85" s="227"/>
      <c r="N85" s="227"/>
      <c r="O85" s="227"/>
      <c r="P85" s="227"/>
      <c r="Q85" s="227"/>
      <c r="R85" s="227"/>
      <c r="S85" s="227"/>
      <c r="T85" s="227"/>
      <c r="U85" s="227"/>
      <c r="V85" s="227"/>
      <c r="W85" s="227"/>
      <c r="X85" s="227"/>
      <c r="Y85" s="227"/>
      <c r="Z85" s="227"/>
      <c r="AA85" s="227"/>
      <c r="AB85" s="227"/>
      <c r="AC85" s="227"/>
      <c r="AD85" s="227"/>
      <c r="AE85" s="227"/>
      <c r="AF85" s="227"/>
      <c r="AG85" s="227"/>
      <c r="AH85" s="227"/>
      <c r="AI85" s="227"/>
      <c r="AJ85" s="227"/>
      <c r="AK85" s="131"/>
      <c r="AL85" s="227"/>
      <c r="AM85" s="131"/>
      <c r="AN85" s="227"/>
      <c r="AO85" s="131"/>
      <c r="AP85" s="227"/>
      <c r="AQ85" s="131"/>
      <c r="AR85" s="227"/>
      <c r="AS85" s="131"/>
      <c r="AT85" s="227"/>
      <c r="AU85" s="131"/>
      <c r="AV85" s="227"/>
      <c r="AW85" s="131"/>
      <c r="AX85" s="227"/>
      <c r="AY85" s="131"/>
      <c r="AZ85" s="227"/>
      <c r="BA85" s="131"/>
      <c r="BB85" s="131"/>
      <c r="BC85" s="131"/>
      <c r="BD85" s="131"/>
      <c r="BE85" s="131"/>
      <c r="BF85" s="131"/>
      <c r="BG85" s="131"/>
      <c r="BH85" s="131"/>
      <c r="BI85" s="131"/>
      <c r="BJ85" s="131"/>
      <c r="BK85" s="131"/>
      <c r="BL85" s="131"/>
      <c r="BM85" s="131"/>
      <c r="BN85" s="131"/>
      <c r="BO85" s="131"/>
      <c r="BP85" s="247"/>
      <c r="BQ85" s="131"/>
      <c r="BR85" s="131"/>
    </row>
    <row r="86" spans="1:70">
      <c r="A86" s="131"/>
      <c r="B86" s="131"/>
      <c r="C86" s="131"/>
      <c r="D86" s="131"/>
      <c r="E86" s="131"/>
      <c r="F86" s="131"/>
      <c r="G86" s="131"/>
      <c r="H86" s="131"/>
      <c r="I86" s="131"/>
      <c r="J86" s="131"/>
      <c r="K86" s="131"/>
      <c r="L86" s="131"/>
      <c r="M86" s="131"/>
      <c r="N86" s="131"/>
      <c r="O86" s="131"/>
      <c r="P86" s="131"/>
      <c r="Q86" s="131"/>
      <c r="R86" s="131"/>
      <c r="S86" s="131"/>
      <c r="T86" s="131"/>
      <c r="U86" s="131"/>
      <c r="V86" s="131"/>
      <c r="W86" s="131"/>
      <c r="X86" s="131"/>
      <c r="Y86" s="131"/>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247"/>
      <c r="BQ86" s="131"/>
      <c r="BR86" s="131"/>
    </row>
    <row r="87" spans="1:70">
      <c r="A87" s="131"/>
      <c r="B87" s="131"/>
      <c r="C87" s="131"/>
      <c r="D87" s="131"/>
      <c r="E87" s="131"/>
      <c r="F87" s="131"/>
      <c r="G87" s="131"/>
      <c r="H87" s="131"/>
      <c r="I87" s="131"/>
      <c r="J87" s="131"/>
      <c r="K87" s="131"/>
      <c r="L87" s="131"/>
      <c r="M87" s="131"/>
      <c r="N87" s="131"/>
      <c r="O87" s="131"/>
      <c r="P87" s="131"/>
      <c r="Q87" s="131"/>
      <c r="R87" s="131"/>
      <c r="S87" s="131"/>
      <c r="T87" s="131"/>
      <c r="U87" s="131"/>
      <c r="V87" s="131"/>
      <c r="W87" s="131"/>
      <c r="X87" s="131"/>
      <c r="Y87" s="131"/>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247"/>
      <c r="BQ87" s="131"/>
      <c r="BR87" s="131"/>
    </row>
    <row r="88" spans="1:70">
      <c r="A88" s="131"/>
      <c r="B88" s="131"/>
      <c r="C88" s="131"/>
      <c r="D88" s="131"/>
      <c r="E88" s="131"/>
      <c r="F88" s="131"/>
      <c r="G88" s="131"/>
      <c r="H88" s="131"/>
      <c r="I88" s="131"/>
      <c r="J88" s="131"/>
      <c r="K88" s="131"/>
      <c r="L88" s="131"/>
      <c r="M88" s="131"/>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247"/>
      <c r="BQ88" s="131"/>
      <c r="BR88" s="131"/>
    </row>
    <row r="89" spans="1:70">
      <c r="A89" s="131"/>
      <c r="B89" s="131"/>
      <c r="C89" s="131"/>
      <c r="D89" s="131"/>
      <c r="E89" s="131"/>
      <c r="F89" s="131"/>
      <c r="G89" s="131"/>
      <c r="H89" s="131"/>
      <c r="I89" s="131"/>
      <c r="J89" s="131"/>
      <c r="K89" s="131"/>
      <c r="L89" s="131"/>
      <c r="M89" s="131"/>
      <c r="N89" s="131"/>
      <c r="O89" s="131"/>
      <c r="P89" s="131"/>
      <c r="Q89" s="131"/>
      <c r="R89" s="131"/>
      <c r="S89" s="131"/>
      <c r="T89" s="131"/>
      <c r="U89" s="131"/>
      <c r="V89" s="131"/>
      <c r="W89" s="131"/>
      <c r="X89" s="131"/>
      <c r="Y89" s="131"/>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247"/>
      <c r="BQ89" s="131"/>
      <c r="BR89" s="131"/>
    </row>
    <row r="90" spans="1:70">
      <c r="A90" s="131"/>
      <c r="B90" s="131"/>
      <c r="C90" s="131"/>
      <c r="D90" s="131"/>
      <c r="E90" s="131"/>
      <c r="F90" s="131"/>
      <c r="G90" s="131"/>
      <c r="H90" s="131"/>
      <c r="I90" s="131"/>
      <c r="J90" s="131"/>
      <c r="K90" s="131"/>
      <c r="L90" s="131"/>
      <c r="M90" s="131"/>
      <c r="N90" s="131"/>
      <c r="O90" s="131"/>
      <c r="P90" s="131">
        <v>20</v>
      </c>
      <c r="Q90" s="131"/>
      <c r="R90" s="131">
        <v>1.2</v>
      </c>
      <c r="S90" s="131"/>
      <c r="T90" s="131">
        <f>+P90/R90</f>
        <v>16.666666666666668</v>
      </c>
      <c r="U90" s="131"/>
      <c r="V90" s="131"/>
      <c r="W90" s="131"/>
      <c r="X90" s="131"/>
      <c r="Y90" s="131"/>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247"/>
      <c r="BQ90" s="131"/>
      <c r="BR90" s="131"/>
    </row>
  </sheetData>
  <phoneticPr fontId="0" type="noConversion"/>
  <dataValidations count="1">
    <dataValidation type="custom" allowBlank="1" showInputMessage="1" showErrorMessage="1" sqref="BA8:BA9 BN9 BR8:BR9 BD9 BC8:BC9 BF9 BG8:BG9 BH9 BI8:BI9 BJ9 BK8:BK9 BL9 BM8:BM9">
      <formula1>-1</formula1>
    </dataValidation>
  </dataValidations>
  <printOptions horizontalCentered="1"/>
  <pageMargins left="0" right="0" top="0" bottom="0" header="0" footer="0"/>
  <pageSetup paperSize="5" scale="72" orientation="landscape" r:id="rId1"/>
  <headerFooter alignWithMargins="0">
    <oddFooter>&amp;R&amp;8&amp;D/&amp;T
&amp;F/&amp;A</oddFooter>
  </headerFooter>
  <colBreaks count="1" manualBreakCount="1">
    <brk id="19" max="70" man="1"/>
  </colBreaks>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BD61"/>
  <sheetViews>
    <sheetView showGridLines="0" zoomScale="95" zoomScaleNormal="95" workbookViewId="0">
      <pane xSplit="3" ySplit="6" topLeftCell="AR7" activePane="bottomRight" state="frozen"/>
      <selection activeCell="C39" sqref="C39"/>
      <selection pane="topRight" activeCell="C39" sqref="C39"/>
      <selection pane="bottomLeft" activeCell="C39" sqref="C39"/>
      <selection pane="bottomRight" activeCell="BC56" sqref="BC56"/>
    </sheetView>
  </sheetViews>
  <sheetFormatPr defaultRowHeight="12.75" outlineLevelCol="1"/>
  <cols>
    <col min="1" max="1" width="4.28515625" customWidth="1"/>
    <col min="2" max="2" width="3.5703125" customWidth="1"/>
    <col min="3" max="3" width="1.7109375" customWidth="1"/>
    <col min="4" max="4" width="9.7109375" hidden="1" customWidth="1" outlineLevel="1"/>
    <col min="5" max="5" width="1.7109375" hidden="1" customWidth="1" outlineLevel="1"/>
    <col min="6" max="6" width="9.7109375" hidden="1" customWidth="1" outlineLevel="1"/>
    <col min="7" max="7" width="1.7109375" hidden="1" customWidth="1" outlineLevel="1"/>
    <col min="8" max="8" width="9.7109375" hidden="1" customWidth="1" outlineLevel="1"/>
    <col min="9" max="9" width="1.7109375" hidden="1" customWidth="1" outlineLevel="1"/>
    <col min="10" max="10" width="9.7109375" hidden="1" customWidth="1" outlineLevel="1"/>
    <col min="11" max="11" width="1.7109375" hidden="1" customWidth="1" outlineLevel="1"/>
    <col min="12" max="12" width="9.7109375" hidden="1" customWidth="1" outlineLevel="1"/>
    <col min="13" max="13" width="1.7109375" hidden="1" customWidth="1" outlineLevel="1"/>
    <col min="14" max="14" width="9.7109375" hidden="1" customWidth="1" outlineLevel="1"/>
    <col min="15" max="15" width="1.7109375" hidden="1" customWidth="1" outlineLevel="1"/>
    <col min="16" max="16" width="9.7109375" hidden="1" customWidth="1" outlineLevel="1"/>
    <col min="17" max="17" width="1.7109375" hidden="1" customWidth="1" outlineLevel="1"/>
    <col min="18" max="18" width="9.7109375" hidden="1" customWidth="1" outlineLevel="1"/>
    <col min="19" max="19" width="1.7109375" hidden="1" customWidth="1" outlineLevel="1" collapsed="1"/>
    <col min="20" max="20" width="9.7109375" hidden="1" customWidth="1" outlineLevel="1"/>
    <col min="21" max="21" width="1.7109375" hidden="1" customWidth="1" outlineLevel="1"/>
    <col min="22" max="22" width="9.7109375" hidden="1" customWidth="1" outlineLevel="1"/>
    <col min="23" max="23" width="1.7109375" hidden="1" customWidth="1" outlineLevel="1"/>
    <col min="24" max="24" width="9.7109375" hidden="1" customWidth="1" outlineLevel="1"/>
    <col min="25" max="25" width="1.7109375" hidden="1" customWidth="1" outlineLevel="1"/>
    <col min="26" max="26" width="9.7109375" hidden="1" customWidth="1" outlineLevel="1"/>
    <col min="27" max="27" width="1.7109375" hidden="1" customWidth="1" outlineLevel="1"/>
    <col min="28" max="28" width="9.7109375" hidden="1" customWidth="1" outlineLevel="1"/>
    <col min="29" max="29" width="1.7109375" hidden="1" customWidth="1" outlineLevel="1"/>
    <col min="30" max="30" width="9.7109375" hidden="1" customWidth="1" outlineLevel="1"/>
    <col min="31" max="31" width="1.7109375" hidden="1" customWidth="1" outlineLevel="1"/>
    <col min="32" max="32" width="9.7109375" hidden="1" customWidth="1" outlineLevel="1"/>
    <col min="33" max="33" width="1.7109375" hidden="1" customWidth="1" outlineLevel="1"/>
    <col min="34" max="34" width="9.140625" hidden="1" customWidth="1" outlineLevel="1"/>
    <col min="35" max="35" width="2.42578125" hidden="1" customWidth="1" outlineLevel="1"/>
    <col min="36" max="36" width="8.7109375" hidden="1" customWidth="1" outlineLevel="1"/>
    <col min="37" max="37" width="1.7109375" hidden="1" customWidth="1" outlineLevel="1"/>
    <col min="38" max="38" width="9.140625" hidden="1" customWidth="1" outlineLevel="1"/>
    <col min="39" max="39" width="1.7109375" hidden="1" customWidth="1" outlineLevel="1"/>
    <col min="40" max="40" width="0" hidden="1" customWidth="1" outlineLevel="1"/>
    <col min="41" max="41" width="1.7109375" hidden="1" customWidth="1" outlineLevel="1"/>
    <col min="42" max="42" width="0" hidden="1" customWidth="1" outlineLevel="1"/>
    <col min="43" max="43" width="1.7109375" hidden="1" customWidth="1" outlineLevel="1"/>
    <col min="44" max="44" width="9.140625" collapsed="1"/>
    <col min="45" max="45" width="1.7109375" customWidth="1"/>
    <col min="47" max="47" width="1.7109375" customWidth="1"/>
    <col min="49" max="49" width="1.7109375" customWidth="1"/>
    <col min="51" max="51" width="1.7109375" customWidth="1"/>
    <col min="56" max="56" width="9.140625" hidden="1" customWidth="1"/>
  </cols>
  <sheetData>
    <row r="1" spans="1:56">
      <c r="A1" s="133" t="str">
        <f>'qtrP&amp;L'!A1</f>
        <v>Tiffany and Co.</v>
      </c>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J1" s="131"/>
      <c r="AK1" s="131"/>
      <c r="AL1" s="131"/>
      <c r="AM1" s="131"/>
      <c r="AN1" s="131"/>
      <c r="AO1" s="131"/>
      <c r="AP1" s="131"/>
      <c r="AQ1" s="131"/>
      <c r="AR1" s="131"/>
      <c r="AS1" s="131"/>
      <c r="AT1" s="131"/>
      <c r="AU1" s="131"/>
      <c r="AV1" s="131"/>
    </row>
    <row r="2" spans="1:56">
      <c r="A2" s="267" t="s">
        <v>89</v>
      </c>
      <c r="B2" s="225"/>
      <c r="C2" s="225"/>
      <c r="D2" s="225"/>
      <c r="E2" s="225"/>
      <c r="F2" s="225"/>
      <c r="G2" s="225"/>
      <c r="H2" s="225"/>
      <c r="I2" s="225"/>
      <c r="J2" s="225"/>
      <c r="K2" s="225"/>
      <c r="L2" s="225"/>
      <c r="M2" s="225"/>
      <c r="N2" s="225"/>
      <c r="O2" s="225"/>
      <c r="P2" s="225"/>
      <c r="Q2" s="225"/>
      <c r="R2" s="225"/>
      <c r="S2" s="225"/>
      <c r="T2" s="225"/>
      <c r="U2" s="225"/>
      <c r="V2" s="225"/>
      <c r="W2" s="225"/>
      <c r="X2" s="225"/>
      <c r="Y2" s="225"/>
      <c r="Z2" s="225"/>
      <c r="AA2" s="225"/>
      <c r="AB2" s="225"/>
      <c r="AC2" s="225"/>
      <c r="AD2" s="225"/>
      <c r="AE2" s="225"/>
      <c r="AF2" s="225"/>
      <c r="AG2" s="225"/>
      <c r="AH2" s="225"/>
      <c r="AJ2" s="225"/>
      <c r="AK2" s="225"/>
      <c r="AL2" s="225"/>
      <c r="AM2" s="225"/>
      <c r="AN2" s="225"/>
      <c r="AO2" s="225"/>
      <c r="AP2" s="225"/>
      <c r="AQ2" s="225"/>
      <c r="AR2" s="225"/>
      <c r="AS2" s="225"/>
      <c r="AT2" s="225"/>
      <c r="AU2" s="225"/>
      <c r="AV2" s="225"/>
    </row>
    <row r="3" spans="1:56">
      <c r="A3" s="179" t="str">
        <f>bal!A3</f>
        <v>At January 31 of the following year</v>
      </c>
      <c r="B3" s="132"/>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J3" s="132"/>
      <c r="AK3" s="132"/>
      <c r="AL3" s="132"/>
      <c r="AM3" s="132"/>
      <c r="AN3" s="132"/>
      <c r="AO3" s="132"/>
      <c r="AP3" s="132"/>
      <c r="AQ3" s="132"/>
      <c r="AR3" s="132"/>
      <c r="AS3" s="132"/>
      <c r="AT3" s="132"/>
      <c r="AU3" s="132"/>
      <c r="AV3" s="132"/>
    </row>
    <row r="4" spans="1:56">
      <c r="A4" s="180" t="s">
        <v>1024</v>
      </c>
      <c r="B4" s="132"/>
      <c r="C4" s="132"/>
      <c r="D4" s="132"/>
      <c r="E4" s="132"/>
      <c r="F4" s="132"/>
      <c r="G4" s="132"/>
      <c r="H4" s="132"/>
      <c r="I4" s="132"/>
      <c r="J4" s="132"/>
      <c r="K4" s="132"/>
      <c r="L4" s="132"/>
      <c r="M4" s="132"/>
      <c r="N4" s="132"/>
      <c r="O4" s="132"/>
      <c r="P4" s="132"/>
      <c r="Q4" s="132"/>
      <c r="R4" s="132"/>
      <c r="S4" s="132"/>
      <c r="T4" s="132"/>
      <c r="U4" s="132"/>
      <c r="V4" s="132"/>
      <c r="W4" s="132"/>
      <c r="X4" s="132"/>
      <c r="Y4" s="132"/>
      <c r="Z4" s="132"/>
      <c r="AA4" s="132"/>
      <c r="AB4" s="132"/>
      <c r="AC4" s="132"/>
      <c r="AD4" s="132"/>
      <c r="AE4" s="132"/>
      <c r="AF4" s="132"/>
      <c r="AG4" s="132"/>
      <c r="AH4" s="132"/>
      <c r="AJ4" s="132"/>
      <c r="AK4" s="132"/>
      <c r="AL4" s="132"/>
      <c r="AM4" s="132"/>
      <c r="AN4" s="132"/>
      <c r="AO4" s="132"/>
      <c r="AP4" s="132"/>
      <c r="AQ4" s="132"/>
      <c r="AR4" s="132"/>
      <c r="AS4" s="132"/>
      <c r="AT4" s="132"/>
      <c r="AU4" s="132"/>
      <c r="AV4" s="132"/>
    </row>
    <row r="5" spans="1:56">
      <c r="A5" s="132"/>
      <c r="B5" s="132"/>
      <c r="C5" s="132"/>
      <c r="D5" s="132"/>
      <c r="E5" s="132"/>
      <c r="F5" s="132"/>
      <c r="G5" s="132"/>
      <c r="H5" s="132"/>
      <c r="I5" s="132"/>
      <c r="J5" s="132"/>
      <c r="K5" s="132"/>
      <c r="L5" s="132"/>
      <c r="M5" s="132"/>
      <c r="N5" s="132"/>
      <c r="O5" s="132"/>
      <c r="P5" s="132"/>
      <c r="Q5" s="132"/>
      <c r="R5" s="132"/>
      <c r="S5" s="132"/>
      <c r="T5" s="132"/>
      <c r="U5" s="132"/>
      <c r="V5" s="132"/>
      <c r="W5" s="132"/>
      <c r="X5" s="132"/>
      <c r="Y5" s="132"/>
      <c r="Z5" s="132"/>
      <c r="AA5" s="132"/>
      <c r="AB5" s="132"/>
      <c r="AC5" s="132"/>
      <c r="AD5" s="132"/>
      <c r="AE5" s="132"/>
      <c r="AF5" s="132"/>
      <c r="AG5" s="132"/>
      <c r="AH5" s="132"/>
      <c r="AJ5" s="132"/>
      <c r="AK5" s="132"/>
      <c r="AL5" s="132"/>
      <c r="AM5" s="132"/>
      <c r="AN5" s="132"/>
      <c r="AO5" s="132"/>
      <c r="AP5" s="132"/>
      <c r="AQ5" s="132"/>
      <c r="AR5" s="132"/>
      <c r="AS5" s="132"/>
      <c r="AT5" s="132"/>
      <c r="AU5" s="132"/>
      <c r="AV5" s="132"/>
    </row>
    <row r="6" spans="1:56">
      <c r="A6" s="132"/>
      <c r="B6" s="132"/>
      <c r="C6" s="132"/>
      <c r="D6" s="165">
        <v>1990</v>
      </c>
      <c r="E6" s="132"/>
      <c r="F6" s="165">
        <v>1991</v>
      </c>
      <c r="G6" s="132"/>
      <c r="H6" s="165">
        <v>1992</v>
      </c>
      <c r="I6" s="132"/>
      <c r="J6" s="165">
        <v>1993</v>
      </c>
      <c r="K6" s="132"/>
      <c r="L6" s="165">
        <v>1994</v>
      </c>
      <c r="M6" s="132"/>
      <c r="N6" s="165">
        <f>work!V7</f>
        <v>1995</v>
      </c>
      <c r="O6" s="132"/>
      <c r="P6" s="165">
        <f>work!Z7</f>
        <v>1996</v>
      </c>
      <c r="Q6" s="132"/>
      <c r="R6" s="165">
        <f>work!AD7</f>
        <v>1997</v>
      </c>
      <c r="S6" s="132"/>
      <c r="T6" s="165">
        <f>work!AH7</f>
        <v>1998</v>
      </c>
      <c r="U6" s="132"/>
      <c r="V6" s="165">
        <f>work!AL7</f>
        <v>1999</v>
      </c>
      <c r="W6" s="132"/>
      <c r="X6" s="165">
        <f>work!AP7</f>
        <v>2000</v>
      </c>
      <c r="Y6" s="132"/>
      <c r="Z6" s="165">
        <f>work!AT7</f>
        <v>2001</v>
      </c>
      <c r="AA6" s="132"/>
      <c r="AB6" s="165">
        <f>work!AX7</f>
        <v>2002</v>
      </c>
      <c r="AC6" s="132"/>
      <c r="AD6" s="165">
        <v>2003</v>
      </c>
      <c r="AE6" s="132"/>
      <c r="AF6" s="165">
        <v>2004</v>
      </c>
      <c r="AG6" s="132"/>
      <c r="AH6" s="165">
        <v>2005</v>
      </c>
      <c r="AJ6" s="165">
        <v>2006</v>
      </c>
      <c r="AK6" s="166"/>
      <c r="AL6" s="165">
        <v>2007</v>
      </c>
      <c r="AM6" s="166"/>
      <c r="AN6" s="165">
        <v>2008</v>
      </c>
      <c r="AO6" s="166"/>
      <c r="AP6" s="165">
        <v>2009</v>
      </c>
      <c r="AQ6" s="166"/>
      <c r="AR6" s="165">
        <v>2010</v>
      </c>
      <c r="AS6" s="132"/>
      <c r="AT6" s="165">
        <v>2011</v>
      </c>
      <c r="AU6" s="165"/>
      <c r="AV6" s="165">
        <v>2012</v>
      </c>
      <c r="AX6" s="165">
        <v>2013</v>
      </c>
      <c r="AZ6" s="165">
        <v>2014</v>
      </c>
      <c r="BA6" s="165">
        <v>2015</v>
      </c>
      <c r="BB6" s="165">
        <v>2016</v>
      </c>
      <c r="BC6" s="2241" t="s">
        <v>1832</v>
      </c>
      <c r="BD6" s="2241" t="s">
        <v>1307</v>
      </c>
    </row>
    <row r="7" spans="1:56" ht="21.75" customHeight="1">
      <c r="A7" s="222"/>
      <c r="B7" s="132"/>
      <c r="C7" s="132"/>
      <c r="D7" s="248"/>
      <c r="E7" s="132"/>
      <c r="F7" s="248"/>
      <c r="G7" s="132"/>
      <c r="H7" s="248"/>
      <c r="I7" s="132"/>
      <c r="J7" s="248"/>
      <c r="K7" s="132"/>
      <c r="L7" s="248"/>
      <c r="M7" s="132"/>
      <c r="N7" s="248"/>
      <c r="O7" s="132"/>
      <c r="P7" s="248"/>
      <c r="Q7" s="132"/>
      <c r="R7" s="248"/>
      <c r="S7" s="132"/>
      <c r="T7" s="248"/>
      <c r="U7" s="132"/>
      <c r="V7" s="248"/>
      <c r="W7" s="248"/>
      <c r="X7" s="132"/>
      <c r="Y7" s="248"/>
      <c r="Z7" s="132"/>
      <c r="AA7" s="248"/>
      <c r="AB7" s="132"/>
      <c r="AC7" s="248"/>
      <c r="AD7" s="132"/>
      <c r="AE7" s="248"/>
      <c r="AF7" s="132"/>
      <c r="AG7" s="248"/>
      <c r="AH7" s="132"/>
      <c r="AJ7" s="1589"/>
      <c r="AK7" s="1589"/>
      <c r="AL7" s="1589"/>
      <c r="AM7" s="1589"/>
      <c r="AN7" s="1589"/>
      <c r="AO7" s="1589"/>
      <c r="AP7" s="1589"/>
      <c r="AQ7" s="1589"/>
      <c r="AR7" s="1589"/>
      <c r="AS7" s="1588" t="s">
        <v>91</v>
      </c>
      <c r="AT7" s="1589"/>
      <c r="AU7" s="1589"/>
      <c r="AV7" s="1589"/>
    </row>
    <row r="8" spans="1:56">
      <c r="A8" s="132" t="str">
        <f>work!A10</f>
        <v>1Q</v>
      </c>
      <c r="B8" s="132" t="str">
        <f>work!B10</f>
        <v>Apr</v>
      </c>
      <c r="C8" s="132"/>
      <c r="D8" s="252"/>
      <c r="E8" s="132"/>
      <c r="F8" s="252"/>
      <c r="G8" s="132"/>
      <c r="H8" s="252"/>
      <c r="I8" s="132"/>
      <c r="J8" s="252"/>
      <c r="K8" s="132"/>
      <c r="L8" s="252">
        <v>8.26</v>
      </c>
      <c r="M8" s="132"/>
      <c r="N8" s="252">
        <v>16.631</v>
      </c>
      <c r="O8" s="132"/>
      <c r="P8" s="252">
        <v>40.167999999999999</v>
      </c>
      <c r="Q8" s="132"/>
      <c r="R8" s="252">
        <f>87.073+15</f>
        <v>102.07299999999999</v>
      </c>
      <c r="S8" s="132"/>
      <c r="T8" s="252">
        <v>74.608999999999995</v>
      </c>
      <c r="U8" s="132"/>
      <c r="V8" s="252">
        <v>140.25</v>
      </c>
      <c r="W8" s="132"/>
      <c r="X8" s="252">
        <v>199.167</v>
      </c>
      <c r="Y8" s="132"/>
      <c r="Z8" s="252">
        <v>124.69499999999999</v>
      </c>
      <c r="AA8" s="132"/>
      <c r="AB8" s="252">
        <v>145.26499999999999</v>
      </c>
      <c r="AC8" s="132"/>
      <c r="AD8" s="252">
        <v>123.449</v>
      </c>
      <c r="AE8" s="132"/>
      <c r="AF8" s="252">
        <v>190.79300000000001</v>
      </c>
      <c r="AG8" s="132"/>
      <c r="AH8" s="252">
        <v>213.708</v>
      </c>
      <c r="AJ8" s="906">
        <v>180.541</v>
      </c>
      <c r="AK8" s="906"/>
      <c r="AL8" s="906">
        <v>125.782</v>
      </c>
      <c r="AM8" s="906"/>
      <c r="AN8" s="906">
        <v>159.625</v>
      </c>
      <c r="AO8" s="906"/>
      <c r="AP8" s="906">
        <v>303.72899999999998</v>
      </c>
      <c r="AQ8" s="906"/>
      <c r="AR8" s="906">
        <v>673.75</v>
      </c>
      <c r="AS8" s="132"/>
      <c r="AT8" s="906">
        <v>622.32000000000005</v>
      </c>
      <c r="AU8" s="906"/>
      <c r="AV8" s="906">
        <f>321.582+21.447</f>
        <v>343.029</v>
      </c>
      <c r="AX8" s="906">
        <v>464.916</v>
      </c>
      <c r="AZ8" s="906">
        <v>381.21499999999997</v>
      </c>
      <c r="BA8" s="906">
        <v>715.4</v>
      </c>
      <c r="BB8" s="906">
        <v>789.9</v>
      </c>
      <c r="BC8" s="906">
        <v>960</v>
      </c>
    </row>
    <row r="9" spans="1:56">
      <c r="A9" s="132" t="str">
        <f>work!A11</f>
        <v>2Q</v>
      </c>
      <c r="B9" s="132" t="str">
        <f>work!B11</f>
        <v>Jul</v>
      </c>
      <c r="C9" s="132"/>
      <c r="D9" s="249"/>
      <c r="E9" s="132"/>
      <c r="F9" s="249">
        <v>7.1760000000000002</v>
      </c>
      <c r="G9" s="132"/>
      <c r="H9" s="249">
        <v>3.6909999999999998</v>
      </c>
      <c r="I9" s="132"/>
      <c r="J9" s="249"/>
      <c r="K9" s="132"/>
      <c r="L9" s="249">
        <v>7.6189999999999998</v>
      </c>
      <c r="M9" s="132"/>
      <c r="N9" s="249">
        <v>30.655000000000001</v>
      </c>
      <c r="O9" s="132"/>
      <c r="P9" s="249">
        <v>20.125</v>
      </c>
      <c r="Q9" s="132"/>
      <c r="R9" s="249">
        <f>61.538+15</f>
        <v>76.537999999999997</v>
      </c>
      <c r="S9" s="132"/>
      <c r="T9" s="249">
        <v>53.326000000000001</v>
      </c>
      <c r="U9" s="132"/>
      <c r="V9" s="249">
        <v>151.04400000000001</v>
      </c>
      <c r="W9" s="132"/>
      <c r="X9" s="249">
        <v>174.66200000000001</v>
      </c>
      <c r="Y9" s="132"/>
      <c r="Z9" s="249">
        <v>112.73</v>
      </c>
      <c r="AA9" s="132"/>
      <c r="AB9" s="249">
        <v>191.32599999999999</v>
      </c>
      <c r="AC9" s="132"/>
      <c r="AD9" s="249">
        <v>116.119</v>
      </c>
      <c r="AE9" s="132"/>
      <c r="AF9" s="249">
        <v>153.62299999999999</v>
      </c>
      <c r="AG9" s="132"/>
      <c r="AH9" s="144">
        <v>128.661</v>
      </c>
      <c r="AJ9" s="144">
        <v>144.86799999999999</v>
      </c>
      <c r="AK9" s="144"/>
      <c r="AL9" s="144">
        <v>129.02699999999999</v>
      </c>
      <c r="AM9" s="144"/>
      <c r="AN9" s="144">
        <v>152.15600000000001</v>
      </c>
      <c r="AO9" s="144"/>
      <c r="AP9" s="144">
        <v>333.60300000000001</v>
      </c>
      <c r="AQ9" s="144"/>
      <c r="AR9" s="144">
        <v>614.67399999999998</v>
      </c>
      <c r="AS9" s="132"/>
      <c r="AT9" s="144">
        <v>565.19100000000003</v>
      </c>
      <c r="AU9" s="144"/>
      <c r="AV9" s="144">
        <v>367.43700000000001</v>
      </c>
      <c r="AX9" s="144">
        <v>489.66399999999999</v>
      </c>
      <c r="AZ9" s="1731">
        <v>398.43400000000003</v>
      </c>
      <c r="BA9" s="1731">
        <v>771.4</v>
      </c>
      <c r="BB9" s="1731">
        <v>720.1</v>
      </c>
      <c r="BC9" s="1731">
        <v>1043.5</v>
      </c>
    </row>
    <row r="10" spans="1:56">
      <c r="A10" s="132" t="str">
        <f>work!A12</f>
        <v>3Q</v>
      </c>
      <c r="B10" s="132" t="str">
        <f>work!B12</f>
        <v>Oct</v>
      </c>
      <c r="C10" s="132"/>
      <c r="D10" s="249"/>
      <c r="E10" s="132"/>
      <c r="F10" s="249"/>
      <c r="G10" s="132"/>
      <c r="H10" s="249"/>
      <c r="I10" s="132"/>
      <c r="J10" s="249"/>
      <c r="K10" s="132"/>
      <c r="L10" s="249">
        <v>4.5730000000000004</v>
      </c>
      <c r="M10" s="132"/>
      <c r="N10" s="249">
        <v>38.177999999999997</v>
      </c>
      <c r="O10" s="132"/>
      <c r="P10" s="249">
        <v>19.794</v>
      </c>
      <c r="Q10" s="132"/>
      <c r="R10" s="249">
        <f>24.483+15</f>
        <v>39.483000000000004</v>
      </c>
      <c r="S10" s="132"/>
      <c r="T10" s="249">
        <v>43.921999999999997</v>
      </c>
      <c r="U10" s="132"/>
      <c r="V10" s="249">
        <v>155.93700000000001</v>
      </c>
      <c r="W10" s="132"/>
      <c r="X10" s="249">
        <v>121.143</v>
      </c>
      <c r="Y10" s="132"/>
      <c r="Z10" s="249">
        <v>106.404</v>
      </c>
      <c r="AA10" s="132"/>
      <c r="AB10" s="144">
        <v>90.646000000000001</v>
      </c>
      <c r="AC10" s="132"/>
      <c r="AD10" s="144">
        <v>152.72399999999999</v>
      </c>
      <c r="AE10" s="132"/>
      <c r="AF10" s="144">
        <v>129.77600000000001</v>
      </c>
      <c r="AG10" s="132"/>
      <c r="AH10" s="144">
        <v>111.586</v>
      </c>
      <c r="AJ10" s="144">
        <v>56.933</v>
      </c>
      <c r="AK10" s="144"/>
      <c r="AL10" s="144">
        <v>391.12</v>
      </c>
      <c r="AM10" s="144"/>
      <c r="AN10" s="144">
        <v>160.376</v>
      </c>
      <c r="AO10" s="144"/>
      <c r="AP10" s="144">
        <v>374.87099999999998</v>
      </c>
      <c r="AQ10" s="144"/>
      <c r="AR10" s="144">
        <v>529.49599999999998</v>
      </c>
      <c r="AS10" s="132"/>
      <c r="AT10" s="144">
        <v>297.36399999999998</v>
      </c>
      <c r="AU10" s="144"/>
      <c r="AV10" s="144">
        <v>345.87400000000002</v>
      </c>
      <c r="AX10" s="144">
        <v>521.20000000000005</v>
      </c>
      <c r="AZ10" s="144">
        <v>383.41300000000001</v>
      </c>
      <c r="BA10" s="144">
        <v>725.1</v>
      </c>
      <c r="BB10" s="144">
        <v>786.7</v>
      </c>
      <c r="BC10" s="144">
        <v>1009.4</v>
      </c>
    </row>
    <row r="11" spans="1:56">
      <c r="A11" s="132" t="str">
        <f>work!A13</f>
        <v>4Q</v>
      </c>
      <c r="B11" s="132" t="str">
        <f>work!B13</f>
        <v>Jan</v>
      </c>
      <c r="C11" s="132"/>
      <c r="D11" s="249"/>
      <c r="E11" s="132"/>
      <c r="F11" s="249">
        <v>3.972</v>
      </c>
      <c r="G11" s="132"/>
      <c r="H11" s="249"/>
      <c r="I11" s="132"/>
      <c r="J11" s="249">
        <v>4.9939999999999998</v>
      </c>
      <c r="K11" s="132"/>
      <c r="L11" s="249">
        <v>44.317999999999998</v>
      </c>
      <c r="M11" s="132"/>
      <c r="N11" s="249">
        <v>81.965999999999994</v>
      </c>
      <c r="O11" s="132"/>
      <c r="P11" s="249">
        <v>117.161</v>
      </c>
      <c r="Q11" s="132"/>
      <c r="R11" s="249">
        <v>107.252</v>
      </c>
      <c r="S11" s="132"/>
      <c r="T11" s="249">
        <v>188.59299999999999</v>
      </c>
      <c r="U11" s="132"/>
      <c r="V11" s="249">
        <v>216.93600000000001</v>
      </c>
      <c r="W11" s="132"/>
      <c r="X11" s="249">
        <v>195.613</v>
      </c>
      <c r="Y11" s="132"/>
      <c r="Z11" s="249">
        <v>173.67500000000001</v>
      </c>
      <c r="AA11" s="132"/>
      <c r="AB11" s="249">
        <v>156.197</v>
      </c>
      <c r="AC11" s="132"/>
      <c r="AD11" s="249">
        <v>276.11500000000001</v>
      </c>
      <c r="AE11" s="132"/>
      <c r="AF11" s="249">
        <v>187.68100000000001</v>
      </c>
      <c r="AG11" s="132"/>
      <c r="AH11" s="144">
        <v>393.60899999999998</v>
      </c>
      <c r="AJ11" s="144">
        <v>190.50800000000001</v>
      </c>
      <c r="AK11" s="144"/>
      <c r="AL11" s="144">
        <v>246.654</v>
      </c>
      <c r="AM11" s="144"/>
      <c r="AN11" s="144">
        <v>160.44499999999999</v>
      </c>
      <c r="AO11" s="144"/>
      <c r="AP11" s="144">
        <v>785.702</v>
      </c>
      <c r="AQ11" s="144"/>
      <c r="AR11" s="144">
        <v>740.87099999999998</v>
      </c>
      <c r="AS11" s="132"/>
      <c r="AT11" s="144">
        <v>442.19</v>
      </c>
      <c r="AU11" s="144"/>
      <c r="AV11" s="144">
        <v>173.99799999999999</v>
      </c>
      <c r="AX11" s="144">
        <v>367.03500000000003</v>
      </c>
      <c r="AZ11" s="144">
        <v>731.5</v>
      </c>
      <c r="BA11" s="144">
        <v>886.6</v>
      </c>
      <c r="BB11" s="144">
        <v>985.8</v>
      </c>
      <c r="BC11" s="144">
        <v>1291.2</v>
      </c>
    </row>
    <row r="12" spans="1:56">
      <c r="A12" s="132"/>
      <c r="B12" s="132"/>
      <c r="C12" s="132"/>
      <c r="D12" s="132"/>
      <c r="E12" s="132"/>
      <c r="F12" s="132"/>
      <c r="G12" s="132"/>
      <c r="H12" s="132"/>
      <c r="I12" s="132"/>
      <c r="J12" s="132"/>
      <c r="K12" s="132"/>
      <c r="L12" s="132"/>
      <c r="M12" s="132"/>
      <c r="N12" s="132"/>
      <c r="O12" s="132"/>
      <c r="P12" s="132"/>
      <c r="Q12" s="132"/>
      <c r="R12" s="132"/>
      <c r="S12" s="132"/>
      <c r="T12" s="132"/>
      <c r="U12" s="132"/>
      <c r="V12" s="132"/>
      <c r="W12" s="132"/>
      <c r="X12" s="251"/>
      <c r="Y12" s="132"/>
      <c r="Z12" s="251"/>
      <c r="AA12" s="132"/>
      <c r="AB12" s="251"/>
      <c r="AC12" s="132"/>
      <c r="AD12" s="251"/>
      <c r="AE12" s="132"/>
      <c r="AF12" s="251"/>
      <c r="AG12" s="132"/>
      <c r="AH12" s="139"/>
      <c r="AJ12" s="144"/>
      <c r="AK12" s="144"/>
      <c r="AL12" s="144"/>
      <c r="AM12" s="144"/>
      <c r="AN12" s="144"/>
      <c r="AO12" s="144"/>
      <c r="AP12" s="144"/>
      <c r="AQ12" s="144"/>
      <c r="AR12" s="144"/>
      <c r="AS12" s="132"/>
      <c r="AT12" s="144"/>
      <c r="AU12" s="144"/>
      <c r="AV12" s="144"/>
      <c r="AX12" s="229"/>
      <c r="AZ12" s="229"/>
      <c r="BA12" s="229"/>
      <c r="BB12" s="229"/>
      <c r="BC12" s="229"/>
    </row>
    <row r="13" spans="1:56">
      <c r="A13" s="132"/>
      <c r="B13" s="132"/>
      <c r="C13" s="132"/>
      <c r="D13" s="248"/>
      <c r="E13" s="132"/>
      <c r="F13" s="248"/>
      <c r="G13" s="132"/>
      <c r="H13" s="248"/>
      <c r="I13" s="132"/>
      <c r="J13" s="248"/>
      <c r="K13" s="132"/>
      <c r="L13" s="248"/>
      <c r="M13" s="132"/>
      <c r="N13" s="248"/>
      <c r="O13" s="132"/>
      <c r="P13" s="248"/>
      <c r="Q13" s="132"/>
      <c r="R13" s="248"/>
      <c r="S13" s="132"/>
      <c r="T13" s="248"/>
      <c r="U13" s="132"/>
      <c r="V13" s="248"/>
      <c r="W13" s="248"/>
      <c r="X13" s="251"/>
      <c r="Y13" s="248"/>
      <c r="Z13" s="251"/>
      <c r="AA13" s="248"/>
      <c r="AB13" s="251"/>
      <c r="AC13" s="248"/>
      <c r="AD13" s="251"/>
      <c r="AE13" s="248"/>
      <c r="AF13" s="251"/>
      <c r="AG13" s="248"/>
      <c r="AH13" s="139"/>
      <c r="AJ13" s="1590"/>
      <c r="AK13" s="1590"/>
      <c r="AL13" s="1590"/>
      <c r="AM13" s="1590"/>
      <c r="AN13" s="1590"/>
      <c r="AO13" s="1590"/>
      <c r="AP13" s="1590"/>
      <c r="AQ13" s="1590"/>
      <c r="AR13" s="1590"/>
      <c r="AS13" s="1588" t="s">
        <v>92</v>
      </c>
      <c r="AT13" s="1590"/>
      <c r="AU13" s="1590"/>
      <c r="AV13" s="1590"/>
      <c r="AX13" s="906"/>
      <c r="AZ13" s="906"/>
      <c r="BA13" s="906"/>
      <c r="BB13" s="906"/>
      <c r="BC13" s="906"/>
    </row>
    <row r="14" spans="1:56">
      <c r="A14" s="132" t="str">
        <f t="shared" ref="A14:B17" si="0">A8</f>
        <v>1Q</v>
      </c>
      <c r="B14" s="132" t="str">
        <f t="shared" si="0"/>
        <v>Apr</v>
      </c>
      <c r="C14" s="132"/>
      <c r="D14" s="252"/>
      <c r="E14" s="132"/>
      <c r="F14" s="252"/>
      <c r="G14" s="132"/>
      <c r="H14" s="252"/>
      <c r="I14" s="132"/>
      <c r="J14" s="252"/>
      <c r="K14" s="132"/>
      <c r="L14" s="252">
        <v>74.599000000000004</v>
      </c>
      <c r="M14" s="132"/>
      <c r="N14" s="252">
        <v>58.122</v>
      </c>
      <c r="O14" s="132"/>
      <c r="P14" s="252">
        <v>62.005000000000003</v>
      </c>
      <c r="Q14" s="132"/>
      <c r="R14" s="252">
        <v>63.066000000000003</v>
      </c>
      <c r="S14" s="132"/>
      <c r="T14" s="252">
        <v>92.271000000000001</v>
      </c>
      <c r="U14" s="132"/>
      <c r="V14" s="252">
        <v>82.728999999999999</v>
      </c>
      <c r="W14" s="132"/>
      <c r="X14" s="252">
        <v>28.963999999999999</v>
      </c>
      <c r="Y14" s="132"/>
      <c r="Z14" s="252">
        <v>33.933</v>
      </c>
      <c r="AA14" s="132"/>
      <c r="AB14" s="252">
        <f>41.975+51.5</f>
        <v>93.474999999999994</v>
      </c>
      <c r="AC14" s="132"/>
      <c r="AD14" s="252">
        <v>57.345999999999997</v>
      </c>
      <c r="AE14" s="132"/>
      <c r="AF14" s="252">
        <f>95.842+49.973</f>
        <v>145.815</v>
      </c>
      <c r="AG14" s="132"/>
      <c r="AH14" s="252">
        <v>47.488</v>
      </c>
      <c r="AJ14" s="252">
        <v>47.725999999999999</v>
      </c>
      <c r="AK14" s="906"/>
      <c r="AL14" s="998">
        <f>115.811+5.451</f>
        <v>121.262</v>
      </c>
      <c r="AM14" s="906"/>
      <c r="AN14" s="998">
        <f>199.421+65.728</f>
        <v>265.149</v>
      </c>
      <c r="AO14" s="906"/>
      <c r="AP14" s="998">
        <f>74.199+40.17</f>
        <v>114.369</v>
      </c>
      <c r="AQ14" s="906"/>
      <c r="AR14" s="998">
        <f>42.865+252.72</f>
        <v>295.58499999999998</v>
      </c>
      <c r="AS14" s="789"/>
      <c r="AT14" s="998">
        <v>97.632000000000005</v>
      </c>
      <c r="AU14" s="998"/>
      <c r="AV14" s="998">
        <v>242.768</v>
      </c>
      <c r="AX14" s="906">
        <v>216.898</v>
      </c>
      <c r="AZ14" s="906">
        <v>240.95599999999999</v>
      </c>
      <c r="BA14" s="906">
        <v>197.1</v>
      </c>
      <c r="BB14" s="906">
        <f>220.1+92.5</f>
        <v>312.60000000000002</v>
      </c>
      <c r="BC14" s="906">
        <v>190.6</v>
      </c>
    </row>
    <row r="15" spans="1:56">
      <c r="A15" s="132" t="str">
        <f t="shared" si="0"/>
        <v>2Q</v>
      </c>
      <c r="B15" s="132" t="str">
        <f t="shared" si="0"/>
        <v>Jul</v>
      </c>
      <c r="C15" s="132"/>
      <c r="D15" s="249"/>
      <c r="E15" s="132"/>
      <c r="F15" s="249">
        <v>35.356999999999999</v>
      </c>
      <c r="G15" s="132"/>
      <c r="H15" s="249">
        <v>69.575999999999993</v>
      </c>
      <c r="I15" s="132"/>
      <c r="J15" s="249"/>
      <c r="K15" s="132"/>
      <c r="L15" s="249">
        <v>87.587000000000003</v>
      </c>
      <c r="M15" s="132"/>
      <c r="N15" s="249">
        <v>55.994999999999997</v>
      </c>
      <c r="O15" s="132"/>
      <c r="P15" s="249">
        <v>62.203000000000003</v>
      </c>
      <c r="Q15" s="132"/>
      <c r="R15" s="249">
        <v>68.489000000000004</v>
      </c>
      <c r="S15" s="132"/>
      <c r="T15" s="249">
        <v>93.622</v>
      </c>
      <c r="U15" s="132"/>
      <c r="V15" s="249">
        <v>98.295000000000002</v>
      </c>
      <c r="W15" s="132"/>
      <c r="X15" s="249">
        <v>28.670999999999999</v>
      </c>
      <c r="Y15" s="132"/>
      <c r="Z15" s="249">
        <v>51.293999999999997</v>
      </c>
      <c r="AA15" s="132"/>
      <c r="AB15" s="249">
        <f>38.313+51.5</f>
        <v>89.813000000000002</v>
      </c>
      <c r="AC15" s="132"/>
      <c r="AD15" s="249">
        <v>186.15700000000001</v>
      </c>
      <c r="AE15" s="132"/>
      <c r="AF15" s="249">
        <v>206.97399999999999</v>
      </c>
      <c r="AG15" s="132"/>
      <c r="AH15" s="144">
        <v>22.966000000000001</v>
      </c>
      <c r="AJ15" s="144">
        <f>142.215+6.272</f>
        <v>148.48699999999999</v>
      </c>
      <c r="AK15" s="144"/>
      <c r="AL15" s="144">
        <f>130.995+5.455</f>
        <v>136.45000000000002</v>
      </c>
      <c r="AM15" s="144"/>
      <c r="AN15" s="144">
        <f>240.535+104.56</f>
        <v>345.09500000000003</v>
      </c>
      <c r="AO15" s="144"/>
      <c r="AP15" s="144">
        <v>40.753999999999998</v>
      </c>
      <c r="AQ15" s="144"/>
      <c r="AR15" s="144">
        <v>44.220999999999997</v>
      </c>
      <c r="AS15" s="132"/>
      <c r="AT15" s="144">
        <v>97.272000000000006</v>
      </c>
      <c r="AU15" s="144"/>
      <c r="AV15" s="144">
        <v>155.137</v>
      </c>
      <c r="AX15" s="144">
        <v>207.41200000000001</v>
      </c>
      <c r="AZ15" s="1731">
        <v>275.43299999999999</v>
      </c>
      <c r="BA15" s="1731">
        <v>196.8</v>
      </c>
      <c r="BB15" s="1731">
        <v>207.1</v>
      </c>
      <c r="BC15" s="1731">
        <v>235</v>
      </c>
    </row>
    <row r="16" spans="1:56">
      <c r="A16" s="132" t="str">
        <f t="shared" si="0"/>
        <v>3Q</v>
      </c>
      <c r="B16" s="132" t="str">
        <f t="shared" si="0"/>
        <v>Oct</v>
      </c>
      <c r="C16" s="132"/>
      <c r="D16" s="249"/>
      <c r="E16" s="132"/>
      <c r="F16" s="249"/>
      <c r="G16" s="132"/>
      <c r="H16" s="249"/>
      <c r="I16" s="132"/>
      <c r="J16" s="249"/>
      <c r="K16" s="132"/>
      <c r="L16" s="249">
        <v>82.183999999999997</v>
      </c>
      <c r="M16" s="132"/>
      <c r="N16" s="249">
        <v>80.475999999999999</v>
      </c>
      <c r="O16" s="132"/>
      <c r="P16" s="249">
        <v>74.218000000000004</v>
      </c>
      <c r="Q16" s="132"/>
      <c r="R16" s="249">
        <v>65.195999999999998</v>
      </c>
      <c r="S16" s="132"/>
      <c r="T16" s="249">
        <v>153.96899999999999</v>
      </c>
      <c r="U16" s="132"/>
      <c r="V16" s="249">
        <v>43.959000000000003</v>
      </c>
      <c r="W16" s="132"/>
      <c r="X16" s="249">
        <v>36.85</v>
      </c>
      <c r="Y16" s="132"/>
      <c r="Z16" s="249">
        <v>113.331</v>
      </c>
      <c r="AA16" s="132"/>
      <c r="AB16" s="249">
        <f>58.268+51.5</f>
        <v>109.768</v>
      </c>
      <c r="AC16" s="132"/>
      <c r="AD16" s="249">
        <f>128.202+50.573</f>
        <v>178.77500000000001</v>
      </c>
      <c r="AE16" s="132"/>
      <c r="AF16" s="249">
        <v>267.38900000000001</v>
      </c>
      <c r="AG16" s="132"/>
      <c r="AH16" s="144">
        <v>30.364999999999998</v>
      </c>
      <c r="AJ16" s="826">
        <f>237.447+6.259</f>
        <v>243.70600000000002</v>
      </c>
      <c r="AK16" s="144"/>
      <c r="AL16" s="144">
        <f>5.552+59.843</f>
        <v>65.39500000000001</v>
      </c>
      <c r="AM16" s="144"/>
      <c r="AN16" s="144">
        <f>100.682+414.364</f>
        <v>515.04599999999994</v>
      </c>
      <c r="AO16" s="144"/>
      <c r="AP16" s="144">
        <f>30.906+163.89</f>
        <v>194.79599999999999</v>
      </c>
      <c r="AQ16" s="144"/>
      <c r="AR16" s="144">
        <f>60.286+101.675</f>
        <v>161.96100000000001</v>
      </c>
      <c r="AS16" s="132"/>
      <c r="AT16" s="144">
        <f>107.83+61.247</f>
        <v>169.077</v>
      </c>
      <c r="AU16" s="144"/>
      <c r="AV16" s="144">
        <v>196.279</v>
      </c>
      <c r="AX16" s="144">
        <v>252.01599999999999</v>
      </c>
      <c r="AZ16" s="144">
        <v>196.87799999999999</v>
      </c>
      <c r="BA16" s="144">
        <v>198.3</v>
      </c>
      <c r="BB16" s="144">
        <v>219.5</v>
      </c>
      <c r="BC16" s="144">
        <v>193.2</v>
      </c>
    </row>
    <row r="17" spans="1:55">
      <c r="A17" s="132" t="str">
        <f t="shared" si="0"/>
        <v>4Q</v>
      </c>
      <c r="B17" s="132" t="str">
        <f t="shared" si="0"/>
        <v>Jan</v>
      </c>
      <c r="C17" s="132"/>
      <c r="D17" s="249"/>
      <c r="E17" s="132"/>
      <c r="F17" s="249">
        <v>43.566000000000003</v>
      </c>
      <c r="G17" s="132"/>
      <c r="H17" s="249"/>
      <c r="I17" s="132"/>
      <c r="J17" s="249">
        <v>59.289000000000001</v>
      </c>
      <c r="K17" s="132"/>
      <c r="L17" s="249">
        <v>60.695999999999998</v>
      </c>
      <c r="M17" s="132"/>
      <c r="N17" s="249">
        <v>78.966999999999999</v>
      </c>
      <c r="O17" s="132"/>
      <c r="P17" s="249">
        <v>76.337999999999994</v>
      </c>
      <c r="Q17" s="132"/>
      <c r="R17" s="249">
        <v>90.054000000000002</v>
      </c>
      <c r="S17" s="132"/>
      <c r="T17" s="249">
        <v>97.37</v>
      </c>
      <c r="U17" s="132"/>
      <c r="V17" s="249">
        <v>20.646000000000001</v>
      </c>
      <c r="W17" s="132"/>
      <c r="X17" s="249">
        <v>28.777999999999999</v>
      </c>
      <c r="Y17" s="132"/>
      <c r="Z17" s="249">
        <f>40.402+51.5</f>
        <v>91.902000000000001</v>
      </c>
      <c r="AA17" s="132"/>
      <c r="AB17" s="249">
        <v>52.552</v>
      </c>
      <c r="AC17" s="132"/>
      <c r="AD17" s="249">
        <f>41.948+51.92</f>
        <v>93.867999999999995</v>
      </c>
      <c r="AE17" s="132"/>
      <c r="AF17" s="249">
        <v>42.957000000000001</v>
      </c>
      <c r="AG17" s="132"/>
      <c r="AH17" s="144">
        <v>38.942</v>
      </c>
      <c r="AJ17" s="144">
        <f>106.681+5.398</f>
        <v>112.07899999999999</v>
      </c>
      <c r="AK17" s="144"/>
      <c r="AL17" s="144">
        <f>44.032+65.64</f>
        <v>109.672</v>
      </c>
      <c r="AM17" s="144"/>
      <c r="AN17" s="144">
        <f>242.966+40.426</f>
        <v>283.392</v>
      </c>
      <c r="AO17" s="144"/>
      <c r="AP17" s="144">
        <f>27.642+206.815</f>
        <v>234.45699999999999</v>
      </c>
      <c r="AQ17" s="144"/>
      <c r="AR17" s="144">
        <f>38.891+60.855</f>
        <v>99.745999999999995</v>
      </c>
      <c r="AS17" s="132"/>
      <c r="AT17" s="144">
        <f>112.973+60.822</f>
        <v>173.79500000000002</v>
      </c>
      <c r="AU17" s="144"/>
      <c r="AV17" s="144">
        <v>194.03399999999999</v>
      </c>
      <c r="AX17" s="144">
        <v>252.36500000000001</v>
      </c>
      <c r="AZ17" s="144">
        <v>234</v>
      </c>
      <c r="BA17" s="144">
        <f>221.6+84.2</f>
        <v>305.8</v>
      </c>
      <c r="BB17" s="144">
        <v>228.7</v>
      </c>
      <c r="BC17" s="144">
        <v>120.6</v>
      </c>
    </row>
    <row r="18" spans="1:55">
      <c r="A18" s="132"/>
      <c r="B18" s="132"/>
      <c r="C18" s="132"/>
      <c r="D18" s="249"/>
      <c r="E18" s="132"/>
      <c r="F18" s="249"/>
      <c r="G18" s="132"/>
      <c r="H18" s="249"/>
      <c r="I18" s="132"/>
      <c r="J18" s="249"/>
      <c r="K18" s="132"/>
      <c r="L18" s="249"/>
      <c r="M18" s="132"/>
      <c r="N18" s="249"/>
      <c r="O18" s="132"/>
      <c r="P18" s="249"/>
      <c r="Q18" s="132"/>
      <c r="R18" s="249"/>
      <c r="S18" s="132"/>
      <c r="T18" s="249"/>
      <c r="U18" s="132"/>
      <c r="V18" s="249"/>
      <c r="W18" s="132"/>
      <c r="X18" s="251"/>
      <c r="Y18" s="132"/>
      <c r="Z18" s="251"/>
      <c r="AA18" s="132"/>
      <c r="AB18" s="251"/>
      <c r="AC18" s="132"/>
      <c r="AD18" s="251"/>
      <c r="AE18" s="132"/>
      <c r="AF18" s="251"/>
      <c r="AG18" s="132"/>
      <c r="AH18" s="139"/>
      <c r="AJ18" s="144"/>
      <c r="AK18" s="144"/>
      <c r="AL18" s="144"/>
      <c r="AM18" s="144"/>
      <c r="AN18" s="144"/>
      <c r="AO18" s="144"/>
      <c r="AP18" s="144"/>
      <c r="AQ18" s="144"/>
      <c r="AR18" s="144"/>
      <c r="AS18" s="132"/>
      <c r="AT18" s="144"/>
      <c r="AU18" s="144"/>
      <c r="AV18" s="144"/>
    </row>
    <row r="19" spans="1:55">
      <c r="A19" s="132"/>
      <c r="B19" s="132"/>
      <c r="C19" s="132"/>
      <c r="D19" s="248"/>
      <c r="E19" s="132"/>
      <c r="F19" s="248"/>
      <c r="G19" s="132"/>
      <c r="H19" s="248"/>
      <c r="I19" s="132"/>
      <c r="J19" s="248"/>
      <c r="K19" s="132"/>
      <c r="L19" s="248"/>
      <c r="M19" s="132"/>
      <c r="N19" s="248"/>
      <c r="O19" s="132"/>
      <c r="P19" s="248"/>
      <c r="Q19" s="132"/>
      <c r="R19" s="248"/>
      <c r="S19" s="132"/>
      <c r="T19" s="248"/>
      <c r="U19" s="132"/>
      <c r="V19" s="248"/>
      <c r="W19" s="248"/>
      <c r="X19" s="251"/>
      <c r="Y19" s="248"/>
      <c r="Z19" s="251"/>
      <c r="AA19" s="248"/>
      <c r="AB19" s="251"/>
      <c r="AC19" s="248"/>
      <c r="AD19" s="251"/>
      <c r="AE19" s="248"/>
      <c r="AF19" s="251"/>
      <c r="AG19" s="248"/>
      <c r="AH19" s="139"/>
      <c r="AJ19" s="1590"/>
      <c r="AK19" s="1590"/>
      <c r="AL19" s="1590"/>
      <c r="AM19" s="1590"/>
      <c r="AN19" s="1590"/>
      <c r="AO19" s="1590"/>
      <c r="AP19" s="1590"/>
      <c r="AQ19" s="1590"/>
      <c r="AR19" s="1590"/>
      <c r="AS19" s="1588" t="s">
        <v>93</v>
      </c>
      <c r="AT19" s="1590"/>
      <c r="AU19" s="1590"/>
      <c r="AV19" s="1590"/>
    </row>
    <row r="20" spans="1:55">
      <c r="A20" s="132" t="str">
        <f t="shared" ref="A20:B23" si="1">A14</f>
        <v>1Q</v>
      </c>
      <c r="B20" s="132" t="str">
        <f t="shared" si="1"/>
        <v>Apr</v>
      </c>
      <c r="C20" s="132"/>
      <c r="D20" s="252"/>
      <c r="E20" s="132"/>
      <c r="F20" s="252"/>
      <c r="G20" s="132"/>
      <c r="H20" s="252"/>
      <c r="I20" s="132"/>
      <c r="J20" s="252"/>
      <c r="K20" s="132"/>
      <c r="L20" s="252">
        <v>101.5</v>
      </c>
      <c r="M20" s="132"/>
      <c r="N20" s="252">
        <v>101.5</v>
      </c>
      <c r="O20" s="132"/>
      <c r="P20" s="252">
        <v>149.08500000000001</v>
      </c>
      <c r="Q20" s="132"/>
      <c r="R20" s="252">
        <v>90.855000000000004</v>
      </c>
      <c r="S20" s="132"/>
      <c r="T20" s="252">
        <v>89.28</v>
      </c>
      <c r="U20" s="132"/>
      <c r="V20" s="252">
        <v>193.465</v>
      </c>
      <c r="W20" s="132"/>
      <c r="X20" s="252">
        <v>250.179</v>
      </c>
      <c r="Y20" s="132"/>
      <c r="Z20" s="252">
        <v>236.14099999999999</v>
      </c>
      <c r="AA20" s="132"/>
      <c r="AB20" s="252">
        <v>181.995</v>
      </c>
      <c r="AC20" s="132"/>
      <c r="AD20" s="252">
        <v>298.41899999999998</v>
      </c>
      <c r="AE20" s="132"/>
      <c r="AF20" s="252">
        <v>382.88299999999998</v>
      </c>
      <c r="AG20" s="132"/>
      <c r="AH20" s="788">
        <v>392.178</v>
      </c>
      <c r="AJ20" s="906">
        <v>428.45</v>
      </c>
      <c r="AK20" s="906"/>
      <c r="AL20" s="906">
        <v>401.71600000000001</v>
      </c>
      <c r="AM20" s="906"/>
      <c r="AN20" s="906">
        <v>346.01</v>
      </c>
      <c r="AO20" s="906"/>
      <c r="AP20" s="906">
        <v>707.47699999999998</v>
      </c>
      <c r="AQ20" s="906"/>
      <c r="AR20" s="906">
        <v>464.17</v>
      </c>
      <c r="AS20" s="789"/>
      <c r="AT20" s="906">
        <v>589.255</v>
      </c>
      <c r="AU20" s="906"/>
      <c r="AV20" s="906">
        <f>60.357+531.244</f>
        <v>591.601</v>
      </c>
      <c r="AX20" s="906">
        <v>757.19100000000003</v>
      </c>
      <c r="AZ20" s="906">
        <v>750.82600000000002</v>
      </c>
      <c r="BA20" s="906">
        <v>882.1</v>
      </c>
      <c r="BB20" s="906">
        <v>790.2</v>
      </c>
      <c r="BC20" s="906">
        <v>880.5</v>
      </c>
    </row>
    <row r="21" spans="1:55">
      <c r="A21" s="132" t="str">
        <f t="shared" si="1"/>
        <v>2Q</v>
      </c>
      <c r="B21" s="132" t="str">
        <f t="shared" si="1"/>
        <v>Jul</v>
      </c>
      <c r="C21" s="132"/>
      <c r="D21" s="249"/>
      <c r="E21" s="132"/>
      <c r="F21" s="249">
        <v>50</v>
      </c>
      <c r="G21" s="132"/>
      <c r="H21" s="249">
        <v>50</v>
      </c>
      <c r="I21" s="132"/>
      <c r="J21" s="249"/>
      <c r="K21" s="132"/>
      <c r="L21" s="249">
        <v>101.5</v>
      </c>
      <c r="M21" s="132"/>
      <c r="N21" s="249">
        <v>101.5</v>
      </c>
      <c r="O21" s="132"/>
      <c r="P21" s="249">
        <v>98.305000000000007</v>
      </c>
      <c r="Q21" s="132"/>
      <c r="R21" s="249">
        <v>93.685000000000002</v>
      </c>
      <c r="S21" s="132"/>
      <c r="T21" s="249">
        <v>86.305000000000007</v>
      </c>
      <c r="U21" s="132"/>
      <c r="V21" s="249">
        <v>194.845</v>
      </c>
      <c r="W21" s="132"/>
      <c r="X21" s="249">
        <v>247.239</v>
      </c>
      <c r="Y21" s="132"/>
      <c r="Z21" s="249">
        <v>235.43700000000001</v>
      </c>
      <c r="AA21" s="132"/>
      <c r="AB21" s="249">
        <v>289.20999999999998</v>
      </c>
      <c r="AC21" s="132"/>
      <c r="AD21" s="249">
        <v>289.68599999999998</v>
      </c>
      <c r="AE21" s="132"/>
      <c r="AF21" s="249">
        <v>379.363</v>
      </c>
      <c r="AG21" s="132"/>
      <c r="AH21" s="144">
        <v>397.60599999999999</v>
      </c>
      <c r="AJ21" s="144">
        <v>423.81900000000002</v>
      </c>
      <c r="AK21" s="144"/>
      <c r="AL21" s="144">
        <v>400.64299999999997</v>
      </c>
      <c r="AM21" s="144"/>
      <c r="AN21" s="144">
        <v>294.096</v>
      </c>
      <c r="AO21" s="144"/>
      <c r="AP21" s="144">
        <v>710.99400000000003</v>
      </c>
      <c r="AQ21" s="144"/>
      <c r="AR21" s="144">
        <v>467.85500000000002</v>
      </c>
      <c r="AS21" s="132"/>
      <c r="AT21" s="144">
        <v>534.673</v>
      </c>
      <c r="AU21" s="144"/>
      <c r="AV21" s="144">
        <v>784.40899999999999</v>
      </c>
      <c r="AX21" s="144">
        <v>756.80700000000002</v>
      </c>
      <c r="AZ21" s="1731">
        <v>750.07</v>
      </c>
      <c r="BA21" s="1731">
        <v>870.1</v>
      </c>
      <c r="BB21" s="1731">
        <v>790.5</v>
      </c>
      <c r="BC21" s="1731">
        <v>881.1</v>
      </c>
    </row>
    <row r="22" spans="1:55">
      <c r="A22" s="132" t="str">
        <f t="shared" si="1"/>
        <v>3Q</v>
      </c>
      <c r="B22" s="132" t="str">
        <f t="shared" si="1"/>
        <v>Oct</v>
      </c>
      <c r="C22" s="132"/>
      <c r="D22" s="249"/>
      <c r="E22" s="132"/>
      <c r="F22" s="249"/>
      <c r="G22" s="132"/>
      <c r="H22" s="249"/>
      <c r="I22" s="132"/>
      <c r="J22" s="249"/>
      <c r="K22" s="132"/>
      <c r="L22" s="615">
        <v>101.5</v>
      </c>
      <c r="M22" s="132"/>
      <c r="N22" s="249">
        <v>101.5</v>
      </c>
      <c r="O22" s="132"/>
      <c r="P22" s="249">
        <v>95.34</v>
      </c>
      <c r="Q22" s="132"/>
      <c r="R22" s="249">
        <v>93.08</v>
      </c>
      <c r="S22" s="132"/>
      <c r="T22" s="249">
        <v>94.314999999999998</v>
      </c>
      <c r="U22" s="132"/>
      <c r="V22" s="249">
        <v>251.61799999999999</v>
      </c>
      <c r="W22" s="132"/>
      <c r="X22" s="249">
        <v>247.85900000000001</v>
      </c>
      <c r="Y22" s="132"/>
      <c r="Z22" s="249">
        <v>237.548</v>
      </c>
      <c r="AA22" s="132"/>
      <c r="AB22" s="249">
        <v>295.947</v>
      </c>
      <c r="AC22" s="132"/>
      <c r="AD22" s="249">
        <v>386.67700000000002</v>
      </c>
      <c r="AE22" s="132"/>
      <c r="AF22" s="249">
        <v>393.19400000000002</v>
      </c>
      <c r="AG22" s="132"/>
      <c r="AH22" s="144">
        <v>373.60599999999999</v>
      </c>
      <c r="AJ22" s="144">
        <v>416.863</v>
      </c>
      <c r="AK22" s="144"/>
      <c r="AL22" s="144">
        <v>397.79500000000002</v>
      </c>
      <c r="AM22" s="144"/>
      <c r="AN22" s="144">
        <v>306.226</v>
      </c>
      <c r="AO22" s="144"/>
      <c r="AP22" s="144">
        <v>558.20699999999999</v>
      </c>
      <c r="AQ22" s="144"/>
      <c r="AR22" s="144">
        <v>593.02800000000002</v>
      </c>
      <c r="AS22" s="132"/>
      <c r="AT22" s="144">
        <v>539.70299999999997</v>
      </c>
      <c r="AU22" s="144"/>
      <c r="AV22" s="144">
        <v>781.63699999999994</v>
      </c>
      <c r="AX22" s="144">
        <v>755.72400000000005</v>
      </c>
      <c r="AZ22" s="144">
        <v>889.505</v>
      </c>
      <c r="BA22" s="144">
        <v>789.8</v>
      </c>
      <c r="BB22" s="144">
        <v>885.7</v>
      </c>
      <c r="BC22" s="144">
        <v>879.2</v>
      </c>
    </row>
    <row r="23" spans="1:55">
      <c r="A23" s="132" t="str">
        <f t="shared" si="1"/>
        <v>4Q</v>
      </c>
      <c r="B23" s="132" t="str">
        <f t="shared" si="1"/>
        <v>Jan</v>
      </c>
      <c r="C23" s="132"/>
      <c r="D23" s="249"/>
      <c r="E23" s="132"/>
      <c r="F23" s="249">
        <v>50</v>
      </c>
      <c r="G23" s="132"/>
      <c r="H23" s="249"/>
      <c r="I23" s="132"/>
      <c r="J23" s="249">
        <v>101.5</v>
      </c>
      <c r="K23" s="132"/>
      <c r="L23" s="249">
        <v>101.5</v>
      </c>
      <c r="M23" s="132"/>
      <c r="N23" s="249">
        <v>101.5</v>
      </c>
      <c r="O23" s="132"/>
      <c r="P23" s="249">
        <v>92.674999999999997</v>
      </c>
      <c r="Q23" s="132"/>
      <c r="R23" s="249">
        <v>90.93</v>
      </c>
      <c r="S23" s="132"/>
      <c r="T23" s="249">
        <v>194.42</v>
      </c>
      <c r="U23" s="132"/>
      <c r="V23" s="249">
        <v>249.58099999999999</v>
      </c>
      <c r="W23" s="132"/>
      <c r="X23" s="249">
        <v>242.15700000000001</v>
      </c>
      <c r="Y23" s="132"/>
      <c r="Z23" s="249">
        <v>179.065</v>
      </c>
      <c r="AA23" s="132"/>
      <c r="AB23" s="249">
        <v>297.10700000000003</v>
      </c>
      <c r="AC23" s="132"/>
      <c r="AD23" s="249">
        <v>392.99099999999999</v>
      </c>
      <c r="AE23" s="132"/>
      <c r="AF23" s="249">
        <v>397.60599999999999</v>
      </c>
      <c r="AG23" s="132"/>
      <c r="AH23" s="144">
        <v>426.548</v>
      </c>
      <c r="AJ23" s="144">
        <v>406.38299999999998</v>
      </c>
      <c r="AK23" s="144"/>
      <c r="AL23" s="144">
        <v>343.46499999999997</v>
      </c>
      <c r="AM23" s="144"/>
      <c r="AN23" s="144">
        <v>425.41199999999998</v>
      </c>
      <c r="AO23" s="144"/>
      <c r="AP23" s="144">
        <v>519.59199999999998</v>
      </c>
      <c r="AQ23" s="144"/>
      <c r="AR23" s="144">
        <v>588.49400000000003</v>
      </c>
      <c r="AS23" s="132"/>
      <c r="AT23" s="144">
        <v>538.35199999999998</v>
      </c>
      <c r="AU23" s="144"/>
      <c r="AV23" s="144">
        <v>765.23800000000006</v>
      </c>
      <c r="AX23" s="144">
        <v>751.154</v>
      </c>
      <c r="AZ23" s="144">
        <v>882.5</v>
      </c>
      <c r="BA23" s="144">
        <v>790</v>
      </c>
      <c r="BB23" s="144">
        <v>878.4</v>
      </c>
      <c r="BC23" s="144">
        <v>882.9</v>
      </c>
    </row>
    <row r="24" spans="1:55">
      <c r="A24" s="132"/>
      <c r="B24" s="132"/>
      <c r="C24" s="13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132"/>
      <c r="AB24" s="132"/>
      <c r="AC24" s="132"/>
      <c r="AD24" s="132"/>
      <c r="AE24" s="132"/>
      <c r="AF24" s="132"/>
      <c r="AG24" s="132"/>
      <c r="AH24" s="132"/>
      <c r="AJ24" s="132"/>
      <c r="AK24" s="132"/>
      <c r="AL24" s="132"/>
      <c r="AM24" s="132"/>
      <c r="AN24" s="132"/>
      <c r="AO24" s="132"/>
      <c r="AP24" s="132"/>
      <c r="AQ24" s="132"/>
      <c r="AR24" s="132"/>
      <c r="AS24" s="132"/>
      <c r="AT24" s="132"/>
      <c r="AU24" s="132"/>
      <c r="AV24" s="132"/>
    </row>
    <row r="25" spans="1:55">
      <c r="A25" s="132"/>
      <c r="B25" s="132"/>
      <c r="C25" s="132"/>
      <c r="D25" s="185"/>
      <c r="E25" s="132"/>
      <c r="F25" s="185"/>
      <c r="G25" s="132"/>
      <c r="H25" s="185"/>
      <c r="I25" s="132"/>
      <c r="J25" s="185"/>
      <c r="K25" s="132"/>
      <c r="L25" s="185"/>
      <c r="M25" s="132"/>
      <c r="N25" s="185"/>
      <c r="O25" s="132"/>
      <c r="P25" s="185"/>
      <c r="Q25" s="132"/>
      <c r="R25" s="185"/>
      <c r="S25" s="132"/>
      <c r="T25" s="185"/>
      <c r="U25" s="132"/>
      <c r="V25" s="185"/>
      <c r="W25" s="185"/>
      <c r="X25" s="132"/>
      <c r="Y25" s="185"/>
      <c r="Z25" s="132"/>
      <c r="AA25" s="185"/>
      <c r="AB25" s="132"/>
      <c r="AC25" s="185"/>
      <c r="AD25" s="132"/>
      <c r="AE25" s="185"/>
      <c r="AF25" s="132"/>
      <c r="AG25" s="185"/>
      <c r="AH25" s="132"/>
      <c r="AJ25" s="1589"/>
      <c r="AK25" s="1589"/>
      <c r="AL25" s="1589"/>
      <c r="AM25" s="1589"/>
      <c r="AN25" s="1589"/>
      <c r="AO25" s="1589"/>
      <c r="AP25" s="1589"/>
      <c r="AQ25" s="1589"/>
      <c r="AR25" s="1589"/>
      <c r="AS25" s="311" t="s">
        <v>94</v>
      </c>
      <c r="AT25" s="1589"/>
      <c r="AU25" s="1589"/>
      <c r="AV25" s="1589"/>
    </row>
    <row r="26" spans="1:55">
      <c r="A26" s="132" t="str">
        <f t="shared" ref="A26:B29" si="2">A20</f>
        <v>1Q</v>
      </c>
      <c r="B26" s="132" t="str">
        <f t="shared" si="2"/>
        <v>Apr</v>
      </c>
      <c r="C26" s="132"/>
      <c r="D26" s="150"/>
      <c r="E26" s="132"/>
      <c r="F26" s="150">
        <f>F20+F14</f>
        <v>0</v>
      </c>
      <c r="G26" s="132"/>
      <c r="H26" s="150">
        <f>H20+H14</f>
        <v>0</v>
      </c>
      <c r="I26" s="132"/>
      <c r="J26" s="150">
        <f>J20+J14</f>
        <v>0</v>
      </c>
      <c r="K26" s="132"/>
      <c r="L26" s="150">
        <f>L20+L14</f>
        <v>176.09899999999999</v>
      </c>
      <c r="M26" s="132"/>
      <c r="N26" s="150">
        <f>N20+N14</f>
        <v>159.62200000000001</v>
      </c>
      <c r="O26" s="132"/>
      <c r="P26" s="150">
        <f>P20+P14</f>
        <v>211.09</v>
      </c>
      <c r="Q26" s="132"/>
      <c r="R26" s="150">
        <f>R20+R14</f>
        <v>153.92099999999999</v>
      </c>
      <c r="S26" s="132"/>
      <c r="T26" s="150">
        <f>T20+T14</f>
        <v>181.55099999999999</v>
      </c>
      <c r="U26" s="132"/>
      <c r="V26" s="150">
        <f>V20+V14</f>
        <v>276.19400000000002</v>
      </c>
      <c r="W26" s="132"/>
      <c r="X26" s="150">
        <f>X20+X14</f>
        <v>279.14300000000003</v>
      </c>
      <c r="Y26" s="132"/>
      <c r="Z26" s="150">
        <f>Z20+Z14</f>
        <v>270.07400000000001</v>
      </c>
      <c r="AA26" s="132"/>
      <c r="AB26" s="150">
        <f>AB20+AB14</f>
        <v>275.47000000000003</v>
      </c>
      <c r="AC26" s="132"/>
      <c r="AD26" s="150">
        <f>AD20+AD14</f>
        <v>355.76499999999999</v>
      </c>
      <c r="AE26" s="132"/>
      <c r="AF26" s="150">
        <f>AF20+AF14</f>
        <v>528.69799999999998</v>
      </c>
      <c r="AG26" s="132"/>
      <c r="AH26" s="150">
        <f>AH20+AH14</f>
        <v>439.666</v>
      </c>
      <c r="AJ26" s="229">
        <f>AJ20+AJ14</f>
        <v>476.17599999999999</v>
      </c>
      <c r="AK26" s="150"/>
      <c r="AL26" s="229">
        <f>AL20+AL14</f>
        <v>522.97800000000007</v>
      </c>
      <c r="AM26" s="150"/>
      <c r="AN26" s="229">
        <f>AN20+AN14</f>
        <v>611.15899999999999</v>
      </c>
      <c r="AO26" s="150"/>
      <c r="AP26" s="229">
        <f>AP20+AP14</f>
        <v>821.846</v>
      </c>
      <c r="AQ26" s="150"/>
      <c r="AR26" s="229">
        <f>AR20+AR14</f>
        <v>759.755</v>
      </c>
      <c r="AS26" s="132"/>
      <c r="AT26" s="229">
        <f>AT20+AT14</f>
        <v>686.88699999999994</v>
      </c>
      <c r="AU26" s="229"/>
      <c r="AV26" s="150">
        <f>AV20+AV14</f>
        <v>834.36900000000003</v>
      </c>
      <c r="AX26" s="150">
        <f>AX20+AX14</f>
        <v>974.08900000000006</v>
      </c>
      <c r="AZ26" s="150">
        <f t="shared" ref="AZ26:BC29" si="3">AZ20+AZ14</f>
        <v>991.78200000000004</v>
      </c>
      <c r="BA26" s="150">
        <f t="shared" si="3"/>
        <v>1079.2</v>
      </c>
      <c r="BB26" s="150">
        <f t="shared" si="3"/>
        <v>1102.8000000000002</v>
      </c>
      <c r="BC26" s="150">
        <f t="shared" si="3"/>
        <v>1071.0999999999999</v>
      </c>
    </row>
    <row r="27" spans="1:55">
      <c r="A27" s="132" t="str">
        <f t="shared" si="2"/>
        <v>2Q</v>
      </c>
      <c r="B27" s="132" t="str">
        <f t="shared" si="2"/>
        <v>Jul</v>
      </c>
      <c r="C27" s="132"/>
      <c r="D27" s="250"/>
      <c r="E27" s="132"/>
      <c r="F27" s="250">
        <f>F21+F15</f>
        <v>85.356999999999999</v>
      </c>
      <c r="G27" s="132"/>
      <c r="H27" s="250">
        <f>H21+H15</f>
        <v>119.57599999999999</v>
      </c>
      <c r="I27" s="132"/>
      <c r="J27" s="250">
        <f>J21+J15</f>
        <v>0</v>
      </c>
      <c r="K27" s="132"/>
      <c r="L27" s="250">
        <f>L21+L15</f>
        <v>189.08699999999999</v>
      </c>
      <c r="M27" s="132"/>
      <c r="N27" s="250">
        <f>N21+N15</f>
        <v>157.495</v>
      </c>
      <c r="O27" s="132"/>
      <c r="P27" s="250">
        <f>P21+P15</f>
        <v>160.50800000000001</v>
      </c>
      <c r="Q27" s="132"/>
      <c r="R27" s="250">
        <f>R21+R15</f>
        <v>162.17400000000001</v>
      </c>
      <c r="S27" s="132"/>
      <c r="T27" s="250">
        <f>T21+T15</f>
        <v>179.92700000000002</v>
      </c>
      <c r="U27" s="132"/>
      <c r="V27" s="250">
        <f>V21+V15</f>
        <v>293.14</v>
      </c>
      <c r="W27" s="132"/>
      <c r="X27" s="250">
        <f>X21+X15</f>
        <v>275.91000000000003</v>
      </c>
      <c r="Y27" s="132"/>
      <c r="Z27" s="250">
        <f>Z21+Z15</f>
        <v>286.73099999999999</v>
      </c>
      <c r="AA27" s="132"/>
      <c r="AB27" s="250">
        <f>AB21+AB15</f>
        <v>379.02299999999997</v>
      </c>
      <c r="AC27" s="132"/>
      <c r="AD27" s="250">
        <f>AD21+AD15</f>
        <v>475.84299999999996</v>
      </c>
      <c r="AE27" s="132"/>
      <c r="AF27" s="250">
        <f>AF21+AF15</f>
        <v>586.33699999999999</v>
      </c>
      <c r="AG27" s="132"/>
      <c r="AH27" s="250">
        <f>AH21+AH15</f>
        <v>420.572</v>
      </c>
      <c r="AJ27" s="250">
        <f>AJ21+AJ15</f>
        <v>572.30600000000004</v>
      </c>
      <c r="AK27" s="132"/>
      <c r="AL27" s="250">
        <f>AL21+AL15</f>
        <v>537.09299999999996</v>
      </c>
      <c r="AM27" s="132"/>
      <c r="AN27" s="250">
        <f>AN21+AN15</f>
        <v>639.19100000000003</v>
      </c>
      <c r="AO27" s="132"/>
      <c r="AP27" s="250">
        <f>AP21+AP15</f>
        <v>751.74800000000005</v>
      </c>
      <c r="AQ27" s="132"/>
      <c r="AR27" s="250">
        <f>AR21+AR15</f>
        <v>512.07600000000002</v>
      </c>
      <c r="AS27" s="132"/>
      <c r="AT27" s="250">
        <f>AT21+AT15</f>
        <v>631.94500000000005</v>
      </c>
      <c r="AU27" s="250"/>
      <c r="AV27" s="250">
        <f>AV21+AV15</f>
        <v>939.54600000000005</v>
      </c>
      <c r="AX27" s="250">
        <f>AX21+AX15</f>
        <v>964.21900000000005</v>
      </c>
      <c r="AZ27" s="250">
        <f t="shared" si="3"/>
        <v>1025.5030000000002</v>
      </c>
      <c r="BA27" s="250">
        <f t="shared" si="3"/>
        <v>1066.9000000000001</v>
      </c>
      <c r="BB27" s="250">
        <f t="shared" si="3"/>
        <v>997.6</v>
      </c>
      <c r="BC27" s="250">
        <f t="shared" si="3"/>
        <v>1116.0999999999999</v>
      </c>
    </row>
    <row r="28" spans="1:55">
      <c r="A28" s="132" t="str">
        <f t="shared" si="2"/>
        <v>3Q</v>
      </c>
      <c r="B28" s="132" t="str">
        <f t="shared" si="2"/>
        <v>Oct</v>
      </c>
      <c r="C28" s="132"/>
      <c r="D28" s="250"/>
      <c r="E28" s="132"/>
      <c r="F28" s="250">
        <f>F22+F16</f>
        <v>0</v>
      </c>
      <c r="G28" s="132"/>
      <c r="H28" s="250">
        <f>H22+H16</f>
        <v>0</v>
      </c>
      <c r="I28" s="132"/>
      <c r="J28" s="250">
        <f>J22+J16</f>
        <v>0</v>
      </c>
      <c r="K28" s="132"/>
      <c r="L28" s="250">
        <f>L22+L16</f>
        <v>183.684</v>
      </c>
      <c r="M28" s="132"/>
      <c r="N28" s="250">
        <f>N22+N16</f>
        <v>181.976</v>
      </c>
      <c r="O28" s="132"/>
      <c r="P28" s="250">
        <f>P22+P16</f>
        <v>169.55799999999999</v>
      </c>
      <c r="Q28" s="132"/>
      <c r="R28" s="250">
        <f>R22+R16</f>
        <v>158.27600000000001</v>
      </c>
      <c r="S28" s="132"/>
      <c r="T28" s="250">
        <f>T22+T16</f>
        <v>248.28399999999999</v>
      </c>
      <c r="U28" s="132"/>
      <c r="V28" s="250">
        <f>V22+V16</f>
        <v>295.577</v>
      </c>
      <c r="W28" s="132"/>
      <c r="X28" s="250">
        <f>X22+X16</f>
        <v>284.709</v>
      </c>
      <c r="Y28" s="132"/>
      <c r="Z28" s="250">
        <f>Z22+Z16</f>
        <v>350.87900000000002</v>
      </c>
      <c r="AA28" s="132"/>
      <c r="AB28" s="250">
        <f t="shared" ref="AB28:AD29" si="4">AB22+AB16</f>
        <v>405.71500000000003</v>
      </c>
      <c r="AC28" s="132"/>
      <c r="AD28" s="250">
        <f t="shared" si="4"/>
        <v>565.452</v>
      </c>
      <c r="AE28" s="132"/>
      <c r="AF28" s="250">
        <f>AF22+AF16</f>
        <v>660.58300000000008</v>
      </c>
      <c r="AG28" s="132"/>
      <c r="AH28" s="250">
        <f>AH22+AH16</f>
        <v>403.971</v>
      </c>
      <c r="AJ28" s="250">
        <f>AJ22+AJ16</f>
        <v>660.56899999999996</v>
      </c>
      <c r="AK28" s="132"/>
      <c r="AL28" s="250">
        <f>AL22+AL16</f>
        <v>463.19000000000005</v>
      </c>
      <c r="AM28" s="132"/>
      <c r="AN28" s="250">
        <f>AN22+AN16</f>
        <v>821.27199999999993</v>
      </c>
      <c r="AO28" s="132"/>
      <c r="AP28" s="250">
        <f>AP22+AP16</f>
        <v>753.00299999999993</v>
      </c>
      <c r="AQ28" s="132"/>
      <c r="AR28" s="250">
        <f>AR22+AR16</f>
        <v>754.98900000000003</v>
      </c>
      <c r="AS28" s="132"/>
      <c r="AT28" s="250">
        <f>AT22+AT16</f>
        <v>708.78</v>
      </c>
      <c r="AU28" s="250"/>
      <c r="AV28" s="250">
        <f>AV22+AV16</f>
        <v>977.91599999999994</v>
      </c>
      <c r="AX28" s="250">
        <f>AX22+AX16</f>
        <v>1007.74</v>
      </c>
      <c r="AZ28" s="250">
        <f t="shared" si="3"/>
        <v>1086.383</v>
      </c>
      <c r="BA28" s="250">
        <f t="shared" si="3"/>
        <v>988.09999999999991</v>
      </c>
      <c r="BB28" s="250">
        <f t="shared" si="3"/>
        <v>1105.2</v>
      </c>
      <c r="BC28" s="250">
        <f t="shared" si="3"/>
        <v>1072.4000000000001</v>
      </c>
    </row>
    <row r="29" spans="1:55">
      <c r="A29" s="132" t="str">
        <f t="shared" si="2"/>
        <v>4Q</v>
      </c>
      <c r="B29" s="132" t="str">
        <f t="shared" si="2"/>
        <v>Jan</v>
      </c>
      <c r="C29" s="132"/>
      <c r="D29" s="250"/>
      <c r="E29" s="132"/>
      <c r="F29" s="250">
        <f>F23+F17</f>
        <v>93.566000000000003</v>
      </c>
      <c r="G29" s="132"/>
      <c r="H29" s="250">
        <f>H23+H17</f>
        <v>0</v>
      </c>
      <c r="I29" s="132"/>
      <c r="J29" s="250">
        <f>J23+J17</f>
        <v>160.78899999999999</v>
      </c>
      <c r="K29" s="132"/>
      <c r="L29" s="250">
        <f>L23+L17</f>
        <v>162.196</v>
      </c>
      <c r="M29" s="132"/>
      <c r="N29" s="250">
        <f>N23+N17</f>
        <v>180.46699999999998</v>
      </c>
      <c r="O29" s="132"/>
      <c r="P29" s="250">
        <f>P23+P17</f>
        <v>169.01299999999998</v>
      </c>
      <c r="Q29" s="132"/>
      <c r="R29" s="250">
        <f>R23+R17</f>
        <v>180.98400000000001</v>
      </c>
      <c r="S29" s="132"/>
      <c r="T29" s="250">
        <f>T23+T17</f>
        <v>291.78999999999996</v>
      </c>
      <c r="U29" s="132"/>
      <c r="V29" s="250">
        <f>V23+V17</f>
        <v>270.22699999999998</v>
      </c>
      <c r="W29" s="132"/>
      <c r="X29" s="250">
        <f>X23+X17</f>
        <v>270.935</v>
      </c>
      <c r="Y29" s="132"/>
      <c r="Z29" s="250">
        <f>Z23+Z17</f>
        <v>270.96699999999998</v>
      </c>
      <c r="AA29" s="132"/>
      <c r="AB29" s="250">
        <f t="shared" si="4"/>
        <v>349.65900000000005</v>
      </c>
      <c r="AC29" s="132"/>
      <c r="AD29" s="250">
        <f t="shared" si="4"/>
        <v>486.85899999999998</v>
      </c>
      <c r="AE29" s="132"/>
      <c r="AF29" s="250">
        <f>AF23+AF17</f>
        <v>440.56299999999999</v>
      </c>
      <c r="AG29" s="132"/>
      <c r="AH29" s="250">
        <f>AH23+AH17</f>
        <v>465.49</v>
      </c>
      <c r="AJ29" s="250">
        <f>AJ23+AJ17</f>
        <v>518.46199999999999</v>
      </c>
      <c r="AK29" s="250"/>
      <c r="AL29" s="250">
        <f>AL23+AL17</f>
        <v>453.13699999999994</v>
      </c>
      <c r="AM29" s="250"/>
      <c r="AN29" s="250">
        <f>AN23+AN17</f>
        <v>708.80399999999997</v>
      </c>
      <c r="AO29" s="250"/>
      <c r="AP29" s="250">
        <f>AP23+AP17</f>
        <v>754.04899999999998</v>
      </c>
      <c r="AQ29" s="250"/>
      <c r="AR29" s="250">
        <f>AR23+AR17</f>
        <v>688.24</v>
      </c>
      <c r="AS29" s="132"/>
      <c r="AT29" s="250">
        <f>AT23+AT17</f>
        <v>712.14699999999993</v>
      </c>
      <c r="AU29" s="250"/>
      <c r="AV29" s="250">
        <f>AV23+AV17</f>
        <v>959.27200000000005</v>
      </c>
      <c r="AX29" s="250">
        <f>AX23+AX17</f>
        <v>1003.519</v>
      </c>
      <c r="AZ29" s="250">
        <f>AZ23+AZ17</f>
        <v>1116.5</v>
      </c>
      <c r="BA29" s="250">
        <f t="shared" si="3"/>
        <v>1095.8</v>
      </c>
      <c r="BB29" s="250">
        <f t="shared" si="3"/>
        <v>1107.0999999999999</v>
      </c>
      <c r="BC29" s="250">
        <f t="shared" si="3"/>
        <v>1003.5</v>
      </c>
    </row>
    <row r="30" spans="1:55">
      <c r="A30" s="132"/>
      <c r="B30" s="132"/>
      <c r="C30" s="132"/>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132"/>
      <c r="AB30" s="132"/>
      <c r="AC30" s="132"/>
      <c r="AD30" s="132"/>
      <c r="AE30" s="132"/>
      <c r="AF30" s="132"/>
      <c r="AG30" s="132"/>
      <c r="AH30" s="132"/>
      <c r="AJ30" s="132"/>
      <c r="AK30" s="132"/>
      <c r="AL30" s="132"/>
      <c r="AM30" s="132"/>
      <c r="AN30" s="132"/>
      <c r="AO30" s="132"/>
      <c r="AP30" s="132"/>
      <c r="AQ30" s="132"/>
      <c r="AR30" s="132"/>
      <c r="AS30" s="132"/>
      <c r="AT30" s="132"/>
      <c r="AU30" s="132"/>
      <c r="AV30" s="132"/>
    </row>
    <row r="31" spans="1:55">
      <c r="A31" s="132"/>
      <c r="B31" s="132"/>
      <c r="C31" s="132"/>
      <c r="D31" s="185"/>
      <c r="E31" s="132"/>
      <c r="F31" s="185"/>
      <c r="G31" s="132"/>
      <c r="H31" s="185"/>
      <c r="I31" s="132"/>
      <c r="J31" s="185"/>
      <c r="K31" s="132"/>
      <c r="L31" s="185"/>
      <c r="M31" s="132"/>
      <c r="N31" s="185"/>
      <c r="O31" s="132"/>
      <c r="P31" s="185"/>
      <c r="Q31" s="132"/>
      <c r="R31" s="185"/>
      <c r="S31" s="132"/>
      <c r="T31" s="185"/>
      <c r="U31" s="132"/>
      <c r="V31" s="185"/>
      <c r="W31" s="185"/>
      <c r="X31" s="132"/>
      <c r="Y31" s="185"/>
      <c r="Z31" s="132"/>
      <c r="AA31" s="185"/>
      <c r="AB31" s="132"/>
      <c r="AC31" s="185"/>
      <c r="AD31" s="132"/>
      <c r="AE31" s="185"/>
      <c r="AF31" s="132"/>
      <c r="AG31" s="185"/>
      <c r="AH31" s="132"/>
      <c r="AJ31" s="1589"/>
      <c r="AK31" s="1589"/>
      <c r="AL31" s="1589"/>
      <c r="AM31" s="1589"/>
      <c r="AN31" s="1589"/>
      <c r="AO31" s="1589"/>
      <c r="AP31" s="1589"/>
      <c r="AQ31" s="1589"/>
      <c r="AR31" s="1589"/>
      <c r="AS31" s="1591" t="s">
        <v>95</v>
      </c>
      <c r="AT31" s="1589"/>
      <c r="AU31" s="1589"/>
      <c r="AV31" s="1589"/>
    </row>
    <row r="32" spans="1:55">
      <c r="A32" s="132" t="str">
        <f t="shared" ref="A32:B35" si="5">A26</f>
        <v>1Q</v>
      </c>
      <c r="B32" s="132" t="str">
        <f t="shared" si="5"/>
        <v>Apr</v>
      </c>
      <c r="C32" s="132"/>
      <c r="D32" s="229"/>
      <c r="E32" s="132"/>
      <c r="F32" s="229">
        <f>F26-F8</f>
        <v>0</v>
      </c>
      <c r="G32" s="132"/>
      <c r="H32" s="229">
        <f>H26-H8</f>
        <v>0</v>
      </c>
      <c r="I32" s="132"/>
      <c r="J32" s="229">
        <f>J26-J8</f>
        <v>0</v>
      </c>
      <c r="K32" s="132"/>
      <c r="L32" s="229">
        <f>L26-L8</f>
        <v>167.839</v>
      </c>
      <c r="M32" s="132"/>
      <c r="N32" s="229">
        <f>N26-N8</f>
        <v>142.99100000000001</v>
      </c>
      <c r="O32" s="132"/>
      <c r="P32" s="229">
        <f>P26-P8</f>
        <v>170.922</v>
      </c>
      <c r="Q32" s="132"/>
      <c r="R32" s="229">
        <f>R26-R8</f>
        <v>51.847999999999999</v>
      </c>
      <c r="S32" s="132"/>
      <c r="T32" s="229">
        <f>T26-T8</f>
        <v>106.94199999999999</v>
      </c>
      <c r="U32" s="132"/>
      <c r="V32" s="229">
        <f>V26-V8</f>
        <v>135.94400000000002</v>
      </c>
      <c r="W32" s="132"/>
      <c r="X32" s="229">
        <f>X26-X8</f>
        <v>79.976000000000028</v>
      </c>
      <c r="Y32" s="132"/>
      <c r="Z32" s="229">
        <f>Z26-Z8</f>
        <v>145.37900000000002</v>
      </c>
      <c r="AA32" s="132"/>
      <c r="AB32" s="229">
        <f>AB26-AB8</f>
        <v>130.20500000000004</v>
      </c>
      <c r="AC32" s="132"/>
      <c r="AD32" s="229">
        <f>AD26-AD8</f>
        <v>232.31599999999997</v>
      </c>
      <c r="AE32" s="132"/>
      <c r="AF32" s="229">
        <f>AF26-AF8</f>
        <v>337.90499999999997</v>
      </c>
      <c r="AG32" s="132"/>
      <c r="AH32" s="229">
        <f>AH26-AH8</f>
        <v>225.958</v>
      </c>
      <c r="AJ32" s="229">
        <f>AJ26-AJ8</f>
        <v>295.63499999999999</v>
      </c>
      <c r="AK32" s="229"/>
      <c r="AL32" s="229">
        <f>AL26-AL8</f>
        <v>397.19600000000008</v>
      </c>
      <c r="AM32" s="229"/>
      <c r="AN32" s="229">
        <f>AN26-AN8</f>
        <v>451.53399999999999</v>
      </c>
      <c r="AO32" s="229"/>
      <c r="AP32" s="229">
        <f>AP26-AP8</f>
        <v>518.11699999999996</v>
      </c>
      <c r="AQ32" s="229"/>
      <c r="AR32" s="229">
        <f>AR26-AR8</f>
        <v>86.004999999999995</v>
      </c>
      <c r="AS32" s="132"/>
      <c r="AT32" s="229">
        <f>AT26-AT8</f>
        <v>64.566999999999894</v>
      </c>
      <c r="AU32" s="229"/>
      <c r="AV32" s="229">
        <f>AV26-AV8</f>
        <v>491.34000000000003</v>
      </c>
      <c r="AX32" s="229">
        <f>AX26-AX8</f>
        <v>509.17300000000006</v>
      </c>
      <c r="AZ32" s="229">
        <f t="shared" ref="AZ32:BC35" si="6">AZ26-AZ8</f>
        <v>610.56700000000001</v>
      </c>
      <c r="BA32" s="229">
        <f t="shared" si="6"/>
        <v>363.80000000000007</v>
      </c>
      <c r="BB32" s="229">
        <f t="shared" si="6"/>
        <v>312.9000000000002</v>
      </c>
      <c r="BC32" s="229">
        <f t="shared" si="6"/>
        <v>111.09999999999991</v>
      </c>
    </row>
    <row r="33" spans="1:55">
      <c r="A33" s="132" t="str">
        <f t="shared" si="5"/>
        <v>2Q</v>
      </c>
      <c r="B33" s="132" t="str">
        <f t="shared" si="5"/>
        <v>Jul</v>
      </c>
      <c r="C33" s="132"/>
      <c r="D33" s="250"/>
      <c r="E33" s="132"/>
      <c r="F33" s="250">
        <f>F27-F9</f>
        <v>78.180999999999997</v>
      </c>
      <c r="G33" s="132"/>
      <c r="H33" s="250">
        <f>H27-H9</f>
        <v>115.88499999999999</v>
      </c>
      <c r="I33" s="132"/>
      <c r="J33" s="250">
        <f>J27-J9</f>
        <v>0</v>
      </c>
      <c r="K33" s="132"/>
      <c r="L33" s="250">
        <f>L27-L9</f>
        <v>181.46799999999999</v>
      </c>
      <c r="M33" s="132"/>
      <c r="N33" s="250">
        <f>N27-N9</f>
        <v>126.84</v>
      </c>
      <c r="O33" s="132"/>
      <c r="P33" s="250">
        <f>P27-P9</f>
        <v>140.38300000000001</v>
      </c>
      <c r="Q33" s="132"/>
      <c r="R33" s="250">
        <f>R27-R9</f>
        <v>85.63600000000001</v>
      </c>
      <c r="S33" s="132"/>
      <c r="T33" s="250">
        <f>T27-T9</f>
        <v>126.60100000000003</v>
      </c>
      <c r="U33" s="132"/>
      <c r="V33" s="250">
        <f>V27-V9</f>
        <v>142.09599999999998</v>
      </c>
      <c r="W33" s="132"/>
      <c r="X33" s="250">
        <f>X27-X9</f>
        <v>101.24800000000002</v>
      </c>
      <c r="Y33" s="132"/>
      <c r="Z33" s="250">
        <f>Z27-Z9</f>
        <v>174.00099999999998</v>
      </c>
      <c r="AA33" s="132"/>
      <c r="AB33" s="250">
        <f>AB27-AB9</f>
        <v>187.69699999999997</v>
      </c>
      <c r="AC33" s="132"/>
      <c r="AD33" s="250">
        <f>AD27-AD9</f>
        <v>359.72399999999993</v>
      </c>
      <c r="AE33" s="132"/>
      <c r="AF33" s="250">
        <f>AF27-AF9</f>
        <v>432.714</v>
      </c>
      <c r="AG33" s="132"/>
      <c r="AH33" s="250">
        <f>AH27-AH9</f>
        <v>291.911</v>
      </c>
      <c r="AJ33" s="250">
        <f>AJ27-AJ9</f>
        <v>427.43800000000005</v>
      </c>
      <c r="AK33" s="132"/>
      <c r="AL33" s="250">
        <f>AL27-AL9</f>
        <v>408.06599999999997</v>
      </c>
      <c r="AM33" s="132"/>
      <c r="AN33" s="250">
        <f>AN27-AN9</f>
        <v>487.03500000000003</v>
      </c>
      <c r="AO33" s="132"/>
      <c r="AP33" s="250">
        <f>AP27-AP9</f>
        <v>418.14500000000004</v>
      </c>
      <c r="AQ33" s="132"/>
      <c r="AR33" s="250">
        <f>AR27-AR9</f>
        <v>-102.59799999999996</v>
      </c>
      <c r="AS33" s="132"/>
      <c r="AT33" s="250">
        <f>AT27-AT9</f>
        <v>66.754000000000019</v>
      </c>
      <c r="AU33" s="250"/>
      <c r="AV33" s="250">
        <f>AV27-AV9</f>
        <v>572.10900000000004</v>
      </c>
      <c r="AX33" s="250">
        <f>AX27-AX9</f>
        <v>474.55500000000006</v>
      </c>
      <c r="AZ33" s="250">
        <f t="shared" si="6"/>
        <v>627.06900000000019</v>
      </c>
      <c r="BA33" s="250">
        <f t="shared" si="6"/>
        <v>295.50000000000011</v>
      </c>
      <c r="BB33" s="250">
        <f t="shared" si="6"/>
        <v>277.5</v>
      </c>
      <c r="BC33" s="250">
        <f t="shared" si="6"/>
        <v>72.599999999999909</v>
      </c>
    </row>
    <row r="34" spans="1:55">
      <c r="A34" s="132" t="str">
        <f t="shared" si="5"/>
        <v>3Q</v>
      </c>
      <c r="B34" s="132" t="str">
        <f t="shared" si="5"/>
        <v>Oct</v>
      </c>
      <c r="C34" s="132"/>
      <c r="D34" s="250"/>
      <c r="E34" s="132"/>
      <c r="F34" s="250">
        <f>F28-F10</f>
        <v>0</v>
      </c>
      <c r="G34" s="132"/>
      <c r="H34" s="250">
        <f>H28-H10</f>
        <v>0</v>
      </c>
      <c r="I34" s="132"/>
      <c r="J34" s="250">
        <f>J28-J10</f>
        <v>0</v>
      </c>
      <c r="K34" s="132"/>
      <c r="L34" s="250">
        <f>L28-L10</f>
        <v>179.11099999999999</v>
      </c>
      <c r="M34" s="132"/>
      <c r="N34" s="250">
        <f>N28-N10</f>
        <v>143.798</v>
      </c>
      <c r="O34" s="132"/>
      <c r="P34" s="250">
        <f>P28-P10</f>
        <v>149.76399999999998</v>
      </c>
      <c r="Q34" s="132"/>
      <c r="R34" s="250">
        <f>R28-R10</f>
        <v>118.79300000000001</v>
      </c>
      <c r="S34" s="132"/>
      <c r="T34" s="250">
        <f>T28-T10</f>
        <v>204.36199999999999</v>
      </c>
      <c r="U34" s="132"/>
      <c r="V34" s="250">
        <f>V28-V10</f>
        <v>139.63999999999999</v>
      </c>
      <c r="W34" s="132"/>
      <c r="X34" s="250">
        <f>X28-X10</f>
        <v>163.566</v>
      </c>
      <c r="Y34" s="132"/>
      <c r="Z34" s="250">
        <f>Z28-Z10</f>
        <v>244.47500000000002</v>
      </c>
      <c r="AA34" s="132"/>
      <c r="AB34" s="250">
        <f>AB28-AB10</f>
        <v>315.06900000000002</v>
      </c>
      <c r="AC34" s="132"/>
      <c r="AD34" s="250">
        <f>AD28-AD10</f>
        <v>412.72800000000001</v>
      </c>
      <c r="AE34" s="132"/>
      <c r="AF34" s="250">
        <f>AF28-AF10</f>
        <v>530.80700000000002</v>
      </c>
      <c r="AG34" s="132"/>
      <c r="AH34" s="250">
        <f>AH28-AH10</f>
        <v>292.38499999999999</v>
      </c>
      <c r="AJ34" s="250">
        <f>AJ28-AJ10</f>
        <v>603.63599999999997</v>
      </c>
      <c r="AK34" s="132"/>
      <c r="AL34" s="250">
        <f>AL28-AL10</f>
        <v>72.07000000000005</v>
      </c>
      <c r="AM34" s="132"/>
      <c r="AN34" s="250">
        <f>AN28-AN10</f>
        <v>660.89599999999996</v>
      </c>
      <c r="AO34" s="132"/>
      <c r="AP34" s="250">
        <f>AP28-AP10</f>
        <v>378.13199999999995</v>
      </c>
      <c r="AQ34" s="132"/>
      <c r="AR34" s="250">
        <f>AR28-AR10</f>
        <v>225.49300000000005</v>
      </c>
      <c r="AS34" s="132"/>
      <c r="AT34" s="250">
        <f>AT28-AT10</f>
        <v>411.416</v>
      </c>
      <c r="AU34" s="250"/>
      <c r="AV34" s="250">
        <f>AV28-AV10</f>
        <v>632.04199999999992</v>
      </c>
      <c r="AX34" s="250">
        <f>AX28-AX10</f>
        <v>486.53999999999996</v>
      </c>
      <c r="AZ34" s="250">
        <f t="shared" si="6"/>
        <v>702.97</v>
      </c>
      <c r="BA34" s="250">
        <f t="shared" si="6"/>
        <v>262.99999999999989</v>
      </c>
      <c r="BB34" s="250">
        <f t="shared" si="6"/>
        <v>318.5</v>
      </c>
      <c r="BC34" s="250">
        <f t="shared" si="6"/>
        <v>63.000000000000114</v>
      </c>
    </row>
    <row r="35" spans="1:55">
      <c r="A35" s="132" t="str">
        <f t="shared" si="5"/>
        <v>4Q</v>
      </c>
      <c r="B35" s="132" t="str">
        <f t="shared" si="5"/>
        <v>Jan</v>
      </c>
      <c r="C35" s="132"/>
      <c r="D35" s="250"/>
      <c r="E35" s="132"/>
      <c r="F35" s="250">
        <f>F29-F11</f>
        <v>89.594000000000008</v>
      </c>
      <c r="G35" s="132"/>
      <c r="H35" s="250">
        <f>H29-H11</f>
        <v>0</v>
      </c>
      <c r="I35" s="132"/>
      <c r="J35" s="250">
        <f>J29-J11</f>
        <v>155.79499999999999</v>
      </c>
      <c r="K35" s="132"/>
      <c r="L35" s="250">
        <f>L29-L11</f>
        <v>117.878</v>
      </c>
      <c r="M35" s="132"/>
      <c r="N35" s="250">
        <f>N29-N11</f>
        <v>98.500999999999991</v>
      </c>
      <c r="O35" s="132"/>
      <c r="P35" s="250">
        <f>P29-P11</f>
        <v>51.851999999999975</v>
      </c>
      <c r="Q35" s="132"/>
      <c r="R35" s="250">
        <f>R29-R11</f>
        <v>73.732000000000014</v>
      </c>
      <c r="S35" s="132"/>
      <c r="T35" s="250">
        <f>T29-T11</f>
        <v>103.19699999999997</v>
      </c>
      <c r="U35" s="132"/>
      <c r="V35" s="250">
        <f>V29-V11</f>
        <v>53.290999999999968</v>
      </c>
      <c r="W35" s="132"/>
      <c r="X35" s="250">
        <f>X29-X11</f>
        <v>75.322000000000003</v>
      </c>
      <c r="Y35" s="132"/>
      <c r="Z35" s="250">
        <f>Z29-Z11</f>
        <v>97.291999999999973</v>
      </c>
      <c r="AA35" s="132"/>
      <c r="AB35" s="250">
        <f>AB29-AB11</f>
        <v>193.46200000000005</v>
      </c>
      <c r="AC35" s="132"/>
      <c r="AD35" s="250">
        <f>AD29-AD11</f>
        <v>210.74399999999997</v>
      </c>
      <c r="AE35" s="132"/>
      <c r="AF35" s="250">
        <f>AF29-AF11</f>
        <v>252.88199999999998</v>
      </c>
      <c r="AG35" s="132"/>
      <c r="AH35" s="250">
        <f>AH29-AH11</f>
        <v>71.881000000000029</v>
      </c>
      <c r="AJ35" s="250">
        <f>AJ29-AJ11</f>
        <v>327.95399999999995</v>
      </c>
      <c r="AK35" s="132"/>
      <c r="AL35" s="250">
        <f>AL29-AL11</f>
        <v>206.48299999999995</v>
      </c>
      <c r="AM35" s="132"/>
      <c r="AN35" s="250">
        <f>AN29-AN11</f>
        <v>548.35899999999992</v>
      </c>
      <c r="AO35" s="132"/>
      <c r="AP35" s="250">
        <f>AP29-AP11</f>
        <v>-31.65300000000002</v>
      </c>
      <c r="AQ35" s="132"/>
      <c r="AR35" s="250">
        <f>AR29-AR11</f>
        <v>-52.630999999999972</v>
      </c>
      <c r="AS35" s="132"/>
      <c r="AT35" s="250">
        <f>AT29-AT11</f>
        <v>269.95699999999994</v>
      </c>
      <c r="AU35" s="250"/>
      <c r="AV35" s="250">
        <f>AV29-AV11</f>
        <v>785.27400000000011</v>
      </c>
      <c r="AX35" s="250">
        <f>AX29-AX11</f>
        <v>636.48399999999992</v>
      </c>
      <c r="AZ35" s="250">
        <f>AZ29-AZ11</f>
        <v>385</v>
      </c>
      <c r="BA35" s="250">
        <f t="shared" si="6"/>
        <v>209.19999999999993</v>
      </c>
      <c r="BB35" s="250">
        <f>BB29-BB11</f>
        <v>121.29999999999995</v>
      </c>
      <c r="BC35" s="250">
        <f t="shared" si="6"/>
        <v>-287.70000000000005</v>
      </c>
    </row>
    <row r="36" spans="1:55">
      <c r="A36" s="132"/>
      <c r="B36" s="132"/>
      <c r="C36" s="132"/>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2"/>
      <c r="AB36" s="132"/>
      <c r="AC36" s="132"/>
      <c r="AD36" s="132"/>
      <c r="AE36" s="132"/>
      <c r="AF36" s="132"/>
      <c r="AG36" s="132"/>
      <c r="AH36" s="132"/>
      <c r="AJ36" s="132"/>
      <c r="AK36" s="132"/>
      <c r="AL36" s="132"/>
      <c r="AM36" s="132"/>
      <c r="AN36" s="132"/>
      <c r="AO36" s="132"/>
      <c r="AP36" s="132"/>
      <c r="AQ36" s="132"/>
      <c r="AR36" s="132"/>
      <c r="AS36" s="132"/>
      <c r="AT36" s="132"/>
      <c r="AU36" s="132"/>
      <c r="AV36" s="132"/>
    </row>
    <row r="37" spans="1:55">
      <c r="A37" s="132"/>
      <c r="B37" s="132"/>
      <c r="C37" s="132"/>
      <c r="D37" s="248"/>
      <c r="E37" s="132"/>
      <c r="F37" s="248"/>
      <c r="G37" s="132"/>
      <c r="H37" s="248"/>
      <c r="I37" s="132"/>
      <c r="J37" s="248"/>
      <c r="K37" s="132"/>
      <c r="L37" s="248"/>
      <c r="M37" s="132"/>
      <c r="N37" s="248"/>
      <c r="O37" s="132"/>
      <c r="P37" s="248"/>
      <c r="Q37" s="132"/>
      <c r="R37" s="248"/>
      <c r="S37" s="132"/>
      <c r="T37" s="248"/>
      <c r="U37" s="132"/>
      <c r="V37" s="248"/>
      <c r="W37" s="248"/>
      <c r="X37" s="132"/>
      <c r="Y37" s="248"/>
      <c r="Z37" s="132"/>
      <c r="AA37" s="248"/>
      <c r="AB37" s="132"/>
      <c r="AC37" s="248"/>
      <c r="AD37" s="132"/>
      <c r="AE37" s="248"/>
      <c r="AF37" s="132"/>
      <c r="AG37" s="248"/>
      <c r="AH37" s="132"/>
      <c r="AJ37" s="1589"/>
      <c r="AK37" s="1589"/>
      <c r="AL37" s="1589"/>
      <c r="AM37" s="1589"/>
      <c r="AN37" s="1589"/>
      <c r="AO37" s="1589"/>
      <c r="AP37" s="1589"/>
      <c r="AQ37" s="1589"/>
      <c r="AR37" s="1589"/>
      <c r="AS37" s="1588" t="s">
        <v>96</v>
      </c>
      <c r="AT37" s="1589"/>
      <c r="AU37" s="1589"/>
      <c r="AV37" s="1589"/>
    </row>
    <row r="38" spans="1:55">
      <c r="A38" s="132" t="str">
        <f t="shared" ref="A38:B41" si="7">A32</f>
        <v>1Q</v>
      </c>
      <c r="B38" s="132" t="str">
        <f t="shared" si="7"/>
        <v>Apr</v>
      </c>
      <c r="C38" s="132"/>
      <c r="D38" s="252"/>
      <c r="E38" s="132"/>
      <c r="F38" s="252"/>
      <c r="G38" s="132"/>
      <c r="H38" s="252"/>
      <c r="I38" s="132"/>
      <c r="J38" s="252"/>
      <c r="K38" s="132"/>
      <c r="L38" s="252">
        <v>192.63300000000001</v>
      </c>
      <c r="M38" s="132"/>
      <c r="N38" s="252">
        <v>231.58500000000001</v>
      </c>
      <c r="O38" s="132"/>
      <c r="P38" s="252">
        <v>278.07400000000001</v>
      </c>
      <c r="Q38" s="132"/>
      <c r="R38" s="252">
        <v>390.66899999999998</v>
      </c>
      <c r="S38" s="132"/>
      <c r="T38" s="252">
        <v>462.41800000000001</v>
      </c>
      <c r="U38" s="132"/>
      <c r="V38" s="252">
        <v>546.09699999999998</v>
      </c>
      <c r="W38" s="132"/>
      <c r="X38" s="252">
        <v>786.601</v>
      </c>
      <c r="Y38" s="132"/>
      <c r="Z38" s="252">
        <v>945.13800000000003</v>
      </c>
      <c r="AA38" s="132"/>
      <c r="AB38" s="252">
        <v>1082.4880000000001</v>
      </c>
      <c r="AC38" s="132"/>
      <c r="AD38" s="252">
        <v>1237.2380000000001</v>
      </c>
      <c r="AE38" s="132"/>
      <c r="AF38" s="252">
        <v>1494.8050000000001</v>
      </c>
      <c r="AG38" s="132"/>
      <c r="AH38" s="906">
        <v>1710.5319999999999</v>
      </c>
      <c r="AJ38" s="906">
        <v>1803.748</v>
      </c>
      <c r="AK38" s="141"/>
      <c r="AL38" s="906">
        <v>1933.7829999999999</v>
      </c>
      <c r="AM38" s="141"/>
      <c r="AN38" s="906">
        <v>1743.528</v>
      </c>
      <c r="AO38" s="141"/>
      <c r="AP38" s="906">
        <v>1606.6590000000001</v>
      </c>
      <c r="AQ38" s="141"/>
      <c r="AR38" s="906">
        <v>1956.402</v>
      </c>
      <c r="AS38" s="141"/>
      <c r="AT38" s="906">
        <v>2278.248</v>
      </c>
      <c r="AU38" s="906"/>
      <c r="AV38" s="906">
        <v>2378.89</v>
      </c>
      <c r="AX38" s="906">
        <v>2664.4459999999999</v>
      </c>
      <c r="AZ38" s="906">
        <v>2860.5889999999999</v>
      </c>
      <c r="BA38" s="906">
        <v>2886.3</v>
      </c>
      <c r="BB38" s="906">
        <v>2959.3</v>
      </c>
      <c r="BC38" s="906">
        <v>3074.7</v>
      </c>
    </row>
    <row r="39" spans="1:55">
      <c r="A39" s="132" t="str">
        <f t="shared" si="7"/>
        <v>2Q</v>
      </c>
      <c r="B39" s="132" t="str">
        <f t="shared" si="7"/>
        <v>Jul</v>
      </c>
      <c r="C39" s="132"/>
      <c r="D39" s="249"/>
      <c r="E39" s="132"/>
      <c r="F39" s="249">
        <v>344.22</v>
      </c>
      <c r="G39" s="132"/>
      <c r="H39" s="249">
        <v>425.00700000000001</v>
      </c>
      <c r="I39" s="132"/>
      <c r="J39" s="249"/>
      <c r="K39" s="132"/>
      <c r="L39" s="249">
        <v>197.309</v>
      </c>
      <c r="M39" s="132"/>
      <c r="N39" s="249">
        <v>235.04</v>
      </c>
      <c r="O39" s="132"/>
      <c r="P39" s="249">
        <v>340.18200000000002</v>
      </c>
      <c r="Q39" s="132"/>
      <c r="R39" s="249">
        <v>405.55900000000003</v>
      </c>
      <c r="S39" s="132"/>
      <c r="T39" s="249">
        <v>458.83800000000002</v>
      </c>
      <c r="U39" s="132"/>
      <c r="V39" s="249">
        <v>644.63800000000003</v>
      </c>
      <c r="W39" s="132"/>
      <c r="X39" s="249">
        <v>812.75199999999995</v>
      </c>
      <c r="Y39" s="132"/>
      <c r="Z39" s="249">
        <v>976.048</v>
      </c>
      <c r="AA39" s="132"/>
      <c r="AB39" s="249">
        <v>1109.1869999999999</v>
      </c>
      <c r="AC39" s="132"/>
      <c r="AD39" s="249">
        <v>1281.4059999999999</v>
      </c>
      <c r="AE39" s="132"/>
      <c r="AF39" s="249">
        <v>1503.3050000000001</v>
      </c>
      <c r="AG39" s="132"/>
      <c r="AH39" s="144">
        <v>1693.9749999999999</v>
      </c>
      <c r="AJ39" s="144">
        <v>1760.5509999999999</v>
      </c>
      <c r="AK39" s="145"/>
      <c r="AL39" s="144">
        <v>1962.8430000000001</v>
      </c>
      <c r="AM39" s="145"/>
      <c r="AN39" s="144">
        <v>1756.1079999999999</v>
      </c>
      <c r="AO39" s="145"/>
      <c r="AP39" s="144">
        <v>1673.442</v>
      </c>
      <c r="AQ39" s="145"/>
      <c r="AR39" s="144">
        <v>1966.002</v>
      </c>
      <c r="AS39" s="145"/>
      <c r="AT39" s="144">
        <v>2351.7359999999999</v>
      </c>
      <c r="AU39" s="144"/>
      <c r="AV39" s="144">
        <v>2408.799</v>
      </c>
      <c r="AX39" s="144">
        <v>2735.2959999999998</v>
      </c>
      <c r="AZ39" s="1731">
        <v>2944.4279999999999</v>
      </c>
      <c r="BA39" s="1731">
        <v>2894.7</v>
      </c>
      <c r="BB39" s="1731">
        <v>2928.7</v>
      </c>
      <c r="BC39" s="1731">
        <v>3158</v>
      </c>
    </row>
    <row r="40" spans="1:55">
      <c r="A40" s="132" t="str">
        <f t="shared" si="7"/>
        <v>3Q</v>
      </c>
      <c r="B40" s="132" t="str">
        <f t="shared" si="7"/>
        <v>Oct</v>
      </c>
      <c r="C40" s="132"/>
      <c r="D40" s="249"/>
      <c r="E40" s="132"/>
      <c r="F40" s="249"/>
      <c r="G40" s="132"/>
      <c r="H40" s="249"/>
      <c r="I40" s="132"/>
      <c r="J40" s="249"/>
      <c r="K40" s="132"/>
      <c r="L40" s="249">
        <v>205.26900000000001</v>
      </c>
      <c r="M40" s="132"/>
      <c r="N40" s="249">
        <v>235.33500000000001</v>
      </c>
      <c r="O40" s="132"/>
      <c r="P40" s="249">
        <v>347.87</v>
      </c>
      <c r="Q40" s="132"/>
      <c r="R40" s="249">
        <v>417.00599999999997</v>
      </c>
      <c r="S40" s="132"/>
      <c r="T40" s="249">
        <v>464.28399999999999</v>
      </c>
      <c r="U40" s="132"/>
      <c r="V40" s="249">
        <v>678.197</v>
      </c>
      <c r="W40" s="132"/>
      <c r="X40" s="249">
        <v>854.05899999999997</v>
      </c>
      <c r="Y40" s="132"/>
      <c r="Z40" s="249">
        <v>968.41899999999998</v>
      </c>
      <c r="AA40" s="132"/>
      <c r="AB40" s="249">
        <v>1125.175</v>
      </c>
      <c r="AC40" s="132"/>
      <c r="AD40" s="249">
        <v>1346.6479999999999</v>
      </c>
      <c r="AE40" s="132"/>
      <c r="AF40" s="249">
        <v>1516.3340000000001</v>
      </c>
      <c r="AG40" s="132"/>
      <c r="AH40" s="144">
        <v>1692.6469999999999</v>
      </c>
      <c r="AJ40" s="144">
        <v>1686.67</v>
      </c>
      <c r="AK40" s="145"/>
      <c r="AL40" s="144">
        <v>1995.884</v>
      </c>
      <c r="AM40" s="145"/>
      <c r="AN40" s="144">
        <v>1645.7550000000001</v>
      </c>
      <c r="AO40" s="145"/>
      <c r="AP40" s="144">
        <v>1710.644</v>
      </c>
      <c r="AQ40" s="145"/>
      <c r="AR40" s="144">
        <v>1998.556</v>
      </c>
      <c r="AS40" s="145"/>
      <c r="AT40" s="144">
        <v>2312.723</v>
      </c>
      <c r="AU40" s="144"/>
      <c r="AV40" s="144">
        <v>2467.221</v>
      </c>
      <c r="AX40" s="144">
        <v>2821.9540000000002</v>
      </c>
      <c r="AZ40" s="144">
        <v>2908.69</v>
      </c>
      <c r="BA40" s="144">
        <v>2871</v>
      </c>
      <c r="BB40" s="144">
        <v>2925.1</v>
      </c>
      <c r="BC40" s="144">
        <v>3169.1</v>
      </c>
    </row>
    <row r="41" spans="1:55">
      <c r="A41" s="132" t="str">
        <f t="shared" si="7"/>
        <v>4Q</v>
      </c>
      <c r="B41" s="132" t="str">
        <f t="shared" si="7"/>
        <v>Jan</v>
      </c>
      <c r="C41" s="132"/>
      <c r="D41" s="249"/>
      <c r="E41" s="132"/>
      <c r="F41" s="249">
        <v>394.88200000000001</v>
      </c>
      <c r="G41" s="132"/>
      <c r="H41" s="249"/>
      <c r="I41" s="132"/>
      <c r="J41" s="249">
        <v>189.08099999999999</v>
      </c>
      <c r="K41" s="132"/>
      <c r="L41" s="249">
        <v>221.697</v>
      </c>
      <c r="M41" s="132"/>
      <c r="N41" s="249">
        <v>264.37799999999999</v>
      </c>
      <c r="O41" s="132"/>
      <c r="P41" s="249">
        <v>378.26400000000001</v>
      </c>
      <c r="Q41" s="132"/>
      <c r="R41" s="249">
        <v>443.72399999999999</v>
      </c>
      <c r="S41" s="132"/>
      <c r="T41" s="249">
        <v>516.45299999999997</v>
      </c>
      <c r="U41" s="132"/>
      <c r="V41" s="249">
        <v>757.07600000000002</v>
      </c>
      <c r="W41" s="132"/>
      <c r="X41" s="249">
        <v>925.48299999999995</v>
      </c>
      <c r="Y41" s="132"/>
      <c r="Z41" s="249">
        <v>1036.9449999999999</v>
      </c>
      <c r="AA41" s="132"/>
      <c r="AB41" s="249">
        <v>1208.049</v>
      </c>
      <c r="AC41" s="132"/>
      <c r="AD41" s="249">
        <v>1468.2</v>
      </c>
      <c r="AE41" s="132"/>
      <c r="AF41" s="249">
        <v>1701.16</v>
      </c>
      <c r="AG41" s="132"/>
      <c r="AH41" s="144">
        <v>1830.913</v>
      </c>
      <c r="AJ41" s="144">
        <v>1804.895</v>
      </c>
      <c r="AK41" s="145"/>
      <c r="AL41" s="144">
        <v>1716.115</v>
      </c>
      <c r="AM41" s="145"/>
      <c r="AN41" s="144">
        <v>1588.3710000000001</v>
      </c>
      <c r="AO41" s="145"/>
      <c r="AP41" s="144">
        <v>1883.239</v>
      </c>
      <c r="AQ41" s="145"/>
      <c r="AR41" s="144">
        <v>2177.4749999999999</v>
      </c>
      <c r="AS41" s="145"/>
      <c r="AT41" s="144">
        <v>2348.9050000000002</v>
      </c>
      <c r="AU41" s="144"/>
      <c r="AV41" s="144">
        <v>2611.3180000000002</v>
      </c>
      <c r="AX41" s="144">
        <v>2733.9679999999998</v>
      </c>
      <c r="AZ41" s="144">
        <v>2850.7</v>
      </c>
      <c r="BA41" s="144">
        <v>2929.5</v>
      </c>
      <c r="BB41" s="144">
        <v>3028.4</v>
      </c>
      <c r="BC41" s="144">
        <v>3248.2</v>
      </c>
    </row>
    <row r="42" spans="1:55">
      <c r="A42" s="132"/>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J42" s="132"/>
      <c r="AK42" s="132"/>
      <c r="AL42" s="132"/>
      <c r="AM42" s="132"/>
      <c r="AN42" s="132"/>
      <c r="AO42" s="132"/>
      <c r="AP42" s="132"/>
      <c r="AQ42" s="132"/>
      <c r="AR42" s="132"/>
      <c r="AS42" s="132"/>
      <c r="AT42" s="132"/>
      <c r="AU42" s="132"/>
      <c r="AV42" s="132"/>
    </row>
    <row r="43" spans="1:55">
      <c r="A43" s="132"/>
      <c r="B43" s="132"/>
      <c r="C43" s="132"/>
      <c r="D43" s="185"/>
      <c r="E43" s="132"/>
      <c r="F43" s="185"/>
      <c r="G43" s="132"/>
      <c r="H43" s="185"/>
      <c r="I43" s="132"/>
      <c r="J43" s="185"/>
      <c r="K43" s="132"/>
      <c r="L43" s="185"/>
      <c r="M43" s="132"/>
      <c r="N43" s="185"/>
      <c r="O43" s="132"/>
      <c r="P43" s="185"/>
      <c r="Q43" s="132"/>
      <c r="R43" s="185"/>
      <c r="S43" s="132"/>
      <c r="T43" s="185"/>
      <c r="U43" s="132"/>
      <c r="V43" s="185"/>
      <c r="W43" s="185"/>
      <c r="X43" s="132"/>
      <c r="Y43" s="185"/>
      <c r="Z43" s="132"/>
      <c r="AA43" s="185"/>
      <c r="AB43" s="132"/>
      <c r="AC43" s="185"/>
      <c r="AD43" s="132"/>
      <c r="AE43" s="185"/>
      <c r="AF43" s="132"/>
      <c r="AG43" s="185"/>
      <c r="AH43" s="132"/>
      <c r="AJ43" s="1589"/>
      <c r="AK43" s="1589"/>
      <c r="AL43" s="1589"/>
      <c r="AM43" s="1589"/>
      <c r="AN43" s="1589"/>
      <c r="AO43" s="1589"/>
      <c r="AP43" s="1589"/>
      <c r="AQ43" s="1589"/>
      <c r="AR43" s="1589"/>
      <c r="AS43" s="1591" t="s">
        <v>97</v>
      </c>
      <c r="AT43" s="1589"/>
      <c r="AU43" s="1589"/>
      <c r="AV43" s="1589"/>
    </row>
    <row r="44" spans="1:55">
      <c r="A44" s="132" t="str">
        <f t="shared" ref="A44:B47" si="8">A38</f>
        <v>1Q</v>
      </c>
      <c r="B44" s="132" t="str">
        <f t="shared" si="8"/>
        <v>Apr</v>
      </c>
      <c r="C44" s="132"/>
      <c r="D44" s="229"/>
      <c r="E44" s="132"/>
      <c r="F44" s="229">
        <f>F38+F26</f>
        <v>0</v>
      </c>
      <c r="G44" s="132"/>
      <c r="H44" s="229">
        <f>H38+H26</f>
        <v>0</v>
      </c>
      <c r="I44" s="132"/>
      <c r="J44" s="229">
        <f>J38+J26</f>
        <v>0</v>
      </c>
      <c r="K44" s="132"/>
      <c r="L44" s="229">
        <f>L38+L26</f>
        <v>368.73199999999997</v>
      </c>
      <c r="M44" s="132"/>
      <c r="N44" s="229">
        <f>N38+N26</f>
        <v>391.20699999999999</v>
      </c>
      <c r="O44" s="132"/>
      <c r="P44" s="229">
        <f>P38+P26</f>
        <v>489.16399999999999</v>
      </c>
      <c r="Q44" s="132"/>
      <c r="R44" s="229">
        <f>R38+R26</f>
        <v>544.58999999999992</v>
      </c>
      <c r="S44" s="132"/>
      <c r="T44" s="229">
        <f>T38+T26</f>
        <v>643.96900000000005</v>
      </c>
      <c r="U44" s="132"/>
      <c r="V44" s="229">
        <f>V38+V26</f>
        <v>822.29099999999994</v>
      </c>
      <c r="W44" s="132"/>
      <c r="X44" s="229">
        <f>X38+X26</f>
        <v>1065.7440000000001</v>
      </c>
      <c r="Y44" s="132"/>
      <c r="Z44" s="229">
        <f>Z38+Z26</f>
        <v>1215.212</v>
      </c>
      <c r="AA44" s="132"/>
      <c r="AB44" s="229">
        <f>AB38+AB26</f>
        <v>1357.9580000000001</v>
      </c>
      <c r="AC44" s="132"/>
      <c r="AD44" s="229">
        <f>AD38+AD26</f>
        <v>1593.0030000000002</v>
      </c>
      <c r="AE44" s="132"/>
      <c r="AF44" s="229">
        <f>AF38+AF26</f>
        <v>2023.5030000000002</v>
      </c>
      <c r="AG44" s="132"/>
      <c r="AH44" s="229">
        <f>AH38+AH26</f>
        <v>2150.1979999999999</v>
      </c>
      <c r="AJ44" s="229">
        <f>AJ38+AJ26</f>
        <v>2279.924</v>
      </c>
      <c r="AK44" s="229"/>
      <c r="AL44" s="229">
        <f>AL38+AL26</f>
        <v>2456.761</v>
      </c>
      <c r="AM44" s="229"/>
      <c r="AN44" s="229">
        <f>AN38+AN26</f>
        <v>2354.6869999999999</v>
      </c>
      <c r="AO44" s="229"/>
      <c r="AP44" s="229">
        <f>AP38+AP26</f>
        <v>2428.5050000000001</v>
      </c>
      <c r="AQ44" s="229"/>
      <c r="AR44" s="229">
        <f>AR38+AR26</f>
        <v>2716.1570000000002</v>
      </c>
      <c r="AS44" s="132"/>
      <c r="AT44" s="229">
        <f>AT38+AT26</f>
        <v>2965.1350000000002</v>
      </c>
      <c r="AU44" s="229"/>
      <c r="AV44" s="229">
        <f>AV38+AV26</f>
        <v>3213.259</v>
      </c>
      <c r="AX44" s="229">
        <f>AX38+AX26</f>
        <v>3638.5349999999999</v>
      </c>
      <c r="AZ44" s="229">
        <f t="shared" ref="AZ44:BC47" si="9">AZ38+AZ26</f>
        <v>3852.3710000000001</v>
      </c>
      <c r="BA44" s="229">
        <f t="shared" si="9"/>
        <v>3965.5</v>
      </c>
      <c r="BB44" s="229">
        <f t="shared" si="9"/>
        <v>4062.1000000000004</v>
      </c>
      <c r="BC44" s="229">
        <f t="shared" si="9"/>
        <v>4145.7999999999993</v>
      </c>
    </row>
    <row r="45" spans="1:55">
      <c r="A45" s="132" t="str">
        <f t="shared" si="8"/>
        <v>2Q</v>
      </c>
      <c r="B45" s="132" t="str">
        <f t="shared" si="8"/>
        <v>Jul</v>
      </c>
      <c r="C45" s="132"/>
      <c r="D45" s="250"/>
      <c r="E45" s="132"/>
      <c r="F45" s="250">
        <f>F39+F27</f>
        <v>429.577</v>
      </c>
      <c r="G45" s="132"/>
      <c r="H45" s="250">
        <f>H39+H27</f>
        <v>544.58299999999997</v>
      </c>
      <c r="I45" s="132"/>
      <c r="J45" s="250">
        <f>J39+J27</f>
        <v>0</v>
      </c>
      <c r="K45" s="132"/>
      <c r="L45" s="250">
        <f>L39+L27</f>
        <v>386.39599999999996</v>
      </c>
      <c r="M45" s="132"/>
      <c r="N45" s="250">
        <f>N39+N27</f>
        <v>392.53499999999997</v>
      </c>
      <c r="O45" s="132"/>
      <c r="P45" s="250">
        <f>P39+P27</f>
        <v>500.69000000000005</v>
      </c>
      <c r="Q45" s="132"/>
      <c r="R45" s="250">
        <f>R39+R27</f>
        <v>567.73300000000006</v>
      </c>
      <c r="S45" s="132"/>
      <c r="T45" s="250">
        <f>T39+T27</f>
        <v>638.7650000000001</v>
      </c>
      <c r="U45" s="132"/>
      <c r="V45" s="250">
        <f>V39+V27</f>
        <v>937.77800000000002</v>
      </c>
      <c r="W45" s="132"/>
      <c r="X45" s="250">
        <f>X39+X27</f>
        <v>1088.662</v>
      </c>
      <c r="Y45" s="132"/>
      <c r="Z45" s="250">
        <f>Z39+Z27</f>
        <v>1262.779</v>
      </c>
      <c r="AA45" s="132"/>
      <c r="AB45" s="250">
        <f>AB39+AB27</f>
        <v>1488.2099999999998</v>
      </c>
      <c r="AC45" s="132"/>
      <c r="AD45" s="250">
        <f>AD39+AD27</f>
        <v>1757.2489999999998</v>
      </c>
      <c r="AE45" s="132"/>
      <c r="AF45" s="250">
        <f>AF39+AF27</f>
        <v>2089.6419999999998</v>
      </c>
      <c r="AG45" s="132"/>
      <c r="AH45" s="250">
        <f>AH39+AH27</f>
        <v>2114.547</v>
      </c>
      <c r="AJ45" s="250">
        <f>AJ39+AJ27</f>
        <v>2332.857</v>
      </c>
      <c r="AK45" s="132"/>
      <c r="AL45" s="250">
        <f>AL39+AL27</f>
        <v>2499.9360000000001</v>
      </c>
      <c r="AM45" s="132"/>
      <c r="AN45" s="250">
        <f>AN39+AN27</f>
        <v>2395.299</v>
      </c>
      <c r="AO45" s="132"/>
      <c r="AP45" s="250">
        <f>AP39+AP27</f>
        <v>2425.19</v>
      </c>
      <c r="AQ45" s="132"/>
      <c r="AR45" s="250">
        <f>AR39+AR27</f>
        <v>2478.078</v>
      </c>
      <c r="AS45" s="132"/>
      <c r="AT45" s="250">
        <f>AT39+AT27</f>
        <v>2983.681</v>
      </c>
      <c r="AU45" s="250"/>
      <c r="AV45" s="250">
        <f>AV39+AV27</f>
        <v>3348.3450000000003</v>
      </c>
      <c r="AX45" s="250">
        <f>AX39+AX27</f>
        <v>3699.5149999999999</v>
      </c>
      <c r="AZ45" s="250">
        <f t="shared" si="9"/>
        <v>3969.931</v>
      </c>
      <c r="BA45" s="250">
        <f t="shared" si="9"/>
        <v>3961.6</v>
      </c>
      <c r="BB45" s="250">
        <f t="shared" si="9"/>
        <v>3926.2999999999997</v>
      </c>
      <c r="BC45" s="250">
        <f t="shared" si="9"/>
        <v>4274.1000000000004</v>
      </c>
    </row>
    <row r="46" spans="1:55">
      <c r="A46" s="132" t="str">
        <f t="shared" si="8"/>
        <v>3Q</v>
      </c>
      <c r="B46" s="132" t="str">
        <f t="shared" si="8"/>
        <v>Oct</v>
      </c>
      <c r="C46" s="132"/>
      <c r="D46" s="250"/>
      <c r="E46" s="132"/>
      <c r="F46" s="250">
        <f>F40+F28</f>
        <v>0</v>
      </c>
      <c r="G46" s="132"/>
      <c r="H46" s="250">
        <f>H40+H28</f>
        <v>0</v>
      </c>
      <c r="I46" s="132"/>
      <c r="J46" s="250">
        <f>J40+J28</f>
        <v>0</v>
      </c>
      <c r="K46" s="132"/>
      <c r="L46" s="250">
        <f>L40+L28</f>
        <v>388.95299999999997</v>
      </c>
      <c r="M46" s="132"/>
      <c r="N46" s="250">
        <f>N40+N28</f>
        <v>417.31100000000004</v>
      </c>
      <c r="O46" s="132"/>
      <c r="P46" s="250">
        <f>P40+P28</f>
        <v>517.428</v>
      </c>
      <c r="Q46" s="132"/>
      <c r="R46" s="250">
        <f>R40+R28</f>
        <v>575.28199999999993</v>
      </c>
      <c r="S46" s="132"/>
      <c r="T46" s="250">
        <f>T40+T28</f>
        <v>712.56799999999998</v>
      </c>
      <c r="U46" s="132"/>
      <c r="V46" s="250">
        <f>V40+V28</f>
        <v>973.774</v>
      </c>
      <c r="W46" s="132"/>
      <c r="X46" s="250">
        <f>X40+X28</f>
        <v>1138.768</v>
      </c>
      <c r="Y46" s="132"/>
      <c r="Z46" s="250">
        <f>Z40+Z28</f>
        <v>1319.298</v>
      </c>
      <c r="AA46" s="132"/>
      <c r="AB46" s="250">
        <f>AB40+AB28</f>
        <v>1530.8899999999999</v>
      </c>
      <c r="AC46" s="132"/>
      <c r="AD46" s="250">
        <f>AD40+AD28</f>
        <v>1912.1</v>
      </c>
      <c r="AE46" s="132"/>
      <c r="AF46" s="250">
        <f>AF40+AF28</f>
        <v>2176.9170000000004</v>
      </c>
      <c r="AG46" s="132"/>
      <c r="AH46" s="250">
        <f>AH40+AH28</f>
        <v>2096.6179999999999</v>
      </c>
      <c r="AJ46" s="250">
        <f>AJ40+AJ28</f>
        <v>2347.239</v>
      </c>
      <c r="AK46" s="132"/>
      <c r="AL46" s="250">
        <f>AL40+AL28</f>
        <v>2459.0740000000001</v>
      </c>
      <c r="AM46" s="132"/>
      <c r="AN46" s="250">
        <f>AN40+AN28</f>
        <v>2467.027</v>
      </c>
      <c r="AO46" s="132"/>
      <c r="AP46" s="250">
        <f>AP40+AP28</f>
        <v>2463.6469999999999</v>
      </c>
      <c r="AQ46" s="132"/>
      <c r="AR46" s="250">
        <f>AR40+AR28</f>
        <v>2753.5450000000001</v>
      </c>
      <c r="AS46" s="132"/>
      <c r="AT46" s="250">
        <f>AT40+AT28</f>
        <v>3021.5029999999997</v>
      </c>
      <c r="AU46" s="250"/>
      <c r="AV46" s="250">
        <f>AV40+AV28</f>
        <v>3445.1369999999997</v>
      </c>
      <c r="AX46" s="250">
        <f>AX40+AX28</f>
        <v>3829.6940000000004</v>
      </c>
      <c r="AZ46" s="250">
        <f t="shared" si="9"/>
        <v>3995.0730000000003</v>
      </c>
      <c r="BA46" s="250">
        <f t="shared" si="9"/>
        <v>3859.1</v>
      </c>
      <c r="BB46" s="250">
        <f t="shared" si="9"/>
        <v>4030.3</v>
      </c>
      <c r="BC46" s="250">
        <f t="shared" si="9"/>
        <v>4241.5</v>
      </c>
    </row>
    <row r="47" spans="1:55">
      <c r="A47" s="132" t="str">
        <f t="shared" si="8"/>
        <v>4Q</v>
      </c>
      <c r="B47" s="132" t="str">
        <f t="shared" si="8"/>
        <v>Jan</v>
      </c>
      <c r="C47" s="132"/>
      <c r="D47" s="250"/>
      <c r="E47" s="132"/>
      <c r="F47" s="250">
        <f>F41+F29</f>
        <v>488.44799999999998</v>
      </c>
      <c r="G47" s="132"/>
      <c r="H47" s="250">
        <f>H41+H29</f>
        <v>0</v>
      </c>
      <c r="I47" s="132"/>
      <c r="J47" s="250">
        <f>J41+J29</f>
        <v>349.87</v>
      </c>
      <c r="K47" s="132"/>
      <c r="L47" s="250">
        <f>L41+L29</f>
        <v>383.89300000000003</v>
      </c>
      <c r="M47" s="132"/>
      <c r="N47" s="250">
        <f>N41+N29</f>
        <v>444.84499999999997</v>
      </c>
      <c r="O47" s="132"/>
      <c r="P47" s="250">
        <f>P41+P29</f>
        <v>547.27700000000004</v>
      </c>
      <c r="Q47" s="132"/>
      <c r="R47" s="250">
        <f>R41+R29</f>
        <v>624.70799999999997</v>
      </c>
      <c r="S47" s="132"/>
      <c r="T47" s="250">
        <f>T41+T29</f>
        <v>808.24299999999994</v>
      </c>
      <c r="U47" s="132"/>
      <c r="V47" s="250">
        <f>V41+V29</f>
        <v>1027.3029999999999</v>
      </c>
      <c r="W47" s="132"/>
      <c r="X47" s="250">
        <f>X41+X29</f>
        <v>1196.4179999999999</v>
      </c>
      <c r="Y47" s="132"/>
      <c r="Z47" s="250">
        <f>Z41+Z29</f>
        <v>1307.9119999999998</v>
      </c>
      <c r="AA47" s="132"/>
      <c r="AB47" s="250">
        <f>AB41+AB29</f>
        <v>1557.7080000000001</v>
      </c>
      <c r="AC47" s="132"/>
      <c r="AD47" s="250">
        <f>AD41+AD29</f>
        <v>1955.059</v>
      </c>
      <c r="AE47" s="132"/>
      <c r="AF47" s="250">
        <f>AF41+AF29</f>
        <v>2141.723</v>
      </c>
      <c r="AG47" s="132"/>
      <c r="AH47" s="250">
        <f>AH41+AH29</f>
        <v>2296.4030000000002</v>
      </c>
      <c r="AJ47" s="250">
        <f>AJ41+AJ29</f>
        <v>2323.357</v>
      </c>
      <c r="AK47" s="132"/>
      <c r="AL47" s="250">
        <f>AL41+AL29</f>
        <v>2169.252</v>
      </c>
      <c r="AM47" s="132"/>
      <c r="AN47" s="250">
        <f>AN41+AN29</f>
        <v>2297.1750000000002</v>
      </c>
      <c r="AO47" s="132"/>
      <c r="AP47" s="250">
        <f>AP41+AP29</f>
        <v>2637.288</v>
      </c>
      <c r="AQ47" s="132"/>
      <c r="AR47" s="250">
        <f>AR41+AR29</f>
        <v>2865.7150000000001</v>
      </c>
      <c r="AS47" s="132"/>
      <c r="AT47" s="250">
        <f>AT41+AT29</f>
        <v>3061.0520000000001</v>
      </c>
      <c r="AU47" s="250"/>
      <c r="AV47" s="250">
        <f>AV41+AV29</f>
        <v>3570.59</v>
      </c>
      <c r="AX47" s="250">
        <f>AX41+AX29</f>
        <v>3737.4870000000001</v>
      </c>
      <c r="AZ47" s="250">
        <f>AZ41+AZ29</f>
        <v>3967.2</v>
      </c>
      <c r="BA47" s="250">
        <f t="shared" si="9"/>
        <v>4025.3</v>
      </c>
      <c r="BB47" s="250">
        <f t="shared" si="9"/>
        <v>4135.5</v>
      </c>
      <c r="BC47" s="250">
        <f t="shared" si="9"/>
        <v>4251.7</v>
      </c>
    </row>
    <row r="48" spans="1:55">
      <c r="A48" s="132"/>
      <c r="B48" s="132"/>
      <c r="C48" s="132"/>
      <c r="D48" s="132"/>
      <c r="E48" s="132"/>
      <c r="F48" s="132"/>
      <c r="G48" s="132"/>
      <c r="H48" s="132"/>
      <c r="I48" s="132"/>
      <c r="J48" s="132"/>
      <c r="K48" s="132"/>
      <c r="L48" s="132"/>
      <c r="M48" s="132"/>
      <c r="N48" s="132"/>
      <c r="O48" s="132"/>
      <c r="P48" s="132"/>
      <c r="Q48" s="132"/>
      <c r="R48" s="132"/>
      <c r="S48" s="132"/>
      <c r="T48" s="132"/>
      <c r="U48" s="132"/>
      <c r="V48" s="132"/>
      <c r="W48" s="132"/>
      <c r="X48" s="132"/>
      <c r="Y48" s="132"/>
      <c r="Z48" s="132"/>
      <c r="AA48" s="132"/>
      <c r="AB48" s="132"/>
      <c r="AC48" s="132"/>
      <c r="AD48" s="132"/>
      <c r="AE48" s="132"/>
      <c r="AF48" s="132"/>
      <c r="AG48" s="132"/>
      <c r="AH48" s="132"/>
      <c r="AJ48" s="132"/>
      <c r="AK48" s="132"/>
      <c r="AL48" s="132"/>
      <c r="AM48" s="132"/>
      <c r="AN48" s="132"/>
      <c r="AO48" s="132"/>
      <c r="AP48" s="132"/>
      <c r="AQ48" s="132"/>
      <c r="AR48" s="132"/>
      <c r="AS48" s="132"/>
      <c r="AT48" s="132"/>
      <c r="AU48" s="132"/>
      <c r="AV48" s="132"/>
    </row>
    <row r="49" spans="1:55">
      <c r="A49" s="132"/>
      <c r="B49" s="132"/>
      <c r="C49" s="132"/>
      <c r="D49" s="185"/>
      <c r="E49" s="132"/>
      <c r="F49" s="185"/>
      <c r="G49" s="132"/>
      <c r="H49" s="185"/>
      <c r="I49" s="132"/>
      <c r="J49" s="185"/>
      <c r="K49" s="132"/>
      <c r="L49" s="185"/>
      <c r="M49" s="132"/>
      <c r="N49" s="185"/>
      <c r="O49" s="132"/>
      <c r="P49" s="185"/>
      <c r="Q49" s="132"/>
      <c r="R49" s="185"/>
      <c r="S49" s="132"/>
      <c r="T49" s="185"/>
      <c r="U49" s="132"/>
      <c r="V49" s="185"/>
      <c r="W49" s="185"/>
      <c r="X49" s="132"/>
      <c r="Y49" s="185"/>
      <c r="Z49" s="132"/>
      <c r="AA49" s="185"/>
      <c r="AB49" s="132"/>
      <c r="AC49" s="185"/>
      <c r="AD49" s="132"/>
      <c r="AE49" s="185"/>
      <c r="AF49" s="132"/>
      <c r="AG49" s="185"/>
      <c r="AH49" s="132"/>
      <c r="AJ49" s="1589"/>
      <c r="AK49" s="1589"/>
      <c r="AL49" s="1589"/>
      <c r="AM49" s="1589"/>
      <c r="AN49" s="1589"/>
      <c r="AO49" s="1589"/>
      <c r="AP49" s="1589"/>
      <c r="AQ49" s="1589"/>
      <c r="AR49" s="1589"/>
      <c r="AS49" s="1591" t="s">
        <v>98</v>
      </c>
      <c r="AT49" s="1589"/>
      <c r="AU49" s="1589"/>
      <c r="AV49" s="1589"/>
    </row>
    <row r="50" spans="1:55">
      <c r="A50" s="132" t="str">
        <f t="shared" ref="A50:B53" si="10">A44</f>
        <v>1Q</v>
      </c>
      <c r="B50" s="132" t="str">
        <f t="shared" si="10"/>
        <v>Apr</v>
      </c>
      <c r="C50" s="132"/>
      <c r="D50" s="215"/>
      <c r="E50" s="132"/>
      <c r="F50" s="215" t="e">
        <f>F26/F44</f>
        <v>#DIV/0!</v>
      </c>
      <c r="G50" s="132"/>
      <c r="H50" s="215" t="e">
        <f>H26/H44</f>
        <v>#DIV/0!</v>
      </c>
      <c r="I50" s="132"/>
      <c r="J50" s="215" t="e">
        <f>J26/J44</f>
        <v>#DIV/0!</v>
      </c>
      <c r="K50" s="132"/>
      <c r="L50" s="215">
        <f>L26/L44</f>
        <v>0.47757992254537174</v>
      </c>
      <c r="M50" s="132"/>
      <c r="N50" s="215">
        <f>N26/N44</f>
        <v>0.40802439629147746</v>
      </c>
      <c r="O50" s="132"/>
      <c r="P50" s="215">
        <f>P26/P44</f>
        <v>0.43153216508164954</v>
      </c>
      <c r="Q50" s="132"/>
      <c r="R50" s="215">
        <f>R26/R44</f>
        <v>0.28263647881892801</v>
      </c>
      <c r="S50" s="132"/>
      <c r="T50" s="215">
        <f>T26/T44</f>
        <v>0.2819250616101085</v>
      </c>
      <c r="U50" s="132"/>
      <c r="V50" s="215">
        <f>V26/V44</f>
        <v>0.33588352541861705</v>
      </c>
      <c r="W50" s="132"/>
      <c r="X50" s="215">
        <f>X26/X44</f>
        <v>0.26192312600399342</v>
      </c>
      <c r="Y50" s="132"/>
      <c r="Z50" s="215">
        <f>Z26/Z44</f>
        <v>0.22224434913414287</v>
      </c>
      <c r="AA50" s="132"/>
      <c r="AB50" s="215">
        <f>AB26/AB44</f>
        <v>0.20285605298543843</v>
      </c>
      <c r="AC50" s="132"/>
      <c r="AD50" s="215">
        <f>AD26/AD44</f>
        <v>0.22332977401800244</v>
      </c>
      <c r="AE50" s="132"/>
      <c r="AF50" s="215">
        <f>AF26/AF44</f>
        <v>0.26127858471175974</v>
      </c>
      <c r="AG50" s="132"/>
      <c r="AH50" s="215">
        <f>AH26/AH44</f>
        <v>0.20447698304993309</v>
      </c>
      <c r="AJ50" s="215">
        <f>AJ26/AJ44</f>
        <v>0.20885608467650676</v>
      </c>
      <c r="AK50" s="215"/>
      <c r="AL50" s="215">
        <f>AL26/AL44</f>
        <v>0.21287296566495481</v>
      </c>
      <c r="AM50" s="215"/>
      <c r="AN50" s="215">
        <f>AN26/AN44</f>
        <v>0.25954999539216889</v>
      </c>
      <c r="AO50" s="215"/>
      <c r="AP50" s="215">
        <f>AP26/AP44</f>
        <v>0.33841643315537745</v>
      </c>
      <c r="AQ50" s="215"/>
      <c r="AR50" s="215">
        <f>AR26/AR44</f>
        <v>0.27971689412651768</v>
      </c>
      <c r="AS50" s="132"/>
      <c r="AT50" s="215">
        <f>AT26/AT44</f>
        <v>0.23165454523993001</v>
      </c>
      <c r="AU50" s="215"/>
      <c r="AV50" s="215">
        <f>AV26/AV44</f>
        <v>0.25966440924930112</v>
      </c>
      <c r="AX50" s="215">
        <f>AX26/AX44</f>
        <v>0.26771461590997481</v>
      </c>
      <c r="AZ50" s="215">
        <f t="shared" ref="AZ50:BC53" si="11">AZ26/AZ44</f>
        <v>0.25744716695250797</v>
      </c>
      <c r="BA50" s="215">
        <f t="shared" si="11"/>
        <v>0.27214727020552265</v>
      </c>
      <c r="BB50" s="215">
        <f t="shared" si="11"/>
        <v>0.27148519238817365</v>
      </c>
      <c r="BC50" s="215">
        <f t="shared" si="11"/>
        <v>0.25835785614356699</v>
      </c>
    </row>
    <row r="51" spans="1:55">
      <c r="A51" s="132" t="str">
        <f t="shared" si="10"/>
        <v>2Q</v>
      </c>
      <c r="B51" s="132" t="str">
        <f t="shared" si="10"/>
        <v>Jul</v>
      </c>
      <c r="C51" s="132"/>
      <c r="D51" s="215"/>
      <c r="E51" s="132"/>
      <c r="F51" s="215">
        <f>F27/F45</f>
        <v>0.1987001166263557</v>
      </c>
      <c r="G51" s="132"/>
      <c r="H51" s="215">
        <f>H27/H45</f>
        <v>0.2195735085377252</v>
      </c>
      <c r="I51" s="132"/>
      <c r="J51" s="215" t="e">
        <f>J27/J45</f>
        <v>#DIV/0!</v>
      </c>
      <c r="K51" s="132"/>
      <c r="L51" s="215">
        <f>L27/L45</f>
        <v>0.48936065590741107</v>
      </c>
      <c r="M51" s="132"/>
      <c r="N51" s="215">
        <f>N27/N45</f>
        <v>0.40122536843848322</v>
      </c>
      <c r="O51" s="132"/>
      <c r="P51" s="215">
        <f>P27/P45</f>
        <v>0.32057360842037985</v>
      </c>
      <c r="Q51" s="132"/>
      <c r="R51" s="215">
        <f>R27/R45</f>
        <v>0.28565188213473586</v>
      </c>
      <c r="S51" s="132"/>
      <c r="T51" s="215">
        <f>T27/T45</f>
        <v>0.28167949089258176</v>
      </c>
      <c r="U51" s="132"/>
      <c r="V51" s="215">
        <f>V27/V45</f>
        <v>0.31258997331991151</v>
      </c>
      <c r="W51" s="132"/>
      <c r="X51" s="215">
        <f>X27/X45</f>
        <v>0.2534395432191075</v>
      </c>
      <c r="Y51" s="132"/>
      <c r="Z51" s="215">
        <f>Z27/Z45</f>
        <v>0.22706348458439679</v>
      </c>
      <c r="AA51" s="132"/>
      <c r="AB51" s="215">
        <f>AB27/AB45</f>
        <v>0.25468381478420388</v>
      </c>
      <c r="AC51" s="132"/>
      <c r="AD51" s="215">
        <f>AD27/AD45</f>
        <v>0.27078860195680865</v>
      </c>
      <c r="AE51" s="132"/>
      <c r="AF51" s="215">
        <f>AF27/AF45</f>
        <v>0.28059208228012267</v>
      </c>
      <c r="AG51" s="132"/>
      <c r="AH51" s="215">
        <f>AH27/AH45</f>
        <v>0.19889460957831631</v>
      </c>
      <c r="AJ51" s="215">
        <f>AJ27/AJ45</f>
        <v>0.24532408115885374</v>
      </c>
      <c r="AK51" s="132"/>
      <c r="AL51" s="215">
        <f>AL27/AL45</f>
        <v>0.21484269997311928</v>
      </c>
      <c r="AM51" s="132"/>
      <c r="AN51" s="215">
        <f>AN27/AN45</f>
        <v>0.26685228023724805</v>
      </c>
      <c r="AO51" s="132"/>
      <c r="AP51" s="215">
        <f>AP27/AP45</f>
        <v>0.30997488856543198</v>
      </c>
      <c r="AQ51" s="132"/>
      <c r="AR51" s="215">
        <f>AR27/AR45</f>
        <v>0.20664240592911121</v>
      </c>
      <c r="AS51" s="132"/>
      <c r="AT51" s="215">
        <f>AT27/AT45</f>
        <v>0.21180045722046023</v>
      </c>
      <c r="AU51" s="215"/>
      <c r="AV51" s="215">
        <f>AV27/AV45</f>
        <v>0.28060011737141782</v>
      </c>
      <c r="AX51" s="215">
        <f>AX27/AX45</f>
        <v>0.26063389390230884</v>
      </c>
      <c r="AZ51" s="215">
        <f t="shared" si="11"/>
        <v>0.25831758788754772</v>
      </c>
      <c r="BA51" s="215">
        <f t="shared" si="11"/>
        <v>0.26931037964458809</v>
      </c>
      <c r="BB51" s="215">
        <f t="shared" si="11"/>
        <v>0.25408145072969462</v>
      </c>
      <c r="BC51" s="215">
        <f t="shared" si="11"/>
        <v>0.26113099833883152</v>
      </c>
    </row>
    <row r="52" spans="1:55">
      <c r="A52" s="132" t="str">
        <f t="shared" si="10"/>
        <v>3Q</v>
      </c>
      <c r="B52" s="132" t="str">
        <f t="shared" si="10"/>
        <v>Oct</v>
      </c>
      <c r="C52" s="132"/>
      <c r="D52" s="215"/>
      <c r="E52" s="132"/>
      <c r="F52" s="215" t="e">
        <f>F28/F46</f>
        <v>#DIV/0!</v>
      </c>
      <c r="G52" s="132"/>
      <c r="H52" s="215" t="e">
        <f>H28/H46</f>
        <v>#DIV/0!</v>
      </c>
      <c r="I52" s="132"/>
      <c r="J52" s="215" t="e">
        <f>J28/J46</f>
        <v>#DIV/0!</v>
      </c>
      <c r="K52" s="132"/>
      <c r="L52" s="215">
        <f>L28/L46</f>
        <v>0.47225243152771673</v>
      </c>
      <c r="M52" s="132"/>
      <c r="N52" s="215">
        <f>N28/N46</f>
        <v>0.43606806434529638</v>
      </c>
      <c r="O52" s="132"/>
      <c r="P52" s="215">
        <f>P28/P46</f>
        <v>0.32769390137371768</v>
      </c>
      <c r="Q52" s="132"/>
      <c r="R52" s="215">
        <f>R28/R46</f>
        <v>0.27512767651343173</v>
      </c>
      <c r="S52" s="132"/>
      <c r="T52" s="215">
        <f>T28/T46</f>
        <v>0.34843551773304443</v>
      </c>
      <c r="U52" s="132"/>
      <c r="V52" s="215">
        <f>V28/V46</f>
        <v>0.30353757648078505</v>
      </c>
      <c r="W52" s="132"/>
      <c r="X52" s="215">
        <f>X28/X46</f>
        <v>0.2500149284138648</v>
      </c>
      <c r="Y52" s="132"/>
      <c r="Z52" s="215">
        <f>Z28/Z46</f>
        <v>0.26595886600298041</v>
      </c>
      <c r="AA52" s="132"/>
      <c r="AB52" s="215">
        <f>AB28/AB46</f>
        <v>0.26501904121132158</v>
      </c>
      <c r="AC52" s="132"/>
      <c r="AD52" s="215">
        <f>AD28/AD46</f>
        <v>0.29572302703833481</v>
      </c>
      <c r="AE52" s="132"/>
      <c r="AF52" s="215">
        <f>AF28/AF46</f>
        <v>0.30344886828482664</v>
      </c>
      <c r="AG52" s="132"/>
      <c r="AH52" s="215">
        <f>AH28/AH46</f>
        <v>0.19267744529523262</v>
      </c>
      <c r="AJ52" s="215">
        <f>AJ28/AJ46</f>
        <v>0.28142383455625947</v>
      </c>
      <c r="AK52" s="132"/>
      <c r="AL52" s="215">
        <f>AL28/AL46</f>
        <v>0.18835952069762849</v>
      </c>
      <c r="AM52" s="132"/>
      <c r="AN52" s="215">
        <f>AN28/AN46</f>
        <v>0.33289947779250084</v>
      </c>
      <c r="AO52" s="132"/>
      <c r="AP52" s="215">
        <f>AP28/AP46</f>
        <v>0.30564565459256132</v>
      </c>
      <c r="AQ52" s="132"/>
      <c r="AR52" s="215">
        <f>AR28/AR46</f>
        <v>0.27418800128561543</v>
      </c>
      <c r="AS52" s="132"/>
      <c r="AT52" s="215">
        <f>AT28/AT46</f>
        <v>0.23457861865435845</v>
      </c>
      <c r="AU52" s="215"/>
      <c r="AV52" s="215">
        <f>AV28/AV46</f>
        <v>0.2838540238022465</v>
      </c>
      <c r="AX52" s="215">
        <f>AX28/AX46</f>
        <v>0.26313851707212116</v>
      </c>
      <c r="AZ52" s="215">
        <f t="shared" si="11"/>
        <v>0.27193070064051394</v>
      </c>
      <c r="BA52" s="215">
        <f t="shared" si="11"/>
        <v>0.25604415537301439</v>
      </c>
      <c r="BB52" s="215">
        <f t="shared" si="11"/>
        <v>0.2742227625735057</v>
      </c>
      <c r="BC52" s="215">
        <f t="shared" si="11"/>
        <v>0.25283508192856302</v>
      </c>
    </row>
    <row r="53" spans="1:55">
      <c r="A53" s="132" t="str">
        <f t="shared" si="10"/>
        <v>4Q</v>
      </c>
      <c r="B53" s="132" t="str">
        <f t="shared" si="10"/>
        <v>Jan</v>
      </c>
      <c r="C53" s="132"/>
      <c r="D53" s="215"/>
      <c r="E53" s="132"/>
      <c r="F53" s="215">
        <f>F29/F47</f>
        <v>0.19155775026205452</v>
      </c>
      <c r="G53" s="132"/>
      <c r="H53" s="215" t="e">
        <f>H29/H47</f>
        <v>#DIV/0!</v>
      </c>
      <c r="I53" s="132"/>
      <c r="J53" s="215">
        <f>J29/J47</f>
        <v>0.4595678394832366</v>
      </c>
      <c r="K53" s="132"/>
      <c r="L53" s="215">
        <f>L29/L47</f>
        <v>0.42250314540770473</v>
      </c>
      <c r="M53" s="132"/>
      <c r="N53" s="215">
        <f>N29/N47</f>
        <v>0.40568512627994019</v>
      </c>
      <c r="O53" s="132"/>
      <c r="P53" s="215">
        <f>P29/P47</f>
        <v>0.30882532976902</v>
      </c>
      <c r="Q53" s="132"/>
      <c r="R53" s="215">
        <f>R29/R47</f>
        <v>0.28970975239631958</v>
      </c>
      <c r="S53" s="132"/>
      <c r="T53" s="215">
        <f>T29/T47</f>
        <v>0.36101766424206577</v>
      </c>
      <c r="U53" s="132"/>
      <c r="V53" s="215">
        <f>V29/V47</f>
        <v>0.2630450801759559</v>
      </c>
      <c r="W53" s="132"/>
      <c r="X53" s="215">
        <f>X29/X47</f>
        <v>0.22645513524537414</v>
      </c>
      <c r="Y53" s="132"/>
      <c r="Z53" s="215">
        <f>Z29/Z47</f>
        <v>0.20717525338096143</v>
      </c>
      <c r="AA53" s="132"/>
      <c r="AB53" s="215">
        <f>AB29/AB47</f>
        <v>0.22447018311519235</v>
      </c>
      <c r="AC53" s="132"/>
      <c r="AD53" s="215">
        <f>AD29/AD47</f>
        <v>0.24902522123373258</v>
      </c>
      <c r="AE53" s="132"/>
      <c r="AF53" s="215">
        <f>AF29/AF47</f>
        <v>0.20570493943427792</v>
      </c>
      <c r="AG53" s="132"/>
      <c r="AH53" s="215">
        <f>AH29/AH47</f>
        <v>0.20270396790110445</v>
      </c>
      <c r="AJ53" s="215">
        <f>AJ29/AJ47</f>
        <v>0.22315210275476391</v>
      </c>
      <c r="AK53" s="132"/>
      <c r="AL53" s="215">
        <f>AL29/AL47</f>
        <v>0.20889089879829542</v>
      </c>
      <c r="AM53" s="132"/>
      <c r="AN53" s="215">
        <f>AN29/AN47</f>
        <v>0.30855463776159847</v>
      </c>
      <c r="AO53" s="132"/>
      <c r="AP53" s="215">
        <f>AP29/AP47</f>
        <v>0.28591833732227956</v>
      </c>
      <c r="AQ53" s="132"/>
      <c r="AR53" s="215">
        <f>AR29/AR47</f>
        <v>0.24016344961030667</v>
      </c>
      <c r="AS53" s="132"/>
      <c r="AT53" s="215">
        <f>AT29/AT47</f>
        <v>0.23264779559445573</v>
      </c>
      <c r="AU53" s="215"/>
      <c r="AV53" s="215">
        <f>AV29/AV47</f>
        <v>0.26865924118983137</v>
      </c>
      <c r="AX53" s="215">
        <f>AX29/AX47</f>
        <v>0.26850100080615663</v>
      </c>
      <c r="AZ53" s="215">
        <f>AZ29/AZ47</f>
        <v>0.2814327485380117</v>
      </c>
      <c r="BA53" s="215">
        <f t="shared" si="11"/>
        <v>0.27222815690755964</v>
      </c>
      <c r="BB53" s="215">
        <f t="shared" si="11"/>
        <v>0.26770644420263567</v>
      </c>
      <c r="BC53" s="215">
        <f t="shared" si="11"/>
        <v>0.23602323776371806</v>
      </c>
    </row>
    <row r="54" spans="1:55">
      <c r="A54" s="132"/>
      <c r="B54" s="132"/>
      <c r="C54" s="132"/>
      <c r="D54" s="132"/>
      <c r="E54" s="132"/>
      <c r="F54" s="132"/>
      <c r="G54" s="132"/>
      <c r="H54" s="132"/>
      <c r="I54" s="132"/>
      <c r="J54" s="132"/>
      <c r="K54" s="132"/>
      <c r="L54" s="132"/>
      <c r="M54" s="132"/>
      <c r="N54" s="132"/>
      <c r="O54" s="132"/>
      <c r="P54" s="132"/>
      <c r="Q54" s="132"/>
      <c r="R54" s="132"/>
      <c r="S54" s="132"/>
      <c r="T54" s="132"/>
      <c r="U54" s="132"/>
      <c r="V54" s="132"/>
      <c r="W54" s="132"/>
      <c r="X54" s="132"/>
      <c r="Y54" s="132"/>
      <c r="Z54" s="132"/>
      <c r="AA54" s="132"/>
      <c r="AB54" s="132"/>
      <c r="AC54" s="132"/>
      <c r="AD54" s="132"/>
      <c r="AE54" s="132"/>
      <c r="AF54" s="132"/>
      <c r="AG54" s="132"/>
      <c r="AH54" s="132"/>
      <c r="AJ54" s="132"/>
      <c r="AK54" s="132"/>
      <c r="AL54" s="132"/>
      <c r="AM54" s="132"/>
      <c r="AN54" s="132"/>
      <c r="AO54" s="132"/>
      <c r="AP54" s="132"/>
      <c r="AQ54" s="132"/>
      <c r="AR54" s="132"/>
      <c r="AS54" s="132"/>
      <c r="AT54" s="132"/>
      <c r="AU54" s="132"/>
      <c r="AV54" s="132"/>
    </row>
    <row r="55" spans="1:55">
      <c r="A55" s="132"/>
      <c r="B55" s="132"/>
      <c r="C55" s="132"/>
      <c r="D55" s="185"/>
      <c r="E55" s="132"/>
      <c r="F55" s="185"/>
      <c r="G55" s="132"/>
      <c r="H55" s="185"/>
      <c r="I55" s="132"/>
      <c r="J55" s="185"/>
      <c r="K55" s="132"/>
      <c r="L55" s="185"/>
      <c r="M55" s="132"/>
      <c r="N55" s="185"/>
      <c r="O55" s="132"/>
      <c r="P55" s="185"/>
      <c r="Q55" s="132"/>
      <c r="R55" s="185"/>
      <c r="S55" s="132"/>
      <c r="T55" s="185"/>
      <c r="U55" s="132"/>
      <c r="V55" s="185"/>
      <c r="W55" s="185"/>
      <c r="X55" s="132"/>
      <c r="Y55" s="185"/>
      <c r="Z55" s="132"/>
      <c r="AA55" s="185"/>
      <c r="AB55" s="132"/>
      <c r="AC55" s="185"/>
      <c r="AD55" s="132"/>
      <c r="AE55" s="185"/>
      <c r="AF55" s="132"/>
      <c r="AG55" s="185"/>
      <c r="AH55" s="132"/>
      <c r="AJ55" s="1589"/>
      <c r="AK55" s="1589"/>
      <c r="AL55" s="1589"/>
      <c r="AM55" s="1589"/>
      <c r="AN55" s="1589"/>
      <c r="AO55" s="1589"/>
      <c r="AP55" s="1589"/>
      <c r="AQ55" s="1589"/>
      <c r="AR55" s="1589"/>
      <c r="AS55" s="1591" t="s">
        <v>99</v>
      </c>
      <c r="AT55" s="1589"/>
      <c r="AU55" s="1589"/>
      <c r="AV55" s="1589"/>
    </row>
    <row r="56" spans="1:55">
      <c r="A56" s="132" t="str">
        <f t="shared" ref="A56:B59" si="12">A50</f>
        <v>1Q</v>
      </c>
      <c r="B56" s="132" t="str">
        <f t="shared" si="12"/>
        <v>Apr</v>
      </c>
      <c r="C56" s="132"/>
      <c r="D56" s="253"/>
      <c r="E56" s="132"/>
      <c r="F56" s="253" t="e">
        <f>F32/F44</f>
        <v>#DIV/0!</v>
      </c>
      <c r="G56" s="132"/>
      <c r="H56" s="253" t="e">
        <f>H32/H44</f>
        <v>#DIV/0!</v>
      </c>
      <c r="I56" s="132"/>
      <c r="J56" s="253" t="e">
        <f>J32/J44</f>
        <v>#DIV/0!</v>
      </c>
      <c r="K56" s="132"/>
      <c r="L56" s="253">
        <f>L32/L44</f>
        <v>0.4551788290682664</v>
      </c>
      <c r="M56" s="132"/>
      <c r="N56" s="253">
        <f>N32/N44</f>
        <v>0.36551237580104656</v>
      </c>
      <c r="O56" s="132"/>
      <c r="P56" s="253">
        <f>P32/P44</f>
        <v>0.34941655559280732</v>
      </c>
      <c r="Q56" s="132"/>
      <c r="R56" s="253">
        <f>R32/R44</f>
        <v>9.5205567491140133E-2</v>
      </c>
      <c r="S56" s="132"/>
      <c r="T56" s="253">
        <f>T32/T44</f>
        <v>0.16606700011957096</v>
      </c>
      <c r="U56" s="132"/>
      <c r="V56" s="253">
        <f>V32/V44</f>
        <v>0.16532346821259145</v>
      </c>
      <c r="W56" s="253"/>
      <c r="X56" s="253">
        <f>X32/X44</f>
        <v>7.5042411686108493E-2</v>
      </c>
      <c r="Y56" s="253"/>
      <c r="Z56" s="253">
        <f>Z32/Z44</f>
        <v>0.11963262377264215</v>
      </c>
      <c r="AA56" s="253"/>
      <c r="AB56" s="253">
        <f>AB32/AB44</f>
        <v>9.5882935996547777E-2</v>
      </c>
      <c r="AC56" s="253"/>
      <c r="AD56" s="253">
        <f>AD32/AD44</f>
        <v>0.14583525580303361</v>
      </c>
      <c r="AE56" s="253"/>
      <c r="AF56" s="253">
        <f>AF32/AF44</f>
        <v>0.16699011565587002</v>
      </c>
      <c r="AG56" s="253"/>
      <c r="AH56" s="253">
        <f>AH32/AH44</f>
        <v>0.10508706640039663</v>
      </c>
      <c r="AJ56" s="253">
        <f>AJ32/AJ44</f>
        <v>0.12966879597740977</v>
      </c>
      <c r="AK56" s="253"/>
      <c r="AL56" s="253">
        <f>AL32/AL44</f>
        <v>0.16167466025388716</v>
      </c>
      <c r="AM56" s="253"/>
      <c r="AN56" s="253">
        <f>AN32/AN44</f>
        <v>0.19175966911950507</v>
      </c>
      <c r="AO56" s="253"/>
      <c r="AP56" s="253">
        <f>AP32/AP44</f>
        <v>0.21334812981649201</v>
      </c>
      <c r="AQ56" s="253"/>
      <c r="AR56" s="253">
        <f>AR32/AR44</f>
        <v>3.1664222649868907E-2</v>
      </c>
      <c r="AS56" s="253"/>
      <c r="AT56" s="253">
        <f>AT32/AT44</f>
        <v>2.177539977100533E-2</v>
      </c>
      <c r="AU56" s="253"/>
      <c r="AV56" s="253">
        <f>AV32/AV44</f>
        <v>0.15291017624162884</v>
      </c>
      <c r="AX56" s="253">
        <f>AX32/AX44</f>
        <v>0.13993901391631525</v>
      </c>
      <c r="AZ56" s="253">
        <f t="shared" ref="AZ56:BC59" si="13">AZ32/AZ44</f>
        <v>0.15849122527399359</v>
      </c>
      <c r="BA56" s="253">
        <f t="shared" si="13"/>
        <v>9.1741268440297577E-2</v>
      </c>
      <c r="BB56" s="253">
        <f t="shared" si="13"/>
        <v>7.7029122867482383E-2</v>
      </c>
      <c r="BC56" s="253">
        <f t="shared" si="13"/>
        <v>2.6798205412706819E-2</v>
      </c>
    </row>
    <row r="57" spans="1:55">
      <c r="A57" s="132" t="str">
        <f t="shared" si="12"/>
        <v>2Q</v>
      </c>
      <c r="B57" s="132" t="str">
        <f t="shared" si="12"/>
        <v>Jul</v>
      </c>
      <c r="C57" s="132"/>
      <c r="D57" s="253"/>
      <c r="E57" s="132"/>
      <c r="F57" s="253">
        <f>F33/F45</f>
        <v>0.18199531166705851</v>
      </c>
      <c r="G57" s="132"/>
      <c r="H57" s="253">
        <f>H33/H45</f>
        <v>0.21279584562867368</v>
      </c>
      <c r="I57" s="132"/>
      <c r="J57" s="253" t="e">
        <f>J33/J45</f>
        <v>#DIV/0!</v>
      </c>
      <c r="K57" s="132"/>
      <c r="L57" s="253">
        <f>L33/L45</f>
        <v>0.46964254288346674</v>
      </c>
      <c r="M57" s="132"/>
      <c r="N57" s="253">
        <f>N33/N45</f>
        <v>0.32313042149107729</v>
      </c>
      <c r="O57" s="132"/>
      <c r="P57" s="253">
        <f>P33/P45</f>
        <v>0.280379076873914</v>
      </c>
      <c r="Q57" s="132"/>
      <c r="R57" s="253">
        <f>R33/R45</f>
        <v>0.15083851035610049</v>
      </c>
      <c r="S57" s="132"/>
      <c r="T57" s="253">
        <f>T33/T45</f>
        <v>0.19819651984689207</v>
      </c>
      <c r="U57" s="132"/>
      <c r="V57" s="253">
        <f>V33/V45</f>
        <v>0.15152413470992065</v>
      </c>
      <c r="W57" s="253"/>
      <c r="X57" s="253">
        <f>X33/X45</f>
        <v>9.300223577198434E-2</v>
      </c>
      <c r="Y57" s="253"/>
      <c r="Z57" s="253">
        <f>Z33/Z45</f>
        <v>0.1377921235623969</v>
      </c>
      <c r="AA57" s="253"/>
      <c r="AB57" s="253">
        <f>AB33/AB45</f>
        <v>0.12612265742065973</v>
      </c>
      <c r="AC57" s="253"/>
      <c r="AD57" s="253">
        <f>AD33/AD45</f>
        <v>0.20470860987828132</v>
      </c>
      <c r="AE57" s="253"/>
      <c r="AF57" s="253">
        <f>AF33/AF45</f>
        <v>0.20707566176407252</v>
      </c>
      <c r="AG57" s="253"/>
      <c r="AH57" s="253">
        <f>AH33/AH45</f>
        <v>0.13804895327462571</v>
      </c>
      <c r="AJ57" s="253">
        <f>AJ33/AJ45</f>
        <v>0.18322511838488173</v>
      </c>
      <c r="AK57" s="132"/>
      <c r="AL57" s="253">
        <f>AL33/AL45</f>
        <v>0.16323057870281477</v>
      </c>
      <c r="AM57" s="132"/>
      <c r="AN57" s="253">
        <f>AN33/AN45</f>
        <v>0.20332952170063112</v>
      </c>
      <c r="AO57" s="132"/>
      <c r="AP57" s="253">
        <f>AP33/AP45</f>
        <v>0.17241741884141037</v>
      </c>
      <c r="AQ57" s="132"/>
      <c r="AR57" s="253">
        <f>AR33/AR45</f>
        <v>-4.1402248032547787E-2</v>
      </c>
      <c r="AS57" s="253"/>
      <c r="AT57" s="253">
        <f>AT33/AT45</f>
        <v>2.2373035187072617E-2</v>
      </c>
      <c r="AU57" s="253"/>
      <c r="AV57" s="253">
        <f>AV33/AV45</f>
        <v>0.17086321749998881</v>
      </c>
      <c r="AX57" s="253">
        <f>AX33/AX45</f>
        <v>0.12827492252362813</v>
      </c>
      <c r="AZ57" s="253">
        <f t="shared" si="13"/>
        <v>0.15795463447601488</v>
      </c>
      <c r="BA57" s="253">
        <f t="shared" si="13"/>
        <v>7.4591074313408751E-2</v>
      </c>
      <c r="BB57" s="253">
        <f t="shared" si="13"/>
        <v>7.067722792450909E-2</v>
      </c>
      <c r="BC57" s="253">
        <f t="shared" si="13"/>
        <v>1.698603214711867E-2</v>
      </c>
    </row>
    <row r="58" spans="1:55">
      <c r="A58" s="132" t="str">
        <f t="shared" si="12"/>
        <v>3Q</v>
      </c>
      <c r="B58" s="132" t="str">
        <f t="shared" si="12"/>
        <v>Oct</v>
      </c>
      <c r="C58" s="132"/>
      <c r="D58" s="253"/>
      <c r="E58" s="132"/>
      <c r="F58" s="253" t="e">
        <f>F34/F46</f>
        <v>#DIV/0!</v>
      </c>
      <c r="G58" s="132"/>
      <c r="H58" s="253" t="e">
        <f>H34/H46</f>
        <v>#DIV/0!</v>
      </c>
      <c r="I58" s="132"/>
      <c r="J58" s="253" t="e">
        <f>J34/J46</f>
        <v>#DIV/0!</v>
      </c>
      <c r="K58" s="132"/>
      <c r="L58" s="253">
        <f>L34/L46</f>
        <v>0.46049522692973188</v>
      </c>
      <c r="M58" s="132"/>
      <c r="N58" s="253">
        <f>N34/N46</f>
        <v>0.34458233787271358</v>
      </c>
      <c r="O58" s="132"/>
      <c r="P58" s="253">
        <f>P34/P46</f>
        <v>0.28943930363258269</v>
      </c>
      <c r="Q58" s="132"/>
      <c r="R58" s="253">
        <f>R34/R46</f>
        <v>0.20649524928643695</v>
      </c>
      <c r="S58" s="132"/>
      <c r="T58" s="253">
        <f>T34/T46</f>
        <v>0.28679648819481091</v>
      </c>
      <c r="U58" s="132"/>
      <c r="V58" s="253">
        <f>V34/V46</f>
        <v>0.14340083017209332</v>
      </c>
      <c r="W58" s="253"/>
      <c r="X58" s="253">
        <f>X34/X46</f>
        <v>0.14363417307124893</v>
      </c>
      <c r="Y58" s="253"/>
      <c r="Z58" s="253">
        <f>Z34/Z46</f>
        <v>0.18530688290287714</v>
      </c>
      <c r="AA58" s="253"/>
      <c r="AB58" s="253">
        <f>AB34/AB46</f>
        <v>0.20580773275676242</v>
      </c>
      <c r="AC58" s="253"/>
      <c r="AD58" s="253">
        <f>AD34/AD46</f>
        <v>0.21585063542701743</v>
      </c>
      <c r="AE58" s="253"/>
      <c r="AF58" s="253">
        <f>AF34/AF46</f>
        <v>0.24383428490842779</v>
      </c>
      <c r="AG58" s="253"/>
      <c r="AH58" s="253">
        <f>AH34/AH46</f>
        <v>0.13945554221131365</v>
      </c>
      <c r="AJ58" s="253">
        <f>AJ34/AJ46</f>
        <v>0.25716852864152306</v>
      </c>
      <c r="AK58" s="132"/>
      <c r="AL58" s="253">
        <f>AL34/AL46</f>
        <v>2.930778008307194E-2</v>
      </c>
      <c r="AM58" s="132"/>
      <c r="AN58" s="253">
        <f>AN34/AN46</f>
        <v>0.2678916769050359</v>
      </c>
      <c r="AO58" s="132"/>
      <c r="AP58" s="253">
        <f>AP34/AP46</f>
        <v>0.15348465100722627</v>
      </c>
      <c r="AQ58" s="132"/>
      <c r="AR58" s="253">
        <f>AR34/AR46</f>
        <v>8.1891888456516973E-2</v>
      </c>
      <c r="AS58" s="253"/>
      <c r="AT58" s="253">
        <f>AT34/AT46</f>
        <v>0.13616269783614315</v>
      </c>
      <c r="AU58" s="253"/>
      <c r="AV58" s="253">
        <f>AV34/AV46</f>
        <v>0.1834591773853986</v>
      </c>
      <c r="AX58" s="253">
        <f>AX34/AX46</f>
        <v>0.12704409281785958</v>
      </c>
      <c r="AZ58" s="253">
        <f t="shared" si="13"/>
        <v>0.17595923779114925</v>
      </c>
      <c r="BA58" s="253">
        <f t="shared" si="13"/>
        <v>6.8150605063356712E-2</v>
      </c>
      <c r="BB58" s="253">
        <f t="shared" si="13"/>
        <v>7.9026375207800911E-2</v>
      </c>
      <c r="BC58" s="253">
        <f t="shared" si="13"/>
        <v>1.4853235883531796E-2</v>
      </c>
    </row>
    <row r="59" spans="1:55">
      <c r="A59" s="132" t="str">
        <f t="shared" si="12"/>
        <v>4Q</v>
      </c>
      <c r="B59" s="132" t="str">
        <f t="shared" si="12"/>
        <v>Jan</v>
      </c>
      <c r="C59" s="132"/>
      <c r="D59" s="253"/>
      <c r="E59" s="132"/>
      <c r="F59" s="253">
        <f>F35/F47</f>
        <v>0.18342587133123692</v>
      </c>
      <c r="G59" s="132"/>
      <c r="H59" s="253" t="e">
        <f>H35/H47</f>
        <v>#DIV/0!</v>
      </c>
      <c r="I59" s="132"/>
      <c r="J59" s="253">
        <f>J35/J47</f>
        <v>0.44529396633035123</v>
      </c>
      <c r="K59" s="132"/>
      <c r="L59" s="253">
        <f>L35/L47</f>
        <v>0.30705951918894064</v>
      </c>
      <c r="M59" s="132"/>
      <c r="N59" s="253">
        <f>N35/N47</f>
        <v>0.2214276882959233</v>
      </c>
      <c r="O59" s="132"/>
      <c r="P59" s="253">
        <f>P35/P47</f>
        <v>9.4745439695072098E-2</v>
      </c>
      <c r="Q59" s="132"/>
      <c r="R59" s="253">
        <f>R35/R47</f>
        <v>0.11802634190693895</v>
      </c>
      <c r="S59" s="132"/>
      <c r="T59" s="253">
        <f>T35/T47</f>
        <v>0.12768066039545037</v>
      </c>
      <c r="U59" s="132"/>
      <c r="V59" s="253">
        <f>V35/V47</f>
        <v>5.187466599435607E-2</v>
      </c>
      <c r="W59" s="253"/>
      <c r="X59" s="253">
        <f>X35/X47</f>
        <v>6.2956257762755166E-2</v>
      </c>
      <c r="Y59" s="253"/>
      <c r="Z59" s="253">
        <f>Z35/Z47</f>
        <v>7.4387267644918001E-2</v>
      </c>
      <c r="AA59" s="253"/>
      <c r="AB59" s="253">
        <f>AB35/AB47</f>
        <v>0.12419657599498753</v>
      </c>
      <c r="AC59" s="253"/>
      <c r="AD59" s="253">
        <f>AD35/AD47</f>
        <v>0.10779418933137055</v>
      </c>
      <c r="AE59" s="253"/>
      <c r="AF59" s="253">
        <f>AF35/AF47</f>
        <v>0.11807409268145319</v>
      </c>
      <c r="AG59" s="253"/>
      <c r="AH59" s="253">
        <f>AH35/AH47</f>
        <v>3.1301561616144911E-2</v>
      </c>
      <c r="AJ59" s="253">
        <f>AJ35/AJ47</f>
        <v>0.14115523356935675</v>
      </c>
      <c r="AK59" s="132"/>
      <c r="AL59" s="253">
        <f>AL35/AL47</f>
        <v>9.5186266971287778E-2</v>
      </c>
      <c r="AM59" s="132"/>
      <c r="AN59" s="253">
        <f>AN35/AN47</f>
        <v>0.23871015486412653</v>
      </c>
      <c r="AO59" s="132"/>
      <c r="AP59" s="253">
        <f>AP35/AP47</f>
        <v>-1.2002102159491121E-2</v>
      </c>
      <c r="AQ59" s="132"/>
      <c r="AR59" s="253">
        <f>AR35/AR47</f>
        <v>-1.8365748164070737E-2</v>
      </c>
      <c r="AS59" s="253"/>
      <c r="AT59" s="253">
        <f>AT35/AT47</f>
        <v>8.8190922597851953E-2</v>
      </c>
      <c r="AU59" s="253"/>
      <c r="AV59" s="253">
        <f>AV35/AV47</f>
        <v>0.21992835917873518</v>
      </c>
      <c r="AX59" s="253">
        <f>AX35/AX47</f>
        <v>0.1702973147465128</v>
      </c>
      <c r="AZ59" s="253">
        <f>AZ35/AZ47</f>
        <v>9.7045775357935071E-2</v>
      </c>
      <c r="BA59" s="253">
        <f t="shared" si="13"/>
        <v>5.1971281643604185E-2</v>
      </c>
      <c r="BB59" s="253">
        <f t="shared" si="13"/>
        <v>2.9331398863498961E-2</v>
      </c>
      <c r="BC59" s="253">
        <f t="shared" si="13"/>
        <v>-6.7667050826728151E-2</v>
      </c>
    </row>
    <row r="60" spans="1:55">
      <c r="A60" s="132"/>
      <c r="B60" s="132"/>
      <c r="C60" s="132"/>
      <c r="D60" s="132"/>
      <c r="E60" s="132"/>
      <c r="F60" s="132"/>
      <c r="G60" s="132"/>
      <c r="H60" s="132"/>
      <c r="I60" s="132"/>
      <c r="J60" s="132"/>
      <c r="K60" s="132"/>
      <c r="L60" s="132"/>
      <c r="M60" s="132"/>
      <c r="N60" s="132"/>
      <c r="O60" s="132"/>
      <c r="P60" s="132"/>
      <c r="Q60" s="132"/>
      <c r="R60" s="132"/>
      <c r="S60" s="132"/>
      <c r="T60" s="132"/>
      <c r="U60" s="132"/>
      <c r="V60" s="132"/>
      <c r="W60" s="132"/>
      <c r="X60" s="132"/>
      <c r="Y60" s="132"/>
      <c r="Z60" s="132"/>
      <c r="AA60" s="132"/>
      <c r="AB60" s="132"/>
      <c r="AC60" s="132"/>
      <c r="AD60" s="132"/>
      <c r="AE60" s="132"/>
      <c r="AF60" s="132"/>
      <c r="AG60" s="132"/>
      <c r="AH60" s="132"/>
      <c r="AJ60" s="132"/>
      <c r="AK60" s="132"/>
      <c r="AL60" s="132"/>
      <c r="AM60" s="132"/>
      <c r="AN60" s="132"/>
      <c r="AO60" s="132"/>
      <c r="AP60" s="132"/>
      <c r="AQ60" s="132"/>
      <c r="AR60" s="132"/>
      <c r="AS60" s="132"/>
      <c r="AT60" s="132"/>
      <c r="AU60" s="132"/>
      <c r="AV60" s="132"/>
    </row>
    <row r="61" spans="1:55">
      <c r="A61" s="132" t="s">
        <v>1894</v>
      </c>
      <c r="B61" s="132"/>
      <c r="C61" s="132"/>
      <c r="D61" s="132"/>
      <c r="E61" s="132"/>
      <c r="F61" s="132"/>
      <c r="G61" s="132"/>
      <c r="H61" s="132"/>
      <c r="I61" s="132"/>
      <c r="J61" s="132"/>
      <c r="K61" s="132"/>
      <c r="L61" s="132"/>
      <c r="M61" s="132"/>
      <c r="N61" s="132"/>
      <c r="O61" s="132"/>
      <c r="P61" s="132"/>
      <c r="Q61" s="132"/>
      <c r="R61" s="132"/>
      <c r="S61" s="132"/>
      <c r="T61" s="132"/>
      <c r="U61" s="132"/>
      <c r="V61" s="132"/>
      <c r="W61" s="132"/>
      <c r="X61" s="132"/>
      <c r="Y61" s="132"/>
      <c r="Z61" s="132"/>
      <c r="AA61" s="132"/>
      <c r="AB61" s="132"/>
      <c r="AC61" s="132"/>
      <c r="AD61" s="132"/>
      <c r="AE61" s="132"/>
      <c r="AF61" s="132"/>
      <c r="AG61" s="132"/>
      <c r="AH61" s="132"/>
      <c r="AJ61" s="132"/>
      <c r="AK61" s="132"/>
      <c r="AL61" s="132"/>
      <c r="AM61" s="132"/>
      <c r="AN61" s="132"/>
      <c r="AO61" s="132"/>
      <c r="AP61" s="132"/>
      <c r="AQ61" s="132"/>
      <c r="AR61" s="132"/>
      <c r="AS61" s="132"/>
      <c r="AT61" s="132"/>
      <c r="AU61" s="132"/>
      <c r="AV61" s="132"/>
    </row>
  </sheetData>
  <phoneticPr fontId="0" type="noConversion"/>
  <pageMargins left="0.5" right="0.25" top="0.5" bottom="0.25" header="0.5" footer="0.5"/>
  <pageSetup scale="95" orientation="portrait" r:id="rId1"/>
  <headerFooter alignWithMargins="0">
    <oddFooter>&amp;R&amp;8&amp;D/&amp;T
&amp;F/&amp;A</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P54"/>
  <sheetViews>
    <sheetView showGridLines="0" topLeftCell="A4" zoomScaleNormal="90" workbookViewId="0">
      <selection activeCell="DF31" sqref="DF31"/>
    </sheetView>
  </sheetViews>
  <sheetFormatPr defaultRowHeight="12.75" outlineLevelCol="1"/>
  <cols>
    <col min="1" max="1" width="3.140625" customWidth="1"/>
    <col min="2" max="2" width="4.42578125" customWidth="1"/>
    <col min="3" max="3" width="1.7109375" customWidth="1"/>
    <col min="4" max="4" width="9.7109375" hidden="1" customWidth="1" outlineLevel="1"/>
    <col min="5" max="5" width="3" hidden="1" customWidth="1" outlineLevel="1"/>
    <col min="6" max="6" width="7.85546875" hidden="1" customWidth="1" outlineLevel="1"/>
    <col min="7" max="7" width="5.7109375" hidden="1" customWidth="1" outlineLevel="1"/>
    <col min="8" max="8" width="4.28515625" hidden="1" customWidth="1" outlineLevel="1"/>
    <col min="9" max="9" width="1.28515625" hidden="1" customWidth="1" outlineLevel="1"/>
    <col min="10" max="10" width="7.85546875" hidden="1" customWidth="1" outlineLevel="1"/>
    <col min="11" max="11" width="5.5703125" hidden="1" customWidth="1" outlineLevel="1"/>
    <col min="12" max="12" width="4.28515625" hidden="1" customWidth="1" outlineLevel="1"/>
    <col min="13" max="13" width="1.28515625" hidden="1" customWidth="1" outlineLevel="1"/>
    <col min="14" max="14" width="7.85546875" hidden="1" customWidth="1" outlineLevel="1"/>
    <col min="15" max="15" width="5.5703125" hidden="1" customWidth="1" outlineLevel="1"/>
    <col min="16" max="16" width="4.28515625" hidden="1" customWidth="1" outlineLevel="1"/>
    <col min="17" max="17" width="1.28515625" hidden="1" customWidth="1" outlineLevel="1"/>
    <col min="18" max="18" width="7.85546875" hidden="1" customWidth="1" outlineLevel="1"/>
    <col min="19" max="19" width="5.5703125" hidden="1" customWidth="1" outlineLevel="1"/>
    <col min="20" max="20" width="4.28515625" hidden="1" customWidth="1" outlineLevel="1"/>
    <col min="21" max="21" width="1.28515625" hidden="1" customWidth="1" outlineLevel="1"/>
    <col min="22" max="22" width="7.85546875" hidden="1" customWidth="1" outlineLevel="1"/>
    <col min="23" max="23" width="5.7109375" hidden="1" customWidth="1" outlineLevel="1"/>
    <col min="24" max="24" width="4.28515625" hidden="1" customWidth="1" outlineLevel="1"/>
    <col min="25" max="25" width="1.28515625" hidden="1" customWidth="1" outlineLevel="1"/>
    <col min="26" max="26" width="7.85546875" hidden="1" customWidth="1" outlineLevel="1"/>
    <col min="27" max="27" width="5.5703125" hidden="1" customWidth="1" outlineLevel="1"/>
    <col min="28" max="28" width="4.28515625" hidden="1" customWidth="1" outlineLevel="1"/>
    <col min="29" max="29" width="1.28515625" hidden="1" customWidth="1" outlineLevel="1"/>
    <col min="30" max="30" width="7.85546875" hidden="1" customWidth="1" outlineLevel="1" collapsed="1"/>
    <col min="31" max="31" width="5.5703125" hidden="1" customWidth="1" outlineLevel="1"/>
    <col min="32" max="32" width="4.28515625" hidden="1" customWidth="1" outlineLevel="1"/>
    <col min="33" max="33" width="1.28515625" hidden="1" customWidth="1" outlineLevel="1"/>
    <col min="34" max="34" width="7.85546875" hidden="1" customWidth="1" outlineLevel="1"/>
    <col min="35" max="35" width="5.5703125" hidden="1" customWidth="1" outlineLevel="1"/>
    <col min="36" max="36" width="4.28515625" hidden="1" customWidth="1" outlineLevel="1"/>
    <col min="37" max="37" width="1.28515625" hidden="1" customWidth="1" outlineLevel="1"/>
    <col min="38" max="38" width="7.85546875" hidden="1" customWidth="1" outlineLevel="1" collapsed="1"/>
    <col min="39" max="39" width="4.85546875" hidden="1" customWidth="1" outlineLevel="1"/>
    <col min="40" max="40" width="4.42578125" hidden="1" customWidth="1" outlineLevel="1"/>
    <col min="41" max="41" width="1.28515625" hidden="1" customWidth="1" outlineLevel="1"/>
    <col min="42" max="42" width="6.28515625" hidden="1" customWidth="1" outlineLevel="1" collapsed="1"/>
    <col min="43" max="43" width="4.85546875" hidden="1" customWidth="1" outlineLevel="1"/>
    <col min="44" max="44" width="4.28515625" hidden="1" customWidth="1" outlineLevel="1"/>
    <col min="45" max="45" width="1.28515625" hidden="1" customWidth="1" outlineLevel="1"/>
    <col min="46" max="46" width="6.5703125" hidden="1" customWidth="1" outlineLevel="1" collapsed="1"/>
    <col min="47" max="47" width="5.28515625" hidden="1" customWidth="1" outlineLevel="1"/>
    <col min="48" max="48" width="5.140625" hidden="1" customWidth="1" outlineLevel="1"/>
    <col min="49" max="49" width="1.28515625" hidden="1" customWidth="1" outlineLevel="1"/>
    <col min="50" max="50" width="7" hidden="1" customWidth="1" outlineLevel="1"/>
    <col min="51" max="51" width="5" hidden="1" customWidth="1" outlineLevel="1"/>
    <col min="52" max="52" width="3.7109375" hidden="1" customWidth="1" outlineLevel="1"/>
    <col min="53" max="53" width="1.28515625" hidden="1" customWidth="1" outlineLevel="1"/>
    <col min="54" max="54" width="6.42578125" hidden="1" customWidth="1" outlineLevel="1"/>
    <col min="55" max="55" width="5" hidden="1" customWidth="1" outlineLevel="1"/>
    <col min="56" max="56" width="4.5703125" hidden="1" customWidth="1" outlineLevel="1"/>
    <col min="57" max="57" width="1.28515625" hidden="1" customWidth="1" outlineLevel="1"/>
    <col min="58" max="58" width="6.85546875" hidden="1" customWidth="1" outlineLevel="1"/>
    <col min="59" max="59" width="5" hidden="1" customWidth="1" outlineLevel="1"/>
    <col min="60" max="60" width="4.5703125" hidden="1" customWidth="1" outlineLevel="1"/>
    <col min="61" max="61" width="1.28515625" hidden="1" customWidth="1" outlineLevel="1"/>
    <col min="62" max="62" width="7.7109375" hidden="1" customWidth="1" outlineLevel="1"/>
    <col min="63" max="63" width="5" hidden="1" customWidth="1" outlineLevel="1"/>
    <col min="64" max="64" width="4.5703125" hidden="1" customWidth="1" outlineLevel="1"/>
    <col min="65" max="65" width="1.28515625" hidden="1" customWidth="1" outlineLevel="1"/>
    <col min="66" max="66" width="7.7109375" hidden="1" customWidth="1" outlineLevel="1"/>
    <col min="67" max="67" width="5" hidden="1" customWidth="1" outlineLevel="1"/>
    <col min="68" max="68" width="4.5703125" hidden="1" customWidth="1" outlineLevel="1"/>
    <col min="69" max="69" width="1.5703125" hidden="1" customWidth="1" outlineLevel="1"/>
    <col min="70" max="70" width="7.7109375" hidden="1" customWidth="1" outlineLevel="1"/>
    <col min="71" max="71" width="5.85546875" hidden="1" customWidth="1" outlineLevel="1"/>
    <col min="72" max="72" width="4.5703125" hidden="1" customWidth="1" outlineLevel="1"/>
    <col min="73" max="73" width="1.5703125" hidden="1" customWidth="1" outlineLevel="1"/>
    <col min="74" max="74" width="7.7109375" hidden="1" customWidth="1" outlineLevel="1"/>
    <col min="75" max="76" width="5" hidden="1" customWidth="1" outlineLevel="1"/>
    <col min="77" max="77" width="1.5703125" hidden="1" customWidth="1" outlineLevel="1"/>
    <col min="78" max="78" width="7.7109375" hidden="1" customWidth="1" outlineLevel="1"/>
    <col min="79" max="79" width="5.5703125" hidden="1" customWidth="1" outlineLevel="1"/>
    <col min="80" max="80" width="5.140625" hidden="1" customWidth="1" outlineLevel="1"/>
    <col min="81" max="81" width="1.5703125" hidden="1" customWidth="1" outlineLevel="1"/>
    <col min="82" max="82" width="7.7109375" hidden="1" customWidth="1" outlineLevel="1"/>
    <col min="83" max="83" width="5.5703125" bestFit="1" customWidth="1" collapsed="1"/>
    <col min="84" max="84" width="5.140625" bestFit="1" customWidth="1"/>
    <col min="85" max="85" width="1.5703125" customWidth="1"/>
    <col min="86" max="86" width="7.7109375" bestFit="1" customWidth="1"/>
    <col min="87" max="87" width="5.5703125" bestFit="1" customWidth="1"/>
    <col min="88" max="88" width="5.140625" bestFit="1" customWidth="1"/>
    <col min="89" max="89" width="1.5703125" customWidth="1"/>
    <col min="90" max="90" width="7.7109375" bestFit="1" customWidth="1"/>
    <col min="91" max="91" width="5.5703125" bestFit="1" customWidth="1"/>
    <col min="92" max="92" width="5.140625" bestFit="1" customWidth="1"/>
    <col min="93" max="93" width="1.5703125" customWidth="1"/>
    <col min="94" max="94" width="7.7109375" customWidth="1"/>
    <col min="95" max="95" width="5.5703125" customWidth="1"/>
    <col min="96" max="96" width="5.140625" customWidth="1"/>
    <col min="97" max="97" width="1.5703125" customWidth="1"/>
    <col min="98" max="98" width="8.140625" bestFit="1" customWidth="1"/>
    <col min="99" max="99" width="5.42578125" bestFit="1" customWidth="1"/>
    <col min="100" max="100" width="5.85546875" bestFit="1" customWidth="1"/>
    <col min="101" max="101" width="1.5703125" customWidth="1"/>
    <col min="102" max="102" width="8.140625" bestFit="1" customWidth="1"/>
    <col min="103" max="103" width="5.42578125" bestFit="1" customWidth="1"/>
    <col min="104" max="104" width="5.85546875" bestFit="1" customWidth="1"/>
    <col min="105" max="105" width="1.5703125" customWidth="1"/>
    <col min="106" max="106" width="8.140625" bestFit="1" customWidth="1"/>
    <col min="107" max="107" width="5.42578125" bestFit="1" customWidth="1"/>
    <col min="108" max="108" width="5.85546875" bestFit="1" customWidth="1"/>
    <col min="109" max="109" width="1" customWidth="1"/>
    <col min="110" max="110" width="7.5703125" customWidth="1"/>
    <col min="111" max="111" width="6.140625" customWidth="1"/>
    <col min="112" max="112" width="7.42578125" customWidth="1"/>
    <col min="113" max="113" width="1" hidden="1" customWidth="1"/>
    <col min="114" max="114" width="7.5703125" hidden="1" customWidth="1"/>
    <col min="115" max="115" width="6.140625" hidden="1" customWidth="1"/>
    <col min="116" max="116" width="7.42578125" hidden="1" customWidth="1"/>
    <col min="117" max="117" width="1.85546875" customWidth="1"/>
    <col min="118" max="118" width="6.5703125" customWidth="1"/>
    <col min="119" max="119" width="6.85546875" customWidth="1"/>
    <col min="120" max="120" width="5.140625" customWidth="1"/>
  </cols>
  <sheetData>
    <row r="1" spans="1:120">
      <c r="A1" s="133" t="str">
        <f>'qtrP&amp;L'!A1</f>
        <v>Tiffany and Co.</v>
      </c>
      <c r="B1" s="172"/>
      <c r="C1" s="133"/>
      <c r="D1" s="133"/>
      <c r="E1" s="152"/>
      <c r="F1" s="133"/>
      <c r="G1" s="155"/>
      <c r="H1" s="155"/>
      <c r="I1" s="133"/>
      <c r="J1" s="133"/>
      <c r="K1" s="155"/>
      <c r="L1" s="155"/>
      <c r="M1" s="152"/>
      <c r="N1" s="155"/>
      <c r="O1" s="155"/>
      <c r="P1" s="155"/>
      <c r="Q1" s="155"/>
      <c r="R1" s="155"/>
      <c r="S1" s="155"/>
      <c r="T1" s="155"/>
      <c r="U1" s="156"/>
      <c r="V1" s="133"/>
      <c r="W1" s="155"/>
      <c r="X1" s="155"/>
      <c r="Y1" s="133"/>
      <c r="Z1" s="133"/>
      <c r="AA1" s="155"/>
      <c r="AB1" s="155"/>
      <c r="AC1" s="152"/>
      <c r="AD1" s="155"/>
      <c r="AE1" s="155"/>
      <c r="AF1" s="155"/>
      <c r="AG1" s="155"/>
      <c r="AH1" s="155"/>
      <c r="AI1" s="155"/>
      <c r="AJ1" s="155"/>
      <c r="AK1" s="156"/>
      <c r="AL1" s="155"/>
      <c r="AM1" s="155"/>
      <c r="AN1" s="155"/>
      <c r="AO1" s="156"/>
      <c r="AP1" s="155"/>
      <c r="AQ1" s="155"/>
      <c r="AR1" s="155"/>
      <c r="AS1" s="156"/>
      <c r="AT1" s="155"/>
      <c r="AU1" s="155"/>
      <c r="AV1" s="155"/>
      <c r="AW1" s="156"/>
      <c r="AX1" s="155"/>
      <c r="AY1" s="155"/>
      <c r="AZ1" s="155"/>
      <c r="BA1" s="156"/>
      <c r="BB1" s="155"/>
      <c r="BC1" s="155"/>
      <c r="BD1" s="155"/>
      <c r="BE1" s="156"/>
      <c r="BF1" s="155"/>
      <c r="BG1" s="155"/>
      <c r="BH1" s="155"/>
      <c r="BI1" s="156"/>
      <c r="BJ1" s="155"/>
      <c r="BK1" s="155"/>
      <c r="BL1" s="155"/>
      <c r="BM1" s="156"/>
      <c r="BN1" s="155"/>
      <c r="BO1" s="155"/>
      <c r="BP1" s="155"/>
      <c r="BQ1" s="155"/>
      <c r="BR1" s="155"/>
      <c r="BS1" s="155"/>
      <c r="BT1" s="155"/>
      <c r="BU1" s="155"/>
      <c r="BV1" s="155"/>
      <c r="BW1" s="155"/>
      <c r="BX1" s="155"/>
      <c r="BY1" s="155"/>
      <c r="BZ1" s="155"/>
      <c r="CA1" s="155"/>
      <c r="CB1" s="155"/>
      <c r="CC1" s="155"/>
      <c r="CD1" s="155"/>
      <c r="CE1" s="155"/>
      <c r="CF1" s="155"/>
      <c r="CG1" s="155"/>
      <c r="CH1" s="155"/>
      <c r="CI1" s="155"/>
      <c r="CJ1" s="155"/>
      <c r="CK1" s="155"/>
      <c r="CL1" s="155"/>
      <c r="CM1" s="155"/>
      <c r="CN1" s="155"/>
    </row>
    <row r="2" spans="1:120">
      <c r="A2" s="135" t="s">
        <v>151</v>
      </c>
      <c r="B2" s="173"/>
      <c r="C2" s="135"/>
      <c r="D2" s="135"/>
      <c r="E2" s="153"/>
      <c r="F2" s="135"/>
      <c r="G2" s="135"/>
      <c r="H2" s="135"/>
      <c r="I2" s="135"/>
      <c r="J2" s="135"/>
      <c r="K2" s="135"/>
      <c r="L2" s="135"/>
      <c r="M2" s="153"/>
      <c r="N2" s="135"/>
      <c r="O2" s="135"/>
      <c r="P2" s="135"/>
      <c r="Q2" s="135"/>
      <c r="R2" s="135"/>
      <c r="S2" s="135"/>
      <c r="T2" s="135"/>
      <c r="U2" s="153"/>
      <c r="V2" s="135"/>
      <c r="W2" s="135"/>
      <c r="X2" s="135"/>
      <c r="Y2" s="135"/>
      <c r="Z2" s="135"/>
      <c r="AA2" s="135"/>
      <c r="AB2" s="135"/>
      <c r="AC2" s="153"/>
      <c r="AD2" s="135"/>
      <c r="AE2" s="135"/>
      <c r="AF2" s="135"/>
      <c r="AG2" s="135"/>
      <c r="AH2" s="135"/>
      <c r="AI2" s="135"/>
      <c r="AJ2" s="135"/>
      <c r="AK2" s="153"/>
      <c r="AL2" s="135"/>
      <c r="AM2" s="135"/>
      <c r="AN2" s="135"/>
      <c r="AO2" s="153"/>
      <c r="AP2" s="135"/>
      <c r="AQ2" s="135"/>
      <c r="AR2" s="135"/>
      <c r="AS2" s="153"/>
      <c r="AT2" s="135"/>
      <c r="AU2" s="135"/>
      <c r="AV2" s="135"/>
      <c r="AW2" s="153"/>
      <c r="AX2" s="135"/>
      <c r="AY2" s="135"/>
      <c r="AZ2" s="135"/>
      <c r="BA2" s="153"/>
      <c r="BB2" s="135"/>
      <c r="BC2" s="135"/>
      <c r="BD2" s="135"/>
      <c r="BE2" s="153"/>
      <c r="BF2" s="135"/>
      <c r="BG2" s="135"/>
      <c r="BH2" s="135"/>
      <c r="BI2" s="153"/>
      <c r="BJ2" s="135"/>
      <c r="BK2" s="135"/>
      <c r="BL2" s="135"/>
      <c r="BM2" s="153"/>
      <c r="BN2" s="135"/>
      <c r="BO2" s="135"/>
      <c r="BP2" s="135"/>
      <c r="BQ2" s="135"/>
      <c r="BR2" s="135"/>
      <c r="BS2" s="135"/>
      <c r="BT2" s="135"/>
      <c r="BU2" s="135"/>
      <c r="BV2" s="135"/>
      <c r="BW2" s="135"/>
      <c r="BX2" s="135"/>
      <c r="BY2" s="135"/>
      <c r="BZ2" s="135"/>
      <c r="CA2" s="135"/>
      <c r="CB2" s="135"/>
      <c r="CC2" s="135"/>
      <c r="CD2" s="135"/>
      <c r="CE2" s="135"/>
      <c r="CF2" s="135"/>
      <c r="CG2" s="135"/>
      <c r="CH2" s="135"/>
      <c r="CI2" s="135"/>
      <c r="CJ2" s="135"/>
      <c r="CK2" s="135"/>
      <c r="CL2" s="135"/>
      <c r="CM2" s="135"/>
      <c r="CN2" s="135"/>
    </row>
    <row r="3" spans="1:120">
      <c r="A3" s="179" t="str">
        <f>bal!A3</f>
        <v>At January 31 of the following year</v>
      </c>
      <c r="B3" s="132"/>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2"/>
      <c r="AN3" s="132"/>
      <c r="AO3" s="132"/>
      <c r="AP3" s="132"/>
      <c r="AQ3" s="132"/>
      <c r="AR3" s="132"/>
      <c r="AS3" s="132"/>
      <c r="AT3" s="132"/>
      <c r="AU3" s="132"/>
      <c r="AV3" s="132"/>
      <c r="AW3" s="132"/>
      <c r="AX3" s="132"/>
      <c r="AY3" s="132"/>
      <c r="AZ3" s="132"/>
      <c r="BA3" s="132"/>
      <c r="BB3" s="132"/>
      <c r="BC3" s="132"/>
      <c r="BD3" s="132"/>
      <c r="BE3" s="132"/>
      <c r="BF3" s="132"/>
      <c r="BG3" s="132"/>
      <c r="BH3" s="132"/>
      <c r="BI3" s="132"/>
      <c r="BJ3" s="132"/>
      <c r="BK3" s="132"/>
      <c r="BL3" s="132"/>
      <c r="BM3" s="132"/>
      <c r="BN3" s="132"/>
      <c r="BO3" s="132"/>
      <c r="BP3" s="132"/>
      <c r="BQ3" s="132"/>
      <c r="BR3" s="132"/>
      <c r="BS3" s="132"/>
      <c r="BT3" s="132"/>
      <c r="BU3" s="132"/>
      <c r="BV3" s="132"/>
      <c r="BW3" s="132"/>
      <c r="BX3" s="132"/>
      <c r="BY3" s="132"/>
      <c r="BZ3" s="132"/>
      <c r="CA3" s="132"/>
      <c r="CB3" s="132"/>
      <c r="CC3" s="132"/>
      <c r="CD3" s="132"/>
      <c r="CE3" s="132"/>
      <c r="CF3" s="132"/>
      <c r="CG3" s="132"/>
      <c r="CH3" s="132"/>
      <c r="CI3" s="132"/>
      <c r="CJ3" s="132"/>
      <c r="CK3" s="132"/>
      <c r="CL3" s="132"/>
      <c r="CM3" s="132"/>
      <c r="CN3" s="132"/>
    </row>
    <row r="4" spans="1:120">
      <c r="A4" s="180" t="s">
        <v>1024</v>
      </c>
      <c r="B4" s="179"/>
      <c r="C4" s="179"/>
      <c r="D4" s="179"/>
      <c r="E4" s="179"/>
      <c r="F4" s="179"/>
      <c r="G4" s="179"/>
      <c r="H4" s="179"/>
      <c r="I4" s="179"/>
      <c r="J4" s="179"/>
      <c r="K4" s="179"/>
      <c r="L4" s="179"/>
      <c r="M4" s="179"/>
      <c r="N4" s="179"/>
      <c r="O4" s="179"/>
      <c r="P4" s="179"/>
      <c r="Q4" s="179"/>
      <c r="R4" s="179"/>
      <c r="S4" s="179"/>
      <c r="T4" s="179"/>
      <c r="U4" s="179"/>
      <c r="V4" s="179"/>
      <c r="W4" s="179"/>
      <c r="X4" s="179"/>
      <c r="Y4" s="179"/>
      <c r="Z4" s="179"/>
      <c r="AA4" s="179"/>
      <c r="AB4" s="179"/>
      <c r="AC4" s="179"/>
      <c r="AD4" s="179"/>
      <c r="AE4" s="179"/>
      <c r="AF4" s="179"/>
      <c r="AG4" s="179"/>
      <c r="AH4" s="179"/>
      <c r="AI4" s="179"/>
      <c r="AJ4" s="179"/>
      <c r="AK4" s="179"/>
      <c r="AL4" s="179"/>
      <c r="AM4" s="179"/>
      <c r="AN4" s="179"/>
      <c r="AO4" s="179"/>
      <c r="AP4" s="179"/>
      <c r="AQ4" s="179"/>
      <c r="AR4" s="179"/>
      <c r="AS4" s="179"/>
      <c r="AT4" s="179"/>
      <c r="AU4" s="179"/>
      <c r="AV4" s="179"/>
      <c r="AW4" s="179"/>
      <c r="AX4" s="179"/>
      <c r="AY4" s="179"/>
      <c r="AZ4" s="179"/>
      <c r="BA4" s="179"/>
      <c r="BB4" s="179"/>
      <c r="BC4" s="179"/>
      <c r="BD4" s="179"/>
      <c r="BE4" s="179"/>
      <c r="BF4" s="179"/>
      <c r="BG4" s="179"/>
      <c r="BH4" s="179"/>
      <c r="BI4" s="179"/>
      <c r="BJ4" s="179"/>
      <c r="BK4" s="179"/>
      <c r="BL4" s="179"/>
      <c r="BM4" s="179"/>
      <c r="BN4" s="179"/>
      <c r="BO4" s="179"/>
      <c r="BP4" s="179"/>
      <c r="BQ4" s="179"/>
      <c r="BR4" s="179"/>
      <c r="BS4" s="179"/>
      <c r="BT4" s="179"/>
      <c r="BU4" s="179"/>
      <c r="BV4" s="179"/>
      <c r="BW4" s="179"/>
      <c r="BX4" s="179"/>
      <c r="BY4" s="179"/>
      <c r="BZ4" s="179"/>
      <c r="CA4" s="179"/>
      <c r="CB4" s="179"/>
      <c r="CC4" s="179"/>
      <c r="CD4" s="179"/>
      <c r="CE4" s="179"/>
      <c r="CF4" s="179"/>
      <c r="CG4" s="179"/>
      <c r="CH4" s="179"/>
      <c r="CI4" s="179"/>
      <c r="CJ4" s="179"/>
      <c r="CK4" s="179"/>
      <c r="CL4" s="179"/>
      <c r="CM4" s="179"/>
      <c r="CN4" s="179"/>
    </row>
    <row r="5" spans="1:120">
      <c r="A5" s="132"/>
      <c r="B5" s="132"/>
      <c r="C5" s="132"/>
      <c r="D5" s="132"/>
      <c r="E5" s="132"/>
      <c r="F5" s="132"/>
      <c r="G5" s="132"/>
      <c r="H5" s="132"/>
      <c r="I5" s="132"/>
      <c r="J5" s="132"/>
      <c r="K5" s="132"/>
      <c r="L5" s="132"/>
      <c r="M5" s="132"/>
      <c r="N5" s="132"/>
      <c r="O5" s="132"/>
      <c r="P5" s="132"/>
      <c r="Q5" s="132"/>
      <c r="R5" s="132"/>
      <c r="S5" s="132"/>
      <c r="T5" s="132"/>
      <c r="U5" s="132"/>
      <c r="V5" s="132"/>
      <c r="W5" s="132"/>
      <c r="X5" s="132"/>
      <c r="Y5" s="132"/>
      <c r="Z5" s="132"/>
      <c r="AA5" s="132"/>
      <c r="AB5" s="132"/>
      <c r="AC5" s="132"/>
      <c r="AD5" s="132"/>
      <c r="AE5" s="132"/>
      <c r="AF5" s="132"/>
      <c r="AG5" s="132"/>
      <c r="AH5" s="132"/>
      <c r="AI5" s="132"/>
      <c r="AJ5" s="132"/>
      <c r="AK5" s="132"/>
      <c r="AL5" s="132"/>
      <c r="AM5" s="132"/>
      <c r="AN5" s="132"/>
      <c r="AO5" s="132"/>
      <c r="AP5" s="132"/>
      <c r="AQ5" s="132"/>
      <c r="AR5" s="132"/>
      <c r="AS5" s="132"/>
      <c r="AT5" s="132"/>
      <c r="AU5" s="132"/>
      <c r="AV5" s="132"/>
      <c r="AW5" s="132"/>
      <c r="AX5" s="132"/>
      <c r="AY5" s="132"/>
      <c r="AZ5" s="132"/>
      <c r="BA5" s="132"/>
      <c r="BB5" s="132"/>
      <c r="BC5" s="132"/>
      <c r="BD5" s="132"/>
      <c r="BE5" s="132"/>
      <c r="BF5" s="132"/>
      <c r="BG5" s="132"/>
      <c r="BH5" s="132"/>
      <c r="BI5" s="132"/>
      <c r="BJ5" s="132"/>
      <c r="BK5" s="132"/>
      <c r="BL5" s="132"/>
      <c r="BM5" s="132"/>
      <c r="BN5" s="132"/>
      <c r="BO5" s="132"/>
      <c r="BP5" s="132"/>
      <c r="BQ5" s="132"/>
      <c r="BR5" s="132"/>
      <c r="BS5" s="132"/>
      <c r="BT5" s="132"/>
      <c r="BU5" s="132"/>
      <c r="BV5" s="132"/>
      <c r="BW5" s="132"/>
      <c r="BX5" s="132"/>
      <c r="BY5" s="132"/>
      <c r="BZ5" s="132"/>
      <c r="CA5" s="132"/>
      <c r="CB5" s="132"/>
      <c r="CC5" s="132"/>
      <c r="CD5" s="132"/>
      <c r="CE5" s="132"/>
      <c r="CF5" s="132"/>
      <c r="CG5" s="132"/>
      <c r="CH5" s="132"/>
      <c r="CI5" s="132"/>
      <c r="CJ5" s="132"/>
      <c r="CK5" s="132"/>
      <c r="CL5" s="132"/>
      <c r="CM5" s="132"/>
      <c r="CN5" s="132"/>
    </row>
    <row r="6" spans="1:120">
      <c r="A6" s="132"/>
      <c r="B6" s="132"/>
      <c r="C6" s="132"/>
      <c r="D6" s="132"/>
      <c r="E6" s="132"/>
      <c r="F6" s="132"/>
      <c r="G6" s="182"/>
      <c r="H6" s="182"/>
      <c r="I6" s="132"/>
      <c r="J6" s="132"/>
      <c r="K6" s="182"/>
      <c r="L6" s="182"/>
      <c r="M6" s="132"/>
      <c r="N6" s="132"/>
      <c r="O6" s="182"/>
      <c r="P6" s="182"/>
      <c r="Q6" s="132"/>
      <c r="R6" s="132"/>
      <c r="S6" s="182"/>
      <c r="T6" s="182"/>
      <c r="U6" s="132"/>
      <c r="V6" s="132"/>
      <c r="W6" s="182"/>
      <c r="X6" s="182"/>
      <c r="Y6" s="132"/>
      <c r="Z6" s="132"/>
      <c r="AA6" s="182"/>
      <c r="AB6" s="182"/>
      <c r="AC6" s="132"/>
      <c r="AD6" s="132"/>
      <c r="AE6" s="182"/>
      <c r="AF6" s="182"/>
      <c r="AG6" s="132"/>
      <c r="AH6" s="132"/>
      <c r="AI6" s="182"/>
      <c r="AJ6" s="182"/>
      <c r="AK6" s="132"/>
      <c r="AL6" s="182"/>
      <c r="AM6" s="182"/>
      <c r="AN6" s="182"/>
      <c r="AO6" s="132"/>
      <c r="AP6" s="182"/>
      <c r="AQ6" s="182"/>
      <c r="AR6" s="182"/>
      <c r="AS6" s="132"/>
      <c r="AT6" s="182"/>
      <c r="AU6" s="182"/>
      <c r="AV6" s="182"/>
      <c r="AW6" s="132"/>
      <c r="AX6" s="182"/>
      <c r="AY6" s="182"/>
      <c r="AZ6" s="182"/>
      <c r="BA6" s="132"/>
      <c r="BB6" s="182"/>
      <c r="BC6" s="182"/>
      <c r="BD6" s="182"/>
      <c r="BE6" s="132"/>
      <c r="BF6" s="182"/>
      <c r="BG6" s="182"/>
      <c r="BH6" s="182"/>
      <c r="BI6" s="132"/>
      <c r="BJ6" s="182"/>
      <c r="BK6" s="182"/>
      <c r="BL6" s="182"/>
      <c r="BM6" s="132"/>
      <c r="BN6" s="182"/>
      <c r="BO6" s="182"/>
      <c r="BP6" s="182"/>
      <c r="BQ6" s="132"/>
      <c r="BR6" s="182"/>
      <c r="BS6" s="182"/>
      <c r="BT6" s="182"/>
      <c r="BU6" s="132"/>
      <c r="BV6" s="182"/>
      <c r="BW6" s="182"/>
      <c r="BX6" s="182"/>
      <c r="BY6" s="132"/>
      <c r="BZ6" s="182"/>
      <c r="CA6" s="182"/>
      <c r="CB6" s="182"/>
      <c r="CC6" s="132"/>
      <c r="CD6" s="182"/>
      <c r="CE6" s="182"/>
      <c r="CF6" s="182"/>
      <c r="CG6" s="132"/>
      <c r="CH6" s="182"/>
      <c r="CI6" s="182"/>
      <c r="CJ6" s="182"/>
      <c r="CK6" s="132"/>
      <c r="CL6" s="182"/>
      <c r="CM6" s="182"/>
      <c r="CN6" s="182"/>
    </row>
    <row r="7" spans="1:120">
      <c r="A7" s="132"/>
      <c r="B7" s="132"/>
      <c r="C7" s="132"/>
      <c r="D7" s="181">
        <v>1990</v>
      </c>
      <c r="E7" s="166"/>
      <c r="F7" s="137">
        <f>D7+1</f>
        <v>1991</v>
      </c>
      <c r="G7" s="137"/>
      <c r="H7" s="137"/>
      <c r="I7" s="166"/>
      <c r="J7" s="137">
        <f>F7+1</f>
        <v>1992</v>
      </c>
      <c r="K7" s="137"/>
      <c r="L7" s="137"/>
      <c r="M7" s="166"/>
      <c r="N7" s="137">
        <f>J7+1</f>
        <v>1993</v>
      </c>
      <c r="O7" s="137"/>
      <c r="P7" s="137"/>
      <c r="Q7" s="166"/>
      <c r="R7" s="137">
        <f>N7+1</f>
        <v>1994</v>
      </c>
      <c r="S7" s="137"/>
      <c r="T7" s="137"/>
      <c r="U7" s="166"/>
      <c r="V7" s="137">
        <f>R7+1</f>
        <v>1995</v>
      </c>
      <c r="W7" s="137"/>
      <c r="X7" s="137"/>
      <c r="Y7" s="166"/>
      <c r="Z7" s="137">
        <f>V7+1</f>
        <v>1996</v>
      </c>
      <c r="AA7" s="137"/>
      <c r="AB7" s="137"/>
      <c r="AC7" s="166"/>
      <c r="AD7" s="137">
        <f>Z7+1</f>
        <v>1997</v>
      </c>
      <c r="AE7" s="137"/>
      <c r="AF7" s="137"/>
      <c r="AG7" s="166"/>
      <c r="AH7" s="137">
        <f>AD7+1</f>
        <v>1998</v>
      </c>
      <c r="AI7" s="137"/>
      <c r="AJ7" s="137"/>
      <c r="AK7" s="166"/>
      <c r="AL7" s="137">
        <f>AH7+1</f>
        <v>1999</v>
      </c>
      <c r="AM7" s="137"/>
      <c r="AN7" s="137"/>
      <c r="AO7" s="132"/>
      <c r="AP7" s="137">
        <f>AL7+1</f>
        <v>2000</v>
      </c>
      <c r="AQ7" s="137"/>
      <c r="AR7" s="137"/>
      <c r="AS7" s="132"/>
      <c r="AT7" s="137">
        <f>AP7+1</f>
        <v>2001</v>
      </c>
      <c r="AU7" s="137"/>
      <c r="AV7" s="137"/>
      <c r="AW7" s="132"/>
      <c r="AX7" s="137">
        <f>AT7+1</f>
        <v>2002</v>
      </c>
      <c r="AY7" s="137"/>
      <c r="AZ7" s="137"/>
      <c r="BA7" s="132"/>
      <c r="BB7" s="137">
        <f>AX7+1</f>
        <v>2003</v>
      </c>
      <c r="BC7" s="137"/>
      <c r="BD7" s="137"/>
      <c r="BE7" s="132"/>
      <c r="BF7" s="137">
        <f>BB7+1</f>
        <v>2004</v>
      </c>
      <c r="BG7" s="137"/>
      <c r="BH7" s="137"/>
      <c r="BI7" s="132"/>
      <c r="BJ7" s="137">
        <f>BF7+1</f>
        <v>2005</v>
      </c>
      <c r="BK7" s="137"/>
      <c r="BL7" s="137"/>
      <c r="BM7" s="132"/>
      <c r="BN7" s="137">
        <f>BJ7+1</f>
        <v>2006</v>
      </c>
      <c r="BO7" s="137"/>
      <c r="BP7" s="137"/>
      <c r="BQ7" s="132"/>
      <c r="BR7" s="137">
        <f>BN7+1</f>
        <v>2007</v>
      </c>
      <c r="BS7" s="137"/>
      <c r="BT7" s="137"/>
      <c r="BU7" s="132"/>
      <c r="BV7" s="137">
        <f>BR7+1</f>
        <v>2008</v>
      </c>
      <c r="BW7" s="137"/>
      <c r="BX7" s="137"/>
      <c r="BY7" s="132"/>
      <c r="BZ7" s="137">
        <f>BV7+1</f>
        <v>2009</v>
      </c>
      <c r="CA7" s="137"/>
      <c r="CB7" s="137"/>
      <c r="CC7" s="132"/>
      <c r="CD7" s="137" t="s">
        <v>159</v>
      </c>
      <c r="CE7" s="137"/>
      <c r="CF7" s="137"/>
      <c r="CG7" s="132"/>
      <c r="CH7" s="137" t="s">
        <v>1592</v>
      </c>
      <c r="CI7" s="137"/>
      <c r="CJ7" s="137"/>
      <c r="CK7" s="132"/>
      <c r="CL7" s="137" t="s">
        <v>705</v>
      </c>
      <c r="CM7" s="137"/>
      <c r="CN7" s="137"/>
      <c r="CP7" s="137" t="s">
        <v>1177</v>
      </c>
      <c r="CQ7" s="137"/>
      <c r="CR7" s="137"/>
      <c r="CT7" s="137" t="s">
        <v>2454</v>
      </c>
      <c r="CU7" s="137"/>
      <c r="CV7" s="137"/>
      <c r="CX7" s="137" t="s">
        <v>2459</v>
      </c>
      <c r="CY7" s="137"/>
      <c r="CZ7" s="137"/>
      <c r="DB7" s="137" t="s">
        <v>2460</v>
      </c>
      <c r="DC7" s="137"/>
      <c r="DD7" s="137"/>
      <c r="DF7" s="137">
        <v>2017</v>
      </c>
      <c r="DG7" s="137"/>
      <c r="DH7" s="137"/>
      <c r="DJ7" s="137">
        <v>2018</v>
      </c>
      <c r="DN7" s="137">
        <v>2018</v>
      </c>
      <c r="DO7" s="137"/>
      <c r="DP7" s="137"/>
    </row>
    <row r="8" spans="1:120">
      <c r="A8" s="132"/>
      <c r="B8" s="132"/>
      <c r="C8" s="132"/>
      <c r="D8" s="132"/>
      <c r="E8" s="132"/>
      <c r="F8" s="132"/>
      <c r="G8" s="132"/>
      <c r="H8" s="132"/>
      <c r="I8" s="132"/>
      <c r="J8" s="132"/>
      <c r="K8" s="132"/>
      <c r="L8" s="132"/>
      <c r="M8" s="132"/>
      <c r="N8" s="132"/>
      <c r="O8" s="132"/>
      <c r="P8" s="132"/>
      <c r="Q8" s="132"/>
      <c r="R8" s="132"/>
      <c r="S8" s="132"/>
      <c r="T8" s="132"/>
      <c r="U8" s="132"/>
      <c r="V8" s="132"/>
      <c r="W8" s="132"/>
      <c r="X8" s="132"/>
      <c r="Y8" s="132"/>
      <c r="Z8" s="132"/>
      <c r="AA8" s="132"/>
      <c r="AB8" s="132"/>
      <c r="AC8" s="132"/>
      <c r="AD8" s="132"/>
      <c r="AE8" s="132"/>
      <c r="AF8" s="132"/>
      <c r="AG8" s="132"/>
      <c r="AH8" s="132"/>
      <c r="AI8" s="132"/>
      <c r="AJ8" s="132"/>
      <c r="AK8" s="132"/>
      <c r="AL8" s="132"/>
      <c r="AM8" s="132"/>
      <c r="AN8" s="132"/>
      <c r="AO8" s="132"/>
      <c r="AP8" s="132"/>
      <c r="AQ8" s="132"/>
      <c r="AR8" s="132"/>
      <c r="AS8" s="132"/>
      <c r="AT8" s="132"/>
      <c r="AU8" s="132"/>
      <c r="AV8" s="132"/>
      <c r="AW8" s="132"/>
      <c r="AX8" s="132"/>
      <c r="AY8" s="132"/>
      <c r="AZ8" s="132"/>
      <c r="BA8" s="132"/>
      <c r="BB8" s="132"/>
      <c r="BC8" s="132"/>
      <c r="BD8" s="132"/>
      <c r="BE8" s="132"/>
      <c r="BF8" s="132"/>
      <c r="BG8" s="132"/>
      <c r="BH8" s="132"/>
      <c r="BI8" s="132"/>
      <c r="BJ8" s="132"/>
      <c r="BK8" s="132"/>
      <c r="BL8" s="132"/>
      <c r="BM8" s="132"/>
      <c r="BN8" s="132"/>
      <c r="BO8" s="132"/>
      <c r="BP8" s="132"/>
      <c r="BQ8" s="132"/>
      <c r="BR8" s="132"/>
      <c r="BS8" s="132"/>
      <c r="BT8" s="132"/>
      <c r="BU8" s="132"/>
      <c r="BV8" s="132"/>
      <c r="BW8" s="132"/>
      <c r="BX8" s="132"/>
      <c r="BY8" s="132"/>
      <c r="BZ8" s="132"/>
      <c r="CA8" s="132"/>
      <c r="CB8" s="132"/>
      <c r="CC8" s="132"/>
      <c r="CD8" s="132"/>
      <c r="CE8" s="132"/>
      <c r="CF8" s="132"/>
      <c r="CG8" s="132"/>
      <c r="CH8" s="132"/>
      <c r="CI8" s="132"/>
      <c r="CJ8" s="132"/>
      <c r="CK8" s="132"/>
      <c r="CL8" s="132"/>
      <c r="CM8" s="132"/>
      <c r="CN8" s="132"/>
    </row>
    <row r="9" spans="1:120">
      <c r="A9" s="222" t="s">
        <v>409</v>
      </c>
      <c r="B9" s="136"/>
      <c r="C9" s="132"/>
      <c r="D9" s="136"/>
      <c r="E9" s="132"/>
      <c r="F9" s="138"/>
      <c r="G9" s="138"/>
      <c r="H9" s="138"/>
      <c r="I9" s="138"/>
      <c r="J9" s="138"/>
      <c r="K9" s="138"/>
      <c r="L9" s="138"/>
      <c r="M9" s="220"/>
      <c r="N9" s="220"/>
      <c r="O9" s="138"/>
      <c r="P9" s="138"/>
      <c r="Q9" s="138"/>
      <c r="R9" s="138"/>
      <c r="S9" s="138"/>
      <c r="T9" s="138"/>
      <c r="U9" s="138"/>
      <c r="V9" s="138"/>
      <c r="W9" s="138"/>
      <c r="X9" s="138"/>
      <c r="Y9" s="138"/>
      <c r="Z9" s="138"/>
      <c r="AA9" s="138"/>
      <c r="AB9" s="138"/>
      <c r="AC9" s="220"/>
      <c r="AD9" s="220"/>
      <c r="AE9" s="138"/>
      <c r="AF9" s="138"/>
      <c r="AG9" s="138"/>
      <c r="AH9" s="138"/>
      <c r="AI9" s="138"/>
      <c r="AJ9" s="138"/>
      <c r="AK9" s="138"/>
      <c r="AL9" s="138"/>
      <c r="AM9" s="138"/>
      <c r="AN9" s="138"/>
      <c r="AO9" s="132"/>
      <c r="AP9" s="138"/>
      <c r="AQ9" s="138"/>
      <c r="AR9" s="138"/>
      <c r="AS9" s="132"/>
      <c r="AT9" s="138"/>
      <c r="AU9" s="138"/>
      <c r="AV9" s="138"/>
      <c r="AW9" s="132"/>
      <c r="AX9" s="138"/>
      <c r="AY9" s="138"/>
      <c r="AZ9" s="138"/>
      <c r="BA9" s="132"/>
      <c r="BB9" s="138"/>
      <c r="BC9" s="138"/>
      <c r="BD9" s="138"/>
      <c r="BE9" s="132"/>
      <c r="BF9" s="138"/>
      <c r="BG9" s="138"/>
      <c r="BH9" s="138"/>
      <c r="BI9" s="132"/>
      <c r="BJ9" s="138"/>
      <c r="BK9" s="138"/>
      <c r="BL9" s="138"/>
      <c r="BM9" s="132"/>
      <c r="BN9" s="138"/>
      <c r="BO9" s="138"/>
      <c r="BP9" s="138"/>
      <c r="BQ9" s="132"/>
      <c r="BR9" s="138"/>
      <c r="BS9" s="138"/>
      <c r="BT9" s="138"/>
      <c r="BU9" s="132"/>
      <c r="BV9" s="138"/>
      <c r="BW9" s="138"/>
      <c r="BX9" s="138"/>
      <c r="BY9" s="132"/>
      <c r="BZ9" s="138"/>
      <c r="CA9" s="138"/>
      <c r="CB9" s="138"/>
      <c r="CC9" s="132"/>
      <c r="CD9" s="138"/>
      <c r="CE9" s="138"/>
      <c r="CF9" s="138"/>
      <c r="CG9" s="132"/>
      <c r="CH9" s="138"/>
      <c r="CI9" s="138"/>
      <c r="CJ9" s="138"/>
      <c r="CK9" s="132"/>
      <c r="CL9" s="138"/>
      <c r="CM9" s="138"/>
      <c r="CN9" s="138"/>
    </row>
    <row r="10" spans="1:120">
      <c r="A10" s="132" t="str">
        <f>'qtrP&amp;L'!A10</f>
        <v>1Q</v>
      </c>
      <c r="B10" s="132" t="str">
        <f>'qtrP&amp;L'!B10</f>
        <v>Apr</v>
      </c>
      <c r="C10" s="132"/>
      <c r="D10" s="226"/>
      <c r="E10" s="132"/>
      <c r="F10" s="226"/>
      <c r="G10" s="140" t="e">
        <f>(F10/D10-1)*100</f>
        <v>#DIV/0!</v>
      </c>
      <c r="H10" s="149">
        <f>'qtrP&amp;L'!K10</f>
        <v>0</v>
      </c>
      <c r="I10" s="184"/>
      <c r="J10" s="226"/>
      <c r="K10" s="140" t="e">
        <f>(J10/F10-1)*100</f>
        <v>#DIV/0!</v>
      </c>
      <c r="L10" s="149">
        <f>'qtrP&amp;L'!O10</f>
        <v>10.435096030070557</v>
      </c>
      <c r="M10" s="184"/>
      <c r="N10" s="226"/>
      <c r="O10" s="140" t="e">
        <f>(N10/J10-1)*100</f>
        <v>#DIV/0!</v>
      </c>
      <c r="P10" s="149">
        <f>'qtrP&amp;L'!S10</f>
        <v>2.0916093175926243</v>
      </c>
      <c r="Q10" s="184"/>
      <c r="R10" s="226">
        <v>282.05399999999997</v>
      </c>
      <c r="S10" s="140" t="e">
        <f>(R10/N10-1)*100</f>
        <v>#DIV/0!</v>
      </c>
      <c r="T10" s="149">
        <f>'qtrP&amp;L'!W10</f>
        <v>19.844539235118418</v>
      </c>
      <c r="U10" s="184"/>
      <c r="V10" s="226">
        <v>295.37</v>
      </c>
      <c r="W10" s="140">
        <f>(V10/R10-1)*100</f>
        <v>4.7210817786665027</v>
      </c>
      <c r="X10" s="149">
        <f>'qtrP&amp;L'!AA10</f>
        <v>14.432918975359566</v>
      </c>
      <c r="Y10" s="184"/>
      <c r="Z10" s="226">
        <v>349.017</v>
      </c>
      <c r="AA10" s="140">
        <f>(Z10/V10-1)*100</f>
        <v>18.162643464129722</v>
      </c>
      <c r="AB10" s="149">
        <f>'qtrP&amp;L'!AE10</f>
        <v>20.378436700767267</v>
      </c>
      <c r="AC10" s="184"/>
      <c r="AD10" s="226">
        <v>343.43799999999999</v>
      </c>
      <c r="AE10" s="140">
        <f>(AD10/Z10-1)*100</f>
        <v>-1.5984894718595433</v>
      </c>
      <c r="AF10" s="149">
        <f>'qtrP&amp;L'!AI10</f>
        <v>10.489042331291731</v>
      </c>
      <c r="AG10" s="184"/>
      <c r="AH10" s="226">
        <v>422.44099999999997</v>
      </c>
      <c r="AI10" s="140">
        <f>(AH10/AD10-1)*100</f>
        <v>23.003569785521695</v>
      </c>
      <c r="AJ10" s="149">
        <f>'qtrP&amp;L'!AM10</f>
        <v>13.249941161447975</v>
      </c>
      <c r="AK10" s="184"/>
      <c r="AL10" s="226">
        <v>523.48</v>
      </c>
      <c r="AM10" s="140">
        <f>(AL10/AH10-1)*100</f>
        <v>23.917896226928747</v>
      </c>
      <c r="AN10" s="149">
        <f>'qtrP&amp;L'!AQ10</f>
        <v>20.3918482129829</v>
      </c>
      <c r="AO10" s="132"/>
      <c r="AP10" s="226">
        <v>525.59400000000005</v>
      </c>
      <c r="AQ10" s="140">
        <f>(AP10/AL10-1)*100</f>
        <v>0.40383586765493362</v>
      </c>
      <c r="AR10" s="149">
        <f>'qtrP&amp;L'!AU10</f>
        <v>26.761716927981418</v>
      </c>
      <c r="AS10" s="132"/>
      <c r="AT10" s="226">
        <v>665.89300000000003</v>
      </c>
      <c r="AU10" s="140">
        <f>(AT10/AP10-1)*100</f>
        <v>26.69341735255728</v>
      </c>
      <c r="AV10" s="149">
        <f>'qtrP&amp;L'!AY10</f>
        <v>-2.5328631900400578</v>
      </c>
      <c r="AW10" s="132"/>
      <c r="AX10" s="226">
        <v>653.08199999999999</v>
      </c>
      <c r="AY10" s="140">
        <f>(AX10/AT10-1)*100</f>
        <v>-1.9238826658337094</v>
      </c>
      <c r="AZ10" s="149">
        <f>'qtrP&amp;L'!BC10</f>
        <v>3.189051162154688</v>
      </c>
      <c r="BA10" s="132"/>
      <c r="BB10" s="226">
        <v>765.78</v>
      </c>
      <c r="BC10" s="140">
        <f>(BB10/AX10-1)*100</f>
        <v>17.256332282929243</v>
      </c>
      <c r="BD10" s="149">
        <f>'qtrP&amp;L'!BG10</f>
        <v>14.032247377775974</v>
      </c>
      <c r="BE10" s="132"/>
      <c r="BF10" s="226">
        <v>964.95399999999995</v>
      </c>
      <c r="BG10" s="140">
        <f>(BF10/BB10-1)*100</f>
        <v>26.009297709524937</v>
      </c>
      <c r="BH10" s="149">
        <f>'qtrP&amp;L'!BK10</f>
        <v>15.440873688545075</v>
      </c>
      <c r="BI10" s="132"/>
      <c r="BJ10" s="226">
        <v>1073.605</v>
      </c>
      <c r="BK10" s="140">
        <f>(BJ10/BF10-1)*100</f>
        <v>11.259707716637269</v>
      </c>
      <c r="BL10" s="149">
        <f>'qtrP&amp;L'!BO10</f>
        <v>11.585477941176482</v>
      </c>
      <c r="BM10" s="132"/>
      <c r="BN10" s="226">
        <v>1140.829</v>
      </c>
      <c r="BO10" s="140">
        <f>(BN10/BJ10-1)*100</f>
        <v>6.2615207641544046</v>
      </c>
      <c r="BP10" s="149">
        <f>'qtrP&amp;L'!BS10</f>
        <v>1.0698155132074394</v>
      </c>
      <c r="BQ10" s="132"/>
      <c r="BR10" s="226">
        <v>1335.729</v>
      </c>
      <c r="BS10" s="140">
        <f>(BR10/BN10-1)*100</f>
        <v>17.08406781384415</v>
      </c>
      <c r="BT10" s="149">
        <f>'qtrP&amp;L'!BW10</f>
        <v>15.595627100489784</v>
      </c>
      <c r="BU10" s="132"/>
      <c r="BV10" s="226">
        <v>1466.1659999999999</v>
      </c>
      <c r="BW10" s="140">
        <f>(BV10/BR10-1)*100</f>
        <v>9.7652293242117096</v>
      </c>
      <c r="BX10" s="149">
        <f>'qtrP&amp;L'!CA10</f>
        <v>11.708511756184436</v>
      </c>
      <c r="BY10" s="132"/>
      <c r="BZ10" s="226">
        <v>1553.7170000000001</v>
      </c>
      <c r="CA10" s="140">
        <f>(BZ10/BV10-1)*100</f>
        <v>5.9714247909172791</v>
      </c>
      <c r="CB10" s="149">
        <f>'qtrP&amp;L'!CE10</f>
        <v>-22.219300354631244</v>
      </c>
      <c r="CC10" s="132"/>
      <c r="CD10" s="226">
        <v>1473.73</v>
      </c>
      <c r="CE10" s="140">
        <f>(CD10/BZ10-1)*100</f>
        <v>-5.1481061222861113</v>
      </c>
      <c r="CF10" s="149">
        <f>'qtrP&amp;L'!CI10</f>
        <v>22.404876211083536</v>
      </c>
      <c r="CG10" s="132"/>
      <c r="CH10" s="226">
        <v>1720.895</v>
      </c>
      <c r="CI10" s="140">
        <f>(CH10/CD10-1)*100</f>
        <v>16.77138960325162</v>
      </c>
      <c r="CJ10" s="149">
        <f>'qtrP&amp;L'!CM10</f>
        <v>20.112818149390922</v>
      </c>
      <c r="CK10" s="132"/>
      <c r="CL10" s="226">
        <v>2189.8690000000001</v>
      </c>
      <c r="CM10" s="140">
        <f>(CL10/CH10-1)*100</f>
        <v>27.251749816229353</v>
      </c>
      <c r="CN10" s="149">
        <f>'qtrP&amp;L'!CQ10</f>
        <v>7.6413435687460618</v>
      </c>
      <c r="CP10" s="226">
        <v>2280.39</v>
      </c>
      <c r="CQ10" s="140">
        <f>(CP10/CL10-1)*100</f>
        <v>4.1336262580090377</v>
      </c>
      <c r="CR10" s="149">
        <f>'qtrP&amp;L'!CU10</f>
        <v>9.316014990783362</v>
      </c>
      <c r="CT10" s="226">
        <v>2418.395</v>
      </c>
      <c r="CU10" s="140">
        <f>0+((CT10/CP10-1)*100)</f>
        <v>6.0518156981919757</v>
      </c>
      <c r="CV10" s="149">
        <f>'qtrP&amp;L'!CY10</f>
        <v>13.026251725323945</v>
      </c>
      <c r="CX10" s="226">
        <v>2363</v>
      </c>
      <c r="CY10" s="140">
        <f>0+((CX10/CT10-1)*100)</f>
        <v>-2.2905687449734202</v>
      </c>
      <c r="CZ10" s="149">
        <f>'qtrP&amp;L'!DC10</f>
        <v>-4.9135883461840946</v>
      </c>
      <c r="DB10" s="226">
        <v>2320.1</v>
      </c>
      <c r="DC10" s="140">
        <f>0+((DB10/CX10-1)*100)</f>
        <v>-1.815488785442243</v>
      </c>
      <c r="DD10" s="149">
        <f>'qtrP&amp;L'!DG10</f>
        <v>-7.3877805486284309</v>
      </c>
      <c r="DF10" s="226">
        <v>2197.4</v>
      </c>
      <c r="DG10" s="140">
        <f>0+((DF10/DB10-1)*100)</f>
        <v>-5.2885651480539586</v>
      </c>
      <c r="DH10" s="149">
        <f>'qtrP&amp;L'!DK10</f>
        <v>0.9312240547515005</v>
      </c>
      <c r="DO10" s="2443"/>
    </row>
    <row r="11" spans="1:120">
      <c r="A11" s="132" t="str">
        <f>'qtrP&amp;L'!A11</f>
        <v>2Q</v>
      </c>
      <c r="B11" s="132" t="str">
        <f>'qtrP&amp;L'!B11</f>
        <v>Jul</v>
      </c>
      <c r="C11" s="132"/>
      <c r="D11" s="243"/>
      <c r="E11" s="132"/>
      <c r="F11" s="243">
        <v>183.25399999999999</v>
      </c>
      <c r="G11" s="140" t="e">
        <f>(F11/D11-1)*100</f>
        <v>#DIV/0!</v>
      </c>
      <c r="H11" s="149">
        <f>'qtrP&amp;L'!K11</f>
        <v>0</v>
      </c>
      <c r="I11" s="184"/>
      <c r="J11" s="243">
        <v>241.398</v>
      </c>
      <c r="K11" s="140">
        <f>(J11/F11-1)*100</f>
        <v>31.728638938304222</v>
      </c>
      <c r="L11" s="149">
        <f>'qtrP&amp;L'!O11</f>
        <v>1.2213919512113369</v>
      </c>
      <c r="M11" s="184"/>
      <c r="N11" s="243"/>
      <c r="O11" s="140">
        <f>(N11/J11-1)*100</f>
        <v>-100</v>
      </c>
      <c r="P11" s="149">
        <f>'qtrP&amp;L'!S11</f>
        <v>-5.4597368203260777</v>
      </c>
      <c r="Q11" s="184"/>
      <c r="R11" s="243">
        <v>291.03100000000001</v>
      </c>
      <c r="S11" s="140" t="e">
        <f>(R11/N11-1)*100</f>
        <v>#DIV/0!</v>
      </c>
      <c r="T11" s="149">
        <f>'qtrP&amp;L'!W11</f>
        <v>33.286353330473673</v>
      </c>
      <c r="U11" s="184"/>
      <c r="V11" s="243">
        <v>299.69799999999998</v>
      </c>
      <c r="W11" s="140">
        <f>(V11/R11-1)*100</f>
        <v>2.9780332679336441</v>
      </c>
      <c r="X11" s="149">
        <f>'qtrP&amp;L'!AA11</f>
        <v>21.296229401603849</v>
      </c>
      <c r="Y11" s="184"/>
      <c r="Z11" s="243">
        <v>365.67599999999999</v>
      </c>
      <c r="AA11" s="140">
        <f>(Z11/V11-1)*100</f>
        <v>22.014828260448848</v>
      </c>
      <c r="AB11" s="149">
        <f>'qtrP&amp;L'!AE11</f>
        <v>9.7903423181468838</v>
      </c>
      <c r="AC11" s="184"/>
      <c r="AD11" s="243">
        <v>372.78699999999998</v>
      </c>
      <c r="AE11" s="140">
        <f>(AD11/Z11-1)*100</f>
        <v>1.9446176396591408</v>
      </c>
      <c r="AF11" s="149">
        <f>'qtrP&amp;L'!AI11</f>
        <v>7.094982812446049</v>
      </c>
      <c r="AG11" s="184"/>
      <c r="AH11" s="243">
        <v>430.88600000000002</v>
      </c>
      <c r="AI11" s="140">
        <f>(AH11/AD11-1)*100</f>
        <v>15.585039177868332</v>
      </c>
      <c r="AJ11" s="149">
        <f>'qtrP&amp;L'!AM11</f>
        <v>14.079272757415428</v>
      </c>
      <c r="AK11" s="184"/>
      <c r="AL11" s="243">
        <v>536.60299999999995</v>
      </c>
      <c r="AM11" s="140">
        <f>(AL11/AH11-1)*100</f>
        <v>24.534795746438711</v>
      </c>
      <c r="AN11" s="149">
        <f>'qtrP&amp;L'!AQ11</f>
        <v>23.956289711854417</v>
      </c>
      <c r="AO11" s="132"/>
      <c r="AP11" s="243">
        <v>559.67499999999995</v>
      </c>
      <c r="AQ11" s="140">
        <f>(AP11/AL11-1)*100</f>
        <v>4.2996405163594043</v>
      </c>
      <c r="AR11" s="149">
        <f>'qtrP&amp;L'!AU11</f>
        <v>21.943419514307937</v>
      </c>
      <c r="AS11" s="132"/>
      <c r="AT11" s="243">
        <v>667.79899999999998</v>
      </c>
      <c r="AU11" s="140">
        <f>(AT11/AP11-1)*100</f>
        <v>19.319069102604193</v>
      </c>
      <c r="AV11" s="149">
        <f>'qtrP&amp;L'!AY11</f>
        <v>-0.8404371234457142</v>
      </c>
      <c r="AW11" s="132"/>
      <c r="AX11" s="243">
        <v>689.73199999999997</v>
      </c>
      <c r="AY11" s="140">
        <f>(AX11/AT11-1)*100</f>
        <v>3.2843714950157255</v>
      </c>
      <c r="AZ11" s="149">
        <f>'qtrP&amp;L'!BC11</f>
        <v>0.84190454644614832</v>
      </c>
      <c r="BA11" s="132"/>
      <c r="BB11" s="243">
        <v>814.40599999999995</v>
      </c>
      <c r="BC11" s="140">
        <f>(BB11/AX11-1)*100</f>
        <v>18.075716365196914</v>
      </c>
      <c r="BD11" s="149">
        <f>'qtrP&amp;L'!BG11</f>
        <v>18.179244552342631</v>
      </c>
      <c r="BE11" s="132"/>
      <c r="BF11" s="243">
        <v>1034.404</v>
      </c>
      <c r="BG11" s="140">
        <f>(BF11/BB11-1)*100</f>
        <v>27.01330785873386</v>
      </c>
      <c r="BH11" s="149">
        <f>'qtrP&amp;L'!BK11</f>
        <v>7.7067537486299242</v>
      </c>
      <c r="BI11" s="132"/>
      <c r="BJ11" s="243">
        <v>1066.3710000000001</v>
      </c>
      <c r="BK11" s="140">
        <f>(BJ11/BF11-1)*100</f>
        <v>3.0903786141585066</v>
      </c>
      <c r="BL11" s="149">
        <f>'qtrP&amp;L'!BO11</f>
        <v>10.512865167006936</v>
      </c>
      <c r="BM11" s="132"/>
      <c r="BN11" s="243">
        <v>1174.319</v>
      </c>
      <c r="BO11" s="140">
        <f>(BN11/BJ11-1)*100</f>
        <v>10.122930949922671</v>
      </c>
      <c r="BP11" s="149">
        <f>'qtrP&amp;L'!BS11</f>
        <v>5.307755253929658</v>
      </c>
      <c r="BQ11" s="132"/>
      <c r="BR11" s="243">
        <v>1369.019</v>
      </c>
      <c r="BS11" s="140">
        <f>(BR11/BN11-1)*100</f>
        <v>16.579822007478384</v>
      </c>
      <c r="BT11" s="149">
        <f>'qtrP&amp;L'!BW11</f>
        <v>19.454365490744728</v>
      </c>
      <c r="BU11" s="132"/>
      <c r="BV11" s="243">
        <v>1511.921</v>
      </c>
      <c r="BW11" s="140">
        <f>(BV11/BR11-1)*100</f>
        <v>10.438277335814927</v>
      </c>
      <c r="BX11" s="149">
        <f>'qtrP&amp;L'!CA11</f>
        <v>10.123128099709922</v>
      </c>
      <c r="BY11" s="132"/>
      <c r="BZ11" s="243">
        <v>1538.5139999999999</v>
      </c>
      <c r="CA11" s="140">
        <f>(BZ11/BV11-1)*100</f>
        <v>1.7588881958779501</v>
      </c>
      <c r="CB11" s="149">
        <f>'qtrP&amp;L'!CE11</f>
        <v>-16.054761702442587</v>
      </c>
      <c r="CC11" s="132"/>
      <c r="CD11" s="243">
        <v>1553.117</v>
      </c>
      <c r="CE11" s="140">
        <f>(CD11/BZ11-1)*100</f>
        <v>0.94916263355420138</v>
      </c>
      <c r="CF11" s="149">
        <f>'qtrP&amp;L'!CI11</f>
        <v>9.1865539687800322</v>
      </c>
      <c r="CG11" s="132"/>
      <c r="CH11" s="243">
        <v>1836.874</v>
      </c>
      <c r="CI11" s="140">
        <f>(CH11/CD11-1)*100</f>
        <v>18.270162518342147</v>
      </c>
      <c r="CJ11" s="149">
        <f>'qtrP&amp;L'!CM11</f>
        <v>30.497039296608651</v>
      </c>
      <c r="CK11" s="132"/>
      <c r="CL11" s="243">
        <v>2230.4740000000002</v>
      </c>
      <c r="CM11" s="140">
        <f>(CL11/CH11-1)*100</f>
        <v>21.427708160712179</v>
      </c>
      <c r="CN11" s="149">
        <f>'qtrP&amp;L'!CQ11</f>
        <v>1.5878090366581388</v>
      </c>
      <c r="CP11" s="1730">
        <v>2328.5100000000002</v>
      </c>
      <c r="CQ11" s="140">
        <f>(CP11/CL11-1)*100</f>
        <v>4.3952989364592465</v>
      </c>
      <c r="CR11" s="149">
        <f>'qtrP&amp;L'!CU11</f>
        <v>4.4345110194468962</v>
      </c>
      <c r="CT11" s="1730">
        <v>2531.451</v>
      </c>
      <c r="CU11" s="140">
        <f>(CT11/CP11-1)*100</f>
        <v>8.7154875864823289</v>
      </c>
      <c r="CV11" s="149">
        <f>'qtrP&amp;L'!CY11</f>
        <v>7.2412958858776966</v>
      </c>
      <c r="CX11" s="1730">
        <v>2357.6999999999998</v>
      </c>
      <c r="CY11" s="140">
        <f>0+((CX11/CT11-1)*100)</f>
        <v>-6.8636920090493607</v>
      </c>
      <c r="CZ11" s="149">
        <f>'qtrP&amp;L'!DC11</f>
        <v>-0.24473024281670419</v>
      </c>
      <c r="DB11" s="1730">
        <v>2324.8000000000002</v>
      </c>
      <c r="DC11" s="140">
        <f>0+((DB11/CX11-1)*100)</f>
        <v>-1.3954277473809062</v>
      </c>
      <c r="DD11" s="149">
        <f>'qtrP&amp;L'!DG11</f>
        <v>-5.9464916708733</v>
      </c>
      <c r="DF11" s="1730">
        <v>2236.9</v>
      </c>
      <c r="DG11" s="140">
        <f>0+((DF11/DB11-1)*100)</f>
        <v>-3.7809704060564386</v>
      </c>
      <c r="DH11" s="149">
        <f>'qtrP&amp;L'!DK11</f>
        <v>3.0163160154572877</v>
      </c>
      <c r="DO11" s="2443"/>
    </row>
    <row r="12" spans="1:120">
      <c r="A12" s="132" t="str">
        <f>'qtrP&amp;L'!A12</f>
        <v>3Q</v>
      </c>
      <c r="B12" s="132" t="str">
        <f>'qtrP&amp;L'!B12</f>
        <v>Oct</v>
      </c>
      <c r="C12" s="132"/>
      <c r="D12" s="243"/>
      <c r="E12" s="132"/>
      <c r="F12" s="243"/>
      <c r="G12" s="140" t="e">
        <f>(F12/D12-1)*100</f>
        <v>#DIV/0!</v>
      </c>
      <c r="H12" s="149">
        <f>'qtrP&amp;L'!K12</f>
        <v>0</v>
      </c>
      <c r="I12" s="184"/>
      <c r="J12" s="243"/>
      <c r="K12" s="140" t="e">
        <f>(J12/F12-1)*100</f>
        <v>#DIV/0!</v>
      </c>
      <c r="L12" s="149">
        <f>'qtrP&amp;L'!O12</f>
        <v>-16.221390653554945</v>
      </c>
      <c r="M12" s="184"/>
      <c r="N12" s="243"/>
      <c r="O12" s="140" t="e">
        <f>(N12/J12-1)*100</f>
        <v>#DIV/0!</v>
      </c>
      <c r="P12" s="149">
        <f>'qtrP&amp;L'!S12</f>
        <v>27.246286485924998</v>
      </c>
      <c r="Q12" s="184"/>
      <c r="R12" s="243">
        <v>305.69900000000001</v>
      </c>
      <c r="S12" s="140" t="e">
        <f>(R12/N12-1)*100</f>
        <v>#DIV/0!</v>
      </c>
      <c r="T12" s="149">
        <f>'qtrP&amp;L'!W12</f>
        <v>18.805936920222631</v>
      </c>
      <c r="U12" s="184"/>
      <c r="V12" s="243">
        <v>323.38400000000001</v>
      </c>
      <c r="W12" s="140">
        <f>(V12/R12-1)*100</f>
        <v>5.785102339229109</v>
      </c>
      <c r="X12" s="149">
        <f>'qtrP&amp;L'!AA12</f>
        <v>17.287042994296975</v>
      </c>
      <c r="Y12" s="184"/>
      <c r="Z12" s="243">
        <v>389.91</v>
      </c>
      <c r="AA12" s="140">
        <f>(Z12/V12-1)*100</f>
        <v>20.571827919748653</v>
      </c>
      <c r="AB12" s="149">
        <f>'qtrP&amp;L'!AE12</f>
        <v>12.365923543133484</v>
      </c>
      <c r="AC12" s="184"/>
      <c r="AD12" s="243">
        <v>415.37099999999998</v>
      </c>
      <c r="AE12" s="140">
        <f>(AD12/Z12-1)*100</f>
        <v>6.5299684542586611</v>
      </c>
      <c r="AF12" s="149">
        <f>'qtrP&amp;L'!AI12</f>
        <v>10.469464653885341</v>
      </c>
      <c r="AG12" s="184"/>
      <c r="AH12" s="243">
        <v>519.42700000000002</v>
      </c>
      <c r="AI12" s="140">
        <f>(AH12/AD12-1)*100</f>
        <v>25.051339645762472</v>
      </c>
      <c r="AJ12" s="149">
        <f>'qtrP&amp;L'!AM12</f>
        <v>8.360434883341771</v>
      </c>
      <c r="AK12" s="184"/>
      <c r="AL12" s="243">
        <v>575.96199999999999</v>
      </c>
      <c r="AM12" s="140">
        <f>(AL12/AH12-1)*100</f>
        <v>10.884108835312745</v>
      </c>
      <c r="AN12" s="149">
        <f>'qtrP&amp;L'!AQ12</f>
        <v>27.77399429838454</v>
      </c>
      <c r="AO12" s="132"/>
      <c r="AP12" s="243">
        <v>657.10599999999999</v>
      </c>
      <c r="AQ12" s="140">
        <f>(AP12/AL12-1)*100</f>
        <v>14.088429444998107</v>
      </c>
      <c r="AR12" s="149">
        <f>'qtrP&amp;L'!AU12</f>
        <v>15.298135144682767</v>
      </c>
      <c r="AS12" s="132"/>
      <c r="AT12" s="243">
        <v>702.75199999999995</v>
      </c>
      <c r="AU12" s="140">
        <f>(AT12/AP12-1)*100</f>
        <v>6.9465200439502883</v>
      </c>
      <c r="AV12" s="149">
        <f>'qtrP&amp;L'!AY12</f>
        <v>-10.481785881303185</v>
      </c>
      <c r="AW12" s="132"/>
      <c r="AX12" s="243">
        <v>777.93200000000002</v>
      </c>
      <c r="AY12" s="140">
        <f>(AX12/AT12-1)*100</f>
        <v>10.697941805928712</v>
      </c>
      <c r="AZ12" s="149">
        <f>'qtrP&amp;L'!BC12</f>
        <v>9.8953986201264499</v>
      </c>
      <c r="BA12" s="132"/>
      <c r="BB12" s="243">
        <v>897.48199999999997</v>
      </c>
      <c r="BC12" s="140">
        <f>(BB12/AX12-1)*100</f>
        <v>15.367667096867077</v>
      </c>
      <c r="BD12" s="149">
        <f>'qtrP&amp;L'!BG12</f>
        <v>17.50935024984086</v>
      </c>
      <c r="BE12" s="132"/>
      <c r="BF12" s="243">
        <v>1130.7670000000001</v>
      </c>
      <c r="BG12" s="140">
        <f>(BF12/BB12-1)*100</f>
        <v>25.993278973840162</v>
      </c>
      <c r="BH12" s="149">
        <f>'qtrP&amp;L'!BK12</f>
        <v>7.2139829769624075</v>
      </c>
      <c r="BI12" s="132"/>
      <c r="BJ12" s="243">
        <v>1104.326</v>
      </c>
      <c r="BK12" s="140">
        <f>(BJ12/BF12-1)*100</f>
        <v>-2.3383243409119681</v>
      </c>
      <c r="BL12" s="149">
        <f>'qtrP&amp;L'!BO12</f>
        <v>8.4468895288321466</v>
      </c>
      <c r="BM12" s="132"/>
      <c r="BN12" s="243">
        <v>1247.0889999999999</v>
      </c>
      <c r="BO12" s="140">
        <f>(BN12/BJ12-1)*100</f>
        <v>12.927613766224821</v>
      </c>
      <c r="BP12" s="149">
        <f>'qtrP&amp;L'!BS12</f>
        <v>6.3444676617910201</v>
      </c>
      <c r="BQ12" s="132"/>
      <c r="BR12" s="243">
        <v>1465.502</v>
      </c>
      <c r="BS12" s="140">
        <f>(BR12/BN12-1)*100</f>
        <v>17.513826198450943</v>
      </c>
      <c r="BT12" s="149">
        <f>'qtrP&amp;L'!BW12</f>
        <v>17.95466254507987</v>
      </c>
      <c r="BU12" s="132"/>
      <c r="BV12" s="243">
        <v>1638.479</v>
      </c>
      <c r="BW12" s="140">
        <f>(BV12/BR12-1)*100</f>
        <v>11.803259224484176</v>
      </c>
      <c r="BX12" s="149">
        <f>'qtrP&amp;L'!CA12</f>
        <v>-1.7807413405853012</v>
      </c>
      <c r="BY12" s="132"/>
      <c r="BZ12" s="243">
        <v>1541.8879999999999</v>
      </c>
      <c r="CA12" s="140">
        <f>(BZ12/BV12-1)*100</f>
        <v>-5.8951625257327116</v>
      </c>
      <c r="CB12" s="149">
        <f>'qtrP&amp;L'!CE12</f>
        <v>-2.9116192108440853</v>
      </c>
      <c r="CC12" s="132"/>
      <c r="CD12" s="243">
        <v>1654.5519999999999</v>
      </c>
      <c r="CE12" s="140">
        <f>(CD12/BZ12-1)*100</f>
        <v>7.3068861032707932</v>
      </c>
      <c r="CF12" s="149">
        <f>'qtrP&amp;L'!CI12</f>
        <v>13.96110409018878</v>
      </c>
      <c r="CG12" s="132"/>
      <c r="CH12" s="243">
        <v>2065.4659999999999</v>
      </c>
      <c r="CI12" s="140">
        <f>(CH12/CD12-1)*100</f>
        <v>24.835363288672706</v>
      </c>
      <c r="CJ12" s="149">
        <f>'qtrP&amp;L'!CM12</f>
        <v>20.541593507097389</v>
      </c>
      <c r="CK12" s="132"/>
      <c r="CL12" s="243">
        <v>2289.5709999999999</v>
      </c>
      <c r="CM12" s="140">
        <f>(CL12/CH12-1)*100</f>
        <v>10.850093877120216</v>
      </c>
      <c r="CN12" s="149">
        <f>'qtrP&amp;L'!CQ12</f>
        <v>3.769194917780827</v>
      </c>
      <c r="CP12" s="243">
        <v>2418.71</v>
      </c>
      <c r="CQ12" s="140">
        <f>(CP12/CL12-1)*100</f>
        <v>5.6403142772161408</v>
      </c>
      <c r="CR12" s="149">
        <f>'qtrP&amp;L'!CU12</f>
        <v>6.8880234443987165</v>
      </c>
      <c r="CT12" s="243">
        <v>2560.3690000000001</v>
      </c>
      <c r="CU12" s="140">
        <f>(CT12/CP12-1)*100</f>
        <v>5.8567996990131155</v>
      </c>
      <c r="CV12" s="149">
        <f>'qtrP&amp;L'!CY12</f>
        <v>5.2783501082856787</v>
      </c>
      <c r="CX12" s="243">
        <v>2347</v>
      </c>
      <c r="CY12" s="140">
        <f>0+((CX12/CT12-1)*100)</f>
        <v>-8.3335253629457373</v>
      </c>
      <c r="CZ12" s="149">
        <f>'qtrP&amp;L'!DC12</f>
        <v>-2.2289751133037217</v>
      </c>
      <c r="DB12" s="243">
        <v>2303.1</v>
      </c>
      <c r="DC12" s="140">
        <f>0+((DB12/CX12-1)*100)</f>
        <v>-1.8704729441840651</v>
      </c>
      <c r="DD12" s="149">
        <f>'qtrP&amp;L'!DG12</f>
        <v>1.1831166062673093</v>
      </c>
      <c r="DF12" s="243">
        <v>2327.4</v>
      </c>
      <c r="DG12" s="140">
        <f>0+((DF12/DB12-1)*100)</f>
        <v>1.0550996483001285</v>
      </c>
      <c r="DH12" s="149">
        <f>'qtrP&amp;L'!DK12</f>
        <v>2.8336669124618297</v>
      </c>
      <c r="DO12" s="2443"/>
    </row>
    <row r="13" spans="1:120">
      <c r="A13" s="132" t="str">
        <f>'qtrP&amp;L'!A13</f>
        <v>4Q</v>
      </c>
      <c r="B13" s="132" t="str">
        <f>'qtrP&amp;L'!B13</f>
        <v>Jan</v>
      </c>
      <c r="C13" s="132"/>
      <c r="D13" s="243"/>
      <c r="E13" s="132"/>
      <c r="F13" s="243">
        <v>213.435</v>
      </c>
      <c r="G13" s="140" t="e">
        <f>(F13/D13-1)*100</f>
        <v>#DIV/0!</v>
      </c>
      <c r="H13" s="149">
        <f>'qtrP&amp;L'!K13</f>
        <v>0</v>
      </c>
      <c r="I13" s="184"/>
      <c r="J13" s="243"/>
      <c r="K13" s="140">
        <f>(J13/F13-1)*100</f>
        <v>-100</v>
      </c>
      <c r="L13" s="149">
        <f>'qtrP&amp;L'!O13</f>
        <v>2.2834635102128686</v>
      </c>
      <c r="M13" s="184"/>
      <c r="N13" s="243">
        <v>262.28199999999998</v>
      </c>
      <c r="O13" s="140" t="e">
        <f>(N13/J13-1)*100</f>
        <v>#DIV/0!</v>
      </c>
      <c r="P13" s="149">
        <f>'qtrP&amp;L'!S13</f>
        <v>36.479456278578496</v>
      </c>
      <c r="Q13" s="184"/>
      <c r="R13" s="243">
        <v>270.07499999999999</v>
      </c>
      <c r="S13" s="140">
        <f>(R13/N13-1)*100</f>
        <v>2.9712294400683348</v>
      </c>
      <c r="T13" s="149">
        <f>'qtrP&amp;L'!W13</f>
        <v>15.016078870585513</v>
      </c>
      <c r="U13" s="184"/>
      <c r="V13" s="243">
        <v>311.25200000000001</v>
      </c>
      <c r="W13" s="140">
        <f>(V13/R13-1)*100</f>
        <v>15.246505600296212</v>
      </c>
      <c r="X13" s="149">
        <f>'qtrP&amp;L'!AA13</f>
        <v>17.312225212725039</v>
      </c>
      <c r="Y13" s="184"/>
      <c r="Z13" s="243">
        <v>335.38900000000001</v>
      </c>
      <c r="AA13" s="140">
        <f>(Z13/V13-1)*100</f>
        <v>7.7548096076491158</v>
      </c>
      <c r="AB13" s="149">
        <f>'qtrP&amp;L'!AE13</f>
        <v>16.714998218738874</v>
      </c>
      <c r="AC13" s="184"/>
      <c r="AD13" s="243">
        <v>386.43099999999998</v>
      </c>
      <c r="AE13" s="140">
        <f>(AD13/Z13-1)*100</f>
        <v>15.218745993458338</v>
      </c>
      <c r="AF13" s="149">
        <f>'qtrP&amp;L'!AI13</f>
        <v>12.232196545377395</v>
      </c>
      <c r="AG13" s="184"/>
      <c r="AH13" s="243">
        <v>481.43900000000002</v>
      </c>
      <c r="AI13" s="140">
        <f>(AH13/AD13-1)*100</f>
        <v>24.586019237587053</v>
      </c>
      <c r="AJ13" s="149">
        <f>'qtrP&amp;L'!AM13</f>
        <v>22.789058293037144</v>
      </c>
      <c r="AK13" s="184"/>
      <c r="AL13" s="243">
        <v>504.8</v>
      </c>
      <c r="AM13" s="140">
        <f>(AL13/AH13-1)*100</f>
        <v>4.8523281246430017</v>
      </c>
      <c r="AN13" s="149">
        <f>'qtrP&amp;L'!AQ13</f>
        <v>26.169466298107569</v>
      </c>
      <c r="AO13" s="132"/>
      <c r="AP13" s="243">
        <v>651.71699999999998</v>
      </c>
      <c r="AQ13" s="140">
        <f>(AP13/AL13-1)*100</f>
        <v>29.104001584786054</v>
      </c>
      <c r="AR13" s="149">
        <f>'qtrP&amp;L'!AU13</f>
        <v>1.1851344708939227</v>
      </c>
      <c r="AS13" s="132"/>
      <c r="AT13" s="243">
        <v>611.65300000000002</v>
      </c>
      <c r="AU13" s="140">
        <f>(AT13/AP13-1)*100</f>
        <v>-6.14745357263965</v>
      </c>
      <c r="AV13" s="149">
        <f>'qtrP&amp;L'!AY13</f>
        <v>-1.8445811957508162</v>
      </c>
      <c r="AW13" s="132"/>
      <c r="AX13" s="243">
        <v>732.08799999999997</v>
      </c>
      <c r="AY13" s="140">
        <f>(AX13/AT13-1)*100</f>
        <v>19.690085718536476</v>
      </c>
      <c r="AZ13" s="149">
        <f>'qtrP&amp;L'!BC13</f>
        <v>9.4128418637617894</v>
      </c>
      <c r="BA13" s="132"/>
      <c r="BB13" s="243">
        <v>871.25099999999998</v>
      </c>
      <c r="BC13" s="140">
        <f>(BB13/AX13-1)*100</f>
        <v>19.009053556403053</v>
      </c>
      <c r="BD13" s="149">
        <f>'qtrP&amp;L'!BG13</f>
        <v>18.186209336475969</v>
      </c>
      <c r="BE13" s="132"/>
      <c r="BF13" s="243">
        <v>1057.2449999999999</v>
      </c>
      <c r="BG13" s="140">
        <f>(BF13/BB13-1)*100</f>
        <v>21.347923847433158</v>
      </c>
      <c r="BH13" s="149">
        <f>'qtrP&amp;L'!BK13</f>
        <v>10.734730476716404</v>
      </c>
      <c r="BI13" s="132"/>
      <c r="BJ13" s="243">
        <v>1060.164</v>
      </c>
      <c r="BK13" s="140">
        <f>(BJ13/BF13-1)*100</f>
        <v>0.27609494488034514</v>
      </c>
      <c r="BL13" s="149">
        <f>'qtrP&amp;L'!BO13</f>
        <v>5.9650274896867472</v>
      </c>
      <c r="BM13" s="132"/>
      <c r="BN13" s="243">
        <v>1146.674</v>
      </c>
      <c r="BO13" s="140">
        <f>(BN13/BJ13-1)*100</f>
        <v>8.16005825513788</v>
      </c>
      <c r="BP13" s="149">
        <f>'qtrP&amp;L'!BS13</f>
        <v>11.700328267590487</v>
      </c>
      <c r="BQ13" s="132"/>
      <c r="BR13" s="243">
        <v>1372.3969999999999</v>
      </c>
      <c r="BS13" s="140">
        <f>(BR13/BN13-1)*100</f>
        <v>19.685019456270926</v>
      </c>
      <c r="BT13" s="149">
        <f>'qtrP&amp;L'!BW13</f>
        <v>9.8311897022276931</v>
      </c>
      <c r="BU13" s="132"/>
      <c r="BV13" s="243">
        <v>1601.2360000000001</v>
      </c>
      <c r="BW13" s="140">
        <f>(BV13/BR13-1)*100</f>
        <v>16.674402523468078</v>
      </c>
      <c r="BX13" s="149">
        <f>'qtrP&amp;L'!CA13</f>
        <v>-20.468363216500485</v>
      </c>
      <c r="BY13" s="132"/>
      <c r="BZ13" s="243">
        <v>1427.855</v>
      </c>
      <c r="CA13" s="140">
        <f>(BZ13/BV13-1)*100</f>
        <v>-10.827947910239343</v>
      </c>
      <c r="CB13" s="149">
        <f>'qtrP&amp;L'!CE13</f>
        <v>17.167168302504933</v>
      </c>
      <c r="CC13" s="132"/>
      <c r="CD13" s="243">
        <v>1625.3019999999999</v>
      </c>
      <c r="CE13" s="140">
        <f>(CD13/BZ13-1)*100</f>
        <v>13.828224854764649</v>
      </c>
      <c r="CF13" s="149">
        <f>'qtrP&amp;L'!CI13</f>
        <v>12.210408973449738</v>
      </c>
      <c r="CG13" s="132"/>
      <c r="CH13" s="243">
        <v>2073.212</v>
      </c>
      <c r="CI13" s="140">
        <f>(CH13/CD13-1)*100</f>
        <v>27.558570653330893</v>
      </c>
      <c r="CJ13" s="149">
        <f>'qtrP&amp;L'!CM13</f>
        <v>7.8299877862179734</v>
      </c>
      <c r="CK13" s="132"/>
      <c r="CL13" s="243">
        <v>2234.3339999999998</v>
      </c>
      <c r="CM13" s="140">
        <f>(CL13/CH13-1)*100</f>
        <v>7.7716123580222396</v>
      </c>
      <c r="CN13" s="149">
        <f>'qtrP&amp;L'!CQ13</f>
        <v>4.070016169238011</v>
      </c>
      <c r="CP13" s="243">
        <v>2326.58</v>
      </c>
      <c r="CQ13" s="140">
        <f>(CP13/CL13-1)*100</f>
        <v>4.1285680654727486</v>
      </c>
      <c r="CR13" s="149">
        <f>'qtrP&amp;L'!CU13</f>
        <v>5.0587933505372051</v>
      </c>
      <c r="CT13" s="243">
        <v>2362.1</v>
      </c>
      <c r="CU13" s="140">
        <f>(CT13/CP13-1)*100</f>
        <v>1.5267044331164215</v>
      </c>
      <c r="CV13" s="149">
        <f>'qtrP&amp;L'!CY13</f>
        <v>-1.0030162891940586</v>
      </c>
      <c r="CX13" s="243">
        <v>2225</v>
      </c>
      <c r="CY13" s="140">
        <f>0+((CX13/CT13-1)*100)</f>
        <v>-5.8041573176410788</v>
      </c>
      <c r="CZ13" s="149">
        <f>'qtrP&amp;L'!DC13</f>
        <v>-5.5756725087958703</v>
      </c>
      <c r="DB13" s="243">
        <v>2157.6</v>
      </c>
      <c r="DC13" s="140">
        <f>0+((DB13/CX13-1)*100)</f>
        <v>-3.029213483146076</v>
      </c>
      <c r="DD13" s="149">
        <f>'qtrP&amp;L'!DG13</f>
        <v>1.3183915622940079</v>
      </c>
      <c r="DF13" s="243">
        <v>2253.5</v>
      </c>
      <c r="DG13" s="140">
        <f>0+((DF13/DB13-1)*100)</f>
        <v>4.4447534297367586</v>
      </c>
      <c r="DH13" s="149">
        <f>'qtrP&amp;L'!DK13</f>
        <v>8.5149642160052164</v>
      </c>
    </row>
    <row r="14" spans="1:120">
      <c r="A14" s="132"/>
      <c r="B14" s="132"/>
      <c r="C14" s="132"/>
      <c r="D14" s="132"/>
      <c r="E14" s="132"/>
      <c r="F14" s="132"/>
      <c r="G14" s="132"/>
      <c r="H14" s="132"/>
      <c r="I14" s="132"/>
      <c r="J14" s="132"/>
      <c r="K14" s="132"/>
      <c r="L14" s="132"/>
      <c r="M14" s="132"/>
      <c r="N14" s="132"/>
      <c r="O14" s="132"/>
      <c r="P14" s="132"/>
      <c r="Q14" s="132"/>
      <c r="R14" s="132"/>
      <c r="S14" s="132"/>
      <c r="T14" s="132"/>
      <c r="U14" s="132"/>
      <c r="V14" s="132"/>
      <c r="W14" s="132"/>
      <c r="X14" s="132"/>
      <c r="Y14" s="132"/>
      <c r="Z14" s="132"/>
      <c r="AA14" s="132"/>
      <c r="AB14" s="132"/>
      <c r="AC14" s="132"/>
      <c r="AD14" s="132"/>
      <c r="AE14" s="132"/>
      <c r="AF14" s="132"/>
      <c r="AG14" s="132"/>
      <c r="AH14" s="132"/>
      <c r="AI14" s="132"/>
      <c r="AJ14" s="132"/>
      <c r="AK14" s="132"/>
      <c r="AL14" s="132"/>
      <c r="AM14" s="132"/>
      <c r="AN14" s="132"/>
      <c r="AO14" s="132"/>
      <c r="AP14" s="132"/>
      <c r="AQ14" s="132"/>
      <c r="AR14" s="132"/>
      <c r="AS14" s="132"/>
      <c r="AT14" s="132"/>
      <c r="AU14" s="132"/>
      <c r="AV14" s="132"/>
      <c r="AW14" s="132"/>
      <c r="AX14" s="132"/>
      <c r="AY14" s="132"/>
      <c r="AZ14" s="132"/>
      <c r="BA14" s="132"/>
      <c r="BB14" s="132"/>
      <c r="BC14" s="132"/>
      <c r="BD14" s="132"/>
      <c r="BE14" s="132"/>
      <c r="BF14" s="132"/>
      <c r="BG14" s="132"/>
      <c r="BH14" s="132"/>
      <c r="BI14" s="132"/>
      <c r="BJ14" s="132"/>
      <c r="BK14" s="132"/>
      <c r="BL14" s="132"/>
      <c r="BM14" s="132"/>
      <c r="BN14" s="132"/>
      <c r="BO14" s="132"/>
      <c r="BP14" s="132"/>
      <c r="BQ14" s="132"/>
      <c r="BR14" s="132"/>
      <c r="BS14" s="132"/>
      <c r="BT14" s="132"/>
      <c r="BU14" s="132"/>
      <c r="BV14" s="132"/>
      <c r="BW14" s="132"/>
      <c r="BX14" s="132"/>
      <c r="BY14" s="132"/>
      <c r="BZ14" s="132"/>
      <c r="CA14" s="132"/>
      <c r="CB14" s="132"/>
      <c r="CC14" s="132"/>
      <c r="CD14" s="132"/>
      <c r="CE14" s="132"/>
      <c r="CF14" s="132"/>
      <c r="CG14" s="132"/>
      <c r="CH14" s="132"/>
      <c r="CI14" s="132"/>
      <c r="CJ14" s="132"/>
      <c r="CK14" s="132"/>
      <c r="CL14" s="132"/>
      <c r="CM14" s="132"/>
      <c r="CN14" s="132"/>
    </row>
    <row r="15" spans="1:120">
      <c r="A15" s="271" t="s">
        <v>1377</v>
      </c>
      <c r="B15" s="268"/>
      <c r="C15" s="256"/>
      <c r="D15" s="256"/>
      <c r="E15" s="256"/>
      <c r="F15" s="269"/>
      <c r="G15" s="269"/>
      <c r="H15" s="269"/>
      <c r="I15" s="269"/>
      <c r="J15" s="269"/>
      <c r="K15" s="269"/>
      <c r="L15" s="269"/>
      <c r="M15" s="270"/>
      <c r="N15" s="270"/>
      <c r="O15" s="269"/>
      <c r="P15" s="269"/>
      <c r="Q15" s="269"/>
      <c r="R15" s="269"/>
      <c r="S15" s="269"/>
      <c r="T15" s="269"/>
      <c r="U15" s="269"/>
      <c r="V15" s="269"/>
      <c r="W15" s="269"/>
      <c r="X15" s="269"/>
      <c r="Y15" s="269"/>
      <c r="Z15" s="269"/>
      <c r="AA15" s="269"/>
      <c r="AB15" s="269"/>
      <c r="AC15" s="270"/>
      <c r="AD15" s="270"/>
      <c r="AE15" s="269"/>
      <c r="AF15" s="269"/>
      <c r="AG15" s="269"/>
      <c r="AH15" s="269"/>
      <c r="AI15" s="269"/>
      <c r="AJ15" s="269"/>
      <c r="AK15" s="269"/>
      <c r="AL15" s="269"/>
      <c r="AM15" s="269"/>
      <c r="AN15" s="269"/>
      <c r="AO15" s="256"/>
      <c r="AP15" s="269"/>
      <c r="AQ15" s="269"/>
      <c r="AR15" s="269"/>
      <c r="AS15" s="256"/>
      <c r="AT15" s="269"/>
      <c r="AU15" s="269"/>
      <c r="AV15" s="269"/>
      <c r="AW15" s="256"/>
      <c r="AX15" s="269"/>
      <c r="AY15" s="269"/>
      <c r="AZ15" s="269"/>
      <c r="BA15" s="256"/>
      <c r="BB15" s="269"/>
      <c r="BC15" s="269"/>
      <c r="BD15" s="269"/>
      <c r="BE15" s="256"/>
      <c r="BF15" s="269"/>
      <c r="BG15" s="269"/>
      <c r="BH15" s="269"/>
      <c r="BI15" s="256"/>
      <c r="BJ15" s="269"/>
      <c r="BK15" s="269"/>
      <c r="BL15" s="269"/>
      <c r="BM15" s="256"/>
      <c r="BN15" s="269"/>
      <c r="BO15" s="269"/>
      <c r="BP15" s="269"/>
      <c r="BQ15" s="256"/>
      <c r="BR15" s="269"/>
      <c r="BS15" s="269"/>
      <c r="BT15" s="269"/>
      <c r="BU15" s="256"/>
      <c r="BV15" s="269"/>
      <c r="BW15" s="269"/>
      <c r="BX15" s="269"/>
      <c r="BY15" s="256"/>
      <c r="BZ15" s="269"/>
      <c r="CA15" s="269"/>
      <c r="CB15" s="269"/>
      <c r="CC15" s="256"/>
      <c r="CD15" s="269"/>
      <c r="CE15" s="269"/>
      <c r="CF15" s="269"/>
      <c r="CG15" s="256"/>
      <c r="CH15" s="269"/>
      <c r="CI15" s="269"/>
      <c r="CJ15" s="269"/>
      <c r="CK15" s="256"/>
      <c r="CL15" s="269"/>
      <c r="CM15" s="269"/>
      <c r="CN15" s="269"/>
    </row>
    <row r="16" spans="1:120">
      <c r="A16" s="132" t="str">
        <f>$A$10</f>
        <v>1Q</v>
      </c>
      <c r="B16" s="132" t="str">
        <f>$B$10</f>
        <v>Apr</v>
      </c>
      <c r="C16" s="132"/>
      <c r="D16" s="226"/>
      <c r="E16" s="145"/>
      <c r="F16" s="226"/>
      <c r="G16" s="140" t="e">
        <f>(F16/D16-1)*100</f>
        <v>#DIV/0!</v>
      </c>
      <c r="H16" s="149">
        <f>H$10</f>
        <v>0</v>
      </c>
      <c r="I16" s="184"/>
      <c r="J16" s="226"/>
      <c r="K16" s="140" t="e">
        <f>(J16/F16-1)*100</f>
        <v>#DIV/0!</v>
      </c>
      <c r="L16" s="149">
        <f>L$10</f>
        <v>10.435096030070557</v>
      </c>
      <c r="M16" s="184"/>
      <c r="N16" s="226"/>
      <c r="O16" s="140" t="e">
        <f>(N16/J16-1)*100</f>
        <v>#DIV/0!</v>
      </c>
      <c r="P16" s="149">
        <f>P$10</f>
        <v>2.0916093175926243</v>
      </c>
      <c r="Q16" s="184"/>
      <c r="R16" s="226">
        <f>54.971+15.489+18.292</f>
        <v>88.751999999999995</v>
      </c>
      <c r="S16" s="140" t="e">
        <f>(R16/N16-1)*100</f>
        <v>#DIV/0!</v>
      </c>
      <c r="T16" s="149">
        <f>T$10</f>
        <v>19.844539235118418</v>
      </c>
      <c r="U16" s="184"/>
      <c r="V16" s="226">
        <f>58.216</f>
        <v>58.216000000000001</v>
      </c>
      <c r="W16" s="140" t="e">
        <f>(V16/D16-1)*100</f>
        <v>#DIV/0!</v>
      </c>
      <c r="X16" s="149">
        <f>X$10</f>
        <v>14.432918975359566</v>
      </c>
      <c r="Y16" s="184"/>
      <c r="Z16" s="226">
        <f>68.161</f>
        <v>68.161000000000001</v>
      </c>
      <c r="AA16" s="140">
        <f>(Z16/V16-1)*100</f>
        <v>17.082932527140304</v>
      </c>
      <c r="AB16" s="149">
        <f>AB$10</f>
        <v>20.378436700767267</v>
      </c>
      <c r="AC16" s="184"/>
      <c r="AD16" s="226">
        <f>61.297</f>
        <v>61.296999999999997</v>
      </c>
      <c r="AE16" s="140">
        <f>(AD16/Z16-1)*100</f>
        <v>-10.070274790569389</v>
      </c>
      <c r="AF16" s="149">
        <f>AF$10</f>
        <v>10.489042331291731</v>
      </c>
      <c r="AG16" s="184"/>
      <c r="AH16" s="226">
        <f>79.983</f>
        <v>79.983000000000004</v>
      </c>
      <c r="AI16" s="140">
        <f>(AH16/AD16-1)*100</f>
        <v>30.484363019397364</v>
      </c>
      <c r="AJ16" s="149">
        <f>AJ$10</f>
        <v>13.249941161447975</v>
      </c>
      <c r="AK16" s="184"/>
      <c r="AL16" s="226">
        <f>92.599</f>
        <v>92.599000000000004</v>
      </c>
      <c r="AM16" s="140">
        <f>(AL16/AH16-1)*100</f>
        <v>15.773351837265427</v>
      </c>
      <c r="AN16" s="149">
        <f>AN$10</f>
        <v>20.3918482129829</v>
      </c>
      <c r="AO16" s="132"/>
      <c r="AP16" s="226">
        <f>106.423</f>
        <v>106.423</v>
      </c>
      <c r="AQ16" s="140">
        <f>(AP16/AL16-1)*100</f>
        <v>14.928886921025054</v>
      </c>
      <c r="AR16" s="149">
        <f>AR$10</f>
        <v>26.761716927981418</v>
      </c>
      <c r="AS16" s="132"/>
      <c r="AT16" s="226">
        <f>94.011</f>
        <v>94.010999999999996</v>
      </c>
      <c r="AU16" s="140">
        <f>(AT16/AP16-1)*100</f>
        <v>-11.662892419871651</v>
      </c>
      <c r="AV16" s="149">
        <f>AV$10</f>
        <v>-2.5328631900400578</v>
      </c>
      <c r="AW16" s="132"/>
      <c r="AX16" s="226">
        <f>100.982</f>
        <v>100.982</v>
      </c>
      <c r="AY16" s="140">
        <f>(AX16/AT16-1)*100</f>
        <v>7.4150897235429891</v>
      </c>
      <c r="AZ16" s="149">
        <f>AZ$10</f>
        <v>3.189051162154688</v>
      </c>
      <c r="BA16" s="132"/>
      <c r="BB16" s="226">
        <f>107.105</f>
        <v>107.105</v>
      </c>
      <c r="BC16" s="140">
        <f>(BB16/AX16-1)*100</f>
        <v>6.0634568536967137</v>
      </c>
      <c r="BD16" s="149">
        <f>BD$10</f>
        <v>14.032247377775974</v>
      </c>
      <c r="BE16" s="132"/>
      <c r="BF16" s="226">
        <f>115.512</f>
        <v>115.512</v>
      </c>
      <c r="BG16" s="140">
        <f>(BF16/BB16-1)*100</f>
        <v>7.8493067550534423</v>
      </c>
      <c r="BH16" s="149">
        <f>BH$10</f>
        <v>15.440873688545075</v>
      </c>
      <c r="BI16" s="132"/>
      <c r="BJ16" s="226">
        <f>120.713</f>
        <v>120.71299999999999</v>
      </c>
      <c r="BK16" s="140">
        <f>(BJ16/BF16-1)*100</f>
        <v>4.5025625043285444</v>
      </c>
      <c r="BL16" s="149">
        <f>BL$10</f>
        <v>11.585477941176482</v>
      </c>
      <c r="BM16" s="132"/>
      <c r="BN16" s="226">
        <f>156.124</f>
        <v>156.124</v>
      </c>
      <c r="BO16" s="140">
        <f>(BN16/BJ16-1)*100</f>
        <v>29.334868655405799</v>
      </c>
      <c r="BP16" s="149">
        <f>BP$10</f>
        <v>1.0698155132074394</v>
      </c>
      <c r="BQ16" s="132"/>
      <c r="BR16" s="226">
        <f>159.648</f>
        <v>159.648</v>
      </c>
      <c r="BS16" s="140">
        <f>(BR16/BN16-1)*100</f>
        <v>2.2571801901053012</v>
      </c>
      <c r="BT16" s="149">
        <f>BT$10</f>
        <v>15.595627100489784</v>
      </c>
      <c r="BU16" s="132"/>
      <c r="BV16" s="226">
        <f>193.154</f>
        <v>193.154</v>
      </c>
      <c r="BW16" s="140">
        <f>(BV16/BR16-1)*100</f>
        <v>20.987422329124072</v>
      </c>
      <c r="BX16" s="149">
        <f>BX$10</f>
        <v>11.708511756184436</v>
      </c>
      <c r="BY16" s="132"/>
      <c r="BZ16" s="226">
        <f>135.437</f>
        <v>135.43700000000001</v>
      </c>
      <c r="CA16" s="140">
        <f>(BZ16/BV16-1)*100</f>
        <v>-29.881338206819418</v>
      </c>
      <c r="CB16" s="149">
        <f>CB$10</f>
        <v>-22.219300354631244</v>
      </c>
      <c r="CC16" s="132"/>
      <c r="CD16" s="226">
        <v>139.87899999999999</v>
      </c>
      <c r="CE16" s="140">
        <f>(CD16/BZ16-1)*100</f>
        <v>3.2797536862157139</v>
      </c>
      <c r="CF16" s="149">
        <f>CF$10</f>
        <v>22.404876211083536</v>
      </c>
      <c r="CG16" s="132"/>
      <c r="CH16" s="226">
        <v>175.92599999999999</v>
      </c>
      <c r="CI16" s="140">
        <f>(CH16/CD16-1)*100</f>
        <v>25.770129897983264</v>
      </c>
      <c r="CJ16" s="149">
        <f>CJ$10</f>
        <v>20.112818149390922</v>
      </c>
      <c r="CK16" s="132"/>
      <c r="CL16" s="226">
        <v>181.64099999999999</v>
      </c>
      <c r="CM16" s="140">
        <f>(CL16/CH16-1)*100</f>
        <v>3.2485249479895062</v>
      </c>
      <c r="CN16" s="149">
        <f>CN$10</f>
        <v>7.6413435687460618</v>
      </c>
      <c r="CP16" s="226">
        <v>181.715</v>
      </c>
      <c r="CQ16" s="140">
        <f>(CP16/CL16-1)*100</f>
        <v>4.0739700838465787E-2</v>
      </c>
      <c r="CR16" s="149">
        <f>$CR10</f>
        <v>9.316014990783362</v>
      </c>
      <c r="CT16" s="226">
        <v>194.571</v>
      </c>
      <c r="CU16" s="140">
        <f>(CT16/CP16-1)*100</f>
        <v>7.0748149574883623</v>
      </c>
      <c r="CV16" s="149">
        <f>$CR10</f>
        <v>9.316014990783362</v>
      </c>
      <c r="CX16" s="226">
        <v>192.5</v>
      </c>
      <c r="CY16" s="140">
        <f>(CX16/CT16-1)*100</f>
        <v>-1.0643929465336543</v>
      </c>
      <c r="CZ16" s="149">
        <f>$CR10</f>
        <v>9.316014990783362</v>
      </c>
      <c r="DB16" s="226">
        <v>221.5</v>
      </c>
      <c r="DC16" s="140">
        <f>(DB16/CX16-1)*100</f>
        <v>15.064935064935071</v>
      </c>
      <c r="DD16" s="149">
        <f>$CR10</f>
        <v>9.316014990783362</v>
      </c>
      <c r="DF16" s="226">
        <v>233.1</v>
      </c>
      <c r="DG16" s="140">
        <f>(DF16/DB16-1)*100</f>
        <v>5.2370203160270856</v>
      </c>
      <c r="DH16" s="149">
        <f>DH10</f>
        <v>0.9312240547515005</v>
      </c>
    </row>
    <row r="17" spans="1:112">
      <c r="A17" s="132" t="str">
        <f>$A$11</f>
        <v>2Q</v>
      </c>
      <c r="B17" s="132" t="str">
        <f>$B$11</f>
        <v>Jul</v>
      </c>
      <c r="C17" s="132"/>
      <c r="D17" s="243"/>
      <c r="E17" s="144"/>
      <c r="F17" s="243">
        <f>51.284+13.432</f>
        <v>64.715999999999994</v>
      </c>
      <c r="G17" s="140" t="e">
        <f>(F17/D17-1)*100</f>
        <v>#DIV/0!</v>
      </c>
      <c r="H17" s="149">
        <f>H$11</f>
        <v>0</v>
      </c>
      <c r="I17" s="184"/>
      <c r="J17" s="243">
        <f>46.268+12.858</f>
        <v>59.126000000000005</v>
      </c>
      <c r="K17" s="140">
        <f>(J17/F17-1)*100</f>
        <v>-8.6377402806106502</v>
      </c>
      <c r="L17" s="149">
        <f>L$11</f>
        <v>1.2213919512113369</v>
      </c>
      <c r="M17" s="184"/>
      <c r="N17" s="243"/>
      <c r="O17" s="140">
        <f>(N17/J17-1)*100</f>
        <v>-100</v>
      </c>
      <c r="P17" s="149">
        <f>P$11</f>
        <v>-5.4597368203260777</v>
      </c>
      <c r="Q17" s="184"/>
      <c r="R17" s="243">
        <f>58.31+13.857+21.248</f>
        <v>93.415000000000006</v>
      </c>
      <c r="S17" s="140" t="e">
        <f>(R17/N17-1)*100</f>
        <v>#DIV/0!</v>
      </c>
      <c r="T17" s="149">
        <f>T$11</f>
        <v>33.286353330473673</v>
      </c>
      <c r="U17" s="184"/>
      <c r="V17" s="243">
        <f>53.416</f>
        <v>53.415999999999997</v>
      </c>
      <c r="W17" s="140" t="e">
        <f>(V17/D17-1)*100</f>
        <v>#DIV/0!</v>
      </c>
      <c r="X17" s="149">
        <f>X$11</f>
        <v>21.296229401603849</v>
      </c>
      <c r="Y17" s="184"/>
      <c r="Z17" s="243">
        <f>65.839</f>
        <v>65.838999999999999</v>
      </c>
      <c r="AA17" s="140">
        <f>(Z17/V17-1)*100</f>
        <v>23.257076531376363</v>
      </c>
      <c r="AB17" s="149">
        <f>AB$11</f>
        <v>9.7903423181468838</v>
      </c>
      <c r="AC17" s="184"/>
      <c r="AD17" s="243">
        <f>69.412</f>
        <v>69.412000000000006</v>
      </c>
      <c r="AE17" s="140">
        <f>(AD17/Z17-1)*100</f>
        <v>5.4268746487644126</v>
      </c>
      <c r="AF17" s="149">
        <f>AF$11</f>
        <v>7.094982812446049</v>
      </c>
      <c r="AG17" s="184"/>
      <c r="AH17" s="243">
        <f>72.053</f>
        <v>72.052999999999997</v>
      </c>
      <c r="AI17" s="140">
        <f>(AH17/AD17-1)*100</f>
        <v>3.8048176107877474</v>
      </c>
      <c r="AJ17" s="149">
        <f>AJ$11</f>
        <v>14.079272757415428</v>
      </c>
      <c r="AK17" s="184"/>
      <c r="AL17" s="243">
        <f>93.229</f>
        <v>93.228999999999999</v>
      </c>
      <c r="AM17" s="140">
        <f>(AL17/AH17-1)*100</f>
        <v>29.389477190401504</v>
      </c>
      <c r="AN17" s="149">
        <f>AN$11</f>
        <v>23.956289711854417</v>
      </c>
      <c r="AO17" s="132"/>
      <c r="AP17" s="243">
        <f>100.526</f>
        <v>100.526</v>
      </c>
      <c r="AQ17" s="140">
        <f>(AP17/AL17-1)*100</f>
        <v>7.8269637130077507</v>
      </c>
      <c r="AR17" s="149">
        <f>AR$11</f>
        <v>21.943419514307937</v>
      </c>
      <c r="AS17" s="132"/>
      <c r="AT17" s="243">
        <f>92.077</f>
        <v>92.076999999999998</v>
      </c>
      <c r="AU17" s="140">
        <f>(AT17/AP17-1)*100</f>
        <v>-8.4047908003899501</v>
      </c>
      <c r="AV17" s="149">
        <f>AV$11</f>
        <v>-0.8404371234457142</v>
      </c>
      <c r="AW17" s="132"/>
      <c r="AX17" s="243">
        <f>87.565</f>
        <v>87.564999999999998</v>
      </c>
      <c r="AY17" s="140">
        <f>(AX17/AT17-1)*100</f>
        <v>-4.9002465327932061</v>
      </c>
      <c r="AZ17" s="149">
        <f>AZ$11</f>
        <v>0.84190454644614832</v>
      </c>
      <c r="BA17" s="132"/>
      <c r="BB17" s="243">
        <f>104.949</f>
        <v>104.949</v>
      </c>
      <c r="BC17" s="140">
        <f>(BB17/AX17-1)*100</f>
        <v>19.852680865642668</v>
      </c>
      <c r="BD17" s="149">
        <f>BD$11</f>
        <v>18.179244552342631</v>
      </c>
      <c r="BE17" s="132"/>
      <c r="BF17" s="314">
        <v>114.6</v>
      </c>
      <c r="BG17" s="140">
        <f>(BF17/BB17-1)*100</f>
        <v>9.1958951490723972</v>
      </c>
      <c r="BH17" s="149">
        <f>BH$11</f>
        <v>7.7067537486299242</v>
      </c>
      <c r="BI17" s="132"/>
      <c r="BJ17" s="243">
        <f>126</f>
        <v>126</v>
      </c>
      <c r="BK17" s="140">
        <f>(BJ17/BF17-1)*100</f>
        <v>9.9476439790576077</v>
      </c>
      <c r="BL17" s="149">
        <f>BL$11</f>
        <v>10.512865167006936</v>
      </c>
      <c r="BM17" s="132"/>
      <c r="BN17" s="243">
        <f>141.724</f>
        <v>141.72399999999999</v>
      </c>
      <c r="BO17" s="140">
        <f>(BN17/BJ17-1)*100</f>
        <v>12.479365079365067</v>
      </c>
      <c r="BP17" s="149">
        <f>BP$11</f>
        <v>5.307755253929658</v>
      </c>
      <c r="BQ17" s="132"/>
      <c r="BR17" s="243">
        <f>152.353</f>
        <v>152.35300000000001</v>
      </c>
      <c r="BS17" s="140">
        <f>(BR17/BN17-1)*100</f>
        <v>7.4997883209618754</v>
      </c>
      <c r="BT17" s="149">
        <f>BT$11</f>
        <v>19.454365490744728</v>
      </c>
      <c r="BU17" s="132"/>
      <c r="BV17" s="243">
        <f>181.109</f>
        <v>181.10900000000001</v>
      </c>
      <c r="BW17" s="140">
        <f>(BV17/BR17-1)*100</f>
        <v>18.874587307109138</v>
      </c>
      <c r="BX17" s="149">
        <f>BX$11</f>
        <v>10.123128099709922</v>
      </c>
      <c r="BY17" s="132"/>
      <c r="BZ17" s="243">
        <f>140.025</f>
        <v>140.02500000000001</v>
      </c>
      <c r="CA17" s="140">
        <f>(BZ17/BV17-1)*100</f>
        <v>-22.68468160058308</v>
      </c>
      <c r="CB17" s="149">
        <f>CB$11</f>
        <v>-16.054761702442587</v>
      </c>
      <c r="CC17" s="132"/>
      <c r="CD17" s="243">
        <v>156.708</v>
      </c>
      <c r="CE17" s="140">
        <f>(CD17/BZ17-1)*100</f>
        <v>11.91430101767541</v>
      </c>
      <c r="CF17" s="149">
        <f>CF$11</f>
        <v>9.1865539687800322</v>
      </c>
      <c r="CG17" s="132"/>
      <c r="CH17" s="243">
        <v>182.001</v>
      </c>
      <c r="CI17" s="140">
        <f>(CH17/CD17-1)*100</f>
        <v>16.140209816984452</v>
      </c>
      <c r="CJ17" s="149">
        <f>CJ$11</f>
        <v>30.497039296608651</v>
      </c>
      <c r="CK17" s="132"/>
      <c r="CL17" s="243">
        <v>171.46299999999999</v>
      </c>
      <c r="CM17" s="140">
        <f>(CL17/CH17-1)*100</f>
        <v>-5.7900780764940869</v>
      </c>
      <c r="CN17" s="149">
        <f>CN$10</f>
        <v>7.6413435687460618</v>
      </c>
      <c r="CP17" s="1730">
        <v>161.74600000000001</v>
      </c>
      <c r="CQ17" s="140">
        <f>(CP17/CL17-1)*100</f>
        <v>-5.6671118550357669</v>
      </c>
      <c r="CR17" s="149">
        <f>$CR11</f>
        <v>4.4345110194468962</v>
      </c>
      <c r="CT17" s="1730">
        <v>190.31800000000001</v>
      </c>
      <c r="CU17" s="140">
        <f>(CT17/CP17-1)*100</f>
        <v>17.664733594648396</v>
      </c>
      <c r="CV17" s="149">
        <f>$CV11</f>
        <v>7.2412958858776966</v>
      </c>
      <c r="CX17" s="1730">
        <v>180.3</v>
      </c>
      <c r="CY17" s="140">
        <f>(CX17/CT17-1)*100</f>
        <v>-5.2638216038419898</v>
      </c>
      <c r="CZ17" s="149">
        <f>$CR11</f>
        <v>4.4345110194468962</v>
      </c>
      <c r="DB17" s="1730">
        <v>216.4</v>
      </c>
      <c r="DC17" s="140">
        <f>(DB17/CX17-1)*100</f>
        <v>20.022185246810874</v>
      </c>
      <c r="DD17" s="149">
        <f>$CR11</f>
        <v>4.4345110194468962</v>
      </c>
      <c r="DF17" s="1730">
        <v>223.3</v>
      </c>
      <c r="DG17" s="140">
        <f>(DF17/DB17-1)*100</f>
        <v>3.1885397412199756</v>
      </c>
      <c r="DH17" s="149">
        <f>DH11</f>
        <v>3.0163160154572877</v>
      </c>
    </row>
    <row r="18" spans="1:112">
      <c r="A18" s="132" t="str">
        <f>$A$12</f>
        <v>3Q</v>
      </c>
      <c r="B18" s="132" t="str">
        <f>$B$12</f>
        <v>Oct</v>
      </c>
      <c r="C18" s="132"/>
      <c r="D18" s="243"/>
      <c r="E18" s="144"/>
      <c r="F18" s="243"/>
      <c r="G18" s="140" t="e">
        <f>(F18/D18-1)*100</f>
        <v>#DIV/0!</v>
      </c>
      <c r="H18" s="149">
        <f>H$12</f>
        <v>0</v>
      </c>
      <c r="I18" s="184"/>
      <c r="J18" s="243"/>
      <c r="K18" s="140" t="e">
        <f>(J18/F18-1)*100</f>
        <v>#DIV/0!</v>
      </c>
      <c r="L18" s="149">
        <f>L$12</f>
        <v>-16.221390653554945</v>
      </c>
      <c r="M18" s="184"/>
      <c r="N18" s="243"/>
      <c r="O18" s="140" t="e">
        <f>(N18/J18-1)*100</f>
        <v>#DIV/0!</v>
      </c>
      <c r="P18" s="149">
        <f>P$12</f>
        <v>27.246286485924998</v>
      </c>
      <c r="Q18" s="184"/>
      <c r="R18" s="243">
        <f>61.23+7.925+23.449</f>
        <v>92.603999999999999</v>
      </c>
      <c r="S18" s="140" t="e">
        <f>(R18/N18-1)*100</f>
        <v>#DIV/0!</v>
      </c>
      <c r="T18" s="149">
        <f>T$12</f>
        <v>18.805936920222631</v>
      </c>
      <c r="U18" s="184"/>
      <c r="V18" s="243">
        <f>68.626</f>
        <v>68.626000000000005</v>
      </c>
      <c r="W18" s="140" t="e">
        <f>(V18/D18-1)*100</f>
        <v>#DIV/0!</v>
      </c>
      <c r="X18" s="149">
        <f>X$12</f>
        <v>17.287042994296975</v>
      </c>
      <c r="Y18" s="184"/>
      <c r="Z18" s="243">
        <f>80.403</f>
        <v>80.403000000000006</v>
      </c>
      <c r="AA18" s="140">
        <f>(Z18/V18-1)*100</f>
        <v>17.16113426398158</v>
      </c>
      <c r="AB18" s="149">
        <f>AB$12</f>
        <v>12.365923543133484</v>
      </c>
      <c r="AC18" s="184"/>
      <c r="AD18" s="243">
        <f>82.305</f>
        <v>82.305000000000007</v>
      </c>
      <c r="AE18" s="140">
        <f>(AD18/Z18-1)*100</f>
        <v>2.3655833737547205</v>
      </c>
      <c r="AF18" s="149">
        <f>AF$12</f>
        <v>10.469464653885341</v>
      </c>
      <c r="AG18" s="184"/>
      <c r="AH18" s="243">
        <f>92.457</f>
        <v>92.456999999999994</v>
      </c>
      <c r="AI18" s="140">
        <f>(AH18/AD18-1)*100</f>
        <v>12.334609075997793</v>
      </c>
      <c r="AJ18" s="149">
        <f>AJ$12</f>
        <v>8.360434883341771</v>
      </c>
      <c r="AK18" s="184"/>
      <c r="AL18" s="243">
        <f>107.006</f>
        <v>107.006</v>
      </c>
      <c r="AM18" s="140">
        <f>(AL18/AH18-1)*100</f>
        <v>15.735963745308634</v>
      </c>
      <c r="AN18" s="149">
        <f>AN$12</f>
        <v>27.77399429838454</v>
      </c>
      <c r="AO18" s="132"/>
      <c r="AP18" s="243">
        <f>100.662</f>
        <v>100.66200000000001</v>
      </c>
      <c r="AQ18" s="140">
        <f>(AP18/AL18-1)*100</f>
        <v>-5.9286395155411782</v>
      </c>
      <c r="AR18" s="149">
        <f>AR$12</f>
        <v>15.298135144682767</v>
      </c>
      <c r="AS18" s="132"/>
      <c r="AT18" s="243">
        <f>99.3803</f>
        <v>99.380300000000005</v>
      </c>
      <c r="AU18" s="140">
        <f>(AT18/AP18-1)*100</f>
        <v>-1.2732709463352587</v>
      </c>
      <c r="AV18" s="149">
        <f>AV$12</f>
        <v>-10.481785881303185</v>
      </c>
      <c r="AW18" s="132"/>
      <c r="AX18" s="243">
        <f>96.112</f>
        <v>96.111999999999995</v>
      </c>
      <c r="AY18" s="140">
        <f>(AX18/AT18-1)*100</f>
        <v>-3.2886799496479768</v>
      </c>
      <c r="AZ18" s="149">
        <f>AZ$12</f>
        <v>9.8953986201264499</v>
      </c>
      <c r="BA18" s="132"/>
      <c r="BB18" s="243">
        <f>115.411</f>
        <v>115.411</v>
      </c>
      <c r="BC18" s="140">
        <f>(BB18/AX18-1)*100</f>
        <v>20.079698684867651</v>
      </c>
      <c r="BD18" s="149">
        <f>BD$12</f>
        <v>17.50935024984086</v>
      </c>
      <c r="BE18" s="132"/>
      <c r="BF18" s="243">
        <f>124.08</f>
        <v>124.08</v>
      </c>
      <c r="BG18" s="140">
        <f>(BF18/BB18-1)*100</f>
        <v>7.5114157229380085</v>
      </c>
      <c r="BH18" s="149">
        <f>BH$12</f>
        <v>7.2139829769624075</v>
      </c>
      <c r="BI18" s="132"/>
      <c r="BJ18" s="243">
        <f>129.454</f>
        <v>129.45400000000001</v>
      </c>
      <c r="BK18" s="140">
        <f>(BJ18/BF18-1)*100</f>
        <v>4.3310767246937498</v>
      </c>
      <c r="BL18" s="149">
        <f>BL$12</f>
        <v>8.4468895288321466</v>
      </c>
      <c r="BM18" s="132"/>
      <c r="BN18" s="243">
        <f>148.608</f>
        <v>148.608</v>
      </c>
      <c r="BO18" s="140">
        <f>(BN18/BJ18-1)*100</f>
        <v>14.795989308943724</v>
      </c>
      <c r="BP18" s="149">
        <f>BP$12</f>
        <v>6.3444676617910201</v>
      </c>
      <c r="BQ18" s="132"/>
      <c r="BR18" s="243">
        <f>168.678</f>
        <v>168.678</v>
      </c>
      <c r="BS18" s="140">
        <f>(BR18/BN18-1)*100</f>
        <v>13.505329457364335</v>
      </c>
      <c r="BT18" s="149">
        <f>BT$12</f>
        <v>17.95466254507987</v>
      </c>
      <c r="BU18" s="132"/>
      <c r="BV18" s="243">
        <f>164.269</f>
        <v>164.26900000000001</v>
      </c>
      <c r="BW18" s="140">
        <f>(BV18/BR18-1)*100</f>
        <v>-2.6138559859614108</v>
      </c>
      <c r="BX18" s="149">
        <f>BX$12</f>
        <v>-1.7807413405853012</v>
      </c>
      <c r="BY18" s="132"/>
      <c r="BZ18" s="243">
        <f>150.895</f>
        <v>150.89500000000001</v>
      </c>
      <c r="CA18" s="140">
        <f>(BZ18/BV18-1)*100</f>
        <v>-8.141523963742392</v>
      </c>
      <c r="CB18" s="149">
        <f>CB$12</f>
        <v>-2.9116192108440853</v>
      </c>
      <c r="CC18" s="132"/>
      <c r="CD18" s="243">
        <v>179.428</v>
      </c>
      <c r="CE18" s="140">
        <f>(CD18/BZ18-1)*100</f>
        <v>18.909175254315901</v>
      </c>
      <c r="CF18" s="149">
        <f>+$CF$12</f>
        <v>13.96110409018878</v>
      </c>
      <c r="CG18" s="132"/>
      <c r="CH18" s="243">
        <v>170.18100000000001</v>
      </c>
      <c r="CI18" s="140">
        <f>(CH18/CD18-1)*100</f>
        <v>-5.153599215284121</v>
      </c>
      <c r="CJ18" s="149">
        <f>+$CF$12</f>
        <v>13.96110409018878</v>
      </c>
      <c r="CK18" s="132"/>
      <c r="CL18" s="243">
        <v>160.60400000000001</v>
      </c>
      <c r="CM18" s="140">
        <f>(CL18/CH18-1)*100</f>
        <v>-5.627537739230581</v>
      </c>
      <c r="CN18" s="149">
        <f>CN$10</f>
        <v>7.6413435687460618</v>
      </c>
      <c r="CP18" s="243">
        <v>165.86199999999999</v>
      </c>
      <c r="CQ18" s="140">
        <f>(CP18/CL18-1)*100</f>
        <v>3.2738910612437833</v>
      </c>
      <c r="CR18" s="149">
        <f>CR$10</f>
        <v>9.316014990783362</v>
      </c>
      <c r="CT18" s="243">
        <v>177.29</v>
      </c>
      <c r="CU18" s="140">
        <f>(CT18/CP18-1)*100</f>
        <v>6.8900652349543678</v>
      </c>
      <c r="CV18" s="149">
        <f>$CV12</f>
        <v>5.2783501082856787</v>
      </c>
      <c r="CX18" s="243">
        <v>206.5</v>
      </c>
      <c r="CY18" s="140">
        <f>(CX18/CT18-1)*100</f>
        <v>16.475830560099268</v>
      </c>
      <c r="CZ18" s="149">
        <f>$CR12</f>
        <v>6.8880234443987165</v>
      </c>
      <c r="DB18" s="243">
        <v>214</v>
      </c>
      <c r="DC18" s="140">
        <f>(DB18/CX18-1)*100</f>
        <v>3.6319612590798966</v>
      </c>
      <c r="DD18" s="149">
        <f>$CR12</f>
        <v>6.8880234443987165</v>
      </c>
      <c r="DF18" s="243">
        <v>218</v>
      </c>
      <c r="DG18" s="140">
        <f>(DF18/DB18-1)*100</f>
        <v>1.8691588785046731</v>
      </c>
      <c r="DH18" s="149">
        <f>DH12</f>
        <v>2.8336669124618297</v>
      </c>
    </row>
    <row r="19" spans="1:112">
      <c r="A19" s="132" t="str">
        <f>$A$13</f>
        <v>4Q</v>
      </c>
      <c r="B19" s="132" t="str">
        <f>$B$13</f>
        <v>Jan</v>
      </c>
      <c r="C19" s="132"/>
      <c r="D19" s="243"/>
      <c r="E19" s="144"/>
      <c r="F19" s="243">
        <f>51.687+12.777</f>
        <v>64.463999999999999</v>
      </c>
      <c r="G19" s="140" t="e">
        <f>(F19/D19-1)*100</f>
        <v>#DIV/0!</v>
      </c>
      <c r="H19" s="149">
        <f>H$13</f>
        <v>0</v>
      </c>
      <c r="I19" s="184"/>
      <c r="J19" s="243"/>
      <c r="K19" s="140">
        <f>(J19/F19-1)*100</f>
        <v>-100</v>
      </c>
      <c r="L19" s="149">
        <f>L$13</f>
        <v>2.2834635102128686</v>
      </c>
      <c r="M19" s="184"/>
      <c r="N19" s="243">
        <f>67.33+12.517+17.718</f>
        <v>97.564999999999998</v>
      </c>
      <c r="O19" s="140" t="e">
        <f>(N19/J19-1)*100</f>
        <v>#DIV/0!</v>
      </c>
      <c r="P19" s="149">
        <f>P$13</f>
        <v>36.479456278578496</v>
      </c>
      <c r="Q19" s="184"/>
      <c r="R19" s="243">
        <f>61.622+7.925+17.868</f>
        <v>87.414999999999992</v>
      </c>
      <c r="S19" s="140">
        <f>(R19/N19-1)*100</f>
        <v>-10.403320863014409</v>
      </c>
      <c r="T19" s="149">
        <f>T$13</f>
        <v>15.016078870585513</v>
      </c>
      <c r="U19" s="184"/>
      <c r="V19" s="243">
        <f>80.084</f>
        <v>80.084000000000003</v>
      </c>
      <c r="W19" s="140" t="e">
        <f>(V19/D19-1)*100</f>
        <v>#DIV/0!</v>
      </c>
      <c r="X19" s="149">
        <f>X$13</f>
        <v>17.312225212725039</v>
      </c>
      <c r="Y19" s="184"/>
      <c r="Z19" s="243">
        <f>80.772</f>
        <v>80.772000000000006</v>
      </c>
      <c r="AA19" s="140">
        <f>(Z19/V19-1)*100</f>
        <v>0.85909794715548493</v>
      </c>
      <c r="AB19" s="149">
        <f>AB$13</f>
        <v>16.714998218738874</v>
      </c>
      <c r="AC19" s="184"/>
      <c r="AD19" s="243">
        <f>99.492</f>
        <v>99.492000000000004</v>
      </c>
      <c r="AE19" s="140">
        <f>(AD19/Z19-1)*100</f>
        <v>23.176348239488931</v>
      </c>
      <c r="AF19" s="149">
        <f>AF$13</f>
        <v>12.232196545377395</v>
      </c>
      <c r="AG19" s="184"/>
      <c r="AH19" s="243">
        <f>108.381</f>
        <v>108.381</v>
      </c>
      <c r="AI19" s="140">
        <f>(AH19/AD19-1)*100</f>
        <v>8.9343866843565323</v>
      </c>
      <c r="AJ19" s="149">
        <f>AJ$13</f>
        <v>22.789058293037144</v>
      </c>
      <c r="AK19" s="184"/>
      <c r="AL19" s="243">
        <f>119.356</f>
        <v>119.35599999999999</v>
      </c>
      <c r="AM19" s="140">
        <f>(AL19/AH19-1)*100</f>
        <v>10.12631365276202</v>
      </c>
      <c r="AN19" s="149">
        <f>AN$13</f>
        <v>26.169466298107569</v>
      </c>
      <c r="AO19" s="132"/>
      <c r="AP19" s="243">
        <f>106.988</f>
        <v>106.988</v>
      </c>
      <c r="AQ19" s="140">
        <f>(AP19/AL19-1)*100</f>
        <v>-10.36227755621837</v>
      </c>
      <c r="AR19" s="149">
        <f>AR$13</f>
        <v>1.1851344708939227</v>
      </c>
      <c r="AS19" s="132"/>
      <c r="AT19" s="243">
        <f>98.527</f>
        <v>98.527000000000001</v>
      </c>
      <c r="AU19" s="140">
        <f>(AT19/AP19-1)*100</f>
        <v>-7.9083635547911868</v>
      </c>
      <c r="AV19" s="149">
        <f>AV$13</f>
        <v>-1.8445811957508162</v>
      </c>
      <c r="AW19" s="132"/>
      <c r="AX19" s="243">
        <f>113.061</f>
        <v>113.06100000000001</v>
      </c>
      <c r="AY19" s="140">
        <f>(AX19/AT19-1)*100</f>
        <v>14.75128644939967</v>
      </c>
      <c r="AZ19" s="149">
        <f>AZ$13</f>
        <v>9.4128418637617894</v>
      </c>
      <c r="BA19" s="132"/>
      <c r="BB19" s="243">
        <f>131.99</f>
        <v>131.99</v>
      </c>
      <c r="BC19" s="140">
        <f>(BB19/AX19-1)*100</f>
        <v>16.742289560502744</v>
      </c>
      <c r="BD19" s="149">
        <f>BD$13</f>
        <v>18.186209336475969</v>
      </c>
      <c r="BE19" s="132"/>
      <c r="BF19" s="243">
        <f>133.545</f>
        <v>133.54499999999999</v>
      </c>
      <c r="BG19" s="140">
        <f>(BF19/BB19-1)*100</f>
        <v>1.1781195545116807</v>
      </c>
      <c r="BH19" s="149">
        <f>BH$13</f>
        <v>10.734730476716404</v>
      </c>
      <c r="BI19" s="132"/>
      <c r="BJ19" s="243">
        <f>142.294</f>
        <v>142.29400000000001</v>
      </c>
      <c r="BK19" s="140">
        <f>(BJ19/BF19-1)*100</f>
        <v>6.5513497322999825</v>
      </c>
      <c r="BL19" s="149">
        <f>BL$13</f>
        <v>5.9650274896867472</v>
      </c>
      <c r="BM19" s="132"/>
      <c r="BN19" s="243">
        <f>165.594</f>
        <v>165.59399999999999</v>
      </c>
      <c r="BO19" s="140">
        <f>(BN19/BJ19-1)*100</f>
        <v>16.374548470069005</v>
      </c>
      <c r="BP19" s="149">
        <f>BP$13</f>
        <v>11.700328267590487</v>
      </c>
      <c r="BQ19" s="132"/>
      <c r="BR19" s="243">
        <f>193.974</f>
        <v>193.97399999999999</v>
      </c>
      <c r="BS19" s="140">
        <f>(BR19/BN19-1)*100</f>
        <v>17.138302112395376</v>
      </c>
      <c r="BT19" s="149">
        <f>BT$13</f>
        <v>9.8311897022276931</v>
      </c>
      <c r="BU19" s="132"/>
      <c r="BV19" s="243">
        <f>164.447</f>
        <v>164.447</v>
      </c>
      <c r="BW19" s="140">
        <f>(BV19/BR19-1)*100</f>
        <v>-15.222143173827419</v>
      </c>
      <c r="BX19" s="149">
        <f>BX$13</f>
        <v>-20.468363216500485</v>
      </c>
      <c r="BY19" s="132"/>
      <c r="BZ19" s="243">
        <v>158.70599999999999</v>
      </c>
      <c r="CA19" s="140">
        <f>(BZ19/BV19-1)*100</f>
        <v>-3.4910943951546813</v>
      </c>
      <c r="CB19" s="149">
        <f>CB$13</f>
        <v>17.167168302504933</v>
      </c>
      <c r="CC19" s="132"/>
      <c r="CD19" s="243">
        <v>185.96899999999999</v>
      </c>
      <c r="CE19" s="140">
        <f>(CD19/BZ19-1)*100</f>
        <v>17.178304537950684</v>
      </c>
      <c r="CF19" s="149">
        <f>+$CF$13</f>
        <v>12.210408973449738</v>
      </c>
      <c r="CG19" s="132"/>
      <c r="CH19" s="243">
        <v>184.08500000000001</v>
      </c>
      <c r="CI19" s="140">
        <f>(CH19/CD19-1)*100</f>
        <v>-1.0130720711516328</v>
      </c>
      <c r="CJ19" s="149">
        <f>+$CF$12</f>
        <v>13.96110409018878</v>
      </c>
      <c r="CK19" s="132"/>
      <c r="CL19" s="243">
        <v>173.99799999999999</v>
      </c>
      <c r="CM19" s="140">
        <f>(CL19/CH19-1)*100</f>
        <v>-5.4795339109650509</v>
      </c>
      <c r="CN19" s="149">
        <f>CN$10</f>
        <v>7.6413435687460618</v>
      </c>
      <c r="CP19" s="243">
        <v>188.81399999999999</v>
      </c>
      <c r="CQ19" s="140">
        <f>(CP19/CL19-1)*100</f>
        <v>8.5150404027632511</v>
      </c>
      <c r="CR19" s="149">
        <f>$CR13</f>
        <v>5.0587933505372051</v>
      </c>
      <c r="CT19" s="243">
        <v>195.2</v>
      </c>
      <c r="CU19" s="140">
        <f>(CT19/CP19-1)*100</f>
        <v>3.382164458143988</v>
      </c>
      <c r="CV19" s="149">
        <f>$CV13</f>
        <v>-1.0030162891940586</v>
      </c>
      <c r="CX19" s="243">
        <v>206.4</v>
      </c>
      <c r="CY19" s="140">
        <f>(CX19/CT19-1)*100</f>
        <v>5.7377049180328044</v>
      </c>
      <c r="CZ19" s="149">
        <f>$CR13</f>
        <v>5.0587933505372051</v>
      </c>
      <c r="DB19" s="243">
        <v>226.8</v>
      </c>
      <c r="DC19" s="140">
        <f>(DB19/CX19-1)*100</f>
        <v>9.8837209302325526</v>
      </c>
      <c r="DD19" s="149">
        <f>$CR13</f>
        <v>5.0587933505372051</v>
      </c>
      <c r="DF19" s="243">
        <v>231.2</v>
      </c>
      <c r="DG19" s="140">
        <f>(DF19/DB19-1)*100</f>
        <v>1.9400352733685899</v>
      </c>
      <c r="DH19" s="149">
        <f>DH13</f>
        <v>8.5149642160052164</v>
      </c>
    </row>
    <row r="20" spans="1:112">
      <c r="A20" s="132"/>
      <c r="B20" s="132"/>
      <c r="C20" s="132"/>
      <c r="D20" s="132"/>
      <c r="E20" s="132"/>
      <c r="F20" s="132"/>
      <c r="G20" s="132"/>
      <c r="H20" s="132"/>
      <c r="I20" s="132"/>
      <c r="J20" s="132"/>
      <c r="K20" s="132"/>
      <c r="L20" s="132"/>
      <c r="M20" s="132"/>
      <c r="N20" s="132"/>
      <c r="O20" s="132"/>
      <c r="P20" s="132"/>
      <c r="Q20" s="132"/>
      <c r="R20" s="132"/>
      <c r="S20" s="132"/>
      <c r="T20" s="132"/>
      <c r="U20" s="132"/>
      <c r="V20" s="132"/>
      <c r="W20" s="132"/>
      <c r="X20" s="132"/>
      <c r="Y20" s="132"/>
      <c r="Z20" s="132"/>
      <c r="AA20" s="132"/>
      <c r="AB20" s="132"/>
      <c r="AC20" s="132"/>
      <c r="AD20" s="132"/>
      <c r="AE20" s="132"/>
      <c r="AF20" s="132"/>
      <c r="AG20" s="132"/>
      <c r="AH20" s="132"/>
      <c r="AI20" s="132"/>
      <c r="AJ20" s="132"/>
      <c r="AK20" s="132"/>
      <c r="AL20" s="132"/>
      <c r="AM20" s="132"/>
      <c r="AN20" s="132"/>
      <c r="AO20" s="132"/>
      <c r="AP20" s="132"/>
      <c r="AQ20" s="132"/>
      <c r="AR20" s="132"/>
      <c r="AS20" s="132"/>
      <c r="AT20" s="132"/>
      <c r="AU20" s="132"/>
      <c r="AV20" s="132"/>
      <c r="AW20" s="132"/>
      <c r="AX20" s="132"/>
      <c r="AY20" s="132"/>
      <c r="AZ20" s="132"/>
      <c r="BA20" s="132"/>
      <c r="BB20" s="132"/>
      <c r="BC20" s="132"/>
      <c r="BD20" s="132"/>
      <c r="BE20" s="132"/>
      <c r="BF20" s="132"/>
      <c r="BG20" s="132"/>
      <c r="BH20" s="132"/>
      <c r="BI20" s="132"/>
      <c r="BJ20" s="132"/>
      <c r="BK20" s="132"/>
      <c r="BL20" s="132"/>
      <c r="BM20" s="132"/>
      <c r="BN20" s="132"/>
      <c r="BO20" s="132"/>
      <c r="BP20" s="132"/>
      <c r="BQ20" s="132"/>
      <c r="BR20" s="132"/>
      <c r="BS20" s="132"/>
      <c r="BT20" s="132"/>
      <c r="BU20" s="132"/>
      <c r="BV20" s="132"/>
      <c r="BW20" s="132"/>
      <c r="BX20" s="132"/>
      <c r="BY20" s="132"/>
      <c r="BZ20" s="132"/>
      <c r="CA20" s="132"/>
      <c r="CB20" s="132"/>
      <c r="CC20" s="132"/>
      <c r="CD20" s="132"/>
      <c r="CE20" s="132"/>
      <c r="CF20" s="132"/>
      <c r="CG20" s="132"/>
      <c r="CH20" s="132"/>
      <c r="CI20" s="132"/>
      <c r="CJ20" s="132"/>
      <c r="CK20" s="132"/>
      <c r="CL20" s="132"/>
      <c r="CM20" s="132"/>
      <c r="CN20" s="132"/>
    </row>
    <row r="21" spans="1:112">
      <c r="A21" s="271" t="s">
        <v>1378</v>
      </c>
      <c r="B21" s="268"/>
      <c r="C21" s="256"/>
      <c r="D21" s="256"/>
      <c r="E21" s="256"/>
      <c r="F21" s="269"/>
      <c r="G21" s="269"/>
      <c r="H21" s="269"/>
      <c r="I21" s="269"/>
      <c r="J21" s="269"/>
      <c r="K21" s="269"/>
      <c r="L21" s="269"/>
      <c r="M21" s="270"/>
      <c r="N21" s="270"/>
      <c r="O21" s="269"/>
      <c r="P21" s="269"/>
      <c r="Q21" s="269"/>
      <c r="R21" s="269"/>
      <c r="S21" s="269"/>
      <c r="T21" s="269"/>
      <c r="U21" s="269"/>
      <c r="V21" s="269"/>
      <c r="W21" s="269"/>
      <c r="X21" s="269"/>
      <c r="Y21" s="269"/>
      <c r="Z21" s="269"/>
      <c r="AA21" s="269"/>
      <c r="AB21" s="269"/>
      <c r="AC21" s="270"/>
      <c r="AD21" s="270"/>
      <c r="AE21" s="269"/>
      <c r="AF21" s="269"/>
      <c r="AG21" s="269"/>
      <c r="AH21" s="269"/>
      <c r="AI21" s="269"/>
      <c r="AJ21" s="269"/>
      <c r="AK21" s="269"/>
      <c r="AL21" s="269"/>
      <c r="AM21" s="269"/>
      <c r="AN21" s="269"/>
      <c r="AO21" s="256"/>
      <c r="AP21" s="269"/>
      <c r="AQ21" s="269"/>
      <c r="AR21" s="269"/>
      <c r="AS21" s="256"/>
      <c r="AT21" s="269"/>
      <c r="AU21" s="269"/>
      <c r="AV21" s="269"/>
      <c r="AW21" s="256"/>
      <c r="AX21" s="269"/>
      <c r="AY21" s="269"/>
      <c r="AZ21" s="269"/>
      <c r="BA21" s="256"/>
      <c r="BB21" s="269"/>
      <c r="BC21" s="269"/>
      <c r="BD21" s="269"/>
      <c r="BE21" s="256"/>
      <c r="BF21" s="269"/>
      <c r="BG21" s="269"/>
      <c r="BH21" s="269"/>
      <c r="BI21" s="256"/>
      <c r="BJ21" s="269"/>
      <c r="BK21" s="269"/>
      <c r="BL21" s="269"/>
      <c r="BM21" s="256"/>
      <c r="BN21" s="269"/>
      <c r="BO21" s="269"/>
      <c r="BP21" s="269"/>
      <c r="BQ21" s="256"/>
      <c r="BR21" s="269"/>
      <c r="BS21" s="269"/>
      <c r="BT21" s="269"/>
      <c r="BU21" s="256"/>
      <c r="BV21" s="269"/>
      <c r="BW21" s="269"/>
      <c r="BX21" s="269"/>
      <c r="BY21" s="256"/>
      <c r="BZ21" s="269"/>
      <c r="CA21" s="269"/>
      <c r="CB21" s="269"/>
      <c r="CC21" s="256"/>
      <c r="CD21" s="269"/>
      <c r="CE21" s="269"/>
      <c r="CF21" s="269"/>
      <c r="CG21" s="256"/>
      <c r="CH21" s="269"/>
      <c r="CI21" s="269"/>
      <c r="CJ21" s="269"/>
      <c r="CK21" s="256"/>
      <c r="CL21" s="269"/>
      <c r="CM21" s="269"/>
      <c r="CN21" s="269"/>
    </row>
    <row r="22" spans="1:112">
      <c r="A22" s="132" t="str">
        <f>$A$10</f>
        <v>1Q</v>
      </c>
      <c r="B22" s="132" t="str">
        <f>$B$10</f>
        <v>Apr</v>
      </c>
      <c r="C22" s="132"/>
      <c r="D22" s="226"/>
      <c r="E22" s="145"/>
      <c r="F22" s="226"/>
      <c r="G22" s="140" t="e">
        <f>(F22/D22-1)*100</f>
        <v>#DIV/0!</v>
      </c>
      <c r="H22" s="149">
        <f>H$10</f>
        <v>0</v>
      </c>
      <c r="I22" s="184"/>
      <c r="J22" s="226"/>
      <c r="K22" s="140" t="e">
        <f>(J22/F22-1)*100</f>
        <v>#DIV/0!</v>
      </c>
      <c r="L22" s="149">
        <f>L$10</f>
        <v>10.435096030070557</v>
      </c>
      <c r="M22" s="184"/>
      <c r="N22" s="226"/>
      <c r="O22" s="140" t="e">
        <f>(N22/J22-1)*100</f>
        <v>#DIV/0!</v>
      </c>
      <c r="P22" s="149">
        <f>P$10</f>
        <v>2.0916093175926243</v>
      </c>
      <c r="Q22" s="184"/>
      <c r="R22" s="226">
        <f>54.971+15.489+18.292</f>
        <v>88.751999999999995</v>
      </c>
      <c r="S22" s="140" t="e">
        <f>(R22/N22-1)*100</f>
        <v>#DIV/0!</v>
      </c>
      <c r="T22" s="149">
        <f>T$10</f>
        <v>19.844539235118418</v>
      </c>
      <c r="U22" s="184"/>
      <c r="V22" s="226">
        <f>7.925+16.786</f>
        <v>24.711000000000002</v>
      </c>
      <c r="W22" s="140" t="e">
        <f>(V22/D22-1)*100</f>
        <v>#DIV/0!</v>
      </c>
      <c r="X22" s="149">
        <f>X$10</f>
        <v>14.432918975359566</v>
      </c>
      <c r="Y22" s="184"/>
      <c r="Z22" s="226">
        <f>8.438+24.067</f>
        <v>32.505000000000003</v>
      </c>
      <c r="AA22" s="140">
        <f>(Z22/V22-1)*100</f>
        <v>31.540609445186352</v>
      </c>
      <c r="AB22" s="149">
        <f>AB$10</f>
        <v>20.378436700767267</v>
      </c>
      <c r="AC22" s="184"/>
      <c r="AD22" s="226">
        <f>15.79+24.76</f>
        <v>40.549999999999997</v>
      </c>
      <c r="AE22" s="140">
        <f>(AD22/Z22-1)*100</f>
        <v>24.750038455622203</v>
      </c>
      <c r="AF22" s="149">
        <f>AF$10</f>
        <v>10.489042331291731</v>
      </c>
      <c r="AG22" s="184"/>
      <c r="AH22" s="226">
        <f>20.402+25.676</f>
        <v>46.078000000000003</v>
      </c>
      <c r="AI22" s="140">
        <f>(AH22/AD22-1)*100</f>
        <v>13.632552404438968</v>
      </c>
      <c r="AJ22" s="149">
        <f>AJ$10</f>
        <v>13.249941161447975</v>
      </c>
      <c r="AK22" s="184"/>
      <c r="AL22" s="226">
        <f>23.393+24.887</f>
        <v>48.28</v>
      </c>
      <c r="AM22" s="140">
        <f>(AL22/AH22-1)*100</f>
        <v>4.7788532488389102</v>
      </c>
      <c r="AN22" s="149">
        <f>AN$10</f>
        <v>20.3918482129829</v>
      </c>
      <c r="AO22" s="132"/>
      <c r="AP22" s="226">
        <f>35.005+26.591</f>
        <v>61.596000000000004</v>
      </c>
      <c r="AQ22" s="140">
        <f>(AP22/AL22-1)*100</f>
        <v>27.580778790389402</v>
      </c>
      <c r="AR22" s="149">
        <f>AR$10</f>
        <v>26.761716927981418</v>
      </c>
      <c r="AS22" s="132"/>
      <c r="AT22" s="226">
        <f>33.383+36.715</f>
        <v>70.098000000000013</v>
      </c>
      <c r="AU22" s="140">
        <f>(AT22/AP22-1)*100</f>
        <v>13.802844340541597</v>
      </c>
      <c r="AV22" s="149">
        <f>AV$10</f>
        <v>-2.5328631900400578</v>
      </c>
      <c r="AW22" s="132"/>
      <c r="AX22" s="226">
        <f>45.796+32.889</f>
        <v>78.685000000000002</v>
      </c>
      <c r="AY22" s="140">
        <f>(AX22/AT22-1)*100</f>
        <v>12.249992867128867</v>
      </c>
      <c r="AZ22" s="149">
        <f>AZ$10</f>
        <v>3.189051162154688</v>
      </c>
      <c r="BA22" s="132"/>
      <c r="BB22" s="226">
        <f>44.836+35.451</f>
        <v>80.287000000000006</v>
      </c>
      <c r="BC22" s="140">
        <f>(BB22/AX22-1)*100</f>
        <v>2.0359661943191165</v>
      </c>
      <c r="BD22" s="149">
        <f>BD$10</f>
        <v>14.032247377775974</v>
      </c>
      <c r="BE22" s="132"/>
      <c r="BF22" s="226">
        <f>46.415+40.41</f>
        <v>86.824999999999989</v>
      </c>
      <c r="BG22" s="140">
        <f>(BF22/BB22-1)*100</f>
        <v>8.1432859616126905</v>
      </c>
      <c r="BH22" s="149">
        <f>BH$10</f>
        <v>15.440873688545075</v>
      </c>
      <c r="BI22" s="132"/>
      <c r="BJ22" s="226">
        <f>69.385+41.119</f>
        <v>110.504</v>
      </c>
      <c r="BK22" s="140">
        <f>(BJ22/BF22-1)*100</f>
        <v>27.272099049812869</v>
      </c>
      <c r="BL22" s="149">
        <f>BL$10</f>
        <v>11.585477941176482</v>
      </c>
      <c r="BM22" s="132"/>
      <c r="BN22" s="226">
        <f>73.501+54.18</f>
        <v>127.68100000000001</v>
      </c>
      <c r="BO22" s="140">
        <f>(BN22/BJ22-1)*100</f>
        <v>15.54423369289799</v>
      </c>
      <c r="BP22" s="149">
        <f>BP$10</f>
        <v>1.0698155132074394</v>
      </c>
      <c r="BQ22" s="132"/>
      <c r="BR22" s="1734">
        <f>72.663+74.783</f>
        <v>147.446</v>
      </c>
      <c r="BS22" s="140">
        <f>(BR22/BN22-1)*100</f>
        <v>15.479985275804541</v>
      </c>
      <c r="BT22" s="149">
        <f>BT$10</f>
        <v>15.595627100489784</v>
      </c>
      <c r="BU22" s="132"/>
      <c r="BV22" s="1734">
        <f>86.784+27.388</f>
        <v>114.17200000000001</v>
      </c>
      <c r="BW22" s="140">
        <f>(BV22/BR22-1)*100</f>
        <v>-22.566905850277386</v>
      </c>
      <c r="BX22" s="149">
        <f>BX$10</f>
        <v>11.708511756184436</v>
      </c>
      <c r="BY22" s="132"/>
      <c r="BZ22" s="1734">
        <f>120.772+12.13</f>
        <v>132.90200000000002</v>
      </c>
      <c r="CA22" s="140">
        <f>(BZ22/BV22-1)*100</f>
        <v>16.405073047682439</v>
      </c>
      <c r="CB22" s="149">
        <f>CB$10</f>
        <v>-22.219300354631244</v>
      </c>
      <c r="CC22" s="132"/>
      <c r="CD22" s="1734">
        <f>87.586+6.514</f>
        <v>94.1</v>
      </c>
      <c r="CE22" s="140">
        <f>(CD22/BZ22-1)*100</f>
        <v>-29.195948894674284</v>
      </c>
      <c r="CF22" s="149">
        <f>CF$10</f>
        <v>22.404876211083536</v>
      </c>
      <c r="CG22" s="132"/>
      <c r="CH22" s="1734">
        <f>122.694+49.118</f>
        <v>171.81200000000001</v>
      </c>
      <c r="CI22" s="140">
        <f>(CH22/CD22-1)*100</f>
        <v>82.584484590860811</v>
      </c>
      <c r="CJ22" s="149">
        <f>CJ$10</f>
        <v>20.112818149390922</v>
      </c>
      <c r="CK22" s="132"/>
      <c r="CL22" s="226">
        <f>91.28+148.742</f>
        <v>240.02199999999999</v>
      </c>
      <c r="CM22" s="140">
        <f>(CL22/CH22-1)*100</f>
        <v>39.700370172048508</v>
      </c>
      <c r="CN22" s="149">
        <f>CN$10</f>
        <v>7.6413435687460618</v>
      </c>
      <c r="CP22" s="226">
        <f>80.568+176.894</f>
        <v>257.46199999999999</v>
      </c>
      <c r="CQ22" s="140">
        <f>(CP22/CL22-1)*100</f>
        <v>7.2660006166101354</v>
      </c>
      <c r="CR22" s="149">
        <f>$CR16</f>
        <v>9.316014990783362</v>
      </c>
      <c r="CT22" s="607">
        <f>236.815</f>
        <v>236.815</v>
      </c>
      <c r="CU22" s="140">
        <f>(CT22/CP22-1)*100</f>
        <v>-8.01943587791596</v>
      </c>
      <c r="CV22" s="149">
        <f>$CR16</f>
        <v>9.316014990783362</v>
      </c>
      <c r="CX22" s="226">
        <v>207.6</v>
      </c>
      <c r="CY22" s="140">
        <f>(CX22/CT22-1)*100</f>
        <v>-12.336634081455989</v>
      </c>
      <c r="CZ22" s="149">
        <f>$CR16</f>
        <v>9.316014990783362</v>
      </c>
      <c r="DB22" s="607">
        <v>190.7</v>
      </c>
      <c r="DC22" s="140">
        <f>(DB22/CX22-1)*100</f>
        <v>-8.1406551059730266</v>
      </c>
      <c r="DD22" s="149">
        <f>$CR16</f>
        <v>9.316014990783362</v>
      </c>
      <c r="DF22" s="607">
        <v>204</v>
      </c>
      <c r="DG22" s="140">
        <f>(DF22/DB22-1)*100</f>
        <v>6.9743051914001208</v>
      </c>
      <c r="DH22" s="149">
        <f>DH10</f>
        <v>0.9312240547515005</v>
      </c>
    </row>
    <row r="23" spans="1:112">
      <c r="A23" s="132" t="str">
        <f>$A$11</f>
        <v>2Q</v>
      </c>
      <c r="B23" s="132" t="str">
        <f>$B$11</f>
        <v>Jul</v>
      </c>
      <c r="C23" s="132"/>
      <c r="D23" s="243"/>
      <c r="E23" s="144"/>
      <c r="F23" s="243">
        <f>51.284+13.432</f>
        <v>64.715999999999994</v>
      </c>
      <c r="G23" s="140" t="e">
        <f>(F23/D23-1)*100</f>
        <v>#DIV/0!</v>
      </c>
      <c r="H23" s="149">
        <f>H$11</f>
        <v>0</v>
      </c>
      <c r="I23" s="184"/>
      <c r="J23" s="243">
        <f>46.268+12.858</f>
        <v>59.126000000000005</v>
      </c>
      <c r="K23" s="140">
        <f>(J23/F23-1)*100</f>
        <v>-8.6377402806106502</v>
      </c>
      <c r="L23" s="149">
        <f>L$11</f>
        <v>1.2213919512113369</v>
      </c>
      <c r="M23" s="184"/>
      <c r="N23" s="243"/>
      <c r="O23" s="140">
        <f>(N23/J23-1)*100</f>
        <v>-100</v>
      </c>
      <c r="P23" s="149">
        <f>P$11</f>
        <v>-5.4597368203260777</v>
      </c>
      <c r="Q23" s="184"/>
      <c r="R23" s="243">
        <f>58.31+13.857+21.248</f>
        <v>93.415000000000006</v>
      </c>
      <c r="S23" s="140" t="e">
        <f>(R23/N23-1)*100</f>
        <v>#DIV/0!</v>
      </c>
      <c r="T23" s="149">
        <f>T$11</f>
        <v>33.286353330473673</v>
      </c>
      <c r="U23" s="184"/>
      <c r="V23" s="243">
        <f>23.492</f>
        <v>23.492000000000001</v>
      </c>
      <c r="W23" s="140" t="e">
        <f>(V23/D23-1)*100</f>
        <v>#DIV/0!</v>
      </c>
      <c r="X23" s="149">
        <f>X$11</f>
        <v>21.296229401603849</v>
      </c>
      <c r="Y23" s="184"/>
      <c r="Z23" s="243">
        <f>8.817+30.402</f>
        <v>39.219000000000001</v>
      </c>
      <c r="AA23" s="140">
        <f>(Z23/V23-1)*100</f>
        <v>66.946194449174186</v>
      </c>
      <c r="AB23" s="149">
        <f>AB$11</f>
        <v>9.7903423181468838</v>
      </c>
      <c r="AC23" s="184"/>
      <c r="AD23" s="243">
        <f>19.105+31.437</f>
        <v>50.542000000000002</v>
      </c>
      <c r="AE23" s="140">
        <f>(AD23/Z23-1)*100</f>
        <v>28.871210382722666</v>
      </c>
      <c r="AF23" s="149">
        <f>AF$11</f>
        <v>7.094982812446049</v>
      </c>
      <c r="AG23" s="184"/>
      <c r="AH23" s="243">
        <f>21.633+32.681</f>
        <v>54.313999999999993</v>
      </c>
      <c r="AI23" s="140">
        <f>(AH23/AD23-1)*100</f>
        <v>7.4630999960428879</v>
      </c>
      <c r="AJ23" s="149">
        <f>AJ$11</f>
        <v>14.079272757415428</v>
      </c>
      <c r="AK23" s="184"/>
      <c r="AL23" s="243">
        <f>27.214+32.246</f>
        <v>59.46</v>
      </c>
      <c r="AM23" s="140">
        <f>(AL23/AH23-1)*100</f>
        <v>9.4745369517988074</v>
      </c>
      <c r="AN23" s="149">
        <f>AN$11</f>
        <v>23.956289711854417</v>
      </c>
      <c r="AO23" s="132"/>
      <c r="AP23" s="243">
        <f>33.131+33.969</f>
        <v>67.099999999999994</v>
      </c>
      <c r="AQ23" s="140">
        <f>(AP23/AL23-1)*100</f>
        <v>12.848974100235445</v>
      </c>
      <c r="AR23" s="149">
        <f>AR$11</f>
        <v>21.943419514307937</v>
      </c>
      <c r="AS23" s="132"/>
      <c r="AT23" s="243">
        <f>36.037+38.564</f>
        <v>74.600999999999999</v>
      </c>
      <c r="AU23" s="140">
        <f>(AT23/AP23-1)*100</f>
        <v>11.178837555886734</v>
      </c>
      <c r="AV23" s="149">
        <f>AV$11</f>
        <v>-0.8404371234457142</v>
      </c>
      <c r="AW23" s="132"/>
      <c r="AX23" s="243">
        <f>48.957+34.367</f>
        <v>83.323999999999998</v>
      </c>
      <c r="AY23" s="140">
        <f>(AX23/AT23-1)*100</f>
        <v>11.692872749695038</v>
      </c>
      <c r="AZ23" s="149">
        <f>AZ$11</f>
        <v>0.84190454644614832</v>
      </c>
      <c r="BA23" s="132"/>
      <c r="BB23" s="243">
        <f>44.185+35.705</f>
        <v>79.89</v>
      </c>
      <c r="BC23" s="140">
        <f>(BB23/AX23-1)*100</f>
        <v>-4.1212615812970981</v>
      </c>
      <c r="BD23" s="149">
        <f>BD$11</f>
        <v>18.179244552342631</v>
      </c>
      <c r="BE23" s="132"/>
      <c r="BF23" s="243">
        <f>212.786-114.6</f>
        <v>98.186000000000007</v>
      </c>
      <c r="BG23" s="140">
        <f>(BF23/BB23-1)*100</f>
        <v>22.901489548128694</v>
      </c>
      <c r="BH23" s="149">
        <f>BH$11</f>
        <v>7.7067537486299242</v>
      </c>
      <c r="BI23" s="132"/>
      <c r="BJ23" s="243">
        <f>72.084+51.991</f>
        <v>124.075</v>
      </c>
      <c r="BK23" s="140">
        <f>(BJ23/BF23-1)*100</f>
        <v>26.367302874136843</v>
      </c>
      <c r="BL23" s="149">
        <f>BL$11</f>
        <v>10.512865167006936</v>
      </c>
      <c r="BM23" s="132"/>
      <c r="BN23" s="243">
        <f>79.882+60.936</f>
        <v>140.81800000000001</v>
      </c>
      <c r="BO23" s="140">
        <f>(BN23/BJ23-1)*100</f>
        <v>13.494257505541007</v>
      </c>
      <c r="BP23" s="149">
        <f>BP$11</f>
        <v>5.307755253929658</v>
      </c>
      <c r="BQ23" s="132"/>
      <c r="BR23" s="1730">
        <f>48.9+79.816</f>
        <v>128.71600000000001</v>
      </c>
      <c r="BS23" s="140">
        <f>(BR23/BN23-1)*100</f>
        <v>-8.5940717805962343</v>
      </c>
      <c r="BT23" s="149">
        <f>BT$11</f>
        <v>19.454365490744728</v>
      </c>
      <c r="BU23" s="132"/>
      <c r="BV23" s="1730">
        <f>69.484+30.774</f>
        <v>100.258</v>
      </c>
      <c r="BW23" s="140">
        <f>(BV23/BR23-1)*100</f>
        <v>-22.109139500916754</v>
      </c>
      <c r="BX23" s="149">
        <f>BX$11</f>
        <v>10.123128099709922</v>
      </c>
      <c r="BY23" s="132"/>
      <c r="BZ23" s="1730">
        <f>99.476+12.303</f>
        <v>111.779</v>
      </c>
      <c r="CA23" s="140">
        <f>(BZ23/BV23-1)*100</f>
        <v>11.491352311037527</v>
      </c>
      <c r="CB23" s="149">
        <f>CB$11</f>
        <v>-16.054761702442587</v>
      </c>
      <c r="CC23" s="132"/>
      <c r="CD23" s="1730">
        <f>76.78+16.114</f>
        <v>92.894000000000005</v>
      </c>
      <c r="CE23" s="140">
        <f>(CD23/BZ23-1)*100</f>
        <v>-16.894944488678544</v>
      </c>
      <c r="CF23" s="149">
        <f>CF$11</f>
        <v>9.1865539687800322</v>
      </c>
      <c r="CG23" s="132"/>
      <c r="CH23" s="1730">
        <f>67.964+115.474</f>
        <v>183.43799999999999</v>
      </c>
      <c r="CI23" s="140">
        <f>(CH23/CD23-1)*100</f>
        <v>97.470234891381551</v>
      </c>
      <c r="CJ23" s="149">
        <f>CJ$11</f>
        <v>30.497039296608651</v>
      </c>
      <c r="CK23" s="132"/>
      <c r="CL23" s="1730">
        <f>105.212+131.485</f>
        <v>236.697</v>
      </c>
      <c r="CM23" s="140">
        <f>(CL23/CH23-1)*100</f>
        <v>29.033787982860716</v>
      </c>
      <c r="CN23" s="149">
        <f>CN$10</f>
        <v>7.6413435687460618</v>
      </c>
      <c r="CP23" s="1730">
        <f>77.948+182.049</f>
        <v>259.99700000000001</v>
      </c>
      <c r="CQ23" s="140">
        <f>(CP23/CL23-1)*100</f>
        <v>9.8438087512727321</v>
      </c>
      <c r="CR23" s="149">
        <f>$CR17</f>
        <v>4.4345110194468962</v>
      </c>
      <c r="CT23" s="314">
        <f>225.863</f>
        <v>225.863</v>
      </c>
      <c r="CU23" s="140">
        <f>(CT23/CP23-1)*100</f>
        <v>-13.128613022457959</v>
      </c>
      <c r="CV23" s="149">
        <f>$CV17</f>
        <v>7.2412958858776966</v>
      </c>
      <c r="CX23" s="314">
        <v>202.9</v>
      </c>
      <c r="CY23" s="140">
        <f>(CX23/CT23-1)*100</f>
        <v>-10.166782518606411</v>
      </c>
      <c r="CZ23" s="149">
        <f>$CR17</f>
        <v>4.4345110194468962</v>
      </c>
      <c r="DB23" s="1730">
        <v>215.4</v>
      </c>
      <c r="DC23" s="140">
        <f>(DB23/CX23-1)*100</f>
        <v>6.1606702809265723</v>
      </c>
      <c r="DD23" s="149">
        <f>$CR17</f>
        <v>4.4345110194468962</v>
      </c>
      <c r="DF23" s="1730">
        <v>218.3</v>
      </c>
      <c r="DG23" s="140">
        <f>(DF23/DB23-1)*100</f>
        <v>1.346332404828221</v>
      </c>
      <c r="DH23" s="149">
        <f>DH11</f>
        <v>3.0163160154572877</v>
      </c>
    </row>
    <row r="24" spans="1:112">
      <c r="A24" s="132" t="str">
        <f>$A$12</f>
        <v>3Q</v>
      </c>
      <c r="B24" s="132" t="str">
        <f>$B$12</f>
        <v>Oct</v>
      </c>
      <c r="C24" s="132"/>
      <c r="D24" s="243"/>
      <c r="E24" s="144"/>
      <c r="F24" s="243"/>
      <c r="G24" s="140" t="e">
        <f>(F24/D24-1)*100</f>
        <v>#DIV/0!</v>
      </c>
      <c r="H24" s="149">
        <f>H$12</f>
        <v>0</v>
      </c>
      <c r="I24" s="184"/>
      <c r="J24" s="243"/>
      <c r="K24" s="140" t="e">
        <f>(J24/F24-1)*100</f>
        <v>#DIV/0!</v>
      </c>
      <c r="L24" s="149">
        <f>L$12</f>
        <v>-16.221390653554945</v>
      </c>
      <c r="M24" s="184"/>
      <c r="N24" s="243"/>
      <c r="O24" s="140" t="e">
        <f>(N24/J24-1)*100</f>
        <v>#DIV/0!</v>
      </c>
      <c r="P24" s="149">
        <f>P$12</f>
        <v>27.246286485924998</v>
      </c>
      <c r="Q24" s="184"/>
      <c r="R24" s="243">
        <f>61.23+7.925+23.449</f>
        <v>92.603999999999999</v>
      </c>
      <c r="S24" s="140" t="e">
        <f>(R24/N24-1)*100</f>
        <v>#DIV/0!</v>
      </c>
      <c r="T24" s="149">
        <f>T$12</f>
        <v>18.805936920222631</v>
      </c>
      <c r="U24" s="184"/>
      <c r="V24" s="243">
        <f>21.914</f>
        <v>21.914000000000001</v>
      </c>
      <c r="W24" s="140" t="e">
        <f>(V24/D24-1)*100</f>
        <v>#DIV/0!</v>
      </c>
      <c r="X24" s="149">
        <f>X$12</f>
        <v>17.287042994296975</v>
      </c>
      <c r="Y24" s="184"/>
      <c r="Z24" s="243">
        <f>9.1+28.843</f>
        <v>37.942999999999998</v>
      </c>
      <c r="AA24" s="140">
        <f>(Z24/V24-1)*100</f>
        <v>73.145021447476481</v>
      </c>
      <c r="AB24" s="149">
        <f>AB$12</f>
        <v>12.365923543133484</v>
      </c>
      <c r="AC24" s="184"/>
      <c r="AD24" s="243">
        <f>19.125+30.848</f>
        <v>49.972999999999999</v>
      </c>
      <c r="AE24" s="140">
        <f>(AD24/Z24-1)*100</f>
        <v>31.705452916216426</v>
      </c>
      <c r="AF24" s="149">
        <f>AF$12</f>
        <v>10.469464653885341</v>
      </c>
      <c r="AG24" s="184"/>
      <c r="AH24" s="243">
        <f>21.286+34.754</f>
        <v>56.04</v>
      </c>
      <c r="AI24" s="140">
        <f>(AH24/AD24-1)*100</f>
        <v>12.140555900186101</v>
      </c>
      <c r="AJ24" s="149">
        <f>AJ$12</f>
        <v>8.360434883341771</v>
      </c>
      <c r="AK24" s="184"/>
      <c r="AL24" s="243">
        <f>30.251+34.502</f>
        <v>64.753</v>
      </c>
      <c r="AM24" s="140">
        <f>(AL24/AH24-1)*100</f>
        <v>15.547822983583149</v>
      </c>
      <c r="AN24" s="149">
        <f>AN$12</f>
        <v>27.77399429838454</v>
      </c>
      <c r="AO24" s="132"/>
      <c r="AP24" s="243">
        <f>36.525+42.499</f>
        <v>79.024000000000001</v>
      </c>
      <c r="AQ24" s="140">
        <f>(AP24/AL24-1)*100</f>
        <v>22.03913332200824</v>
      </c>
      <c r="AR24" s="149">
        <f>AR$12</f>
        <v>15.298135144682767</v>
      </c>
      <c r="AS24" s="132"/>
      <c r="AT24" s="243">
        <f>38.03+40.507</f>
        <v>78.537000000000006</v>
      </c>
      <c r="AU24" s="140">
        <f>(AT24/AP24-1)*100</f>
        <v>-0.61626847539987262</v>
      </c>
      <c r="AV24" s="149">
        <f>AV$12</f>
        <v>-10.481785881303185</v>
      </c>
      <c r="AW24" s="132"/>
      <c r="AX24" s="243">
        <f>48.66+39.519</f>
        <v>88.179000000000002</v>
      </c>
      <c r="AY24" s="140">
        <f>(AX24/AT24-1)*100</f>
        <v>12.277015928797885</v>
      </c>
      <c r="AZ24" s="149">
        <f>AZ$12</f>
        <v>9.8953986201264499</v>
      </c>
      <c r="BA24" s="132"/>
      <c r="BB24" s="243">
        <f>44.503+43.84</f>
        <v>88.343000000000004</v>
      </c>
      <c r="BC24" s="140">
        <f>(BB24/AX24-1)*100</f>
        <v>0.18598532530420542</v>
      </c>
      <c r="BD24" s="149">
        <f>BD$12</f>
        <v>17.50935024984086</v>
      </c>
      <c r="BE24" s="132"/>
      <c r="BF24" s="243">
        <f>51.181+43.613</f>
        <v>94.793999999999997</v>
      </c>
      <c r="BG24" s="140">
        <f>(BF24/BB24-1)*100</f>
        <v>7.3022197570831837</v>
      </c>
      <c r="BH24" s="149">
        <f>BH$12</f>
        <v>7.2139829769624075</v>
      </c>
      <c r="BI24" s="132"/>
      <c r="BJ24" s="243">
        <f>74.544+73.801</f>
        <v>148.345</v>
      </c>
      <c r="BK24" s="140">
        <f>(BJ24/BF24-1)*100</f>
        <v>56.491972065742566</v>
      </c>
      <c r="BL24" s="149">
        <f>BL$12</f>
        <v>8.4468895288321466</v>
      </c>
      <c r="BM24" s="132"/>
      <c r="BN24" s="243">
        <f>78.206+69.002</f>
        <v>147.208</v>
      </c>
      <c r="BO24" s="140">
        <f>(BN24/BJ24-1)*100</f>
        <v>-0.76645657083150853</v>
      </c>
      <c r="BP24" s="149">
        <f>BP$12</f>
        <v>6.3444676617910201</v>
      </c>
      <c r="BQ24" s="132"/>
      <c r="BR24" s="1730">
        <f>91.682+15.216</f>
        <v>106.898</v>
      </c>
      <c r="BS24" s="140">
        <f>(BR24/BN24-1)*100</f>
        <v>-27.383022661811861</v>
      </c>
      <c r="BT24" s="149">
        <f>BT$12</f>
        <v>17.95466254507987</v>
      </c>
      <c r="BU24" s="132"/>
      <c r="BV24" s="1730">
        <f>70.375+33.069</f>
        <v>103.444</v>
      </c>
      <c r="BW24" s="140">
        <f>(BV24/BR24-1)*100</f>
        <v>-3.2311175138917458</v>
      </c>
      <c r="BX24" s="149">
        <f>BX$12</f>
        <v>-1.7807413405853012</v>
      </c>
      <c r="BY24" s="132"/>
      <c r="BZ24" s="1730">
        <f>126.4+12.521</f>
        <v>138.92099999999999</v>
      </c>
      <c r="CA24" s="140">
        <f>(BZ24/BV24-1)*100</f>
        <v>34.295850895170332</v>
      </c>
      <c r="CB24" s="149">
        <f>CB$12</f>
        <v>-2.9116192108440853</v>
      </c>
      <c r="CC24" s="132"/>
      <c r="CD24" s="1730">
        <f>86.937+24.618</f>
        <v>111.55499999999999</v>
      </c>
      <c r="CE24" s="140">
        <f>(CD24/BZ24-1)*100</f>
        <v>-19.698965599153475</v>
      </c>
      <c r="CF24" s="149">
        <f>+$CF$12</f>
        <v>13.96110409018878</v>
      </c>
      <c r="CG24" s="132"/>
      <c r="CH24" s="1730">
        <f>117.706+93.79</f>
        <v>211.49600000000001</v>
      </c>
      <c r="CI24" s="140">
        <f>(CH24/CD24-1)*100</f>
        <v>89.588991977051705</v>
      </c>
      <c r="CJ24" s="149">
        <f>+$CF$12</f>
        <v>13.96110409018878</v>
      </c>
      <c r="CK24" s="132"/>
      <c r="CL24" s="1730">
        <f>106.744+180.013</f>
        <v>286.75700000000001</v>
      </c>
      <c r="CM24" s="140">
        <f>(CL24/CH24-1)*100</f>
        <v>35.585070166811676</v>
      </c>
      <c r="CN24" s="149">
        <f>CN$10</f>
        <v>7.6413435687460618</v>
      </c>
      <c r="CP24" s="1730">
        <f>78.02+178.71</f>
        <v>256.73</v>
      </c>
      <c r="CQ24" s="140">
        <f>(CP24/CL24-1)*100</f>
        <v>-10.471235227038921</v>
      </c>
      <c r="CR24" s="149">
        <f>CR$10</f>
        <v>9.316014990783362</v>
      </c>
      <c r="CT24" s="1730">
        <v>284.60000000000002</v>
      </c>
      <c r="CU24" s="140">
        <f>(CT24/CP24-1)*100</f>
        <v>10.85576286370895</v>
      </c>
      <c r="CV24" s="149">
        <f>$CV18</f>
        <v>5.2783501082856787</v>
      </c>
      <c r="CX24" s="314">
        <v>204.2</v>
      </c>
      <c r="CY24" s="140">
        <f>(CX24/CT24-1)*100</f>
        <v>-28.250175685172184</v>
      </c>
      <c r="CZ24" s="149">
        <f>$CR18</f>
        <v>9.316014990783362</v>
      </c>
      <c r="DB24" s="1730">
        <v>205.4</v>
      </c>
      <c r="DC24" s="140">
        <f>(DB24/CX24-1)*100</f>
        <v>0.58765915768854704</v>
      </c>
      <c r="DD24" s="149">
        <f>$CR18</f>
        <v>9.316014990783362</v>
      </c>
      <c r="DF24" s="1730">
        <v>223.4</v>
      </c>
      <c r="DG24" s="140">
        <f>(DF24/DB24-1)*100</f>
        <v>8.7633885102239581</v>
      </c>
      <c r="DH24" s="149">
        <f>DH12</f>
        <v>2.8336669124618297</v>
      </c>
    </row>
    <row r="25" spans="1:112">
      <c r="A25" s="132" t="str">
        <f>$A$13</f>
        <v>4Q</v>
      </c>
      <c r="B25" s="132" t="str">
        <f>$B$13</f>
        <v>Jan</v>
      </c>
      <c r="C25" s="132"/>
      <c r="D25" s="243"/>
      <c r="E25" s="144"/>
      <c r="F25" s="243">
        <f>51.687+12.777</f>
        <v>64.463999999999999</v>
      </c>
      <c r="G25" s="140" t="e">
        <f>(F25/D25-1)*100</f>
        <v>#DIV/0!</v>
      </c>
      <c r="H25" s="149">
        <f>H$13</f>
        <v>0</v>
      </c>
      <c r="I25" s="184"/>
      <c r="J25" s="243"/>
      <c r="K25" s="140">
        <f>(J25/F25-1)*100</f>
        <v>-100</v>
      </c>
      <c r="L25" s="149">
        <f>L$13</f>
        <v>2.2834635102128686</v>
      </c>
      <c r="M25" s="184"/>
      <c r="N25" s="243">
        <f>67.33+12.517+17.718</f>
        <v>97.564999999999998</v>
      </c>
      <c r="O25" s="140" t="e">
        <f>(N25/J25-1)*100</f>
        <v>#DIV/0!</v>
      </c>
      <c r="P25" s="149">
        <f>P$13</f>
        <v>36.479456278578496</v>
      </c>
      <c r="Q25" s="184"/>
      <c r="R25" s="243">
        <f>61.622+7.925+17.868</f>
        <v>87.414999999999992</v>
      </c>
      <c r="S25" s="140">
        <f>(R25/N25-1)*100</f>
        <v>-10.403320863014409</v>
      </c>
      <c r="T25" s="149">
        <f>T$13</f>
        <v>15.016078870585513</v>
      </c>
      <c r="U25" s="184"/>
      <c r="V25" s="243">
        <f>20.584</f>
        <v>20.584</v>
      </c>
      <c r="W25" s="140" t="e">
        <f>(V25/D25-1)*100</f>
        <v>#DIV/0!</v>
      </c>
      <c r="X25" s="149">
        <f>X$13</f>
        <v>17.312225212725039</v>
      </c>
      <c r="Y25" s="184"/>
      <c r="Z25" s="243">
        <f>14.297+21.364</f>
        <v>35.661000000000001</v>
      </c>
      <c r="AA25" s="140">
        <f>(Z25/V25-1)*100</f>
        <v>73.246210649047811</v>
      </c>
      <c r="AB25" s="149">
        <f>AB$13</f>
        <v>16.714998218738874</v>
      </c>
      <c r="AC25" s="184"/>
      <c r="AD25" s="243">
        <f>17.373+20.539</f>
        <v>37.912000000000006</v>
      </c>
      <c r="AE25" s="140">
        <f>(AD25/Z25-1)*100</f>
        <v>6.3122178290008879</v>
      </c>
      <c r="AF25" s="149">
        <f>AF$13</f>
        <v>12.232196545377395</v>
      </c>
      <c r="AG25" s="184"/>
      <c r="AH25" s="243">
        <f>18.061+19.17</f>
        <v>37.231000000000002</v>
      </c>
      <c r="AI25" s="140">
        <f>(AH25/AD25-1)*100</f>
        <v>-1.7962650348174791</v>
      </c>
      <c r="AJ25" s="149">
        <f>AJ$13</f>
        <v>22.789058293037144</v>
      </c>
      <c r="AK25" s="184"/>
      <c r="AL25" s="243">
        <f>30.212+20.357</f>
        <v>50.569000000000003</v>
      </c>
      <c r="AM25" s="140">
        <f>(AL25/AH25-1)*100</f>
        <v>35.82498455588086</v>
      </c>
      <c r="AN25" s="149">
        <f>AN$13</f>
        <v>26.169466298107569</v>
      </c>
      <c r="AO25" s="132"/>
      <c r="AP25" s="243">
        <f>28.069+22.458</f>
        <v>50.527000000000001</v>
      </c>
      <c r="AQ25" s="140">
        <f>(AP25/AL25-1)*100</f>
        <v>-8.3054835966700491E-2</v>
      </c>
      <c r="AR25" s="149">
        <f>AR$13</f>
        <v>1.1851344708939227</v>
      </c>
      <c r="AS25" s="132"/>
      <c r="AT25" s="243">
        <f>41.17+26.826</f>
        <v>67.996000000000009</v>
      </c>
      <c r="AU25" s="140">
        <f>(AT25/AP25-1)*100</f>
        <v>34.573594315910313</v>
      </c>
      <c r="AV25" s="149">
        <f>AV$13</f>
        <v>-1.8445811957508162</v>
      </c>
      <c r="AW25" s="132"/>
      <c r="AX25" s="243">
        <f>44.38+24.662</f>
        <v>69.042000000000002</v>
      </c>
      <c r="AY25" s="140">
        <f>(AX25/AT25-1)*100</f>
        <v>1.5383257838696318</v>
      </c>
      <c r="AZ25" s="149">
        <f>AZ$13</f>
        <v>9.4128418637617894</v>
      </c>
      <c r="BA25" s="132"/>
      <c r="BB25" s="243">
        <f>45.043+23.683</f>
        <v>68.725999999999999</v>
      </c>
      <c r="BC25" s="140">
        <f>(BB25/AX25-1)*100</f>
        <v>-0.45769241910721403</v>
      </c>
      <c r="BD25" s="149">
        <f>BD$13</f>
        <v>18.186209336475969</v>
      </c>
      <c r="BE25" s="132"/>
      <c r="BF25" s="243">
        <f>64.79+25.428</f>
        <v>90.218000000000004</v>
      </c>
      <c r="BG25" s="140">
        <f>(BF25/BB25-1)*100</f>
        <v>31.272007682681966</v>
      </c>
      <c r="BH25" s="149">
        <f>BH$13</f>
        <v>10.734730476716404</v>
      </c>
      <c r="BI25" s="132"/>
      <c r="BJ25" s="243">
        <f>69.576+33.2</f>
        <v>102.776</v>
      </c>
      <c r="BK25" s="140">
        <f>(BJ25/BF25-1)*100</f>
        <v>13.91961692788577</v>
      </c>
      <c r="BL25" s="149">
        <f>BL$13</f>
        <v>5.9650274896867472</v>
      </c>
      <c r="BM25" s="132"/>
      <c r="BN25" s="243">
        <f>72.934+57.46</f>
        <v>130.39400000000001</v>
      </c>
      <c r="BO25" s="140">
        <f>(BN25/BJ25-1)*100</f>
        <v>26.872032381100652</v>
      </c>
      <c r="BP25" s="149">
        <f>BP$13</f>
        <v>11.700328267590487</v>
      </c>
      <c r="BQ25" s="132"/>
      <c r="BR25" s="1730">
        <f>89.072+20.218</f>
        <v>109.29</v>
      </c>
      <c r="BS25" s="140">
        <f>(BR25/BN25-1)*100</f>
        <v>-16.184793778854857</v>
      </c>
      <c r="BT25" s="149">
        <f>BT$13</f>
        <v>9.8311897022276931</v>
      </c>
      <c r="BU25" s="132"/>
      <c r="BV25" s="1730">
        <f>108.966+13.64</f>
        <v>122.60599999999999</v>
      </c>
      <c r="BW25" s="140">
        <f>(BV25/BR25-1)*100</f>
        <v>12.18409735565924</v>
      </c>
      <c r="BX25" s="149">
        <f>BX$13</f>
        <v>-20.468363216500485</v>
      </c>
      <c r="BY25" s="132"/>
      <c r="BZ25" s="1730">
        <f>66.752+6.651</f>
        <v>73.402999999999992</v>
      </c>
      <c r="CA25" s="140">
        <f>(BZ25/BV25-1)*100</f>
        <v>-40.13098869549615</v>
      </c>
      <c r="CB25" s="149">
        <f>CB$13</f>
        <v>17.167168302504933</v>
      </c>
      <c r="CC25" s="132"/>
      <c r="CD25" s="1730">
        <f>90.577+41.826</f>
        <v>132.40299999999999</v>
      </c>
      <c r="CE25" s="140">
        <f>(CD25/BZ25-1)*100</f>
        <v>80.378186177676668</v>
      </c>
      <c r="CF25" s="149">
        <f>+$CF$13</f>
        <v>12.210408973449738</v>
      </c>
      <c r="CG25" s="132"/>
      <c r="CH25" s="1730">
        <f>83.124+107.064</f>
        <v>190.18799999999999</v>
      </c>
      <c r="CI25" s="140">
        <f>(CH25/CD25-1)*100</f>
        <v>43.643270922864289</v>
      </c>
      <c r="CJ25" s="149">
        <f>+$CF$12</f>
        <v>13.96110409018878</v>
      </c>
      <c r="CK25" s="132"/>
      <c r="CL25" s="243">
        <f>79.508+158.911</f>
        <v>238.41899999999998</v>
      </c>
      <c r="CM25" s="140">
        <f>(CL25/CH25-1)*100</f>
        <v>25.359644141586223</v>
      </c>
      <c r="CN25" s="149">
        <f>CN$10</f>
        <v>7.6413435687460618</v>
      </c>
      <c r="CP25" s="243">
        <f>101.012+244.947</f>
        <v>345.959</v>
      </c>
      <c r="CQ25" s="140">
        <f>(CP25/CL25-1)*100</f>
        <v>45.10546558789359</v>
      </c>
      <c r="CR25" s="149">
        <f>$CR19</f>
        <v>5.0587933505372051</v>
      </c>
      <c r="CT25" s="314">
        <f>220</f>
        <v>220</v>
      </c>
      <c r="CU25" s="140">
        <f>(CT25/CP25-1)*100</f>
        <v>-36.408649579863507</v>
      </c>
      <c r="CV25" s="149">
        <f>$CV19</f>
        <v>-1.0030162891940586</v>
      </c>
      <c r="CX25" s="314">
        <v>190.4</v>
      </c>
      <c r="CY25" s="140">
        <f>(CX25/CT25-1)*100</f>
        <v>-13.454545454545453</v>
      </c>
      <c r="CZ25" s="149">
        <f>$CR19</f>
        <v>5.0587933505372051</v>
      </c>
      <c r="DB25" s="314">
        <v>203.4</v>
      </c>
      <c r="DC25" s="140">
        <f>(DB25/CX25-1)*100</f>
        <v>6.8277310924369727</v>
      </c>
      <c r="DD25" s="149">
        <f>$CR19</f>
        <v>5.0587933505372051</v>
      </c>
      <c r="DF25" s="314">
        <v>207.4</v>
      </c>
      <c r="DG25" s="140">
        <f>(DF25/DB25-1)*100</f>
        <v>1.9665683382497523</v>
      </c>
      <c r="DH25" s="149">
        <f>DH13</f>
        <v>8.5149642160052164</v>
      </c>
    </row>
    <row r="26" spans="1:112">
      <c r="A26" s="132"/>
      <c r="B26" s="132"/>
      <c r="C26" s="132"/>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2"/>
      <c r="AB26" s="132"/>
      <c r="AC26" s="132"/>
      <c r="AD26" s="132"/>
      <c r="AE26" s="132"/>
      <c r="AF26" s="132"/>
      <c r="AG26" s="132"/>
      <c r="AH26" s="132"/>
      <c r="AI26" s="132"/>
      <c r="AJ26" s="132"/>
      <c r="AK26" s="132"/>
      <c r="AL26" s="132"/>
      <c r="AM26" s="132"/>
      <c r="AN26" s="132"/>
      <c r="AO26" s="132"/>
      <c r="AP26" s="132"/>
      <c r="AQ26" s="132"/>
      <c r="AR26" s="132"/>
      <c r="AS26" s="132"/>
      <c r="AT26" s="132"/>
      <c r="AU26" s="132"/>
      <c r="AV26" s="132"/>
      <c r="AW26" s="132"/>
      <c r="AX26" s="132"/>
      <c r="AY26" s="132"/>
      <c r="AZ26" s="132"/>
      <c r="BA26" s="132"/>
      <c r="BB26" s="132"/>
      <c r="BC26" s="132"/>
      <c r="BD26" s="132"/>
      <c r="BE26" s="132"/>
      <c r="BF26" s="132"/>
      <c r="BG26" s="132"/>
      <c r="BH26" s="132"/>
      <c r="BI26" s="132"/>
      <c r="BJ26" s="132"/>
      <c r="BK26" s="132"/>
      <c r="BL26" s="132"/>
      <c r="BM26" s="132"/>
      <c r="BN26" s="132"/>
      <c r="BO26" s="132"/>
      <c r="BP26" s="132"/>
      <c r="BQ26" s="132"/>
      <c r="BR26" s="132"/>
      <c r="BS26" s="132"/>
      <c r="BT26" s="132"/>
      <c r="BU26" s="132"/>
      <c r="BV26" s="132"/>
      <c r="BW26" s="132"/>
      <c r="BX26" s="132"/>
      <c r="BY26" s="132"/>
      <c r="BZ26" s="132"/>
      <c r="CA26" s="132"/>
      <c r="CB26" s="132"/>
      <c r="CC26" s="132"/>
      <c r="CD26" s="132"/>
      <c r="CE26" s="132"/>
      <c r="CF26" s="132"/>
      <c r="CG26" s="132"/>
      <c r="CH26" s="132"/>
      <c r="CI26" s="132"/>
      <c r="CJ26" s="132"/>
      <c r="CK26" s="132"/>
      <c r="CL26" s="132"/>
      <c r="CM26" s="132"/>
      <c r="CN26" s="132"/>
    </row>
    <row r="27" spans="1:112">
      <c r="A27" s="222" t="s">
        <v>333</v>
      </c>
      <c r="B27" s="136"/>
      <c r="C27" s="132"/>
      <c r="D27" s="132"/>
      <c r="E27" s="132"/>
      <c r="F27" s="138"/>
      <c r="G27" s="138"/>
      <c r="H27" s="138"/>
      <c r="I27" s="138"/>
      <c r="J27" s="138"/>
      <c r="K27" s="138"/>
      <c r="L27" s="138"/>
      <c r="M27" s="138"/>
      <c r="N27" s="220"/>
      <c r="O27" s="138"/>
      <c r="P27" s="138"/>
      <c r="Q27" s="138"/>
      <c r="R27" s="138"/>
      <c r="S27" s="138"/>
      <c r="T27" s="138"/>
      <c r="U27" s="138"/>
      <c r="V27" s="138"/>
      <c r="W27" s="138"/>
      <c r="X27" s="138"/>
      <c r="Y27" s="138"/>
      <c r="Z27" s="138"/>
      <c r="AA27" s="138"/>
      <c r="AB27" s="138"/>
      <c r="AC27" s="138"/>
      <c r="AD27" s="220"/>
      <c r="AE27" s="138"/>
      <c r="AF27" s="138"/>
      <c r="AG27" s="138"/>
      <c r="AH27" s="138"/>
      <c r="AI27" s="138"/>
      <c r="AJ27" s="138"/>
      <c r="AK27" s="138"/>
      <c r="AL27" s="138"/>
      <c r="AM27" s="138"/>
      <c r="AN27" s="138"/>
      <c r="AO27" s="132"/>
      <c r="AP27" s="138"/>
      <c r="AQ27" s="138"/>
      <c r="AR27" s="138"/>
      <c r="AS27" s="132"/>
      <c r="AT27" s="138"/>
      <c r="AU27" s="138"/>
      <c r="AV27" s="138"/>
      <c r="AW27" s="132"/>
      <c r="AX27" s="138"/>
      <c r="AY27" s="138"/>
      <c r="AZ27" s="138"/>
      <c r="BA27" s="132"/>
      <c r="BB27" s="138"/>
      <c r="BC27" s="138"/>
      <c r="BD27" s="138"/>
      <c r="BE27" s="132"/>
      <c r="BF27" s="138"/>
      <c r="BG27" s="138"/>
      <c r="BH27" s="138"/>
      <c r="BI27" s="132"/>
      <c r="BJ27" s="138"/>
      <c r="BK27" s="138"/>
      <c r="BL27" s="138"/>
      <c r="BM27" s="132"/>
      <c r="BN27" s="138"/>
      <c r="BO27" s="138"/>
      <c r="BP27" s="138"/>
      <c r="BQ27" s="132"/>
      <c r="BR27" s="138"/>
      <c r="BS27" s="138"/>
      <c r="BT27" s="138"/>
      <c r="BU27" s="132"/>
      <c r="BV27" s="138"/>
      <c r="BW27" s="138"/>
      <c r="BX27" s="138"/>
      <c r="BY27" s="132"/>
      <c r="BZ27" s="138"/>
      <c r="CA27" s="138"/>
      <c r="CB27" s="138"/>
      <c r="CC27" s="132"/>
      <c r="CD27" s="138"/>
      <c r="CE27" s="138"/>
      <c r="CF27" s="138"/>
      <c r="CG27" s="132"/>
      <c r="CH27" s="138"/>
      <c r="CI27" s="138"/>
      <c r="CJ27" s="138"/>
      <c r="CK27" s="132"/>
      <c r="CL27" s="138"/>
      <c r="CM27" s="138"/>
      <c r="CN27" s="138"/>
    </row>
    <row r="28" spans="1:112">
      <c r="A28" s="132" t="str">
        <f>$A$10</f>
        <v>1Q</v>
      </c>
      <c r="B28" s="132" t="str">
        <f>$B$10</f>
        <v>Apr</v>
      </c>
      <c r="C28" s="132"/>
      <c r="D28" s="226"/>
      <c r="E28" s="132"/>
      <c r="F28" s="226"/>
      <c r="G28" s="140" t="e">
        <f>(F28/D28-1)*100</f>
        <v>#DIV/0!</v>
      </c>
      <c r="H28" s="149">
        <f>H$10</f>
        <v>0</v>
      </c>
      <c r="I28" s="184"/>
      <c r="J28" s="226"/>
      <c r="K28" s="140" t="e">
        <f>(J28/F28-1)*100</f>
        <v>#DIV/0!</v>
      </c>
      <c r="L28" s="149">
        <f>L$10</f>
        <v>10.435096030070557</v>
      </c>
      <c r="M28" s="184"/>
      <c r="N28" s="226"/>
      <c r="O28" s="140" t="e">
        <f>(N28/J28-1)*100</f>
        <v>#DIV/0!</v>
      </c>
      <c r="P28" s="149">
        <f>P$10</f>
        <v>2.0916093175926243</v>
      </c>
      <c r="Q28" s="184"/>
      <c r="R28" s="226">
        <v>80.558000000000007</v>
      </c>
      <c r="S28" s="140" t="e">
        <f>(R28/N28-1)*100</f>
        <v>#DIV/0!</v>
      </c>
      <c r="T28" s="149">
        <f>T$10</f>
        <v>19.844539235118418</v>
      </c>
      <c r="U28" s="184"/>
      <c r="V28" s="226">
        <v>76.673000000000002</v>
      </c>
      <c r="W28" s="140" t="e">
        <f>(V28/D28-1)*100</f>
        <v>#DIV/0!</v>
      </c>
      <c r="X28" s="149">
        <f>X$10</f>
        <v>14.432918975359566</v>
      </c>
      <c r="Y28" s="184"/>
      <c r="Z28" s="226">
        <v>107.04600000000001</v>
      </c>
      <c r="AA28" s="140">
        <f>(Z28/V28-1)*100</f>
        <v>39.613684086966728</v>
      </c>
      <c r="AB28" s="149">
        <f>AB$10</f>
        <v>20.378436700767267</v>
      </c>
      <c r="AC28" s="184"/>
      <c r="AD28" s="226">
        <v>109.20699999999999</v>
      </c>
      <c r="AE28" s="140">
        <f>(AD28/Z28-1)*100</f>
        <v>2.0187582908282264</v>
      </c>
      <c r="AF28" s="149">
        <f>AF$10</f>
        <v>10.489042331291731</v>
      </c>
      <c r="AG28" s="184"/>
      <c r="AH28" s="226">
        <v>119.30200000000001</v>
      </c>
      <c r="AI28" s="140">
        <f>(AH28/AD28-1)*100</f>
        <v>9.2439129359839676</v>
      </c>
      <c r="AJ28" s="149">
        <f>AJ$10</f>
        <v>13.249941161447975</v>
      </c>
      <c r="AK28" s="184"/>
      <c r="AL28" s="226">
        <v>144.89699999999999</v>
      </c>
      <c r="AM28" s="140">
        <f>(AL28/AH28-1)*100</f>
        <v>21.453957184288598</v>
      </c>
      <c r="AN28" s="149">
        <f>AN$10</f>
        <v>20.3918482129829</v>
      </c>
      <c r="AO28" s="132"/>
      <c r="AP28" s="226">
        <v>178.89699999999999</v>
      </c>
      <c r="AQ28" s="140">
        <f>(AP28/AL28-1)*100</f>
        <v>23.464944063714221</v>
      </c>
      <c r="AR28" s="149">
        <f>AR$10</f>
        <v>26.761716927981418</v>
      </c>
      <c r="AS28" s="132"/>
      <c r="AT28" s="226">
        <v>162.94200000000001</v>
      </c>
      <c r="AU28" s="140">
        <f>(AT28/AP28-1)*100</f>
        <v>-8.918539718385432</v>
      </c>
      <c r="AV28" s="149">
        <f>AV$10</f>
        <v>-2.5328631900400578</v>
      </c>
      <c r="AW28" s="132"/>
      <c r="AX28" s="226">
        <v>142.83099999999999</v>
      </c>
      <c r="AY28" s="140">
        <f>(AX28/AT28-1)*100</f>
        <v>-12.342428594223719</v>
      </c>
      <c r="AZ28" s="149">
        <f>AZ$10</f>
        <v>3.189051162154688</v>
      </c>
      <c r="BA28" s="132"/>
      <c r="BB28" s="226">
        <v>156.82900000000001</v>
      </c>
      <c r="BC28" s="140">
        <f>(BB28/AX28-1)*100</f>
        <v>9.8003934720053856</v>
      </c>
      <c r="BD28" s="149">
        <f>BD$10</f>
        <v>14.032247377775974</v>
      </c>
      <c r="BE28" s="132"/>
      <c r="BF28" s="226">
        <v>185.59399999999999</v>
      </c>
      <c r="BG28" s="140">
        <f>(BF28/BB28-1)*100</f>
        <v>18.341633243851586</v>
      </c>
      <c r="BH28" s="149">
        <f>BH$10</f>
        <v>15.440873688545075</v>
      </c>
      <c r="BI28" s="132"/>
      <c r="BJ28" s="226">
        <v>177.51400000000001</v>
      </c>
      <c r="BK28" s="140">
        <f>(BJ28/BF28-1)*100</f>
        <v>-4.3535890168863167</v>
      </c>
      <c r="BL28" s="149">
        <f>BL$10</f>
        <v>11.585477941176482</v>
      </c>
      <c r="BM28" s="132"/>
      <c r="BN28" s="226">
        <v>210.215</v>
      </c>
      <c r="BO28" s="140">
        <f>(BN28/BJ28-1)*100</f>
        <v>18.421645616683758</v>
      </c>
      <c r="BP28" s="149">
        <f>BP$10</f>
        <v>1.0698155132074394</v>
      </c>
      <c r="BQ28" s="132"/>
      <c r="BR28" s="226">
        <v>163.047</v>
      </c>
      <c r="BS28" s="140">
        <f>(BR28/BN28-1)*100</f>
        <v>-22.437980163166284</v>
      </c>
      <c r="BT28" s="149">
        <f>BT$10</f>
        <v>15.595627100489784</v>
      </c>
      <c r="BU28" s="132"/>
      <c r="BV28" s="226">
        <v>175.77699999999999</v>
      </c>
      <c r="BW28" s="140">
        <f>(BV28/BR28-1)*100</f>
        <v>7.8075646899360196</v>
      </c>
      <c r="BX28" s="149">
        <f>BX$10</f>
        <v>11.708511756184436</v>
      </c>
      <c r="BY28" s="132"/>
      <c r="BZ28" s="226">
        <v>163.102</v>
      </c>
      <c r="CA28" s="140">
        <f>(BZ28/BV28-1)*100</f>
        <v>-7.2108410087781571</v>
      </c>
      <c r="CB28" s="149">
        <f>CB$10</f>
        <v>-22.219300354631244</v>
      </c>
      <c r="CC28" s="132"/>
      <c r="CD28" s="226">
        <v>164.66499999999999</v>
      </c>
      <c r="CE28" s="140">
        <f>(CD28/BZ28-1)*100</f>
        <v>0.95829603560961818</v>
      </c>
      <c r="CF28" s="149">
        <f>CF$10</f>
        <v>22.404876211083536</v>
      </c>
      <c r="CG28" s="132"/>
      <c r="CH28" s="226">
        <v>216.78800000000001</v>
      </c>
      <c r="CI28" s="140">
        <f>(CH28/CD28-1)*100</f>
        <v>31.653964108948472</v>
      </c>
      <c r="CJ28" s="149">
        <f>CJ$10</f>
        <v>20.112818149390922</v>
      </c>
      <c r="CK28" s="132"/>
      <c r="CL28" s="226">
        <v>285.19299999999998</v>
      </c>
      <c r="CM28" s="140">
        <f>(CL28/CH28-1)*100</f>
        <v>31.553868295293075</v>
      </c>
      <c r="CN28" s="149">
        <f>CN$10</f>
        <v>7.6413435687460618</v>
      </c>
      <c r="CP28" s="1734">
        <v>280.95600000000002</v>
      </c>
      <c r="CQ28" s="140">
        <f>(CP28/CL28-1)*100</f>
        <v>-1.4856605877423212</v>
      </c>
      <c r="CR28" s="149">
        <f>$CR22</f>
        <v>9.316014990783362</v>
      </c>
      <c r="CT28" s="1734">
        <v>306.08800000000002</v>
      </c>
      <c r="CU28" s="140">
        <f>(CT28/CP28-1)*100</f>
        <v>8.9451729096371011</v>
      </c>
      <c r="CV28" s="149">
        <f>$CR22</f>
        <v>9.316014990783362</v>
      </c>
      <c r="CX28" s="1734">
        <v>271.2</v>
      </c>
      <c r="CY28" s="140">
        <f>(CX28/CT28-1)*100</f>
        <v>-11.398029324900039</v>
      </c>
      <c r="CZ28" s="149">
        <f>$CR22</f>
        <v>9.316014990783362</v>
      </c>
      <c r="DB28" s="1734">
        <v>300.39999999999998</v>
      </c>
      <c r="DC28" s="140">
        <f>(DB28/CX28-1)*100</f>
        <v>10.766961651917395</v>
      </c>
      <c r="DD28" s="149">
        <f>$CR22</f>
        <v>9.316014990783362</v>
      </c>
      <c r="DF28" s="1734">
        <v>281.39999999999998</v>
      </c>
      <c r="DG28" s="140">
        <f>(DF28/DB28-1)*100</f>
        <v>-6.324900133155797</v>
      </c>
      <c r="DH28" s="149">
        <f>DH10</f>
        <v>0.9312240547515005</v>
      </c>
    </row>
    <row r="29" spans="1:112">
      <c r="A29" s="132" t="str">
        <f>$A$11</f>
        <v>2Q</v>
      </c>
      <c r="B29" s="132" t="str">
        <f>$B$11</f>
        <v>Jul</v>
      </c>
      <c r="C29" s="132"/>
      <c r="D29" s="243"/>
      <c r="E29" s="184"/>
      <c r="F29" s="243">
        <v>52.131</v>
      </c>
      <c r="G29" s="140" t="e">
        <f>(F29/D29-1)*100</f>
        <v>#DIV/0!</v>
      </c>
      <c r="H29" s="149">
        <f>H$11</f>
        <v>0</v>
      </c>
      <c r="I29" s="184"/>
      <c r="J29" s="243">
        <v>64.207999999999998</v>
      </c>
      <c r="K29" s="140">
        <f>(J29/F29-1)*100</f>
        <v>23.166637893000331</v>
      </c>
      <c r="L29" s="149">
        <f>L$11</f>
        <v>1.2213919512113369</v>
      </c>
      <c r="M29" s="184"/>
      <c r="N29" s="243"/>
      <c r="O29" s="140">
        <f>(N29/J29-1)*100</f>
        <v>-100</v>
      </c>
      <c r="P29" s="149">
        <f>P$11</f>
        <v>-5.4597368203260777</v>
      </c>
      <c r="Q29" s="184"/>
      <c r="R29" s="243">
        <v>73.843999999999994</v>
      </c>
      <c r="S29" s="140" t="e">
        <f>(R29/N29-1)*100</f>
        <v>#DIV/0!</v>
      </c>
      <c r="T29" s="149">
        <f>T$11</f>
        <v>33.286353330473673</v>
      </c>
      <c r="U29" s="184"/>
      <c r="V29" s="243">
        <v>87.403999999999996</v>
      </c>
      <c r="W29" s="140" t="e">
        <f>(V29/D29-1)*100</f>
        <v>#DIV/0!</v>
      </c>
      <c r="X29" s="149">
        <f>X$11</f>
        <v>21.296229401603849</v>
      </c>
      <c r="Y29" s="184"/>
      <c r="Z29" s="243">
        <v>102.139</v>
      </c>
      <c r="AA29" s="140">
        <f>(Z29/V29-1)*100</f>
        <v>16.858496178664595</v>
      </c>
      <c r="AB29" s="149">
        <f>AB$11</f>
        <v>9.7903423181468838</v>
      </c>
      <c r="AC29" s="184"/>
      <c r="AD29" s="243">
        <v>112</v>
      </c>
      <c r="AE29" s="140">
        <f>(AD29/Z29-1)*100</f>
        <v>9.6544904492896997</v>
      </c>
      <c r="AF29" s="149">
        <f>AF$11</f>
        <v>7.094982812446049</v>
      </c>
      <c r="AG29" s="184"/>
      <c r="AH29" s="243">
        <v>118.794</v>
      </c>
      <c r="AI29" s="140">
        <f>(AH29/AD29-1)*100</f>
        <v>6.066071428571429</v>
      </c>
      <c r="AJ29" s="149">
        <f>AJ$11</f>
        <v>14.079272757415428</v>
      </c>
      <c r="AK29" s="184"/>
      <c r="AL29" s="243">
        <v>150.47399999999999</v>
      </c>
      <c r="AM29" s="140">
        <f>(AL29/AH29-1)*100</f>
        <v>26.668013536037162</v>
      </c>
      <c r="AN29" s="149">
        <f>AN$11</f>
        <v>23.956289711854417</v>
      </c>
      <c r="AO29" s="132"/>
      <c r="AP29" s="243">
        <v>181.24600000000001</v>
      </c>
      <c r="AQ29" s="140">
        <f>(AP29/AL29-1)*100</f>
        <v>20.450044525964639</v>
      </c>
      <c r="AR29" s="149">
        <f>AR$11</f>
        <v>21.943419514307937</v>
      </c>
      <c r="AS29" s="132"/>
      <c r="AT29" s="243">
        <v>120.774</v>
      </c>
      <c r="AU29" s="140">
        <f>(AT29/AP29-1)*100</f>
        <v>-33.364598391136916</v>
      </c>
      <c r="AV29" s="149">
        <f>AV$11</f>
        <v>-0.8404371234457142</v>
      </c>
      <c r="AW29" s="132"/>
      <c r="AX29" s="243">
        <v>133.59399999999999</v>
      </c>
      <c r="AY29" s="140">
        <f>(AX29/AT29-1)*100</f>
        <v>10.614867438355935</v>
      </c>
      <c r="AZ29" s="149">
        <f>AZ$11</f>
        <v>0.84190454644614832</v>
      </c>
      <c r="BA29" s="132"/>
      <c r="BB29" s="243">
        <v>172.38300000000001</v>
      </c>
      <c r="BC29" s="140">
        <f>(BB29/AX29-1)*100</f>
        <v>29.034986601194678</v>
      </c>
      <c r="BD29" s="149">
        <f>BD$11</f>
        <v>18.179244552342631</v>
      </c>
      <c r="BE29" s="132"/>
      <c r="BF29" s="243">
        <v>173.63499999999999</v>
      </c>
      <c r="BG29" s="140">
        <f>(BF29/BB29-1)*100</f>
        <v>0.72628971534314246</v>
      </c>
      <c r="BH29" s="149">
        <f>BH$11</f>
        <v>7.7067537486299242</v>
      </c>
      <c r="BI29" s="132"/>
      <c r="BJ29" s="243">
        <v>178.322</v>
      </c>
      <c r="BK29" s="140">
        <f>(BJ29/BF29-1)*100</f>
        <v>2.6993405707374629</v>
      </c>
      <c r="BL29" s="149">
        <f>BL$11</f>
        <v>10.512865167006936</v>
      </c>
      <c r="BM29" s="132"/>
      <c r="BN29" s="243">
        <v>185.31200000000001</v>
      </c>
      <c r="BO29" s="140">
        <f>(BN29/BJ29-1)*100</f>
        <v>3.9198752817936056</v>
      </c>
      <c r="BP29" s="149">
        <f>BP$11</f>
        <v>5.307755253929658</v>
      </c>
      <c r="BQ29" s="132"/>
      <c r="BR29" s="243">
        <v>164.16399999999999</v>
      </c>
      <c r="BS29" s="140">
        <f>(BR29/BN29-1)*100</f>
        <v>-11.412104990502513</v>
      </c>
      <c r="BT29" s="149">
        <f>BT$11</f>
        <v>19.454365490744728</v>
      </c>
      <c r="BU29" s="132"/>
      <c r="BV29" s="243">
        <v>189.714</v>
      </c>
      <c r="BW29" s="140">
        <f>(BV29/BR29-1)*100</f>
        <v>15.56370458809484</v>
      </c>
      <c r="BX29" s="149">
        <f>BX$11</f>
        <v>10.123128099709922</v>
      </c>
      <c r="BY29" s="132"/>
      <c r="BZ29" s="243">
        <v>155.65899999999999</v>
      </c>
      <c r="CA29" s="140">
        <f>(BZ29/BV29-1)*100</f>
        <v>-17.950704745037271</v>
      </c>
      <c r="CB29" s="149">
        <f>CB$11</f>
        <v>-16.054761702442587</v>
      </c>
      <c r="CC29" s="132"/>
      <c r="CD29" s="243">
        <v>165.75700000000001</v>
      </c>
      <c r="CE29" s="140">
        <f>(CD29/BZ29-1)*100</f>
        <v>6.4872574023988383</v>
      </c>
      <c r="CF29" s="149">
        <f>CF$11</f>
        <v>9.1865539687800322</v>
      </c>
      <c r="CG29" s="132"/>
      <c r="CH29" s="243">
        <v>274.30099999999999</v>
      </c>
      <c r="CI29" s="140">
        <f>(CH29/CD29-1)*100</f>
        <v>65.483810638464732</v>
      </c>
      <c r="CJ29" s="149">
        <f>CJ$11</f>
        <v>30.497039296608651</v>
      </c>
      <c r="CK29" s="132"/>
      <c r="CL29" s="243">
        <v>259.608</v>
      </c>
      <c r="CM29" s="140">
        <f>(CL29/CH29-1)*100</f>
        <v>-5.3565244020255083</v>
      </c>
      <c r="CN29" s="149">
        <f>CN$10</f>
        <v>7.6413435687460618</v>
      </c>
      <c r="CP29" s="1730">
        <v>276.81</v>
      </c>
      <c r="CQ29" s="140">
        <f>(CP29/CL29-1)*100</f>
        <v>6.626144032541359</v>
      </c>
      <c r="CR29" s="149">
        <f>$CR23</f>
        <v>4.4345110194468962</v>
      </c>
      <c r="CT29" s="1730">
        <v>300.78100000000001</v>
      </c>
      <c r="CU29" s="140">
        <f>(CT29/CP29-1)*100</f>
        <v>8.6597305010657202</v>
      </c>
      <c r="CV29" s="149">
        <f>$CV23</f>
        <v>7.2412958858776966</v>
      </c>
      <c r="CX29" s="1730">
        <v>310.2</v>
      </c>
      <c r="CY29" s="140">
        <f>(CX29/CT29-1)*100</f>
        <v>3.1315142911287452</v>
      </c>
      <c r="CZ29" s="149">
        <f>$CR23</f>
        <v>4.4345110194468962</v>
      </c>
      <c r="DB29" s="1730">
        <v>300.7</v>
      </c>
      <c r="DC29" s="140">
        <f>(DB29/CX29-1)*100</f>
        <v>-3.0625402965828497</v>
      </c>
      <c r="DD29" s="149">
        <f>$CR23</f>
        <v>4.4345110194468962</v>
      </c>
      <c r="DF29" s="1730">
        <v>301.39999999999998</v>
      </c>
      <c r="DG29" s="140">
        <f>(DF29/DB29-1)*100</f>
        <v>0.2327901563019541</v>
      </c>
      <c r="DH29" s="149">
        <f>DH11</f>
        <v>3.0163160154572877</v>
      </c>
    </row>
    <row r="30" spans="1:112">
      <c r="A30" s="132" t="str">
        <f>$A$12</f>
        <v>3Q</v>
      </c>
      <c r="B30" s="132" t="str">
        <f>$B$12</f>
        <v>Oct</v>
      </c>
      <c r="C30" s="132"/>
      <c r="D30" s="243"/>
      <c r="E30" s="184"/>
      <c r="F30" s="243"/>
      <c r="G30" s="140" t="e">
        <f>(F30/D30-1)*100</f>
        <v>#DIV/0!</v>
      </c>
      <c r="H30" s="149">
        <f>H$12</f>
        <v>0</v>
      </c>
      <c r="I30" s="184"/>
      <c r="J30" s="243"/>
      <c r="K30" s="140" t="e">
        <f>(J30/F30-1)*100</f>
        <v>#DIV/0!</v>
      </c>
      <c r="L30" s="149">
        <f>L$12</f>
        <v>-16.221390653554945</v>
      </c>
      <c r="M30" s="184"/>
      <c r="N30" s="243"/>
      <c r="O30" s="140" t="e">
        <f>(N30/J30-1)*100</f>
        <v>#DIV/0!</v>
      </c>
      <c r="P30" s="149">
        <f>P$12</f>
        <v>27.246286485924998</v>
      </c>
      <c r="Q30" s="184"/>
      <c r="R30" s="243">
        <v>89.989000000000004</v>
      </c>
      <c r="S30" s="140" t="e">
        <f>(R30/N30-1)*100</f>
        <v>#DIV/0!</v>
      </c>
      <c r="T30" s="149">
        <f>T$12</f>
        <v>18.805936920222631</v>
      </c>
      <c r="U30" s="184"/>
      <c r="V30" s="243">
        <v>107.941</v>
      </c>
      <c r="W30" s="140" t="e">
        <f>(V30/D30-1)*100</f>
        <v>#DIV/0!</v>
      </c>
      <c r="X30" s="149">
        <f>X$12</f>
        <v>17.287042994296975</v>
      </c>
      <c r="Y30" s="184"/>
      <c r="Z30" s="243">
        <v>130.036</v>
      </c>
      <c r="AA30" s="140">
        <f>(Z30/V30-1)*100</f>
        <v>20.469515753976708</v>
      </c>
      <c r="AB30" s="149">
        <f>AB$12</f>
        <v>12.365923543133484</v>
      </c>
      <c r="AC30" s="184"/>
      <c r="AD30" s="243">
        <v>138.03700000000001</v>
      </c>
      <c r="AE30" s="140">
        <f>(AD30/Z30-1)*100</f>
        <v>6.1529115014303803</v>
      </c>
      <c r="AF30" s="149">
        <f>AF$12</f>
        <v>10.469464653885341</v>
      </c>
      <c r="AG30" s="184"/>
      <c r="AH30" s="243">
        <v>154.05199999999999</v>
      </c>
      <c r="AI30" s="140">
        <f>(AH30/AD30-1)*100</f>
        <v>11.601961792852622</v>
      </c>
      <c r="AJ30" s="149">
        <f>AJ$12</f>
        <v>8.360434883341771</v>
      </c>
      <c r="AK30" s="184"/>
      <c r="AL30" s="243">
        <v>194.25299999999999</v>
      </c>
      <c r="AM30" s="140">
        <f>(AL30/AH30-1)*100</f>
        <v>26.095733908031061</v>
      </c>
      <c r="AN30" s="149">
        <f>AN$12</f>
        <v>27.77399429838454</v>
      </c>
      <c r="AO30" s="132"/>
      <c r="AP30" s="243">
        <v>213.84800000000001</v>
      </c>
      <c r="AQ30" s="140">
        <f>(AP30/AL30-1)*100</f>
        <v>10.087360298167859</v>
      </c>
      <c r="AR30" s="149">
        <f>AR$12</f>
        <v>15.298135144682767</v>
      </c>
      <c r="AS30" s="132"/>
      <c r="AT30" s="243">
        <v>150.88900000000001</v>
      </c>
      <c r="AU30" s="140">
        <f>(AT30/AP30-1)*100</f>
        <v>-29.441004825857618</v>
      </c>
      <c r="AV30" s="149">
        <f>AV$12</f>
        <v>-10.481785881303185</v>
      </c>
      <c r="AW30" s="132"/>
      <c r="AX30" s="243">
        <v>182.12299999999999</v>
      </c>
      <c r="AY30" s="140">
        <f>(AX30/AT30-1)*100</f>
        <v>20.699984757006785</v>
      </c>
      <c r="AZ30" s="149">
        <f>AZ$12</f>
        <v>9.8953986201264499</v>
      </c>
      <c r="BA30" s="132"/>
      <c r="BB30" s="243">
        <v>199.756</v>
      </c>
      <c r="BC30" s="140">
        <f>(BB30/AX30-1)*100</f>
        <v>9.6819182640303545</v>
      </c>
      <c r="BD30" s="149">
        <f>BD$12</f>
        <v>17.50935024984086</v>
      </c>
      <c r="BE30" s="132"/>
      <c r="BF30" s="243">
        <v>193.458</v>
      </c>
      <c r="BG30" s="140">
        <f>(BF30/BB30-1)*100</f>
        <v>-3.1528464726966909</v>
      </c>
      <c r="BH30" s="149">
        <f>BH$12</f>
        <v>7.2139829769624075</v>
      </c>
      <c r="BI30" s="132"/>
      <c r="BJ30" s="243">
        <v>182.83099999999999</v>
      </c>
      <c r="BK30" s="140">
        <f>(BJ30/BF30-1)*100</f>
        <v>-5.4931819826525725</v>
      </c>
      <c r="BL30" s="149">
        <f>BL$12</f>
        <v>8.4468895288321466</v>
      </c>
      <c r="BM30" s="132"/>
      <c r="BN30" s="243">
        <v>210.21799999999999</v>
      </c>
      <c r="BO30" s="140">
        <f>(BN30/BJ30-1)*100</f>
        <v>14.979407212124851</v>
      </c>
      <c r="BP30" s="149">
        <f>BP$12</f>
        <v>6.3444676617910201</v>
      </c>
      <c r="BQ30" s="132"/>
      <c r="BR30" s="243">
        <v>204.57900000000001</v>
      </c>
      <c r="BS30" s="140">
        <f>(BR30/BN30-1)*100</f>
        <v>-2.6824534530820343</v>
      </c>
      <c r="BT30" s="149">
        <f>BT$12</f>
        <v>17.95466254507987</v>
      </c>
      <c r="BU30" s="132"/>
      <c r="BV30" s="243">
        <v>236.191</v>
      </c>
      <c r="BW30" s="140">
        <f>(BV30/BR30-1)*100</f>
        <v>15.452221391247377</v>
      </c>
      <c r="BX30" s="149">
        <f>BX$12</f>
        <v>-1.7807413405853012</v>
      </c>
      <c r="BY30" s="132"/>
      <c r="BZ30" s="243">
        <v>222.31299999999999</v>
      </c>
      <c r="CA30" s="140">
        <f>(BZ30/BV30-1)*100</f>
        <v>-5.8757530981282109</v>
      </c>
      <c r="CB30" s="149">
        <f>CB$12</f>
        <v>-2.9116192108440853</v>
      </c>
      <c r="CC30" s="132"/>
      <c r="CD30" s="243">
        <v>216.29300000000001</v>
      </c>
      <c r="CE30" s="140">
        <f>(CD30/BZ30-1)*100</f>
        <v>-2.7078938253723317</v>
      </c>
      <c r="CF30" s="149">
        <f>+$CF$12</f>
        <v>13.96110409018878</v>
      </c>
      <c r="CG30" s="132"/>
      <c r="CH30" s="243">
        <v>287.012</v>
      </c>
      <c r="CI30" s="140">
        <f>(CH30/CD30-1)*100</f>
        <v>32.695926359151706</v>
      </c>
      <c r="CJ30" s="149">
        <f>+$CF$12</f>
        <v>13.96110409018878</v>
      </c>
      <c r="CK30" s="132"/>
      <c r="CL30" s="243">
        <v>284.18900000000002</v>
      </c>
      <c r="CM30" s="140">
        <f>(CL30/CH30-1)*100</f>
        <v>-0.98358256797624888</v>
      </c>
      <c r="CN30" s="149">
        <f>CN$10</f>
        <v>7.6413435687460618</v>
      </c>
      <c r="CP30" s="243">
        <v>309.798</v>
      </c>
      <c r="CQ30" s="140">
        <f>(CP30/CL30-1)*100</f>
        <v>9.0112565933234468</v>
      </c>
      <c r="CR30" s="149">
        <f>CR$10</f>
        <v>9.316014990783362</v>
      </c>
      <c r="CT30" s="243">
        <v>344.29199999999997</v>
      </c>
      <c r="CU30" s="140">
        <f>(CT30/CP30-1)*100</f>
        <v>11.134352061665975</v>
      </c>
      <c r="CV30" s="149">
        <f>$CV24</f>
        <v>5.2783501082856787</v>
      </c>
      <c r="CX30" s="243">
        <v>323.39999999999998</v>
      </c>
      <c r="CY30" s="140">
        <f>(CX30/CT30-1)*100</f>
        <v>-6.0681049806559528</v>
      </c>
      <c r="CZ30" s="149">
        <f>$CR24</f>
        <v>9.316014990783362</v>
      </c>
      <c r="DB30" s="243">
        <v>313.10000000000002</v>
      </c>
      <c r="DC30" s="140">
        <f>(DB30/CX30-1)*100</f>
        <v>-3.184910327767454</v>
      </c>
      <c r="DD30" s="149">
        <f>$CR24</f>
        <v>9.316014990783362</v>
      </c>
      <c r="DF30" s="243">
        <v>388.3</v>
      </c>
      <c r="DG30" s="140">
        <f>(DF30/DB30-1)*100</f>
        <v>24.01788565953369</v>
      </c>
      <c r="DH30" s="149">
        <f>DH12</f>
        <v>2.8336669124618297</v>
      </c>
    </row>
    <row r="31" spans="1:112">
      <c r="A31" s="132" t="str">
        <f>$A$13</f>
        <v>4Q</v>
      </c>
      <c r="B31" s="132" t="str">
        <f>$B$13</f>
        <v>Jan</v>
      </c>
      <c r="C31" s="132"/>
      <c r="D31" s="243"/>
      <c r="E31" s="184"/>
      <c r="F31" s="243">
        <v>66.781000000000006</v>
      </c>
      <c r="G31" s="140" t="e">
        <f>(F31/D31-1)*100</f>
        <v>#DIV/0!</v>
      </c>
      <c r="H31" s="149">
        <f>H$13</f>
        <v>0</v>
      </c>
      <c r="I31" s="183"/>
      <c r="J31" s="243"/>
      <c r="K31" s="140">
        <f>(J31/F31-1)*100</f>
        <v>-100</v>
      </c>
      <c r="L31" s="149">
        <f>L$13</f>
        <v>2.2834635102128686</v>
      </c>
      <c r="M31" s="183"/>
      <c r="N31" s="243">
        <v>79.98</v>
      </c>
      <c r="O31" s="140" t="e">
        <f>(N31/J31-1)*100</f>
        <v>#DIV/0!</v>
      </c>
      <c r="P31" s="149">
        <f>P$13</f>
        <v>36.479456278578496</v>
      </c>
      <c r="Q31" s="183"/>
      <c r="R31" s="243">
        <v>81.638999999999996</v>
      </c>
      <c r="S31" s="140">
        <f>(R31/N31-1)*100</f>
        <v>2.0742685671417682</v>
      </c>
      <c r="T31" s="149">
        <f>T$13</f>
        <v>15.016078870585513</v>
      </c>
      <c r="U31" s="183"/>
      <c r="V31" s="243">
        <v>108.82899999999999</v>
      </c>
      <c r="W31" s="140" t="e">
        <f>(V31/D31-1)*100</f>
        <v>#DIV/0!</v>
      </c>
      <c r="X31" s="149">
        <f>X$13</f>
        <v>17.312225212725039</v>
      </c>
      <c r="Y31" s="183"/>
      <c r="Z31" s="243">
        <v>110.068</v>
      </c>
      <c r="AA31" s="140">
        <f>(Z31/V31-1)*100</f>
        <v>1.1384833086769186</v>
      </c>
      <c r="AB31" s="149">
        <f>AB$13</f>
        <v>16.714998218738874</v>
      </c>
      <c r="AC31" s="183"/>
      <c r="AD31" s="243">
        <v>118.456</v>
      </c>
      <c r="AE31" s="140">
        <f>(AD31/Z31-1)*100</f>
        <v>7.6207435403568669</v>
      </c>
      <c r="AF31" s="149">
        <f>AF$13</f>
        <v>12.232196545377395</v>
      </c>
      <c r="AG31" s="183"/>
      <c r="AH31" s="243">
        <v>140.66</v>
      </c>
      <c r="AI31" s="140">
        <f>(AH31/AD31-1)*100</f>
        <v>18.744512730465313</v>
      </c>
      <c r="AJ31" s="149">
        <f>AJ$13</f>
        <v>22.789058293037144</v>
      </c>
      <c r="AK31" s="183"/>
      <c r="AL31" s="243">
        <v>176.101</v>
      </c>
      <c r="AM31" s="140">
        <f>(AL31/AH31-1)*100</f>
        <v>25.196217830228917</v>
      </c>
      <c r="AN31" s="149">
        <f>AN$13</f>
        <v>26.169466298107569</v>
      </c>
      <c r="AO31" s="132"/>
      <c r="AP31" s="243">
        <v>189.53100000000001</v>
      </c>
      <c r="AQ31" s="140">
        <f>(AP31/AL31-1)*100</f>
        <v>7.6263053588565777</v>
      </c>
      <c r="AR31" s="149">
        <f>AR$13</f>
        <v>1.1851344708939227</v>
      </c>
      <c r="AS31" s="132"/>
      <c r="AT31" s="243">
        <v>134.69399999999999</v>
      </c>
      <c r="AU31" s="140">
        <f>(AT31/AP31-1)*100</f>
        <v>-28.932997768175138</v>
      </c>
      <c r="AV31" s="149">
        <f>AV$13</f>
        <v>-1.8445811957508162</v>
      </c>
      <c r="AW31" s="132"/>
      <c r="AX31" s="243">
        <v>163.33799999999999</v>
      </c>
      <c r="AY31" s="140">
        <f>(AX31/AT31-1)*100</f>
        <v>21.265980667290307</v>
      </c>
      <c r="AZ31" s="149">
        <f>AZ$13</f>
        <v>9.4128418637617894</v>
      </c>
      <c r="BA31" s="132"/>
      <c r="BB31" s="243">
        <v>209.84200000000001</v>
      </c>
      <c r="BC31" s="140">
        <f>(BB31/AX31-1)*100</f>
        <v>28.471023276885976</v>
      </c>
      <c r="BD31" s="149">
        <f>BD$13</f>
        <v>18.186209336475969</v>
      </c>
      <c r="BE31" s="132"/>
      <c r="BF31" s="243">
        <v>186.01300000000001</v>
      </c>
      <c r="BG31" s="140">
        <f>(BF31/BB31-1)*100</f>
        <v>-11.355686659486663</v>
      </c>
      <c r="BH31" s="149">
        <f>BH$13</f>
        <v>10.734730476716404</v>
      </c>
      <c r="BI31" s="132"/>
      <c r="BJ31" s="243">
        <v>202.64599999999999</v>
      </c>
      <c r="BK31" s="140">
        <f>(BJ31/BF31-1)*100</f>
        <v>8.9418481503980907</v>
      </c>
      <c r="BL31" s="149">
        <f>BL$13</f>
        <v>5.9650274896867472</v>
      </c>
      <c r="BM31" s="132"/>
      <c r="BN31" s="243">
        <v>198.471</v>
      </c>
      <c r="BO31" s="140">
        <f>(BN31/BJ31-1)*100</f>
        <v>-2.0602429853044169</v>
      </c>
      <c r="BP31" s="149">
        <f>BP$13</f>
        <v>11.700328267590487</v>
      </c>
      <c r="BQ31" s="132"/>
      <c r="BR31" s="243">
        <v>203.62200000000001</v>
      </c>
      <c r="BS31" s="140">
        <f>(BR31/BN31-1)*100</f>
        <v>2.5953413848874618</v>
      </c>
      <c r="BT31" s="149">
        <f>BT$13</f>
        <v>9.8311897022276931</v>
      </c>
      <c r="BU31" s="132"/>
      <c r="BV31" s="243">
        <v>223.566</v>
      </c>
      <c r="BW31" s="140">
        <f>(BV31/BR31-1)*100</f>
        <v>9.7946194419070487</v>
      </c>
      <c r="BX31" s="149">
        <f>BX$13</f>
        <v>-20.468363216500485</v>
      </c>
      <c r="BY31" s="132"/>
      <c r="BZ31" s="243">
        <v>231.91300000000001</v>
      </c>
      <c r="CA31" s="140">
        <f>(BZ31/BV31-1)*100</f>
        <v>3.7335730835637015</v>
      </c>
      <c r="CB31" s="149">
        <f>CB$13</f>
        <v>17.167168302504933</v>
      </c>
      <c r="CC31" s="132"/>
      <c r="CD31" s="243">
        <v>258.61099999999999</v>
      </c>
      <c r="CE31" s="140">
        <f>(CD31/BZ31-1)*100</f>
        <v>11.512075649058051</v>
      </c>
      <c r="CF31" s="149">
        <f>+$CF$13</f>
        <v>12.210408973449738</v>
      </c>
      <c r="CG31" s="132"/>
      <c r="CH31" s="243">
        <v>328.96199999999999</v>
      </c>
      <c r="CI31" s="140">
        <f>(CH31/CD31-1)*100</f>
        <v>27.203405887607257</v>
      </c>
      <c r="CJ31" s="149">
        <f>+$CF$12</f>
        <v>13.96110409018878</v>
      </c>
      <c r="CK31" s="132"/>
      <c r="CL31" s="243">
        <v>295.42399999999998</v>
      </c>
      <c r="CM31" s="140">
        <f>(CL31/CH31-1)*100</f>
        <v>-10.195098522017743</v>
      </c>
      <c r="CN31" s="149">
        <f>CN$10</f>
        <v>7.6413435687460618</v>
      </c>
      <c r="CP31" s="243">
        <v>342.09</v>
      </c>
      <c r="CQ31" s="140">
        <f>(CP31/CL31-1)*100</f>
        <v>15.79627924610052</v>
      </c>
      <c r="CR31" s="149">
        <f>$CR25</f>
        <v>5.0587933505372051</v>
      </c>
      <c r="CT31" s="243">
        <v>318</v>
      </c>
      <c r="CU31" s="140">
        <f>(CT31/CP31-1)*100</f>
        <v>-7.0420064895202916</v>
      </c>
      <c r="CV31" s="149">
        <f>$CV25</f>
        <v>-1.0030162891940586</v>
      </c>
      <c r="CX31" s="243">
        <v>329.1</v>
      </c>
      <c r="CY31" s="140">
        <f>(CX31/CT31-1)*100</f>
        <v>3.4905660377358538</v>
      </c>
      <c r="CZ31" s="149">
        <f>$CR25</f>
        <v>5.0587933505372051</v>
      </c>
      <c r="DB31" s="243">
        <v>312.8</v>
      </c>
      <c r="DC31" s="140">
        <f>(DB31/CX31-1)*100</f>
        <v>-4.9529018535399594</v>
      </c>
      <c r="DD31" s="149">
        <f>$CR25</f>
        <v>5.0587933505372051</v>
      </c>
      <c r="DF31" s="314">
        <v>437.4</v>
      </c>
      <c r="DG31" s="140">
        <f>(DF31/DB31-1)*100</f>
        <v>39.83375959079283</v>
      </c>
      <c r="DH31" s="149">
        <f>DH13</f>
        <v>8.5149642160052164</v>
      </c>
    </row>
    <row r="32" spans="1:112">
      <c r="A32" s="132"/>
      <c r="B32" s="132"/>
      <c r="C32" s="132"/>
      <c r="D32" s="132"/>
      <c r="E32" s="132"/>
      <c r="F32" s="132"/>
      <c r="G32" s="132"/>
      <c r="H32" s="132"/>
      <c r="I32" s="132"/>
      <c r="J32" s="132"/>
      <c r="K32" s="132"/>
      <c r="L32" s="132"/>
      <c r="M32" s="132"/>
      <c r="N32" s="132"/>
      <c r="O32" s="132"/>
      <c r="P32" s="132"/>
      <c r="Q32" s="132"/>
      <c r="R32" s="132"/>
      <c r="S32" s="132"/>
      <c r="T32" s="132"/>
      <c r="U32" s="132"/>
      <c r="V32" s="132"/>
      <c r="W32" s="132"/>
      <c r="X32" s="132"/>
      <c r="Y32" s="132"/>
      <c r="Z32" s="132"/>
      <c r="AA32" s="132"/>
      <c r="AB32" s="132"/>
      <c r="AC32" s="132"/>
      <c r="AD32" s="132"/>
      <c r="AE32" s="132"/>
      <c r="AF32" s="132"/>
      <c r="AG32" s="132"/>
      <c r="AH32" s="132"/>
      <c r="AI32" s="132"/>
      <c r="AJ32" s="132"/>
      <c r="AK32" s="132"/>
      <c r="AL32" s="132"/>
      <c r="AM32" s="132"/>
      <c r="AN32" s="132"/>
      <c r="AO32" s="132"/>
      <c r="AP32" s="132"/>
      <c r="AQ32" s="132"/>
      <c r="AR32" s="132"/>
      <c r="AS32" s="132"/>
      <c r="AT32" s="132"/>
      <c r="AU32" s="132"/>
      <c r="AV32" s="132"/>
      <c r="AW32" s="132"/>
      <c r="AX32" s="132"/>
      <c r="AY32" s="140"/>
      <c r="AZ32" s="132"/>
      <c r="BA32" s="132"/>
      <c r="BB32" s="132"/>
      <c r="BC32" s="140"/>
      <c r="BD32" s="132"/>
      <c r="BE32" s="132"/>
      <c r="BF32" s="132"/>
      <c r="BG32" s="140"/>
      <c r="BH32" s="132"/>
      <c r="BI32" s="132"/>
      <c r="BJ32" s="132"/>
      <c r="BK32" s="140"/>
      <c r="BL32" s="132"/>
      <c r="BM32" s="132"/>
      <c r="BN32" s="132"/>
      <c r="BO32" s="140"/>
      <c r="BP32" s="132"/>
      <c r="BQ32" s="132"/>
      <c r="BR32" s="132"/>
      <c r="BS32" s="140"/>
      <c r="BT32" s="132"/>
      <c r="BU32" s="132"/>
      <c r="BV32" s="132"/>
      <c r="BW32" s="140"/>
      <c r="BX32" s="132"/>
      <c r="BY32" s="132"/>
      <c r="BZ32" s="132"/>
      <c r="CA32" s="140"/>
      <c r="CB32" s="132"/>
      <c r="CC32" s="132"/>
      <c r="CD32" s="132"/>
      <c r="CE32" s="140"/>
      <c r="CF32" s="132"/>
      <c r="CG32" s="132"/>
      <c r="CH32" s="132"/>
      <c r="CI32" s="140"/>
      <c r="CJ32" s="132"/>
      <c r="CK32" s="132"/>
      <c r="CL32" s="132"/>
      <c r="CM32" s="140"/>
      <c r="CN32" s="132"/>
    </row>
    <row r="33" spans="1:112">
      <c r="A33" s="222" t="s">
        <v>955</v>
      </c>
      <c r="B33" s="136"/>
      <c r="C33" s="132"/>
      <c r="D33" s="132"/>
      <c r="E33" s="132"/>
      <c r="F33" s="221"/>
      <c r="G33" s="221"/>
      <c r="H33" s="221"/>
      <c r="I33" s="221"/>
      <c r="J33" s="221"/>
      <c r="K33" s="221"/>
      <c r="L33" s="221"/>
      <c r="M33" s="221"/>
      <c r="N33" s="220"/>
      <c r="O33" s="221"/>
      <c r="P33" s="221"/>
      <c r="Q33" s="221"/>
      <c r="R33" s="221"/>
      <c r="S33" s="221"/>
      <c r="T33" s="221"/>
      <c r="U33" s="221"/>
      <c r="V33" s="221"/>
      <c r="W33" s="221"/>
      <c r="X33" s="221"/>
      <c r="Y33" s="221"/>
      <c r="Z33" s="221"/>
      <c r="AA33" s="221"/>
      <c r="AB33" s="221"/>
      <c r="AC33" s="221"/>
      <c r="AD33" s="220"/>
      <c r="AE33" s="221"/>
      <c r="AF33" s="221"/>
      <c r="AG33" s="221"/>
      <c r="AH33" s="221"/>
      <c r="AI33" s="221"/>
      <c r="AJ33" s="221"/>
      <c r="AK33" s="221"/>
      <c r="AL33" s="221"/>
      <c r="AM33" s="221"/>
      <c r="AN33" s="221"/>
      <c r="AO33" s="132"/>
      <c r="AP33" s="221"/>
      <c r="AQ33" s="221"/>
      <c r="AR33" s="221"/>
      <c r="AS33" s="132"/>
      <c r="AT33" s="221"/>
      <c r="AU33" s="221"/>
      <c r="AV33" s="221"/>
      <c r="AW33" s="132"/>
      <c r="AX33" s="221"/>
      <c r="AY33" s="221"/>
      <c r="AZ33" s="221"/>
      <c r="BA33" s="132"/>
      <c r="BB33" s="221"/>
      <c r="BC33" s="221"/>
      <c r="BD33" s="221"/>
      <c r="BE33" s="132"/>
      <c r="BF33" s="221"/>
      <c r="BG33" s="221"/>
      <c r="BH33" s="221"/>
      <c r="BI33" s="132"/>
      <c r="BJ33" s="221"/>
      <c r="BK33" s="221"/>
      <c r="BL33" s="221"/>
      <c r="BM33" s="132"/>
      <c r="BN33" s="221"/>
      <c r="BO33" s="221"/>
      <c r="BP33" s="221"/>
      <c r="BQ33" s="132"/>
      <c r="BR33" s="221"/>
      <c r="BS33" s="221"/>
      <c r="BT33" s="221"/>
      <c r="BU33" s="132"/>
      <c r="BV33" s="221"/>
      <c r="BW33" s="221"/>
      <c r="BX33" s="221"/>
      <c r="BY33" s="132"/>
      <c r="BZ33" s="221"/>
      <c r="CA33" s="221"/>
      <c r="CB33" s="221"/>
      <c r="CC33" s="132"/>
      <c r="CD33" s="221"/>
      <c r="CE33" s="221"/>
      <c r="CF33" s="221"/>
      <c r="CG33" s="132"/>
      <c r="CH33" s="221"/>
      <c r="CI33" s="221"/>
      <c r="CJ33" s="221"/>
      <c r="CK33" s="132"/>
      <c r="CL33" s="221"/>
      <c r="CM33" s="221"/>
      <c r="CN33" s="221"/>
    </row>
    <row r="34" spans="1:112">
      <c r="A34" s="132" t="str">
        <f>$A$10</f>
        <v>1Q</v>
      </c>
      <c r="B34" s="132" t="str">
        <f>$B$10</f>
        <v>Apr</v>
      </c>
      <c r="C34" s="132"/>
      <c r="D34" s="226"/>
      <c r="E34" s="145"/>
      <c r="F34" s="226"/>
      <c r="G34" s="140" t="e">
        <f>(F34/D34-1)*100</f>
        <v>#DIV/0!</v>
      </c>
      <c r="H34" s="149">
        <f>H$10</f>
        <v>0</v>
      </c>
      <c r="I34" s="184"/>
      <c r="J34" s="226"/>
      <c r="K34" s="140" t="e">
        <f>(J34/F34-1)*100</f>
        <v>#DIV/0!</v>
      </c>
      <c r="L34" s="149">
        <f>L$10</f>
        <v>10.435096030070557</v>
      </c>
      <c r="M34" s="184"/>
      <c r="N34" s="226"/>
      <c r="O34" s="140" t="e">
        <f>(N34/J34-1)*100</f>
        <v>#DIV/0!</v>
      </c>
      <c r="P34" s="149">
        <f>P$10</f>
        <v>2.0916093175926243</v>
      </c>
      <c r="Q34" s="184"/>
      <c r="R34" s="226">
        <f>2.392+6.924</f>
        <v>9.3160000000000007</v>
      </c>
      <c r="S34" s="140" t="e">
        <f>(R34/N34-1)*100</f>
        <v>#DIV/0!</v>
      </c>
      <c r="T34" s="149">
        <f>T$10</f>
        <v>19.844539235118418</v>
      </c>
      <c r="U34" s="184"/>
      <c r="V34" s="226">
        <f>4.383+8.606</f>
        <v>12.989000000000001</v>
      </c>
      <c r="W34" s="140" t="e">
        <f>(V34/D34-1)*100</f>
        <v>#DIV/0!</v>
      </c>
      <c r="X34" s="149">
        <f>X$10</f>
        <v>14.432918975359566</v>
      </c>
      <c r="Y34" s="184"/>
      <c r="Z34" s="226">
        <f>1.94+11.253</f>
        <v>13.193</v>
      </c>
      <c r="AA34" s="140">
        <f>(Z34/V34-1)*100</f>
        <v>1.5705597043652153</v>
      </c>
      <c r="AB34" s="149">
        <f>AB$10</f>
        <v>20.378436700767267</v>
      </c>
      <c r="AC34" s="184"/>
      <c r="AD34" s="226">
        <f>5.714+14.559</f>
        <v>20.273</v>
      </c>
      <c r="AE34" s="140">
        <f>(AD34/Z34-1)*100</f>
        <v>53.664822254225733</v>
      </c>
      <c r="AF34" s="149">
        <f>AF$10</f>
        <v>10.489042331291731</v>
      </c>
      <c r="AG34" s="184"/>
      <c r="AH34" s="226">
        <f>6.85+18.099</f>
        <v>24.948999999999998</v>
      </c>
      <c r="AI34" s="140">
        <f>(AH34/AD34-1)*100</f>
        <v>23.065160558378128</v>
      </c>
      <c r="AJ34" s="149">
        <f>AJ$10</f>
        <v>13.249941161447975</v>
      </c>
      <c r="AK34" s="184"/>
      <c r="AL34" s="226">
        <f>9.896+22.619</f>
        <v>32.515000000000001</v>
      </c>
      <c r="AM34" s="140">
        <f>(AL34/AH34-1)*100</f>
        <v>30.325864764118805</v>
      </c>
      <c r="AN34" s="149">
        <f>AN$10</f>
        <v>20.3918482129829</v>
      </c>
      <c r="AO34" s="132"/>
      <c r="AP34" s="226">
        <f>25.146+30.06</f>
        <v>55.206000000000003</v>
      </c>
      <c r="AQ34" s="140">
        <f>(AP34/AL34-1)*100</f>
        <v>69.786252498846693</v>
      </c>
      <c r="AR34" s="149">
        <f>AR$10</f>
        <v>26.761716927981418</v>
      </c>
      <c r="AS34" s="132"/>
      <c r="AT34" s="226">
        <f>21.794+36.135</f>
        <v>57.929000000000002</v>
      </c>
      <c r="AU34" s="140">
        <f>(AT34/AP34-1)*100</f>
        <v>4.9324348802666451</v>
      </c>
      <c r="AV34" s="149">
        <f>AV$10</f>
        <v>-2.5328631900400578</v>
      </c>
      <c r="AW34" s="132"/>
      <c r="AX34" s="226">
        <f>27.743+38.184</f>
        <v>65.926999999999992</v>
      </c>
      <c r="AY34" s="140">
        <f>(AX34/AT34-1)*100</f>
        <v>13.806556301679617</v>
      </c>
      <c r="AZ34" s="149">
        <f>AZ$10</f>
        <v>3.189051162154688</v>
      </c>
      <c r="BA34" s="132"/>
      <c r="BB34" s="226">
        <f>27.639+42.939</f>
        <v>70.578000000000003</v>
      </c>
      <c r="BC34" s="140">
        <f>(BB34/AX34-1)*100</f>
        <v>7.0547727031413654</v>
      </c>
      <c r="BD34" s="149">
        <f>BD$10</f>
        <v>14.032247377775974</v>
      </c>
      <c r="BE34" s="132"/>
      <c r="BF34" s="226">
        <f>26.48+46.413</f>
        <v>72.893000000000001</v>
      </c>
      <c r="BG34" s="140">
        <f>(BF34/BB34-1)*100</f>
        <v>3.2800589418799042</v>
      </c>
      <c r="BH34" s="149">
        <f>BH$10</f>
        <v>15.440873688545075</v>
      </c>
      <c r="BI34" s="132"/>
      <c r="BJ34" s="226">
        <f>35.137+52.084</f>
        <v>87.221000000000004</v>
      </c>
      <c r="BK34" s="140">
        <f>(BJ34/BF34-1)*100</f>
        <v>19.656208415074161</v>
      </c>
      <c r="BL34" s="149">
        <f>BL$10</f>
        <v>11.585477941176482</v>
      </c>
      <c r="BM34" s="132"/>
      <c r="BN34" s="226">
        <f>38.04+55.614</f>
        <v>93.653999999999996</v>
      </c>
      <c r="BO34" s="140">
        <f>(BN34/BJ34-1)*100</f>
        <v>7.3755173639375782</v>
      </c>
      <c r="BP34" s="149">
        <f>BP$10</f>
        <v>1.0698155132074394</v>
      </c>
      <c r="BQ34" s="132"/>
      <c r="BR34" s="1734">
        <f>36.345+62.332</f>
        <v>98.676999999999992</v>
      </c>
      <c r="BS34" s="140">
        <f>(BR34/BN34-1)*100</f>
        <v>5.363358746022584</v>
      </c>
      <c r="BT34" s="149">
        <f>BT$10</f>
        <v>15.595627100489784</v>
      </c>
      <c r="BU34" s="132"/>
      <c r="BV34" s="1734">
        <f>49.979+68.573</f>
        <v>118.55199999999999</v>
      </c>
      <c r="BW34" s="140">
        <f>(BV34/BR34-1)*100</f>
        <v>20.141471670196708</v>
      </c>
      <c r="BX34" s="149">
        <f>BX$10</f>
        <v>11.708511756184436</v>
      </c>
      <c r="BY34" s="132"/>
      <c r="BZ34" s="1734">
        <f>25.324+64.239</f>
        <v>89.563000000000002</v>
      </c>
      <c r="CA34" s="140">
        <f>(BZ34/BV34-1)*100</f>
        <v>-24.452560901545304</v>
      </c>
      <c r="CB34" s="149">
        <f>CB$10</f>
        <v>-22.219300354631244</v>
      </c>
      <c r="CC34" s="132"/>
      <c r="CD34" s="1734">
        <f>29.256+64.486</f>
        <v>93.742000000000004</v>
      </c>
      <c r="CE34" s="140">
        <f>(CD34/BZ34-1)*100</f>
        <v>4.6659893036186784</v>
      </c>
      <c r="CF34" s="149">
        <f>CF$10</f>
        <v>22.404876211083536</v>
      </c>
      <c r="CG34" s="132"/>
      <c r="CH34" s="1734">
        <f>14.6+67.259</f>
        <v>81.858999999999995</v>
      </c>
      <c r="CI34" s="140">
        <f>(CH34/CD34-1)*100</f>
        <v>-12.676281709372539</v>
      </c>
      <c r="CJ34" s="149">
        <f>CJ$10</f>
        <v>20.112818149390922</v>
      </c>
      <c r="CK34" s="132"/>
      <c r="CL34" s="1734">
        <f>31.971+62.074</f>
        <v>94.045000000000002</v>
      </c>
      <c r="CM34" s="140">
        <f>(CL34/CH34-1)*100</f>
        <v>14.886573254009949</v>
      </c>
      <c r="CN34" s="149">
        <f>CN$10</f>
        <v>7.6413435687460618</v>
      </c>
      <c r="CP34" s="1734">
        <f>30.817+69.213</f>
        <v>100.03</v>
      </c>
      <c r="CQ34" s="140">
        <f>(CP34/CL34-1)*100</f>
        <v>6.3639746929661234</v>
      </c>
      <c r="CR34" s="149">
        <f>$CR28</f>
        <v>9.316014990783362</v>
      </c>
      <c r="CT34" s="1734">
        <v>26.135000000000002</v>
      </c>
      <c r="CU34" s="140">
        <f>(CT34/CP34-1)*100</f>
        <v>-73.872838148555431</v>
      </c>
      <c r="CV34" s="149">
        <f>$CR28</f>
        <v>9.316014990783362</v>
      </c>
      <c r="CX34" s="1734">
        <v>44.6</v>
      </c>
      <c r="CY34" s="140">
        <f>(CX34/CT34-1)*100</f>
        <v>70.652381863401573</v>
      </c>
      <c r="CZ34" s="149">
        <f>$CR28</f>
        <v>9.316014990783362</v>
      </c>
      <c r="DB34" s="1734">
        <v>36.6</v>
      </c>
      <c r="DC34" s="140">
        <f>(DB34/CX34-1)*100</f>
        <v>-17.937219730941699</v>
      </c>
      <c r="DD34" s="149">
        <f>$CR28</f>
        <v>9.316014990783362</v>
      </c>
      <c r="DF34" s="1734">
        <v>35.299999999999997</v>
      </c>
      <c r="DG34" s="140">
        <f>(DF34/DB34-1)*100</f>
        <v>-3.551912568306026</v>
      </c>
      <c r="DH34" s="149">
        <f>DH10</f>
        <v>0.9312240547515005</v>
      </c>
    </row>
    <row r="35" spans="1:112">
      <c r="A35" s="132" t="str">
        <f>$A$11</f>
        <v>2Q</v>
      </c>
      <c r="B35" s="132" t="str">
        <f>$B$11</f>
        <v>Jul</v>
      </c>
      <c r="C35" s="132"/>
      <c r="D35" s="243"/>
      <c r="E35" s="144"/>
      <c r="F35" s="243">
        <f>4.601+5.054</f>
        <v>9.6550000000000011</v>
      </c>
      <c r="G35" s="140" t="e">
        <f>(F35/D35-1)*100</f>
        <v>#DIV/0!</v>
      </c>
      <c r="H35" s="149">
        <f>H$11</f>
        <v>0</v>
      </c>
      <c r="I35" s="184"/>
      <c r="J35" s="243">
        <f>1.574+4.568</f>
        <v>6.1419999999999995</v>
      </c>
      <c r="K35" s="140">
        <f>(J35/F35-1)*100</f>
        <v>-36.385292594510631</v>
      </c>
      <c r="L35" s="149">
        <f>L$11</f>
        <v>1.2213919512113369</v>
      </c>
      <c r="M35" s="184"/>
      <c r="N35" s="243"/>
      <c r="O35" s="140">
        <f>(N35/J35-1)*100</f>
        <v>-100</v>
      </c>
      <c r="P35" s="149">
        <f>P$11</f>
        <v>-5.4597368203260777</v>
      </c>
      <c r="Q35" s="184"/>
      <c r="R35" s="243">
        <f>4.033+7.101</f>
        <v>11.134</v>
      </c>
      <c r="S35" s="140" t="e">
        <f>(R35/N35-1)*100</f>
        <v>#DIV/0!</v>
      </c>
      <c r="T35" s="149">
        <f>T$11</f>
        <v>33.286353330473673</v>
      </c>
      <c r="U35" s="184"/>
      <c r="V35" s="243">
        <f>7.519+9.032</f>
        <v>16.551000000000002</v>
      </c>
      <c r="W35" s="140" t="e">
        <f>(V35/D35-1)*100</f>
        <v>#DIV/0!</v>
      </c>
      <c r="X35" s="149">
        <f>X$11</f>
        <v>21.296229401603849</v>
      </c>
      <c r="Y35" s="184"/>
      <c r="Z35" s="243">
        <f>0.827+11.939</f>
        <v>12.766</v>
      </c>
      <c r="AA35" s="140">
        <f>(Z35/V35-1)*100</f>
        <v>-22.868708839345064</v>
      </c>
      <c r="AB35" s="149">
        <f>AB$11</f>
        <v>9.7903423181468838</v>
      </c>
      <c r="AC35" s="184"/>
      <c r="AD35" s="243">
        <f>7.379+15.098</f>
        <v>22.477</v>
      </c>
      <c r="AE35" s="140">
        <f>(AD35/Z35-1)*100</f>
        <v>76.069246435845201</v>
      </c>
      <c r="AF35" s="149">
        <f>AF$11</f>
        <v>7.094982812446049</v>
      </c>
      <c r="AG35" s="184"/>
      <c r="AH35" s="243">
        <f>8.113+18.808</f>
        <v>26.920999999999999</v>
      </c>
      <c r="AI35" s="140">
        <f>(AH35/AD35-1)*100</f>
        <v>19.771321795613297</v>
      </c>
      <c r="AJ35" s="149">
        <f>AJ$11</f>
        <v>14.079272757415428</v>
      </c>
      <c r="AK35" s="184"/>
      <c r="AL35" s="243">
        <f>18.119+24.174</f>
        <v>42.292999999999999</v>
      </c>
      <c r="AM35" s="140">
        <f>(AL35/AH35-1)*100</f>
        <v>57.100404888377113</v>
      </c>
      <c r="AN35" s="149">
        <f>AN$11</f>
        <v>23.956289711854417</v>
      </c>
      <c r="AO35" s="132"/>
      <c r="AP35" s="243">
        <f>19.067+31.569</f>
        <v>50.635999999999996</v>
      </c>
      <c r="AQ35" s="140">
        <f>(AP35/AL35-1)*100</f>
        <v>19.726668715863127</v>
      </c>
      <c r="AR35" s="149">
        <f>AR$11</f>
        <v>21.943419514307937</v>
      </c>
      <c r="AS35" s="132"/>
      <c r="AT35" s="243">
        <f>16.208+36.968</f>
        <v>53.176000000000002</v>
      </c>
      <c r="AU35" s="140">
        <f>(AT35/AP35-1)*100</f>
        <v>5.0161940121652648</v>
      </c>
      <c r="AV35" s="149">
        <f>AV$11</f>
        <v>-0.8404371234457142</v>
      </c>
      <c r="AW35" s="132"/>
      <c r="AX35" s="243">
        <f>9.413+39.196</f>
        <v>48.608999999999995</v>
      </c>
      <c r="AY35" s="140">
        <f>(AX35/AT35-1)*100</f>
        <v>-8.5884609598315116</v>
      </c>
      <c r="AZ35" s="149">
        <f>AZ$11</f>
        <v>0.84190454644614832</v>
      </c>
      <c r="BA35" s="132"/>
      <c r="BB35" s="243">
        <v>65.468000000000004</v>
      </c>
      <c r="BC35" s="140">
        <f>(BB35/AX35-1)*100</f>
        <v>34.682877656401104</v>
      </c>
      <c r="BD35" s="149">
        <f>BD$11</f>
        <v>18.179244552342631</v>
      </c>
      <c r="BE35" s="132"/>
      <c r="BF35" s="243">
        <v>69.474999999999994</v>
      </c>
      <c r="BG35" s="140">
        <f>(BF35/BB35-1)*100</f>
        <v>6.1205474430255924</v>
      </c>
      <c r="BH35" s="149">
        <f>BH$11</f>
        <v>7.7067537486299242</v>
      </c>
      <c r="BI35" s="132"/>
      <c r="BJ35" s="243">
        <f>20.51+51.491</f>
        <v>72.001000000000005</v>
      </c>
      <c r="BK35" s="140">
        <f>(BJ35/BF35-1)*100</f>
        <v>3.6358402302986814</v>
      </c>
      <c r="BL35" s="149">
        <f>BL$11</f>
        <v>10.512865167006936</v>
      </c>
      <c r="BM35" s="132"/>
      <c r="BN35" s="243">
        <f>31.333+57.577</f>
        <v>88.91</v>
      </c>
      <c r="BO35" s="140">
        <f>(BN35/BJ35-1)*100</f>
        <v>23.484396050054855</v>
      </c>
      <c r="BP35" s="149">
        <f>BP$11</f>
        <v>5.307755253929658</v>
      </c>
      <c r="BQ35" s="132"/>
      <c r="BR35" s="1730">
        <f>28.147+64.6</f>
        <v>92.746999999999986</v>
      </c>
      <c r="BS35" s="140">
        <f>(BR35/BN35-1)*100</f>
        <v>4.3156000449892984</v>
      </c>
      <c r="BT35" s="149">
        <f>BT$11</f>
        <v>19.454365490744728</v>
      </c>
      <c r="BU35" s="132"/>
      <c r="BV35" s="1730">
        <f>14.956+67.816</f>
        <v>82.772000000000006</v>
      </c>
      <c r="BW35" s="140">
        <f>(BV35/BR35-1)*100</f>
        <v>-10.755064853849705</v>
      </c>
      <c r="BX35" s="149">
        <f>BX$11</f>
        <v>10.123128099709922</v>
      </c>
      <c r="BY35" s="132"/>
      <c r="BZ35" s="1730">
        <f>18.245+64.607</f>
        <v>82.852000000000004</v>
      </c>
      <c r="CA35" s="140">
        <f>(BZ35/BV35-1)*100</f>
        <v>9.6651041414963501E-2</v>
      </c>
      <c r="CB35" s="149">
        <f>CB$11</f>
        <v>-16.054761702442587</v>
      </c>
      <c r="CC35" s="132"/>
      <c r="CD35" s="1730">
        <f>16.198+60.546</f>
        <v>76.744</v>
      </c>
      <c r="CE35" s="140">
        <f>(CD35/BZ35-1)*100</f>
        <v>-7.3721817216241048</v>
      </c>
      <c r="CF35" s="149">
        <f>CF$11</f>
        <v>9.1865539687800322</v>
      </c>
      <c r="CG35" s="132"/>
      <c r="CH35" s="1730">
        <f>20.687+66.764</f>
        <v>87.450999999999993</v>
      </c>
      <c r="CI35" s="140">
        <f>(CH35/CD35-1)*100</f>
        <v>13.951579276555815</v>
      </c>
      <c r="CJ35" s="149">
        <f>CJ$11</f>
        <v>30.497039296608651</v>
      </c>
      <c r="CK35" s="132"/>
      <c r="CL35" s="1730">
        <f>26.901+63.112</f>
        <v>90.013000000000005</v>
      </c>
      <c r="CM35" s="140">
        <f>(CL35/CH35-1)*100</f>
        <v>2.9296405987353058</v>
      </c>
      <c r="CN35" s="149">
        <f>CN$10</f>
        <v>7.6413435687460618</v>
      </c>
      <c r="CP35" s="1730">
        <f>36.731+67.921</f>
        <v>104.65200000000002</v>
      </c>
      <c r="CQ35" s="140">
        <f>(CP35/CL35-1)*100</f>
        <v>16.26320642573851</v>
      </c>
      <c r="CR35" s="149">
        <f>$CR29</f>
        <v>4.4345110194468962</v>
      </c>
      <c r="CT35" s="1730">
        <f>28.374+65.51</f>
        <v>93.884</v>
      </c>
      <c r="CU35" s="140">
        <f>(CT35/CP35-1)*100</f>
        <v>-10.289339907502971</v>
      </c>
      <c r="CV35" s="149">
        <f>$CV29</f>
        <v>7.2412958858776966</v>
      </c>
      <c r="CX35" s="1730">
        <f>38.3+73.9</f>
        <v>112.2</v>
      </c>
      <c r="CY35" s="140">
        <f>(CX35/CT35-1)*100</f>
        <v>19.509181543180954</v>
      </c>
      <c r="CZ35" s="149">
        <f>$CR29</f>
        <v>4.4345110194468962</v>
      </c>
      <c r="DB35" s="1730">
        <f>30.5+64.5</f>
        <v>95</v>
      </c>
      <c r="DC35" s="140">
        <f>(DB35/CX35-1)*100</f>
        <v>-15.329768270944744</v>
      </c>
      <c r="DD35" s="149">
        <f>$CR29</f>
        <v>4.4345110194468962</v>
      </c>
      <c r="DF35" s="1730">
        <f>32.8+78.6</f>
        <v>111.39999999999999</v>
      </c>
      <c r="DG35" s="140">
        <f>(DF35/DB35-1)*100</f>
        <v>17.263157894736825</v>
      </c>
      <c r="DH35" s="149">
        <f>DH11</f>
        <v>3.0163160154572877</v>
      </c>
    </row>
    <row r="36" spans="1:112">
      <c r="A36" s="132" t="str">
        <f>$A$12</f>
        <v>3Q</v>
      </c>
      <c r="B36" s="132" t="str">
        <f>$B$12</f>
        <v>Oct</v>
      </c>
      <c r="C36" s="132"/>
      <c r="D36" s="243"/>
      <c r="E36" s="144"/>
      <c r="F36" s="243"/>
      <c r="G36" s="140" t="e">
        <f>(F36/D36-1)*100</f>
        <v>#DIV/0!</v>
      </c>
      <c r="H36" s="149">
        <f>H$12</f>
        <v>0</v>
      </c>
      <c r="I36" s="184"/>
      <c r="J36" s="243"/>
      <c r="K36" s="140" t="e">
        <f>(J36/F36-1)*100</f>
        <v>#DIV/0!</v>
      </c>
      <c r="L36" s="149">
        <f>L$12</f>
        <v>-16.221390653554945</v>
      </c>
      <c r="M36" s="184"/>
      <c r="N36" s="243"/>
      <c r="O36" s="140" t="e">
        <f>(N36/J36-1)*100</f>
        <v>#DIV/0!</v>
      </c>
      <c r="P36" s="149">
        <f>P$12</f>
        <v>27.246286485924998</v>
      </c>
      <c r="Q36" s="184"/>
      <c r="R36" s="243">
        <v>7.3970000000000002</v>
      </c>
      <c r="S36" s="140" t="e">
        <f>(R36/N36-1)*100</f>
        <v>#DIV/0!</v>
      </c>
      <c r="T36" s="149">
        <f>T$12</f>
        <v>18.805936920222631</v>
      </c>
      <c r="U36" s="184"/>
      <c r="V36" s="243">
        <f>9.682+9.776</f>
        <v>19.457999999999998</v>
      </c>
      <c r="W36" s="140" t="e">
        <f>(V36/D36-1)*100</f>
        <v>#DIV/0!</v>
      </c>
      <c r="X36" s="149">
        <f>X$12</f>
        <v>17.287042994296975</v>
      </c>
      <c r="Y36" s="184"/>
      <c r="Z36" s="243">
        <f>0.24+12.522</f>
        <v>12.762</v>
      </c>
      <c r="AA36" s="140">
        <f>(Z36/V36-1)*100</f>
        <v>-34.412580943570759</v>
      </c>
      <c r="AB36" s="149">
        <f>AB$12</f>
        <v>12.365923543133484</v>
      </c>
      <c r="AC36" s="184"/>
      <c r="AD36" s="243">
        <f>2.951+15.989</f>
        <v>18.940000000000001</v>
      </c>
      <c r="AE36" s="140">
        <f>(AD36/Z36-1)*100</f>
        <v>48.409340228804275</v>
      </c>
      <c r="AF36" s="149">
        <f>AF$12</f>
        <v>10.469464653885341</v>
      </c>
      <c r="AG36" s="184"/>
      <c r="AH36" s="243">
        <f>5.171+19.756</f>
        <v>24.927</v>
      </c>
      <c r="AI36" s="140">
        <f>(AH36/AD36-1)*100</f>
        <v>31.610348468848983</v>
      </c>
      <c r="AJ36" s="149">
        <f>AJ$12</f>
        <v>8.360434883341771</v>
      </c>
      <c r="AK36" s="184"/>
      <c r="AL36" s="243">
        <f>10.37+26.353</f>
        <v>36.722999999999999</v>
      </c>
      <c r="AM36" s="140">
        <f>(AL36/AH36-1)*100</f>
        <v>47.322180767842092</v>
      </c>
      <c r="AN36" s="149">
        <f>AN$12</f>
        <v>27.77399429838454</v>
      </c>
      <c r="AO36" s="132"/>
      <c r="AP36" s="243">
        <f>5.75+32.679</f>
        <v>38.429000000000002</v>
      </c>
      <c r="AQ36" s="140">
        <f>(AP36/AL36-1)*100</f>
        <v>4.645589957247509</v>
      </c>
      <c r="AR36" s="149">
        <f>AR$12</f>
        <v>15.298135144682767</v>
      </c>
      <c r="AS36" s="132"/>
      <c r="AT36" s="243">
        <f>2.543+35.418</f>
        <v>37.960999999999999</v>
      </c>
      <c r="AU36" s="140">
        <f>(AT36/AP36-1)*100</f>
        <v>-1.217830284420629</v>
      </c>
      <c r="AV36" s="149">
        <f>AV$12</f>
        <v>-10.481785881303185</v>
      </c>
      <c r="AW36" s="132"/>
      <c r="AX36" s="243">
        <f>0.485+39.52</f>
        <v>40.005000000000003</v>
      </c>
      <c r="AY36" s="140">
        <f>(AX36/AT36-1)*100</f>
        <v>5.3844735386317621</v>
      </c>
      <c r="AZ36" s="149">
        <f>AZ$12</f>
        <v>9.8953986201264499</v>
      </c>
      <c r="BA36" s="132"/>
      <c r="BB36" s="243">
        <f>0.952+44.867</f>
        <v>45.818999999999996</v>
      </c>
      <c r="BC36" s="140">
        <f>(BB36/AX36-1)*100</f>
        <v>14.533183352080981</v>
      </c>
      <c r="BD36" s="149">
        <f>BD$12</f>
        <v>17.50935024984086</v>
      </c>
      <c r="BE36" s="132"/>
      <c r="BF36" s="243">
        <f>12.425+50.23</f>
        <v>62.655000000000001</v>
      </c>
      <c r="BG36" s="140">
        <f>(BF36/BB36-1)*100</f>
        <v>36.744581941989154</v>
      </c>
      <c r="BH36" s="149">
        <f>BH$12</f>
        <v>7.2139829769624075</v>
      </c>
      <c r="BI36" s="132"/>
      <c r="BJ36" s="243">
        <f>15.46+54.238</f>
        <v>69.698000000000008</v>
      </c>
      <c r="BK36" s="140">
        <f>(BJ36/BF36-1)*100</f>
        <v>11.240922512169838</v>
      </c>
      <c r="BL36" s="149">
        <f>BL$12</f>
        <v>8.4468895288321466</v>
      </c>
      <c r="BM36" s="132"/>
      <c r="BN36" s="243">
        <f>9.62+58.722</f>
        <v>68.341999999999999</v>
      </c>
      <c r="BO36" s="140">
        <f>(BN36/BJ36-1)*100</f>
        <v>-1.945536457287167</v>
      </c>
      <c r="BP36" s="149">
        <f>BP$12</f>
        <v>6.3444676617910201</v>
      </c>
      <c r="BQ36" s="132"/>
      <c r="BR36" s="1730">
        <f>95.816+67.092</f>
        <v>162.90800000000002</v>
      </c>
      <c r="BS36" s="140">
        <f>(BR36/BN36-1)*100</f>
        <v>138.37171870884671</v>
      </c>
      <c r="BT36" s="149">
        <f>BT$12</f>
        <v>17.95466254507987</v>
      </c>
      <c r="BU36" s="132"/>
      <c r="BV36" s="1730">
        <f>6.93+67.924</f>
        <v>74.854000000000013</v>
      </c>
      <c r="BW36" s="140">
        <f>(BV36/BR36-1)*100</f>
        <v>-54.051366415400096</v>
      </c>
      <c r="BX36" s="149">
        <f>BX$12</f>
        <v>-1.7807413405853012</v>
      </c>
      <c r="BY36" s="132"/>
      <c r="BZ36" s="1730">
        <f>15.412+66.287</f>
        <v>81.699000000000012</v>
      </c>
      <c r="CA36" s="140">
        <f>(BZ36/BV36-1)*100</f>
        <v>9.1444678975071358</v>
      </c>
      <c r="CB36" s="149">
        <f>CB$12</f>
        <v>-2.9116192108440853</v>
      </c>
      <c r="CC36" s="132"/>
      <c r="CD36" s="1730">
        <f>2.275+65.107</f>
        <v>67.382000000000005</v>
      </c>
      <c r="CE36" s="140">
        <f>(CD36/BZ36-1)*100</f>
        <v>-17.524082302108969</v>
      </c>
      <c r="CF36" s="149">
        <f>+$CF$12</f>
        <v>13.96110409018878</v>
      </c>
      <c r="CG36" s="132"/>
      <c r="CH36" s="1730">
        <f>1.459+64.36</f>
        <v>65.819000000000003</v>
      </c>
      <c r="CI36" s="140">
        <f>(CH36/CD36-1)*100</f>
        <v>-2.3196105784927812</v>
      </c>
      <c r="CJ36" s="149">
        <f>+$CF$12</f>
        <v>13.96110409018878</v>
      </c>
      <c r="CK36" s="132"/>
      <c r="CL36" s="1730">
        <f>17.958+65.996</f>
        <v>83.953999999999994</v>
      </c>
      <c r="CM36" s="140">
        <f>(CL36/CH36-1)*100</f>
        <v>27.55283428797155</v>
      </c>
      <c r="CN36" s="149">
        <f>CN$10</f>
        <v>7.6413435687460618</v>
      </c>
      <c r="CP36" s="1730">
        <f>16.19+66.11</f>
        <v>82.3</v>
      </c>
      <c r="CQ36" s="140">
        <f>(CP36/CL36-1)*100</f>
        <v>-1.9701264978440491</v>
      </c>
      <c r="CR36" s="149">
        <f>CR$10</f>
        <v>9.316014990783362</v>
      </c>
      <c r="CT36" s="1730">
        <f>25.657+67.709</f>
        <v>93.366</v>
      </c>
      <c r="CU36" s="140">
        <f>(CT36/CP36-1)*100</f>
        <v>13.445929526123933</v>
      </c>
      <c r="CV36" s="149">
        <f>$CV30</f>
        <v>5.2783501082856787</v>
      </c>
      <c r="CX36" s="1730">
        <f>30.6+73.4</f>
        <v>104</v>
      </c>
      <c r="CY36" s="140">
        <f>(CX36/CT36-1)*100</f>
        <v>11.389585073795594</v>
      </c>
      <c r="CZ36" s="149">
        <f>$CR30</f>
        <v>9.316014990783362</v>
      </c>
      <c r="DB36" s="1730">
        <f>32.6+70.5</f>
        <v>103.1</v>
      </c>
      <c r="DC36" s="140">
        <f>(DB36/CX36-1)*100</f>
        <v>-0.86538461538462341</v>
      </c>
      <c r="DD36" s="149">
        <f>$CR30</f>
        <v>9.316014990783362</v>
      </c>
      <c r="DF36" s="1730">
        <f>39.2+73.6</f>
        <v>112.8</v>
      </c>
      <c r="DG36" s="140">
        <f>(DF36/DB36-1)*100</f>
        <v>9.4083414161008747</v>
      </c>
      <c r="DH36" s="149">
        <f>DH12</f>
        <v>2.8336669124618297</v>
      </c>
    </row>
    <row r="37" spans="1:112">
      <c r="A37" s="132" t="str">
        <f>$A$13</f>
        <v>4Q</v>
      </c>
      <c r="B37" s="132" t="str">
        <f>$B$13</f>
        <v>Jan</v>
      </c>
      <c r="C37" s="132"/>
      <c r="D37" s="243"/>
      <c r="E37" s="144"/>
      <c r="F37" s="243">
        <f>7.371+4.687</f>
        <v>12.058</v>
      </c>
      <c r="G37" s="140" t="e">
        <f>(F37/D37-1)*100</f>
        <v>#DIV/0!</v>
      </c>
      <c r="H37" s="149">
        <f>H$13</f>
        <v>0</v>
      </c>
      <c r="I37" s="184"/>
      <c r="J37" s="243"/>
      <c r="K37" s="140">
        <f>(J37/F37-1)*100</f>
        <v>-100</v>
      </c>
      <c r="L37" s="149">
        <f>L$13</f>
        <v>2.2834635102128686</v>
      </c>
      <c r="M37" s="184"/>
      <c r="N37" s="243">
        <f>6.359+6.947</f>
        <v>13.306000000000001</v>
      </c>
      <c r="O37" s="140" t="e">
        <f>(N37/J37-1)*100</f>
        <v>#DIV/0!</v>
      </c>
      <c r="P37" s="149">
        <f>P$13</f>
        <v>36.479456278578496</v>
      </c>
      <c r="Q37" s="184"/>
      <c r="R37" s="243">
        <f>13.607+8.529</f>
        <v>22.135999999999999</v>
      </c>
      <c r="S37" s="140">
        <f>(R37/N37-1)*100</f>
        <v>66.361040132271128</v>
      </c>
      <c r="T37" s="149">
        <f>T$13</f>
        <v>15.016078870585513</v>
      </c>
      <c r="U37" s="184"/>
      <c r="V37" s="243">
        <f>19.672+11.054</f>
        <v>30.725999999999999</v>
      </c>
      <c r="W37" s="140" t="e">
        <f>(V37/D37-1)*100</f>
        <v>#DIV/0!</v>
      </c>
      <c r="X37" s="149">
        <f>X$13</f>
        <v>17.312225212725039</v>
      </c>
      <c r="Y37" s="184"/>
      <c r="Z37" s="243">
        <f>25.829+14.237</f>
        <v>40.066000000000003</v>
      </c>
      <c r="AA37" s="140">
        <f>(Z37/V37-1)*100</f>
        <v>30.397708780837096</v>
      </c>
      <c r="AB37" s="149">
        <f>AB$13</f>
        <v>16.714998218738874</v>
      </c>
      <c r="AC37" s="184"/>
      <c r="AD37" s="243">
        <f>23.501+17.992</f>
        <v>41.493000000000002</v>
      </c>
      <c r="AE37" s="140">
        <f>(AD37/Z37-1)*100</f>
        <v>3.5616233215195026</v>
      </c>
      <c r="AF37" s="149">
        <f>AF$13</f>
        <v>12.232196545377395</v>
      </c>
      <c r="AG37" s="184"/>
      <c r="AH37" s="243">
        <f>32.485+22.202</f>
        <v>54.686999999999998</v>
      </c>
      <c r="AI37" s="140">
        <f>(AH37/AD37-1)*100</f>
        <v>31.79813462511747</v>
      </c>
      <c r="AJ37" s="149">
        <f>AJ$13</f>
        <v>22.789058293037144</v>
      </c>
      <c r="AK37" s="184"/>
      <c r="AL37" s="243">
        <f>53.954+30.275</f>
        <v>84.228999999999999</v>
      </c>
      <c r="AM37" s="140">
        <f>(AL37/AH37-1)*100</f>
        <v>54.020151041380956</v>
      </c>
      <c r="AN37" s="149">
        <f>AN$13</f>
        <v>26.169466298107569</v>
      </c>
      <c r="AO37" s="132"/>
      <c r="AP37" s="243">
        <f>42.085+36.057</f>
        <v>78.141999999999996</v>
      </c>
      <c r="AQ37" s="140">
        <f>(AP37/AL37-1)*100</f>
        <v>-7.2267271367343788</v>
      </c>
      <c r="AR37" s="149">
        <f>AR$13</f>
        <v>1.1851344708939227</v>
      </c>
      <c r="AS37" s="132"/>
      <c r="AT37" s="243">
        <f>48.997+38.755</f>
        <v>87.75200000000001</v>
      </c>
      <c r="AU37" s="140">
        <f>(AT37/AP37-1)*100</f>
        <v>12.29812392823324</v>
      </c>
      <c r="AV37" s="149">
        <f>AV$13</f>
        <v>-1.8445811957508162</v>
      </c>
      <c r="AW37" s="132"/>
      <c r="AX37" s="243">
        <f>41.297+42.72</f>
        <v>84.016999999999996</v>
      </c>
      <c r="AY37" s="140">
        <f>(AX37/AT37-1)*100</f>
        <v>-4.2563132464217501</v>
      </c>
      <c r="AZ37" s="149">
        <f>AZ$13</f>
        <v>9.4128418637617894</v>
      </c>
      <c r="BA37" s="132"/>
      <c r="BB37" s="243">
        <f>45.922+45.527</f>
        <v>91.448999999999998</v>
      </c>
      <c r="BC37" s="140">
        <f>(BB37/AX37-1)*100</f>
        <v>8.8458288203577808</v>
      </c>
      <c r="BD37" s="149">
        <f>BD$13</f>
        <v>18.186209336475969</v>
      </c>
      <c r="BE37" s="132"/>
      <c r="BF37" s="243">
        <f>118.536+52.315</f>
        <v>170.851</v>
      </c>
      <c r="BG37" s="140">
        <f>(BF37/BB37-1)*100</f>
        <v>86.826537195595364</v>
      </c>
      <c r="BH37" s="149">
        <f>BH$13</f>
        <v>10.734730476716404</v>
      </c>
      <c r="BI37" s="132"/>
      <c r="BJ37" s="243">
        <f>60.364+56.472</f>
        <v>116.836</v>
      </c>
      <c r="BK37" s="140">
        <f>(BJ37/BF37-1)*100</f>
        <v>-31.615267104084843</v>
      </c>
      <c r="BL37" s="149">
        <f>BL$13</f>
        <v>5.9650274896867472</v>
      </c>
      <c r="BM37" s="132"/>
      <c r="BN37" s="243">
        <f>62.979+61.511</f>
        <v>124.49000000000001</v>
      </c>
      <c r="BO37" s="140">
        <f>(BN37/BJ37-1)*100</f>
        <v>6.5510630285186222</v>
      </c>
      <c r="BP37" s="149">
        <f>BP$13</f>
        <v>11.700328267590487</v>
      </c>
      <c r="BQ37" s="132"/>
      <c r="BR37" s="1730">
        <f>203.611+67.956</f>
        <v>271.56700000000001</v>
      </c>
      <c r="BS37" s="140">
        <f>(BR37/BN37-1)*100</f>
        <v>118.14362599405572</v>
      </c>
      <c r="BT37" s="149">
        <f>BT$13</f>
        <v>9.8311897022276931</v>
      </c>
      <c r="BU37" s="132"/>
      <c r="BV37" s="1730">
        <f>27.653+67.311</f>
        <v>94.963999999999999</v>
      </c>
      <c r="BW37" s="140">
        <f>(BV37/BR37-1)*100</f>
        <v>-65.031097298272613</v>
      </c>
      <c r="BX37" s="149">
        <f>BX$13</f>
        <v>-20.468363216500485</v>
      </c>
      <c r="BY37" s="132"/>
      <c r="BZ37" s="1730">
        <f>67.513+66.39</f>
        <v>133.90300000000002</v>
      </c>
      <c r="CA37" s="140">
        <f>(BZ37/BV37-1)*100</f>
        <v>41.003959395139233</v>
      </c>
      <c r="CB37" s="149">
        <f>CB$13</f>
        <v>17.167168302504933</v>
      </c>
      <c r="CC37" s="132"/>
      <c r="CD37" s="1730">
        <f>55.691+65.865</f>
        <v>121.556</v>
      </c>
      <c r="CE37" s="140">
        <f>(CD37/BZ37-1)*100</f>
        <v>-9.2208539017049844</v>
      </c>
      <c r="CF37" s="149">
        <f>+$CF$13</f>
        <v>12.210408973449738</v>
      </c>
      <c r="CG37" s="132"/>
      <c r="CH37" s="1730">
        <f>60.977+62.943</f>
        <v>123.91999999999999</v>
      </c>
      <c r="CI37" s="140">
        <f>(CH37/CD37-1)*100</f>
        <v>1.9447826516173494</v>
      </c>
      <c r="CJ37" s="149">
        <f>+$CF$12</f>
        <v>13.96110409018878</v>
      </c>
      <c r="CK37" s="132"/>
      <c r="CL37" s="1730">
        <f>30.487+66.647</f>
        <v>97.134</v>
      </c>
      <c r="CM37" s="140">
        <f>(CL37/CH37-1)*100</f>
        <v>-21.615558424790184</v>
      </c>
      <c r="CN37" s="149">
        <f>CN$10</f>
        <v>7.6413435687460618</v>
      </c>
      <c r="CP37" s="1730">
        <f>31.976+70.309</f>
        <v>102.285</v>
      </c>
      <c r="CQ37" s="140">
        <f>(CP37/CL37-1)*100</f>
        <v>5.3029835073197917</v>
      </c>
      <c r="CR37" s="149">
        <f>$CR31</f>
        <v>5.0587933505372051</v>
      </c>
      <c r="CT37" s="1730">
        <f>39.9+66.1</f>
        <v>106</v>
      </c>
      <c r="CU37" s="140">
        <f>(CT37/CP37-1)*100</f>
        <v>3.6320086034120402</v>
      </c>
      <c r="CV37" s="149">
        <f>$CV31</f>
        <v>-1.0030162891940586</v>
      </c>
      <c r="CX37" s="1730">
        <f>27.1+67.9</f>
        <v>95</v>
      </c>
      <c r="CY37" s="140">
        <f>(CX37/CT37-1)*100</f>
        <v>-10.377358490566035</v>
      </c>
      <c r="CZ37" s="149">
        <f>$CR31</f>
        <v>5.0587933505372051</v>
      </c>
      <c r="DA37">
        <v>0</v>
      </c>
      <c r="DB37" s="1730">
        <f>22.1+69.2</f>
        <v>91.300000000000011</v>
      </c>
      <c r="DC37" s="140">
        <f>(DB37/CX37-1)*100</f>
        <v>-3.8947368421052508</v>
      </c>
      <c r="DD37" s="149">
        <f>$CR31</f>
        <v>5.0587933505372051</v>
      </c>
      <c r="DF37" s="1730">
        <f>89.4+77.4</f>
        <v>166.8</v>
      </c>
      <c r="DG37" s="140">
        <f>(DF37/DB37-1)*100</f>
        <v>82.694414019715225</v>
      </c>
      <c r="DH37" s="149">
        <f>DH13</f>
        <v>8.5149642160052164</v>
      </c>
    </row>
    <row r="38" spans="1:112">
      <c r="A38" s="132"/>
      <c r="B38" s="132"/>
      <c r="C38" s="132"/>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32"/>
      <c r="AB38" s="132"/>
      <c r="AC38" s="132"/>
      <c r="AD38" s="132"/>
      <c r="AE38" s="132"/>
      <c r="AF38" s="132"/>
      <c r="AG38" s="132"/>
      <c r="AH38" s="132"/>
      <c r="AI38" s="132"/>
      <c r="AJ38" s="132"/>
      <c r="AK38" s="132"/>
      <c r="AL38" s="132"/>
      <c r="AM38" s="132"/>
      <c r="AN38" s="132"/>
      <c r="AO38" s="132"/>
      <c r="AP38" s="132"/>
      <c r="AQ38" s="132"/>
      <c r="AR38" s="132"/>
      <c r="AS38" s="132"/>
      <c r="AT38" s="132"/>
      <c r="AU38" s="132"/>
      <c r="AV38" s="132"/>
      <c r="AW38" s="132"/>
      <c r="AX38" s="132"/>
      <c r="AY38" s="132"/>
      <c r="AZ38" s="132"/>
      <c r="BA38" s="132"/>
      <c r="BB38" s="132"/>
      <c r="BC38" s="132"/>
      <c r="BD38" s="132"/>
      <c r="BE38" s="132"/>
      <c r="BF38" s="132"/>
      <c r="BG38" s="132"/>
      <c r="BH38" s="132"/>
      <c r="BI38" s="132"/>
      <c r="BJ38" s="132"/>
      <c r="BK38" s="132"/>
      <c r="BL38" s="132"/>
      <c r="BM38" s="132"/>
      <c r="BN38" s="132"/>
      <c r="BO38" s="132"/>
      <c r="BP38" s="132"/>
      <c r="BQ38" s="132"/>
      <c r="BR38" s="132"/>
      <c r="BS38" s="132"/>
      <c r="BT38" s="132"/>
      <c r="BU38" s="132"/>
      <c r="BV38" s="132"/>
      <c r="BW38" s="132"/>
      <c r="BX38" s="132"/>
      <c r="BY38" s="132"/>
      <c r="BZ38" s="132"/>
      <c r="CA38" s="132"/>
      <c r="CB38" s="132"/>
      <c r="CC38" s="132"/>
      <c r="CD38" s="132"/>
      <c r="CE38" s="132"/>
      <c r="CF38" s="132"/>
      <c r="CG38" s="132"/>
      <c r="CH38" s="132"/>
      <c r="CI38" s="132"/>
      <c r="CJ38" s="132"/>
      <c r="CK38" s="132"/>
      <c r="CL38" s="132"/>
      <c r="CM38" s="132"/>
      <c r="CN38" s="132"/>
    </row>
    <row r="39" spans="1:112">
      <c r="A39" s="222" t="s">
        <v>410</v>
      </c>
      <c r="B39" s="136"/>
      <c r="C39" s="132"/>
      <c r="D39" s="132"/>
      <c r="E39" s="132"/>
      <c r="F39" s="132"/>
      <c r="G39" s="132"/>
      <c r="H39" s="132"/>
      <c r="I39" s="132"/>
      <c r="J39" s="132"/>
      <c r="K39" s="132"/>
      <c r="L39" s="132"/>
      <c r="M39" s="132"/>
      <c r="N39" s="185"/>
      <c r="O39" s="132"/>
      <c r="P39" s="132"/>
      <c r="Q39" s="132"/>
      <c r="R39" s="132"/>
      <c r="S39" s="132"/>
      <c r="T39" s="132"/>
      <c r="U39" s="132"/>
      <c r="V39" s="132"/>
      <c r="W39" s="132"/>
      <c r="X39" s="132"/>
      <c r="Y39" s="132"/>
      <c r="Z39" s="132"/>
      <c r="AA39" s="132"/>
      <c r="AB39" s="132"/>
      <c r="AC39" s="132"/>
      <c r="AD39" s="185"/>
      <c r="AE39" s="132"/>
      <c r="AF39" s="132"/>
      <c r="AG39" s="132"/>
      <c r="AH39" s="132"/>
      <c r="AI39" s="132"/>
      <c r="AJ39" s="132"/>
      <c r="AK39" s="132"/>
      <c r="AL39" s="132"/>
      <c r="AM39" s="132"/>
      <c r="AN39" s="132"/>
      <c r="AO39" s="132"/>
      <c r="AP39" s="132"/>
      <c r="AQ39" s="132"/>
      <c r="AR39" s="132"/>
      <c r="AS39" s="132"/>
      <c r="AT39" s="132"/>
      <c r="AU39" s="132"/>
      <c r="AV39" s="132"/>
      <c r="AW39" s="132"/>
      <c r="AX39" s="132"/>
      <c r="AY39" s="132"/>
      <c r="AZ39" s="132"/>
      <c r="BA39" s="132"/>
      <c r="BB39" s="132"/>
      <c r="BC39" s="132"/>
      <c r="BD39" s="132"/>
      <c r="BE39" s="132"/>
      <c r="BF39" s="132"/>
      <c r="BG39" s="132"/>
      <c r="BH39" s="132"/>
      <c r="BI39" s="132"/>
      <c r="BJ39" s="132"/>
      <c r="BK39" s="132"/>
      <c r="BL39" s="132"/>
      <c r="BM39" s="132"/>
      <c r="BN39" s="132"/>
      <c r="BO39" s="132"/>
      <c r="BP39" s="132"/>
      <c r="BQ39" s="132"/>
      <c r="BR39" s="132"/>
      <c r="BS39" s="132"/>
      <c r="BT39" s="132"/>
      <c r="BU39" s="132"/>
      <c r="BV39" s="132"/>
      <c r="BW39" s="132"/>
      <c r="BX39" s="132"/>
      <c r="BY39" s="132"/>
      <c r="BZ39" s="132"/>
      <c r="CA39" s="132"/>
      <c r="CB39" s="132"/>
      <c r="CC39" s="132"/>
      <c r="CD39" s="132"/>
      <c r="CE39" s="132"/>
      <c r="CF39" s="132"/>
      <c r="CG39" s="132"/>
      <c r="CH39" s="132"/>
      <c r="CI39" s="132"/>
      <c r="CJ39" s="132"/>
      <c r="CK39" s="132"/>
      <c r="CL39" s="132"/>
      <c r="CM39" s="132"/>
      <c r="CN39" s="132"/>
    </row>
    <row r="40" spans="1:112">
      <c r="A40" s="132" t="str">
        <f>$A$10</f>
        <v>1Q</v>
      </c>
      <c r="B40" s="132" t="str">
        <f>$B$10</f>
        <v>Apr</v>
      </c>
      <c r="C40" s="132"/>
      <c r="D40" s="150">
        <f>D10+D22-D28-D34</f>
        <v>0</v>
      </c>
      <c r="E40" s="132"/>
      <c r="F40" s="150">
        <f>F10+F22-F28-F34</f>
        <v>0</v>
      </c>
      <c r="G40" s="140"/>
      <c r="H40" s="149">
        <f>H$10</f>
        <v>0</v>
      </c>
      <c r="I40" s="183"/>
      <c r="J40" s="150">
        <f>J10+J22-J28-J34</f>
        <v>0</v>
      </c>
      <c r="K40" s="140" t="e">
        <f>(J40/F40-1)*100</f>
        <v>#DIV/0!</v>
      </c>
      <c r="L40" s="149">
        <f>L$10</f>
        <v>10.435096030070557</v>
      </c>
      <c r="M40" s="183"/>
      <c r="N40" s="150">
        <f>N10+N22-N28-N34</f>
        <v>0</v>
      </c>
      <c r="O40" s="140" t="e">
        <f>(N40/J40-1)*100</f>
        <v>#DIV/0!</v>
      </c>
      <c r="P40" s="149">
        <f>P$10</f>
        <v>2.0916093175926243</v>
      </c>
      <c r="Q40" s="183"/>
      <c r="R40" s="150">
        <f>R10+R22-R28-R34</f>
        <v>280.93200000000002</v>
      </c>
      <c r="S40" s="140" t="e">
        <f>(R40/N40-1)*100</f>
        <v>#DIV/0!</v>
      </c>
      <c r="T40" s="149">
        <f>T$10</f>
        <v>19.844539235118418</v>
      </c>
      <c r="U40" s="183"/>
      <c r="V40" s="150">
        <f>V10+V22-V28-V34</f>
        <v>230.41900000000001</v>
      </c>
      <c r="W40" s="140" t="e">
        <f>(V40/D40-1)*100</f>
        <v>#DIV/0!</v>
      </c>
      <c r="X40" s="149">
        <f>X$10</f>
        <v>14.432918975359566</v>
      </c>
      <c r="Y40" s="183"/>
      <c r="Z40" s="150">
        <f>Z10+Z22-Z28-Z34</f>
        <v>261.28300000000002</v>
      </c>
      <c r="AA40" s="140">
        <f>(Z40/V40-1)*100</f>
        <v>13.394728733307581</v>
      </c>
      <c r="AB40" s="149">
        <f>AB$10</f>
        <v>20.378436700767267</v>
      </c>
      <c r="AC40" s="183"/>
      <c r="AD40" s="150">
        <f>AD10+AD22-AD28-AD34</f>
        <v>254.50800000000001</v>
      </c>
      <c r="AE40" s="140">
        <f>(AD40/Z40-1)*100</f>
        <v>-2.5929739018612064</v>
      </c>
      <c r="AF40" s="149">
        <f>AF$10</f>
        <v>10.489042331291731</v>
      </c>
      <c r="AG40" s="183"/>
      <c r="AH40" s="150">
        <f>AH10+AH22-AH28-AH34</f>
        <v>324.26799999999997</v>
      </c>
      <c r="AI40" s="140">
        <f>(AH40/AD40-1)*100</f>
        <v>27.40974743426532</v>
      </c>
      <c r="AJ40" s="149">
        <f>AJ$10</f>
        <v>13.249941161447975</v>
      </c>
      <c r="AK40" s="183"/>
      <c r="AL40" s="150">
        <f>AL10+AL22-AL28-AL34</f>
        <v>394.34800000000001</v>
      </c>
      <c r="AM40" s="140">
        <f>(AL40/AH40-1)*100</f>
        <v>21.611753241146236</v>
      </c>
      <c r="AN40" s="149">
        <f>AN$10</f>
        <v>20.3918482129829</v>
      </c>
      <c r="AO40" s="132"/>
      <c r="AP40" s="150">
        <f>AP10+AP22-AP28-AP34</f>
        <v>353.08700000000005</v>
      </c>
      <c r="AQ40" s="140">
        <f>(AP40/AL40-1)*100</f>
        <v>-10.46309351131487</v>
      </c>
      <c r="AR40" s="149">
        <f>AR$10</f>
        <v>26.761716927981418</v>
      </c>
      <c r="AS40" s="132"/>
      <c r="AT40" s="150">
        <f>AT10+AT22-AT28-AT34</f>
        <v>515.12</v>
      </c>
      <c r="AU40" s="140">
        <f>(AT40/AP40-1)*100</f>
        <v>45.890389620688367</v>
      </c>
      <c r="AV40" s="149">
        <f>AV$10</f>
        <v>-2.5328631900400578</v>
      </c>
      <c r="AW40" s="132"/>
      <c r="AX40" s="150">
        <f>AX10+AX22-AX28-AX34</f>
        <v>523.00900000000001</v>
      </c>
      <c r="AY40" s="140">
        <f>(AX40/AT40-1)*100</f>
        <v>1.5314878086659434</v>
      </c>
      <c r="AZ40" s="149">
        <f>AZ$10</f>
        <v>3.189051162154688</v>
      </c>
      <c r="BA40" s="132"/>
      <c r="BB40" s="150">
        <f>BB10+BB22-BB28-BB34</f>
        <v>618.66000000000008</v>
      </c>
      <c r="BC40" s="140">
        <f>(BB40/AX40-1)*100</f>
        <v>18.288595416140076</v>
      </c>
      <c r="BD40" s="149">
        <f>BD$10</f>
        <v>14.032247377775974</v>
      </c>
      <c r="BE40" s="132"/>
      <c r="BF40" s="150">
        <f>BF10+BF22-BF28-BF34</f>
        <v>793.29199999999992</v>
      </c>
      <c r="BG40" s="140">
        <f>(BF40/BB40-1)*100</f>
        <v>28.227459347622251</v>
      </c>
      <c r="BH40" s="149">
        <f>BH$10</f>
        <v>15.440873688545075</v>
      </c>
      <c r="BI40" s="132"/>
      <c r="BJ40" s="150">
        <f>BJ10+BJ22-BJ28-BJ34</f>
        <v>919.37399999999991</v>
      </c>
      <c r="BK40" s="140">
        <f>(BJ40/BF40-1)*100</f>
        <v>15.893517141229218</v>
      </c>
      <c r="BL40" s="149">
        <f>BL$10</f>
        <v>11.585477941176482</v>
      </c>
      <c r="BM40" s="132"/>
      <c r="BN40" s="150">
        <f>BN10+BN22-BN28-BN34</f>
        <v>964.64100000000008</v>
      </c>
      <c r="BO40" s="140">
        <f>(BN40/BJ40-1)*100</f>
        <v>4.9236763275881446</v>
      </c>
      <c r="BP40" s="149">
        <f>BP$10</f>
        <v>1.0698155132074394</v>
      </c>
      <c r="BQ40" s="132"/>
      <c r="BR40" s="150">
        <f>BR10+BR22-BR28-BR34</f>
        <v>1221.451</v>
      </c>
      <c r="BS40" s="140">
        <f>(BR40/BN40-1)*100</f>
        <v>26.622339295136733</v>
      </c>
      <c r="BT40" s="149">
        <f>BT$10</f>
        <v>15.595627100489784</v>
      </c>
      <c r="BU40" s="132"/>
      <c r="BV40" s="150">
        <f>BV10+BV22-BV28-BV34</f>
        <v>1286.009</v>
      </c>
      <c r="BW40" s="140">
        <f>(BV40/BR40-1)*100</f>
        <v>5.2853532397124425</v>
      </c>
      <c r="BX40" s="149">
        <f>BX$10</f>
        <v>11.708511756184436</v>
      </c>
      <c r="BY40" s="132"/>
      <c r="BZ40" s="150">
        <f>BZ10+BZ22-BZ28-BZ34</f>
        <v>1433.954</v>
      </c>
      <c r="CA40" s="140">
        <f>(BZ40/BV40-1)*100</f>
        <v>11.504196315888926</v>
      </c>
      <c r="CB40" s="149">
        <f>CB$10</f>
        <v>-22.219300354631244</v>
      </c>
      <c r="CC40" s="132"/>
      <c r="CD40" s="150">
        <f>CD10+CD22-CD28-CD34</f>
        <v>1309.423</v>
      </c>
      <c r="CE40" s="140">
        <f>(CD40/BZ40-1)*100</f>
        <v>-8.6844487340598029</v>
      </c>
      <c r="CF40" s="149">
        <f>CF$10</f>
        <v>22.404876211083536</v>
      </c>
      <c r="CG40" s="132"/>
      <c r="CH40" s="150">
        <f>CH10+CH22-CH28-CH34</f>
        <v>1594.06</v>
      </c>
      <c r="CI40" s="140">
        <f>(CH40/CD40-1)*100</f>
        <v>21.737589762819187</v>
      </c>
      <c r="CJ40" s="149">
        <f>CJ$10</f>
        <v>20.112818149390922</v>
      </c>
      <c r="CK40" s="132"/>
      <c r="CL40" s="150">
        <f>CL10+CL22-CL28-CL34</f>
        <v>2050.6530000000002</v>
      </c>
      <c r="CM40" s="140">
        <f>(CL40/CH40-1)*100</f>
        <v>28.643401126682821</v>
      </c>
      <c r="CN40" s="149">
        <f>CN$10</f>
        <v>7.6413435687460618</v>
      </c>
      <c r="CP40" s="150">
        <f>CP10+CP22-CP28-CP34</f>
        <v>2156.8659999999995</v>
      </c>
      <c r="CQ40" s="140">
        <f>(CP40/CL40-1)*100</f>
        <v>5.1794720998627808</v>
      </c>
      <c r="CR40" s="149">
        <f>$CR34</f>
        <v>9.316014990783362</v>
      </c>
      <c r="CT40" s="150">
        <f>CT10+CT22-CT28-CT34</f>
        <v>2322.9869999999996</v>
      </c>
      <c r="CU40" s="140">
        <f>(CT40/CP40-1)*100</f>
        <v>7.7019620134027855</v>
      </c>
      <c r="CV40" s="149">
        <f>$CR34</f>
        <v>9.316014990783362</v>
      </c>
      <c r="CX40" s="150">
        <f>CX10+CX22-CX28-CX34</f>
        <v>2254.8000000000002</v>
      </c>
      <c r="CY40" s="140">
        <f>(CX40/CT40-1)*100</f>
        <v>-2.9353156087399301</v>
      </c>
      <c r="CZ40" s="149">
        <f>$CR34</f>
        <v>9.316014990783362</v>
      </c>
      <c r="DB40" s="150">
        <f>DB10+DB22-DB28-DB34</f>
        <v>2173.7999999999997</v>
      </c>
      <c r="DC40" s="140">
        <f>(DB40/CX40-1)*100</f>
        <v>-3.592336349121894</v>
      </c>
      <c r="DD40" s="149">
        <f>$CR34</f>
        <v>9.316014990783362</v>
      </c>
      <c r="DF40" s="150">
        <f>DF10+DF22-DF28-DF34</f>
        <v>2084.6999999999998</v>
      </c>
      <c r="DG40" s="140">
        <f>(DF40/DB40-1)*100</f>
        <v>-4.0988131382831856</v>
      </c>
      <c r="DH40" s="149">
        <f>$CR34</f>
        <v>9.316014990783362</v>
      </c>
    </row>
    <row r="41" spans="1:112">
      <c r="A41" s="132" t="str">
        <f>$A$11</f>
        <v>2Q</v>
      </c>
      <c r="B41" s="132" t="str">
        <f>$B$11</f>
        <v>Jul</v>
      </c>
      <c r="C41" s="132"/>
      <c r="D41" s="151">
        <f>D11+D23-D29-D35</f>
        <v>0</v>
      </c>
      <c r="E41" s="151"/>
      <c r="F41" s="151">
        <f>F11+F23-F29-F35</f>
        <v>186.18399999999997</v>
      </c>
      <c r="G41" s="140"/>
      <c r="H41" s="149">
        <f>H$11</f>
        <v>0</v>
      </c>
      <c r="I41" s="183"/>
      <c r="J41" s="151">
        <f>J11+J23-J29-J35</f>
        <v>230.17400000000001</v>
      </c>
      <c r="K41" s="140">
        <f>(J41/F41-1)*100</f>
        <v>23.627164525415733</v>
      </c>
      <c r="L41" s="149">
        <f>L$11</f>
        <v>1.2213919512113369</v>
      </c>
      <c r="M41" s="183"/>
      <c r="N41" s="151">
        <f>N11+N23-N29-N35</f>
        <v>0</v>
      </c>
      <c r="O41" s="140">
        <f>(N41/J41-1)*100</f>
        <v>-100</v>
      </c>
      <c r="P41" s="149">
        <f>P$11</f>
        <v>-5.4597368203260777</v>
      </c>
      <c r="Q41" s="183"/>
      <c r="R41" s="151">
        <f>R11+R23-R29-R35</f>
        <v>299.46800000000002</v>
      </c>
      <c r="S41" s="140" t="e">
        <f>(R41/N41-1)*100</f>
        <v>#DIV/0!</v>
      </c>
      <c r="T41" s="149">
        <f>T$11</f>
        <v>33.286353330473673</v>
      </c>
      <c r="U41" s="183"/>
      <c r="V41" s="151">
        <f>V11+V23-V29-V35</f>
        <v>219.23500000000001</v>
      </c>
      <c r="W41" s="140" t="e">
        <f>(V41/D41-1)*100</f>
        <v>#DIV/0!</v>
      </c>
      <c r="X41" s="149">
        <f>X$11</f>
        <v>21.296229401603849</v>
      </c>
      <c r="Y41" s="183"/>
      <c r="Z41" s="151">
        <f>Z11+Z23-Z29-Z35</f>
        <v>289.98999999999995</v>
      </c>
      <c r="AA41" s="140">
        <f>(Z41/V41-1)*100</f>
        <v>32.273587702693419</v>
      </c>
      <c r="AB41" s="149">
        <f>AB$11</f>
        <v>9.7903423181468838</v>
      </c>
      <c r="AC41" s="183"/>
      <c r="AD41" s="151">
        <f>AD11+AD23-AD29-AD35</f>
        <v>288.85199999999998</v>
      </c>
      <c r="AE41" s="140">
        <f>(AD41/Z41-1)*100</f>
        <v>-0.39242732508016909</v>
      </c>
      <c r="AF41" s="149">
        <f>AF$11</f>
        <v>7.094982812446049</v>
      </c>
      <c r="AG41" s="183"/>
      <c r="AH41" s="151">
        <f>AH11+AH23-AH29-AH35</f>
        <v>339.48500000000007</v>
      </c>
      <c r="AI41" s="140">
        <f>(AH41/AD41-1)*100</f>
        <v>17.529046016645246</v>
      </c>
      <c r="AJ41" s="149">
        <f>AJ$11</f>
        <v>14.079272757415428</v>
      </c>
      <c r="AK41" s="183"/>
      <c r="AL41" s="151">
        <f>AL11+AL23-AL29-AL35</f>
        <v>403.29599999999999</v>
      </c>
      <c r="AM41" s="140">
        <f>(AL41/AH41-1)*100</f>
        <v>18.796412212616143</v>
      </c>
      <c r="AN41" s="149">
        <f>AN$11</f>
        <v>23.956289711854417</v>
      </c>
      <c r="AO41" s="132"/>
      <c r="AP41" s="151">
        <f>AP11+AP23-AP29-AP35</f>
        <v>394.89300000000003</v>
      </c>
      <c r="AQ41" s="140">
        <f>(AP41/AL41-1)*100</f>
        <v>-2.083581290169001</v>
      </c>
      <c r="AR41" s="149">
        <f>AR$11</f>
        <v>21.943419514307937</v>
      </c>
      <c r="AS41" s="132"/>
      <c r="AT41" s="151">
        <f>AT11+AT23-AT29-AT35</f>
        <v>568.44999999999993</v>
      </c>
      <c r="AU41" s="140">
        <f>(AT41/AP41-1)*100</f>
        <v>43.950386560410017</v>
      </c>
      <c r="AV41" s="149">
        <f>AV$11</f>
        <v>-0.8404371234457142</v>
      </c>
      <c r="AW41" s="132"/>
      <c r="AX41" s="151">
        <f>AX11+AX23-AX29-AX35</f>
        <v>590.85299999999995</v>
      </c>
      <c r="AY41" s="140">
        <f>(AX41/AT41-1)*100</f>
        <v>3.9410678159908619</v>
      </c>
      <c r="AZ41" s="149">
        <f>AZ$11</f>
        <v>0.84190454644614832</v>
      </c>
      <c r="BA41" s="132"/>
      <c r="BB41" s="151">
        <f>BB11+BB23-BB29-BB35</f>
        <v>656.44499999999994</v>
      </c>
      <c r="BC41" s="140">
        <f>(BB41/AX41-1)*100</f>
        <v>11.101238379089207</v>
      </c>
      <c r="BD41" s="149">
        <f>BD$11</f>
        <v>18.179244552342631</v>
      </c>
      <c r="BE41" s="132"/>
      <c r="BF41" s="151">
        <f>BF11+BF23-BF29-BF35</f>
        <v>889.4799999999999</v>
      </c>
      <c r="BG41" s="140">
        <f>(BF41/BB41-1)*100</f>
        <v>35.499546801331405</v>
      </c>
      <c r="BH41" s="149">
        <f>BH$11</f>
        <v>7.7067537486299242</v>
      </c>
      <c r="BI41" s="132"/>
      <c r="BJ41" s="151">
        <f>BJ11+BJ23-BJ29-BJ35</f>
        <v>940.12300000000016</v>
      </c>
      <c r="BK41" s="140">
        <f>(BJ41/BF41-1)*100</f>
        <v>5.6935512883932393</v>
      </c>
      <c r="BL41" s="149">
        <f>BL$11</f>
        <v>10.512865167006936</v>
      </c>
      <c r="BM41" s="132"/>
      <c r="BN41" s="151">
        <f>BN11+BN23-BN29-BN35</f>
        <v>1040.9149999999997</v>
      </c>
      <c r="BO41" s="140">
        <f>(BN41/BJ41-1)*100</f>
        <v>10.721150317564776</v>
      </c>
      <c r="BP41" s="149">
        <f>BP$11</f>
        <v>5.307755253929658</v>
      </c>
      <c r="BQ41" s="132"/>
      <c r="BR41" s="151">
        <f>BR11+BR23-BR29-BR35</f>
        <v>1240.8240000000001</v>
      </c>
      <c r="BS41" s="140">
        <f>(BR41/BN41-1)*100</f>
        <v>19.205122416335673</v>
      </c>
      <c r="BT41" s="149">
        <f>BT$11</f>
        <v>19.454365490744728</v>
      </c>
      <c r="BU41" s="132"/>
      <c r="BV41" s="151">
        <f>BV11+BV23-BV29-BV35</f>
        <v>1339.6930000000002</v>
      </c>
      <c r="BW41" s="140">
        <f>(BV41/BR41-1)*100</f>
        <v>7.9680115794020789</v>
      </c>
      <c r="BX41" s="149">
        <f>BX$11</f>
        <v>10.123128099709922</v>
      </c>
      <c r="BY41" s="132"/>
      <c r="BZ41" s="151">
        <f>BZ11+BZ23-BZ29-BZ35</f>
        <v>1411.7819999999999</v>
      </c>
      <c r="CA41" s="140">
        <f>(BZ41/BV41-1)*100</f>
        <v>5.3810089326435051</v>
      </c>
      <c r="CB41" s="149">
        <f>CB$11</f>
        <v>-16.054761702442587</v>
      </c>
      <c r="CC41" s="132"/>
      <c r="CD41" s="151">
        <f>CD11+CD23-CD29-CD35</f>
        <v>1403.51</v>
      </c>
      <c r="CE41" s="140">
        <f>(CD41/BZ41-1)*100</f>
        <v>-0.58592615573792584</v>
      </c>
      <c r="CF41" s="149">
        <f>CF$11</f>
        <v>9.1865539687800322</v>
      </c>
      <c r="CG41" s="132"/>
      <c r="CH41" s="151">
        <f>CH11+CH23-CH29-CH35</f>
        <v>1658.56</v>
      </c>
      <c r="CI41" s="140">
        <f>(CH41/CD41-1)*100</f>
        <v>18.172296599240468</v>
      </c>
      <c r="CJ41" s="149">
        <f>CJ$11</f>
        <v>30.497039296608651</v>
      </c>
      <c r="CK41" s="132"/>
      <c r="CL41" s="151">
        <f>CL11+CL23-CL29-CL35</f>
        <v>2117.5500000000002</v>
      </c>
      <c r="CM41" s="140">
        <f>(CL41/CH41-1)*100</f>
        <v>27.67400636696895</v>
      </c>
      <c r="CN41" s="149">
        <f>CN$10</f>
        <v>7.6413435687460618</v>
      </c>
      <c r="CP41" s="151">
        <f>CP11+CP23-CP29-CP35</f>
        <v>2207.0450000000001</v>
      </c>
      <c r="CQ41" s="140">
        <f>(CP41/CL41-1)*100</f>
        <v>4.2263464853250055</v>
      </c>
      <c r="CR41" s="149">
        <f>$CR35</f>
        <v>4.4345110194468962</v>
      </c>
      <c r="CT41" s="151">
        <f>CT11+CT23-CT29-CT35</f>
        <v>2362.6489999999999</v>
      </c>
      <c r="CU41" s="140">
        <f>(CT41/CP41-1)*100</f>
        <v>7.0503320050112173</v>
      </c>
      <c r="CV41" s="149">
        <f>$CV35</f>
        <v>7.2412958858776966</v>
      </c>
      <c r="CX41" s="151">
        <f>CX11+CX23-CX29-CX35</f>
        <v>2138.2000000000003</v>
      </c>
      <c r="CY41" s="140">
        <f>(CX41/CT41-1)*100</f>
        <v>-9.4998876261348837</v>
      </c>
      <c r="CZ41" s="149">
        <f>$CR35</f>
        <v>4.4345110194468962</v>
      </c>
      <c r="DB41" s="151">
        <f>DB11+DB23-DB29-DB35</f>
        <v>2144.5000000000005</v>
      </c>
      <c r="DC41" s="140">
        <f>(DB41/CX41-1)*100</f>
        <v>0.29464035169770586</v>
      </c>
      <c r="DD41" s="149">
        <f>$CR35</f>
        <v>4.4345110194468962</v>
      </c>
      <c r="DF41" s="151">
        <f>DF11+DF23-DF29-DF35</f>
        <v>2042.4</v>
      </c>
      <c r="DG41" s="140">
        <f>(DF41/DB41-1)*100</f>
        <v>-4.7610165539753062</v>
      </c>
      <c r="DH41" s="149">
        <f>$CR35</f>
        <v>4.4345110194468962</v>
      </c>
    </row>
    <row r="42" spans="1:112">
      <c r="A42" s="132" t="str">
        <f>$A$12</f>
        <v>3Q</v>
      </c>
      <c r="B42" s="132" t="str">
        <f>$B$12</f>
        <v>Oct</v>
      </c>
      <c r="C42" s="132"/>
      <c r="D42" s="151">
        <f>D12+D24-D30-D36</f>
        <v>0</v>
      </c>
      <c r="E42" s="151"/>
      <c r="F42" s="151">
        <f>F12+F24-F30-F36</f>
        <v>0</v>
      </c>
      <c r="G42" s="140"/>
      <c r="H42" s="149">
        <f>H$12</f>
        <v>0</v>
      </c>
      <c r="I42" s="183"/>
      <c r="J42" s="151">
        <f>J12+J24-J30-J36</f>
        <v>0</v>
      </c>
      <c r="K42" s="140" t="e">
        <f>(J42/F42-1)*100</f>
        <v>#DIV/0!</v>
      </c>
      <c r="L42" s="149">
        <f>L$12</f>
        <v>-16.221390653554945</v>
      </c>
      <c r="M42" s="183"/>
      <c r="N42" s="151">
        <f>N12+N24-N30-N36</f>
        <v>0</v>
      </c>
      <c r="O42" s="140" t="e">
        <f>(N42/J42-1)*100</f>
        <v>#DIV/0!</v>
      </c>
      <c r="P42" s="149">
        <f>P$12</f>
        <v>27.246286485924998</v>
      </c>
      <c r="Q42" s="183"/>
      <c r="R42" s="151">
        <f>R12+R24-R30-R36</f>
        <v>300.91699999999997</v>
      </c>
      <c r="S42" s="140" t="e">
        <f>(R42/N42-1)*100</f>
        <v>#DIV/0!</v>
      </c>
      <c r="T42" s="149">
        <f>T$12</f>
        <v>18.805936920222631</v>
      </c>
      <c r="U42" s="183"/>
      <c r="V42" s="151">
        <f>V12+V24-V30-V36</f>
        <v>217.899</v>
      </c>
      <c r="W42" s="140" t="e">
        <f>(V42/D42-1)*100</f>
        <v>#DIV/0!</v>
      </c>
      <c r="X42" s="149">
        <f>X$12</f>
        <v>17.287042994296975</v>
      </c>
      <c r="Y42" s="183"/>
      <c r="Z42" s="151">
        <f>Z12+Z24-Z30-Z36</f>
        <v>285.05500000000001</v>
      </c>
      <c r="AA42" s="140">
        <f>(Z42/V42-1)*100</f>
        <v>30.819783477666252</v>
      </c>
      <c r="AB42" s="149">
        <f>AB$12</f>
        <v>12.365923543133484</v>
      </c>
      <c r="AC42" s="183"/>
      <c r="AD42" s="151">
        <f>AD12+AD24-AD30-AD36</f>
        <v>308.36700000000002</v>
      </c>
      <c r="AE42" s="140">
        <f>(AD42/Z42-1)*100</f>
        <v>8.1780708985985218</v>
      </c>
      <c r="AF42" s="149">
        <f>AF$12</f>
        <v>10.469464653885341</v>
      </c>
      <c r="AG42" s="183"/>
      <c r="AH42" s="151">
        <f>AH12+AH24-AH30-AH36</f>
        <v>396.48799999999994</v>
      </c>
      <c r="AI42" s="140">
        <f>(AH42/AD42-1)*100</f>
        <v>28.576663521064162</v>
      </c>
      <c r="AJ42" s="149">
        <f>AJ$12</f>
        <v>8.360434883341771</v>
      </c>
      <c r="AK42" s="183"/>
      <c r="AL42" s="151">
        <f>AL12+AL24-AL30-AL36</f>
        <v>409.73900000000003</v>
      </c>
      <c r="AM42" s="140">
        <f>(AL42/AH42-1)*100</f>
        <v>3.3420935816468766</v>
      </c>
      <c r="AN42" s="149">
        <f>AN$12</f>
        <v>27.77399429838454</v>
      </c>
      <c r="AO42" s="132"/>
      <c r="AP42" s="151">
        <f>AP12+AP24-AP30-AP36</f>
        <v>483.85299999999995</v>
      </c>
      <c r="AQ42" s="140">
        <f>(AP42/AL42-1)*100</f>
        <v>18.088099985600572</v>
      </c>
      <c r="AR42" s="149">
        <f>AR$12</f>
        <v>15.298135144682767</v>
      </c>
      <c r="AS42" s="132"/>
      <c r="AT42" s="151">
        <f>AT12+AT24-AT30-AT36</f>
        <v>592.43899999999996</v>
      </c>
      <c r="AU42" s="140">
        <f>(AT42/AP42-1)*100</f>
        <v>22.441940010705743</v>
      </c>
      <c r="AV42" s="149">
        <f>AV$12</f>
        <v>-10.481785881303185</v>
      </c>
      <c r="AW42" s="132"/>
      <c r="AX42" s="151">
        <f>AX12+AX24-AX30-AX36</f>
        <v>643.98300000000006</v>
      </c>
      <c r="AY42" s="140">
        <f>(AX42/AT42-1)*100</f>
        <v>8.7003050103048771</v>
      </c>
      <c r="AZ42" s="149">
        <f>AZ$12</f>
        <v>9.8953986201264499</v>
      </c>
      <c r="BA42" s="132"/>
      <c r="BB42" s="151">
        <f>BB12+BB24-BB30-BB36</f>
        <v>740.25</v>
      </c>
      <c r="BC42" s="140">
        <f>(BB42/AX42-1)*100</f>
        <v>14.948686533650712</v>
      </c>
      <c r="BD42" s="149">
        <f>BD$12</f>
        <v>17.50935024984086</v>
      </c>
      <c r="BE42" s="132"/>
      <c r="BF42" s="151">
        <f>BF12+BF24-BF30-BF36</f>
        <v>969.44800000000009</v>
      </c>
      <c r="BG42" s="140">
        <f>(BF42/BB42-1)*100</f>
        <v>30.962242485646762</v>
      </c>
      <c r="BH42" s="149">
        <f>BH$12</f>
        <v>7.2139829769624075</v>
      </c>
      <c r="BI42" s="132"/>
      <c r="BJ42" s="151">
        <f>BJ12+BJ24-BJ30-BJ36</f>
        <v>1000.1420000000002</v>
      </c>
      <c r="BK42" s="140">
        <f>(BJ42/BF42-1)*100</f>
        <v>3.16613165430224</v>
      </c>
      <c r="BL42" s="149">
        <f>BL$12</f>
        <v>8.4468895288321466</v>
      </c>
      <c r="BM42" s="132"/>
      <c r="BN42" s="151">
        <f>BN12+BN24-BN30-BN36</f>
        <v>1115.7369999999999</v>
      </c>
      <c r="BO42" s="140">
        <f>(BN42/BJ42-1)*100</f>
        <v>11.557858784052621</v>
      </c>
      <c r="BP42" s="149">
        <f>BP$12</f>
        <v>6.3444676617910201</v>
      </c>
      <c r="BQ42" s="132"/>
      <c r="BR42" s="151">
        <f>BR12+BR24-BR30-BR36</f>
        <v>1204.913</v>
      </c>
      <c r="BS42" s="140">
        <f>(BR42/BN42-1)*100</f>
        <v>7.9925645559840941</v>
      </c>
      <c r="BT42" s="149">
        <f>BT$12</f>
        <v>17.95466254507987</v>
      </c>
      <c r="BU42" s="132"/>
      <c r="BV42" s="151">
        <f>BV12+BV24-BV30-BV36</f>
        <v>1430.8779999999999</v>
      </c>
      <c r="BW42" s="140">
        <f>(BV42/BR42-1)*100</f>
        <v>18.753636154643516</v>
      </c>
      <c r="BX42" s="149">
        <f>BX$12</f>
        <v>-1.7807413405853012</v>
      </c>
      <c r="BY42" s="132"/>
      <c r="BZ42" s="151">
        <f>BZ12+BZ24-BZ30-BZ36</f>
        <v>1376.797</v>
      </c>
      <c r="CA42" s="140">
        <f>(BZ42/BV42-1)*100</f>
        <v>-3.7795675102978654</v>
      </c>
      <c r="CB42" s="149">
        <f>CB$12</f>
        <v>-2.9116192108440853</v>
      </c>
      <c r="CC42" s="132"/>
      <c r="CD42" s="151">
        <f>CD12+CD24-CD30-CD36</f>
        <v>1482.4319999999998</v>
      </c>
      <c r="CE42" s="140">
        <f>(CD42/BZ42-1)*100</f>
        <v>7.6725181707978596</v>
      </c>
      <c r="CF42" s="149">
        <f>+$CF$12</f>
        <v>13.96110409018878</v>
      </c>
      <c r="CG42" s="132"/>
      <c r="CH42" s="151">
        <f>CH12+CH24-CH30-CH36</f>
        <v>1924.1310000000001</v>
      </c>
      <c r="CI42" s="140">
        <f>(CH42/CD42-1)*100</f>
        <v>29.795565665069311</v>
      </c>
      <c r="CJ42" s="149">
        <f>+$CF$12</f>
        <v>13.96110409018878</v>
      </c>
      <c r="CK42" s="132"/>
      <c r="CL42" s="151">
        <f>CL12+CL24-CL30-CL36</f>
        <v>2208.1849999999999</v>
      </c>
      <c r="CM42" s="140">
        <f>(CL42/CH42-1)*100</f>
        <v>14.762716259963572</v>
      </c>
      <c r="CN42" s="149">
        <f>CN$10</f>
        <v>7.6413435687460618</v>
      </c>
      <c r="CP42" s="151">
        <f>CP12+CP24-CP30-CP36</f>
        <v>2283.3419999999996</v>
      </c>
      <c r="CQ42" s="140">
        <f>(CP42/CL42-1)*100</f>
        <v>3.4035644658395814</v>
      </c>
      <c r="CR42" s="149">
        <f>CR$10</f>
        <v>9.316014990783362</v>
      </c>
      <c r="CT42" s="151">
        <f>CT12+CT24-CT30-CT36</f>
        <v>2407.3110000000001</v>
      </c>
      <c r="CU42" s="140">
        <f>(CT42/CP42-1)*100</f>
        <v>5.429278662591952</v>
      </c>
      <c r="CV42" s="149">
        <f>$CV36</f>
        <v>5.2783501082856787</v>
      </c>
      <c r="CX42" s="151">
        <f>CX12+CX24-CX30-CX36</f>
        <v>2123.7999999999997</v>
      </c>
      <c r="CY42" s="140">
        <f>(CX42/CT42-1)*100</f>
        <v>-11.777082396084282</v>
      </c>
      <c r="CZ42" s="149">
        <f>$CR36</f>
        <v>9.316014990783362</v>
      </c>
      <c r="DB42" s="151">
        <f>DB12+DB24-DB30-DB36</f>
        <v>2092.3000000000002</v>
      </c>
      <c r="DC42" s="140">
        <f>(DB42/CX42-1)*100</f>
        <v>-1.4831905075807339</v>
      </c>
      <c r="DD42" s="149">
        <f>$CR36</f>
        <v>9.316014990783362</v>
      </c>
      <c r="DF42" s="151">
        <f>DF12+DF24-DF30-DF36</f>
        <v>2049.6999999999998</v>
      </c>
      <c r="DG42" s="140">
        <f>(DF42/DB42-1)*100</f>
        <v>-2.0360368971944931</v>
      </c>
      <c r="DH42" s="149">
        <f>$CR36</f>
        <v>9.316014990783362</v>
      </c>
    </row>
    <row r="43" spans="1:112">
      <c r="A43" s="132" t="str">
        <f>$A$13</f>
        <v>4Q</v>
      </c>
      <c r="B43" s="132" t="str">
        <f>$B$13</f>
        <v>Jan</v>
      </c>
      <c r="C43" s="132"/>
      <c r="D43" s="151">
        <f>D13+D25-D31-D37</f>
        <v>0</v>
      </c>
      <c r="E43" s="151"/>
      <c r="F43" s="151">
        <f>F13+F25-F31-F37</f>
        <v>199.06</v>
      </c>
      <c r="G43" s="140"/>
      <c r="H43" s="149">
        <f>H$13</f>
        <v>0</v>
      </c>
      <c r="I43" s="183"/>
      <c r="J43" s="151">
        <f>J13+J25-J31-J37</f>
        <v>0</v>
      </c>
      <c r="K43" s="140">
        <f>(J43/F43-1)*100</f>
        <v>-100</v>
      </c>
      <c r="L43" s="149">
        <f>L$13</f>
        <v>2.2834635102128686</v>
      </c>
      <c r="M43" s="183"/>
      <c r="N43" s="151">
        <f>N13+N25-N31-N37</f>
        <v>266.56099999999998</v>
      </c>
      <c r="O43" s="140" t="e">
        <f>(N43/J43-1)*100</f>
        <v>#DIV/0!</v>
      </c>
      <c r="P43" s="149">
        <f>P$13</f>
        <v>36.479456278578496</v>
      </c>
      <c r="Q43" s="183"/>
      <c r="R43" s="151">
        <f>R13+R25-R31-R37</f>
        <v>253.715</v>
      </c>
      <c r="S43" s="140">
        <f>(R43/N43-1)*100</f>
        <v>-4.8191595919883206</v>
      </c>
      <c r="T43" s="149">
        <f>T$13</f>
        <v>15.016078870585513</v>
      </c>
      <c r="U43" s="183"/>
      <c r="V43" s="151">
        <f>V13+V25-V31-V37</f>
        <v>192.28100000000001</v>
      </c>
      <c r="W43" s="140" t="e">
        <f>(V43/D43-1)*100</f>
        <v>#DIV/0!</v>
      </c>
      <c r="X43" s="149">
        <f>X$13</f>
        <v>17.312225212725039</v>
      </c>
      <c r="Y43" s="183"/>
      <c r="Z43" s="151">
        <f>Z13+Z25-Z31-Z37</f>
        <v>220.91600000000003</v>
      </c>
      <c r="AA43" s="140">
        <f>(Z43/V43-1)*100</f>
        <v>14.892267046666085</v>
      </c>
      <c r="AB43" s="149">
        <f>AB$13</f>
        <v>16.714998218738874</v>
      </c>
      <c r="AC43" s="183"/>
      <c r="AD43" s="151">
        <f>AD13+AD25-AD31-AD37</f>
        <v>264.39399999999995</v>
      </c>
      <c r="AE43" s="140">
        <f>(AD43/Z43-1)*100</f>
        <v>19.680783646272747</v>
      </c>
      <c r="AF43" s="149">
        <f>AF$13</f>
        <v>12.232196545377395</v>
      </c>
      <c r="AG43" s="183"/>
      <c r="AH43" s="151">
        <f>AH13+AH25-AH31-AH37</f>
        <v>323.32300000000009</v>
      </c>
      <c r="AI43" s="140">
        <f>(AH43/AD43-1)*100</f>
        <v>22.288327269151399</v>
      </c>
      <c r="AJ43" s="149">
        <f>AJ$13</f>
        <v>22.789058293037144</v>
      </c>
      <c r="AK43" s="183"/>
      <c r="AL43" s="151">
        <f>AL13+AL25-AL31-AL37</f>
        <v>295.03900000000004</v>
      </c>
      <c r="AM43" s="140">
        <f>(AL43/AH43-1)*100</f>
        <v>-8.747908438310926</v>
      </c>
      <c r="AN43" s="149">
        <f>AN$13</f>
        <v>26.169466298107569</v>
      </c>
      <c r="AO43" s="132"/>
      <c r="AP43" s="151">
        <f>AP13+AP25-AP31-AP37</f>
        <v>434.57099999999997</v>
      </c>
      <c r="AQ43" s="140">
        <f>(AP43/AL43-1)*100</f>
        <v>47.292730791522452</v>
      </c>
      <c r="AR43" s="149">
        <f>AR$13</f>
        <v>1.1851344708939227</v>
      </c>
      <c r="AS43" s="132"/>
      <c r="AT43" s="151">
        <f>AT13+AT25-AT31-AT37</f>
        <v>457.20300000000003</v>
      </c>
      <c r="AU43" s="140">
        <f>(AT43/AP43-1)*100</f>
        <v>5.207894682341907</v>
      </c>
      <c r="AV43" s="149">
        <f>AV$13</f>
        <v>-1.8445811957508162</v>
      </c>
      <c r="AW43" s="132"/>
      <c r="AX43" s="151">
        <f>AX13+AX25-AX31-AX37</f>
        <v>553.77500000000009</v>
      </c>
      <c r="AY43" s="140">
        <f>(AX43/AT43-1)*100</f>
        <v>21.122346091342358</v>
      </c>
      <c r="AZ43" s="149">
        <f>AZ$13</f>
        <v>9.4128418637617894</v>
      </c>
      <c r="BA43" s="132"/>
      <c r="BB43" s="151">
        <f>BB13+BB25-BB31-BB37</f>
        <v>638.68600000000004</v>
      </c>
      <c r="BC43" s="140">
        <f>(BB43/AX43-1)*100</f>
        <v>15.333122658119258</v>
      </c>
      <c r="BD43" s="149">
        <f>BD$13</f>
        <v>18.186209336475969</v>
      </c>
      <c r="BE43" s="132"/>
      <c r="BF43" s="151">
        <f>BF13+BF25-BF31-BF37</f>
        <v>790.59899999999993</v>
      </c>
      <c r="BG43" s="140">
        <f>(BF43/BB43-1)*100</f>
        <v>23.785240321535127</v>
      </c>
      <c r="BH43" s="149">
        <f>BH$13</f>
        <v>10.734730476716404</v>
      </c>
      <c r="BI43" s="132"/>
      <c r="BJ43" s="151">
        <f>BJ13+BJ25-BJ31-BJ37</f>
        <v>843.45800000000008</v>
      </c>
      <c r="BK43" s="140">
        <f>(BJ43/BF43-1)*100</f>
        <v>6.6859431899104482</v>
      </c>
      <c r="BL43" s="149">
        <f>BL$13</f>
        <v>5.9650274896867472</v>
      </c>
      <c r="BM43" s="132"/>
      <c r="BN43" s="151">
        <f>BN13+BN25-BN31-BN37</f>
        <v>954.10699999999997</v>
      </c>
      <c r="BO43" s="140">
        <f>(BN43/BJ43-1)*100</f>
        <v>13.118495526748198</v>
      </c>
      <c r="BP43" s="149">
        <f>BP$13</f>
        <v>11.700328267590487</v>
      </c>
      <c r="BQ43" s="132"/>
      <c r="BR43" s="151">
        <f>BR13+BR25-BR31-BR37</f>
        <v>1006.4979999999998</v>
      </c>
      <c r="BS43" s="140">
        <f>(BR43/BN43-1)*100</f>
        <v>5.4911031991170756</v>
      </c>
      <c r="BT43" s="149">
        <f>BT$13</f>
        <v>9.8311897022276931</v>
      </c>
      <c r="BU43" s="132"/>
      <c r="BV43" s="151">
        <f>BV13+BV25-BV31-BV37</f>
        <v>1405.3120000000001</v>
      </c>
      <c r="BW43" s="140">
        <f>(BV43/BR43-1)*100</f>
        <v>39.623923743514688</v>
      </c>
      <c r="BX43" s="149">
        <f>BX$13</f>
        <v>-20.468363216500485</v>
      </c>
      <c r="BY43" s="132"/>
      <c r="BZ43" s="151">
        <f>BZ13+BZ25-BZ31-BZ37</f>
        <v>1135.442</v>
      </c>
      <c r="CA43" s="140">
        <f>(BZ43/BV43-1)*100</f>
        <v>-19.203564759996361</v>
      </c>
      <c r="CB43" s="149">
        <f>CB$13</f>
        <v>17.167168302504933</v>
      </c>
      <c r="CC43" s="132"/>
      <c r="CD43" s="151">
        <f>CD13+CD25-CD31-CD37</f>
        <v>1377.538</v>
      </c>
      <c r="CE43" s="140">
        <f>(CD43/BZ43-1)*100</f>
        <v>21.321740784645971</v>
      </c>
      <c r="CF43" s="149">
        <f>+$CF$13</f>
        <v>12.210408973449738</v>
      </c>
      <c r="CG43" s="132"/>
      <c r="CH43" s="151">
        <f>CH13+CH25-CH31-CH37</f>
        <v>1810.518</v>
      </c>
      <c r="CI43" s="140">
        <f>(CH43/CD43-1)*100</f>
        <v>31.431437826034568</v>
      </c>
      <c r="CJ43" s="149">
        <f>+$CF$12</f>
        <v>13.96110409018878</v>
      </c>
      <c r="CK43" s="132"/>
      <c r="CL43" s="151">
        <f>CL13+CL25-CL31-CL37</f>
        <v>2080.1949999999997</v>
      </c>
      <c r="CM43" s="140">
        <f>(CL43/CH43-1)*100</f>
        <v>14.895018994563959</v>
      </c>
      <c r="CN43" s="149">
        <f>CN$10</f>
        <v>7.6413435687460618</v>
      </c>
      <c r="CP43" s="151">
        <f>CP13+CP25-CP31-CP37</f>
        <v>2228.1639999999998</v>
      </c>
      <c r="CQ43" s="140">
        <f>(CP43/CL43-1)*100</f>
        <v>7.1132273657037004</v>
      </c>
      <c r="CR43" s="149">
        <f>$CR37</f>
        <v>5.0587933505372051</v>
      </c>
      <c r="CT43" s="151">
        <f>CT13+CT25-CT31-CT37</f>
        <v>2158.1</v>
      </c>
      <c r="CU43" s="140">
        <f>(CT43/CP43-1)*100</f>
        <v>-3.1444723099376848</v>
      </c>
      <c r="CV43" s="149">
        <f>$CV37</f>
        <v>-1.0030162891940586</v>
      </c>
      <c r="CX43" s="151">
        <f>CX13+CX25-CX31-CX37</f>
        <v>1991.3000000000002</v>
      </c>
      <c r="CY43" s="140">
        <f>(CX43/CT43-1)*100</f>
        <v>-7.7290208980121289</v>
      </c>
      <c r="CZ43" s="149">
        <f>$CR37</f>
        <v>5.0587933505372051</v>
      </c>
      <c r="DB43" s="151">
        <f>DB13+DB25-DB31-DB37</f>
        <v>1956.8999999999999</v>
      </c>
      <c r="DC43" s="140">
        <f>(DB43/CX43-1)*100</f>
        <v>-1.7275146888967141</v>
      </c>
      <c r="DD43" s="149">
        <f>$CR37</f>
        <v>5.0587933505372051</v>
      </c>
      <c r="DF43" s="151">
        <f>DF13+DF25-DF31-DF37</f>
        <v>1856.7</v>
      </c>
      <c r="DG43" s="140">
        <f>(DF43/DB43-1)*100</f>
        <v>-5.1203434002759396</v>
      </c>
      <c r="DH43" s="149">
        <f>$CR37</f>
        <v>5.0587933505372051</v>
      </c>
    </row>
    <row r="44" spans="1:112">
      <c r="A44" s="132"/>
      <c r="B44" s="132"/>
      <c r="C44" s="132"/>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2"/>
      <c r="AB44" s="132"/>
      <c r="AC44" s="132"/>
      <c r="AD44" s="132"/>
      <c r="AE44" s="132"/>
      <c r="AF44" s="132"/>
      <c r="AG44" s="132"/>
      <c r="AH44" s="132"/>
      <c r="AI44" s="132"/>
      <c r="AJ44" s="132"/>
      <c r="AK44" s="132"/>
      <c r="AL44" s="132"/>
      <c r="AM44" s="132"/>
      <c r="AN44" s="132"/>
      <c r="AO44" s="132"/>
      <c r="AP44" s="132"/>
      <c r="AQ44" s="132"/>
      <c r="AR44" s="132"/>
      <c r="AS44" s="132"/>
      <c r="AT44" s="132"/>
      <c r="AU44" s="132"/>
      <c r="AV44" s="132"/>
      <c r="AW44" s="132"/>
      <c r="AX44" s="132"/>
      <c r="AY44" s="132"/>
      <c r="AZ44" s="132"/>
      <c r="BA44" s="132"/>
      <c r="BB44" s="132"/>
      <c r="BC44" s="132"/>
      <c r="BD44" s="132"/>
      <c r="BE44" s="132"/>
      <c r="BF44" s="132"/>
      <c r="BG44" s="132"/>
      <c r="BH44" s="132"/>
      <c r="BI44" s="132"/>
      <c r="BJ44" s="132"/>
      <c r="BK44" s="132"/>
      <c r="BL44" s="132"/>
      <c r="BM44" s="132"/>
      <c r="BN44" s="132"/>
      <c r="BO44" s="132"/>
      <c r="BP44" s="132"/>
      <c r="BQ44" s="132"/>
      <c r="BR44" s="132"/>
      <c r="BS44" s="132"/>
      <c r="BT44" s="132"/>
      <c r="BU44" s="132"/>
      <c r="BV44" s="132"/>
      <c r="BW44" s="132"/>
      <c r="BX44" s="132"/>
      <c r="BY44" s="132"/>
      <c r="BZ44" s="132"/>
      <c r="CA44" s="132"/>
      <c r="CB44" s="132"/>
      <c r="CC44" s="132"/>
      <c r="CD44" s="132"/>
      <c r="CE44" s="132"/>
      <c r="CF44" s="132"/>
      <c r="CG44" s="132"/>
      <c r="CH44" s="132"/>
      <c r="CI44" s="132"/>
      <c r="CJ44" s="132"/>
      <c r="CK44" s="132"/>
      <c r="CL44" s="132"/>
      <c r="CM44" s="132"/>
      <c r="CN44" s="132"/>
    </row>
    <row r="45" spans="1:112">
      <c r="A45" s="222" t="s">
        <v>625</v>
      </c>
      <c r="B45" s="136"/>
      <c r="C45" s="132"/>
      <c r="D45" s="132"/>
      <c r="E45" s="132"/>
      <c r="F45" s="132"/>
      <c r="G45" s="132"/>
      <c r="H45" s="132"/>
      <c r="I45" s="132"/>
      <c r="J45" s="132"/>
      <c r="K45" s="132"/>
      <c r="L45" s="132"/>
      <c r="M45" s="132"/>
      <c r="N45" s="185"/>
      <c r="O45" s="132"/>
      <c r="P45" s="132"/>
      <c r="Q45" s="132"/>
      <c r="R45" s="132"/>
      <c r="S45" s="132"/>
      <c r="T45" s="132"/>
      <c r="U45" s="132"/>
      <c r="V45" s="132"/>
      <c r="W45" s="132"/>
      <c r="X45" s="132"/>
      <c r="Y45" s="132"/>
      <c r="Z45" s="132"/>
      <c r="AA45" s="132"/>
      <c r="AB45" s="132"/>
      <c r="AC45" s="132"/>
      <c r="AD45" s="185"/>
      <c r="AE45" s="132"/>
      <c r="AF45" s="132"/>
      <c r="AG45" s="132"/>
      <c r="AH45" s="132"/>
      <c r="AI45" s="132"/>
      <c r="AJ45" s="132"/>
      <c r="AK45" s="132"/>
      <c r="AL45" s="132"/>
      <c r="AM45" s="132"/>
      <c r="AN45" s="132"/>
      <c r="AO45" s="132"/>
      <c r="AP45" s="132"/>
      <c r="AQ45" s="132"/>
      <c r="AR45" s="132"/>
      <c r="AS45" s="132"/>
      <c r="AT45" s="132"/>
      <c r="AU45" s="132"/>
      <c r="AV45" s="132"/>
      <c r="AW45" s="132"/>
      <c r="AX45" s="132"/>
      <c r="AY45" s="132"/>
      <c r="AZ45" s="132"/>
      <c r="BA45" s="132"/>
      <c r="BB45" s="132"/>
      <c r="BC45" s="132"/>
      <c r="BD45" s="132"/>
      <c r="BE45" s="132"/>
      <c r="BF45" s="132"/>
      <c r="BG45" s="132"/>
      <c r="BH45" s="132"/>
      <c r="BI45" s="132"/>
      <c r="BJ45" s="132"/>
      <c r="BK45" s="132"/>
      <c r="BL45" s="132"/>
      <c r="BM45" s="132"/>
      <c r="BN45" s="132"/>
      <c r="BO45" s="132"/>
      <c r="BP45" s="132"/>
      <c r="BQ45" s="132"/>
      <c r="BR45" s="132"/>
      <c r="BS45" s="132"/>
      <c r="BT45" s="132"/>
      <c r="BU45" s="132"/>
      <c r="BV45" s="132"/>
      <c r="BW45" s="132"/>
      <c r="BX45" s="132"/>
      <c r="BY45" s="132"/>
      <c r="BZ45" s="132"/>
      <c r="CA45" s="132"/>
      <c r="CB45" s="132"/>
      <c r="CC45" s="132"/>
      <c r="CD45" s="132"/>
      <c r="CE45" s="132"/>
      <c r="CF45" s="132"/>
      <c r="CG45" s="132"/>
      <c r="CH45" s="132"/>
      <c r="CI45" s="132"/>
      <c r="CJ45" s="132"/>
      <c r="CK45" s="132"/>
      <c r="CL45" s="132"/>
      <c r="CM45" s="132"/>
      <c r="CN45" s="132"/>
    </row>
    <row r="46" spans="1:112">
      <c r="A46" s="132" t="str">
        <f>$A$10</f>
        <v>1Q</v>
      </c>
      <c r="B46" s="132" t="str">
        <f>$B$10</f>
        <v>Apr</v>
      </c>
      <c r="C46" s="132"/>
      <c r="D46" s="150"/>
      <c r="E46" s="132"/>
      <c r="F46" s="150">
        <f>F40-D40</f>
        <v>0</v>
      </c>
      <c r="G46" s="140"/>
      <c r="H46" s="149"/>
      <c r="I46" s="183"/>
      <c r="J46" s="150">
        <f>J40-F40</f>
        <v>0</v>
      </c>
      <c r="K46" s="140"/>
      <c r="L46" s="149"/>
      <c r="M46" s="183"/>
      <c r="N46" s="150">
        <f>N40-J40</f>
        <v>0</v>
      </c>
      <c r="O46" s="140"/>
      <c r="P46" s="149"/>
      <c r="Q46" s="183"/>
      <c r="R46" s="150">
        <f>R40-N40</f>
        <v>280.93200000000002</v>
      </c>
      <c r="S46" s="140"/>
      <c r="T46" s="149"/>
      <c r="U46" s="183"/>
      <c r="V46" s="150">
        <f>V40-R40</f>
        <v>-50.513000000000005</v>
      </c>
      <c r="W46" s="140"/>
      <c r="X46" s="149"/>
      <c r="Y46" s="183"/>
      <c r="Z46" s="150">
        <f>Z40-V40</f>
        <v>30.864000000000004</v>
      </c>
      <c r="AA46" s="140"/>
      <c r="AB46" s="149"/>
      <c r="AC46" s="183"/>
      <c r="AD46" s="150">
        <f>AD40-Z40</f>
        <v>-6.7750000000000057</v>
      </c>
      <c r="AE46" s="140"/>
      <c r="AF46" s="149"/>
      <c r="AG46" s="183"/>
      <c r="AH46" s="150">
        <f>AH40-AD40</f>
        <v>69.759999999999962</v>
      </c>
      <c r="AI46" s="140"/>
      <c r="AJ46" s="149"/>
      <c r="AK46" s="183"/>
      <c r="AL46" s="150">
        <f>AL40-AH40</f>
        <v>70.080000000000041</v>
      </c>
      <c r="AM46" s="140"/>
      <c r="AN46" s="149"/>
      <c r="AO46" s="132"/>
      <c r="AP46" s="150">
        <f>AP40-AL40</f>
        <v>-41.260999999999967</v>
      </c>
      <c r="AQ46" s="140"/>
      <c r="AR46" s="149"/>
      <c r="AS46" s="132"/>
      <c r="AT46" s="150">
        <f>AT40-AP40</f>
        <v>162.03299999999996</v>
      </c>
      <c r="AU46" s="140"/>
      <c r="AV46" s="149"/>
      <c r="AW46" s="132"/>
      <c r="AX46" s="150">
        <f>AX40-AT40</f>
        <v>7.88900000000001</v>
      </c>
      <c r="AY46" s="140"/>
      <c r="AZ46" s="149"/>
      <c r="BA46" s="132"/>
      <c r="BB46" s="150">
        <f>BB40-AX40</f>
        <v>95.651000000000067</v>
      </c>
      <c r="BC46" s="140"/>
      <c r="BD46" s="149"/>
      <c r="BE46" s="132"/>
      <c r="BF46" s="150">
        <f>BF40-BB40</f>
        <v>174.63199999999983</v>
      </c>
      <c r="BG46" s="140"/>
      <c r="BH46" s="149"/>
      <c r="BI46" s="132"/>
      <c r="BJ46" s="150">
        <f>BJ40-BF40</f>
        <v>126.08199999999999</v>
      </c>
      <c r="BK46" s="140"/>
      <c r="BL46" s="149"/>
      <c r="BM46" s="132"/>
      <c r="BN46" s="150">
        <f>BN40-BJ40</f>
        <v>45.267000000000166</v>
      </c>
      <c r="BO46" s="140"/>
      <c r="BP46" s="149"/>
      <c r="BQ46" s="132"/>
      <c r="BR46" s="150">
        <f>BR40-BN40</f>
        <v>256.80999999999995</v>
      </c>
      <c r="BS46" s="140"/>
      <c r="BT46" s="149"/>
      <c r="BU46" s="132"/>
      <c r="BV46" s="150">
        <f>BV40-BR40</f>
        <v>64.557999999999993</v>
      </c>
      <c r="BW46" s="140"/>
      <c r="BX46" s="149"/>
      <c r="BY46" s="132"/>
      <c r="BZ46" s="150">
        <f>BZ40-BV40</f>
        <v>147.94499999999994</v>
      </c>
      <c r="CA46" s="140"/>
      <c r="CB46" s="149"/>
      <c r="CC46" s="132"/>
      <c r="CD46" s="150">
        <f>CD40-BZ40</f>
        <v>-124.53099999999995</v>
      </c>
      <c r="CE46" s="140"/>
      <c r="CF46" s="149"/>
      <c r="CG46" s="132"/>
      <c r="CH46" s="150">
        <f>CH40-CD40</f>
        <v>284.63699999999994</v>
      </c>
      <c r="CI46" s="140"/>
      <c r="CJ46" s="149"/>
      <c r="CK46" s="132"/>
      <c r="CL46" s="150">
        <f>CL40-CH40</f>
        <v>456.5930000000003</v>
      </c>
      <c r="CM46" s="140"/>
      <c r="CN46" s="149"/>
      <c r="CP46" s="150">
        <f>CP40-CL40</f>
        <v>106.21299999999928</v>
      </c>
      <c r="CT46" s="150">
        <f>CT40-CP40</f>
        <v>166.12100000000009</v>
      </c>
      <c r="CX46" s="150">
        <f>CX40-CT40</f>
        <v>-68.186999999999443</v>
      </c>
      <c r="DB46" s="150">
        <f>DB40-CX40</f>
        <v>-81.000000000000455</v>
      </c>
      <c r="DF46" s="150">
        <f>DF40-DB40</f>
        <v>-89.099999999999909</v>
      </c>
    </row>
    <row r="47" spans="1:112">
      <c r="A47" s="132" t="str">
        <f>$A$11</f>
        <v>2Q</v>
      </c>
      <c r="B47" s="132" t="str">
        <f>$B$11</f>
        <v>Jul</v>
      </c>
      <c r="C47" s="132"/>
      <c r="D47" s="151"/>
      <c r="E47" s="151"/>
      <c r="F47" s="151">
        <f>F41-D41</f>
        <v>186.18399999999997</v>
      </c>
      <c r="G47" s="151"/>
      <c r="H47" s="151"/>
      <c r="I47" s="151"/>
      <c r="J47" s="151">
        <f>J41-F41</f>
        <v>43.990000000000038</v>
      </c>
      <c r="K47" s="151"/>
      <c r="L47" s="151"/>
      <c r="M47" s="151"/>
      <c r="N47" s="151">
        <f>N41-J41</f>
        <v>-230.17400000000001</v>
      </c>
      <c r="O47" s="151"/>
      <c r="P47" s="151"/>
      <c r="Q47" s="151"/>
      <c r="R47" s="151">
        <f>R41-N41</f>
        <v>299.46800000000002</v>
      </c>
      <c r="S47" s="151"/>
      <c r="T47" s="151"/>
      <c r="U47" s="151"/>
      <c r="V47" s="151">
        <f>V41-R41</f>
        <v>-80.233000000000004</v>
      </c>
      <c r="W47" s="151"/>
      <c r="X47" s="151"/>
      <c r="Y47" s="151"/>
      <c r="Z47" s="151">
        <f>Z41-V41</f>
        <v>70.754999999999939</v>
      </c>
      <c r="AA47" s="151"/>
      <c r="AB47" s="151"/>
      <c r="AC47" s="151"/>
      <c r="AD47" s="151">
        <f>AD41-Z41</f>
        <v>-1.1379999999999768</v>
      </c>
      <c r="AE47" s="151"/>
      <c r="AF47" s="151"/>
      <c r="AG47" s="151"/>
      <c r="AH47" s="151">
        <f>AH41-AD41</f>
        <v>50.633000000000095</v>
      </c>
      <c r="AI47" s="151"/>
      <c r="AJ47" s="151"/>
      <c r="AK47" s="151"/>
      <c r="AL47" s="151">
        <f>AL41-AH41</f>
        <v>63.810999999999922</v>
      </c>
      <c r="AM47" s="183"/>
      <c r="AN47" s="183"/>
      <c r="AO47" s="132"/>
      <c r="AP47" s="151">
        <f>AP41-AL41</f>
        <v>-8.4029999999999632</v>
      </c>
      <c r="AQ47" s="183"/>
      <c r="AR47" s="183"/>
      <c r="AS47" s="132"/>
      <c r="AT47" s="151">
        <f>AT41-AP41</f>
        <v>173.5569999999999</v>
      </c>
      <c r="AU47" s="183"/>
      <c r="AV47" s="183"/>
      <c r="AW47" s="132"/>
      <c r="AX47" s="151">
        <f>AX41-AT41</f>
        <v>22.40300000000002</v>
      </c>
      <c r="AY47" s="183"/>
      <c r="AZ47" s="183"/>
      <c r="BA47" s="132"/>
      <c r="BB47" s="151">
        <f>BB41-AX41</f>
        <v>65.591999999999985</v>
      </c>
      <c r="BC47" s="183"/>
      <c r="BD47" s="183"/>
      <c r="BE47" s="132"/>
      <c r="BF47" s="151">
        <f>BF41-BB41</f>
        <v>233.03499999999997</v>
      </c>
      <c r="BG47" s="183"/>
      <c r="BH47" s="183"/>
      <c r="BI47" s="132"/>
      <c r="BJ47" s="151">
        <f>BJ41-BF41</f>
        <v>50.643000000000256</v>
      </c>
      <c r="BK47" s="183"/>
      <c r="BL47" s="183"/>
      <c r="BM47" s="132"/>
      <c r="BN47" s="151">
        <f>BN41-BJ41</f>
        <v>100.79199999999958</v>
      </c>
      <c r="BO47" s="183"/>
      <c r="BP47" s="183"/>
      <c r="BQ47" s="132"/>
      <c r="BR47" s="151">
        <f>BR41-BN41</f>
        <v>199.90900000000033</v>
      </c>
      <c r="BS47" s="183"/>
      <c r="BT47" s="183"/>
      <c r="BU47" s="132"/>
      <c r="BV47" s="151">
        <f>BV41-BR41</f>
        <v>98.869000000000142</v>
      </c>
      <c r="BW47" s="183"/>
      <c r="BX47" s="183"/>
      <c r="BY47" s="132"/>
      <c r="BZ47" s="151">
        <f>BZ41-BV41</f>
        <v>72.088999999999714</v>
      </c>
      <c r="CA47" s="183"/>
      <c r="CB47" s="183"/>
      <c r="CC47" s="132"/>
      <c r="CD47" s="151">
        <f>CD41-BZ41</f>
        <v>-8.2719999999999345</v>
      </c>
      <c r="CE47" s="183"/>
      <c r="CF47" s="183"/>
      <c r="CG47" s="132"/>
      <c r="CH47" s="151">
        <f>CH41-CD41</f>
        <v>255.04999999999995</v>
      </c>
      <c r="CI47" s="183"/>
      <c r="CJ47" s="183"/>
      <c r="CK47" s="132"/>
      <c r="CL47" s="151">
        <f>CL41-CH41</f>
        <v>458.99000000000024</v>
      </c>
      <c r="CM47" s="183"/>
      <c r="CN47" s="183"/>
      <c r="CP47" s="151">
        <f>CP41-CL41</f>
        <v>89.494999999999891</v>
      </c>
      <c r="CT47" s="151">
        <f>CT41-CP41</f>
        <v>155.60399999999981</v>
      </c>
      <c r="CX47" s="150">
        <f>CX41-CT41</f>
        <v>-224.44899999999961</v>
      </c>
      <c r="DB47" s="150">
        <f>DB41-CX41</f>
        <v>6.3000000000001819</v>
      </c>
      <c r="DF47" s="150">
        <f>DF41-DB41</f>
        <v>-102.10000000000036</v>
      </c>
    </row>
    <row r="48" spans="1:112">
      <c r="A48" s="132" t="str">
        <f>$A$12</f>
        <v>3Q</v>
      </c>
      <c r="B48" s="132" t="str">
        <f>$B$12</f>
        <v>Oct</v>
      </c>
      <c r="C48" s="132"/>
      <c r="D48" s="151"/>
      <c r="E48" s="151"/>
      <c r="F48" s="151">
        <f>F42-D42</f>
        <v>0</v>
      </c>
      <c r="G48" s="151"/>
      <c r="H48" s="151"/>
      <c r="I48" s="151"/>
      <c r="J48" s="151">
        <f>J42-F42</f>
        <v>0</v>
      </c>
      <c r="K48" s="151"/>
      <c r="L48" s="151"/>
      <c r="M48" s="151"/>
      <c r="N48" s="151">
        <f>N42-J42</f>
        <v>0</v>
      </c>
      <c r="O48" s="151"/>
      <c r="P48" s="151"/>
      <c r="Q48" s="151"/>
      <c r="R48" s="151">
        <f>R42-N42</f>
        <v>300.91699999999997</v>
      </c>
      <c r="S48" s="151"/>
      <c r="T48" s="151"/>
      <c r="U48" s="151"/>
      <c r="V48" s="151">
        <f>V42-R42</f>
        <v>-83.017999999999972</v>
      </c>
      <c r="W48" s="151"/>
      <c r="X48" s="151"/>
      <c r="Y48" s="151"/>
      <c r="Z48" s="151">
        <f>Z42-V42</f>
        <v>67.156000000000006</v>
      </c>
      <c r="AA48" s="151"/>
      <c r="AB48" s="151"/>
      <c r="AC48" s="151"/>
      <c r="AD48" s="151">
        <f>AD42-Z42</f>
        <v>23.312000000000012</v>
      </c>
      <c r="AE48" s="151"/>
      <c r="AF48" s="151"/>
      <c r="AG48" s="151"/>
      <c r="AH48" s="151">
        <f>AH42-AD42</f>
        <v>88.120999999999924</v>
      </c>
      <c r="AI48" s="151"/>
      <c r="AJ48" s="151"/>
      <c r="AK48" s="151"/>
      <c r="AL48" s="151">
        <f>AL42-AH42</f>
        <v>13.25100000000009</v>
      </c>
      <c r="AM48" s="183"/>
      <c r="AN48" s="183"/>
      <c r="AO48" s="132"/>
      <c r="AP48" s="151">
        <f>AP42-AL42</f>
        <v>74.113999999999919</v>
      </c>
      <c r="AQ48" s="183"/>
      <c r="AR48" s="183"/>
      <c r="AS48" s="132"/>
      <c r="AT48" s="151">
        <f>AT42-AP42</f>
        <v>108.58600000000001</v>
      </c>
      <c r="AU48" s="183"/>
      <c r="AV48" s="183"/>
      <c r="AW48" s="132"/>
      <c r="AX48" s="151">
        <f>AX42-AT42</f>
        <v>51.544000000000096</v>
      </c>
      <c r="AY48" s="183"/>
      <c r="AZ48" s="183"/>
      <c r="BA48" s="132"/>
      <c r="BB48" s="151">
        <f>BB42-AX42</f>
        <v>96.266999999999939</v>
      </c>
      <c r="BC48" s="183"/>
      <c r="BD48" s="183"/>
      <c r="BE48" s="132"/>
      <c r="BF48" s="151">
        <f>BF42-BB42</f>
        <v>229.19800000000009</v>
      </c>
      <c r="BG48" s="183"/>
      <c r="BH48" s="183"/>
      <c r="BI48" s="132"/>
      <c r="BJ48" s="151">
        <f>BJ42-BF42</f>
        <v>30.694000000000074</v>
      </c>
      <c r="BK48" s="183"/>
      <c r="BL48" s="183"/>
      <c r="BM48" s="132"/>
      <c r="BN48" s="151">
        <f>BN42-BJ42</f>
        <v>115.59499999999969</v>
      </c>
      <c r="BO48" s="183"/>
      <c r="BP48" s="183"/>
      <c r="BQ48" s="132"/>
      <c r="BR48" s="151">
        <f>BR42-BN42</f>
        <v>89.176000000000158</v>
      </c>
      <c r="BS48" s="183"/>
      <c r="BT48" s="183"/>
      <c r="BU48" s="132"/>
      <c r="BV48" s="151">
        <f>BV42-BR42</f>
        <v>225.96499999999992</v>
      </c>
      <c r="BW48" s="183"/>
      <c r="BX48" s="183"/>
      <c r="BY48" s="132"/>
      <c r="BZ48" s="151">
        <f>BZ42-BV42</f>
        <v>-54.080999999999904</v>
      </c>
      <c r="CA48" s="183"/>
      <c r="CB48" s="183"/>
      <c r="CC48" s="132"/>
      <c r="CD48" s="151">
        <f>CD42-BZ42</f>
        <v>105.63499999999976</v>
      </c>
      <c r="CE48" s="183"/>
      <c r="CF48" s="183"/>
      <c r="CG48" s="132"/>
      <c r="CH48" s="151">
        <f>CH42-CD42</f>
        <v>441.6990000000003</v>
      </c>
      <c r="CI48" s="183"/>
      <c r="CJ48" s="183"/>
      <c r="CK48" s="132"/>
      <c r="CL48" s="151">
        <f>CL42-CH42</f>
        <v>284.05399999999986</v>
      </c>
      <c r="CM48" s="183"/>
      <c r="CN48" s="183"/>
      <c r="CP48" s="151">
        <f>CP42-CL42</f>
        <v>75.156999999999698</v>
      </c>
      <c r="CT48" s="151">
        <f>CT42-CP42</f>
        <v>123.96900000000051</v>
      </c>
      <c r="CX48" s="150">
        <f>CX42-CT42</f>
        <v>-283.51100000000042</v>
      </c>
      <c r="DB48" s="150">
        <f>DB42-CX42</f>
        <v>-31.499999999999545</v>
      </c>
      <c r="DF48" s="150">
        <f>DF42-DB42</f>
        <v>-42.600000000000364</v>
      </c>
    </row>
    <row r="49" spans="1:110">
      <c r="A49" s="132" t="str">
        <f>$A$13</f>
        <v>4Q</v>
      </c>
      <c r="B49" s="132" t="str">
        <f>$B$13</f>
        <v>Jan</v>
      </c>
      <c r="C49" s="132"/>
      <c r="D49" s="151"/>
      <c r="E49" s="151"/>
      <c r="F49" s="151">
        <f>F43-D43</f>
        <v>199.06</v>
      </c>
      <c r="G49" s="151"/>
      <c r="H49" s="151"/>
      <c r="I49" s="151"/>
      <c r="J49" s="151">
        <f>J43-F43</f>
        <v>-199.06</v>
      </c>
      <c r="K49" s="151"/>
      <c r="L49" s="151"/>
      <c r="M49" s="151"/>
      <c r="N49" s="151">
        <f>N43-J43</f>
        <v>266.56099999999998</v>
      </c>
      <c r="O49" s="151"/>
      <c r="P49" s="151"/>
      <c r="Q49" s="151"/>
      <c r="R49" s="151">
        <f>R43-N43</f>
        <v>-12.845999999999975</v>
      </c>
      <c r="S49" s="151"/>
      <c r="T49" s="151"/>
      <c r="U49" s="151"/>
      <c r="V49" s="151">
        <f>V43-R43</f>
        <v>-61.433999999999997</v>
      </c>
      <c r="W49" s="151"/>
      <c r="X49" s="151"/>
      <c r="Y49" s="151"/>
      <c r="Z49" s="151">
        <f>Z43-V43</f>
        <v>28.635000000000019</v>
      </c>
      <c r="AA49" s="151"/>
      <c r="AB49" s="151"/>
      <c r="AC49" s="151"/>
      <c r="AD49" s="151">
        <f>AD43-Z43</f>
        <v>43.477999999999923</v>
      </c>
      <c r="AE49" s="151"/>
      <c r="AF49" s="151"/>
      <c r="AG49" s="151"/>
      <c r="AH49" s="151">
        <f>AH43-AD43</f>
        <v>58.929000000000144</v>
      </c>
      <c r="AI49" s="151"/>
      <c r="AJ49" s="151"/>
      <c r="AK49" s="151"/>
      <c r="AL49" s="151">
        <f>AL43-AH43</f>
        <v>-28.284000000000049</v>
      </c>
      <c r="AM49" s="183"/>
      <c r="AN49" s="183"/>
      <c r="AO49" s="132"/>
      <c r="AP49" s="151">
        <f>AP43-AL43</f>
        <v>139.53199999999993</v>
      </c>
      <c r="AQ49" s="183"/>
      <c r="AR49" s="183"/>
      <c r="AS49" s="132"/>
      <c r="AT49" s="151">
        <f>AT43-AP43</f>
        <v>22.632000000000062</v>
      </c>
      <c r="AU49" s="183"/>
      <c r="AV49" s="183"/>
      <c r="AW49" s="132"/>
      <c r="AX49" s="151">
        <f>AX43-AT43</f>
        <v>96.57200000000006</v>
      </c>
      <c r="AY49" s="183"/>
      <c r="AZ49" s="183"/>
      <c r="BA49" s="132"/>
      <c r="BB49" s="151">
        <f>BB43-AX43</f>
        <v>84.910999999999945</v>
      </c>
      <c r="BC49" s="183"/>
      <c r="BD49" s="183"/>
      <c r="BE49" s="132"/>
      <c r="BF49" s="151">
        <f>BF43-BB43</f>
        <v>151.9129999999999</v>
      </c>
      <c r="BG49" s="183"/>
      <c r="BH49" s="183"/>
      <c r="BI49" s="132"/>
      <c r="BJ49" s="151">
        <f>BJ43-BF43</f>
        <v>52.859000000000151</v>
      </c>
      <c r="BK49" s="183"/>
      <c r="BL49" s="183"/>
      <c r="BM49" s="132"/>
      <c r="BN49" s="151">
        <f>BN43-BJ43</f>
        <v>110.64899999999989</v>
      </c>
      <c r="BO49" s="183"/>
      <c r="BP49" s="183"/>
      <c r="BQ49" s="132"/>
      <c r="BR49" s="151">
        <f>BR43-BN43</f>
        <v>52.390999999999849</v>
      </c>
      <c r="BS49" s="183"/>
      <c r="BT49" s="183"/>
      <c r="BU49" s="132"/>
      <c r="BV49" s="151">
        <f>BV43-BR43</f>
        <v>398.81400000000031</v>
      </c>
      <c r="BW49" s="183"/>
      <c r="BX49" s="183"/>
      <c r="BY49" s="132"/>
      <c r="BZ49" s="151">
        <f>BZ43-BV43</f>
        <v>-269.87000000000012</v>
      </c>
      <c r="CA49" s="183"/>
      <c r="CB49" s="183"/>
      <c r="CC49" s="132"/>
      <c r="CD49" s="151">
        <f>CD43-BZ43</f>
        <v>242.096</v>
      </c>
      <c r="CE49" s="183"/>
      <c r="CF49" s="183"/>
      <c r="CG49" s="132"/>
      <c r="CH49" s="151">
        <f>CH43-CD43</f>
        <v>432.98</v>
      </c>
      <c r="CI49" s="183"/>
      <c r="CJ49" s="183"/>
      <c r="CK49" s="132"/>
      <c r="CL49" s="151">
        <f>CL43-CH43</f>
        <v>269.67699999999968</v>
      </c>
      <c r="CM49" s="183"/>
      <c r="CN49" s="183"/>
      <c r="CP49" s="151">
        <f>CP43-CL43</f>
        <v>147.96900000000005</v>
      </c>
      <c r="CT49" s="151">
        <f>CT43-CP43</f>
        <v>-70.063999999999851</v>
      </c>
      <c r="CX49" s="150">
        <f>CX43-CT43</f>
        <v>-166.79999999999973</v>
      </c>
      <c r="DB49" s="150">
        <f>DB43-CX43</f>
        <v>-34.400000000000318</v>
      </c>
      <c r="DF49" s="150">
        <f>DF43-DB43</f>
        <v>-100.19999999999982</v>
      </c>
    </row>
    <row r="50" spans="1:110">
      <c r="A50" s="132"/>
      <c r="B50" s="132"/>
      <c r="C50" s="132"/>
      <c r="D50" s="132"/>
      <c r="E50" s="132"/>
      <c r="F50" s="132"/>
      <c r="G50" s="132"/>
      <c r="H50" s="132"/>
      <c r="I50" s="132"/>
      <c r="J50" s="132"/>
      <c r="K50" s="132"/>
      <c r="L50" s="132"/>
      <c r="M50" s="132"/>
      <c r="N50" s="132"/>
      <c r="O50" s="132"/>
      <c r="P50" s="132"/>
      <c r="Q50" s="132"/>
      <c r="R50" s="132"/>
      <c r="S50" s="132"/>
      <c r="T50" s="132"/>
      <c r="U50" s="132"/>
      <c r="V50" s="132"/>
      <c r="W50" s="132"/>
      <c r="X50" s="132"/>
      <c r="Y50" s="132"/>
      <c r="Z50" s="132"/>
      <c r="AA50" s="132"/>
      <c r="AB50" s="132"/>
      <c r="AC50" s="132"/>
      <c r="AD50" s="132"/>
      <c r="AE50" s="132"/>
      <c r="AF50" s="132"/>
      <c r="AG50" s="132"/>
      <c r="AH50" s="132"/>
      <c r="AI50" s="132"/>
      <c r="AJ50" s="132"/>
      <c r="AK50" s="132"/>
      <c r="AL50" s="132"/>
      <c r="AM50" s="132"/>
      <c r="AN50" s="132"/>
      <c r="AO50" s="132"/>
      <c r="AP50" s="132"/>
      <c r="AQ50" s="132"/>
      <c r="AR50" s="132"/>
      <c r="AS50" s="132"/>
      <c r="AT50" s="132"/>
      <c r="AU50" s="132"/>
      <c r="AV50" s="132"/>
      <c r="AW50" s="132"/>
      <c r="AX50" s="132"/>
      <c r="AY50" s="132"/>
      <c r="AZ50" s="132"/>
      <c r="BA50" s="132"/>
      <c r="BB50" s="132"/>
      <c r="BC50" s="132"/>
      <c r="BD50" s="132"/>
      <c r="BE50" s="132"/>
      <c r="BF50" s="132"/>
      <c r="BG50" s="132"/>
      <c r="BH50" s="132"/>
      <c r="BI50" s="132"/>
      <c r="BJ50" s="132"/>
      <c r="BK50" s="132"/>
      <c r="BL50" s="132"/>
      <c r="BM50" s="132"/>
      <c r="BN50" s="132"/>
      <c r="BO50" s="132"/>
      <c r="BP50" s="132"/>
      <c r="BQ50" s="132"/>
      <c r="BR50" s="132"/>
      <c r="BS50" s="132"/>
      <c r="BT50" s="132"/>
      <c r="BU50" s="132"/>
      <c r="BV50" s="132"/>
      <c r="BW50" s="132"/>
      <c r="BX50" s="132"/>
      <c r="BY50" s="132"/>
      <c r="BZ50" s="132"/>
      <c r="CA50" s="132"/>
      <c r="CB50" s="132"/>
      <c r="CC50" s="132"/>
      <c r="CD50" s="132"/>
      <c r="CE50" s="132"/>
      <c r="CF50" s="132"/>
      <c r="CG50" s="132"/>
      <c r="CH50" s="132"/>
      <c r="CI50" s="132"/>
      <c r="CJ50" s="132"/>
      <c r="CK50" s="132"/>
      <c r="CL50" s="132"/>
      <c r="CM50" s="132"/>
      <c r="CN50" s="132"/>
    </row>
    <row r="51" spans="1:110">
      <c r="A51" s="132"/>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row>
    <row r="52" spans="1:110">
      <c r="A52" s="132"/>
      <c r="B52" s="132"/>
      <c r="C52" s="132"/>
      <c r="D52" s="132"/>
      <c r="E52" s="132"/>
      <c r="F52" s="132"/>
      <c r="G52" s="132"/>
      <c r="H52" s="132"/>
      <c r="I52" s="132"/>
      <c r="J52" s="132"/>
      <c r="K52" s="132"/>
      <c r="L52" s="132"/>
      <c r="M52" s="132"/>
      <c r="N52" s="132"/>
      <c r="O52" s="132"/>
      <c r="P52" s="132"/>
      <c r="Q52" s="132"/>
      <c r="R52" s="132"/>
      <c r="S52" s="132"/>
      <c r="T52" s="132"/>
      <c r="U52" s="132"/>
      <c r="V52" s="132"/>
      <c r="W52" s="132"/>
      <c r="X52" s="132"/>
      <c r="Y52" s="132"/>
      <c r="Z52" s="132"/>
      <c r="AA52" s="132"/>
      <c r="AB52" s="132"/>
      <c r="AC52" s="132"/>
      <c r="AD52" s="132"/>
      <c r="AE52" s="132"/>
      <c r="AF52" s="132"/>
      <c r="AG52" s="132"/>
      <c r="AH52" s="132"/>
      <c r="AI52" s="132"/>
      <c r="AJ52" s="132"/>
      <c r="AK52" s="132"/>
      <c r="AL52" s="132"/>
      <c r="AM52" s="132"/>
      <c r="AN52" s="132"/>
      <c r="AO52" s="132"/>
      <c r="AP52" s="132"/>
      <c r="AQ52" s="132"/>
      <c r="AR52" s="132"/>
      <c r="AS52" s="132"/>
      <c r="AT52" s="132"/>
      <c r="AU52" s="132"/>
      <c r="AV52" s="132"/>
      <c r="AW52" s="132"/>
      <c r="AX52" s="132"/>
      <c r="AY52" s="132"/>
      <c r="AZ52" s="132"/>
      <c r="BA52" s="132"/>
      <c r="BB52" s="132"/>
      <c r="BC52" s="132"/>
      <c r="BD52" s="132"/>
      <c r="BE52" s="132"/>
      <c r="BF52" s="132"/>
      <c r="BG52" s="132"/>
      <c r="BH52" s="132"/>
      <c r="BI52" s="132"/>
      <c r="BJ52" s="132"/>
      <c r="BK52" s="132"/>
      <c r="BL52" s="132"/>
      <c r="BM52" s="132"/>
      <c r="BN52" s="132"/>
      <c r="BO52" s="132"/>
      <c r="BP52" s="132"/>
      <c r="BQ52" s="132"/>
      <c r="BR52" s="132"/>
      <c r="BS52" s="132"/>
      <c r="BT52" s="132"/>
      <c r="BU52" s="132"/>
      <c r="BV52" s="132"/>
      <c r="BW52" s="132"/>
      <c r="BX52" s="132"/>
      <c r="BY52" s="132"/>
      <c r="BZ52" s="132"/>
      <c r="CA52" s="132"/>
      <c r="CB52" s="132"/>
      <c r="CC52" s="132"/>
      <c r="CD52" s="132"/>
      <c r="CE52" s="132"/>
      <c r="CF52" s="132"/>
      <c r="CG52" s="132"/>
      <c r="CH52" s="132"/>
      <c r="CI52" s="132"/>
      <c r="CJ52" s="132"/>
      <c r="CK52" s="132"/>
      <c r="CL52" s="132"/>
      <c r="CM52" s="132"/>
      <c r="CN52" s="132"/>
    </row>
    <row r="53" spans="1:110">
      <c r="A53" s="132"/>
      <c r="B53" s="132"/>
      <c r="C53" s="132"/>
      <c r="D53" s="132"/>
      <c r="E53" s="132"/>
      <c r="F53" s="132"/>
      <c r="G53" s="132"/>
      <c r="H53" s="132"/>
      <c r="I53" s="132"/>
      <c r="J53" s="132"/>
      <c r="K53" s="132"/>
      <c r="L53" s="132"/>
      <c r="M53" s="132"/>
      <c r="N53" s="132"/>
      <c r="O53" s="132"/>
      <c r="P53" s="132"/>
      <c r="Q53" s="132"/>
      <c r="R53" s="132"/>
      <c r="S53" s="132"/>
      <c r="T53" s="132"/>
      <c r="U53" s="132"/>
      <c r="V53" s="132"/>
      <c r="W53" s="132"/>
      <c r="X53" s="132"/>
      <c r="Y53" s="132"/>
      <c r="Z53" s="132"/>
      <c r="AA53" s="132"/>
      <c r="AB53" s="132"/>
      <c r="AC53" s="132"/>
      <c r="AD53" s="132"/>
      <c r="AE53" s="132"/>
      <c r="AF53" s="132"/>
      <c r="AG53" s="132"/>
      <c r="AH53" s="132"/>
      <c r="AI53" s="132"/>
      <c r="AJ53" s="132"/>
      <c r="AK53" s="132"/>
      <c r="AL53" s="132"/>
      <c r="AM53" s="132"/>
      <c r="AN53" s="132"/>
      <c r="AO53" s="132"/>
      <c r="AP53" s="132"/>
      <c r="AQ53" s="132"/>
      <c r="AR53" s="132"/>
      <c r="AS53" s="132"/>
      <c r="AT53" s="132"/>
      <c r="AU53" s="132"/>
      <c r="AV53" s="132"/>
      <c r="AW53" s="132"/>
      <c r="AX53" s="132"/>
      <c r="AY53" s="132"/>
      <c r="AZ53" s="132"/>
      <c r="BA53" s="132"/>
      <c r="BB53" s="132"/>
      <c r="BC53" s="132"/>
      <c r="BD53" s="132"/>
      <c r="BE53" s="132"/>
      <c r="BF53" s="132"/>
      <c r="BG53" s="132"/>
      <c r="BH53" s="132"/>
      <c r="BI53" s="132"/>
      <c r="BJ53" s="132"/>
      <c r="BK53" s="132"/>
      <c r="BL53" s="132"/>
      <c r="BM53" s="132"/>
      <c r="BN53" s="132"/>
      <c r="BO53" s="132"/>
      <c r="BP53" s="132"/>
      <c r="BQ53" s="132"/>
      <c r="BR53" s="132"/>
      <c r="BS53" s="132"/>
      <c r="BT53" s="132"/>
      <c r="BU53" s="132"/>
      <c r="BV53" s="132"/>
      <c r="BW53" s="132"/>
      <c r="BX53" s="132"/>
      <c r="BY53" s="132"/>
      <c r="BZ53" s="132"/>
      <c r="CA53" s="132"/>
      <c r="CB53" s="132"/>
      <c r="CC53" s="132"/>
      <c r="CD53" s="132"/>
      <c r="CE53" s="132"/>
      <c r="CF53" s="132"/>
      <c r="CG53" s="132"/>
      <c r="CH53" s="132"/>
      <c r="CI53" s="132"/>
      <c r="CJ53" s="132"/>
      <c r="CK53" s="132"/>
      <c r="CL53" s="132"/>
      <c r="CM53" s="132"/>
      <c r="CN53" s="132"/>
    </row>
    <row r="54" spans="1:110">
      <c r="A54" s="132" t="s">
        <v>450</v>
      </c>
      <c r="B54" s="132"/>
      <c r="C54" s="132"/>
      <c r="D54" s="132"/>
      <c r="E54" s="132"/>
      <c r="F54" s="132"/>
      <c r="G54" s="132"/>
      <c r="H54" s="132"/>
      <c r="I54" s="132"/>
      <c r="J54" s="132"/>
      <c r="K54" s="132"/>
      <c r="L54" s="132"/>
      <c r="M54" s="132"/>
      <c r="N54" s="132"/>
      <c r="O54" s="132"/>
      <c r="P54" s="132"/>
      <c r="Q54" s="132"/>
      <c r="R54" s="132"/>
      <c r="S54" s="132"/>
      <c r="T54" s="132"/>
      <c r="U54" s="132"/>
      <c r="V54" s="132"/>
      <c r="W54" s="132"/>
      <c r="X54" s="132"/>
      <c r="Y54" s="132"/>
      <c r="Z54" s="132"/>
      <c r="AA54" s="132"/>
      <c r="AB54" s="132"/>
      <c r="AC54" s="132"/>
      <c r="AD54" s="132"/>
      <c r="AE54" s="132"/>
      <c r="AF54" s="132"/>
      <c r="AG54" s="132"/>
      <c r="AH54" s="132"/>
      <c r="AI54" s="132"/>
      <c r="AJ54" s="132"/>
      <c r="AK54" s="132"/>
      <c r="AL54" s="132"/>
      <c r="AM54" s="132"/>
      <c r="AN54" s="132"/>
      <c r="AO54" s="132"/>
      <c r="AP54" s="132"/>
      <c r="AQ54" s="132"/>
      <c r="AR54" s="132"/>
      <c r="AS54" s="132"/>
      <c r="AT54" s="132"/>
      <c r="AU54" s="132"/>
      <c r="AV54" s="132"/>
      <c r="AW54" s="132"/>
      <c r="AX54" s="132"/>
      <c r="AY54" s="132"/>
      <c r="AZ54" s="132"/>
      <c r="BA54" s="132"/>
      <c r="BB54" s="132"/>
      <c r="BC54" s="132"/>
      <c r="BD54" s="132"/>
      <c r="BE54" s="132"/>
      <c r="BF54" s="132"/>
      <c r="BG54" s="132"/>
      <c r="BH54" s="132"/>
      <c r="BI54" s="132"/>
      <c r="BJ54" s="132"/>
      <c r="BK54" s="132"/>
      <c r="BL54" s="132"/>
      <c r="BM54" s="132"/>
      <c r="BN54" s="132"/>
      <c r="BO54" s="132"/>
      <c r="BP54" s="132"/>
      <c r="BQ54" s="132"/>
      <c r="BR54" s="132"/>
      <c r="BS54" s="132"/>
      <c r="BT54" s="132"/>
      <c r="BU54" s="132"/>
      <c r="BV54" s="132"/>
      <c r="BW54" s="132"/>
      <c r="BX54" s="132"/>
      <c r="BY54" s="132"/>
      <c r="BZ54" s="132"/>
      <c r="CA54" s="132"/>
      <c r="CB54" s="132"/>
      <c r="CC54" s="132"/>
      <c r="CD54" s="132"/>
      <c r="CE54" s="132"/>
      <c r="CF54" s="132"/>
      <c r="CG54" s="132"/>
      <c r="CH54" s="132"/>
      <c r="CI54" s="132"/>
      <c r="CJ54" s="132"/>
      <c r="CK54" s="132"/>
      <c r="CL54" s="132"/>
      <c r="CM54" s="132"/>
      <c r="CN54" s="132"/>
    </row>
  </sheetData>
  <phoneticPr fontId="0" type="noConversion"/>
  <pageMargins left="0.45" right="0.2" top="0.75" bottom="0.25" header="0.5" footer="0.5"/>
  <pageSetup scale="83" orientation="landscape" r:id="rId1"/>
  <headerFooter alignWithMargins="0">
    <oddFooter>&amp;R&amp;8&amp;D/&amp;T
&amp;F/&amp;A</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AJ216"/>
  <sheetViews>
    <sheetView showGridLines="0" zoomScale="90" zoomScaleNormal="90" workbookViewId="0">
      <pane xSplit="3" ySplit="8" topLeftCell="D176" activePane="bottomRight" state="frozen"/>
      <selection activeCell="C39" sqref="C39"/>
      <selection pane="topRight" activeCell="C39" sqref="C39"/>
      <selection pane="bottomLeft" activeCell="C39" sqref="C39"/>
      <selection pane="bottomRight" activeCell="N206" sqref="N206"/>
    </sheetView>
  </sheetViews>
  <sheetFormatPr defaultRowHeight="12.75" outlineLevelRow="2"/>
  <cols>
    <col min="1" max="1" width="2.85546875" customWidth="1"/>
    <col min="2" max="2" width="6.140625" customWidth="1"/>
    <col min="3" max="3" width="1.7109375" customWidth="1"/>
    <col min="4" max="4" width="8.5703125" customWidth="1"/>
    <col min="5" max="5" width="1.7109375" customWidth="1"/>
    <col min="6" max="6" width="8.5703125" customWidth="1"/>
    <col min="7" max="7" width="1.7109375" customWidth="1"/>
    <col min="8" max="8" width="7.42578125" customWidth="1"/>
    <col min="9" max="9" width="1.7109375" customWidth="1"/>
    <col min="10" max="10" width="7.42578125" customWidth="1"/>
    <col min="11" max="11" width="1.7109375" customWidth="1"/>
    <col min="12" max="12" width="7.85546875" customWidth="1"/>
    <col min="13" max="13" width="1.7109375" customWidth="1"/>
    <col min="14" max="14" width="7.7109375" customWidth="1"/>
    <col min="15" max="15" width="1.7109375" customWidth="1"/>
    <col min="16" max="16" width="7.7109375" customWidth="1"/>
    <col min="17" max="17" width="1.7109375" customWidth="1"/>
    <col min="18" max="18" width="8.85546875" customWidth="1"/>
    <col min="19" max="19" width="1.7109375" customWidth="1"/>
    <col min="20" max="20" width="8.85546875" customWidth="1"/>
    <col min="21" max="21" width="1.7109375" customWidth="1"/>
    <col min="22" max="22" width="8.140625" customWidth="1"/>
    <col min="23" max="23" width="1.7109375" customWidth="1"/>
    <col min="24" max="24" width="8.140625" customWidth="1"/>
    <col min="25" max="25" width="1.7109375" customWidth="1"/>
    <col min="26" max="26" width="8.140625" customWidth="1"/>
    <col min="27" max="27" width="1.7109375" customWidth="1"/>
    <col min="28" max="28" width="8.140625" customWidth="1"/>
    <col min="29" max="29" width="1.7109375" customWidth="1"/>
    <col min="30" max="30" width="8.140625" customWidth="1"/>
    <col min="31" max="31" width="1.7109375" customWidth="1"/>
    <col min="32" max="32" width="8.140625" customWidth="1"/>
    <col min="33" max="33" width="1.7109375" customWidth="1"/>
  </cols>
  <sheetData>
    <row r="1" spans="1:36">
      <c r="A1" s="133" t="str">
        <f>'qtrP&amp;L'!A1</f>
        <v>Tiffany and Co.</v>
      </c>
      <c r="B1" s="343"/>
      <c r="C1" s="339"/>
      <c r="D1" s="339"/>
      <c r="E1" s="344"/>
      <c r="F1" s="339"/>
      <c r="G1" s="339"/>
      <c r="H1" s="339"/>
      <c r="I1" s="344"/>
      <c r="J1" s="345"/>
      <c r="K1" s="345"/>
      <c r="L1" s="345"/>
      <c r="M1" s="346"/>
      <c r="N1" s="345"/>
      <c r="O1" s="346"/>
      <c r="P1" s="345"/>
      <c r="Q1" s="345"/>
      <c r="R1" s="346"/>
      <c r="S1" s="345"/>
      <c r="T1" s="345"/>
      <c r="U1" s="346"/>
      <c r="V1" s="346"/>
      <c r="W1" s="345"/>
      <c r="X1" s="345"/>
      <c r="Y1" s="345"/>
      <c r="Z1" s="345"/>
      <c r="AA1" s="345"/>
      <c r="AB1" s="346"/>
      <c r="AC1" s="345"/>
      <c r="AD1" s="345"/>
      <c r="AE1" s="345"/>
      <c r="AF1" s="345"/>
      <c r="AG1" s="345"/>
      <c r="AH1" s="345"/>
      <c r="AI1" s="345"/>
      <c r="AJ1" s="345"/>
    </row>
    <row r="2" spans="1:36">
      <c r="A2" s="135" t="s">
        <v>152</v>
      </c>
      <c r="B2" s="348"/>
      <c r="C2" s="347"/>
      <c r="D2" s="347"/>
      <c r="E2" s="349"/>
      <c r="F2" s="347"/>
      <c r="G2" s="347"/>
      <c r="H2" s="347"/>
      <c r="I2" s="349"/>
      <c r="J2" s="347"/>
      <c r="K2" s="347"/>
      <c r="L2" s="347"/>
      <c r="M2" s="349"/>
      <c r="N2" s="347"/>
      <c r="O2" s="349"/>
      <c r="P2" s="347"/>
      <c r="Q2" s="347"/>
      <c r="R2" s="349"/>
      <c r="S2" s="347"/>
      <c r="T2" s="347"/>
      <c r="U2" s="349"/>
      <c r="V2" s="349"/>
      <c r="W2" s="347"/>
      <c r="X2" s="347"/>
      <c r="Y2" s="347"/>
      <c r="Z2" s="347"/>
      <c r="AA2" s="347"/>
      <c r="AB2" s="349"/>
      <c r="AC2" s="347"/>
      <c r="AD2" s="347"/>
      <c r="AE2" s="347"/>
      <c r="AF2" s="347"/>
      <c r="AG2" s="347"/>
      <c r="AH2" s="345"/>
      <c r="AI2" s="345"/>
      <c r="AJ2" s="345"/>
    </row>
    <row r="3" spans="1:36" ht="12.75" customHeight="1">
      <c r="A3" s="350" t="s">
        <v>451</v>
      </c>
      <c r="B3" s="351"/>
      <c r="C3" s="350"/>
      <c r="D3" s="351"/>
      <c r="E3" s="350"/>
      <c r="F3" s="350"/>
      <c r="G3" s="350"/>
      <c r="H3" s="350"/>
      <c r="I3" s="350"/>
      <c r="J3" s="350"/>
      <c r="K3" s="350"/>
      <c r="L3" s="350"/>
      <c r="M3" s="350"/>
      <c r="N3" s="350"/>
      <c r="O3" s="350"/>
      <c r="P3" s="350"/>
      <c r="Q3" s="350"/>
      <c r="R3" s="350"/>
      <c r="S3" s="350"/>
      <c r="T3" s="350"/>
      <c r="U3" s="350"/>
      <c r="V3" s="350"/>
      <c r="W3" s="350"/>
      <c r="X3" s="350"/>
      <c r="Y3" s="350"/>
      <c r="Z3" s="350"/>
      <c r="AA3" s="350"/>
      <c r="AB3" s="350"/>
      <c r="AC3" s="350"/>
      <c r="AD3" s="350"/>
      <c r="AE3" s="350"/>
      <c r="AF3" s="350"/>
      <c r="AG3" s="350"/>
      <c r="AH3" s="350"/>
      <c r="AI3" s="350"/>
      <c r="AJ3" s="350"/>
    </row>
    <row r="4" spans="1:36">
      <c r="A4" s="337"/>
      <c r="B4" s="337"/>
      <c r="C4" s="337"/>
      <c r="D4" s="337"/>
      <c r="E4" s="337"/>
      <c r="F4" s="337"/>
      <c r="G4" s="337"/>
      <c r="H4" s="337"/>
      <c r="I4" s="337"/>
      <c r="J4" s="337"/>
      <c r="K4" s="337"/>
      <c r="L4" s="337"/>
      <c r="M4" s="337"/>
      <c r="N4" s="337"/>
      <c r="O4" s="337"/>
      <c r="P4" s="337"/>
      <c r="Q4" s="337"/>
      <c r="R4" s="337"/>
      <c r="S4" s="337"/>
      <c r="T4" s="337"/>
      <c r="U4" s="337"/>
      <c r="V4" s="337"/>
      <c r="W4" s="337"/>
      <c r="X4" s="337"/>
      <c r="Y4" s="337"/>
      <c r="Z4" s="337"/>
      <c r="AA4" s="337"/>
      <c r="AB4" s="337"/>
      <c r="AC4" s="337"/>
      <c r="AD4" s="337"/>
      <c r="AE4" s="337"/>
      <c r="AF4" s="337"/>
      <c r="AG4" s="337"/>
      <c r="AH4" s="337"/>
      <c r="AI4" s="337"/>
      <c r="AJ4" s="337"/>
    </row>
    <row r="5" spans="1:36">
      <c r="A5" s="337"/>
      <c r="B5" s="337"/>
      <c r="C5" s="337"/>
      <c r="D5" s="341"/>
      <c r="E5" s="341"/>
      <c r="F5" s="341"/>
      <c r="G5" s="341" t="s">
        <v>1025</v>
      </c>
      <c r="H5" s="341"/>
      <c r="I5" s="341"/>
      <c r="J5" s="341"/>
      <c r="K5" s="337"/>
      <c r="L5" s="341"/>
      <c r="M5" s="341"/>
      <c r="N5" s="341"/>
      <c r="O5" s="341" t="s">
        <v>1026</v>
      </c>
      <c r="P5" s="341"/>
      <c r="Q5" s="337"/>
      <c r="R5" s="337"/>
      <c r="S5" s="337" t="s">
        <v>1027</v>
      </c>
      <c r="T5" s="337"/>
      <c r="U5" s="337"/>
      <c r="V5" s="341"/>
      <c r="W5" s="341"/>
      <c r="X5" s="341" t="s">
        <v>1028</v>
      </c>
      <c r="Y5" s="341"/>
      <c r="Z5" s="341"/>
      <c r="AA5" s="337"/>
      <c r="AB5" s="341"/>
      <c r="AC5" s="341"/>
      <c r="AD5" s="341" t="s">
        <v>442</v>
      </c>
      <c r="AE5" s="341"/>
      <c r="AF5" s="341"/>
      <c r="AG5" s="337"/>
      <c r="AH5" s="337"/>
      <c r="AI5" s="337"/>
      <c r="AJ5" s="337"/>
    </row>
    <row r="6" spans="1:36">
      <c r="A6" s="337"/>
      <c r="B6" s="337"/>
      <c r="C6" s="337"/>
      <c r="D6" s="352"/>
      <c r="E6" s="352"/>
      <c r="F6" s="352"/>
      <c r="G6" s="337"/>
      <c r="H6" s="341"/>
      <c r="I6" s="341" t="s">
        <v>1029</v>
      </c>
      <c r="J6" s="341"/>
      <c r="K6" s="337"/>
      <c r="L6" s="337" t="s">
        <v>1015</v>
      </c>
      <c r="M6" s="337"/>
      <c r="N6" s="353"/>
      <c r="O6" s="353" t="s">
        <v>1030</v>
      </c>
      <c r="P6" s="353"/>
      <c r="Q6" s="337"/>
      <c r="R6" s="341"/>
      <c r="S6" s="341" t="s">
        <v>621</v>
      </c>
      <c r="T6" s="341"/>
      <c r="U6" s="337"/>
      <c r="V6" s="337" t="s">
        <v>1031</v>
      </c>
      <c r="W6" s="337"/>
      <c r="X6" s="337" t="s">
        <v>1029</v>
      </c>
      <c r="Y6" s="337"/>
      <c r="Z6" s="337" t="s">
        <v>1032</v>
      </c>
      <c r="AA6" s="337"/>
      <c r="AB6" s="337" t="s">
        <v>443</v>
      </c>
      <c r="AC6" s="337"/>
      <c r="AD6" s="337" t="s">
        <v>1029</v>
      </c>
      <c r="AE6" s="337"/>
      <c r="AF6" s="337" t="s">
        <v>1032</v>
      </c>
      <c r="AG6" s="337"/>
      <c r="AH6" s="337"/>
      <c r="AI6" s="337"/>
      <c r="AJ6" s="337"/>
    </row>
    <row r="7" spans="1:36">
      <c r="A7" s="337"/>
      <c r="B7" s="337"/>
      <c r="C7" s="337"/>
      <c r="D7" s="337"/>
      <c r="E7" s="337"/>
      <c r="F7" s="337" t="s">
        <v>1033</v>
      </c>
      <c r="G7" s="337"/>
      <c r="H7" s="337" t="s">
        <v>1034</v>
      </c>
      <c r="I7" s="337"/>
      <c r="J7" s="337"/>
      <c r="K7" s="337"/>
      <c r="L7" s="337" t="s">
        <v>620</v>
      </c>
      <c r="M7" s="337"/>
      <c r="N7" s="337" t="s">
        <v>1035</v>
      </c>
      <c r="O7" s="337"/>
      <c r="P7" s="337" t="s">
        <v>1035</v>
      </c>
      <c r="Q7" s="337"/>
      <c r="R7" s="337"/>
      <c r="S7" s="337"/>
      <c r="T7" s="337" t="s">
        <v>1036</v>
      </c>
      <c r="U7" s="337"/>
      <c r="V7" s="337" t="s">
        <v>1037</v>
      </c>
      <c r="W7" s="337"/>
      <c r="X7" s="337" t="s">
        <v>1038</v>
      </c>
      <c r="Y7" s="337"/>
      <c r="Z7" s="337" t="s">
        <v>1970</v>
      </c>
      <c r="AA7" s="337"/>
      <c r="AB7" s="337" t="s">
        <v>1034</v>
      </c>
      <c r="AC7" s="337"/>
      <c r="AD7" s="337" t="s">
        <v>1038</v>
      </c>
      <c r="AE7" s="337"/>
      <c r="AF7" s="337" t="s">
        <v>1970</v>
      </c>
      <c r="AG7" s="337"/>
      <c r="AH7" s="337"/>
      <c r="AI7" s="337"/>
      <c r="AJ7" s="337"/>
    </row>
    <row r="8" spans="1:36">
      <c r="A8" s="337"/>
      <c r="B8" s="337"/>
      <c r="C8" s="337"/>
      <c r="D8" s="341" t="s">
        <v>1015</v>
      </c>
      <c r="E8" s="337"/>
      <c r="F8" s="341" t="s">
        <v>1039</v>
      </c>
      <c r="G8" s="337"/>
      <c r="H8" s="341" t="s">
        <v>1040</v>
      </c>
      <c r="I8" s="337"/>
      <c r="J8" s="341" t="s">
        <v>1041</v>
      </c>
      <c r="K8" s="337"/>
      <c r="L8" s="341" t="s">
        <v>1042</v>
      </c>
      <c r="M8" s="337"/>
      <c r="N8" s="341" t="s">
        <v>999</v>
      </c>
      <c r="O8" s="337"/>
      <c r="P8" s="341" t="s">
        <v>1040</v>
      </c>
      <c r="Q8" s="337"/>
      <c r="R8" s="341" t="s">
        <v>622</v>
      </c>
      <c r="S8" s="337"/>
      <c r="T8" s="341" t="s">
        <v>623</v>
      </c>
      <c r="U8" s="337"/>
      <c r="V8" s="341" t="s">
        <v>624</v>
      </c>
      <c r="W8" s="337"/>
      <c r="X8" s="341" t="s">
        <v>1456</v>
      </c>
      <c r="Y8" s="337"/>
      <c r="Z8" s="341" t="s">
        <v>1457</v>
      </c>
      <c r="AA8" s="337"/>
      <c r="AB8" s="341" t="s">
        <v>1040</v>
      </c>
      <c r="AC8" s="337"/>
      <c r="AD8" s="341" t="s">
        <v>444</v>
      </c>
      <c r="AE8" s="337"/>
      <c r="AF8" s="341" t="s">
        <v>1457</v>
      </c>
      <c r="AG8" s="337"/>
      <c r="AH8" s="337"/>
      <c r="AI8" s="337"/>
      <c r="AJ8" s="337"/>
    </row>
    <row r="9" spans="1:36">
      <c r="A9" s="330"/>
      <c r="B9" s="330"/>
      <c r="C9" s="330"/>
      <c r="D9" s="330"/>
      <c r="E9" s="330"/>
      <c r="F9" s="330"/>
      <c r="G9" s="330"/>
      <c r="H9" s="330"/>
      <c r="I9" s="330"/>
      <c r="J9" s="330"/>
      <c r="K9" s="330"/>
      <c r="L9" s="330"/>
      <c r="M9" s="330"/>
      <c r="N9" s="330"/>
      <c r="O9" s="330"/>
      <c r="P9" s="330"/>
      <c r="Q9" s="330"/>
      <c r="R9" s="330"/>
      <c r="S9" s="330"/>
      <c r="T9" s="330"/>
      <c r="U9" s="330"/>
      <c r="V9" s="330"/>
      <c r="W9" s="330"/>
      <c r="X9" s="330"/>
      <c r="Y9" s="330"/>
      <c r="Z9" s="330"/>
      <c r="AA9" s="330"/>
      <c r="AB9" s="330"/>
      <c r="AC9" s="330"/>
      <c r="AD9" s="330"/>
      <c r="AE9" s="330"/>
      <c r="AF9" s="330"/>
      <c r="AG9" s="330"/>
      <c r="AH9" s="330"/>
      <c r="AI9" s="330"/>
      <c r="AJ9" s="330"/>
    </row>
    <row r="10" spans="1:36" hidden="1" outlineLevel="2">
      <c r="A10" s="330"/>
      <c r="B10" s="354">
        <v>1990</v>
      </c>
      <c r="C10" s="330"/>
      <c r="D10" s="330"/>
      <c r="E10" s="330"/>
      <c r="F10" s="330"/>
      <c r="G10" s="330"/>
      <c r="H10" s="330"/>
      <c r="I10" s="330"/>
      <c r="J10" s="330"/>
      <c r="K10" s="330"/>
      <c r="L10" s="330"/>
      <c r="M10" s="330"/>
      <c r="N10" s="330"/>
      <c r="O10" s="330"/>
      <c r="P10" s="330"/>
      <c r="Q10" s="330"/>
      <c r="R10" s="330"/>
      <c r="S10" s="330"/>
      <c r="T10" s="330"/>
      <c r="U10" s="330"/>
      <c r="V10" s="330"/>
      <c r="W10" s="330"/>
      <c r="X10" s="330"/>
      <c r="Y10" s="330"/>
      <c r="Z10" s="330"/>
      <c r="AA10" s="330"/>
      <c r="AB10" s="330"/>
      <c r="AC10" s="330"/>
      <c r="AD10" s="330"/>
      <c r="AE10" s="330"/>
      <c r="AF10" s="330"/>
      <c r="AG10" s="330"/>
      <c r="AH10" s="330"/>
      <c r="AI10" s="330"/>
      <c r="AJ10" s="330"/>
    </row>
    <row r="11" spans="1:36" hidden="1" outlineLevel="2">
      <c r="A11" s="330" t="str">
        <f>'qtrP&amp;L'!A10</f>
        <v>1Q</v>
      </c>
      <c r="B11" s="330" t="str">
        <f>'qtrP&amp;L'!B10</f>
        <v>Apr</v>
      </c>
      <c r="C11" s="330"/>
      <c r="D11" s="342">
        <f>'qtrP&amp;L'!F$10</f>
        <v>0</v>
      </c>
      <c r="E11" s="330"/>
      <c r="F11" s="342">
        <f>'qtrP&amp;L'!F$20</f>
        <v>0</v>
      </c>
      <c r="G11" s="330"/>
      <c r="H11" s="342">
        <f>work!D$10</f>
        <v>0</v>
      </c>
      <c r="I11" s="330"/>
      <c r="J11" s="355">
        <f>AVERAGE(H10:H11)</f>
        <v>0</v>
      </c>
      <c r="K11" s="330"/>
      <c r="L11" s="330"/>
      <c r="M11" s="330"/>
      <c r="N11" s="330"/>
      <c r="O11" s="330"/>
      <c r="P11" s="330"/>
      <c r="Q11" s="330"/>
      <c r="R11" s="330"/>
      <c r="S11" s="330"/>
      <c r="T11" s="330"/>
      <c r="U11" s="330"/>
      <c r="V11" s="330">
        <f>qtrSales!J12</f>
        <v>16</v>
      </c>
      <c r="W11" s="330"/>
      <c r="X11" s="356">
        <f>H11/V11</f>
        <v>0</v>
      </c>
      <c r="Y11" s="330"/>
      <c r="Z11" s="330"/>
      <c r="AA11" s="330"/>
      <c r="AB11" s="357">
        <f>qtrSales!Y40</f>
        <v>0.32945000000000002</v>
      </c>
      <c r="AC11" s="330"/>
      <c r="AD11" s="358">
        <f>H11/AB11</f>
        <v>0</v>
      </c>
      <c r="AE11" s="330"/>
      <c r="AF11" s="330"/>
      <c r="AG11" s="330"/>
      <c r="AH11" s="330"/>
      <c r="AI11" s="330"/>
      <c r="AJ11" s="330"/>
    </row>
    <row r="12" spans="1:36" hidden="1" outlineLevel="2">
      <c r="A12" s="330" t="str">
        <f>'qtrP&amp;L'!A11</f>
        <v>2Q</v>
      </c>
      <c r="B12" s="330" t="str">
        <f>'qtrP&amp;L'!B11</f>
        <v>Jul</v>
      </c>
      <c r="C12" s="330"/>
      <c r="D12" s="355">
        <f>'qtrP&amp;L'!F$11</f>
        <v>0</v>
      </c>
      <c r="E12" s="330"/>
      <c r="F12" s="355">
        <f>'qtrP&amp;L'!F$21</f>
        <v>0</v>
      </c>
      <c r="G12" s="330"/>
      <c r="H12" s="355">
        <f>work!D$11</f>
        <v>0</v>
      </c>
      <c r="I12" s="330"/>
      <c r="J12" s="355">
        <f>AVERAGE(H11:H12)</f>
        <v>0</v>
      </c>
      <c r="K12" s="330"/>
      <c r="L12" s="330"/>
      <c r="M12" s="330"/>
      <c r="N12" s="330"/>
      <c r="O12" s="330"/>
      <c r="P12" s="330"/>
      <c r="Q12" s="330"/>
      <c r="R12" s="330"/>
      <c r="S12" s="330"/>
      <c r="T12" s="330"/>
      <c r="U12" s="330"/>
      <c r="V12" s="330">
        <f>qtrSales!J13</f>
        <v>18</v>
      </c>
      <c r="W12" s="330"/>
      <c r="X12" s="359">
        <f>H12/V12</f>
        <v>0</v>
      </c>
      <c r="Y12" s="330"/>
      <c r="Z12" s="330"/>
      <c r="AA12" s="330"/>
      <c r="AB12" s="357">
        <f>qtrSales!Y41</f>
        <v>0.33795000000000003</v>
      </c>
      <c r="AC12" s="330"/>
      <c r="AD12" s="360">
        <f>H12/AB12</f>
        <v>0</v>
      </c>
      <c r="AE12" s="330"/>
      <c r="AF12" s="330"/>
      <c r="AG12" s="330"/>
      <c r="AH12" s="330"/>
      <c r="AI12" s="330"/>
      <c r="AJ12" s="330"/>
    </row>
    <row r="13" spans="1:36" hidden="1" outlineLevel="2">
      <c r="A13" s="330" t="str">
        <f>'qtrP&amp;L'!A12</f>
        <v>3Q</v>
      </c>
      <c r="B13" s="330" t="str">
        <f>'qtrP&amp;L'!B12</f>
        <v>Oct</v>
      </c>
      <c r="C13" s="330"/>
      <c r="D13" s="355">
        <f>'qtrP&amp;L'!F$12</f>
        <v>0</v>
      </c>
      <c r="E13" s="330"/>
      <c r="F13" s="355">
        <f>'qtrP&amp;L'!F$22</f>
        <v>0</v>
      </c>
      <c r="G13" s="330"/>
      <c r="H13" s="355">
        <f>work!D$12</f>
        <v>0</v>
      </c>
      <c r="I13" s="330"/>
      <c r="J13" s="355">
        <f>AVERAGE(H12:H13)</f>
        <v>0</v>
      </c>
      <c r="K13" s="330"/>
      <c r="L13" s="330"/>
      <c r="M13" s="330"/>
      <c r="N13" s="330"/>
      <c r="O13" s="330"/>
      <c r="P13" s="330"/>
      <c r="Q13" s="330"/>
      <c r="R13" s="330"/>
      <c r="S13" s="330"/>
      <c r="T13" s="330"/>
      <c r="U13" s="330"/>
      <c r="V13" s="330">
        <f>qtrSales!J14</f>
        <v>19</v>
      </c>
      <c r="W13" s="330"/>
      <c r="X13" s="359">
        <f>H13/V13</f>
        <v>0</v>
      </c>
      <c r="Y13" s="330"/>
      <c r="Z13" s="330"/>
      <c r="AA13" s="330"/>
      <c r="AB13" s="357">
        <f>qtrSales!Y42</f>
        <v>0.34645000000000004</v>
      </c>
      <c r="AC13" s="330"/>
      <c r="AD13" s="360">
        <f>H13/AB13</f>
        <v>0</v>
      </c>
      <c r="AE13" s="330"/>
      <c r="AF13" s="330"/>
      <c r="AG13" s="330"/>
      <c r="AH13" s="330"/>
      <c r="AI13" s="330"/>
      <c r="AJ13" s="330"/>
    </row>
    <row r="14" spans="1:36" hidden="1" outlineLevel="2">
      <c r="A14" s="330" t="str">
        <f>'qtrP&amp;L'!A13</f>
        <v>4Q</v>
      </c>
      <c r="B14" s="330" t="str">
        <f>'qtrP&amp;L'!B13</f>
        <v>Jan</v>
      </c>
      <c r="C14" s="330"/>
      <c r="D14" s="361">
        <f>'qtrP&amp;L'!F$13</f>
        <v>0</v>
      </c>
      <c r="E14" s="330"/>
      <c r="F14" s="361">
        <f>'qtrP&amp;L'!F$23</f>
        <v>0</v>
      </c>
      <c r="G14" s="330"/>
      <c r="H14" s="362">
        <f>work!D$13</f>
        <v>0</v>
      </c>
      <c r="I14" s="330"/>
      <c r="J14" s="361">
        <f>AVERAGE(H13:H14)</f>
        <v>0</v>
      </c>
      <c r="K14" s="330"/>
      <c r="L14" s="340"/>
      <c r="M14" s="330"/>
      <c r="N14" s="330"/>
      <c r="O14" s="330"/>
      <c r="P14" s="330"/>
      <c r="Q14" s="330"/>
      <c r="R14" s="330"/>
      <c r="S14" s="330"/>
      <c r="T14" s="330"/>
      <c r="U14" s="330"/>
      <c r="V14" s="330">
        <f>qtrSales!J15</f>
        <v>20</v>
      </c>
      <c r="W14" s="330"/>
      <c r="X14" s="359">
        <f>H14/V14</f>
        <v>0</v>
      </c>
      <c r="Y14" s="330"/>
      <c r="Z14" s="330"/>
      <c r="AA14" s="330"/>
      <c r="AB14" s="357">
        <f>qtrSales!Y43</f>
        <v>0.34645000000000004</v>
      </c>
      <c r="AC14" s="330"/>
      <c r="AD14" s="360">
        <f>H14/AB14</f>
        <v>0</v>
      </c>
      <c r="AE14" s="330"/>
      <c r="AF14" s="330"/>
      <c r="AG14" s="330"/>
      <c r="AH14" s="330"/>
      <c r="AI14" s="330"/>
      <c r="AJ14" s="330"/>
    </row>
    <row r="15" spans="1:36" hidden="1" outlineLevel="2">
      <c r="A15" s="330"/>
      <c r="B15" s="330" t="str">
        <f>'qtrP&amp;L'!B14</f>
        <v>Year</v>
      </c>
      <c r="C15" s="330"/>
      <c r="D15" s="342">
        <f>SUM(D11:D14)</f>
        <v>0</v>
      </c>
      <c r="E15" s="330"/>
      <c r="F15" s="342">
        <f>'qtrP&amp;L'!V24</f>
        <v>324.62900000000002</v>
      </c>
      <c r="G15" s="330"/>
      <c r="H15" s="330"/>
      <c r="I15" s="330"/>
      <c r="J15" s="342">
        <f>AVERAGE(J11:J14)</f>
        <v>0</v>
      </c>
      <c r="K15" s="330"/>
      <c r="L15" s="330"/>
      <c r="M15" s="330"/>
      <c r="N15" s="330"/>
      <c r="O15" s="330"/>
      <c r="P15" s="330"/>
      <c r="Q15" s="330"/>
      <c r="R15" s="363"/>
      <c r="S15" s="364"/>
      <c r="T15" s="330"/>
      <c r="U15" s="330"/>
      <c r="V15" s="330"/>
      <c r="W15" s="330"/>
      <c r="X15" s="330"/>
      <c r="Y15" s="330"/>
      <c r="Z15" s="330"/>
      <c r="AA15" s="330"/>
      <c r="AB15" s="357"/>
      <c r="AC15" s="330"/>
      <c r="AD15" s="330"/>
      <c r="AE15" s="330"/>
      <c r="AF15" s="330"/>
      <c r="AG15" s="330"/>
      <c r="AH15" s="330"/>
      <c r="AI15" s="330"/>
      <c r="AJ15" s="330"/>
    </row>
    <row r="16" spans="1:36" hidden="1" outlineLevel="2">
      <c r="A16" s="330"/>
      <c r="B16" s="330"/>
      <c r="C16" s="330"/>
      <c r="D16" s="330"/>
      <c r="E16" s="330"/>
      <c r="F16" s="330"/>
      <c r="G16" s="330"/>
      <c r="H16" s="330"/>
      <c r="I16" s="330"/>
      <c r="J16" s="330"/>
      <c r="K16" s="330"/>
      <c r="L16" s="330"/>
      <c r="M16" s="330"/>
      <c r="N16" s="330"/>
      <c r="O16" s="330"/>
      <c r="P16" s="330"/>
      <c r="Q16" s="330"/>
      <c r="R16" s="330"/>
      <c r="S16" s="330"/>
      <c r="T16" s="330"/>
      <c r="U16" s="330"/>
      <c r="V16" s="330"/>
      <c r="W16" s="330"/>
      <c r="X16" s="330"/>
      <c r="Y16" s="330"/>
      <c r="Z16" s="330"/>
      <c r="AA16" s="330"/>
      <c r="AB16" s="357"/>
      <c r="AC16" s="330"/>
      <c r="AD16" s="330"/>
      <c r="AE16" s="330"/>
      <c r="AF16" s="330"/>
      <c r="AG16" s="330"/>
      <c r="AH16" s="330"/>
      <c r="AI16" s="330"/>
      <c r="AJ16" s="330"/>
    </row>
    <row r="17" spans="1:36" hidden="1" outlineLevel="1">
      <c r="A17" s="330"/>
      <c r="B17" s="365">
        <f>B10+1</f>
        <v>1991</v>
      </c>
      <c r="C17" s="330"/>
      <c r="D17" s="330"/>
      <c r="E17" s="330"/>
      <c r="F17" s="330"/>
      <c r="G17" s="330"/>
      <c r="H17" s="330"/>
      <c r="I17" s="330"/>
      <c r="J17" s="330"/>
      <c r="K17" s="330"/>
      <c r="L17" s="330"/>
      <c r="M17" s="330"/>
      <c r="N17" s="330"/>
      <c r="O17" s="330"/>
      <c r="P17" s="330"/>
      <c r="Q17" s="330"/>
      <c r="R17" s="330"/>
      <c r="S17" s="330"/>
      <c r="T17" s="330"/>
      <c r="U17" s="330"/>
      <c r="V17" s="330"/>
      <c r="W17" s="330"/>
      <c r="X17" s="330"/>
      <c r="Y17" s="330"/>
      <c r="Z17" s="330"/>
      <c r="AA17" s="330"/>
      <c r="AB17" s="357"/>
      <c r="AC17" s="330"/>
      <c r="AD17" s="330"/>
      <c r="AE17" s="330"/>
      <c r="AF17" s="330"/>
      <c r="AG17" s="330"/>
      <c r="AH17" s="330"/>
      <c r="AI17" s="330"/>
      <c r="AJ17" s="330"/>
    </row>
    <row r="18" spans="1:36" hidden="1" outlineLevel="1">
      <c r="A18" s="330" t="str">
        <f>$A$11</f>
        <v>1Q</v>
      </c>
      <c r="B18" s="330" t="str">
        <f>$B$11</f>
        <v>Apr</v>
      </c>
      <c r="C18" s="330"/>
      <c r="D18" s="342">
        <f>'qtrP&amp;L'!J$10</f>
        <v>97.105000000000004</v>
      </c>
      <c r="E18" s="330"/>
      <c r="F18" s="342">
        <f>'qtrP&amp;L'!J$20</f>
        <v>51.661999999999999</v>
      </c>
      <c r="G18" s="330"/>
      <c r="H18" s="342">
        <f>work!F$10</f>
        <v>0</v>
      </c>
      <c r="I18" s="330"/>
      <c r="J18" s="355">
        <f>AVERAGE(H17:H18)</f>
        <v>0</v>
      </c>
      <c r="K18" s="330"/>
      <c r="L18" s="338" t="e">
        <f>(D18/D11-1)*100</f>
        <v>#DIV/0!</v>
      </c>
      <c r="M18" s="330" t="s">
        <v>1970</v>
      </c>
      <c r="N18" s="338" t="e">
        <f>(H18/H11-1)*100</f>
        <v>#DIV/0!</v>
      </c>
      <c r="O18" s="330" t="s">
        <v>1970</v>
      </c>
      <c r="P18" s="338" t="e">
        <f>(H18/H14-1)*100</f>
        <v>#DIV/0!</v>
      </c>
      <c r="Q18" s="330" t="s">
        <v>1970</v>
      </c>
      <c r="R18" s="359" t="e">
        <f>F18/J18</f>
        <v>#DIV/0!</v>
      </c>
      <c r="S18" s="330" t="s">
        <v>1458</v>
      </c>
      <c r="T18" s="359" t="e">
        <f>F19/H18</f>
        <v>#DIV/0!</v>
      </c>
      <c r="U18" s="330" t="s">
        <v>1458</v>
      </c>
      <c r="V18" s="330">
        <f>qtrSales!J19</f>
        <v>21</v>
      </c>
      <c r="W18" s="330"/>
      <c r="X18" s="356">
        <f>H18/V18</f>
        <v>0</v>
      </c>
      <c r="Y18" s="330"/>
      <c r="Z18" s="366" t="e">
        <f>(X18/X11-1)*100</f>
        <v>#DIV/0!</v>
      </c>
      <c r="AA18" s="367" t="s">
        <v>1970</v>
      </c>
      <c r="AB18" s="357">
        <f>qtrSales!Y19</f>
        <v>0</v>
      </c>
      <c r="AC18" s="330"/>
      <c r="AD18" s="358" t="e">
        <f>H18/AB18</f>
        <v>#DIV/0!</v>
      </c>
      <c r="AE18" s="330"/>
      <c r="AF18" s="366" t="e">
        <f>(AD18/AD11-1)*100</f>
        <v>#DIV/0!</v>
      </c>
      <c r="AG18" s="367" t="s">
        <v>1970</v>
      </c>
      <c r="AH18" s="330"/>
      <c r="AI18" s="330"/>
      <c r="AJ18" s="330"/>
    </row>
    <row r="19" spans="1:36" hidden="1" outlineLevel="1">
      <c r="A19" s="330" t="str">
        <f>$A$12</f>
        <v>2Q</v>
      </c>
      <c r="B19" s="330" t="str">
        <f>$B$12</f>
        <v>Jul</v>
      </c>
      <c r="C19" s="330"/>
      <c r="D19" s="355">
        <f>'qtrP&amp;L'!J$11</f>
        <v>119.372</v>
      </c>
      <c r="E19" s="330"/>
      <c r="F19" s="355">
        <f>'qtrP&amp;L'!J$21</f>
        <v>60.347000000000001</v>
      </c>
      <c r="G19" s="330"/>
      <c r="H19" s="355">
        <f>work!F$11</f>
        <v>183.25399999999999</v>
      </c>
      <c r="I19" s="330"/>
      <c r="J19" s="355">
        <f>AVERAGE(H18:H19)</f>
        <v>91.626999999999995</v>
      </c>
      <c r="K19" s="330"/>
      <c r="L19" s="338" t="e">
        <f>(D19/D12-1)*100</f>
        <v>#DIV/0!</v>
      </c>
      <c r="M19" s="330"/>
      <c r="N19" s="338" t="e">
        <f>(H19/H12-1)*100</f>
        <v>#DIV/0!</v>
      </c>
      <c r="O19" s="330"/>
      <c r="P19" s="338" t="e">
        <f>(H19/H18-1)*100</f>
        <v>#DIV/0!</v>
      </c>
      <c r="Q19" s="330"/>
      <c r="R19" s="359">
        <f>F19/J19</f>
        <v>0.65861591015748633</v>
      </c>
      <c r="S19" s="330"/>
      <c r="T19" s="359">
        <f>F20/H19</f>
        <v>0.33523415587108607</v>
      </c>
      <c r="U19" s="330"/>
      <c r="V19" s="330">
        <f>qtrSales!J20</f>
        <v>23</v>
      </c>
      <c r="W19" s="330"/>
      <c r="X19" s="359">
        <f>H19/V19</f>
        <v>7.9675652173913036</v>
      </c>
      <c r="Y19" s="330"/>
      <c r="Z19" s="366" t="e">
        <f>(X19/X12-1)*100</f>
        <v>#DIV/0!</v>
      </c>
      <c r="AA19" s="330"/>
      <c r="AB19" s="357">
        <f>qtrSales!Y20</f>
        <v>0</v>
      </c>
      <c r="AC19" s="330"/>
      <c r="AD19" s="360" t="e">
        <f>H19/AB19</f>
        <v>#DIV/0!</v>
      </c>
      <c r="AE19" s="330"/>
      <c r="AF19" s="366" t="e">
        <f>(AD19/AD12-1)*100</f>
        <v>#DIV/0!</v>
      </c>
      <c r="AG19" s="330"/>
      <c r="AH19" s="330"/>
      <c r="AI19" s="330"/>
      <c r="AJ19" s="330"/>
    </row>
    <row r="20" spans="1:36" hidden="1" outlineLevel="1">
      <c r="A20" s="330" t="str">
        <f>$A$13</f>
        <v>3Q</v>
      </c>
      <c r="B20" s="330" t="str">
        <f>$B$13</f>
        <v>Oct</v>
      </c>
      <c r="C20" s="330"/>
      <c r="D20" s="355">
        <f>'qtrP&amp;L'!J$12</f>
        <v>126.401</v>
      </c>
      <c r="E20" s="330"/>
      <c r="F20" s="355">
        <f>'qtrP&amp;L'!J$22</f>
        <v>61.433</v>
      </c>
      <c r="G20" s="330"/>
      <c r="H20" s="355">
        <f>work!F$12</f>
        <v>0</v>
      </c>
      <c r="I20" s="330"/>
      <c r="J20" s="355">
        <f>AVERAGE(H19:H20)</f>
        <v>91.626999999999995</v>
      </c>
      <c r="K20" s="330"/>
      <c r="L20" s="338" t="e">
        <f>(D20/D13-1)*100</f>
        <v>#DIV/0!</v>
      </c>
      <c r="M20" s="330"/>
      <c r="N20" s="338" t="e">
        <f>(H20/H13-1)*100</f>
        <v>#DIV/0!</v>
      </c>
      <c r="O20" s="330"/>
      <c r="P20" s="338">
        <f>(H20/H19-1)*100</f>
        <v>-100</v>
      </c>
      <c r="Q20" s="330"/>
      <c r="R20" s="359">
        <f>F20/J20</f>
        <v>0.67046831174217214</v>
      </c>
      <c r="S20" s="330"/>
      <c r="T20" s="359" t="e">
        <f>F21/H20</f>
        <v>#DIV/0!</v>
      </c>
      <c r="U20" s="330"/>
      <c r="V20" s="330">
        <f>qtrSales!J21</f>
        <v>24</v>
      </c>
      <c r="W20" s="330"/>
      <c r="X20" s="359">
        <f>H20/V20</f>
        <v>0</v>
      </c>
      <c r="Y20" s="330"/>
      <c r="Z20" s="366" t="e">
        <f>(X20/X13-1)*100</f>
        <v>#DIV/0!</v>
      </c>
      <c r="AA20" s="330"/>
      <c r="AB20" s="357">
        <f>qtrSales!Y21</f>
        <v>0</v>
      </c>
      <c r="AC20" s="330"/>
      <c r="AD20" s="360" t="e">
        <f>H20/AB20</f>
        <v>#DIV/0!</v>
      </c>
      <c r="AE20" s="330"/>
      <c r="AF20" s="366" t="e">
        <f>(AD20/AD13-1)*100</f>
        <v>#DIV/0!</v>
      </c>
      <c r="AG20" s="330"/>
      <c r="AH20" s="330"/>
      <c r="AI20" s="330"/>
      <c r="AJ20" s="330"/>
    </row>
    <row r="21" spans="1:36" hidden="1" outlineLevel="1">
      <c r="A21" s="330" t="str">
        <f>$A$14</f>
        <v>4Q</v>
      </c>
      <c r="B21" s="330" t="str">
        <f>$B$14</f>
        <v>Jan</v>
      </c>
      <c r="C21" s="330"/>
      <c r="D21" s="361">
        <f>'qtrP&amp;L'!J$13</f>
        <v>149.02799999999999</v>
      </c>
      <c r="E21" s="330"/>
      <c r="F21" s="361">
        <f>'qtrP&amp;L'!J$23</f>
        <v>75.451999999999998</v>
      </c>
      <c r="G21" s="330"/>
      <c r="H21" s="362">
        <f>work!F$13</f>
        <v>213.435</v>
      </c>
      <c r="I21" s="330"/>
      <c r="J21" s="361">
        <f>AVERAGE(H20:H21)</f>
        <v>106.7175</v>
      </c>
      <c r="K21" s="330"/>
      <c r="L21" s="368" t="e">
        <f>(D21/D14-1)*100</f>
        <v>#DIV/0!</v>
      </c>
      <c r="M21" s="330"/>
      <c r="N21" s="366" t="e">
        <f>(H21/H14-1)*100</f>
        <v>#DIV/0!</v>
      </c>
      <c r="O21" s="330"/>
      <c r="P21" s="366" t="e">
        <f>(H21/H20-1)*100</f>
        <v>#DIV/0!</v>
      </c>
      <c r="Q21" s="330"/>
      <c r="R21" s="359">
        <f>F21/J21</f>
        <v>0.70702555813245249</v>
      </c>
      <c r="S21" s="330"/>
      <c r="T21" s="359">
        <f>F25/H21</f>
        <v>0.27007754117178528</v>
      </c>
      <c r="U21" s="330"/>
      <c r="V21" s="330">
        <f>qtrSales!J22</f>
        <v>25</v>
      </c>
      <c r="W21" s="330"/>
      <c r="X21" s="359">
        <f>H21/V21</f>
        <v>8.5373999999999999</v>
      </c>
      <c r="Y21" s="330"/>
      <c r="Z21" s="366" t="e">
        <f>(X21/X14-1)*100</f>
        <v>#DIV/0!</v>
      </c>
      <c r="AA21" s="330"/>
      <c r="AB21" s="357">
        <f>qtrSales!Y22</f>
        <v>0</v>
      </c>
      <c r="AC21" s="330"/>
      <c r="AD21" s="360" t="e">
        <f>H21/AB21</f>
        <v>#DIV/0!</v>
      </c>
      <c r="AE21" s="330"/>
      <c r="AF21" s="366" t="e">
        <f>(AD21/AD14-1)*100</f>
        <v>#DIV/0!</v>
      </c>
      <c r="AG21" s="330"/>
      <c r="AH21" s="330"/>
      <c r="AI21" s="330"/>
      <c r="AJ21" s="330"/>
    </row>
    <row r="22" spans="1:36" hidden="1" outlineLevel="1">
      <c r="A22" s="330"/>
      <c r="B22" s="330" t="str">
        <f>$B$15</f>
        <v>Year</v>
      </c>
      <c r="C22" s="330"/>
      <c r="D22" s="342">
        <f>SUM(D18:D21)</f>
        <v>491.90599999999995</v>
      </c>
      <c r="E22" s="330"/>
      <c r="F22" s="342">
        <f>SUM(F18:F21)</f>
        <v>248.89400000000001</v>
      </c>
      <c r="G22" s="330"/>
      <c r="H22" s="330"/>
      <c r="I22" s="330"/>
      <c r="J22" s="342">
        <f>AVERAGE(J18:J21)</f>
        <v>72.492874999999998</v>
      </c>
      <c r="K22" s="330"/>
      <c r="L22" s="338" t="e">
        <f>(D22/D15-1)*100</f>
        <v>#DIV/0!</v>
      </c>
      <c r="M22" s="330"/>
      <c r="N22" s="366"/>
      <c r="O22" s="330"/>
      <c r="P22" s="330"/>
      <c r="Q22" s="330"/>
      <c r="R22" s="369">
        <f>F22/J22</f>
        <v>3.4333581058828195</v>
      </c>
      <c r="S22" s="364" t="s">
        <v>1458</v>
      </c>
      <c r="T22" s="330"/>
      <c r="U22" s="330"/>
      <c r="V22" s="330"/>
      <c r="W22" s="330"/>
      <c r="X22" s="330"/>
      <c r="Y22" s="330"/>
      <c r="Z22" s="330"/>
      <c r="AA22" s="330"/>
      <c r="AB22" s="357"/>
      <c r="AC22" s="330"/>
      <c r="AD22" s="330"/>
      <c r="AE22" s="330"/>
      <c r="AF22" s="330"/>
      <c r="AG22" s="330"/>
      <c r="AH22" s="330"/>
      <c r="AI22" s="330"/>
      <c r="AJ22" s="330"/>
    </row>
    <row r="23" spans="1:36" hidden="1" outlineLevel="1">
      <c r="A23" s="330"/>
      <c r="B23" s="330"/>
      <c r="C23" s="330"/>
      <c r="D23" s="330"/>
      <c r="E23" s="330"/>
      <c r="F23" s="330"/>
      <c r="G23" s="330"/>
      <c r="H23" s="330"/>
      <c r="I23" s="330"/>
      <c r="J23" s="330"/>
      <c r="K23" s="330"/>
      <c r="L23" s="330"/>
      <c r="M23" s="330"/>
      <c r="N23" s="330"/>
      <c r="O23" s="330"/>
      <c r="P23" s="330"/>
      <c r="Q23" s="330"/>
      <c r="R23" s="330"/>
      <c r="S23" s="330"/>
      <c r="T23" s="330"/>
      <c r="U23" s="330"/>
      <c r="V23" s="330"/>
      <c r="W23" s="330"/>
      <c r="X23" s="330"/>
      <c r="Y23" s="330"/>
      <c r="Z23" s="330"/>
      <c r="AA23" s="330"/>
      <c r="AB23" s="357"/>
      <c r="AC23" s="330"/>
      <c r="AD23" s="330"/>
      <c r="AE23" s="330"/>
      <c r="AF23" s="330"/>
      <c r="AG23" s="330"/>
      <c r="AH23" s="330"/>
      <c r="AI23" s="330"/>
      <c r="AJ23" s="330"/>
    </row>
    <row r="24" spans="1:36" hidden="1" outlineLevel="1">
      <c r="A24" s="330"/>
      <c r="B24" s="365">
        <f>B17+1</f>
        <v>1992</v>
      </c>
      <c r="C24" s="330"/>
      <c r="D24" s="330"/>
      <c r="E24" s="330"/>
      <c r="F24" s="330"/>
      <c r="G24" s="330"/>
      <c r="H24" s="330"/>
      <c r="I24" s="330"/>
      <c r="J24" s="330"/>
      <c r="K24" s="330"/>
      <c r="L24" s="330"/>
      <c r="M24" s="330"/>
      <c r="N24" s="330"/>
      <c r="O24" s="330"/>
      <c r="P24" s="330"/>
      <c r="Q24" s="330"/>
      <c r="R24" s="330"/>
      <c r="S24" s="330"/>
      <c r="T24" s="330"/>
      <c r="U24" s="330"/>
      <c r="V24" s="330"/>
      <c r="W24" s="330"/>
      <c r="X24" s="330"/>
      <c r="Y24" s="330"/>
      <c r="Z24" s="330"/>
      <c r="AA24" s="330"/>
      <c r="AB24" s="357"/>
      <c r="AC24" s="330"/>
      <c r="AD24" s="330"/>
      <c r="AE24" s="330"/>
      <c r="AF24" s="330"/>
      <c r="AG24" s="330"/>
      <c r="AH24" s="330"/>
      <c r="AI24" s="330"/>
      <c r="AJ24" s="330"/>
    </row>
    <row r="25" spans="1:36" hidden="1" outlineLevel="1">
      <c r="A25" s="330" t="str">
        <f>$A$11</f>
        <v>1Q</v>
      </c>
      <c r="B25" s="330" t="str">
        <f>$B$11</f>
        <v>Apr</v>
      </c>
      <c r="C25" s="330"/>
      <c r="D25" s="342">
        <f>'qtrP&amp;L'!N$10</f>
        <v>107.23800000000001</v>
      </c>
      <c r="E25" s="330"/>
      <c r="F25" s="342">
        <f>'qtrP&amp;L'!N$20</f>
        <v>57.643999999999991</v>
      </c>
      <c r="G25" s="330"/>
      <c r="H25" s="342">
        <f>work!J$10</f>
        <v>0</v>
      </c>
      <c r="I25" s="330"/>
      <c r="J25" s="355">
        <f>AVERAGE(H24:H25)</f>
        <v>0</v>
      </c>
      <c r="K25" s="330"/>
      <c r="L25" s="338">
        <f>(D25/D18-1)*100</f>
        <v>10.435096030070557</v>
      </c>
      <c r="M25" s="330" t="s">
        <v>1970</v>
      </c>
      <c r="N25" s="338" t="e">
        <f>(H25/H18-1)*100</f>
        <v>#DIV/0!</v>
      </c>
      <c r="O25" s="330" t="s">
        <v>1970</v>
      </c>
      <c r="P25" s="338">
        <f>(H25/H21-1)*100</f>
        <v>-100</v>
      </c>
      <c r="Q25" s="330" t="s">
        <v>1970</v>
      </c>
      <c r="R25" s="359" t="e">
        <f>F25/J25</f>
        <v>#DIV/0!</v>
      </c>
      <c r="S25" s="330" t="s">
        <v>1458</v>
      </c>
      <c r="T25" s="359" t="e">
        <f>F26/H25</f>
        <v>#DIV/0!</v>
      </c>
      <c r="U25" s="330" t="s">
        <v>1458</v>
      </c>
      <c r="V25" s="330">
        <f>qtrSales!J26</f>
        <v>27</v>
      </c>
      <c r="W25" s="330"/>
      <c r="X25" s="356">
        <f>H25/V25</f>
        <v>0</v>
      </c>
      <c r="Y25" s="330"/>
      <c r="Z25" s="366" t="e">
        <f>(X25/X18-1)*100</f>
        <v>#DIV/0!</v>
      </c>
      <c r="AA25" s="367" t="s">
        <v>1970</v>
      </c>
      <c r="AB25" s="357">
        <f>qtrSales!Y26</f>
        <v>0</v>
      </c>
      <c r="AC25" s="330"/>
      <c r="AD25" s="358" t="e">
        <f>H25/AB25</f>
        <v>#DIV/0!</v>
      </c>
      <c r="AE25" s="330"/>
      <c r="AF25" s="366" t="e">
        <f>(AD25/AD18-1)*100</f>
        <v>#DIV/0!</v>
      </c>
      <c r="AG25" s="367" t="s">
        <v>1970</v>
      </c>
      <c r="AH25" s="330"/>
      <c r="AI25" s="330"/>
      <c r="AJ25" s="330"/>
    </row>
    <row r="26" spans="1:36" hidden="1" outlineLevel="1">
      <c r="A26" s="330" t="str">
        <f>$A$12</f>
        <v>2Q</v>
      </c>
      <c r="B26" s="330" t="str">
        <f>$B$12</f>
        <v>Jul</v>
      </c>
      <c r="C26" s="330"/>
      <c r="D26" s="355">
        <f>'qtrP&amp;L'!N$11</f>
        <v>120.83</v>
      </c>
      <c r="E26" s="330"/>
      <c r="F26" s="355">
        <f>'qtrP&amp;L'!N$21</f>
        <v>61.837000000000003</v>
      </c>
      <c r="G26" s="330"/>
      <c r="H26" s="355">
        <f>work!J$11</f>
        <v>241.398</v>
      </c>
      <c r="I26" s="330"/>
      <c r="J26" s="355">
        <f>AVERAGE(H25:H26)</f>
        <v>120.699</v>
      </c>
      <c r="K26" s="330"/>
      <c r="L26" s="338">
        <f>(D26/D19-1)*100</f>
        <v>1.2213919512113369</v>
      </c>
      <c r="M26" s="330"/>
      <c r="N26" s="338">
        <f>(H26/H19-1)*100</f>
        <v>31.728638938304222</v>
      </c>
      <c r="O26" s="330"/>
      <c r="P26" s="338" t="e">
        <f>(H26/H25-1)*100</f>
        <v>#DIV/0!</v>
      </c>
      <c r="Q26" s="330"/>
      <c r="R26" s="359">
        <f>F26/J26</f>
        <v>0.51232404576674206</v>
      </c>
      <c r="S26" s="330"/>
      <c r="T26" s="359">
        <f>F27/H26</f>
        <v>0.21372588008185658</v>
      </c>
      <c r="U26" s="330"/>
      <c r="V26" s="330">
        <f>qtrSales!J27</f>
        <v>30</v>
      </c>
      <c r="W26" s="330"/>
      <c r="X26" s="359">
        <f>H26/V26</f>
        <v>8.0465999999999998</v>
      </c>
      <c r="Y26" s="330"/>
      <c r="Z26" s="366">
        <f>(X26/X19-1)*100</f>
        <v>0.99195651936656581</v>
      </c>
      <c r="AA26" s="330"/>
      <c r="AB26" s="357">
        <f>qtrSales!Y27</f>
        <v>0</v>
      </c>
      <c r="AC26" s="330"/>
      <c r="AD26" s="360" t="e">
        <f>H26/AB26</f>
        <v>#DIV/0!</v>
      </c>
      <c r="AE26" s="330"/>
      <c r="AF26" s="366" t="e">
        <f>(AD26/AD19-1)*100</f>
        <v>#DIV/0!</v>
      </c>
      <c r="AG26" s="330"/>
      <c r="AH26" s="330"/>
      <c r="AI26" s="330"/>
      <c r="AJ26" s="330"/>
    </row>
    <row r="27" spans="1:36" hidden="1" outlineLevel="1">
      <c r="A27" s="330" t="str">
        <f>$A$13</f>
        <v>3Q</v>
      </c>
      <c r="B27" s="330" t="str">
        <f>$B$13</f>
        <v>Oct</v>
      </c>
      <c r="C27" s="330"/>
      <c r="D27" s="355">
        <f>'qtrP&amp;L'!N$12</f>
        <v>105.89700000000001</v>
      </c>
      <c r="E27" s="330"/>
      <c r="F27" s="355">
        <f>'qtrP&amp;L'!N$22</f>
        <v>51.593000000000018</v>
      </c>
      <c r="G27" s="330"/>
      <c r="H27" s="355">
        <f>work!J$12</f>
        <v>0</v>
      </c>
      <c r="I27" s="330"/>
      <c r="J27" s="355">
        <f>AVERAGE(H26:H27)</f>
        <v>120.699</v>
      </c>
      <c r="K27" s="330"/>
      <c r="L27" s="338">
        <f>(D27/D20-1)*100</f>
        <v>-16.221390653554945</v>
      </c>
      <c r="M27" s="330"/>
      <c r="N27" s="338" t="e">
        <f>(H27/H20-1)*100</f>
        <v>#DIV/0!</v>
      </c>
      <c r="O27" s="330"/>
      <c r="P27" s="338">
        <f>(H27/H26-1)*100</f>
        <v>-100</v>
      </c>
      <c r="Q27" s="330"/>
      <c r="R27" s="359">
        <f>F27/J27</f>
        <v>0.42745176016371317</v>
      </c>
      <c r="S27" s="330"/>
      <c r="T27" s="359" t="e">
        <f>F28/H27</f>
        <v>#DIV/0!</v>
      </c>
      <c r="U27" s="330"/>
      <c r="V27" s="330">
        <f>qtrSales!J28</f>
        <v>33</v>
      </c>
      <c r="W27" s="330"/>
      <c r="X27" s="359">
        <f>H27/V27</f>
        <v>0</v>
      </c>
      <c r="Y27" s="330"/>
      <c r="Z27" s="366" t="e">
        <f>(X27/X20-1)*100</f>
        <v>#DIV/0!</v>
      </c>
      <c r="AA27" s="330"/>
      <c r="AB27" s="357">
        <f>qtrSales!Y28</f>
        <v>0</v>
      </c>
      <c r="AC27" s="330"/>
      <c r="AD27" s="360" t="e">
        <f>H27/AB27</f>
        <v>#DIV/0!</v>
      </c>
      <c r="AE27" s="330"/>
      <c r="AF27" s="366" t="e">
        <f>(AD27/AD20-1)*100</f>
        <v>#DIV/0!</v>
      </c>
      <c r="AG27" s="330"/>
      <c r="AH27" s="330"/>
      <c r="AI27" s="330"/>
      <c r="AJ27" s="330"/>
    </row>
    <row r="28" spans="1:36" hidden="1" outlineLevel="1">
      <c r="A28" s="330" t="str">
        <f>$A$14</f>
        <v>4Q</v>
      </c>
      <c r="B28" s="330" t="str">
        <f>$B$14</f>
        <v>Jan</v>
      </c>
      <c r="C28" s="330"/>
      <c r="D28" s="361">
        <f>'qtrP&amp;L'!N$13</f>
        <v>152.43100000000001</v>
      </c>
      <c r="E28" s="330"/>
      <c r="F28" s="361">
        <f>'qtrP&amp;L'!N$23</f>
        <v>78.289000000000001</v>
      </c>
      <c r="G28" s="330"/>
      <c r="H28" s="362">
        <f>work!J$13</f>
        <v>0</v>
      </c>
      <c r="I28" s="330"/>
      <c r="J28" s="361">
        <f>AVERAGE(H27:H28)</f>
        <v>0</v>
      </c>
      <c r="K28" s="330"/>
      <c r="L28" s="368">
        <f>(D28/D21-1)*100</f>
        <v>2.2834635102128686</v>
      </c>
      <c r="M28" s="330"/>
      <c r="N28" s="366">
        <f>(H28/H21-1)*100</f>
        <v>-100</v>
      </c>
      <c r="O28" s="330"/>
      <c r="P28" s="366" t="e">
        <f>(H28/H27-1)*100</f>
        <v>#DIV/0!</v>
      </c>
      <c r="Q28" s="330"/>
      <c r="R28" s="359" t="e">
        <f>F28/J28</f>
        <v>#DIV/0!</v>
      </c>
      <c r="S28" s="330"/>
      <c r="T28" s="359" t="e">
        <f>F32/H28</f>
        <v>#DIV/0!</v>
      </c>
      <c r="U28" s="330"/>
      <c r="V28" s="330">
        <f>qtrSales!J29</f>
        <v>35</v>
      </c>
      <c r="W28" s="330"/>
      <c r="X28" s="359">
        <f>H28/V28</f>
        <v>0</v>
      </c>
      <c r="Y28" s="330"/>
      <c r="Z28" s="366">
        <f>(X28/X21-1)*100</f>
        <v>-100</v>
      </c>
      <c r="AA28" s="330"/>
      <c r="AB28" s="357">
        <f>qtrSales!Y29</f>
        <v>0</v>
      </c>
      <c r="AC28" s="330"/>
      <c r="AD28" s="360" t="e">
        <f>H28/AB28</f>
        <v>#DIV/0!</v>
      </c>
      <c r="AE28" s="330"/>
      <c r="AF28" s="366" t="e">
        <f>(AD28/AD21-1)*100</f>
        <v>#DIV/0!</v>
      </c>
      <c r="AG28" s="330"/>
      <c r="AH28" s="330"/>
      <c r="AI28" s="330"/>
      <c r="AJ28" s="330"/>
    </row>
    <row r="29" spans="1:36" hidden="1" outlineLevel="1">
      <c r="A29" s="330"/>
      <c r="B29" s="330" t="str">
        <f>$B$15</f>
        <v>Year</v>
      </c>
      <c r="C29" s="330"/>
      <c r="D29" s="342">
        <f>SUM(D25:D28)</f>
        <v>486.39600000000007</v>
      </c>
      <c r="E29" s="330"/>
      <c r="F29" s="342">
        <f>SUM(F25:F28)</f>
        <v>249.363</v>
      </c>
      <c r="G29" s="330"/>
      <c r="H29" s="330"/>
      <c r="I29" s="330"/>
      <c r="J29" s="342">
        <f>AVERAGE(J25:J28)</f>
        <v>60.349499999999999</v>
      </c>
      <c r="K29" s="330"/>
      <c r="L29" s="338">
        <f>(D29/D22-1)*100</f>
        <v>-1.1201327082816404</v>
      </c>
      <c r="M29" s="330"/>
      <c r="N29" s="366"/>
      <c r="O29" s="330"/>
      <c r="P29" s="330"/>
      <c r="Q29" s="330"/>
      <c r="R29" s="369">
        <f>F29/J29</f>
        <v>4.1319812094549251</v>
      </c>
      <c r="S29" s="364" t="s">
        <v>1458</v>
      </c>
      <c r="T29" s="330"/>
      <c r="U29" s="330"/>
      <c r="V29" s="330"/>
      <c r="W29" s="330"/>
      <c r="X29" s="330"/>
      <c r="Y29" s="330"/>
      <c r="Z29" s="330"/>
      <c r="AA29" s="330"/>
      <c r="AB29" s="357"/>
      <c r="AC29" s="330"/>
      <c r="AD29" s="330"/>
      <c r="AE29" s="330"/>
      <c r="AF29" s="330"/>
      <c r="AG29" s="330"/>
      <c r="AH29" s="330"/>
      <c r="AI29" s="330"/>
      <c r="AJ29" s="330"/>
    </row>
    <row r="30" spans="1:36" hidden="1" outlineLevel="1">
      <c r="A30" s="330"/>
      <c r="B30" s="330"/>
      <c r="C30" s="330"/>
      <c r="D30" s="330"/>
      <c r="E30" s="330"/>
      <c r="F30" s="330"/>
      <c r="G30" s="330"/>
      <c r="H30" s="330"/>
      <c r="I30" s="330"/>
      <c r="J30" s="330"/>
      <c r="K30" s="330"/>
      <c r="L30" s="330"/>
      <c r="M30" s="330"/>
      <c r="N30" s="330"/>
      <c r="O30" s="330"/>
      <c r="P30" s="330"/>
      <c r="Q30" s="330"/>
      <c r="R30" s="330"/>
      <c r="S30" s="330"/>
      <c r="T30" s="330"/>
      <c r="U30" s="330"/>
      <c r="V30" s="330"/>
      <c r="W30" s="330"/>
      <c r="X30" s="330"/>
      <c r="Y30" s="330"/>
      <c r="Z30" s="330"/>
      <c r="AA30" s="330"/>
      <c r="AB30" s="357"/>
      <c r="AC30" s="330"/>
      <c r="AD30" s="330"/>
      <c r="AE30" s="330"/>
      <c r="AF30" s="330"/>
      <c r="AG30" s="330"/>
      <c r="AH30" s="330"/>
      <c r="AI30" s="330"/>
      <c r="AJ30" s="330"/>
    </row>
    <row r="31" spans="1:36" hidden="1" outlineLevel="1">
      <c r="A31" s="330"/>
      <c r="B31" s="365">
        <f>B24+1</f>
        <v>1993</v>
      </c>
      <c r="C31" s="330"/>
      <c r="D31" s="330"/>
      <c r="E31" s="330"/>
      <c r="F31" s="330"/>
      <c r="G31" s="330"/>
      <c r="H31" s="330"/>
      <c r="I31" s="330"/>
      <c r="J31" s="330"/>
      <c r="K31" s="330"/>
      <c r="L31" s="330"/>
      <c r="M31" s="330"/>
      <c r="N31" s="330"/>
      <c r="O31" s="330"/>
      <c r="P31" s="330"/>
      <c r="Q31" s="330"/>
      <c r="R31" s="330"/>
      <c r="S31" s="330"/>
      <c r="T31" s="330"/>
      <c r="U31" s="330"/>
      <c r="V31" s="330"/>
      <c r="W31" s="330"/>
      <c r="X31" s="330"/>
      <c r="Y31" s="330"/>
      <c r="Z31" s="330"/>
      <c r="AA31" s="330"/>
      <c r="AB31" s="357"/>
      <c r="AC31" s="330"/>
      <c r="AD31" s="330"/>
      <c r="AE31" s="330"/>
      <c r="AF31" s="330"/>
      <c r="AG31" s="330"/>
      <c r="AH31" s="330"/>
      <c r="AI31" s="330"/>
      <c r="AJ31" s="330"/>
    </row>
    <row r="32" spans="1:36" hidden="1" outlineLevel="1">
      <c r="A32" s="330" t="str">
        <f>$A$11</f>
        <v>1Q</v>
      </c>
      <c r="B32" s="330" t="str">
        <f>$B$11</f>
        <v>Apr</v>
      </c>
      <c r="C32" s="330"/>
      <c r="D32" s="342">
        <f>'qtrP&amp;L'!R$10</f>
        <v>109.48099999999999</v>
      </c>
      <c r="E32" s="330"/>
      <c r="F32" s="342">
        <f>'qtrP&amp;L'!R$20</f>
        <v>58.7</v>
      </c>
      <c r="G32" s="330"/>
      <c r="H32" s="342">
        <f>work!N$10</f>
        <v>0</v>
      </c>
      <c r="I32" s="330"/>
      <c r="J32" s="355">
        <f>AVERAGE(H31:H32)</f>
        <v>0</v>
      </c>
      <c r="K32" s="330"/>
      <c r="L32" s="338">
        <f>(D32/D25-1)*100</f>
        <v>2.0916093175926243</v>
      </c>
      <c r="M32" s="330" t="s">
        <v>1970</v>
      </c>
      <c r="N32" s="338" t="e">
        <f>(H32/H25-1)*100</f>
        <v>#DIV/0!</v>
      </c>
      <c r="O32" s="330" t="s">
        <v>1970</v>
      </c>
      <c r="P32" s="338" t="e">
        <f>(H32/H28-1)*100</f>
        <v>#DIV/0!</v>
      </c>
      <c r="Q32" s="330" t="s">
        <v>1970</v>
      </c>
      <c r="R32" s="359" t="e">
        <f>F32/J32</f>
        <v>#DIV/0!</v>
      </c>
      <c r="S32" s="330" t="s">
        <v>1458</v>
      </c>
      <c r="T32" s="359" t="e">
        <f>F33/H32</f>
        <v>#DIV/0!</v>
      </c>
      <c r="U32" s="330" t="s">
        <v>1458</v>
      </c>
      <c r="V32" s="330">
        <f>qtrSales!J33</f>
        <v>42</v>
      </c>
      <c r="W32" s="330"/>
      <c r="X32" s="356">
        <f>H32/V32</f>
        <v>0</v>
      </c>
      <c r="Y32" s="330"/>
      <c r="Z32" s="366" t="e">
        <f>(X32/X25-1)*100</f>
        <v>#DIV/0!</v>
      </c>
      <c r="AA32" s="367" t="s">
        <v>1970</v>
      </c>
      <c r="AB32" s="357">
        <f>qtrSales!Y33</f>
        <v>0</v>
      </c>
      <c r="AC32" s="330"/>
      <c r="AD32" s="358" t="e">
        <f>H32/AB32</f>
        <v>#DIV/0!</v>
      </c>
      <c r="AE32" s="330"/>
      <c r="AF32" s="366" t="e">
        <f>(AD32/AD25-1)*100</f>
        <v>#DIV/0!</v>
      </c>
      <c r="AG32" s="367" t="s">
        <v>1970</v>
      </c>
      <c r="AH32" s="330"/>
      <c r="AI32" s="330"/>
      <c r="AJ32" s="330"/>
    </row>
    <row r="33" spans="1:36" hidden="1" outlineLevel="1">
      <c r="A33" s="330" t="str">
        <f>$A$12</f>
        <v>2Q</v>
      </c>
      <c r="B33" s="330" t="str">
        <f>$B$12</f>
        <v>Jul</v>
      </c>
      <c r="C33" s="330"/>
      <c r="D33" s="355">
        <f>'qtrP&amp;L'!R$11</f>
        <v>114.233</v>
      </c>
      <c r="E33" s="330"/>
      <c r="F33" s="355">
        <f>'qtrP&amp;L'!R$21</f>
        <v>58.786000000000001</v>
      </c>
      <c r="G33" s="330"/>
      <c r="H33" s="355">
        <f>work!N$11</f>
        <v>0</v>
      </c>
      <c r="I33" s="330"/>
      <c r="J33" s="355">
        <f>AVERAGE(H32:H33)</f>
        <v>0</v>
      </c>
      <c r="K33" s="330"/>
      <c r="L33" s="338">
        <f>(D33/D26-1)*100</f>
        <v>-5.4597368203260777</v>
      </c>
      <c r="M33" s="330"/>
      <c r="N33" s="338">
        <f>(H33/H26-1)*100</f>
        <v>-100</v>
      </c>
      <c r="O33" s="330"/>
      <c r="P33" s="338" t="e">
        <f>(H33/H32-1)*100</f>
        <v>#DIV/0!</v>
      </c>
      <c r="Q33" s="330"/>
      <c r="R33" s="359" t="e">
        <f>F33/J33</f>
        <v>#DIV/0!</v>
      </c>
      <c r="S33" s="330"/>
      <c r="T33" s="359" t="e">
        <f>F34/H33</f>
        <v>#DIV/0!</v>
      </c>
      <c r="U33" s="330"/>
      <c r="V33" s="330">
        <f>qtrSales!J34</f>
        <v>49</v>
      </c>
      <c r="W33" s="330"/>
      <c r="X33" s="359">
        <f>H33/V33</f>
        <v>0</v>
      </c>
      <c r="Y33" s="330"/>
      <c r="Z33" s="366">
        <f>(X33/X26-1)*100</f>
        <v>-100</v>
      </c>
      <c r="AA33" s="330"/>
      <c r="AB33" s="357">
        <f>qtrSales!Y34</f>
        <v>0</v>
      </c>
      <c r="AC33" s="330"/>
      <c r="AD33" s="360" t="e">
        <f>H33/AB33</f>
        <v>#DIV/0!</v>
      </c>
      <c r="AE33" s="330"/>
      <c r="AF33" s="366" t="e">
        <f>(AD33/AD26-1)*100</f>
        <v>#DIV/0!</v>
      </c>
      <c r="AG33" s="330"/>
      <c r="AH33" s="330"/>
      <c r="AI33" s="330"/>
      <c r="AJ33" s="330"/>
    </row>
    <row r="34" spans="1:36" hidden="1" outlineLevel="1">
      <c r="A34" s="330" t="str">
        <f>$A$13</f>
        <v>3Q</v>
      </c>
      <c r="B34" s="330" t="str">
        <f>$B$13</f>
        <v>Oct</v>
      </c>
      <c r="C34" s="330"/>
      <c r="D34" s="355">
        <f>'qtrP&amp;L'!R$12</f>
        <v>134.75</v>
      </c>
      <c r="E34" s="330"/>
      <c r="F34" s="355">
        <f>'qtrP&amp;L'!R$22</f>
        <v>62.917999999999999</v>
      </c>
      <c r="G34" s="330"/>
      <c r="H34" s="355">
        <f>work!N$12</f>
        <v>0</v>
      </c>
      <c r="I34" s="330"/>
      <c r="J34" s="355">
        <f>AVERAGE(H33:H34)</f>
        <v>0</v>
      </c>
      <c r="K34" s="330"/>
      <c r="L34" s="338">
        <f>(D34/D27-1)*100</f>
        <v>27.246286485924998</v>
      </c>
      <c r="M34" s="330"/>
      <c r="N34" s="338" t="e">
        <f>(H34/H27-1)*100</f>
        <v>#DIV/0!</v>
      </c>
      <c r="O34" s="330"/>
      <c r="P34" s="338" t="e">
        <f>(H34/H33-1)*100</f>
        <v>#DIV/0!</v>
      </c>
      <c r="Q34" s="330"/>
      <c r="R34" s="359" t="e">
        <f>F34/J34</f>
        <v>#DIV/0!</v>
      </c>
      <c r="S34" s="330"/>
      <c r="T34" s="359" t="e">
        <f>F35/H34</f>
        <v>#DIV/0!</v>
      </c>
      <c r="U34" s="330"/>
      <c r="V34" s="330">
        <f>qtrSales!J35</f>
        <v>57</v>
      </c>
      <c r="W34" s="330"/>
      <c r="X34" s="359">
        <f>H34/V34</f>
        <v>0</v>
      </c>
      <c r="Y34" s="330"/>
      <c r="Z34" s="366" t="e">
        <f>(X34/X27-1)*100</f>
        <v>#DIV/0!</v>
      </c>
      <c r="AA34" s="330"/>
      <c r="AB34" s="357">
        <f>qtrSales!Y35</f>
        <v>0</v>
      </c>
      <c r="AC34" s="330"/>
      <c r="AD34" s="360" t="e">
        <f>H34/AB34</f>
        <v>#DIV/0!</v>
      </c>
      <c r="AE34" s="330"/>
      <c r="AF34" s="366" t="e">
        <f>(AD34/AD27-1)*100</f>
        <v>#DIV/0!</v>
      </c>
      <c r="AG34" s="330"/>
      <c r="AH34" s="330"/>
      <c r="AI34" s="330"/>
      <c r="AJ34" s="330"/>
    </row>
    <row r="35" spans="1:36" hidden="1" outlineLevel="1">
      <c r="A35" s="330" t="str">
        <f>$A$14</f>
        <v>4Q</v>
      </c>
      <c r="B35" s="330" t="str">
        <f>$B$14</f>
        <v>Jan</v>
      </c>
      <c r="C35" s="330"/>
      <c r="D35" s="361">
        <f>'qtrP&amp;L'!R$13</f>
        <v>208.03700000000001</v>
      </c>
      <c r="E35" s="330"/>
      <c r="F35" s="361">
        <f>'qtrP&amp;L'!R$23</f>
        <v>95.715000000000003</v>
      </c>
      <c r="G35" s="330"/>
      <c r="H35" s="362">
        <f>work!N$13</f>
        <v>262.28199999999998</v>
      </c>
      <c r="I35" s="330"/>
      <c r="J35" s="361">
        <f>AVERAGE(H34:H35)</f>
        <v>131.14099999999999</v>
      </c>
      <c r="K35" s="330"/>
      <c r="L35" s="368">
        <f>(D35/D28-1)*100</f>
        <v>36.479456278578496</v>
      </c>
      <c r="M35" s="330"/>
      <c r="N35" s="366" t="e">
        <f>(H35/H28-1)*100</f>
        <v>#DIV/0!</v>
      </c>
      <c r="O35" s="330"/>
      <c r="P35" s="366" t="e">
        <f>(H35/H34-1)*100</f>
        <v>#DIV/0!</v>
      </c>
      <c r="Q35" s="330"/>
      <c r="R35" s="359">
        <f>F35/J35</f>
        <v>0.729863276930937</v>
      </c>
      <c r="S35" s="330"/>
      <c r="T35" s="359">
        <f>F39/H35</f>
        <v>0.24403885893808958</v>
      </c>
      <c r="U35" s="330"/>
      <c r="V35" s="330">
        <f>qtrSales!J36</f>
        <v>65</v>
      </c>
      <c r="W35" s="330"/>
      <c r="X35" s="359">
        <f>H35/V35</f>
        <v>4.0351076923076921</v>
      </c>
      <c r="Y35" s="330"/>
      <c r="Z35" s="366" t="e">
        <f>(X35/X28-1)*100</f>
        <v>#DIV/0!</v>
      </c>
      <c r="AA35" s="330"/>
      <c r="AB35" s="357">
        <f>qtrSales!Y36</f>
        <v>0.32945000000000002</v>
      </c>
      <c r="AC35" s="330"/>
      <c r="AD35" s="360">
        <f>H35/AB35</f>
        <v>796.12080740628312</v>
      </c>
      <c r="AE35" s="330"/>
      <c r="AF35" s="366" t="e">
        <f>(AD35/AD28-1)*100</f>
        <v>#DIV/0!</v>
      </c>
      <c r="AG35" s="330"/>
      <c r="AH35" s="330"/>
      <c r="AI35" s="330"/>
      <c r="AJ35" s="330"/>
    </row>
    <row r="36" spans="1:36" hidden="1" outlineLevel="1">
      <c r="A36" s="330"/>
      <c r="B36" s="330" t="str">
        <f>$B$15</f>
        <v>Year</v>
      </c>
      <c r="C36" s="330"/>
      <c r="D36" s="342">
        <f>SUM(D32:D35)</f>
        <v>566.50099999999998</v>
      </c>
      <c r="E36" s="330"/>
      <c r="F36" s="342">
        <f>SUM(F32:F35)</f>
        <v>276.11900000000003</v>
      </c>
      <c r="G36" s="330"/>
      <c r="H36" s="330"/>
      <c r="I36" s="330"/>
      <c r="J36" s="342">
        <f>AVERAGE(J32:J35)</f>
        <v>32.785249999999998</v>
      </c>
      <c r="K36" s="330"/>
      <c r="L36" s="338">
        <f>(D36/D29-1)*100</f>
        <v>16.469091028709105</v>
      </c>
      <c r="M36" s="330"/>
      <c r="N36" s="366"/>
      <c r="O36" s="330"/>
      <c r="P36" s="330"/>
      <c r="Q36" s="330"/>
      <c r="R36" s="369">
        <f>F36/J36</f>
        <v>8.4220495497212937</v>
      </c>
      <c r="S36" s="364" t="s">
        <v>1458</v>
      </c>
      <c r="T36" s="330"/>
      <c r="U36" s="330"/>
      <c r="V36" s="330"/>
      <c r="W36" s="330"/>
      <c r="X36" s="330"/>
      <c r="Y36" s="330"/>
      <c r="Z36" s="330"/>
      <c r="AA36" s="330"/>
      <c r="AB36" s="357"/>
      <c r="AC36" s="330"/>
      <c r="AD36" s="330"/>
      <c r="AE36" s="330"/>
      <c r="AF36" s="330"/>
      <c r="AG36" s="330"/>
      <c r="AH36" s="330"/>
      <c r="AI36" s="330"/>
      <c r="AJ36" s="330"/>
    </row>
    <row r="37" spans="1:36" hidden="1" outlineLevel="1">
      <c r="A37" s="330"/>
      <c r="B37" s="330"/>
      <c r="C37" s="330"/>
      <c r="D37" s="330"/>
      <c r="E37" s="330"/>
      <c r="F37" s="330"/>
      <c r="G37" s="330"/>
      <c r="H37" s="330"/>
      <c r="I37" s="330"/>
      <c r="J37" s="330"/>
      <c r="K37" s="330"/>
      <c r="L37" s="330"/>
      <c r="M37" s="330"/>
      <c r="N37" s="330"/>
      <c r="O37" s="330"/>
      <c r="P37" s="330"/>
      <c r="Q37" s="330"/>
      <c r="R37" s="330"/>
      <c r="S37" s="330"/>
      <c r="T37" s="330"/>
      <c r="U37" s="330"/>
      <c r="V37" s="330"/>
      <c r="W37" s="330"/>
      <c r="X37" s="330"/>
      <c r="Y37" s="330"/>
      <c r="Z37" s="330"/>
      <c r="AA37" s="330"/>
      <c r="AB37" s="357"/>
      <c r="AC37" s="330"/>
      <c r="AD37" s="330"/>
      <c r="AE37" s="330"/>
      <c r="AF37" s="330"/>
      <c r="AG37" s="330"/>
      <c r="AH37" s="330"/>
      <c r="AI37" s="330"/>
      <c r="AJ37" s="330"/>
    </row>
    <row r="38" spans="1:36" hidden="1" outlineLevel="1">
      <c r="A38" s="330"/>
      <c r="B38" s="365">
        <f>B31+1</f>
        <v>1994</v>
      </c>
      <c r="C38" s="330"/>
      <c r="D38" s="330"/>
      <c r="E38" s="330"/>
      <c r="F38" s="330"/>
      <c r="G38" s="330"/>
      <c r="H38" s="330"/>
      <c r="I38" s="330"/>
      <c r="J38" s="330"/>
      <c r="K38" s="330"/>
      <c r="L38" s="330"/>
      <c r="M38" s="330"/>
      <c r="N38" s="330"/>
      <c r="O38" s="330"/>
      <c r="P38" s="330"/>
      <c r="Q38" s="330"/>
      <c r="R38" s="330"/>
      <c r="S38" s="330"/>
      <c r="T38" s="330"/>
      <c r="U38" s="330"/>
      <c r="V38" s="330"/>
      <c r="W38" s="330"/>
      <c r="X38" s="330"/>
      <c r="Y38" s="330"/>
      <c r="Z38" s="330"/>
      <c r="AA38" s="330"/>
      <c r="AB38" s="357"/>
      <c r="AC38" s="330"/>
      <c r="AD38" s="330"/>
      <c r="AE38" s="330"/>
      <c r="AF38" s="330"/>
      <c r="AG38" s="330"/>
      <c r="AH38" s="330"/>
      <c r="AI38" s="330"/>
      <c r="AJ38" s="330"/>
    </row>
    <row r="39" spans="1:36" hidden="1" outlineLevel="1">
      <c r="A39" s="330" t="str">
        <f>$A$11</f>
        <v>1Q</v>
      </c>
      <c r="B39" s="330" t="str">
        <f>$B$11</f>
        <v>Apr</v>
      </c>
      <c r="C39" s="330"/>
      <c r="D39" s="342">
        <f>'qtrP&amp;L'!V$10</f>
        <v>131.20699999999999</v>
      </c>
      <c r="E39" s="330"/>
      <c r="F39" s="342">
        <f>'qtrP&amp;L'!V$20</f>
        <v>64.007000000000005</v>
      </c>
      <c r="G39" s="330"/>
      <c r="H39" s="342">
        <f>work!R$10</f>
        <v>282.05399999999997</v>
      </c>
      <c r="I39" s="330"/>
      <c r="J39" s="355">
        <f>AVERAGE(H38:H39)</f>
        <v>282.05399999999997</v>
      </c>
      <c r="K39" s="330"/>
      <c r="L39" s="338">
        <f>(D39/D32-1)*100</f>
        <v>19.844539235118418</v>
      </c>
      <c r="M39" s="330" t="s">
        <v>1970</v>
      </c>
      <c r="N39" s="338" t="e">
        <f>(H39/H32-1)*100</f>
        <v>#DIV/0!</v>
      </c>
      <c r="O39" s="330" t="s">
        <v>1970</v>
      </c>
      <c r="P39" s="338">
        <f>(H39/H35-1)*100</f>
        <v>7.5384509802426392</v>
      </c>
      <c r="Q39" s="330" t="s">
        <v>1970</v>
      </c>
      <c r="R39" s="359">
        <f>F39/J39</f>
        <v>0.22693172229431247</v>
      </c>
      <c r="S39" s="330" t="s">
        <v>1458</v>
      </c>
      <c r="T39" s="359">
        <f>F40/H39</f>
        <v>0.26000694902394578</v>
      </c>
      <c r="U39" s="330" t="s">
        <v>1458</v>
      </c>
      <c r="V39" s="330">
        <f>qtrSales!J40</f>
        <v>65</v>
      </c>
      <c r="W39" s="330"/>
      <c r="X39" s="356">
        <f>H39/V39</f>
        <v>4.3392923076923076</v>
      </c>
      <c r="Y39" s="330"/>
      <c r="Z39" s="366" t="e">
        <f>(X39/X32-1)*100</f>
        <v>#DIV/0!</v>
      </c>
      <c r="AA39" s="367" t="s">
        <v>1970</v>
      </c>
      <c r="AB39" s="357">
        <f>qtrSales!Y40</f>
        <v>0.32945000000000002</v>
      </c>
      <c r="AC39" s="330"/>
      <c r="AD39" s="358">
        <f>H39/AB39</f>
        <v>856.13598421611766</v>
      </c>
      <c r="AE39" s="330"/>
      <c r="AF39" s="366" t="e">
        <f>(AD39/AD32-1)*100</f>
        <v>#DIV/0!</v>
      </c>
      <c r="AG39" s="367" t="s">
        <v>1970</v>
      </c>
      <c r="AH39" s="330"/>
      <c r="AI39" s="330"/>
      <c r="AJ39" s="330"/>
    </row>
    <row r="40" spans="1:36" hidden="1" outlineLevel="1">
      <c r="A40" s="330" t="str">
        <f>$A$12</f>
        <v>2Q</v>
      </c>
      <c r="B40" s="330" t="str">
        <f>$B$12</f>
        <v>Jul</v>
      </c>
      <c r="C40" s="330"/>
      <c r="D40" s="355">
        <f>'qtrP&amp;L'!V$11</f>
        <v>152.25700000000001</v>
      </c>
      <c r="E40" s="330"/>
      <c r="F40" s="355">
        <f>'qtrP&amp;L'!V$21</f>
        <v>73.335999999999999</v>
      </c>
      <c r="G40" s="330"/>
      <c r="H40" s="355">
        <f>work!R$11</f>
        <v>291.03100000000001</v>
      </c>
      <c r="I40" s="330"/>
      <c r="J40" s="355">
        <f>AVERAGE(H39:H40)</f>
        <v>286.54250000000002</v>
      </c>
      <c r="K40" s="330"/>
      <c r="L40" s="338">
        <f>(D40/D33-1)*100</f>
        <v>33.286353330473673</v>
      </c>
      <c r="M40" s="330"/>
      <c r="N40" s="338" t="e">
        <f>(H40/H33-1)*100</f>
        <v>#DIV/0!</v>
      </c>
      <c r="O40" s="330"/>
      <c r="P40" s="338">
        <f>(H40/H39-1)*100</f>
        <v>3.1827238755699483</v>
      </c>
      <c r="Q40" s="330"/>
      <c r="R40" s="359">
        <f>F40/J40</f>
        <v>0.25593411099575103</v>
      </c>
      <c r="S40" s="330"/>
      <c r="T40" s="359">
        <f>F41/H40</f>
        <v>0.2600204101968519</v>
      </c>
      <c r="U40" s="330"/>
      <c r="V40" s="330">
        <f>qtrSales!J41</f>
        <v>67</v>
      </c>
      <c r="W40" s="330"/>
      <c r="X40" s="359">
        <f>H40/V40</f>
        <v>4.3437462686567168</v>
      </c>
      <c r="Y40" s="330"/>
      <c r="Z40" s="366" t="e">
        <f>(X40/X33-1)*100</f>
        <v>#DIV/0!</v>
      </c>
      <c r="AA40" s="330"/>
      <c r="AB40" s="357">
        <f>qtrSales!Y41</f>
        <v>0.33795000000000003</v>
      </c>
      <c r="AC40" s="330"/>
      <c r="AD40" s="360">
        <f>H40/AB40</f>
        <v>861.16585293682488</v>
      </c>
      <c r="AE40" s="330"/>
      <c r="AF40" s="366" t="e">
        <f>(AD40/AD33-1)*100</f>
        <v>#DIV/0!</v>
      </c>
      <c r="AG40" s="330"/>
      <c r="AH40" s="330"/>
      <c r="AI40" s="330"/>
      <c r="AJ40" s="330"/>
    </row>
    <row r="41" spans="1:36" hidden="1" outlineLevel="1">
      <c r="A41" s="330" t="str">
        <f>$A$13</f>
        <v>3Q</v>
      </c>
      <c r="B41" s="330" t="str">
        <f>$B$13</f>
        <v>Oct</v>
      </c>
      <c r="C41" s="330"/>
      <c r="D41" s="355">
        <f>'qtrP&amp;L'!V$12</f>
        <v>160.09100000000001</v>
      </c>
      <c r="E41" s="330"/>
      <c r="F41" s="355">
        <f>'qtrP&amp;L'!V$22</f>
        <v>75.674000000000007</v>
      </c>
      <c r="G41" s="330"/>
      <c r="H41" s="355">
        <f>work!R$12</f>
        <v>305.69900000000001</v>
      </c>
      <c r="I41" s="330"/>
      <c r="J41" s="355">
        <f>AVERAGE(H40:H41)</f>
        <v>298.36500000000001</v>
      </c>
      <c r="K41" s="330"/>
      <c r="L41" s="338">
        <f>(D41/D34-1)*100</f>
        <v>18.805936920222631</v>
      </c>
      <c r="M41" s="330"/>
      <c r="N41" s="338" t="e">
        <f>(H41/H34-1)*100</f>
        <v>#DIV/0!</v>
      </c>
      <c r="O41" s="330"/>
      <c r="P41" s="338">
        <f>(H41/H40-1)*100</f>
        <v>5.04001291958589</v>
      </c>
      <c r="Q41" s="330"/>
      <c r="R41" s="359">
        <f>F41/J41</f>
        <v>0.25362894441372147</v>
      </c>
      <c r="S41" s="330"/>
      <c r="T41" s="359">
        <f>F42/H41</f>
        <v>0.36510423652023721</v>
      </c>
      <c r="U41" s="330"/>
      <c r="V41" s="330">
        <f>qtrSales!J42</f>
        <v>69</v>
      </c>
      <c r="W41" s="330"/>
      <c r="X41" s="359">
        <f>H41/V41</f>
        <v>4.4304202898550731</v>
      </c>
      <c r="Y41" s="330"/>
      <c r="Z41" s="366" t="e">
        <f>(X41/X34-1)*100</f>
        <v>#DIV/0!</v>
      </c>
      <c r="AA41" s="330"/>
      <c r="AB41" s="357">
        <f>qtrSales!Y42</f>
        <v>0.34645000000000004</v>
      </c>
      <c r="AC41" s="330"/>
      <c r="AD41" s="360">
        <f>H41/AB41</f>
        <v>882.3755231635156</v>
      </c>
      <c r="AE41" s="330"/>
      <c r="AF41" s="366" t="e">
        <f>(AD41/AD34-1)*100</f>
        <v>#DIV/0!</v>
      </c>
      <c r="AG41" s="330"/>
      <c r="AH41" s="330"/>
      <c r="AI41" s="330"/>
      <c r="AJ41" s="330"/>
    </row>
    <row r="42" spans="1:36" hidden="1" outlineLevel="1">
      <c r="A42" s="330" t="str">
        <f>$A$14</f>
        <v>4Q</v>
      </c>
      <c r="B42" s="330" t="str">
        <f>$B$14</f>
        <v>Jan</v>
      </c>
      <c r="C42" s="330"/>
      <c r="D42" s="361">
        <f>'qtrP&amp;L'!V$13</f>
        <v>239.27600000000001</v>
      </c>
      <c r="E42" s="330"/>
      <c r="F42" s="361">
        <f>'qtrP&amp;L'!V$23</f>
        <v>111.61199999999999</v>
      </c>
      <c r="G42" s="330"/>
      <c r="H42" s="362">
        <f>work!R$13</f>
        <v>270.07499999999999</v>
      </c>
      <c r="I42" s="330"/>
      <c r="J42" s="361">
        <f>AVERAGE(H41:H42)</f>
        <v>287.887</v>
      </c>
      <c r="K42" s="330"/>
      <c r="L42" s="368">
        <f>(D42/D35-1)*100</f>
        <v>15.016078870585513</v>
      </c>
      <c r="M42" s="330"/>
      <c r="N42" s="366">
        <f>(H42/H35-1)*100</f>
        <v>2.9712294400683348</v>
      </c>
      <c r="O42" s="330"/>
      <c r="P42" s="366">
        <f>(H42/H41-1)*100</f>
        <v>-11.653292945021088</v>
      </c>
      <c r="Q42" s="330"/>
      <c r="R42" s="359">
        <f>F42/J42</f>
        <v>0.38769378262999021</v>
      </c>
      <c r="S42" s="330"/>
      <c r="T42" s="359">
        <f>F46/H42</f>
        <v>0.26948440248079242</v>
      </c>
      <c r="U42" s="330"/>
      <c r="V42" s="330">
        <f>qtrSales!J43</f>
        <v>69</v>
      </c>
      <c r="W42" s="330"/>
      <c r="X42" s="359">
        <f>H42/V42</f>
        <v>3.9141304347826087</v>
      </c>
      <c r="Y42" s="330"/>
      <c r="Z42" s="366">
        <f>(X42/X35-1)*100</f>
        <v>-2.9981171941385276</v>
      </c>
      <c r="AA42" s="330"/>
      <c r="AB42" s="357">
        <f>qtrSales!Y43</f>
        <v>0.34645000000000004</v>
      </c>
      <c r="AC42" s="330"/>
      <c r="AD42" s="360">
        <f>H42/AB42</f>
        <v>779.54971857410874</v>
      </c>
      <c r="AE42" s="330"/>
      <c r="AF42" s="366">
        <f>(AD42/AD35-1)*100</f>
        <v>-2.0814791772824082</v>
      </c>
      <c r="AG42" s="330"/>
      <c r="AH42" s="330"/>
      <c r="AI42" s="330"/>
      <c r="AJ42" s="330"/>
    </row>
    <row r="43" spans="1:36" hidden="1" outlineLevel="1">
      <c r="A43" s="330"/>
      <c r="B43" s="330" t="str">
        <f>$B$15</f>
        <v>Year</v>
      </c>
      <c r="C43" s="330"/>
      <c r="D43" s="342">
        <f>SUM(D39:D42)</f>
        <v>682.83100000000002</v>
      </c>
      <c r="E43" s="330"/>
      <c r="F43" s="342">
        <f>SUM(F39:F42)</f>
        <v>324.62900000000002</v>
      </c>
      <c r="G43" s="330"/>
      <c r="H43" s="330"/>
      <c r="I43" s="330"/>
      <c r="J43" s="342">
        <f>AVERAGE(J39:J42)</f>
        <v>288.71212500000001</v>
      </c>
      <c r="K43" s="330"/>
      <c r="L43" s="338">
        <f>(D43/D36-1)*100</f>
        <v>20.534826946466112</v>
      </c>
      <c r="M43" s="330"/>
      <c r="N43" s="366"/>
      <c r="O43" s="330"/>
      <c r="P43" s="330"/>
      <c r="Q43" s="330"/>
      <c r="R43" s="369">
        <f>F43/J43</f>
        <v>1.1244037637837345</v>
      </c>
      <c r="S43" s="364" t="s">
        <v>1458</v>
      </c>
      <c r="T43" s="330"/>
      <c r="U43" s="330"/>
      <c r="V43" s="330"/>
      <c r="W43" s="330"/>
      <c r="X43" s="330"/>
      <c r="Y43" s="330"/>
      <c r="Z43" s="330"/>
      <c r="AA43" s="330"/>
      <c r="AB43" s="357"/>
      <c r="AC43" s="330"/>
      <c r="AD43" s="330"/>
      <c r="AE43" s="330"/>
      <c r="AF43" s="330"/>
      <c r="AG43" s="330"/>
      <c r="AH43" s="330"/>
      <c r="AI43" s="330"/>
      <c r="AJ43" s="330"/>
    </row>
    <row r="44" spans="1:36" hidden="1" outlineLevel="1">
      <c r="A44" s="330"/>
      <c r="B44" s="330"/>
      <c r="C44" s="330"/>
      <c r="D44" s="330"/>
      <c r="E44" s="330"/>
      <c r="F44" s="330"/>
      <c r="G44" s="330"/>
      <c r="H44" s="330"/>
      <c r="I44" s="330"/>
      <c r="J44" s="330"/>
      <c r="K44" s="330"/>
      <c r="L44" s="330"/>
      <c r="M44" s="330"/>
      <c r="N44" s="330"/>
      <c r="O44" s="330"/>
      <c r="P44" s="330"/>
      <c r="Q44" s="330"/>
      <c r="R44" s="330"/>
      <c r="S44" s="330"/>
      <c r="T44" s="330"/>
      <c r="U44" s="330"/>
      <c r="V44" s="330"/>
      <c r="W44" s="330"/>
      <c r="X44" s="330"/>
      <c r="Y44" s="330"/>
      <c r="Z44" s="330"/>
      <c r="AA44" s="330"/>
      <c r="AB44" s="357"/>
      <c r="AC44" s="330"/>
      <c r="AD44" s="330"/>
      <c r="AE44" s="330"/>
      <c r="AF44" s="330"/>
      <c r="AG44" s="330"/>
      <c r="AH44" s="330"/>
      <c r="AI44" s="330"/>
      <c r="AJ44" s="330"/>
    </row>
    <row r="45" spans="1:36" hidden="1" outlineLevel="1" collapsed="1">
      <c r="A45" s="330"/>
      <c r="B45" s="365">
        <f>B38+1</f>
        <v>1995</v>
      </c>
      <c r="C45" s="330"/>
      <c r="D45" s="330"/>
      <c r="E45" s="330"/>
      <c r="F45" s="330"/>
      <c r="G45" s="330"/>
      <c r="H45" s="330"/>
      <c r="I45" s="330"/>
      <c r="J45" s="330"/>
      <c r="K45" s="330"/>
      <c r="L45" s="330"/>
      <c r="M45" s="330"/>
      <c r="N45" s="330"/>
      <c r="O45" s="330"/>
      <c r="P45" s="330"/>
      <c r="Q45" s="330"/>
      <c r="R45" s="330"/>
      <c r="S45" s="330"/>
      <c r="T45" s="330"/>
      <c r="U45" s="330"/>
      <c r="V45" s="330"/>
      <c r="W45" s="330"/>
      <c r="X45" s="330"/>
      <c r="Y45" s="330"/>
      <c r="Z45" s="330"/>
      <c r="AA45" s="330"/>
      <c r="AB45" s="357"/>
      <c r="AC45" s="330"/>
      <c r="AD45" s="330"/>
      <c r="AE45" s="330"/>
      <c r="AF45" s="330"/>
      <c r="AG45" s="330"/>
      <c r="AH45" s="330"/>
      <c r="AI45" s="330"/>
      <c r="AJ45" s="330"/>
    </row>
    <row r="46" spans="1:36" hidden="1" outlineLevel="1">
      <c r="A46" s="330" t="str">
        <f>$A$11</f>
        <v>1Q</v>
      </c>
      <c r="B46" s="330" t="str">
        <f>$B$11</f>
        <v>Apr</v>
      </c>
      <c r="C46" s="330"/>
      <c r="D46" s="342">
        <f>'qtrP&amp;L'!Z$10</f>
        <v>150.14400000000001</v>
      </c>
      <c r="E46" s="330"/>
      <c r="F46" s="342">
        <f>'qtrP&amp;L'!Z$20</f>
        <v>72.781000000000006</v>
      </c>
      <c r="G46" s="330"/>
      <c r="H46" s="342">
        <f>work!V$10</f>
        <v>295.37</v>
      </c>
      <c r="I46" s="330"/>
      <c r="J46" s="355">
        <f>AVERAGE(H45:H46)</f>
        <v>295.37</v>
      </c>
      <c r="K46" s="330"/>
      <c r="L46" s="338">
        <f>(D46/D39-1)*100</f>
        <v>14.432918975359566</v>
      </c>
      <c r="M46" s="330" t="s">
        <v>1970</v>
      </c>
      <c r="N46" s="338">
        <f>(H46/H39-1)*100</f>
        <v>4.7210817786665027</v>
      </c>
      <c r="O46" s="330" t="s">
        <v>1970</v>
      </c>
      <c r="P46" s="338">
        <f>(H46/H42-1)*100</f>
        <v>9.3659168749421475</v>
      </c>
      <c r="Q46" s="330" t="s">
        <v>1970</v>
      </c>
      <c r="R46" s="359">
        <f>F46/J46</f>
        <v>0.24640620239022246</v>
      </c>
      <c r="S46" s="330" t="s">
        <v>1458</v>
      </c>
      <c r="T46" s="359">
        <f>F47/H46</f>
        <v>0.29882520228865489</v>
      </c>
      <c r="U46" s="330" t="s">
        <v>1458</v>
      </c>
      <c r="V46" s="330">
        <f>qtrSales!J47</f>
        <v>69</v>
      </c>
      <c r="W46" s="330"/>
      <c r="X46" s="356">
        <f>H46/V46</f>
        <v>4.2807246376811596</v>
      </c>
      <c r="Y46" s="330"/>
      <c r="Z46" s="366">
        <f>(X46/X39-1)*100</f>
        <v>-1.3497055708214134</v>
      </c>
      <c r="AA46" s="367" t="s">
        <v>1970</v>
      </c>
      <c r="AB46" s="357">
        <f>qtrSales!Y47</f>
        <v>0.34645000000000004</v>
      </c>
      <c r="AC46" s="330"/>
      <c r="AD46" s="358">
        <f>H46/AB46</f>
        <v>852.56169721460526</v>
      </c>
      <c r="AE46" s="330"/>
      <c r="AF46" s="366">
        <f>(AD46/AD39-1)*100</f>
        <v>-0.41749057012070434</v>
      </c>
      <c r="AG46" s="367" t="s">
        <v>1970</v>
      </c>
      <c r="AH46" s="330"/>
      <c r="AI46" s="330"/>
      <c r="AJ46" s="330"/>
    </row>
    <row r="47" spans="1:36" hidden="1" outlineLevel="1">
      <c r="A47" s="330" t="str">
        <f>$A$12</f>
        <v>2Q</v>
      </c>
      <c r="B47" s="330" t="str">
        <f>$B$12</f>
        <v>Jul</v>
      </c>
      <c r="C47" s="330"/>
      <c r="D47" s="355">
        <f>'qtrP&amp;L'!Z$11</f>
        <v>184.68199999999999</v>
      </c>
      <c r="E47" s="330"/>
      <c r="F47" s="355">
        <f>'qtrP&amp;L'!Z$21</f>
        <v>88.263999999999996</v>
      </c>
      <c r="G47" s="330"/>
      <c r="H47" s="355">
        <f>work!V$11</f>
        <v>299.69799999999998</v>
      </c>
      <c r="I47" s="330"/>
      <c r="J47" s="355">
        <f>AVERAGE(H46:H47)</f>
        <v>297.53399999999999</v>
      </c>
      <c r="K47" s="330"/>
      <c r="L47" s="338">
        <f>(D47/D40-1)*100</f>
        <v>21.296229401603849</v>
      </c>
      <c r="M47" s="330"/>
      <c r="N47" s="338">
        <f>(H47/H40-1)*100</f>
        <v>2.9780332679336441</v>
      </c>
      <c r="O47" s="330"/>
      <c r="P47" s="338">
        <f>(H47/H46-1)*100</f>
        <v>1.4652808342079382</v>
      </c>
      <c r="Q47" s="330"/>
      <c r="R47" s="359">
        <f>F47/J47</f>
        <v>0.29665181122157469</v>
      </c>
      <c r="S47" s="330"/>
      <c r="T47" s="359">
        <f>F48/H47</f>
        <v>0.29049910242977933</v>
      </c>
      <c r="U47" s="330"/>
      <c r="V47" s="330">
        <f>qtrSales!J48</f>
        <v>71</v>
      </c>
      <c r="W47" s="330"/>
      <c r="X47" s="359">
        <f>H47/V47</f>
        <v>4.2210985915492953</v>
      </c>
      <c r="Y47" s="330"/>
      <c r="Z47" s="366">
        <f>(X47/X40-1)*100</f>
        <v>-2.8235460711048765</v>
      </c>
      <c r="AA47" s="330"/>
      <c r="AB47" s="357">
        <f>qtrSales!Y48</f>
        <v>0.35445000000000004</v>
      </c>
      <c r="AC47" s="330"/>
      <c r="AD47" s="360">
        <f>H47/AB47</f>
        <v>845.52969389194516</v>
      </c>
      <c r="AE47" s="330"/>
      <c r="AF47" s="366">
        <f>(AD47/AD40-1)*100</f>
        <v>-1.8156965921902191</v>
      </c>
      <c r="AG47" s="330"/>
      <c r="AH47" s="330"/>
      <c r="AI47" s="330"/>
      <c r="AJ47" s="330"/>
    </row>
    <row r="48" spans="1:36" hidden="1" outlineLevel="1">
      <c r="A48" s="330" t="str">
        <f>$A$13</f>
        <v>3Q</v>
      </c>
      <c r="B48" s="330" t="str">
        <f>$B$13</f>
        <v>Oct</v>
      </c>
      <c r="C48" s="330"/>
      <c r="D48" s="355">
        <f>'qtrP&amp;L'!Z$12</f>
        <v>187.76599999999999</v>
      </c>
      <c r="E48" s="330"/>
      <c r="F48" s="355">
        <f>'qtrP&amp;L'!Z$22</f>
        <v>87.061999999999998</v>
      </c>
      <c r="G48" s="330"/>
      <c r="H48" s="355">
        <f>work!V$12</f>
        <v>323.38400000000001</v>
      </c>
      <c r="I48" s="330"/>
      <c r="J48" s="355">
        <f>AVERAGE(H47:H48)</f>
        <v>311.541</v>
      </c>
      <c r="K48" s="330"/>
      <c r="L48" s="338">
        <f>(D48/D41-1)*100</f>
        <v>17.287042994296975</v>
      </c>
      <c r="M48" s="330"/>
      <c r="N48" s="338">
        <f>(H48/H41-1)*100</f>
        <v>5.785102339229109</v>
      </c>
      <c r="O48" s="330"/>
      <c r="P48" s="338">
        <f>(H48/H47-1)*100</f>
        <v>7.9032893112400027</v>
      </c>
      <c r="Q48" s="330"/>
      <c r="R48" s="359">
        <f>F48/J48</f>
        <v>0.27945599455609371</v>
      </c>
      <c r="S48" s="330"/>
      <c r="T48" s="359">
        <f>F49/H48</f>
        <v>0.39524218885288076</v>
      </c>
      <c r="U48" s="330"/>
      <c r="V48" s="330">
        <f>qtrSales!J49</f>
        <v>73</v>
      </c>
      <c r="W48" s="330"/>
      <c r="X48" s="359">
        <f>H48/V48</f>
        <v>4.4299178082191784</v>
      </c>
      <c r="Y48" s="330"/>
      <c r="Z48" s="366">
        <f>(X48/X41-1)*100</f>
        <v>-1.134162456427612E-2</v>
      </c>
      <c r="AA48" s="330"/>
      <c r="AB48" s="357">
        <f>qtrSales!Y49</f>
        <v>0.36245000000000005</v>
      </c>
      <c r="AC48" s="330"/>
      <c r="AD48" s="360">
        <f>H48/AB48</f>
        <v>892.21685749758581</v>
      </c>
      <c r="AE48" s="330"/>
      <c r="AF48" s="366">
        <f>(AD48/AD41-1)*100</f>
        <v>1.1153226801653426</v>
      </c>
      <c r="AG48" s="330"/>
      <c r="AH48" s="330"/>
      <c r="AI48" s="330"/>
      <c r="AJ48" s="330"/>
    </row>
    <row r="49" spans="1:36" hidden="1" outlineLevel="1">
      <c r="A49" s="330" t="str">
        <f>$A$14</f>
        <v>4Q</v>
      </c>
      <c r="B49" s="330" t="str">
        <f>$B$14</f>
        <v>Jan</v>
      </c>
      <c r="C49" s="330"/>
      <c r="D49" s="361">
        <f>'qtrP&amp;L'!Z$13</f>
        <v>280.7</v>
      </c>
      <c r="E49" s="330"/>
      <c r="F49" s="361">
        <f>'qtrP&amp;L'!Z$23</f>
        <v>127.815</v>
      </c>
      <c r="G49" s="330"/>
      <c r="H49" s="362">
        <f>work!V$13</f>
        <v>311.25200000000001</v>
      </c>
      <c r="I49" s="330"/>
      <c r="J49" s="361">
        <f>AVERAGE(H48:H49)</f>
        <v>317.31799999999998</v>
      </c>
      <c r="K49" s="330"/>
      <c r="L49" s="368">
        <f>(D49/D42-1)*100</f>
        <v>17.312225212725039</v>
      </c>
      <c r="M49" s="330"/>
      <c r="N49" s="366">
        <f>(H49/H42-1)*100</f>
        <v>15.246505600296212</v>
      </c>
      <c r="O49" s="330"/>
      <c r="P49" s="366">
        <f>(H49/H48-1)*100</f>
        <v>-3.7515770724587449</v>
      </c>
      <c r="Q49" s="330"/>
      <c r="R49" s="359">
        <f>F49/J49</f>
        <v>0.40279782426461785</v>
      </c>
      <c r="S49" s="330"/>
      <c r="T49" s="359">
        <f>F53/H49</f>
        <v>0.28072108773598242</v>
      </c>
      <c r="U49" s="330"/>
      <c r="V49" s="330">
        <f>qtrSales!J50</f>
        <v>75</v>
      </c>
      <c r="W49" s="330"/>
      <c r="X49" s="359">
        <f>H49/V49</f>
        <v>4.1500266666666672</v>
      </c>
      <c r="Y49" s="330"/>
      <c r="Z49" s="366">
        <f>(X49/X42-1)*100</f>
        <v>6.0267851522725291</v>
      </c>
      <c r="AA49" s="330"/>
      <c r="AB49" s="357">
        <f>qtrSales!Y50</f>
        <v>0.37045</v>
      </c>
      <c r="AC49" s="330"/>
      <c r="AD49" s="360">
        <f>H49/AB49</f>
        <v>840.19975705223374</v>
      </c>
      <c r="AE49" s="330"/>
      <c r="AF49" s="366">
        <f>(AD49/AD42-1)*100</f>
        <v>7.7801373065801815</v>
      </c>
      <c r="AG49" s="330"/>
      <c r="AH49" s="330"/>
      <c r="AI49" s="330"/>
      <c r="AJ49" s="330"/>
    </row>
    <row r="50" spans="1:36" hidden="1" outlineLevel="1">
      <c r="A50" s="330"/>
      <c r="B50" s="330" t="str">
        <f>$B$15</f>
        <v>Year</v>
      </c>
      <c r="C50" s="330"/>
      <c r="D50" s="342">
        <f>SUM(D46:D49)</f>
        <v>803.29199999999992</v>
      </c>
      <c r="E50" s="330"/>
      <c r="F50" s="342">
        <f>SUM(F46:F49)</f>
        <v>375.92200000000003</v>
      </c>
      <c r="G50" s="330"/>
      <c r="H50" s="330"/>
      <c r="I50" s="330"/>
      <c r="J50" s="342">
        <f>AVERAGE(J46:J49)</f>
        <v>305.44074999999998</v>
      </c>
      <c r="K50" s="330"/>
      <c r="L50" s="338">
        <f>(D50/D43-1)*100</f>
        <v>17.641407610375026</v>
      </c>
      <c r="M50" s="330"/>
      <c r="N50" s="366"/>
      <c r="O50" s="330"/>
      <c r="P50" s="330"/>
      <c r="Q50" s="330"/>
      <c r="R50" s="369">
        <f>F50/J50</f>
        <v>1.2307526091394159</v>
      </c>
      <c r="S50" s="364" t="s">
        <v>1458</v>
      </c>
      <c r="T50" s="330"/>
      <c r="U50" s="330"/>
      <c r="V50" s="330"/>
      <c r="W50" s="330"/>
      <c r="X50" s="330"/>
      <c r="Y50" s="330"/>
      <c r="Z50" s="330"/>
      <c r="AA50" s="330"/>
      <c r="AB50" s="357"/>
      <c r="AC50" s="330"/>
      <c r="AD50" s="330"/>
      <c r="AE50" s="330"/>
      <c r="AF50" s="330"/>
      <c r="AG50" s="330"/>
      <c r="AH50" s="330"/>
      <c r="AI50" s="330"/>
      <c r="AJ50" s="330"/>
    </row>
    <row r="51" spans="1:36" hidden="1" outlineLevel="1">
      <c r="A51" s="330"/>
      <c r="B51" s="330"/>
      <c r="C51" s="330"/>
      <c r="D51" s="330"/>
      <c r="E51" s="330"/>
      <c r="F51" s="330"/>
      <c r="G51" s="330"/>
      <c r="H51" s="330"/>
      <c r="I51" s="330"/>
      <c r="J51" s="330"/>
      <c r="K51" s="330"/>
      <c r="L51" s="330"/>
      <c r="M51" s="330"/>
      <c r="N51" s="330"/>
      <c r="O51" s="330"/>
      <c r="P51" s="330"/>
      <c r="Q51" s="330"/>
      <c r="R51" s="330"/>
      <c r="S51" s="330"/>
      <c r="T51" s="330"/>
      <c r="U51" s="330"/>
      <c r="V51" s="330"/>
      <c r="W51" s="330"/>
      <c r="X51" s="330"/>
      <c r="Y51" s="330"/>
      <c r="Z51" s="330"/>
      <c r="AA51" s="330"/>
      <c r="AB51" s="357"/>
      <c r="AC51" s="330"/>
      <c r="AD51" s="330"/>
      <c r="AE51" s="330"/>
      <c r="AF51" s="330"/>
      <c r="AG51" s="330"/>
      <c r="AH51" s="330"/>
      <c r="AI51" s="330"/>
      <c r="AJ51" s="330"/>
    </row>
    <row r="52" spans="1:36" hidden="1" outlineLevel="1">
      <c r="A52" s="330"/>
      <c r="B52" s="365">
        <f>B45+1</f>
        <v>1996</v>
      </c>
      <c r="C52" s="330"/>
      <c r="D52" s="330"/>
      <c r="E52" s="330"/>
      <c r="F52" s="330"/>
      <c r="G52" s="330"/>
      <c r="H52" s="330"/>
      <c r="I52" s="330"/>
      <c r="J52" s="330"/>
      <c r="K52" s="330"/>
      <c r="L52" s="330"/>
      <c r="M52" s="330"/>
      <c r="N52" s="330"/>
      <c r="O52" s="330"/>
      <c r="P52" s="330"/>
      <c r="Q52" s="330"/>
      <c r="R52" s="330"/>
      <c r="S52" s="330"/>
      <c r="T52" s="330"/>
      <c r="U52" s="330"/>
      <c r="V52" s="330"/>
      <c r="W52" s="330"/>
      <c r="X52" s="330"/>
      <c r="Y52" s="330"/>
      <c r="Z52" s="330"/>
      <c r="AA52" s="330"/>
      <c r="AB52" s="357"/>
      <c r="AC52" s="330"/>
      <c r="AD52" s="330"/>
      <c r="AE52" s="330"/>
      <c r="AF52" s="330"/>
      <c r="AG52" s="330"/>
      <c r="AH52" s="330"/>
      <c r="AI52" s="330"/>
      <c r="AJ52" s="330"/>
    </row>
    <row r="53" spans="1:36" hidden="1" outlineLevel="1">
      <c r="A53" s="330" t="str">
        <f>$A$11</f>
        <v>1Q</v>
      </c>
      <c r="B53" s="330" t="str">
        <f>$B$11</f>
        <v>Apr</v>
      </c>
      <c r="C53" s="330"/>
      <c r="D53" s="342">
        <f>'qtrP&amp;L'!AD10</f>
        <v>180.74100000000001</v>
      </c>
      <c r="E53" s="330"/>
      <c r="F53" s="342">
        <f>'qtrP&amp;L'!AD20</f>
        <v>87.375</v>
      </c>
      <c r="G53" s="330"/>
      <c r="H53" s="342">
        <f>work!Z10</f>
        <v>349.017</v>
      </c>
      <c r="I53" s="330"/>
      <c r="J53" s="355">
        <f>AVERAGE(H52:H53)</f>
        <v>349.017</v>
      </c>
      <c r="K53" s="330"/>
      <c r="L53" s="338">
        <f>(D53/D46-1)*100</f>
        <v>20.378436700767267</v>
      </c>
      <c r="M53" s="330" t="s">
        <v>1970</v>
      </c>
      <c r="N53" s="338">
        <f>(H53/H46-1)*100</f>
        <v>18.162643464129722</v>
      </c>
      <c r="O53" s="330" t="s">
        <v>1970</v>
      </c>
      <c r="P53" s="338">
        <f>(H53/H49-1)*100</f>
        <v>12.133255368640206</v>
      </c>
      <c r="Q53" s="330" t="s">
        <v>1970</v>
      </c>
      <c r="R53" s="359">
        <f>F53/J53</f>
        <v>0.25034597168619294</v>
      </c>
      <c r="S53" s="330" t="s">
        <v>1458</v>
      </c>
      <c r="T53" s="359">
        <f>F54/H53</f>
        <v>0.27471727738190405</v>
      </c>
      <c r="U53" s="330" t="s">
        <v>1458</v>
      </c>
      <c r="V53" s="330">
        <f>qtrSales!J54</f>
        <v>76</v>
      </c>
      <c r="W53" s="330"/>
      <c r="X53" s="356">
        <f>H53/V53</f>
        <v>4.5923289473684212</v>
      </c>
      <c r="Y53" s="330"/>
      <c r="Z53" s="366">
        <f>(X53/X46-1)*100</f>
        <v>7.2792420924335799</v>
      </c>
      <c r="AA53" s="367" t="s">
        <v>1970</v>
      </c>
      <c r="AB53" s="357">
        <f>qtrSales!Y54</f>
        <v>0.37319999999999998</v>
      </c>
      <c r="AC53" s="330"/>
      <c r="AD53" s="358">
        <f>H53/AB53</f>
        <v>935.20096463022514</v>
      </c>
      <c r="AE53" s="330"/>
      <c r="AF53" s="366">
        <f>(AD53/AD46-1)*100</f>
        <v>9.6930542018964339</v>
      </c>
      <c r="AG53" s="367" t="s">
        <v>1970</v>
      </c>
      <c r="AH53" s="330"/>
      <c r="AI53" s="330"/>
      <c r="AJ53" s="330"/>
    </row>
    <row r="54" spans="1:36" hidden="1" outlineLevel="1">
      <c r="A54" s="330" t="str">
        <f>$A$12</f>
        <v>2Q</v>
      </c>
      <c r="B54" s="330" t="str">
        <f>$B$12</f>
        <v>Jul</v>
      </c>
      <c r="C54" s="330"/>
      <c r="D54" s="355">
        <f>'qtrP&amp;L'!AD11</f>
        <v>202.76300000000001</v>
      </c>
      <c r="E54" s="330"/>
      <c r="F54" s="355">
        <f>'qtrP&amp;L'!AD21</f>
        <v>95.881</v>
      </c>
      <c r="G54" s="330"/>
      <c r="H54" s="355">
        <f>work!Z11</f>
        <v>365.67599999999999</v>
      </c>
      <c r="I54" s="330"/>
      <c r="J54" s="355">
        <f>AVERAGE(H53:H54)</f>
        <v>357.34649999999999</v>
      </c>
      <c r="K54" s="330"/>
      <c r="L54" s="338">
        <f>(D54/D47-1)*100</f>
        <v>9.7903423181468838</v>
      </c>
      <c r="M54" s="330"/>
      <c r="N54" s="338">
        <f>(H54/H47-1)*100</f>
        <v>22.014828260448848</v>
      </c>
      <c r="O54" s="330"/>
      <c r="P54" s="338">
        <f>(H54/H53-1)*100</f>
        <v>4.7731199339860142</v>
      </c>
      <c r="Q54" s="330"/>
      <c r="R54" s="359">
        <f>F54/J54</f>
        <v>0.26831380746698236</v>
      </c>
      <c r="S54" s="330"/>
      <c r="T54" s="359">
        <f>F55/H54</f>
        <v>0.26444448090659489</v>
      </c>
      <c r="U54" s="330"/>
      <c r="V54" s="330">
        <f>qtrSales!J55</f>
        <v>78</v>
      </c>
      <c r="W54" s="330"/>
      <c r="X54" s="359">
        <f>H54/V54</f>
        <v>4.6881538461538463</v>
      </c>
      <c r="Y54" s="330"/>
      <c r="Z54" s="366">
        <f>(X54/X47-1)*100</f>
        <v>11.064779570408589</v>
      </c>
      <c r="AA54" s="330"/>
      <c r="AB54" s="357">
        <f>qtrSales!Y55</f>
        <v>0.38245000000000001</v>
      </c>
      <c r="AC54" s="330"/>
      <c r="AD54" s="360">
        <f>H54/AB54</f>
        <v>956.14067198326575</v>
      </c>
      <c r="AE54" s="330"/>
      <c r="AF54" s="366">
        <f>(AD54/AD47-1)*100</f>
        <v>13.08185612999373</v>
      </c>
      <c r="AG54" s="330"/>
      <c r="AH54" s="330"/>
      <c r="AI54" s="330"/>
      <c r="AJ54" s="330"/>
    </row>
    <row r="55" spans="1:36" hidden="1" outlineLevel="1">
      <c r="A55" s="330" t="str">
        <f>$A$13</f>
        <v>3Q</v>
      </c>
      <c r="B55" s="330" t="str">
        <f>$B$13</f>
        <v>Oct</v>
      </c>
      <c r="C55" s="330"/>
      <c r="D55" s="355">
        <f>'qtrP&amp;L'!AD12</f>
        <v>210.98500000000001</v>
      </c>
      <c r="E55" s="330"/>
      <c r="F55" s="355">
        <f>'qtrP&amp;L'!AD22</f>
        <v>96.700999999999993</v>
      </c>
      <c r="G55" s="330"/>
      <c r="H55" s="355">
        <f>work!Z12</f>
        <v>389.91</v>
      </c>
      <c r="I55" s="330"/>
      <c r="J55" s="355">
        <f>AVERAGE(H54:H55)</f>
        <v>377.79300000000001</v>
      </c>
      <c r="K55" s="330"/>
      <c r="L55" s="338">
        <f>(D55/D48-1)*100</f>
        <v>12.365923543133484</v>
      </c>
      <c r="M55" s="330"/>
      <c r="N55" s="338">
        <f>(H55/H48-1)*100</f>
        <v>20.571827919748653</v>
      </c>
      <c r="O55" s="330"/>
      <c r="P55" s="338">
        <f>(H55/H54-1)*100</f>
        <v>6.627178157713387</v>
      </c>
      <c r="Q55" s="330"/>
      <c r="R55" s="359">
        <f>F55/J55</f>
        <v>0.25596292149404565</v>
      </c>
      <c r="S55" s="330"/>
      <c r="T55" s="359">
        <f>F56/H55</f>
        <v>0.36535867251416992</v>
      </c>
      <c r="U55" s="330"/>
      <c r="V55" s="330">
        <f>qtrSales!J56</f>
        <v>80</v>
      </c>
      <c r="W55" s="330"/>
      <c r="X55" s="359">
        <f>H55/V55</f>
        <v>4.873875</v>
      </c>
      <c r="Y55" s="330"/>
      <c r="Z55" s="366">
        <f>(X55/X48-1)*100</f>
        <v>10.021792976770637</v>
      </c>
      <c r="AA55" s="330"/>
      <c r="AB55" s="357">
        <f>qtrSales!Y56</f>
        <v>0.39170000000000005</v>
      </c>
      <c r="AC55" s="330"/>
      <c r="AD55" s="360">
        <f>H55/AB55</f>
        <v>995.43017615522081</v>
      </c>
      <c r="AE55" s="330"/>
      <c r="AF55" s="366">
        <f>(AD55/AD48-1)*100</f>
        <v>11.568187463653068</v>
      </c>
      <c r="AG55" s="330"/>
      <c r="AH55" s="330"/>
      <c r="AI55" s="330"/>
      <c r="AJ55" s="330"/>
    </row>
    <row r="56" spans="1:36" hidden="1" outlineLevel="1">
      <c r="A56" s="330" t="str">
        <f>$A$14</f>
        <v>4Q</v>
      </c>
      <c r="B56" s="330" t="str">
        <f>$B$14</f>
        <v>Jan</v>
      </c>
      <c r="C56" s="330"/>
      <c r="D56" s="361">
        <f>'qtrP&amp;L'!AD13</f>
        <v>327.61900000000003</v>
      </c>
      <c r="E56" s="330"/>
      <c r="F56" s="361">
        <f>'qtrP&amp;L'!AD23</f>
        <v>142.45699999999999</v>
      </c>
      <c r="G56" s="330"/>
      <c r="H56" s="362">
        <f>work!Z13</f>
        <v>335.38900000000001</v>
      </c>
      <c r="I56" s="330"/>
      <c r="J56" s="361">
        <f>AVERAGE(H55:H56)</f>
        <v>362.64949999999999</v>
      </c>
      <c r="K56" s="330"/>
      <c r="L56" s="368">
        <f>(D56/D49-1)*100</f>
        <v>16.714998218738874</v>
      </c>
      <c r="M56" s="330"/>
      <c r="N56" s="366">
        <f>(H56/H49-1)*100</f>
        <v>7.7548096076491158</v>
      </c>
      <c r="O56" s="330"/>
      <c r="P56" s="366">
        <f>(H56/H55-1)*100</f>
        <v>-13.982970429073383</v>
      </c>
      <c r="Q56" s="330"/>
      <c r="R56" s="359">
        <f>F56/J56</f>
        <v>0.39282282203615337</v>
      </c>
      <c r="S56" s="330"/>
      <c r="T56" s="359">
        <f>F60/H56</f>
        <v>0.27861677037708449</v>
      </c>
      <c r="U56" s="330"/>
      <c r="V56" s="330">
        <f>qtrSales!J57</f>
        <v>81</v>
      </c>
      <c r="W56" s="330"/>
      <c r="X56" s="359">
        <f>H56/V56</f>
        <v>4.140604938271605</v>
      </c>
      <c r="Y56" s="330"/>
      <c r="Z56" s="366">
        <f>(X56/X49-1)*100</f>
        <v>-0.22702814106565494</v>
      </c>
      <c r="AA56" s="330"/>
      <c r="AB56" s="357">
        <f>qtrSales!Y57</f>
        <v>0.39444999999999997</v>
      </c>
      <c r="AC56" s="330"/>
      <c r="AD56" s="360">
        <f>H56/AB56</f>
        <v>850.26999619723676</v>
      </c>
      <c r="AE56" s="330"/>
      <c r="AF56" s="366">
        <f>(AD56/AD49-1)*100</f>
        <v>1.1985529703476105</v>
      </c>
      <c r="AG56" s="330"/>
      <c r="AH56" s="330"/>
      <c r="AI56" s="330"/>
      <c r="AJ56" s="330"/>
    </row>
    <row r="57" spans="1:36" hidden="1" outlineLevel="1">
      <c r="A57" s="330"/>
      <c r="B57" s="330" t="str">
        <f>$B$15</f>
        <v>Year</v>
      </c>
      <c r="C57" s="330"/>
      <c r="D57" s="342">
        <f>SUM(D53:D56)</f>
        <v>922.10800000000006</v>
      </c>
      <c r="E57" s="330"/>
      <c r="F57" s="342">
        <f>SUM(F53:F56)</f>
        <v>422.41399999999999</v>
      </c>
      <c r="G57" s="330"/>
      <c r="H57" s="330"/>
      <c r="I57" s="330"/>
      <c r="J57" s="342">
        <f>AVERAGE(J53:J56)</f>
        <v>361.70150000000001</v>
      </c>
      <c r="K57" s="330"/>
      <c r="L57" s="338">
        <f>(D57/D50-1)*100</f>
        <v>14.791134481608204</v>
      </c>
      <c r="M57" s="330"/>
      <c r="N57" s="366"/>
      <c r="O57" s="330"/>
      <c r="P57" s="330"/>
      <c r="Q57" s="330"/>
      <c r="R57" s="369">
        <f>F57/J57</f>
        <v>1.1678524971558037</v>
      </c>
      <c r="S57" s="364" t="s">
        <v>1458</v>
      </c>
      <c r="T57" s="330"/>
      <c r="U57" s="330"/>
      <c r="V57" s="330"/>
      <c r="W57" s="330"/>
      <c r="X57" s="330"/>
      <c r="Y57" s="330"/>
      <c r="Z57" s="330"/>
      <c r="AA57" s="330"/>
      <c r="AB57" s="357"/>
      <c r="AC57" s="330"/>
      <c r="AD57" s="330"/>
      <c r="AE57" s="330"/>
      <c r="AF57" s="330"/>
      <c r="AG57" s="330"/>
      <c r="AH57" s="330"/>
      <c r="AI57" s="330"/>
      <c r="AJ57" s="330"/>
    </row>
    <row r="58" spans="1:36" hidden="1" outlineLevel="1">
      <c r="A58" s="330"/>
      <c r="B58" s="330"/>
      <c r="C58" s="330"/>
      <c r="D58" s="330"/>
      <c r="E58" s="330"/>
      <c r="F58" s="330"/>
      <c r="G58" s="330"/>
      <c r="H58" s="330"/>
      <c r="I58" s="330"/>
      <c r="J58" s="330"/>
      <c r="K58" s="330"/>
      <c r="L58" s="330"/>
      <c r="M58" s="330"/>
      <c r="N58" s="330"/>
      <c r="O58" s="330"/>
      <c r="P58" s="330"/>
      <c r="Q58" s="330"/>
      <c r="R58" s="330"/>
      <c r="S58" s="330"/>
      <c r="T58" s="330"/>
      <c r="U58" s="330"/>
      <c r="V58" s="330"/>
      <c r="W58" s="330"/>
      <c r="X58" s="330"/>
      <c r="Y58" s="330"/>
      <c r="Z58" s="330"/>
      <c r="AA58" s="330"/>
      <c r="AB58" s="357"/>
      <c r="AC58" s="330"/>
      <c r="AD58" s="330"/>
      <c r="AE58" s="330"/>
      <c r="AF58" s="330"/>
      <c r="AG58" s="330"/>
      <c r="AH58" s="330"/>
      <c r="AI58" s="330"/>
      <c r="AJ58" s="330"/>
    </row>
    <row r="59" spans="1:36" hidden="1" outlineLevel="1">
      <c r="A59" s="330"/>
      <c r="B59" s="365">
        <f>B52+1</f>
        <v>1997</v>
      </c>
      <c r="C59" s="330"/>
      <c r="D59" s="330"/>
      <c r="E59" s="330"/>
      <c r="F59" s="330"/>
      <c r="G59" s="330"/>
      <c r="H59" s="330"/>
      <c r="I59" s="330"/>
      <c r="J59" s="330"/>
      <c r="K59" s="330"/>
      <c r="L59" s="330"/>
      <c r="M59" s="330"/>
      <c r="N59" s="330"/>
      <c r="O59" s="330"/>
      <c r="P59" s="330"/>
      <c r="Q59" s="330"/>
      <c r="R59" s="330"/>
      <c r="S59" s="330"/>
      <c r="T59" s="330"/>
      <c r="U59" s="330"/>
      <c r="V59" s="330"/>
      <c r="W59" s="330"/>
      <c r="X59" s="330"/>
      <c r="Y59" s="330"/>
      <c r="Z59" s="330"/>
      <c r="AA59" s="330"/>
      <c r="AB59" s="357"/>
      <c r="AC59" s="330"/>
      <c r="AD59" s="330"/>
      <c r="AE59" s="330"/>
      <c r="AF59" s="330"/>
      <c r="AG59" s="330"/>
      <c r="AH59" s="330"/>
      <c r="AI59" s="330"/>
      <c r="AJ59" s="330"/>
    </row>
    <row r="60" spans="1:36" hidden="1" outlineLevel="1">
      <c r="A60" s="330" t="str">
        <f>$A$11</f>
        <v>1Q</v>
      </c>
      <c r="B60" s="330" t="str">
        <f>$B$11</f>
        <v>Apr</v>
      </c>
      <c r="C60" s="330"/>
      <c r="D60" s="342">
        <f>'qtrP&amp;L'!AH10</f>
        <v>199.69900000000001</v>
      </c>
      <c r="E60" s="330"/>
      <c r="F60" s="342">
        <f>'qtrP&amp;L'!AH20</f>
        <v>93.444999999999993</v>
      </c>
      <c r="G60" s="330"/>
      <c r="H60" s="342">
        <f>work!AD10</f>
        <v>343.43799999999999</v>
      </c>
      <c r="I60" s="330"/>
      <c r="J60" s="342">
        <f>AVERAGE(H60,H56)</f>
        <v>339.4135</v>
      </c>
      <c r="K60" s="330"/>
      <c r="L60" s="338">
        <f>(D60/D53-1)*100</f>
        <v>10.489042331291731</v>
      </c>
      <c r="M60" s="330" t="s">
        <v>1970</v>
      </c>
      <c r="N60" s="338">
        <f>(H60/H53-1)*100</f>
        <v>-1.5984894718595433</v>
      </c>
      <c r="O60" s="330" t="s">
        <v>1970</v>
      </c>
      <c r="P60" s="338">
        <f>(H60/H56-1)*100</f>
        <v>2.3998998178234698</v>
      </c>
      <c r="Q60" s="330" t="s">
        <v>1970</v>
      </c>
      <c r="R60" s="359">
        <f>F60/J60</f>
        <v>0.27531315047869337</v>
      </c>
      <c r="S60" s="330" t="s">
        <v>1458</v>
      </c>
      <c r="T60" s="359">
        <f>F61/H60</f>
        <v>0.29269329544197209</v>
      </c>
      <c r="U60" s="330" t="s">
        <v>1458</v>
      </c>
      <c r="V60" s="330">
        <f>qtrSales!J61</f>
        <v>84</v>
      </c>
      <c r="W60" s="330"/>
      <c r="X60" s="356">
        <f>H60/V60</f>
        <v>4.0885476190476187</v>
      </c>
      <c r="Y60" s="330"/>
      <c r="Z60" s="366">
        <f>(X60/X53-1)*100</f>
        <v>-10.970061903111016</v>
      </c>
      <c r="AA60" s="367" t="s">
        <v>1970</v>
      </c>
      <c r="AB60" s="357">
        <f>qtrSales!Y61</f>
        <v>0.39774999999999999</v>
      </c>
      <c r="AC60" s="330"/>
      <c r="AD60" s="358">
        <f>H60/AB60</f>
        <v>863.45191703331238</v>
      </c>
      <c r="AE60" s="330"/>
      <c r="AF60" s="366">
        <f>(AD60/AD53-1)*100</f>
        <v>-7.6720459356328874</v>
      </c>
      <c r="AG60" s="367" t="s">
        <v>1970</v>
      </c>
      <c r="AH60" s="330"/>
      <c r="AI60" s="330"/>
      <c r="AJ60" s="330"/>
    </row>
    <row r="61" spans="1:36" hidden="1" outlineLevel="1">
      <c r="A61" s="330" t="str">
        <f>$A$12</f>
        <v>2Q</v>
      </c>
      <c r="B61" s="330" t="str">
        <f>$B$12</f>
        <v>Jul</v>
      </c>
      <c r="C61" s="330"/>
      <c r="D61" s="355">
        <f>'qtrP&amp;L'!AH11</f>
        <v>217.149</v>
      </c>
      <c r="E61" s="330"/>
      <c r="F61" s="355">
        <f>'qtrP&amp;L'!AH21</f>
        <v>100.52200000000001</v>
      </c>
      <c r="G61" s="330"/>
      <c r="H61" s="355">
        <f>work!AD11</f>
        <v>372.78699999999998</v>
      </c>
      <c r="I61" s="330"/>
      <c r="J61" s="355">
        <f>AVERAGE(H60:H61)</f>
        <v>358.11249999999995</v>
      </c>
      <c r="K61" s="330"/>
      <c r="L61" s="338">
        <f>(D61/D54-1)*100</f>
        <v>7.094982812446049</v>
      </c>
      <c r="M61" s="330"/>
      <c r="N61" s="338">
        <f>(H61/H54-1)*100</f>
        <v>1.9446176396591408</v>
      </c>
      <c r="O61" s="330"/>
      <c r="P61" s="338">
        <f>(H61/H60-1)*100</f>
        <v>8.5456472492851709</v>
      </c>
      <c r="Q61" s="330"/>
      <c r="R61" s="359">
        <f>F61/J61</f>
        <v>0.28069950085517825</v>
      </c>
      <c r="S61" s="330"/>
      <c r="T61" s="359">
        <f>F62/H61</f>
        <v>0.2848677663115935</v>
      </c>
      <c r="U61" s="330"/>
      <c r="V61" s="330">
        <f>qtrSales!J62</f>
        <v>88</v>
      </c>
      <c r="W61" s="330"/>
      <c r="X61" s="359">
        <f>H61/V61</f>
        <v>4.2362159090909088</v>
      </c>
      <c r="Y61" s="330"/>
      <c r="Z61" s="366">
        <f>(X61/X54-1)*100</f>
        <v>-9.6399980012112145</v>
      </c>
      <c r="AA61" s="330"/>
      <c r="AB61" s="357">
        <f>qtrSales!Y62</f>
        <v>0.40605000000000002</v>
      </c>
      <c r="AC61" s="330"/>
      <c r="AD61" s="360">
        <f>H61/AB61</f>
        <v>918.08151705454986</v>
      </c>
      <c r="AE61" s="330"/>
      <c r="AF61" s="366">
        <f>(AD61/AD54-1)*100</f>
        <v>-3.9804974355679312</v>
      </c>
      <c r="AG61" s="330"/>
      <c r="AH61" s="330"/>
      <c r="AI61" s="330"/>
      <c r="AJ61" s="330"/>
    </row>
    <row r="62" spans="1:36" hidden="1" outlineLevel="1">
      <c r="A62" s="330" t="str">
        <f>$A$13</f>
        <v>3Q</v>
      </c>
      <c r="B62" s="330" t="str">
        <f>$B$13</f>
        <v>Oct</v>
      </c>
      <c r="C62" s="330"/>
      <c r="D62" s="355">
        <f>'qtrP&amp;L'!AH12</f>
        <v>233.07400000000001</v>
      </c>
      <c r="E62" s="330"/>
      <c r="F62" s="355">
        <f>'qtrP&amp;L'!AH22</f>
        <v>106.19499999999999</v>
      </c>
      <c r="G62" s="330"/>
      <c r="H62" s="355">
        <f>work!AD12</f>
        <v>415.37099999999998</v>
      </c>
      <c r="I62" s="330"/>
      <c r="J62" s="355">
        <f>AVERAGE(H61:H62)</f>
        <v>394.07899999999995</v>
      </c>
      <c r="K62" s="330"/>
      <c r="L62" s="338">
        <f>(D62/D55-1)*100</f>
        <v>10.469464653885341</v>
      </c>
      <c r="M62" s="330"/>
      <c r="N62" s="338">
        <f>(H62/H55-1)*100</f>
        <v>6.5299684542586611</v>
      </c>
      <c r="O62" s="330"/>
      <c r="P62" s="338">
        <f>(H62/H61-1)*100</f>
        <v>11.423145120403877</v>
      </c>
      <c r="Q62" s="330"/>
      <c r="R62" s="359">
        <f>F62/J62</f>
        <v>0.269476424777773</v>
      </c>
      <c r="S62" s="330"/>
      <c r="T62" s="359">
        <f>F63/H62</f>
        <v>0.36893764851181238</v>
      </c>
      <c r="U62" s="330"/>
      <c r="V62" s="330">
        <f>qtrSales!J63</f>
        <v>93</v>
      </c>
      <c r="W62" s="330"/>
      <c r="X62" s="359">
        <f>H62/V62</f>
        <v>4.4663548387096776</v>
      </c>
      <c r="Y62" s="330"/>
      <c r="Z62" s="366">
        <f>(X62/X55-1)*100</f>
        <v>-8.3613174587022101</v>
      </c>
      <c r="AA62" s="330"/>
      <c r="AB62" s="357">
        <f>qtrSales!Y63</f>
        <v>0.42324999999999996</v>
      </c>
      <c r="AC62" s="330"/>
      <c r="AD62" s="360">
        <f>H62/AB62</f>
        <v>981.38452451269939</v>
      </c>
      <c r="AE62" s="330"/>
      <c r="AF62" s="366">
        <f>(AD62/AD55-1)*100</f>
        <v>-1.411013246230064</v>
      </c>
      <c r="AG62" s="330"/>
      <c r="AH62" s="330"/>
      <c r="AI62" s="330"/>
      <c r="AJ62" s="330"/>
    </row>
    <row r="63" spans="1:36" hidden="1" outlineLevel="1">
      <c r="A63" s="330" t="str">
        <f>$A$14</f>
        <v>4Q</v>
      </c>
      <c r="B63" s="330" t="str">
        <f>$B$14</f>
        <v>Jan</v>
      </c>
      <c r="C63" s="330"/>
      <c r="D63" s="361">
        <f>'qtrP&amp;L'!AH13</f>
        <v>367.69400000000002</v>
      </c>
      <c r="E63" s="330"/>
      <c r="F63" s="361">
        <f>'qtrP&amp;L'!AH23</f>
        <v>153.24600000000001</v>
      </c>
      <c r="G63" s="330"/>
      <c r="H63" s="362">
        <f>work!AD13</f>
        <v>386.43099999999998</v>
      </c>
      <c r="I63" s="330"/>
      <c r="J63" s="361">
        <f>AVERAGE(H62:H63)</f>
        <v>400.90099999999995</v>
      </c>
      <c r="K63" s="330"/>
      <c r="L63" s="368">
        <f>(D63/D56-1)*100</f>
        <v>12.232196545377395</v>
      </c>
      <c r="M63" s="330"/>
      <c r="N63" s="366">
        <f>(H63/H56-1)*100</f>
        <v>15.218745993458338</v>
      </c>
      <c r="O63" s="330"/>
      <c r="P63" s="366">
        <f>(H63/H62-1)*100</f>
        <v>-6.9672654085143115</v>
      </c>
      <c r="Q63" s="330"/>
      <c r="R63" s="359">
        <f>F63/J63</f>
        <v>0.38225397292598429</v>
      </c>
      <c r="S63" s="330"/>
      <c r="T63" s="359">
        <f>F67/H63</f>
        <v>0.27210808656655394</v>
      </c>
      <c r="U63" s="330"/>
      <c r="V63" s="330">
        <f>qtrSales!J64</f>
        <v>96</v>
      </c>
      <c r="W63" s="330"/>
      <c r="X63" s="359">
        <f>H63/V63</f>
        <v>4.0253229166666662</v>
      </c>
      <c r="Y63" s="330"/>
      <c r="Z63" s="366">
        <f>(X63/X56-1)*100</f>
        <v>-2.7841830680195412</v>
      </c>
      <c r="AA63" s="330"/>
      <c r="AB63" s="357">
        <f>qtrSales!Y64</f>
        <v>0.43045</v>
      </c>
      <c r="AC63" s="330"/>
      <c r="AD63" s="360">
        <f>H63/AB63</f>
        <v>897.73725171332319</v>
      </c>
      <c r="AE63" s="330"/>
      <c r="AF63" s="366">
        <f>(AD63/AD56-1)*100</f>
        <v>5.5826097273077746</v>
      </c>
      <c r="AG63" s="330"/>
      <c r="AH63" s="330"/>
      <c r="AI63" s="330"/>
      <c r="AJ63" s="330"/>
    </row>
    <row r="64" spans="1:36" hidden="1" outlineLevel="1">
      <c r="A64" s="330"/>
      <c r="B64" s="330" t="str">
        <f>$B$15</f>
        <v>Year</v>
      </c>
      <c r="C64" s="330"/>
      <c r="D64" s="342">
        <f>SUM(D60:D63)</f>
        <v>1017.616</v>
      </c>
      <c r="E64" s="330"/>
      <c r="F64" s="342">
        <f>SUM(F60:F63)</f>
        <v>453.40800000000002</v>
      </c>
      <c r="G64" s="330"/>
      <c r="H64" s="330"/>
      <c r="I64" s="330"/>
      <c r="J64" s="342">
        <f>AVERAGE(J60:J63)</f>
        <v>373.12649999999996</v>
      </c>
      <c r="K64" s="330"/>
      <c r="L64" s="338">
        <f>(D64/D57-1)*100</f>
        <v>10.357571998073967</v>
      </c>
      <c r="M64" s="330"/>
      <c r="N64" s="366"/>
      <c r="O64" s="330"/>
      <c r="P64" s="330"/>
      <c r="Q64" s="330"/>
      <c r="R64" s="369">
        <f>F64/J64</f>
        <v>1.2151589340344362</v>
      </c>
      <c r="S64" s="364" t="s">
        <v>1458</v>
      </c>
      <c r="T64" s="359"/>
      <c r="U64" s="330"/>
      <c r="V64" s="330"/>
      <c r="W64" s="330"/>
      <c r="X64" s="330"/>
      <c r="Y64" s="330"/>
      <c r="Z64" s="330"/>
      <c r="AA64" s="330"/>
      <c r="AB64" s="357"/>
      <c r="AC64" s="330"/>
      <c r="AD64" s="330"/>
      <c r="AE64" s="330"/>
      <c r="AF64" s="330"/>
      <c r="AG64" s="330"/>
      <c r="AH64" s="330"/>
      <c r="AI64" s="330"/>
      <c r="AJ64" s="330"/>
    </row>
    <row r="65" spans="1:36" hidden="1" outlineLevel="1">
      <c r="A65" s="330"/>
      <c r="B65" s="330"/>
      <c r="C65" s="330"/>
      <c r="D65" s="330"/>
      <c r="E65" s="330"/>
      <c r="F65" s="330"/>
      <c r="G65" s="330"/>
      <c r="H65" s="330"/>
      <c r="I65" s="330"/>
      <c r="J65" s="330"/>
      <c r="K65" s="330"/>
      <c r="L65" s="330"/>
      <c r="M65" s="330"/>
      <c r="N65" s="330"/>
      <c r="O65" s="330"/>
      <c r="P65" s="330"/>
      <c r="Q65" s="330"/>
      <c r="R65" s="330"/>
      <c r="S65" s="330"/>
      <c r="T65" s="359"/>
      <c r="U65" s="330"/>
      <c r="V65" s="330"/>
      <c r="W65" s="330"/>
      <c r="X65" s="330"/>
      <c r="Y65" s="330"/>
      <c r="Z65" s="330"/>
      <c r="AA65" s="330"/>
      <c r="AB65" s="357"/>
      <c r="AC65" s="330"/>
      <c r="AD65" s="330"/>
      <c r="AE65" s="330"/>
      <c r="AF65" s="330"/>
      <c r="AG65" s="330"/>
      <c r="AH65" s="330"/>
      <c r="AI65" s="330"/>
      <c r="AJ65" s="330"/>
    </row>
    <row r="66" spans="1:36" hidden="1" outlineLevel="1" collapsed="1">
      <c r="A66" s="330"/>
      <c r="B66" s="365">
        <f>B59+1</f>
        <v>1998</v>
      </c>
      <c r="C66" s="330"/>
      <c r="D66" s="330"/>
      <c r="E66" s="330"/>
      <c r="F66" s="330"/>
      <c r="G66" s="330"/>
      <c r="H66" s="330"/>
      <c r="I66" s="330"/>
      <c r="J66" s="330"/>
      <c r="K66" s="330"/>
      <c r="L66" s="330"/>
      <c r="M66" s="330"/>
      <c r="N66" s="330"/>
      <c r="O66" s="330"/>
      <c r="P66" s="330"/>
      <c r="Q66" s="330"/>
      <c r="R66" s="330"/>
      <c r="S66" s="330"/>
      <c r="T66" s="359"/>
      <c r="U66" s="330"/>
      <c r="V66" s="330"/>
      <c r="W66" s="330"/>
      <c r="X66" s="330"/>
      <c r="Y66" s="330"/>
      <c r="Z66" s="330"/>
      <c r="AA66" s="330"/>
      <c r="AB66" s="357"/>
      <c r="AC66" s="330"/>
      <c r="AD66" s="330"/>
      <c r="AE66" s="330"/>
      <c r="AF66" s="330"/>
      <c r="AG66" s="330"/>
      <c r="AH66" s="330"/>
      <c r="AI66" s="330"/>
      <c r="AJ66" s="330"/>
    </row>
    <row r="67" spans="1:36" hidden="1" outlineLevel="1">
      <c r="A67" s="330" t="str">
        <f>$A$11</f>
        <v>1Q</v>
      </c>
      <c r="B67" s="330" t="str">
        <f>$B$11</f>
        <v>Apr</v>
      </c>
      <c r="C67" s="330"/>
      <c r="D67" s="342">
        <f>'qtrP&amp;L'!AL10</f>
        <v>226.15899999999999</v>
      </c>
      <c r="E67" s="330"/>
      <c r="F67" s="342">
        <f>'qtrP&amp;L'!AL20</f>
        <v>105.151</v>
      </c>
      <c r="G67" s="330"/>
      <c r="H67" s="342">
        <f>work!AH10</f>
        <v>422.44099999999997</v>
      </c>
      <c r="I67" s="330"/>
      <c r="J67" s="342">
        <f>AVERAGE(H67,H63)</f>
        <v>404.43599999999998</v>
      </c>
      <c r="K67" s="330"/>
      <c r="L67" s="338">
        <f>(D67/D60-1)*100</f>
        <v>13.249941161447975</v>
      </c>
      <c r="M67" s="330" t="s">
        <v>1970</v>
      </c>
      <c r="N67" s="338">
        <f>(H67/H60-1)*100</f>
        <v>23.003569785521695</v>
      </c>
      <c r="O67" s="330" t="s">
        <v>1970</v>
      </c>
      <c r="P67" s="338">
        <f>(H67/H63-1)*100</f>
        <v>9.31861056695762</v>
      </c>
      <c r="Q67" s="330" t="s">
        <v>1970</v>
      </c>
      <c r="R67" s="359">
        <f>F67/J67</f>
        <v>0.2599941647133292</v>
      </c>
      <c r="S67" s="330" t="s">
        <v>1458</v>
      </c>
      <c r="T67" s="359">
        <f>F68/H67</f>
        <v>0.2652109998792731</v>
      </c>
      <c r="U67" s="330" t="s">
        <v>1458</v>
      </c>
      <c r="V67" s="330">
        <f>qtrSales!J68</f>
        <v>96</v>
      </c>
      <c r="W67" s="330"/>
      <c r="X67" s="356">
        <f>H67/V67</f>
        <v>4.4004270833333328</v>
      </c>
      <c r="Y67" s="330"/>
      <c r="Z67" s="366">
        <f>(X67/X60-1)*100</f>
        <v>7.6281235623314902</v>
      </c>
      <c r="AA67" s="367" t="s">
        <v>1970</v>
      </c>
      <c r="AB67" s="357">
        <f>qtrSales!Y68</f>
        <v>0.43045</v>
      </c>
      <c r="AC67" s="330"/>
      <c r="AD67" s="358">
        <f>H67/AB67</f>
        <v>981.39389011499588</v>
      </c>
      <c r="AE67" s="330"/>
      <c r="AF67" s="366">
        <f>(AD67/AD60-1)*100</f>
        <v>13.659356213709483</v>
      </c>
      <c r="AG67" s="367" t="s">
        <v>1970</v>
      </c>
      <c r="AH67" s="330"/>
      <c r="AI67" s="330"/>
      <c r="AJ67" s="330"/>
    </row>
    <row r="68" spans="1:36" hidden="1" outlineLevel="1">
      <c r="A68" s="330" t="str">
        <f>$A$12</f>
        <v>2Q</v>
      </c>
      <c r="B68" s="330" t="str">
        <f>$B$12</f>
        <v>Jul</v>
      </c>
      <c r="C68" s="330"/>
      <c r="D68" s="355">
        <f>'qtrP&amp;L'!AL11</f>
        <v>247.72200000000001</v>
      </c>
      <c r="E68" s="330"/>
      <c r="F68" s="355">
        <f>'qtrP&amp;L'!AL21</f>
        <v>112.036</v>
      </c>
      <c r="G68" s="330"/>
      <c r="H68" s="355">
        <f>work!AH11</f>
        <v>430.88600000000002</v>
      </c>
      <c r="I68" s="330"/>
      <c r="J68" s="355">
        <f>AVERAGE(H67:H68)</f>
        <v>426.6635</v>
      </c>
      <c r="K68" s="330"/>
      <c r="L68" s="338">
        <f>(D68/D61-1)*100</f>
        <v>14.079272757415428</v>
      </c>
      <c r="M68" s="330"/>
      <c r="N68" s="338">
        <f>(H68/H61-1)*100</f>
        <v>15.585039177868332</v>
      </c>
      <c r="O68" s="330"/>
      <c r="P68" s="338">
        <f>(H68/H67-1)*100</f>
        <v>1.9990957317116642</v>
      </c>
      <c r="Q68" s="330"/>
      <c r="R68" s="359">
        <f>F68/J68</f>
        <v>0.26258632388287256</v>
      </c>
      <c r="S68" s="330"/>
      <c r="T68" s="359">
        <f>F69/H68</f>
        <v>0.26449687388311527</v>
      </c>
      <c r="U68" s="330"/>
      <c r="V68" s="330">
        <f>qtrSales!J69</f>
        <v>99</v>
      </c>
      <c r="W68" s="330"/>
      <c r="X68" s="359">
        <f>H68/V68</f>
        <v>4.3523838383838385</v>
      </c>
      <c r="Y68" s="330"/>
      <c r="Z68" s="366">
        <f>(X68/X61-1)*100</f>
        <v>2.7422570469940677</v>
      </c>
      <c r="AA68" s="330"/>
      <c r="AB68" s="357">
        <f>qtrSales!Y69</f>
        <v>0.44461666666666666</v>
      </c>
      <c r="AC68" s="330"/>
      <c r="AD68" s="360">
        <f>H68/AB68</f>
        <v>969.11796678786982</v>
      </c>
      <c r="AE68" s="330"/>
      <c r="AF68" s="366">
        <f>(AD68/AD61-1)*100</f>
        <v>5.5590324808039382</v>
      </c>
      <c r="AG68" s="330"/>
      <c r="AH68" s="330"/>
      <c r="AI68" s="330"/>
      <c r="AJ68" s="330"/>
    </row>
    <row r="69" spans="1:36" hidden="1" outlineLevel="1">
      <c r="A69" s="330" t="str">
        <f>$A$13</f>
        <v>3Q</v>
      </c>
      <c r="B69" s="330" t="str">
        <f>$B$13</f>
        <v>Oct</v>
      </c>
      <c r="C69" s="330"/>
      <c r="D69" s="355">
        <f>'qtrP&amp;L'!AL12</f>
        <v>252.56</v>
      </c>
      <c r="E69" s="330"/>
      <c r="F69" s="355">
        <f>'qtrP&amp;L'!AL22</f>
        <v>113.968</v>
      </c>
      <c r="G69" s="330"/>
      <c r="H69" s="355">
        <f>work!AH12</f>
        <v>519.42700000000002</v>
      </c>
      <c r="I69" s="330"/>
      <c r="J69" s="355">
        <f>AVERAGE(H68:H69)</f>
        <v>475.15650000000005</v>
      </c>
      <c r="K69" s="330"/>
      <c r="L69" s="338">
        <f>(D69/D62-1)*100</f>
        <v>8.360434883341771</v>
      </c>
      <c r="M69" s="330"/>
      <c r="N69" s="338">
        <f>(H69/H62-1)*100</f>
        <v>25.051339645762472</v>
      </c>
      <c r="O69" s="330"/>
      <c r="P69" s="338">
        <f>(H69/H68-1)*100</f>
        <v>20.548590578482482</v>
      </c>
      <c r="Q69" s="330"/>
      <c r="R69" s="359">
        <f>F69/J69</f>
        <v>0.23985360612766529</v>
      </c>
      <c r="S69" s="330"/>
      <c r="T69" s="359">
        <f>F70/H69</f>
        <v>0.42580574363673818</v>
      </c>
      <c r="U69" s="330"/>
      <c r="V69" s="330">
        <f>qtrSales!J70</f>
        <v>102</v>
      </c>
      <c r="W69" s="330"/>
      <c r="X69" s="359">
        <f>H69/V69</f>
        <v>5.0924215686274508</v>
      </c>
      <c r="Y69" s="330"/>
      <c r="Z69" s="366">
        <f>(X69/X62-1)*100</f>
        <v>14.017397912312823</v>
      </c>
      <c r="AA69" s="330"/>
      <c r="AB69" s="357">
        <f>qtrSales!Y70</f>
        <v>0.45878333333333332</v>
      </c>
      <c r="AC69" s="330"/>
      <c r="AD69" s="360">
        <f>H69/AB69</f>
        <v>1132.1836742107751</v>
      </c>
      <c r="AE69" s="330"/>
      <c r="AF69" s="366">
        <f>(AD69/AD62-1)*100</f>
        <v>15.365959614347302</v>
      </c>
      <c r="AG69" s="330"/>
      <c r="AH69" s="330"/>
      <c r="AI69" s="330"/>
      <c r="AJ69" s="330"/>
    </row>
    <row r="70" spans="1:36" hidden="1" outlineLevel="1">
      <c r="A70" s="330" t="str">
        <f>$A$14</f>
        <v>4Q</v>
      </c>
      <c r="B70" s="330" t="str">
        <f>$B$14</f>
        <v>Jan</v>
      </c>
      <c r="C70" s="330"/>
      <c r="D70" s="361">
        <f>'qtrP&amp;L'!AL13</f>
        <v>451.48800000000006</v>
      </c>
      <c r="E70" s="330"/>
      <c r="F70" s="361">
        <f>'qtrP&amp;L'!AL23</f>
        <v>221.17500000000001</v>
      </c>
      <c r="G70" s="330"/>
      <c r="H70" s="362">
        <f>bal!U12</f>
        <v>481.43900000000002</v>
      </c>
      <c r="I70" s="330"/>
      <c r="J70" s="361">
        <f>AVERAGE(H69:H70)</f>
        <v>500.43299999999999</v>
      </c>
      <c r="K70" s="330"/>
      <c r="L70" s="368">
        <f>(D70/D63-1)*100</f>
        <v>22.789058293037144</v>
      </c>
      <c r="M70" s="330"/>
      <c r="N70" s="366">
        <f>(H70/H63-1)*100</f>
        <v>24.586019237587053</v>
      </c>
      <c r="O70" s="330"/>
      <c r="P70" s="366">
        <f>(H70/H69-1)*100</f>
        <v>-7.3134434675132365</v>
      </c>
      <c r="Q70" s="330"/>
      <c r="R70" s="359">
        <f>F70/J70</f>
        <v>0.44196725635599576</v>
      </c>
      <c r="S70" s="330"/>
      <c r="T70" s="359">
        <f>F74/H70</f>
        <v>0.25752172133956741</v>
      </c>
      <c r="U70" s="330"/>
      <c r="V70" s="330">
        <f>qtrSales!J71</f>
        <v>104</v>
      </c>
      <c r="W70" s="330"/>
      <c r="X70" s="359">
        <f>H70/V70</f>
        <v>4.6292211538461538</v>
      </c>
      <c r="Y70" s="330"/>
      <c r="Z70" s="366">
        <f>(X70/X63-1)*100</f>
        <v>15.002479296234217</v>
      </c>
      <c r="AA70" s="330"/>
      <c r="AB70" s="357">
        <f>qtrSales!Y71</f>
        <v>0.47145000000000004</v>
      </c>
      <c r="AC70" s="330"/>
      <c r="AD70" s="360">
        <f>H70/AB70</f>
        <v>1021.1878247958426</v>
      </c>
      <c r="AE70" s="330"/>
      <c r="AF70" s="366">
        <f>(AD70/AD63-1)*100</f>
        <v>13.751303384917479</v>
      </c>
      <c r="AG70" s="330"/>
      <c r="AH70" s="330"/>
      <c r="AI70" s="330"/>
      <c r="AJ70" s="330"/>
    </row>
    <row r="71" spans="1:36" hidden="1" outlineLevel="1">
      <c r="A71" s="330"/>
      <c r="B71" s="330" t="str">
        <f>$B$15</f>
        <v>Year</v>
      </c>
      <c r="C71" s="330"/>
      <c r="D71" s="342">
        <f>SUM(D67:D70)</f>
        <v>1177.9290000000001</v>
      </c>
      <c r="E71" s="330"/>
      <c r="F71" s="342">
        <f>SUM(F67:F70)</f>
        <v>552.33000000000004</v>
      </c>
      <c r="G71" s="330"/>
      <c r="H71" s="330"/>
      <c r="I71" s="330"/>
      <c r="J71" s="342">
        <f>AVERAGE(J67:J70)</f>
        <v>451.67225000000002</v>
      </c>
      <c r="K71" s="330"/>
      <c r="L71" s="338">
        <f>(D71/D64-1)*100</f>
        <v>15.75378138708512</v>
      </c>
      <c r="M71" s="330"/>
      <c r="N71" s="366"/>
      <c r="O71" s="330"/>
      <c r="P71" s="330"/>
      <c r="Q71" s="330"/>
      <c r="R71" s="369">
        <f>F71/J71</f>
        <v>1.2228557322261884</v>
      </c>
      <c r="S71" s="364" t="s">
        <v>1458</v>
      </c>
      <c r="T71" s="359"/>
      <c r="U71" s="330"/>
      <c r="V71" s="330"/>
      <c r="W71" s="330"/>
      <c r="X71" s="330"/>
      <c r="Y71" s="330"/>
      <c r="Z71" s="330"/>
      <c r="AA71" s="330"/>
      <c r="AB71" s="357"/>
      <c r="AC71" s="330"/>
      <c r="AD71" s="330"/>
      <c r="AE71" s="330"/>
      <c r="AF71" s="330"/>
      <c r="AG71" s="330"/>
      <c r="AH71" s="330"/>
      <c r="AI71" s="330"/>
      <c r="AJ71" s="330"/>
    </row>
    <row r="72" spans="1:36" hidden="1" outlineLevel="1">
      <c r="A72" s="330"/>
      <c r="B72" s="330"/>
      <c r="C72" s="330"/>
      <c r="D72" s="330"/>
      <c r="E72" s="330"/>
      <c r="F72" s="330"/>
      <c r="G72" s="330"/>
      <c r="H72" s="330"/>
      <c r="I72" s="330"/>
      <c r="J72" s="330"/>
      <c r="K72" s="330"/>
      <c r="L72" s="330"/>
      <c r="M72" s="330"/>
      <c r="N72" s="330"/>
      <c r="O72" s="330"/>
      <c r="P72" s="330"/>
      <c r="Q72" s="330"/>
      <c r="R72" s="330"/>
      <c r="S72" s="330"/>
      <c r="T72" s="359"/>
      <c r="U72" s="330"/>
      <c r="V72" s="330"/>
      <c r="W72" s="330"/>
      <c r="X72" s="330"/>
      <c r="Y72" s="330"/>
      <c r="Z72" s="330"/>
      <c r="AA72" s="330"/>
      <c r="AB72" s="357"/>
      <c r="AC72" s="330"/>
      <c r="AD72" s="330"/>
      <c r="AE72" s="330"/>
      <c r="AF72" s="330"/>
      <c r="AG72" s="330"/>
      <c r="AH72" s="330"/>
      <c r="AI72" s="330"/>
      <c r="AJ72" s="330"/>
    </row>
    <row r="73" spans="1:36" hidden="1" outlineLevel="1">
      <c r="A73" s="330"/>
      <c r="B73" s="365">
        <f>B66+1</f>
        <v>1999</v>
      </c>
      <c r="C73" s="330"/>
      <c r="D73" s="330"/>
      <c r="E73" s="330"/>
      <c r="F73" s="330"/>
      <c r="G73" s="330"/>
      <c r="H73" s="330"/>
      <c r="I73" s="330"/>
      <c r="J73" s="330"/>
      <c r="K73" s="330"/>
      <c r="L73" s="330"/>
      <c r="M73" s="330"/>
      <c r="N73" s="330"/>
      <c r="O73" s="330"/>
      <c r="P73" s="330"/>
      <c r="Q73" s="330"/>
      <c r="R73" s="330"/>
      <c r="S73" s="330"/>
      <c r="T73" s="359"/>
      <c r="U73" s="330"/>
      <c r="V73" s="330"/>
      <c r="W73" s="330"/>
      <c r="X73" s="330"/>
      <c r="Y73" s="330"/>
      <c r="Z73" s="330"/>
      <c r="AA73" s="330"/>
      <c r="AB73" s="357"/>
      <c r="AC73" s="330"/>
      <c r="AD73" s="330"/>
      <c r="AE73" s="330"/>
      <c r="AF73" s="330"/>
      <c r="AG73" s="330"/>
      <c r="AH73" s="330"/>
      <c r="AI73" s="330"/>
      <c r="AJ73" s="330"/>
    </row>
    <row r="74" spans="1:36" hidden="1" outlineLevel="1">
      <c r="A74" s="330" t="str">
        <f>$A$11</f>
        <v>1Q</v>
      </c>
      <c r="B74" s="330" t="str">
        <f>$B$11</f>
        <v>Apr</v>
      </c>
      <c r="C74" s="330"/>
      <c r="D74" s="342">
        <f>'qtrP&amp;L'!AP10</f>
        <v>272.27699999999999</v>
      </c>
      <c r="E74" s="330"/>
      <c r="F74" s="342">
        <f>'qtrP&amp;L'!AP20</f>
        <v>123.98099999999999</v>
      </c>
      <c r="G74" s="330"/>
      <c r="H74" s="342">
        <f>work!AL10</f>
        <v>523.48</v>
      </c>
      <c r="I74" s="330"/>
      <c r="J74" s="342">
        <f>AVERAGE(H74,H70)</f>
        <v>502.45950000000005</v>
      </c>
      <c r="K74" s="330"/>
      <c r="L74" s="338">
        <f>(D74/D67-1)*100</f>
        <v>20.3918482129829</v>
      </c>
      <c r="M74" s="330" t="s">
        <v>1970</v>
      </c>
      <c r="N74" s="338">
        <f>(H74/H67-1)*100</f>
        <v>23.917896226928747</v>
      </c>
      <c r="O74" s="330" t="s">
        <v>1970</v>
      </c>
      <c r="P74" s="338">
        <f>(H74/H70-1)*100</f>
        <v>8.7323627707767812</v>
      </c>
      <c r="Q74" s="330" t="s">
        <v>1970</v>
      </c>
      <c r="R74" s="359">
        <f>F74/J74</f>
        <v>0.24674824538097098</v>
      </c>
      <c r="S74" s="330" t="s">
        <v>1458</v>
      </c>
      <c r="T74" s="359">
        <f>F75/H74</f>
        <v>0.25221593948192861</v>
      </c>
      <c r="U74" s="330" t="s">
        <v>1458</v>
      </c>
      <c r="V74" s="330">
        <f>qtrSales!J75</f>
        <v>105</v>
      </c>
      <c r="W74" s="330"/>
      <c r="X74" s="356">
        <f>H74/V74</f>
        <v>4.9855238095238095</v>
      </c>
      <c r="Y74" s="330"/>
      <c r="Z74" s="366">
        <f>(X74/X67-1)*100</f>
        <v>13.296362264620566</v>
      </c>
      <c r="AA74" s="367" t="s">
        <v>1970</v>
      </c>
      <c r="AB74" s="357">
        <f>qtrSales!Y75</f>
        <v>0.48294999999999999</v>
      </c>
      <c r="AC74" s="330"/>
      <c r="AD74" s="358">
        <f>H74/AB74</f>
        <v>1083.9217310280567</v>
      </c>
      <c r="AE74" s="330"/>
      <c r="AF74" s="366">
        <f>(AD74/AD67-1)*100</f>
        <v>10.447165194909358</v>
      </c>
      <c r="AG74" s="367" t="s">
        <v>1970</v>
      </c>
      <c r="AH74" s="330"/>
      <c r="AI74" s="330"/>
      <c r="AJ74" s="330"/>
    </row>
    <row r="75" spans="1:36" hidden="1" outlineLevel="1">
      <c r="A75" s="330" t="str">
        <f>$A$12</f>
        <v>2Q</v>
      </c>
      <c r="B75" s="330" t="str">
        <f>$B$12</f>
        <v>Jul</v>
      </c>
      <c r="C75" s="330"/>
      <c r="D75" s="355">
        <f>'qtrP&amp;L'!AP11</f>
        <v>307.06700000000001</v>
      </c>
      <c r="E75" s="330"/>
      <c r="F75" s="355">
        <f>'qtrP&amp;L'!AP21</f>
        <v>132.03</v>
      </c>
      <c r="G75" s="330"/>
      <c r="H75" s="355">
        <f>work!AL11</f>
        <v>536.60299999999995</v>
      </c>
      <c r="I75" s="330"/>
      <c r="J75" s="355">
        <f>AVERAGE(H74:H75)</f>
        <v>530.04150000000004</v>
      </c>
      <c r="K75" s="330"/>
      <c r="L75" s="338">
        <f>(D75/D68-1)*100</f>
        <v>23.956289711854417</v>
      </c>
      <c r="M75" s="330"/>
      <c r="N75" s="338">
        <f>(H75/H68-1)*100</f>
        <v>24.534795746438711</v>
      </c>
      <c r="O75" s="330"/>
      <c r="P75" s="338">
        <f>(H75/H74-1)*100</f>
        <v>2.5068770535645823</v>
      </c>
      <c r="Q75" s="330"/>
      <c r="R75" s="359">
        <f>F75/J75</f>
        <v>0.24909370304023362</v>
      </c>
      <c r="S75" s="330"/>
      <c r="T75" s="359">
        <f>F76/H75</f>
        <v>0.26316662411503483</v>
      </c>
      <c r="U75" s="330"/>
      <c r="V75" s="330">
        <f>qtrSales!J76</f>
        <v>107</v>
      </c>
      <c r="W75" s="330"/>
      <c r="X75" s="359">
        <f>H75/V75</f>
        <v>5.0149813084112145</v>
      </c>
      <c r="Y75" s="330"/>
      <c r="Z75" s="366">
        <f>(X75/X68-1)*100</f>
        <v>15.223782980349853</v>
      </c>
      <c r="AA75" s="330"/>
      <c r="AB75" s="357">
        <f>qtrSales!Y76</f>
        <v>0.49395</v>
      </c>
      <c r="AC75" s="330"/>
      <c r="AD75" s="360">
        <f>H75/AB75</f>
        <v>1086.3508452272497</v>
      </c>
      <c r="AE75" s="330"/>
      <c r="AF75" s="366">
        <f>(AD75/AD68-1)*100</f>
        <v>12.096863586994155</v>
      </c>
      <c r="AG75" s="330"/>
      <c r="AH75" s="330"/>
      <c r="AI75" s="330"/>
      <c r="AJ75" s="330"/>
    </row>
    <row r="76" spans="1:36" hidden="1" outlineLevel="1">
      <c r="A76" s="330" t="str">
        <f>$A$13</f>
        <v>3Q</v>
      </c>
      <c r="B76" s="330" t="str">
        <f>$B$13</f>
        <v>Oct</v>
      </c>
      <c r="C76" s="330"/>
      <c r="D76" s="355">
        <f>'qtrP&amp;L'!AP12</f>
        <v>322.70600000000002</v>
      </c>
      <c r="E76" s="330"/>
      <c r="F76" s="355">
        <f>'qtrP&amp;L'!AP22</f>
        <v>141.21600000000001</v>
      </c>
      <c r="G76" s="330"/>
      <c r="H76" s="355">
        <f>work!AL12</f>
        <v>575.96199999999999</v>
      </c>
      <c r="I76" s="330"/>
      <c r="J76" s="355">
        <f>AVERAGE(H75:H76)</f>
        <v>556.28250000000003</v>
      </c>
      <c r="K76" s="330"/>
      <c r="L76" s="338">
        <f>(D76/D69-1)*100</f>
        <v>27.77399429838454</v>
      </c>
      <c r="M76" s="330"/>
      <c r="N76" s="338">
        <f>(H76/H69-1)*100</f>
        <v>10.884108835312745</v>
      </c>
      <c r="O76" s="330"/>
      <c r="P76" s="338">
        <f>(H76/H75-1)*100</f>
        <v>7.3348453139471914</v>
      </c>
      <c r="Q76" s="330"/>
      <c r="R76" s="359">
        <f>F76/J76</f>
        <v>0.25385662860147495</v>
      </c>
      <c r="S76" s="330"/>
      <c r="T76" s="359">
        <f>F77/H76</f>
        <v>0.4388883294384005</v>
      </c>
      <c r="U76" s="330"/>
      <c r="V76" s="330">
        <f>qtrSales!J77</f>
        <v>111</v>
      </c>
      <c r="W76" s="330"/>
      <c r="X76" s="359">
        <f>H76/V76</f>
        <v>5.1888468468468467</v>
      </c>
      <c r="Y76" s="330"/>
      <c r="Z76" s="366">
        <f>(X76/X69-1)*100</f>
        <v>1.8935054162333431</v>
      </c>
      <c r="AA76" s="330"/>
      <c r="AB76" s="357">
        <f>qtrSales!Y77</f>
        <v>0.53394999999999992</v>
      </c>
      <c r="AC76" s="330"/>
      <c r="AD76" s="360">
        <f>H76/AB76</f>
        <v>1078.6815244873117</v>
      </c>
      <c r="AE76" s="330"/>
      <c r="AF76" s="366">
        <f>(AD76/AD69-1)*100</f>
        <v>-4.7255715607062427</v>
      </c>
      <c r="AG76" s="330"/>
      <c r="AH76" s="330"/>
      <c r="AI76" s="330"/>
      <c r="AJ76" s="330"/>
    </row>
    <row r="77" spans="1:36" hidden="1" outlineLevel="1">
      <c r="A77" s="330" t="str">
        <f>$A$14</f>
        <v>4Q</v>
      </c>
      <c r="B77" s="330" t="str">
        <f>$B$14</f>
        <v>Jan</v>
      </c>
      <c r="C77" s="330"/>
      <c r="D77" s="361">
        <f>'qtrP&amp;L'!AP13</f>
        <v>569.64</v>
      </c>
      <c r="E77" s="330"/>
      <c r="F77" s="361">
        <f>'qtrP&amp;L'!AP23</f>
        <v>252.78300000000002</v>
      </c>
      <c r="G77" s="330"/>
      <c r="H77" s="362">
        <f>bal!W12</f>
        <v>504.8</v>
      </c>
      <c r="I77" s="330"/>
      <c r="J77" s="361">
        <f>AVERAGE(H76:H77)</f>
        <v>540.38099999999997</v>
      </c>
      <c r="K77" s="330"/>
      <c r="L77" s="368">
        <f>(D77/D70-1)*100</f>
        <v>26.169466298107569</v>
      </c>
      <c r="M77" s="330"/>
      <c r="N77" s="366">
        <f>(H77/H70-1)*100</f>
        <v>4.8523281246430017</v>
      </c>
      <c r="O77" s="330"/>
      <c r="P77" s="338">
        <f>(H77/H76-1)*100</f>
        <v>-12.355328997399129</v>
      </c>
      <c r="Q77" s="330"/>
      <c r="R77" s="359">
        <f>F77/J77</f>
        <v>0.46778661722007253</v>
      </c>
      <c r="S77" s="330"/>
      <c r="T77" s="359">
        <f>F81/H77</f>
        <v>0.30989302694136289</v>
      </c>
      <c r="U77" s="330"/>
      <c r="V77" s="330">
        <f>qtrSales!J78</f>
        <v>110</v>
      </c>
      <c r="W77" s="330"/>
      <c r="X77" s="359">
        <f>H77/V77</f>
        <v>4.5890909090909089</v>
      </c>
      <c r="Y77" s="330"/>
      <c r="Z77" s="366">
        <f>(X77/X70-1)*100</f>
        <v>-0.86688977306480508</v>
      </c>
      <c r="AA77" s="330"/>
      <c r="AB77" s="357">
        <f>qtrSales!Y78</f>
        <v>0.51644999999999996</v>
      </c>
      <c r="AC77" s="330"/>
      <c r="AD77" s="360">
        <f>H77/AB77</f>
        <v>977.44215316100303</v>
      </c>
      <c r="AE77" s="330"/>
      <c r="AF77" s="366">
        <f>(AD77/AD70-1)*100</f>
        <v>-4.2838027023662679</v>
      </c>
      <c r="AG77" s="330"/>
      <c r="AH77" s="330"/>
      <c r="AI77" s="330"/>
      <c r="AJ77" s="330"/>
    </row>
    <row r="78" spans="1:36" hidden="1" outlineLevel="1">
      <c r="A78" s="330"/>
      <c r="B78" s="330" t="str">
        <f>$B$15</f>
        <v>Year</v>
      </c>
      <c r="C78" s="330"/>
      <c r="D78" s="342">
        <f>SUM(D74:D77)</f>
        <v>1471.69</v>
      </c>
      <c r="E78" s="330"/>
      <c r="F78" s="342">
        <f>SUM(F74:F77)</f>
        <v>650.01</v>
      </c>
      <c r="G78" s="330"/>
      <c r="H78" s="330"/>
      <c r="I78" s="330"/>
      <c r="J78" s="342">
        <f>AVERAGE(J74:J77)</f>
        <v>532.29112500000008</v>
      </c>
      <c r="K78" s="330"/>
      <c r="L78" s="338">
        <f>(D78/D71-1)*100</f>
        <v>24.938769654198168</v>
      </c>
      <c r="M78" s="330"/>
      <c r="N78" s="366"/>
      <c r="O78" s="330"/>
      <c r="P78" s="366"/>
      <c r="Q78" s="330"/>
      <c r="R78" s="369">
        <f>F78/J78</f>
        <v>1.2211550587096487</v>
      </c>
      <c r="S78" s="364" t="s">
        <v>1458</v>
      </c>
      <c r="T78" s="359"/>
      <c r="U78" s="330"/>
      <c r="V78" s="330"/>
      <c r="W78" s="330"/>
      <c r="X78" s="330"/>
      <c r="Y78" s="330"/>
      <c r="Z78" s="330"/>
      <c r="AA78" s="330"/>
      <c r="AB78" s="357"/>
      <c r="AC78" s="330"/>
      <c r="AD78" s="330"/>
      <c r="AE78" s="330"/>
      <c r="AF78" s="330"/>
      <c r="AG78" s="330"/>
      <c r="AH78" s="330"/>
      <c r="AI78" s="330"/>
      <c r="AJ78" s="330"/>
    </row>
    <row r="79" spans="1:36" hidden="1" outlineLevel="1">
      <c r="A79" s="330"/>
      <c r="B79" s="330"/>
      <c r="C79" s="330"/>
      <c r="D79" s="330"/>
      <c r="E79" s="330"/>
      <c r="F79" s="330"/>
      <c r="G79" s="330"/>
      <c r="H79" s="330"/>
      <c r="I79" s="330"/>
      <c r="J79" s="330"/>
      <c r="K79" s="330"/>
      <c r="L79" s="330"/>
      <c r="M79" s="330"/>
      <c r="N79" s="330"/>
      <c r="O79" s="330"/>
      <c r="P79" s="330"/>
      <c r="Q79" s="330"/>
      <c r="R79" s="330"/>
      <c r="S79" s="330"/>
      <c r="T79" s="359"/>
      <c r="U79" s="330"/>
      <c r="V79" s="330"/>
      <c r="W79" s="330"/>
      <c r="X79" s="330"/>
      <c r="Y79" s="330"/>
      <c r="Z79" s="330"/>
      <c r="AA79" s="330"/>
      <c r="AB79" s="357"/>
      <c r="AC79" s="330"/>
      <c r="AD79" s="330"/>
      <c r="AE79" s="330"/>
      <c r="AF79" s="330"/>
      <c r="AG79" s="330"/>
      <c r="AH79" s="330"/>
      <c r="AI79" s="330"/>
      <c r="AJ79" s="330"/>
    </row>
    <row r="80" spans="1:36" hidden="1" outlineLevel="1">
      <c r="A80" s="330"/>
      <c r="B80" s="365">
        <f>B73+1</f>
        <v>2000</v>
      </c>
      <c r="C80" s="330"/>
      <c r="D80" s="330"/>
      <c r="E80" s="330"/>
      <c r="F80" s="330"/>
      <c r="G80" s="330"/>
      <c r="H80" s="330"/>
      <c r="I80" s="330"/>
      <c r="J80" s="330"/>
      <c r="K80" s="330"/>
      <c r="L80" s="330"/>
      <c r="M80" s="330"/>
      <c r="N80" s="330"/>
      <c r="O80" s="330"/>
      <c r="P80" s="330"/>
      <c r="Q80" s="330"/>
      <c r="R80" s="330"/>
      <c r="S80" s="330"/>
      <c r="T80" s="359"/>
      <c r="U80" s="330"/>
      <c r="V80" s="330"/>
      <c r="W80" s="330"/>
      <c r="X80" s="330"/>
      <c r="Y80" s="330"/>
      <c r="Z80" s="330"/>
      <c r="AA80" s="330"/>
      <c r="AB80" s="357"/>
      <c r="AC80" s="330"/>
      <c r="AD80" s="330"/>
      <c r="AE80" s="330"/>
      <c r="AF80" s="330"/>
      <c r="AG80" s="330"/>
      <c r="AH80" s="330"/>
      <c r="AI80" s="330"/>
      <c r="AJ80" s="330"/>
    </row>
    <row r="81" spans="1:36" hidden="1" outlineLevel="1">
      <c r="A81" s="330" t="str">
        <f>$A$11</f>
        <v>1Q</v>
      </c>
      <c r="B81" s="330" t="str">
        <f>$B$11</f>
        <v>Apr</v>
      </c>
      <c r="C81" s="330"/>
      <c r="D81" s="342">
        <f>'qtrP&amp;L'!AT10</f>
        <v>345.14299999999997</v>
      </c>
      <c r="E81" s="330"/>
      <c r="F81" s="342">
        <f>'qtrP&amp;L'!AT20</f>
        <v>156.434</v>
      </c>
      <c r="G81" s="330"/>
      <c r="H81" s="342">
        <f>work!AP10</f>
        <v>525.59400000000005</v>
      </c>
      <c r="I81" s="330"/>
      <c r="J81" s="342">
        <f>AVERAGE(H81,H76)</f>
        <v>550.77800000000002</v>
      </c>
      <c r="K81" s="330"/>
      <c r="L81" s="338">
        <f>(D81/D74-1)*100</f>
        <v>26.761716927981418</v>
      </c>
      <c r="M81" s="330" t="s">
        <v>1970</v>
      </c>
      <c r="N81" s="338">
        <f>(H81/H74-1)*100</f>
        <v>0.40383586765493362</v>
      </c>
      <c r="O81" s="330" t="s">
        <v>1970</v>
      </c>
      <c r="P81" s="338">
        <f>(H81/H77-1)*100</f>
        <v>4.1192551505546904</v>
      </c>
      <c r="Q81" s="330" t="s">
        <v>1970</v>
      </c>
      <c r="R81" s="359">
        <f>F81/J81</f>
        <v>0.28402369012560413</v>
      </c>
      <c r="S81" s="330" t="s">
        <v>1458</v>
      </c>
      <c r="T81" s="359">
        <f>F85/H81</f>
        <v>1.3691975174754658</v>
      </c>
      <c r="U81" s="330"/>
      <c r="V81" s="330">
        <f>qtrSales!J82</f>
        <v>112</v>
      </c>
      <c r="W81" s="330"/>
      <c r="X81" s="356">
        <f>H81/V81</f>
        <v>4.6928035714285716</v>
      </c>
      <c r="Y81" s="330"/>
      <c r="Z81" s="366">
        <f>(X81/X74-1)*100</f>
        <v>-5.8714038740734997</v>
      </c>
      <c r="AA81" s="367" t="s">
        <v>1970</v>
      </c>
      <c r="AB81" s="357">
        <f>qtrSales!Y82</f>
        <v>0.52244999999999997</v>
      </c>
      <c r="AC81" s="330"/>
      <c r="AD81" s="358">
        <f>H81/AB81</f>
        <v>1006.0178007464831</v>
      </c>
      <c r="AE81" s="330"/>
      <c r="AF81" s="366">
        <f>(AD81/AD74-1)*100</f>
        <v>-7.1872283811198034</v>
      </c>
      <c r="AG81" s="367" t="s">
        <v>1970</v>
      </c>
      <c r="AH81" s="330"/>
      <c r="AI81" s="330"/>
      <c r="AJ81" s="330"/>
    </row>
    <row r="82" spans="1:36" hidden="1" outlineLevel="1">
      <c r="A82" s="330" t="str">
        <f>$A$47</f>
        <v>2Q</v>
      </c>
      <c r="B82" s="330" t="str">
        <f>$B$12</f>
        <v>Jul</v>
      </c>
      <c r="C82" s="330"/>
      <c r="D82" s="355">
        <f>'qtrP&amp;L'!AT11</f>
        <v>374.44799999999998</v>
      </c>
      <c r="E82" s="330"/>
      <c r="F82" s="355">
        <f>'qtrP&amp;L'!AT21</f>
        <v>161.994</v>
      </c>
      <c r="G82" s="330"/>
      <c r="H82" s="355">
        <f>work!AP11</f>
        <v>559.67499999999995</v>
      </c>
      <c r="I82" s="330"/>
      <c r="J82" s="355">
        <f>AVERAGE(H81:H82)</f>
        <v>542.6345</v>
      </c>
      <c r="K82" s="330"/>
      <c r="L82" s="338">
        <f>(D82/D75-1)*100</f>
        <v>21.943419514307937</v>
      </c>
      <c r="M82" s="367"/>
      <c r="N82" s="338">
        <f>(H82/H75-1)*100</f>
        <v>4.2996405163594043</v>
      </c>
      <c r="O82" s="367"/>
      <c r="P82" s="338">
        <f>(H82/H81-1)*100</f>
        <v>6.4842825450823094</v>
      </c>
      <c r="Q82" s="367"/>
      <c r="R82" s="359">
        <f>F82/J82</f>
        <v>0.29853243757999171</v>
      </c>
      <c r="S82" s="330"/>
      <c r="T82" s="359">
        <f>F83/H82</f>
        <v>0.2960807611560281</v>
      </c>
      <c r="U82" s="330"/>
      <c r="V82" s="330">
        <f>qtrSales!J83</f>
        <v>113</v>
      </c>
      <c r="W82" s="330"/>
      <c r="X82" s="359">
        <f>H82/V82</f>
        <v>4.9528761061946902</v>
      </c>
      <c r="Y82" s="330"/>
      <c r="Z82" s="366">
        <f>(X82/X75-1)*100</f>
        <v>-1.2383934933587915</v>
      </c>
      <c r="AA82" s="367"/>
      <c r="AB82" s="357">
        <f>qtrSales!Y83</f>
        <v>0.52970000000000006</v>
      </c>
      <c r="AC82" s="330"/>
      <c r="AD82" s="360">
        <f>H82/AB82</f>
        <v>1056.5886350764581</v>
      </c>
      <c r="AE82" s="330"/>
      <c r="AF82" s="366">
        <f>(AD82/AD75-1)*100</f>
        <v>-2.7396499281561071</v>
      </c>
      <c r="AG82" s="367"/>
      <c r="AH82" s="370">
        <f>J82/(F82/(365/4))</f>
        <v>305.66192652196992</v>
      </c>
      <c r="AI82" s="330"/>
      <c r="AJ82" s="370">
        <f>H82/(F83/(365/4))</f>
        <v>308.19293912823076</v>
      </c>
    </row>
    <row r="83" spans="1:36" hidden="1" outlineLevel="1">
      <c r="A83" s="330" t="str">
        <f>$A$48</f>
        <v>3Q</v>
      </c>
      <c r="B83" s="330" t="str">
        <f>$B$13</f>
        <v>Oct</v>
      </c>
      <c r="C83" s="330"/>
      <c r="D83" s="355">
        <f>'qtrP&amp;L'!AT12</f>
        <v>372.07400000000001</v>
      </c>
      <c r="E83" s="330"/>
      <c r="F83" s="355">
        <f>'qtrP&amp;L'!AT22</f>
        <v>165.709</v>
      </c>
      <c r="G83" s="330"/>
      <c r="H83" s="355">
        <f>work!AP12</f>
        <v>657.10599999999999</v>
      </c>
      <c r="I83" s="330"/>
      <c r="J83" s="355">
        <f>AVERAGE(H82:H83)</f>
        <v>608.39049999999997</v>
      </c>
      <c r="K83" s="330"/>
      <c r="L83" s="338">
        <f>(D83/D76-1)*100</f>
        <v>15.298135144682767</v>
      </c>
      <c r="M83" s="367"/>
      <c r="N83" s="338">
        <f>(H83/H76-1)*100</f>
        <v>14.088429444998107</v>
      </c>
      <c r="O83" s="367"/>
      <c r="P83" s="338">
        <f>(H83/H82-1)*100</f>
        <v>17.408496002144112</v>
      </c>
      <c r="Q83" s="367"/>
      <c r="R83" s="359">
        <f>F83/J83</f>
        <v>0.27237276058715582</v>
      </c>
      <c r="S83" s="330"/>
      <c r="T83" s="359">
        <f>F84/H83</f>
        <v>0.35839727532544224</v>
      </c>
      <c r="U83" s="330"/>
      <c r="V83" s="330">
        <f>qtrSales!J84</f>
        <v>118</v>
      </c>
      <c r="W83" s="330"/>
      <c r="X83" s="359">
        <f>H83/V83</f>
        <v>5.5686949152542375</v>
      </c>
      <c r="Y83" s="330"/>
      <c r="Z83" s="366">
        <f>(X83/X76-1)*100</f>
        <v>7.3204717660575458</v>
      </c>
      <c r="AA83" s="367"/>
      <c r="AB83" s="357">
        <f>qtrSales!Y84</f>
        <v>0.54895000000000005</v>
      </c>
      <c r="AC83" s="330"/>
      <c r="AD83" s="360">
        <f>H83/AB83</f>
        <v>1197.0234083249838</v>
      </c>
      <c r="AE83" s="330"/>
      <c r="AF83" s="366">
        <f>(AD83/AD76-1)*100</f>
        <v>10.970975320442156</v>
      </c>
      <c r="AG83" s="367"/>
      <c r="AH83" s="370">
        <f>J83/(F83/(365/4))</f>
        <v>335.018816871745</v>
      </c>
      <c r="AI83" s="330"/>
      <c r="AJ83" s="370">
        <f>H83/(F84/(365/4))</f>
        <v>254.60573023927302</v>
      </c>
    </row>
    <row r="84" spans="1:36" hidden="1" outlineLevel="1">
      <c r="A84" s="330" t="str">
        <f>$A$49</f>
        <v>4Q</v>
      </c>
      <c r="B84" s="330" t="str">
        <f>$B$14</f>
        <v>Jan</v>
      </c>
      <c r="C84" s="330"/>
      <c r="D84" s="361">
        <f>'qtrP&amp;L'!AT13</f>
        <v>576.39100000000008</v>
      </c>
      <c r="E84" s="330"/>
      <c r="F84" s="361">
        <f>'qtrP&amp;L'!AT23</f>
        <v>235.50500000000005</v>
      </c>
      <c r="G84" s="330"/>
      <c r="H84" s="355">
        <f>bal!Y12</f>
        <v>651.71699999999998</v>
      </c>
      <c r="I84" s="330"/>
      <c r="J84" s="361">
        <f>AVERAGE(H83:H84)</f>
        <v>654.41149999999993</v>
      </c>
      <c r="K84" s="330"/>
      <c r="L84" s="368">
        <f>(D84/D77-1)*100</f>
        <v>1.1851344708939227</v>
      </c>
      <c r="M84" s="367"/>
      <c r="N84" s="366">
        <f>(H84/H77-1)*100</f>
        <v>29.104001584786054</v>
      </c>
      <c r="O84" s="367"/>
      <c r="P84" s="338">
        <f>(H84/H83-1)*100</f>
        <v>-0.82011121493336114</v>
      </c>
      <c r="Q84" s="367"/>
      <c r="R84" s="359">
        <f>F84/J84</f>
        <v>0.35987295455535251</v>
      </c>
      <c r="S84" s="330"/>
      <c r="T84" s="359">
        <f>F88/H84</f>
        <v>0.22442409818985848</v>
      </c>
      <c r="U84" s="330"/>
      <c r="V84" s="330">
        <f>qtrSales!J85</f>
        <v>119</v>
      </c>
      <c r="W84" s="330"/>
      <c r="X84" s="359">
        <f>H84/V84</f>
        <v>5.4766134453781508</v>
      </c>
      <c r="Y84" s="330"/>
      <c r="Z84" s="366">
        <f>(X84/X77-1)*100</f>
        <v>19.339833397701376</v>
      </c>
      <c r="AA84" s="367"/>
      <c r="AB84" s="357">
        <f>qtrSales!Y85</f>
        <v>0.56045</v>
      </c>
      <c r="AC84" s="330"/>
      <c r="AD84" s="360">
        <f>H84/AB84</f>
        <v>1162.8459273797841</v>
      </c>
      <c r="AE84" s="330"/>
      <c r="AF84" s="366">
        <f>(AD84/AD77-1)*100</f>
        <v>18.96826053789411</v>
      </c>
      <c r="AG84" s="367"/>
      <c r="AH84" s="370">
        <f>J84/(F84/(365/4))</f>
        <v>253.56170516549537</v>
      </c>
      <c r="AI84" s="330"/>
      <c r="AJ84" s="370">
        <f>H84/(F88/(365/4))</f>
        <v>406.59626455446084</v>
      </c>
    </row>
    <row r="85" spans="1:36" hidden="1" outlineLevel="1">
      <c r="A85" s="330"/>
      <c r="B85" s="330" t="str">
        <f>$B$50</f>
        <v>Year</v>
      </c>
      <c r="C85" s="330"/>
      <c r="D85" s="342">
        <f>SUM(D81:D84)</f>
        <v>1668.056</v>
      </c>
      <c r="E85" s="330"/>
      <c r="F85" s="342">
        <f>SUM(F81:F84)</f>
        <v>719.64200000000005</v>
      </c>
      <c r="G85" s="330"/>
      <c r="H85" s="330"/>
      <c r="I85" s="330"/>
      <c r="J85" s="342">
        <f>AVERAGE(J81:J84)</f>
        <v>589.05362500000001</v>
      </c>
      <c r="K85" s="330"/>
      <c r="L85" s="338">
        <f>(D85/D78-1)*100</f>
        <v>13.34289150568393</v>
      </c>
      <c r="M85" s="367"/>
      <c r="N85" s="330"/>
      <c r="O85" s="367"/>
      <c r="P85" s="330"/>
      <c r="Q85" s="367"/>
      <c r="R85" s="369">
        <f>F85/J85</f>
        <v>1.2216918281421323</v>
      </c>
      <c r="S85" s="364" t="s">
        <v>1458</v>
      </c>
      <c r="T85" s="359"/>
      <c r="U85" s="330"/>
      <c r="V85" s="330"/>
      <c r="W85" s="330"/>
      <c r="X85" s="330"/>
      <c r="Y85" s="330"/>
      <c r="Z85" s="330"/>
      <c r="AA85" s="367"/>
      <c r="AB85" s="357"/>
      <c r="AC85" s="330"/>
      <c r="AD85" s="330"/>
      <c r="AE85" s="330"/>
      <c r="AF85" s="330"/>
      <c r="AG85" s="367"/>
      <c r="AH85" s="330"/>
      <c r="AI85" s="330"/>
      <c r="AJ85" s="330"/>
    </row>
    <row r="86" spans="1:36" hidden="1" outlineLevel="1">
      <c r="A86" s="330"/>
      <c r="B86" s="330"/>
      <c r="C86" s="330"/>
      <c r="D86" s="330"/>
      <c r="E86" s="330"/>
      <c r="F86" s="330"/>
      <c r="G86" s="330"/>
      <c r="H86" s="330"/>
      <c r="I86" s="330"/>
      <c r="J86" s="330"/>
      <c r="K86" s="330"/>
      <c r="L86" s="330"/>
      <c r="M86" s="367"/>
      <c r="N86" s="330"/>
      <c r="O86" s="367"/>
      <c r="P86" s="330"/>
      <c r="Q86" s="367"/>
      <c r="R86" s="330"/>
      <c r="S86" s="330"/>
      <c r="T86" s="359"/>
      <c r="U86" s="330"/>
      <c r="V86" s="330"/>
      <c r="W86" s="330"/>
      <c r="X86" s="330"/>
      <c r="Y86" s="330"/>
      <c r="Z86" s="330"/>
      <c r="AA86" s="367"/>
      <c r="AB86" s="357"/>
      <c r="AC86" s="330"/>
      <c r="AD86" s="330"/>
      <c r="AE86" s="330"/>
      <c r="AF86" s="330"/>
      <c r="AG86" s="367"/>
      <c r="AH86" s="330"/>
      <c r="AI86" s="330"/>
      <c r="AJ86" s="330"/>
    </row>
    <row r="87" spans="1:36" hidden="1" outlineLevel="1" collapsed="1">
      <c r="A87" s="330"/>
      <c r="B87" s="365">
        <f>B80+1</f>
        <v>2001</v>
      </c>
      <c r="C87" s="330"/>
      <c r="D87" s="330"/>
      <c r="E87" s="330"/>
      <c r="F87" s="330"/>
      <c r="G87" s="330"/>
      <c r="H87" s="330"/>
      <c r="I87" s="330"/>
      <c r="J87" s="330"/>
      <c r="K87" s="330"/>
      <c r="L87" s="330"/>
      <c r="M87" s="367"/>
      <c r="N87" s="330"/>
      <c r="O87" s="367"/>
      <c r="P87" s="330"/>
      <c r="Q87" s="367"/>
      <c r="R87" s="330"/>
      <c r="S87" s="330"/>
      <c r="T87" s="359"/>
      <c r="U87" s="330"/>
      <c r="V87" s="330"/>
      <c r="W87" s="330"/>
      <c r="X87" s="330"/>
      <c r="Y87" s="330"/>
      <c r="Z87" s="330"/>
      <c r="AA87" s="367"/>
      <c r="AB87" s="357"/>
      <c r="AC87" s="330"/>
      <c r="AD87" s="330"/>
      <c r="AE87" s="330"/>
      <c r="AF87" s="330"/>
      <c r="AG87" s="367"/>
      <c r="AH87" s="330"/>
      <c r="AI87" s="330"/>
      <c r="AJ87" s="330"/>
    </row>
    <row r="88" spans="1:36" hidden="1" outlineLevel="1">
      <c r="A88" s="330" t="str">
        <f>$A$46</f>
        <v>1Q</v>
      </c>
      <c r="B88" s="330" t="str">
        <f>$B$11</f>
        <v>Apr</v>
      </c>
      <c r="C88" s="367"/>
      <c r="D88" s="342">
        <f>'qtrP&amp;L'!$AX10</f>
        <v>336.40100000000001</v>
      </c>
      <c r="E88" s="330"/>
      <c r="F88" s="342">
        <f>'qtrP&amp;L'!$AX20</f>
        <v>146.261</v>
      </c>
      <c r="G88" s="330"/>
      <c r="H88" s="342">
        <f>work!AT10</f>
        <v>665.89300000000003</v>
      </c>
      <c r="I88" s="330"/>
      <c r="J88" s="342">
        <f>AVERAGE(H88,H84)</f>
        <v>658.80500000000006</v>
      </c>
      <c r="K88" s="330"/>
      <c r="L88" s="338">
        <f>(D88/D81-1)*100</f>
        <v>-2.5328631900400578</v>
      </c>
      <c r="M88" s="367" t="s">
        <v>1970</v>
      </c>
      <c r="N88" s="338">
        <f>(H88/H81-1)*100</f>
        <v>26.69341735255728</v>
      </c>
      <c r="O88" s="367" t="s">
        <v>1970</v>
      </c>
      <c r="P88" s="338">
        <f>(H88/H84-1)*100</f>
        <v>2.1751772625234533</v>
      </c>
      <c r="Q88" s="367" t="s">
        <v>1970</v>
      </c>
      <c r="R88" s="359">
        <f>F88/J88</f>
        <v>0.2220095475899545</v>
      </c>
      <c r="S88" s="330" t="s">
        <v>1458</v>
      </c>
      <c r="T88" s="359">
        <f>F89/H88</f>
        <v>0.23341587912772774</v>
      </c>
      <c r="U88" s="330"/>
      <c r="V88" s="330">
        <f>qtrSales!J89</f>
        <v>123</v>
      </c>
      <c r="W88" s="330"/>
      <c r="X88" s="356">
        <f>H88/V88</f>
        <v>5.413764227642277</v>
      </c>
      <c r="Y88" s="330"/>
      <c r="Z88" s="366">
        <f>(X88/X81-1)*100</f>
        <v>15.363111735661938</v>
      </c>
      <c r="AA88" s="367" t="s">
        <v>1970</v>
      </c>
      <c r="AB88" s="357">
        <f>qtrSales!Y89</f>
        <v>0.58204999999999996</v>
      </c>
      <c r="AC88" s="330"/>
      <c r="AD88" s="358">
        <f>H88/AB88</f>
        <v>1144.0477622197407</v>
      </c>
      <c r="AE88" s="330"/>
      <c r="AF88" s="372">
        <f>(AD88/AD81-1)*100</f>
        <v>13.720429337416974</v>
      </c>
      <c r="AG88" s="367" t="s">
        <v>1970</v>
      </c>
      <c r="AH88" s="370">
        <f>J88/(F88/(365/4))</f>
        <v>411.01835930289008</v>
      </c>
      <c r="AI88" s="330"/>
      <c r="AJ88" s="370">
        <f>H88/(F89/(365/4))</f>
        <v>390.93312906131382</v>
      </c>
    </row>
    <row r="89" spans="1:36" hidden="1" outlineLevel="1">
      <c r="A89" s="330" t="str">
        <f>$A$47</f>
        <v>2Q</v>
      </c>
      <c r="B89" s="330" t="str">
        <f>$B$12</f>
        <v>Jul</v>
      </c>
      <c r="C89" s="367"/>
      <c r="D89" s="355">
        <f>'qtrP&amp;L'!AX11</f>
        <v>371.30099999999999</v>
      </c>
      <c r="E89" s="330"/>
      <c r="F89" s="355">
        <f>'qtrP&amp;L'!$AX21</f>
        <v>155.43</v>
      </c>
      <c r="G89" s="330"/>
      <c r="H89" s="355">
        <f>work!AT11</f>
        <v>667.79899999999998</v>
      </c>
      <c r="I89" s="330"/>
      <c r="J89" s="355">
        <f>AVERAGE(H88:H89)</f>
        <v>666.846</v>
      </c>
      <c r="K89" s="330"/>
      <c r="L89" s="338">
        <f>(D89/D82-1)*100</f>
        <v>-0.8404371234457142</v>
      </c>
      <c r="M89" s="367"/>
      <c r="N89" s="338">
        <f>(H89/H82-1)*100</f>
        <v>19.319069102604193</v>
      </c>
      <c r="O89" s="367"/>
      <c r="P89" s="338">
        <f>(H89/H88-1)*100</f>
        <v>0.28623217243610721</v>
      </c>
      <c r="Q89" s="367"/>
      <c r="R89" s="359">
        <f>F89/J89</f>
        <v>0.23308230086106838</v>
      </c>
      <c r="S89" s="330"/>
      <c r="T89" s="359">
        <f>F90/H89</f>
        <v>0.20999582209616968</v>
      </c>
      <c r="U89" s="330"/>
      <c r="V89" s="330">
        <f>qtrSales!J90</f>
        <v>123</v>
      </c>
      <c r="W89" s="330"/>
      <c r="X89" s="359">
        <f>H89/V89</f>
        <v>5.4292601626016257</v>
      </c>
      <c r="Y89" s="330"/>
      <c r="Z89" s="366">
        <f>(X89/X82-1)*100</f>
        <v>9.618331777189205</v>
      </c>
      <c r="AA89" s="367"/>
      <c r="AB89" s="357">
        <f>qtrSales!Y90</f>
        <v>0.58742499999999997</v>
      </c>
      <c r="AC89" s="330"/>
      <c r="AD89" s="360">
        <f>H89/AB89</f>
        <v>1136.8242754394178</v>
      </c>
      <c r="AE89" s="330"/>
      <c r="AF89" s="373">
        <f>(AD89/AD82-1)*100</f>
        <v>7.593839049494755</v>
      </c>
      <c r="AG89" s="367"/>
      <c r="AH89" s="370">
        <f>J89/(F89/(365/4))</f>
        <v>391.49261725535609</v>
      </c>
      <c r="AI89" s="330"/>
      <c r="AJ89" s="370">
        <f>H89/(F90/(365/4))</f>
        <v>434.53245445145637</v>
      </c>
    </row>
    <row r="90" spans="1:36" hidden="1" outlineLevel="1">
      <c r="A90" s="330" t="str">
        <f>$A$48</f>
        <v>3Q</v>
      </c>
      <c r="B90" s="330" t="str">
        <f>$B$13</f>
        <v>Oct</v>
      </c>
      <c r="C90" s="367"/>
      <c r="D90" s="355">
        <f>'qtrP&amp;L'!AX12</f>
        <v>333.07400000000001</v>
      </c>
      <c r="E90" s="330"/>
      <c r="F90" s="355">
        <f>'qtrP&amp;L'!$AX22</f>
        <v>140.23500000000001</v>
      </c>
      <c r="G90" s="330"/>
      <c r="H90" s="355">
        <f>work!AT12</f>
        <v>702.75199999999995</v>
      </c>
      <c r="I90" s="330"/>
      <c r="J90" s="355">
        <f>AVERAGE(H89:H90)</f>
        <v>685.27549999999997</v>
      </c>
      <c r="K90" s="330"/>
      <c r="L90" s="338">
        <f>(D90/D83-1)*100</f>
        <v>-10.481785881303185</v>
      </c>
      <c r="M90" s="367"/>
      <c r="N90" s="338">
        <f>(H90/H83-1)*100</f>
        <v>6.9465200439502883</v>
      </c>
      <c r="O90" s="367"/>
      <c r="P90" s="338">
        <f>(H90/H89-1)*100</f>
        <v>5.2340599491763173</v>
      </c>
      <c r="Q90" s="367"/>
      <c r="R90" s="359">
        <f>F90/J90</f>
        <v>0.20464032349033348</v>
      </c>
      <c r="S90" s="330"/>
      <c r="T90" s="359">
        <f>F91/H90</f>
        <v>0.31466577113974775</v>
      </c>
      <c r="U90" s="330"/>
      <c r="V90" s="330">
        <f>qtrSales!J91</f>
        <v>124</v>
      </c>
      <c r="W90" s="330"/>
      <c r="X90" s="359">
        <f>H90/V90</f>
        <v>5.6673548387096773</v>
      </c>
      <c r="Y90" s="330"/>
      <c r="Z90" s="366">
        <f>(X90/X83-1)*100</f>
        <v>1.7716884289204371</v>
      </c>
      <c r="AA90" s="367"/>
      <c r="AB90" s="357">
        <f>qtrSales!Y91</f>
        <v>0.59819999999999995</v>
      </c>
      <c r="AC90" s="330"/>
      <c r="AD90" s="360">
        <f>H90/AB90</f>
        <v>1174.7776663323302</v>
      </c>
      <c r="AE90" s="330"/>
      <c r="AF90" s="374">
        <f>(AD90/AD83-1)*100</f>
        <v>-1.8584216346932192</v>
      </c>
      <c r="AG90" s="367"/>
      <c r="AH90" s="370">
        <f>J90/(F90/(365/4))</f>
        <v>445.90429903376469</v>
      </c>
      <c r="AI90" s="330"/>
      <c r="AJ90" s="370">
        <f>H90/(F91/(365/4))</f>
        <v>289.99023207857744</v>
      </c>
    </row>
    <row r="91" spans="1:36" hidden="1" outlineLevel="1">
      <c r="A91" s="330" t="str">
        <f>$A$49</f>
        <v>4Q</v>
      </c>
      <c r="B91" s="330" t="str">
        <f>$B$14</f>
        <v>Jan</v>
      </c>
      <c r="C91" s="330"/>
      <c r="D91" s="361">
        <f>'qtrP&amp;L'!AX13</f>
        <v>565.75900000000001</v>
      </c>
      <c r="E91" s="330"/>
      <c r="F91" s="361">
        <f>'qtrP&amp;L'!$AX23</f>
        <v>221.13200000000001</v>
      </c>
      <c r="G91" s="330"/>
      <c r="H91" s="355">
        <f>bal!AA12</f>
        <v>611.65300000000002</v>
      </c>
      <c r="I91" s="330"/>
      <c r="J91" s="361">
        <f>AVERAGE(H90:H91)</f>
        <v>657.20249999999999</v>
      </c>
      <c r="K91" s="330"/>
      <c r="L91" s="368">
        <f>(D91/D84-1)*100</f>
        <v>-1.8445811957508162</v>
      </c>
      <c r="M91" s="367"/>
      <c r="N91" s="366">
        <f>(H91/H84-1)*100</f>
        <v>-6.14745357263965</v>
      </c>
      <c r="O91" s="367"/>
      <c r="P91" s="338">
        <f>(H91/H90-1)*100</f>
        <v>-12.963179044670092</v>
      </c>
      <c r="Q91" s="367"/>
      <c r="R91" s="359">
        <f>F91/J91</f>
        <v>0.3364746786568828</v>
      </c>
      <c r="S91" s="330"/>
      <c r="T91" s="359">
        <f>F95/H91</f>
        <v>0.23005527643941906</v>
      </c>
      <c r="U91" s="330"/>
      <c r="V91" s="330">
        <f>qtrSales!J92</f>
        <v>126</v>
      </c>
      <c r="W91" s="330"/>
      <c r="X91" s="359">
        <f>H91/V91</f>
        <v>4.8543888888888889</v>
      </c>
      <c r="Y91" s="330"/>
      <c r="Z91" s="366">
        <f>(X91/X84-1)*100</f>
        <v>-11.361483929715222</v>
      </c>
      <c r="AA91" s="367"/>
      <c r="AB91" s="357">
        <f>qtrSales!Y92</f>
        <v>0.60899999999999999</v>
      </c>
      <c r="AC91" s="330"/>
      <c r="AD91" s="360">
        <f>H91/AB91</f>
        <v>1004.3563218390805</v>
      </c>
      <c r="AE91" s="330"/>
      <c r="AF91" s="366">
        <f>(AD91/AD84-1)*100</f>
        <v>-13.629458710650077</v>
      </c>
      <c r="AG91" s="367"/>
      <c r="AH91" s="370">
        <f>J91/(F91/(365/4))</f>
        <v>271.19425558037727</v>
      </c>
      <c r="AI91" s="330"/>
      <c r="AJ91" s="370">
        <f>H91/(F95/(365/4))</f>
        <v>396.64380409909461</v>
      </c>
    </row>
    <row r="92" spans="1:36" hidden="1" outlineLevel="1">
      <c r="A92" s="330"/>
      <c r="B92" s="330" t="str">
        <f>$B$50</f>
        <v>Year</v>
      </c>
      <c r="C92" s="330"/>
      <c r="D92" s="342">
        <f>SUM(D88:D91)</f>
        <v>1606.5350000000001</v>
      </c>
      <c r="E92" s="330"/>
      <c r="F92" s="342">
        <f>SUM(F88:F91)</f>
        <v>663.05799999999999</v>
      </c>
      <c r="G92" s="330"/>
      <c r="H92" s="330"/>
      <c r="I92" s="330"/>
      <c r="J92" s="342">
        <f>AVERAGE(J88:J91)</f>
        <v>667.03224999999998</v>
      </c>
      <c r="K92" s="330"/>
      <c r="L92" s="338">
        <f>(D92/D85-1)*100</f>
        <v>-3.6881855285434084</v>
      </c>
      <c r="M92" s="367"/>
      <c r="N92" s="330"/>
      <c r="O92" s="367"/>
      <c r="P92" s="330"/>
      <c r="Q92" s="367"/>
      <c r="R92" s="369">
        <f>F92/J92</f>
        <v>0.99404189227732243</v>
      </c>
      <c r="S92" s="364" t="s">
        <v>1458</v>
      </c>
      <c r="T92" s="359"/>
      <c r="U92" s="330"/>
      <c r="V92" s="330"/>
      <c r="W92" s="330"/>
      <c r="X92" s="330"/>
      <c r="Y92" s="330"/>
      <c r="Z92" s="330"/>
      <c r="AA92" s="367"/>
      <c r="AB92" s="357"/>
      <c r="AC92" s="330"/>
      <c r="AD92" s="330"/>
      <c r="AE92" s="330"/>
      <c r="AF92" s="330"/>
      <c r="AG92" s="367"/>
      <c r="AH92" s="330"/>
      <c r="AI92" s="330"/>
      <c r="AJ92" s="330"/>
    </row>
    <row r="93" spans="1:36" hidden="1" outlineLevel="1">
      <c r="A93" s="330"/>
      <c r="B93" s="330"/>
      <c r="C93" s="330"/>
      <c r="D93" s="330"/>
      <c r="E93" s="330"/>
      <c r="F93" s="330"/>
      <c r="G93" s="330"/>
      <c r="H93" s="330"/>
      <c r="I93" s="330"/>
      <c r="J93" s="330"/>
      <c r="K93" s="330"/>
      <c r="L93" s="330"/>
      <c r="M93" s="367"/>
      <c r="N93" s="330"/>
      <c r="O93" s="367"/>
      <c r="P93" s="330"/>
      <c r="Q93" s="367"/>
      <c r="R93" s="330"/>
      <c r="S93" s="330"/>
      <c r="T93" s="359"/>
      <c r="U93" s="330"/>
      <c r="V93" s="330"/>
      <c r="W93" s="330"/>
      <c r="X93" s="330"/>
      <c r="Y93" s="330"/>
      <c r="Z93" s="330"/>
      <c r="AA93" s="367"/>
      <c r="AB93" s="357"/>
      <c r="AC93" s="330"/>
      <c r="AD93" s="330"/>
      <c r="AE93" s="330"/>
      <c r="AF93" s="330"/>
      <c r="AG93" s="367"/>
      <c r="AH93" s="330"/>
      <c r="AI93" s="330"/>
      <c r="AJ93" s="330"/>
    </row>
    <row r="94" spans="1:36" hidden="1" outlineLevel="1">
      <c r="A94" s="330"/>
      <c r="B94" s="365">
        <f>B87+1</f>
        <v>2002</v>
      </c>
      <c r="C94" s="330"/>
      <c r="D94" s="330"/>
      <c r="E94" s="330"/>
      <c r="F94" s="330"/>
      <c r="G94" s="330"/>
      <c r="H94" s="330"/>
      <c r="I94" s="330"/>
      <c r="J94" s="330"/>
      <c r="K94" s="330"/>
      <c r="L94" s="330"/>
      <c r="M94" s="367"/>
      <c r="N94" s="330"/>
      <c r="O94" s="367"/>
      <c r="P94" s="330"/>
      <c r="Q94" s="367"/>
      <c r="R94" s="330"/>
      <c r="S94" s="330"/>
      <c r="T94" s="359"/>
      <c r="U94" s="330"/>
      <c r="V94" s="330"/>
      <c r="W94" s="330"/>
      <c r="X94" s="330"/>
      <c r="Y94" s="330"/>
      <c r="Z94" s="330"/>
      <c r="AA94" s="367"/>
      <c r="AB94" s="357"/>
      <c r="AC94" s="330"/>
      <c r="AD94" s="330"/>
      <c r="AE94" s="330"/>
      <c r="AF94" s="330"/>
      <c r="AG94" s="367"/>
      <c r="AH94" s="330"/>
      <c r="AI94" s="330"/>
      <c r="AJ94" s="330"/>
    </row>
    <row r="95" spans="1:36" hidden="1" outlineLevel="1">
      <c r="A95" s="330" t="str">
        <f>$A$46</f>
        <v>1Q</v>
      </c>
      <c r="B95" s="330" t="str">
        <f>$B$11</f>
        <v>Apr</v>
      </c>
      <c r="C95" s="367"/>
      <c r="D95" s="342">
        <f>'qtrP&amp;L'!$BB10</f>
        <v>347.12900000000002</v>
      </c>
      <c r="E95" s="330"/>
      <c r="F95" s="342">
        <f>'qtrP&amp;L'!$BB$20</f>
        <v>140.714</v>
      </c>
      <c r="G95" s="330"/>
      <c r="H95" s="342">
        <f>work!AX$10</f>
        <v>653.08199999999999</v>
      </c>
      <c r="I95" s="330"/>
      <c r="J95" s="342">
        <f>AVERAGE(H95,H91)</f>
        <v>632.36750000000006</v>
      </c>
      <c r="K95" s="330"/>
      <c r="L95" s="338">
        <f>(D95/D88-1)*100</f>
        <v>3.189051162154688</v>
      </c>
      <c r="M95" s="367" t="s">
        <v>1970</v>
      </c>
      <c r="N95" s="338">
        <f>(H95/H88-1)*100</f>
        <v>-1.9238826658337094</v>
      </c>
      <c r="O95" s="367" t="s">
        <v>1970</v>
      </c>
      <c r="P95" s="338">
        <f>(H95/H91-1)*100</f>
        <v>6.7732848526860678</v>
      </c>
      <c r="Q95" s="367" t="s">
        <v>1970</v>
      </c>
      <c r="R95" s="359">
        <f>F95/J95</f>
        <v>0.22251934199654472</v>
      </c>
      <c r="S95" s="330" t="s">
        <v>1458</v>
      </c>
      <c r="T95" s="359">
        <f>F96/H95</f>
        <v>0.23675434325245528</v>
      </c>
      <c r="U95" s="330"/>
      <c r="V95" s="330">
        <f>qtrSales!J96</f>
        <v>128</v>
      </c>
      <c r="W95" s="330"/>
      <c r="X95" s="356">
        <f>H95/V95</f>
        <v>5.102203125</v>
      </c>
      <c r="Y95" s="330"/>
      <c r="Z95" s="366">
        <f>(X95/X88-1)*100</f>
        <v>-5.7549809991995886</v>
      </c>
      <c r="AA95" s="367" t="s">
        <v>1970</v>
      </c>
      <c r="AB95" s="357">
        <f>qtrSales!Y96</f>
        <v>0.61699999999999999</v>
      </c>
      <c r="AC95" s="330"/>
      <c r="AD95" s="358">
        <f>H95/AB95</f>
        <v>1058.4797406807131</v>
      </c>
      <c r="AE95" s="330"/>
      <c r="AF95" s="375">
        <f>(AD95/AD88-1)*100</f>
        <v>-7.4794098957026041</v>
      </c>
      <c r="AG95" s="367" t="s">
        <v>1970</v>
      </c>
      <c r="AH95" s="370">
        <f>J95/(F95/(365/4))</f>
        <v>410.07671145017559</v>
      </c>
      <c r="AI95" s="330"/>
      <c r="AJ95" s="370">
        <f>H95/(F96/(365/4))</f>
        <v>385.42059565386103</v>
      </c>
    </row>
    <row r="96" spans="1:36" hidden="1" outlineLevel="1">
      <c r="A96" s="330" t="str">
        <f>$A$47</f>
        <v>2Q</v>
      </c>
      <c r="B96" s="330" t="str">
        <f>$B$12</f>
        <v>Jul</v>
      </c>
      <c r="C96" s="330"/>
      <c r="D96" s="355">
        <f>'qtrP&amp;L'!BB11</f>
        <v>374.42700000000002</v>
      </c>
      <c r="E96" s="330"/>
      <c r="F96" s="355">
        <f>'qtrP&amp;L'!$BB$21</f>
        <v>154.62</v>
      </c>
      <c r="G96" s="330"/>
      <c r="H96" s="355">
        <f>work!AX$11</f>
        <v>689.73199999999997</v>
      </c>
      <c r="I96" s="330"/>
      <c r="J96" s="355">
        <f>AVERAGE(H95:H96)</f>
        <v>671.40699999999993</v>
      </c>
      <c r="K96" s="330"/>
      <c r="L96" s="338">
        <f>(D96/D89-1)*100</f>
        <v>0.84190454644614832</v>
      </c>
      <c r="M96" s="367"/>
      <c r="N96" s="338">
        <f>(H96/H89-1)*100</f>
        <v>3.2843714950157255</v>
      </c>
      <c r="O96" s="367"/>
      <c r="P96" s="338">
        <f>(H96/H95-1)*100</f>
        <v>5.6118527229352511</v>
      </c>
      <c r="Q96" s="367"/>
      <c r="R96" s="359">
        <f>F96/J96</f>
        <v>0.23029250514218652</v>
      </c>
      <c r="S96" s="330"/>
      <c r="T96" s="359">
        <f>F97/H96</f>
        <v>0.21779473766622398</v>
      </c>
      <c r="U96" s="330"/>
      <c r="V96" s="330">
        <f>qtrSales!J97</f>
        <v>132</v>
      </c>
      <c r="W96" s="330"/>
      <c r="X96" s="359">
        <f>H96/V96</f>
        <v>5.225242424242424</v>
      </c>
      <c r="Y96" s="330"/>
      <c r="Z96" s="366">
        <f>(X96/X89-1)*100</f>
        <v>-3.7577447432808109</v>
      </c>
      <c r="AA96" s="367"/>
      <c r="AB96" s="357">
        <f>qtrSales!Y97</f>
        <v>0.64166666666666661</v>
      </c>
      <c r="AC96" s="330"/>
      <c r="AD96" s="360">
        <f>H96/AB96</f>
        <v>1074.9070129870131</v>
      </c>
      <c r="AE96" s="330"/>
      <c r="AF96" s="375">
        <f>(AD96/AD89-1)*100</f>
        <v>-5.4465112849980013</v>
      </c>
      <c r="AG96" s="367"/>
      <c r="AH96" s="370">
        <f>J96/(F96/(365/4))</f>
        <v>396.23521374983824</v>
      </c>
      <c r="AI96" s="330"/>
      <c r="AJ96" s="370">
        <f>H96/(F97/(365/4))</f>
        <v>418.97247370523229</v>
      </c>
    </row>
    <row r="97" spans="1:36" hidden="1" outlineLevel="1">
      <c r="A97" s="330" t="str">
        <f>$A$48</f>
        <v>3Q</v>
      </c>
      <c r="B97" s="330" t="str">
        <f>$B$13</f>
        <v>Oct</v>
      </c>
      <c r="C97" s="330"/>
      <c r="D97" s="355">
        <f>'qtrP&amp;L'!BB12</f>
        <v>366.03300000000002</v>
      </c>
      <c r="E97" s="330"/>
      <c r="F97" s="355">
        <f>'qtrP&amp;L'!$BB$22</f>
        <v>150.22</v>
      </c>
      <c r="G97" s="330"/>
      <c r="H97" s="355">
        <f>work!AX$12</f>
        <v>777.93200000000002</v>
      </c>
      <c r="I97" s="330"/>
      <c r="J97" s="355">
        <f>AVERAGE(H96:H97)</f>
        <v>733.83199999999999</v>
      </c>
      <c r="K97" s="330"/>
      <c r="L97" s="338">
        <f>(D97/D90-1)*100</f>
        <v>9.8953986201264499</v>
      </c>
      <c r="M97" s="367"/>
      <c r="N97" s="338">
        <f>(H97/H90-1)*100</f>
        <v>10.697941805928712</v>
      </c>
      <c r="O97" s="367"/>
      <c r="P97" s="338">
        <f>(H97/H96-1)*100</f>
        <v>12.787575464093305</v>
      </c>
      <c r="Q97" s="367"/>
      <c r="R97" s="359">
        <f>F97/J97</f>
        <v>0.20470625429253561</v>
      </c>
      <c r="S97" s="330"/>
      <c r="T97" s="359">
        <f>F98/H97</f>
        <v>0.320850665610876</v>
      </c>
      <c r="U97" s="330"/>
      <c r="V97" s="330">
        <f>qtrSales!J98</f>
        <v>134</v>
      </c>
      <c r="W97" s="330"/>
      <c r="X97" s="359">
        <f>H97/V97</f>
        <v>5.8054626865671644</v>
      </c>
      <c r="Y97" s="330"/>
      <c r="Z97" s="366">
        <f>(X97/X90-1)*100</f>
        <v>2.4369013726504463</v>
      </c>
      <c r="AA97" s="367"/>
      <c r="AB97" s="357">
        <f>qtrSales!Y98</f>
        <v>0.65833333333333333</v>
      </c>
      <c r="AC97" s="330"/>
      <c r="AD97" s="360">
        <f>H97/AB97</f>
        <v>1181.6688607594938</v>
      </c>
      <c r="AE97" s="330"/>
      <c r="AF97" s="375">
        <f>(AD97/AD90-1)*100</f>
        <v>0.58659562780742913</v>
      </c>
      <c r="AG97" s="367"/>
      <c r="AH97" s="370">
        <f>J97/(F97/(365/4))</f>
        <v>445.76068432964985</v>
      </c>
      <c r="AI97" s="330"/>
      <c r="AJ97" s="370">
        <f>H97/(F98/(365/4))</f>
        <v>284.40022035256413</v>
      </c>
    </row>
    <row r="98" spans="1:36" hidden="1" outlineLevel="1">
      <c r="A98" s="330" t="str">
        <f>$A$49</f>
        <v>4Q</v>
      </c>
      <c r="B98" s="330" t="str">
        <f>$B$14</f>
        <v>Jan</v>
      </c>
      <c r="C98" s="330"/>
      <c r="D98" s="361">
        <f>'qtrP&amp;L'!BB13</f>
        <v>619.01300000000003</v>
      </c>
      <c r="E98" s="330"/>
      <c r="F98" s="361">
        <f>'qtrP&amp;L'!$BB$23</f>
        <v>249.6</v>
      </c>
      <c r="G98" s="330"/>
      <c r="H98" s="355">
        <f>bal!AC12</f>
        <v>732.08799999999997</v>
      </c>
      <c r="I98" s="330"/>
      <c r="J98" s="361">
        <f>AVERAGE(H97:H98)</f>
        <v>755.01</v>
      </c>
      <c r="K98" s="330"/>
      <c r="L98" s="368">
        <f>(D98/D91-1)*100</f>
        <v>9.4128418637617894</v>
      </c>
      <c r="M98" s="367"/>
      <c r="N98" s="366">
        <f>(H98/H91-1)*100</f>
        <v>19.690085718536476</v>
      </c>
      <c r="O98" s="367"/>
      <c r="P98" s="338">
        <f>(H98/H97-1)*100</f>
        <v>-5.8930600618048885</v>
      </c>
      <c r="Q98" s="367"/>
      <c r="R98" s="359">
        <f>F98/J98</f>
        <v>0.33059164779274447</v>
      </c>
      <c r="S98" s="330"/>
      <c r="T98" s="359">
        <f>F102/H98</f>
        <v>0.22701505829900231</v>
      </c>
      <c r="U98" s="330"/>
      <c r="V98" s="330">
        <f>qtrSales!J99</f>
        <v>131</v>
      </c>
      <c r="W98" s="330"/>
      <c r="X98" s="359">
        <f>H98/V98</f>
        <v>5.5884580152671752</v>
      </c>
      <c r="Y98" s="330"/>
      <c r="Z98" s="366">
        <f>(X98/X91-1)*100</f>
        <v>15.121761836149595</v>
      </c>
      <c r="AA98" s="367"/>
      <c r="AB98" s="357">
        <f>qtrSales!Y99</f>
        <v>0.64200000000000002</v>
      </c>
      <c r="AC98" s="330"/>
      <c r="AD98" s="360">
        <f>H98/AB98</f>
        <v>1140.3239875389406</v>
      </c>
      <c r="AE98" s="330"/>
      <c r="AF98" s="375">
        <f>(AD98/AD91-1)*100</f>
        <v>13.537791592817317</v>
      </c>
      <c r="AG98" s="367"/>
      <c r="AH98" s="370">
        <f>J98/(F98/(365/4))</f>
        <v>276.02028245192309</v>
      </c>
      <c r="AI98" s="330"/>
      <c r="AJ98" s="370">
        <f>H98/(F102/(365/4))</f>
        <v>401.95571467252324</v>
      </c>
    </row>
    <row r="99" spans="1:36" hidden="1" outlineLevel="1">
      <c r="A99" s="330"/>
      <c r="B99" s="330" t="str">
        <f>$B$50</f>
        <v>Year</v>
      </c>
      <c r="C99" s="330"/>
      <c r="D99" s="342">
        <f>SUM(D95:D98)</f>
        <v>1706.6019999999999</v>
      </c>
      <c r="E99" s="330"/>
      <c r="F99" s="342">
        <f>SUM(F95:F98)</f>
        <v>695.154</v>
      </c>
      <c r="G99" s="330"/>
      <c r="H99" s="330"/>
      <c r="I99" s="330"/>
      <c r="J99" s="342">
        <f>AVERAGE(J95:J98)</f>
        <v>698.15412500000002</v>
      </c>
      <c r="K99" s="330"/>
      <c r="L99" s="338">
        <f>(D99/D92-1)*100</f>
        <v>6.228746961628584</v>
      </c>
      <c r="M99" s="367"/>
      <c r="N99" s="330"/>
      <c r="O99" s="367"/>
      <c r="P99" s="330"/>
      <c r="Q99" s="367"/>
      <c r="R99" s="369">
        <f>F99/J99</f>
        <v>0.99570277551536346</v>
      </c>
      <c r="S99" s="364" t="s">
        <v>1458</v>
      </c>
      <c r="T99" s="359"/>
      <c r="U99" s="330"/>
      <c r="V99" s="330"/>
      <c r="W99" s="330"/>
      <c r="X99" s="330"/>
      <c r="Y99" s="330"/>
      <c r="Z99" s="330"/>
      <c r="AA99" s="367"/>
      <c r="AB99" s="330"/>
      <c r="AC99" s="330"/>
      <c r="AD99" s="330"/>
      <c r="AE99" s="330"/>
      <c r="AF99" s="330"/>
      <c r="AG99" s="367"/>
      <c r="AH99" s="330"/>
      <c r="AI99" s="330"/>
      <c r="AJ99" s="330"/>
    </row>
    <row r="100" spans="1:36" hidden="1" outlineLevel="1" collapsed="1">
      <c r="A100" s="330"/>
      <c r="B100" s="330"/>
      <c r="C100" s="330"/>
      <c r="D100" s="342"/>
      <c r="E100" s="330"/>
      <c r="F100" s="342"/>
      <c r="G100" s="330"/>
      <c r="H100" s="342"/>
      <c r="I100" s="330"/>
      <c r="J100" s="342"/>
      <c r="K100" s="330"/>
      <c r="L100" s="338"/>
      <c r="M100" s="330"/>
      <c r="N100" s="338"/>
      <c r="O100" s="330"/>
      <c r="P100" s="338"/>
      <c r="Q100" s="330"/>
      <c r="R100" s="359"/>
      <c r="S100" s="330"/>
      <c r="T100" s="376"/>
      <c r="U100" s="330"/>
      <c r="V100" s="330"/>
      <c r="W100" s="330"/>
      <c r="X100" s="356"/>
      <c r="Y100" s="330"/>
      <c r="Z100" s="366"/>
      <c r="AA100" s="367"/>
      <c r="AB100" s="377"/>
      <c r="AC100" s="330"/>
      <c r="AD100" s="358"/>
      <c r="AE100" s="330"/>
      <c r="AF100" s="366"/>
      <c r="AG100" s="367"/>
      <c r="AH100" s="330"/>
      <c r="AI100" s="330"/>
      <c r="AJ100" s="330"/>
    </row>
    <row r="101" spans="1:36" collapsed="1">
      <c r="A101" s="330"/>
      <c r="B101" s="365">
        <f>B94+1</f>
        <v>2003</v>
      </c>
      <c r="C101" s="330"/>
      <c r="D101" s="330"/>
      <c r="E101" s="330"/>
      <c r="F101" s="330"/>
      <c r="G101" s="330"/>
      <c r="H101" s="330"/>
      <c r="I101" s="330"/>
      <c r="J101" s="330"/>
      <c r="K101" s="330"/>
      <c r="L101" s="330"/>
      <c r="M101" s="367"/>
      <c r="N101" s="330"/>
      <c r="O101" s="367"/>
      <c r="P101" s="330"/>
      <c r="Q101" s="367"/>
      <c r="R101" s="330"/>
      <c r="S101" s="330"/>
      <c r="T101" s="359"/>
      <c r="U101" s="330"/>
      <c r="V101" s="330"/>
      <c r="W101" s="330"/>
      <c r="X101" s="330"/>
      <c r="Y101" s="330"/>
      <c r="Z101" s="330"/>
      <c r="AA101" s="367"/>
      <c r="AB101" s="357"/>
      <c r="AC101" s="330"/>
      <c r="AD101" s="330"/>
      <c r="AE101" s="330"/>
      <c r="AF101" s="330"/>
      <c r="AG101" s="367"/>
      <c r="AH101" s="330"/>
      <c r="AI101" s="330"/>
      <c r="AJ101" s="330"/>
    </row>
    <row r="102" spans="1:36">
      <c r="A102" s="330" t="str">
        <f>$A$46</f>
        <v>1Q</v>
      </c>
      <c r="B102" s="330" t="str">
        <f>$B$11</f>
        <v>Apr</v>
      </c>
      <c r="C102" s="367"/>
      <c r="D102" s="342">
        <f>'qtrP&amp;L'!BF$10</f>
        <v>395.839</v>
      </c>
      <c r="E102" s="330"/>
      <c r="F102" s="342">
        <f>'qtrP&amp;L'!$BF$20</f>
        <v>166.19499999999999</v>
      </c>
      <c r="G102" s="330"/>
      <c r="H102" s="342">
        <f>work!BB10</f>
        <v>765.78</v>
      </c>
      <c r="I102" s="330"/>
      <c r="J102" s="342">
        <f>AVERAGE(H102,H98)</f>
        <v>748.93399999999997</v>
      </c>
      <c r="K102" s="330"/>
      <c r="L102" s="338">
        <f>(D102/D95-1)*100</f>
        <v>14.032247377775974</v>
      </c>
      <c r="M102" s="367" t="s">
        <v>1970</v>
      </c>
      <c r="N102" s="338">
        <f>(H102/H95-1)*100</f>
        <v>17.256332282929243</v>
      </c>
      <c r="O102" s="367" t="s">
        <v>1970</v>
      </c>
      <c r="P102" s="338">
        <f>(H102/H98-1)*100</f>
        <v>4.6021789730196438</v>
      </c>
      <c r="Q102" s="367" t="s">
        <v>1970</v>
      </c>
      <c r="R102" s="359">
        <f>F102/J102</f>
        <v>0.22190873962191596</v>
      </c>
      <c r="S102" s="330" t="s">
        <v>1458</v>
      </c>
      <c r="T102" s="359">
        <f>F103/H102</f>
        <v>0.24487842461281309</v>
      </c>
      <c r="U102" s="330"/>
      <c r="V102" s="330">
        <f>qtrSales!J103</f>
        <v>136</v>
      </c>
      <c r="W102" s="330"/>
      <c r="X102" s="356">
        <f>H102/V102</f>
        <v>5.6307352941176472</v>
      </c>
      <c r="Y102" s="330"/>
      <c r="Z102" s="366">
        <f>(X102/X95-1)*100</f>
        <v>10.358900972168716</v>
      </c>
      <c r="AA102" s="367" t="s">
        <v>1970</v>
      </c>
      <c r="AB102" s="357">
        <f>qtrSales!Y103</f>
        <v>0.65700000000000003</v>
      </c>
      <c r="AC102" s="330"/>
      <c r="AD102" s="358">
        <f>H102/AB102</f>
        <v>1165.5707762557076</v>
      </c>
      <c r="AE102" s="330"/>
      <c r="AF102" s="375">
        <f>(AD102/AD95-1)*100</f>
        <v>10.117438384425181</v>
      </c>
      <c r="AG102" s="367" t="s">
        <v>1970</v>
      </c>
      <c r="AH102" s="370">
        <f>J102/(F102/(365/4))</f>
        <v>411.20507536327813</v>
      </c>
      <c r="AI102" s="330"/>
      <c r="AJ102" s="370"/>
    </row>
    <row r="103" spans="1:36">
      <c r="A103" s="330" t="str">
        <f>$A$47</f>
        <v>2Q</v>
      </c>
      <c r="B103" s="330" t="str">
        <f>$B$12</f>
        <v>Jul</v>
      </c>
      <c r="C103" s="330"/>
      <c r="D103" s="355">
        <f>'qtrP&amp;L'!BF$11</f>
        <v>442.495</v>
      </c>
      <c r="E103" s="330"/>
      <c r="F103" s="355">
        <f>'qtrP&amp;L'!$BF$21</f>
        <v>187.523</v>
      </c>
      <c r="G103" s="330"/>
      <c r="H103" s="355">
        <f>work!BB11</f>
        <v>814.40599999999995</v>
      </c>
      <c r="I103" s="330"/>
      <c r="J103" s="355">
        <f>AVERAGE(H102:H103)</f>
        <v>790.09299999999996</v>
      </c>
      <c r="K103" s="330"/>
      <c r="L103" s="338">
        <f>(D103/D96-1)*100</f>
        <v>18.179244552342631</v>
      </c>
      <c r="M103" s="367"/>
      <c r="N103" s="338">
        <f>(H103/H96-1)*100</f>
        <v>18.075716365196914</v>
      </c>
      <c r="O103" s="367"/>
      <c r="P103" s="338">
        <f>(H103/H102-1)*100</f>
        <v>6.3498654966178236</v>
      </c>
      <c r="Q103" s="367"/>
      <c r="R103" s="359">
        <f>F103/J103</f>
        <v>0.23734294570386019</v>
      </c>
      <c r="S103" s="330"/>
      <c r="T103" s="359">
        <f>F104/H103</f>
        <v>0.23624825946763653</v>
      </c>
      <c r="U103" s="330"/>
      <c r="V103" s="330">
        <f>qtrSales!J104</f>
        <v>137</v>
      </c>
      <c r="W103" s="330"/>
      <c r="X103" s="359">
        <f>H103/V103</f>
        <v>5.9445693430656927</v>
      </c>
      <c r="Y103" s="330"/>
      <c r="Z103" s="366">
        <f>(X103/X96-1)*100</f>
        <v>13.766383651138625</v>
      </c>
      <c r="AA103" s="367"/>
      <c r="AB103" s="357">
        <f>qtrSales!Y104</f>
        <v>0.66049999999999998</v>
      </c>
      <c r="AC103" s="330"/>
      <c r="AD103" s="360">
        <f>H103/AB103</f>
        <v>1233.0143830431491</v>
      </c>
      <c r="AE103" s="330"/>
      <c r="AF103" s="375">
        <f>(AD103/AD96-1)*100</f>
        <v>14.708934646986638</v>
      </c>
      <c r="AG103" s="367"/>
      <c r="AH103" s="370">
        <f>J103/(F103/(365/4))</f>
        <v>384.46476565541292</v>
      </c>
      <c r="AI103" s="330"/>
      <c r="AJ103" s="370"/>
    </row>
    <row r="104" spans="1:36">
      <c r="A104" s="330" t="str">
        <f>$A$48</f>
        <v>3Q</v>
      </c>
      <c r="B104" s="330" t="str">
        <f>$B$13</f>
        <v>Oct</v>
      </c>
      <c r="C104" s="330"/>
      <c r="D104" s="355">
        <f>'qtrP&amp;L'!BF$12</f>
        <v>430.12299999999999</v>
      </c>
      <c r="E104" s="330"/>
      <c r="F104" s="355">
        <f>'qtrP&amp;L'!$BF$22</f>
        <v>192.40199999999999</v>
      </c>
      <c r="G104" s="330"/>
      <c r="H104" s="355">
        <f>work!BB12</f>
        <v>897.48199999999997</v>
      </c>
      <c r="I104" s="330"/>
      <c r="J104" s="355">
        <f>AVERAGE(H103:H104)</f>
        <v>855.94399999999996</v>
      </c>
      <c r="K104" s="330"/>
      <c r="L104" s="338">
        <f>(D104/D97-1)*100</f>
        <v>17.50935024984086</v>
      </c>
      <c r="M104" s="367"/>
      <c r="N104" s="338">
        <f>(H104/H97-1)*100</f>
        <v>15.367667096867077</v>
      </c>
      <c r="O104" s="367"/>
      <c r="P104" s="338">
        <f>(H104/H103-1)*100</f>
        <v>10.200808933136551</v>
      </c>
      <c r="Q104" s="367"/>
      <c r="R104" s="359">
        <f>F104/J104</f>
        <v>0.22478339704466646</v>
      </c>
      <c r="S104" s="330"/>
      <c r="T104" s="359">
        <f>F105/H104</f>
        <v>0.33041665459585823</v>
      </c>
      <c r="U104" s="330"/>
      <c r="V104" s="330">
        <f>qtrSales!J105</f>
        <v>140</v>
      </c>
      <c r="W104" s="330"/>
      <c r="X104" s="359">
        <f>H104/V104</f>
        <v>6.4105857142857143</v>
      </c>
      <c r="Y104" s="330"/>
      <c r="Z104" s="366">
        <f>(X104/X97-1)*100</f>
        <v>10.423338507001345</v>
      </c>
      <c r="AA104" s="367"/>
      <c r="AB104" s="357">
        <f>qtrSales!Y105</f>
        <v>0.66933333333333334</v>
      </c>
      <c r="AC104" s="330"/>
      <c r="AD104" s="360">
        <f>H104/AB104</f>
        <v>1340.8595617529879</v>
      </c>
      <c r="AE104" s="330"/>
      <c r="AF104" s="375">
        <f>(AD104/AD97-1)*100</f>
        <v>13.471684520075922</v>
      </c>
      <c r="AG104" s="367"/>
      <c r="AH104" s="370">
        <f>J104/(F104/(365/4))</f>
        <v>405.94635190902386</v>
      </c>
      <c r="AI104" s="330"/>
      <c r="AJ104" s="370"/>
    </row>
    <row r="105" spans="1:36">
      <c r="A105" s="330" t="str">
        <f>$A$49</f>
        <v>4Q</v>
      </c>
      <c r="B105" s="330" t="str">
        <f>$B$14</f>
        <v>Jan</v>
      </c>
      <c r="C105" s="330"/>
      <c r="D105" s="361">
        <f>'qtrP&amp;L'!BF$13</f>
        <v>731.58799999999997</v>
      </c>
      <c r="E105" s="330"/>
      <c r="F105" s="361">
        <f>'qtrP&amp;L'!$BF$23</f>
        <v>296.54300000000001</v>
      </c>
      <c r="G105" s="330"/>
      <c r="H105" s="355">
        <f>bal!AE12</f>
        <v>871.25099999999998</v>
      </c>
      <c r="I105" s="330"/>
      <c r="J105" s="361">
        <f>AVERAGE(H104:H105)</f>
        <v>884.36649999999997</v>
      </c>
      <c r="K105" s="330"/>
      <c r="L105" s="368">
        <f>(D105/D98-1)*100</f>
        <v>18.186209336475969</v>
      </c>
      <c r="M105" s="367"/>
      <c r="N105" s="366">
        <f>(H105/H98-1)*100</f>
        <v>19.009053556403053</v>
      </c>
      <c r="O105" s="367"/>
      <c r="P105" s="338">
        <f>(H105/H104-1)*100</f>
        <v>-2.922732712188103</v>
      </c>
      <c r="Q105" s="367"/>
      <c r="R105" s="359">
        <f>F105/J105</f>
        <v>0.33531686240941966</v>
      </c>
      <c r="S105" s="330"/>
      <c r="T105" s="359">
        <f>F109/H105</f>
        <v>0.22735583660736114</v>
      </c>
      <c r="U105" s="330"/>
      <c r="V105" s="330">
        <f>qtrSales!J106</f>
        <v>141</v>
      </c>
      <c r="W105" s="330"/>
      <c r="X105" s="359">
        <f>H105/V105</f>
        <v>6.1790851063829786</v>
      </c>
      <c r="Y105" s="330"/>
      <c r="Z105" s="366">
        <f>(X105/X98-1)*100</f>
        <v>10.568695148147533</v>
      </c>
      <c r="AA105" s="367"/>
      <c r="AB105" s="357">
        <f>qtrSales!Y106</f>
        <v>0.67199999999999993</v>
      </c>
      <c r="AC105" s="330"/>
      <c r="AD105" s="360">
        <f>H105/AB105</f>
        <v>1296.5044642857144</v>
      </c>
      <c r="AE105" s="330"/>
      <c r="AF105" s="375">
        <f>(AD105/AD98-1)*100</f>
        <v>13.696149379777944</v>
      </c>
      <c r="AG105" s="367"/>
      <c r="AH105" s="370">
        <f>J105/(F105/(365/4))</f>
        <v>272.13066275379958</v>
      </c>
      <c r="AI105" s="330"/>
      <c r="AJ105" s="370"/>
    </row>
    <row r="106" spans="1:36">
      <c r="A106" s="330"/>
      <c r="B106" s="330" t="str">
        <f>$B$50</f>
        <v>Year</v>
      </c>
      <c r="C106" s="330"/>
      <c r="D106" s="342">
        <f>SUM(D102:D105)</f>
        <v>2000.0450000000001</v>
      </c>
      <c r="E106" s="330"/>
      <c r="F106" s="342">
        <f>SUM(F102:F105)</f>
        <v>842.6629999999999</v>
      </c>
      <c r="G106" s="330"/>
      <c r="H106" s="330"/>
      <c r="I106" s="330"/>
      <c r="J106" s="342">
        <f>AVERAGE(J102:J105)</f>
        <v>819.83437500000002</v>
      </c>
      <c r="K106" s="330"/>
      <c r="L106" s="338">
        <f>(D106/D99-1)*100</f>
        <v>17.194577294530312</v>
      </c>
      <c r="M106" s="367"/>
      <c r="N106" s="330"/>
      <c r="O106" s="367"/>
      <c r="P106" s="330"/>
      <c r="Q106" s="367"/>
      <c r="R106" s="369">
        <f>F106/J106</f>
        <v>1.0278454108489898</v>
      </c>
      <c r="S106" s="364" t="s">
        <v>1458</v>
      </c>
      <c r="T106" s="359"/>
      <c r="U106" s="330"/>
      <c r="V106" s="330"/>
      <c r="W106" s="330"/>
      <c r="X106" s="330"/>
      <c r="Y106" s="330"/>
      <c r="Z106" s="330"/>
      <c r="AA106" s="367"/>
      <c r="AB106" s="330"/>
      <c r="AC106" s="330"/>
      <c r="AD106" s="330"/>
      <c r="AE106" s="330"/>
      <c r="AF106" s="330"/>
      <c r="AG106" s="367"/>
      <c r="AH106" s="330"/>
      <c r="AI106" s="330"/>
      <c r="AJ106" s="330"/>
    </row>
    <row r="107" spans="1:36">
      <c r="A107" s="330"/>
      <c r="B107" s="330"/>
      <c r="C107" s="330"/>
      <c r="D107" s="342"/>
      <c r="E107" s="330"/>
      <c r="F107" s="342"/>
      <c r="G107" s="330"/>
      <c r="H107" s="342"/>
      <c r="I107" s="330"/>
      <c r="J107" s="342"/>
      <c r="K107" s="330"/>
      <c r="L107" s="338"/>
      <c r="M107" s="330"/>
      <c r="N107" s="338"/>
      <c r="O107" s="330"/>
      <c r="P107" s="338"/>
      <c r="Q107" s="330"/>
      <c r="R107" s="359"/>
      <c r="S107" s="330"/>
      <c r="T107" s="376"/>
      <c r="U107" s="330"/>
      <c r="V107" s="330"/>
      <c r="W107" s="330"/>
      <c r="X107" s="356"/>
      <c r="Y107" s="330"/>
      <c r="Z107" s="366"/>
      <c r="AA107" s="367"/>
      <c r="AB107" s="377"/>
      <c r="AC107" s="330"/>
      <c r="AD107" s="358"/>
      <c r="AE107" s="330"/>
      <c r="AF107" s="366"/>
      <c r="AG107" s="367"/>
      <c r="AH107" s="330"/>
      <c r="AI107" s="330"/>
      <c r="AJ107" s="330"/>
    </row>
    <row r="108" spans="1:36">
      <c r="A108" s="330"/>
      <c r="B108" s="365">
        <f>B101+1</f>
        <v>2004</v>
      </c>
      <c r="C108" s="330"/>
      <c r="D108" s="330"/>
      <c r="E108" s="330"/>
      <c r="F108" s="330"/>
      <c r="G108" s="330"/>
      <c r="H108" s="330"/>
      <c r="I108" s="330"/>
      <c r="J108" s="330"/>
      <c r="K108" s="330"/>
      <c r="L108" s="330"/>
      <c r="M108" s="367"/>
      <c r="N108" s="330"/>
      <c r="O108" s="367"/>
      <c r="P108" s="330"/>
      <c r="Q108" s="367"/>
      <c r="R108" s="330"/>
      <c r="S108" s="330"/>
      <c r="T108" s="359"/>
      <c r="U108" s="330"/>
      <c r="V108" s="330"/>
      <c r="W108" s="330"/>
      <c r="X108" s="330"/>
      <c r="Y108" s="330"/>
      <c r="Z108" s="330"/>
      <c r="AA108" s="367"/>
      <c r="AB108" s="357"/>
      <c r="AC108" s="330"/>
      <c r="AD108" s="330"/>
      <c r="AE108" s="330"/>
      <c r="AF108" s="330"/>
      <c r="AG108" s="367"/>
      <c r="AH108" s="330"/>
      <c r="AI108" s="330"/>
      <c r="AJ108" s="330"/>
    </row>
    <row r="109" spans="1:36">
      <c r="A109" s="330" t="str">
        <f>$A$46</f>
        <v>1Q</v>
      </c>
      <c r="B109" s="330" t="str">
        <f>$B$11</f>
        <v>Apr</v>
      </c>
      <c r="C109" s="367"/>
      <c r="D109" s="342">
        <f>'qtrP&amp;L'!BJ$10</f>
        <v>456.96</v>
      </c>
      <c r="E109" s="330"/>
      <c r="F109" s="342">
        <f>'qtrP&amp;L'!$BJ$20</f>
        <v>198.084</v>
      </c>
      <c r="G109" s="330"/>
      <c r="H109" s="342">
        <f>work!BF10</f>
        <v>964.95399999999995</v>
      </c>
      <c r="I109" s="330"/>
      <c r="J109" s="342">
        <f>AVERAGE(H109,H105)</f>
        <v>918.10249999999996</v>
      </c>
      <c r="K109" s="330"/>
      <c r="L109" s="338">
        <f>(D109/D102-1)*100</f>
        <v>15.440873688545075</v>
      </c>
      <c r="M109" s="367" t="s">
        <v>1970</v>
      </c>
      <c r="N109" s="338">
        <f>(H109/H102-1)*100</f>
        <v>26.009297709524937</v>
      </c>
      <c r="O109" s="367" t="s">
        <v>1970</v>
      </c>
      <c r="P109" s="338">
        <f>(H109/H105-1)*100</f>
        <v>10.754994829274223</v>
      </c>
      <c r="Q109" s="367" t="s">
        <v>1970</v>
      </c>
      <c r="R109" s="359">
        <f>F109/J109</f>
        <v>0.21575368763291683</v>
      </c>
      <c r="S109" s="330" t="s">
        <v>1458</v>
      </c>
      <c r="T109" s="359">
        <f>F110/H109</f>
        <v>0.21981255065008282</v>
      </c>
      <c r="U109" s="330"/>
      <c r="V109" s="330">
        <f>qtrSales!J110</f>
        <v>142</v>
      </c>
      <c r="W109" s="330"/>
      <c r="X109" s="356">
        <f>H109/V109</f>
        <v>6.7954507042253516</v>
      </c>
      <c r="Y109" s="330"/>
      <c r="Z109" s="366">
        <f>(X109/X102-1)*100</f>
        <v>20.684961186587248</v>
      </c>
      <c r="AA109" s="367" t="s">
        <v>1970</v>
      </c>
      <c r="AB109" s="357">
        <f>qtrSales!Y110</f>
        <v>0.67716666666666669</v>
      </c>
      <c r="AC109" s="330"/>
      <c r="AD109" s="358">
        <f>H109/AB109</f>
        <v>1424.9874476987447</v>
      </c>
      <c r="AE109" s="330"/>
      <c r="AF109" s="375">
        <f>(AD109/AD102-1)*100</f>
        <v>22.256621110250375</v>
      </c>
      <c r="AG109" s="367" t="s">
        <v>1970</v>
      </c>
      <c r="AH109" s="370">
        <f>J109/(F109/(365/4))</f>
        <v>422.93599243250338</v>
      </c>
      <c r="AI109" s="330"/>
      <c r="AJ109" s="370"/>
    </row>
    <row r="110" spans="1:36">
      <c r="A110" s="330" t="str">
        <f>$A$47</f>
        <v>2Q</v>
      </c>
      <c r="B110" s="330" t="str">
        <f>$B$12</f>
        <v>Jul</v>
      </c>
      <c r="C110" s="330"/>
      <c r="D110" s="355">
        <f>'qtrP&amp;L'!BJ$11</f>
        <v>476.59699999999998</v>
      </c>
      <c r="E110" s="330"/>
      <c r="F110" s="355">
        <f>'qtrP&amp;L'!$BJ$21</f>
        <v>212.10900000000001</v>
      </c>
      <c r="G110" s="330"/>
      <c r="H110" s="355">
        <f>work!BF11</f>
        <v>1034.404</v>
      </c>
      <c r="I110" s="330"/>
      <c r="J110" s="355">
        <f>AVERAGE(H109:H110)</f>
        <v>999.67899999999997</v>
      </c>
      <c r="K110" s="330"/>
      <c r="L110" s="338">
        <f>(D110/D103-1)*100</f>
        <v>7.7067537486299242</v>
      </c>
      <c r="M110" s="367"/>
      <c r="N110" s="338">
        <f>(H110/H103-1)*100</f>
        <v>27.01330785873386</v>
      </c>
      <c r="O110" s="367"/>
      <c r="P110" s="338">
        <f>(H110/H109-1)*100</f>
        <v>7.1972342723072957</v>
      </c>
      <c r="Q110" s="367"/>
      <c r="R110" s="359">
        <f>F110/J110</f>
        <v>0.21217710885194149</v>
      </c>
      <c r="S110" s="330"/>
      <c r="T110" s="359">
        <f>F111/H110</f>
        <v>0.20845240350965386</v>
      </c>
      <c r="U110" s="330"/>
      <c r="V110" s="330">
        <f>qtrSales!J111</f>
        <v>145</v>
      </c>
      <c r="W110" s="330"/>
      <c r="X110" s="359">
        <f>H110/V110</f>
        <v>7.1338206896551721</v>
      </c>
      <c r="Y110" s="330"/>
      <c r="Z110" s="366">
        <f>(X110/X103-1)*100</f>
        <v>20.00567708032095</v>
      </c>
      <c r="AA110" s="367"/>
      <c r="AB110" s="357">
        <f>qtrSales!Y111</f>
        <v>0.69333333333333336</v>
      </c>
      <c r="AC110" s="330"/>
      <c r="AD110" s="360">
        <f>H110/AB110</f>
        <v>1491.9288461538461</v>
      </c>
      <c r="AE110" s="330"/>
      <c r="AF110" s="375">
        <f>(AD110/AD103-1)*100</f>
        <v>20.998494962539006</v>
      </c>
      <c r="AG110" s="367"/>
      <c r="AH110" s="370">
        <f>J110/(F110/(365/4))</f>
        <v>430.06524357759452</v>
      </c>
      <c r="AI110" s="330"/>
      <c r="AJ110" s="370"/>
    </row>
    <row r="111" spans="1:36">
      <c r="A111" s="330" t="str">
        <f>$A$48</f>
        <v>3Q</v>
      </c>
      <c r="B111" s="330" t="str">
        <f>$B$13</f>
        <v>Oct</v>
      </c>
      <c r="C111" s="330"/>
      <c r="D111" s="355">
        <f>'qtrP&amp;L'!BJ$12</f>
        <v>461.15199999999999</v>
      </c>
      <c r="E111" s="330"/>
      <c r="F111" s="355">
        <f>'qtrP&amp;L'!$BJ$22</f>
        <v>215.624</v>
      </c>
      <c r="G111" s="330"/>
      <c r="H111" s="355">
        <f>work!BF12</f>
        <v>1130.7670000000001</v>
      </c>
      <c r="I111" s="330"/>
      <c r="J111" s="355">
        <f>AVERAGE(H110:H111)</f>
        <v>1082.5855000000001</v>
      </c>
      <c r="K111" s="330"/>
      <c r="L111" s="338">
        <f>(D111/D104-1)*100</f>
        <v>7.2139829769624075</v>
      </c>
      <c r="M111" s="367"/>
      <c r="N111" s="338">
        <f>(H111/H104-1)*100</f>
        <v>25.993278973840162</v>
      </c>
      <c r="O111" s="367"/>
      <c r="P111" s="338">
        <f>(H111/H110-1)*100</f>
        <v>9.3157992428490211</v>
      </c>
      <c r="Q111" s="367"/>
      <c r="R111" s="359">
        <f>F111/J111</f>
        <v>0.19917503051722008</v>
      </c>
      <c r="S111" s="330"/>
      <c r="T111" s="359">
        <f>F112/H111</f>
        <v>0.30814570994731888</v>
      </c>
      <c r="U111" s="330"/>
      <c r="V111" s="330">
        <f>qtrSales!J112</f>
        <v>148</v>
      </c>
      <c r="W111" s="330"/>
      <c r="X111" s="359">
        <f>H111/V111</f>
        <v>7.6403175675675676</v>
      </c>
      <c r="Y111" s="330"/>
      <c r="Z111" s="366">
        <f>(X111/X104-1)*100</f>
        <v>19.182831461740669</v>
      </c>
      <c r="AA111" s="367"/>
      <c r="AB111" s="357">
        <f>qtrSales!Y112</f>
        <v>0.70916666666666672</v>
      </c>
      <c r="AC111" s="330"/>
      <c r="AD111" s="360">
        <f>H111/AB111</f>
        <v>1594.5010575793183</v>
      </c>
      <c r="AE111" s="330"/>
      <c r="AF111" s="375">
        <f>(AD111/AD104-1)*100</f>
        <v>18.916335689528086</v>
      </c>
      <c r="AG111" s="367"/>
      <c r="AH111" s="370">
        <f>J111/(F111/(365/4))</f>
        <v>458.13975659017558</v>
      </c>
      <c r="AI111" s="330"/>
      <c r="AJ111" s="370"/>
    </row>
    <row r="112" spans="1:36">
      <c r="A112" s="330" t="str">
        <f>$A$49</f>
        <v>4Q</v>
      </c>
      <c r="B112" s="330" t="str">
        <f>$B$14</f>
        <v>Jan</v>
      </c>
      <c r="C112" s="330"/>
      <c r="D112" s="361">
        <f>'qtrP&amp;L'!BJ$13</f>
        <v>810.12199999999996</v>
      </c>
      <c r="E112" s="330"/>
      <c r="F112" s="361">
        <f>'qtrP&amp;L'!$BJ$23</f>
        <v>348.44099999999997</v>
      </c>
      <c r="G112" s="330"/>
      <c r="H112" s="355">
        <f>bal!AG12</f>
        <v>1057.2449999999999</v>
      </c>
      <c r="I112" s="330"/>
      <c r="J112" s="361">
        <f>AVERAGE(H111:H112)</f>
        <v>1094.0059999999999</v>
      </c>
      <c r="K112" s="330"/>
      <c r="L112" s="368">
        <f>(D112/D105-1)*100</f>
        <v>10.734730476716404</v>
      </c>
      <c r="M112" s="367"/>
      <c r="N112" s="366">
        <f>(H112/H105-1)*100</f>
        <v>21.347923847433158</v>
      </c>
      <c r="O112" s="367"/>
      <c r="P112" s="338">
        <f>(H112/H111-1)*100</f>
        <v>-6.5019584052240837</v>
      </c>
      <c r="Q112" s="367"/>
      <c r="R112" s="359">
        <f>F112/J112</f>
        <v>0.3185000813523875</v>
      </c>
      <c r="S112" s="330"/>
      <c r="T112" s="359">
        <f>F116/H112</f>
        <v>0.22235148901153473</v>
      </c>
      <c r="U112" s="330"/>
      <c r="V112" s="330">
        <f>qtrSales!J113</f>
        <v>151</v>
      </c>
      <c r="W112" s="330"/>
      <c r="X112" s="359">
        <f>H112/V112</f>
        <v>7.0016225165562904</v>
      </c>
      <c r="Y112" s="330"/>
      <c r="Z112" s="366">
        <f>(X112/X105-1)*100</f>
        <v>13.311637499921037</v>
      </c>
      <c r="AA112" s="367"/>
      <c r="AB112" s="357">
        <f>qtrSales!Y113</f>
        <v>0.72500000000000009</v>
      </c>
      <c r="AC112" s="330"/>
      <c r="AD112" s="360">
        <f>H112/AB112</f>
        <v>1458.268965517241</v>
      </c>
      <c r="AE112" s="330"/>
      <c r="AF112" s="375">
        <f>(AD112/AD105-1)*100</f>
        <v>12.476972173069045</v>
      </c>
      <c r="AG112" s="367"/>
      <c r="AH112" s="370">
        <f>J112/(F112/(365/4))</f>
        <v>286.49914189202764</v>
      </c>
      <c r="AI112" s="330"/>
      <c r="AJ112" s="370"/>
    </row>
    <row r="113" spans="1:36">
      <c r="A113" s="330"/>
      <c r="B113" s="330" t="str">
        <f>$B$50</f>
        <v>Year</v>
      </c>
      <c r="C113" s="330"/>
      <c r="D113" s="342">
        <f>SUM(D109:D112)</f>
        <v>2204.8310000000001</v>
      </c>
      <c r="E113" s="330"/>
      <c r="F113" s="342">
        <f>SUM(F109:F112)</f>
        <v>974.25800000000004</v>
      </c>
      <c r="G113" s="330"/>
      <c r="H113" s="330"/>
      <c r="I113" s="330"/>
      <c r="J113" s="342">
        <f>AVERAGE(J109:J112)</f>
        <v>1023.59325</v>
      </c>
      <c r="K113" s="330"/>
      <c r="L113" s="338">
        <f>(D113/D106-1)*100</f>
        <v>10.239069620933527</v>
      </c>
      <c r="M113" s="367"/>
      <c r="N113" s="330"/>
      <c r="O113" s="367"/>
      <c r="P113" s="330"/>
      <c r="Q113" s="367"/>
      <c r="R113" s="369">
        <f>F113/J113</f>
        <v>0.95180189982690877</v>
      </c>
      <c r="S113" s="364" t="s">
        <v>1458</v>
      </c>
      <c r="T113" s="359"/>
      <c r="U113" s="330"/>
      <c r="V113" s="330"/>
      <c r="W113" s="330"/>
      <c r="X113" s="330"/>
      <c r="Y113" s="330"/>
      <c r="Z113" s="330"/>
      <c r="AA113" s="367"/>
      <c r="AB113" s="330"/>
      <c r="AC113" s="330"/>
      <c r="AD113" s="330"/>
      <c r="AE113" s="330"/>
      <c r="AF113" s="330"/>
      <c r="AG113" s="367"/>
      <c r="AH113" s="330"/>
      <c r="AI113" s="330"/>
      <c r="AJ113" s="330"/>
    </row>
    <row r="114" spans="1:36">
      <c r="A114" s="330"/>
      <c r="B114" s="330"/>
      <c r="C114" s="330"/>
      <c r="D114" s="342"/>
      <c r="E114" s="330"/>
      <c r="F114" s="342"/>
      <c r="G114" s="330"/>
      <c r="H114" s="342"/>
      <c r="I114" s="330"/>
      <c r="J114" s="342"/>
      <c r="K114" s="330"/>
      <c r="L114" s="338"/>
      <c r="M114" s="330"/>
      <c r="N114" s="338"/>
      <c r="O114" s="330"/>
      <c r="P114" s="338"/>
      <c r="Q114" s="330"/>
      <c r="R114" s="359"/>
      <c r="S114" s="330"/>
      <c r="T114" s="376"/>
      <c r="U114" s="330"/>
      <c r="V114" s="330"/>
      <c r="W114" s="330"/>
      <c r="X114" s="356"/>
      <c r="Y114" s="330"/>
      <c r="Z114" s="366"/>
      <c r="AA114" s="367"/>
      <c r="AB114" s="377"/>
      <c r="AC114" s="330"/>
      <c r="AD114" s="358"/>
      <c r="AE114" s="330"/>
      <c r="AF114" s="366"/>
      <c r="AG114" s="367"/>
      <c r="AH114" s="330"/>
      <c r="AI114" s="330"/>
      <c r="AJ114" s="330"/>
    </row>
    <row r="115" spans="1:36">
      <c r="A115" s="330"/>
      <c r="B115" s="365">
        <f>B108+1</f>
        <v>2005</v>
      </c>
      <c r="C115" s="330"/>
      <c r="D115" s="330"/>
      <c r="E115" s="330"/>
      <c r="F115" s="330"/>
      <c r="G115" s="330"/>
      <c r="H115" s="330"/>
      <c r="I115" s="330"/>
      <c r="J115" s="330"/>
      <c r="K115" s="330"/>
      <c r="L115" s="330"/>
      <c r="M115" s="367"/>
      <c r="N115" s="330"/>
      <c r="O115" s="367"/>
      <c r="P115" s="330"/>
      <c r="Q115" s="367"/>
      <c r="R115" s="330"/>
      <c r="S115" s="330"/>
      <c r="T115" s="359"/>
      <c r="U115" s="330"/>
      <c r="V115" s="330"/>
      <c r="W115" s="330"/>
      <c r="X115" s="330"/>
      <c r="Y115" s="330"/>
      <c r="Z115" s="330"/>
      <c r="AA115" s="367"/>
      <c r="AB115" s="357"/>
      <c r="AC115" s="330"/>
      <c r="AD115" s="330"/>
      <c r="AE115" s="330"/>
      <c r="AF115" s="330"/>
      <c r="AG115" s="367"/>
      <c r="AH115" s="330"/>
      <c r="AI115" s="330"/>
      <c r="AJ115" s="330"/>
    </row>
    <row r="116" spans="1:36">
      <c r="A116" s="330" t="str">
        <f>$A$46</f>
        <v>1Q</v>
      </c>
      <c r="B116" s="330" t="str">
        <f>$B$11</f>
        <v>Apr</v>
      </c>
      <c r="C116" s="367"/>
      <c r="D116" s="342">
        <f>'qtrP&amp;L'!BN$10</f>
        <v>509.90100000000001</v>
      </c>
      <c r="E116" s="330"/>
      <c r="F116" s="342">
        <f>'qtrP&amp;L'!$BN$20</f>
        <v>235.08</v>
      </c>
      <c r="G116" s="330"/>
      <c r="H116" s="342">
        <f>work!BJ10</f>
        <v>1073.605</v>
      </c>
      <c r="I116" s="330"/>
      <c r="J116" s="342">
        <f>AVERAGE(H116,H112)</f>
        <v>1065.425</v>
      </c>
      <c r="K116" s="330"/>
      <c r="L116" s="338">
        <f>(D116/D109-1)*100</f>
        <v>11.585477941176482</v>
      </c>
      <c r="M116" s="367" t="s">
        <v>1970</v>
      </c>
      <c r="N116" s="338">
        <f>(H116/H109-1)*100</f>
        <v>11.259707716637269</v>
      </c>
      <c r="O116" s="367" t="s">
        <v>1970</v>
      </c>
      <c r="P116" s="338">
        <f>(H116/H112-1)*100</f>
        <v>1.5474180535259174</v>
      </c>
      <c r="Q116" s="367" t="s">
        <v>1970</v>
      </c>
      <c r="R116" s="359">
        <f>F116/J116</f>
        <v>0.22064434380646222</v>
      </c>
      <c r="S116" s="330" t="s">
        <v>1458</v>
      </c>
      <c r="T116" s="359">
        <f>F117/H116</f>
        <v>0.218531955421221</v>
      </c>
      <c r="U116" s="330"/>
      <c r="V116" s="330">
        <f>qtrSales!J117</f>
        <v>152</v>
      </c>
      <c r="W116" s="330"/>
      <c r="X116" s="356">
        <f>H116/V116</f>
        <v>7.0631907894736843</v>
      </c>
      <c r="Y116" s="330"/>
      <c r="Z116" s="366">
        <f>(X116/X109-1)*100</f>
        <v>3.939990103700608</v>
      </c>
      <c r="AA116" s="367" t="s">
        <v>1970</v>
      </c>
      <c r="AB116" s="357">
        <f>qtrSales!Y117</f>
        <v>0.73025000000000007</v>
      </c>
      <c r="AC116" s="330"/>
      <c r="AD116" s="358">
        <f>H116/AB116</f>
        <v>1470.1882916809311</v>
      </c>
      <c r="AE116" s="330"/>
      <c r="AF116" s="375">
        <f>(AD116/AD109-1)*100</f>
        <v>3.172016992513349</v>
      </c>
      <c r="AG116" s="367" t="s">
        <v>1970</v>
      </c>
      <c r="AH116" s="370">
        <f>J116/(F116/(365/4))</f>
        <v>413.56147375361581</v>
      </c>
      <c r="AI116" s="330"/>
      <c r="AJ116" s="370"/>
    </row>
    <row r="117" spans="1:36">
      <c r="A117" s="330" t="str">
        <f>$A$47</f>
        <v>2Q</v>
      </c>
      <c r="B117" s="330" t="str">
        <f>$B$12</f>
        <v>Jul</v>
      </c>
      <c r="C117" s="330"/>
      <c r="D117" s="355">
        <f>'qtrP&amp;L'!BN$11</f>
        <v>526.70100000000002</v>
      </c>
      <c r="E117" s="330"/>
      <c r="F117" s="355">
        <f>'qtrP&amp;L'!$BN$21</f>
        <v>234.61699999999999</v>
      </c>
      <c r="G117" s="330"/>
      <c r="H117" s="355">
        <f>work!BJ11</f>
        <v>1066.3710000000001</v>
      </c>
      <c r="I117" s="330"/>
      <c r="J117" s="355">
        <f>AVERAGE(H116:H117)</f>
        <v>1069.9880000000001</v>
      </c>
      <c r="K117" s="330"/>
      <c r="L117" s="338">
        <f>(D117/D110-1)*100</f>
        <v>10.512865167006936</v>
      </c>
      <c r="M117" s="367"/>
      <c r="N117" s="338">
        <f>(H117/H110-1)*100</f>
        <v>3.0903786141585066</v>
      </c>
      <c r="O117" s="367"/>
      <c r="P117" s="338">
        <f>(H117/H116-1)*100</f>
        <v>-0.67380461156569815</v>
      </c>
      <c r="Q117" s="367"/>
      <c r="R117" s="359">
        <f>F117/J117</f>
        <v>0.21927068340953354</v>
      </c>
      <c r="S117" s="330"/>
      <c r="T117" s="359">
        <f>F118/H117</f>
        <v>0.21528623715386105</v>
      </c>
      <c r="U117" s="330"/>
      <c r="V117" s="330">
        <f>qtrSales!J118</f>
        <v>155</v>
      </c>
      <c r="W117" s="330"/>
      <c r="X117" s="359">
        <f>H117/V117</f>
        <v>6.8798129032258073</v>
      </c>
      <c r="Y117" s="330"/>
      <c r="Z117" s="366">
        <f>(X117/X110-1)*100</f>
        <v>-3.5606135544968831</v>
      </c>
      <c r="AA117" s="367"/>
      <c r="AB117" s="357">
        <f>qtrSales!Y118</f>
        <v>0.73750000000000004</v>
      </c>
      <c r="AC117" s="330"/>
      <c r="AD117" s="360">
        <f>H117/AB117</f>
        <v>1445.926779661017</v>
      </c>
      <c r="AE117" s="330"/>
      <c r="AF117" s="375">
        <f>(AD117/AD110-1)*100</f>
        <v>-3.0833954723391233</v>
      </c>
      <c r="AG117" s="367"/>
      <c r="AH117" s="370">
        <f>J117/(F117/(365/4))</f>
        <v>416.15230354151663</v>
      </c>
      <c r="AI117" s="330"/>
      <c r="AJ117" s="370"/>
    </row>
    <row r="118" spans="1:36">
      <c r="A118" s="330" t="str">
        <f>$A$48</f>
        <v>3Q</v>
      </c>
      <c r="B118" s="330" t="str">
        <f>$B$13</f>
        <v>Oct</v>
      </c>
      <c r="C118" s="330"/>
      <c r="D118" s="355">
        <f>'qtrP&amp;L'!BN$12</f>
        <v>500.10500000000002</v>
      </c>
      <c r="E118" s="330"/>
      <c r="F118" s="355">
        <f>'qtrP&amp;L'!$BN$22</f>
        <v>229.57499999999999</v>
      </c>
      <c r="G118" s="330"/>
      <c r="H118" s="355">
        <f>work!BJ12</f>
        <v>1104.326</v>
      </c>
      <c r="I118" s="330"/>
      <c r="J118" s="355">
        <f>AVERAGE(H117:H118)</f>
        <v>1085.3485000000001</v>
      </c>
      <c r="K118" s="330"/>
      <c r="L118" s="338">
        <f>(D118/D111-1)*100</f>
        <v>8.4468895288321466</v>
      </c>
      <c r="M118" s="367"/>
      <c r="N118" s="338">
        <f>(H118/H111-1)*100</f>
        <v>-2.3383243409119681</v>
      </c>
      <c r="O118" s="367"/>
      <c r="P118" s="338">
        <f>(H118/H117-1)*100</f>
        <v>3.5592678345528928</v>
      </c>
      <c r="Q118" s="367"/>
      <c r="R118" s="359">
        <f>F118/J118</f>
        <v>0.21152192129993266</v>
      </c>
      <c r="S118" s="330"/>
      <c r="T118" s="359">
        <f>F119/H118</f>
        <v>0.32014187839460451</v>
      </c>
      <c r="U118" s="330"/>
      <c r="V118" s="330">
        <f>qtrSales!J119</f>
        <v>158</v>
      </c>
      <c r="W118" s="330"/>
      <c r="X118" s="359">
        <f>H118/V118</f>
        <v>6.9894050632911391</v>
      </c>
      <c r="Y118" s="330"/>
      <c r="Z118" s="366">
        <f>(X118/X111-1)*100</f>
        <v>-8.519443053512477</v>
      </c>
      <c r="AA118" s="367"/>
      <c r="AB118" s="357">
        <f>qtrSales!Y119</f>
        <v>0.74475000000000002</v>
      </c>
      <c r="AC118" s="330"/>
      <c r="AD118" s="360">
        <f>H118/AB118</f>
        <v>1482.814367237328</v>
      </c>
      <c r="AE118" s="330"/>
      <c r="AF118" s="375">
        <f>(AD118/AD111-1)*100</f>
        <v>-7.0044914558756499</v>
      </c>
      <c r="AG118" s="367"/>
      <c r="AH118" s="370">
        <f>J118/(F118/(365/4))</f>
        <v>431.39736741805513</v>
      </c>
      <c r="AI118" s="330"/>
      <c r="AJ118" s="370"/>
    </row>
    <row r="119" spans="1:36">
      <c r="A119" s="330" t="str">
        <f>$A$49</f>
        <v>4Q</v>
      </c>
      <c r="B119" s="330" t="str">
        <f>$B$14</f>
        <v>Jan</v>
      </c>
      <c r="C119" s="330"/>
      <c r="D119" s="361">
        <f>'qtrP&amp;L'!BN$13</f>
        <v>858.44600000000003</v>
      </c>
      <c r="E119" s="330"/>
      <c r="F119" s="361">
        <f>'qtrP&amp;L'!$BN$23</f>
        <v>353.541</v>
      </c>
      <c r="G119" s="330"/>
      <c r="H119" s="355">
        <f>bal!AI12</f>
        <v>1060.164</v>
      </c>
      <c r="I119" s="330"/>
      <c r="J119" s="361">
        <f>AVERAGE(H118:H119)</f>
        <v>1082.2449999999999</v>
      </c>
      <c r="K119" s="330"/>
      <c r="L119" s="368">
        <f>(D119/D112-1)*100</f>
        <v>5.9650274896867472</v>
      </c>
      <c r="M119" s="367"/>
      <c r="N119" s="366">
        <f>(H119/H112-1)*100</f>
        <v>0.27609494488034514</v>
      </c>
      <c r="O119" s="367"/>
      <c r="P119" s="338">
        <f>(H119/H118-1)*100</f>
        <v>-3.9990002952026926</v>
      </c>
      <c r="Q119" s="367"/>
      <c r="R119" s="359">
        <f>F119/J119</f>
        <v>0.32667371990630589</v>
      </c>
      <c r="S119" s="330"/>
      <c r="T119" s="359">
        <f>F123/H119</f>
        <v>0.21150406918174922</v>
      </c>
      <c r="U119" s="330"/>
      <c r="V119" s="330">
        <f>qtrSales!J120</f>
        <v>154</v>
      </c>
      <c r="W119" s="330"/>
      <c r="X119" s="359">
        <f>H119/V119</f>
        <v>6.8841818181818182</v>
      </c>
      <c r="Y119" s="330"/>
      <c r="Z119" s="366">
        <f>(X119/X112-1)*100</f>
        <v>-1.6773354761238202</v>
      </c>
      <c r="AA119" s="367"/>
      <c r="AB119" s="357">
        <f>qtrSales!Y120</f>
        <v>0.74500000000000011</v>
      </c>
      <c r="AC119" s="330"/>
      <c r="AD119" s="360">
        <f>H119/AB119</f>
        <v>1423.0389261744965</v>
      </c>
      <c r="AE119" s="330"/>
      <c r="AF119" s="375">
        <f>(AD119/AD112-1)*100</f>
        <v>-2.4158807583379183</v>
      </c>
      <c r="AG119" s="367"/>
      <c r="AH119" s="370">
        <f>J119/(F119/(365/4))</f>
        <v>279.33070351104959</v>
      </c>
      <c r="AI119" s="330"/>
      <c r="AJ119" s="370"/>
    </row>
    <row r="120" spans="1:36">
      <c r="A120" s="330"/>
      <c r="B120" s="330" t="str">
        <f>$B$50</f>
        <v>Year</v>
      </c>
      <c r="C120" s="330"/>
      <c r="D120" s="342">
        <f>SUM(D116:D119)</f>
        <v>2395.1530000000002</v>
      </c>
      <c r="E120" s="330"/>
      <c r="F120" s="342">
        <f>SUM(F116:F119)</f>
        <v>1052.8129999999999</v>
      </c>
      <c r="G120" s="330"/>
      <c r="H120" s="330"/>
      <c r="I120" s="330"/>
      <c r="J120" s="342">
        <f>AVERAGE(J116:J119)</f>
        <v>1075.7516249999999</v>
      </c>
      <c r="K120" s="330"/>
      <c r="L120" s="338">
        <f>(D120/D113-1)*100</f>
        <v>8.6320448143191175</v>
      </c>
      <c r="M120" s="367"/>
      <c r="N120" s="330"/>
      <c r="O120" s="367"/>
      <c r="P120" s="330"/>
      <c r="Q120" s="367"/>
      <c r="R120" s="369">
        <f>F120/J120</f>
        <v>0.9786766531726131</v>
      </c>
      <c r="S120" s="364" t="s">
        <v>1458</v>
      </c>
      <c r="T120" s="359"/>
      <c r="U120" s="330"/>
      <c r="V120" s="330"/>
      <c r="W120" s="330"/>
      <c r="X120" s="330"/>
      <c r="Y120" s="330"/>
      <c r="Z120" s="330"/>
      <c r="AA120" s="367"/>
      <c r="AB120" s="330"/>
      <c r="AC120" s="330"/>
      <c r="AD120" s="330"/>
      <c r="AE120" s="330"/>
      <c r="AF120" s="330"/>
      <c r="AG120" s="367"/>
      <c r="AH120" s="330"/>
      <c r="AI120" s="330"/>
      <c r="AJ120" s="330"/>
    </row>
    <row r="121" spans="1:36">
      <c r="A121" s="330"/>
      <c r="B121" s="330"/>
      <c r="C121" s="330"/>
      <c r="D121" s="342"/>
      <c r="E121" s="330"/>
      <c r="F121" s="342"/>
      <c r="G121" s="330"/>
      <c r="H121" s="342"/>
      <c r="I121" s="330"/>
      <c r="J121" s="342"/>
      <c r="K121" s="330"/>
      <c r="L121" s="338"/>
      <c r="M121" s="330"/>
      <c r="N121" s="338"/>
      <c r="O121" s="330"/>
      <c r="P121" s="338"/>
      <c r="Q121" s="330"/>
      <c r="R121" s="359"/>
      <c r="S121" s="330"/>
      <c r="T121" s="376"/>
      <c r="U121" s="330"/>
      <c r="V121" s="330"/>
      <c r="W121" s="330"/>
      <c r="X121" s="356"/>
      <c r="Y121" s="330"/>
      <c r="Z121" s="366"/>
      <c r="AA121" s="367"/>
      <c r="AB121" s="377"/>
      <c r="AC121" s="330"/>
      <c r="AD121" s="358"/>
      <c r="AE121" s="330"/>
      <c r="AF121" s="366"/>
      <c r="AG121" s="367"/>
      <c r="AH121" s="330"/>
      <c r="AI121" s="330"/>
      <c r="AJ121" s="330"/>
    </row>
    <row r="122" spans="1:36">
      <c r="A122" s="330"/>
      <c r="B122" s="1007" t="s">
        <v>1364</v>
      </c>
      <c r="C122" s="330"/>
      <c r="D122" s="330"/>
      <c r="E122" s="330"/>
      <c r="F122" s="330"/>
      <c r="G122" s="330"/>
      <c r="H122" s="330"/>
      <c r="I122" s="330"/>
      <c r="J122" s="330"/>
      <c r="K122" s="330"/>
      <c r="L122" s="330"/>
      <c r="M122" s="367"/>
      <c r="N122" s="330"/>
      <c r="O122" s="367"/>
      <c r="P122" s="330"/>
      <c r="Q122" s="367"/>
      <c r="R122" s="330"/>
      <c r="S122" s="330"/>
      <c r="T122" s="359"/>
      <c r="U122" s="330"/>
      <c r="V122" s="1006"/>
      <c r="W122" s="330"/>
      <c r="X122" s="330"/>
      <c r="Y122" s="330"/>
      <c r="Z122" s="330"/>
      <c r="AA122" s="367"/>
      <c r="AB122" s="357"/>
      <c r="AC122" s="330"/>
      <c r="AD122" s="330"/>
      <c r="AE122" s="330"/>
      <c r="AF122" s="330"/>
      <c r="AG122" s="367"/>
      <c r="AH122" s="330"/>
      <c r="AI122" s="330"/>
      <c r="AJ122" s="330"/>
    </row>
    <row r="123" spans="1:36">
      <c r="A123" s="330" t="str">
        <f>$A$46</f>
        <v>1Q</v>
      </c>
      <c r="B123" s="330" t="str">
        <f>$B$11</f>
        <v>Apr</v>
      </c>
      <c r="C123" s="367"/>
      <c r="D123" s="342">
        <f>'qtrP&amp;L'!BR$10</f>
        <v>515.35599999999988</v>
      </c>
      <c r="E123" s="330"/>
      <c r="F123" s="342">
        <f>'qtrP&amp;L'!$BR$20</f>
        <v>224.22899999999998</v>
      </c>
      <c r="G123" s="330"/>
      <c r="H123" s="342">
        <f>work!BN10</f>
        <v>1140.829</v>
      </c>
      <c r="I123" s="330"/>
      <c r="J123" s="342">
        <f>AVERAGE(H123,H119)</f>
        <v>1100.4965</v>
      </c>
      <c r="K123" s="330"/>
      <c r="L123" s="338">
        <f>(D123/D116-1)*100</f>
        <v>1.0698155132074394</v>
      </c>
      <c r="M123" s="367" t="s">
        <v>1970</v>
      </c>
      <c r="N123" s="338">
        <f>(H123/H116-1)*100</f>
        <v>6.2615207641544046</v>
      </c>
      <c r="O123" s="367" t="s">
        <v>1970</v>
      </c>
      <c r="P123" s="338">
        <f>(H123/H119-1)*100</f>
        <v>7.6087284608796324</v>
      </c>
      <c r="Q123" s="367" t="s">
        <v>1970</v>
      </c>
      <c r="R123" s="359">
        <f>F123/J123</f>
        <v>0.20375257894959228</v>
      </c>
      <c r="S123" s="330" t="s">
        <v>1458</v>
      </c>
      <c r="T123" s="359">
        <f>F124/H123</f>
        <v>0.21406713889636397</v>
      </c>
      <c r="U123" s="330"/>
      <c r="V123" s="330">
        <f>qtrSales!J124</f>
        <v>156</v>
      </c>
      <c r="W123" s="330"/>
      <c r="X123" s="356">
        <f>H123/V123</f>
        <v>7.3130064102564099</v>
      </c>
      <c r="Y123" s="330"/>
      <c r="Z123" s="366">
        <f>(X123/X116-1)*100</f>
        <v>3.5368663855863458</v>
      </c>
      <c r="AA123" s="367" t="s">
        <v>1970</v>
      </c>
      <c r="AB123" s="357">
        <f>qtrSales!Y124</f>
        <v>0.752</v>
      </c>
      <c r="AC123" s="330"/>
      <c r="AD123" s="358">
        <f>H123/AB123</f>
        <v>1517.0598404255318</v>
      </c>
      <c r="AE123" s="330"/>
      <c r="AF123" s="375">
        <f>(AD123/AD116-1)*100</f>
        <v>3.1881323643933035</v>
      </c>
      <c r="AG123" s="367" t="s">
        <v>1970</v>
      </c>
      <c r="AH123" s="370">
        <f>J123/(F123/(365/4))</f>
        <v>447.84709214686768</v>
      </c>
      <c r="AI123" s="330"/>
      <c r="AJ123" s="370"/>
    </row>
    <row r="124" spans="1:36">
      <c r="A124" s="330" t="str">
        <f>$A$47</f>
        <v>2Q</v>
      </c>
      <c r="B124" s="330" t="str">
        <f>$B$12</f>
        <v>Jul</v>
      </c>
      <c r="C124" s="330"/>
      <c r="D124" s="355">
        <f>'qtrP&amp;L'!BR$11</f>
        <v>554.65700000000004</v>
      </c>
      <c r="E124" s="330"/>
      <c r="F124" s="355">
        <f>'qtrP&amp;L'!$BR$21</f>
        <v>244.214</v>
      </c>
      <c r="G124" s="330"/>
      <c r="H124" s="355">
        <f>work!BN11</f>
        <v>1174.319</v>
      </c>
      <c r="I124" s="330"/>
      <c r="J124" s="355">
        <f>AVERAGE(H123:H124)</f>
        <v>1157.5740000000001</v>
      </c>
      <c r="K124" s="330"/>
      <c r="L124" s="338">
        <f>(D124/D117-1)*100</f>
        <v>5.307755253929658</v>
      </c>
      <c r="M124" s="367"/>
      <c r="N124" s="338">
        <f>(H124/H117-1)*100</f>
        <v>10.122930949922671</v>
      </c>
      <c r="O124" s="367"/>
      <c r="P124" s="338">
        <f>(H124/H123-1)*100</f>
        <v>2.9355845617528908</v>
      </c>
      <c r="Q124" s="367"/>
      <c r="R124" s="359">
        <f>F124/J124</f>
        <v>0.2109705297458305</v>
      </c>
      <c r="S124" s="330"/>
      <c r="T124" s="359">
        <f>F125/H124</f>
        <v>0.20819130066021244</v>
      </c>
      <c r="U124" s="330"/>
      <c r="V124" s="330">
        <f>qtrSales!J125</f>
        <v>157</v>
      </c>
      <c r="W124" s="330"/>
      <c r="X124" s="359">
        <f>H124/V124</f>
        <v>7.4797388535031848</v>
      </c>
      <c r="Y124" s="330"/>
      <c r="Z124" s="366">
        <f>(X124/X117-1)*100</f>
        <v>8.7200910652102781</v>
      </c>
      <c r="AA124" s="367"/>
      <c r="AB124" s="357">
        <f>qtrSales!Y125</f>
        <v>0.75580000000000003</v>
      </c>
      <c r="AC124" s="330"/>
      <c r="AD124" s="360">
        <f>H124/AB124</f>
        <v>1553.7430537179148</v>
      </c>
      <c r="AE124" s="330"/>
      <c r="AF124" s="375">
        <f>(AD124/AD117-1)*100</f>
        <v>7.4565514363164498</v>
      </c>
      <c r="AG124" s="367"/>
      <c r="AH124" s="370">
        <f>J124/(F124/(365/4))</f>
        <v>432.5248654868272</v>
      </c>
      <c r="AI124" s="330"/>
      <c r="AJ124" s="370"/>
    </row>
    <row r="125" spans="1:36">
      <c r="A125" s="330" t="str">
        <f>$A$48</f>
        <v>3Q</v>
      </c>
      <c r="B125" s="330" t="str">
        <f>$B$13</f>
        <v>Oct</v>
      </c>
      <c r="C125" s="330"/>
      <c r="D125" s="355">
        <f>'qtrP&amp;L'!BR$12</f>
        <v>531.83399999999995</v>
      </c>
      <c r="E125" s="330"/>
      <c r="F125" s="355">
        <f>'qtrP&amp;L'!$BR$22</f>
        <v>244.483</v>
      </c>
      <c r="G125" s="330"/>
      <c r="H125" s="355">
        <f>work!BN12</f>
        <v>1247.0889999999999</v>
      </c>
      <c r="I125" s="330"/>
      <c r="J125" s="355">
        <f>AVERAGE(H124:H125)</f>
        <v>1210.704</v>
      </c>
      <c r="K125" s="330"/>
      <c r="L125" s="338">
        <f>(D125/D118-1)*100</f>
        <v>6.3444676617910201</v>
      </c>
      <c r="M125" s="367"/>
      <c r="N125" s="338">
        <f>(H125/H118-1)*100</f>
        <v>12.927613766224821</v>
      </c>
      <c r="O125" s="367"/>
      <c r="P125" s="338">
        <f>(H125/H124-1)*100</f>
        <v>6.1967829865649859</v>
      </c>
      <c r="Q125" s="367"/>
      <c r="R125" s="359">
        <f>F125/J125</f>
        <v>0.20193457690732006</v>
      </c>
      <c r="S125" s="330"/>
      <c r="T125" s="359">
        <f>F126/H125</f>
        <v>0.32576504162894548</v>
      </c>
      <c r="U125" s="330"/>
      <c r="V125" s="330">
        <f>qtrSales!J126</f>
        <v>164</v>
      </c>
      <c r="W125" s="330"/>
      <c r="X125" s="359">
        <f>H125/V125</f>
        <v>7.6042012195121949</v>
      </c>
      <c r="Y125" s="330"/>
      <c r="Z125" s="366">
        <f>(X125/X118-1)*100</f>
        <v>8.7961157016068547</v>
      </c>
      <c r="AA125" s="367"/>
      <c r="AB125" s="357">
        <f>qtrSales!Y126</f>
        <v>0.78120000000000001</v>
      </c>
      <c r="AC125" s="330"/>
      <c r="AD125" s="360">
        <f>H125/AB125</f>
        <v>1596.3760880696364</v>
      </c>
      <c r="AE125" s="330"/>
      <c r="AF125" s="375">
        <f>(AD125/AD118-1)*100</f>
        <v>7.6585257967177744</v>
      </c>
      <c r="AG125" s="367"/>
      <c r="AH125" s="370">
        <f>J125/(F125/(365/4))</f>
        <v>451.87902635357051</v>
      </c>
      <c r="AI125" s="330"/>
      <c r="AJ125" s="370"/>
    </row>
    <row r="126" spans="1:36">
      <c r="A126" s="330" t="str">
        <f>$A$49</f>
        <v>4Q</v>
      </c>
      <c r="B126" s="330" t="str">
        <f>$B$14</f>
        <v>Jan</v>
      </c>
      <c r="C126" s="330"/>
      <c r="D126" s="361">
        <f>'qtrP&amp;L'!BR$13</f>
        <v>958.88699999999994</v>
      </c>
      <c r="E126" s="330"/>
      <c r="F126" s="361">
        <f>'qtrP&amp;L'!$BR$23</f>
        <v>406.25799999999998</v>
      </c>
      <c r="G126" s="330"/>
      <c r="H126" s="355">
        <f>bal!AK12</f>
        <v>1146.674</v>
      </c>
      <c r="I126" s="330"/>
      <c r="J126" s="361">
        <f>AVERAGE(H125:H126)</f>
        <v>1196.8815</v>
      </c>
      <c r="K126" s="330"/>
      <c r="L126" s="368">
        <f>(D126/D119-1)*100</f>
        <v>11.700328267590487</v>
      </c>
      <c r="M126" s="367"/>
      <c r="N126" s="366">
        <f>(H126/H119-1)*100</f>
        <v>8.16005825513788</v>
      </c>
      <c r="O126" s="367"/>
      <c r="P126" s="338">
        <f>(H126/H125-1)*100</f>
        <v>-8.0519513843839476</v>
      </c>
      <c r="Q126" s="367"/>
      <c r="R126" s="359">
        <f>F126/J126</f>
        <v>0.33943042815851027</v>
      </c>
      <c r="S126" s="330"/>
      <c r="T126" s="1008">
        <f>F130/H126</f>
        <v>0.22828720281440062</v>
      </c>
      <c r="U126" s="330"/>
      <c r="V126" s="330">
        <f>qtrSales!J127</f>
        <v>167</v>
      </c>
      <c r="W126" s="330"/>
      <c r="X126" s="359">
        <f>H126/V126</f>
        <v>6.8663113772455091</v>
      </c>
      <c r="Y126" s="330"/>
      <c r="Z126" s="366">
        <f>(X126/X119-1)*100</f>
        <v>-0.25958699825607834</v>
      </c>
      <c r="AA126" s="367"/>
      <c r="AB126" s="357">
        <f>qtrSales!Y127</f>
        <v>0.79200000000000004</v>
      </c>
      <c r="AC126" s="330"/>
      <c r="AD126" s="360">
        <f>H126/AB126</f>
        <v>1447.8207070707069</v>
      </c>
      <c r="AE126" s="330"/>
      <c r="AF126" s="375">
        <f>(AD126/AD119-1)*100</f>
        <v>1.7414689394920746</v>
      </c>
      <c r="AG126" s="367"/>
      <c r="AH126" s="370">
        <f>J126/(F126/(365/4))</f>
        <v>268.83270452520321</v>
      </c>
      <c r="AI126" s="330"/>
      <c r="AJ126" s="370"/>
    </row>
    <row r="127" spans="1:36">
      <c r="A127" s="330"/>
      <c r="B127" s="330" t="str">
        <f>$B$50</f>
        <v>Year</v>
      </c>
      <c r="C127" s="330"/>
      <c r="D127" s="342">
        <f>SUM(D123:D126)</f>
        <v>2560.7339999999995</v>
      </c>
      <c r="E127" s="330"/>
      <c r="F127" s="342">
        <f>SUM(F123:F126)</f>
        <v>1119.184</v>
      </c>
      <c r="G127" s="342"/>
      <c r="H127" s="342"/>
      <c r="I127" s="330"/>
      <c r="J127" s="342">
        <f>AVERAGE(J123:J126)</f>
        <v>1166.4139999999998</v>
      </c>
      <c r="K127" s="330"/>
      <c r="L127" s="338">
        <f>(D127/D120-1)*100</f>
        <v>6.9131700563596299</v>
      </c>
      <c r="M127" s="367"/>
      <c r="N127" s="330"/>
      <c r="O127" s="367"/>
      <c r="P127" s="330"/>
      <c r="Q127" s="367"/>
      <c r="R127" s="369">
        <f>F127/J127</f>
        <v>0.95950837352775276</v>
      </c>
      <c r="S127" s="364" t="s">
        <v>1458</v>
      </c>
      <c r="T127" s="359"/>
      <c r="U127" s="330"/>
      <c r="V127" s="330"/>
      <c r="W127" s="330"/>
      <c r="X127" s="330"/>
      <c r="Y127" s="330"/>
      <c r="Z127" s="330"/>
      <c r="AA127" s="367"/>
      <c r="AB127" s="330"/>
      <c r="AC127" s="330"/>
      <c r="AD127" s="330"/>
      <c r="AE127" s="330"/>
      <c r="AF127" s="330"/>
      <c r="AG127" s="367"/>
      <c r="AH127" s="330"/>
      <c r="AI127" s="330"/>
      <c r="AJ127" s="330"/>
    </row>
    <row r="128" spans="1:36">
      <c r="A128" s="330"/>
      <c r="B128" s="330"/>
      <c r="C128" s="330"/>
      <c r="D128" s="342"/>
      <c r="E128" s="330"/>
      <c r="F128" s="342"/>
      <c r="G128" s="330"/>
      <c r="H128" s="330"/>
      <c r="I128" s="330"/>
      <c r="J128" s="342"/>
      <c r="K128" s="330"/>
      <c r="L128" s="338"/>
      <c r="M128" s="367"/>
      <c r="N128" s="330"/>
      <c r="O128" s="367"/>
      <c r="P128" s="330"/>
      <c r="Q128" s="367"/>
      <c r="R128" s="1005"/>
      <c r="S128" s="426"/>
      <c r="T128" s="359"/>
      <c r="U128" s="330"/>
      <c r="V128" s="330"/>
      <c r="W128" s="330"/>
      <c r="X128" s="330"/>
      <c r="Y128" s="330"/>
      <c r="Z128" s="330"/>
      <c r="AA128" s="367"/>
      <c r="AB128" s="330"/>
      <c r="AC128" s="330"/>
      <c r="AD128" s="330"/>
      <c r="AE128" s="330"/>
      <c r="AF128" s="330"/>
      <c r="AG128" s="367"/>
      <c r="AH128" s="330"/>
      <c r="AI128" s="330"/>
      <c r="AJ128" s="330"/>
    </row>
    <row r="129" spans="1:36">
      <c r="A129" s="330"/>
      <c r="B129" s="1007" t="s">
        <v>1891</v>
      </c>
      <c r="C129" s="330"/>
      <c r="D129" s="330"/>
      <c r="E129" s="330"/>
      <c r="F129" s="330"/>
      <c r="G129" s="330"/>
      <c r="H129" s="330"/>
      <c r="I129" s="330"/>
      <c r="J129" s="330"/>
      <c r="K129" s="330"/>
      <c r="L129" s="330"/>
      <c r="M129" s="367"/>
      <c r="N129" s="330"/>
      <c r="O129" s="367"/>
      <c r="P129" s="330"/>
      <c r="Q129" s="367"/>
      <c r="R129" s="330"/>
      <c r="S129" s="330"/>
      <c r="T129" s="359"/>
      <c r="U129" s="330"/>
      <c r="V129" s="1006"/>
      <c r="W129" s="330"/>
      <c r="X129" s="330"/>
      <c r="Y129" s="330"/>
      <c r="Z129" s="330"/>
      <c r="AA129" s="367"/>
      <c r="AB129" s="357"/>
      <c r="AC129" s="330"/>
      <c r="AD129" s="330"/>
      <c r="AE129" s="330"/>
      <c r="AF129" s="330"/>
      <c r="AG129" s="367"/>
      <c r="AH129" s="330"/>
      <c r="AI129" s="330"/>
      <c r="AJ129" s="330"/>
    </row>
    <row r="130" spans="1:36">
      <c r="A130" s="330" t="str">
        <f>$A$46</f>
        <v>1Q</v>
      </c>
      <c r="B130" s="330" t="str">
        <f>$B$11</f>
        <v>Apr</v>
      </c>
      <c r="C130" s="367"/>
      <c r="D130" s="342">
        <f>'qtrP&amp;L'!BV10</f>
        <v>595.72900000000004</v>
      </c>
      <c r="E130" s="330"/>
      <c r="F130" s="342">
        <f>'qtrP&amp;L'!BV20</f>
        <v>261.77100000000002</v>
      </c>
      <c r="G130" s="330"/>
      <c r="H130" s="342">
        <f>work!BR10</f>
        <v>1335.729</v>
      </c>
      <c r="I130" s="330"/>
      <c r="J130" s="342">
        <f>AVERAGE(H130,H126)</f>
        <v>1241.2015000000001</v>
      </c>
      <c r="K130" s="330"/>
      <c r="L130" s="338">
        <f>(D130/D123-1)*100</f>
        <v>15.595627100489784</v>
      </c>
      <c r="M130" s="367" t="s">
        <v>1970</v>
      </c>
      <c r="N130" s="338">
        <f>(H130/H123-1)*100</f>
        <v>17.08406781384415</v>
      </c>
      <c r="O130" s="367" t="s">
        <v>1970</v>
      </c>
      <c r="P130" s="338">
        <f>(H130/H126-1)*100</f>
        <v>16.487249209452727</v>
      </c>
      <c r="Q130" s="367" t="s">
        <v>1970</v>
      </c>
      <c r="R130" s="359">
        <f>F130/J130</f>
        <v>0.21090129201422975</v>
      </c>
      <c r="S130" s="330" t="s">
        <v>1458</v>
      </c>
      <c r="T130" s="359">
        <f>F131/H130</f>
        <v>0.21760102535768858</v>
      </c>
      <c r="U130" s="330"/>
      <c r="V130" s="330">
        <f>qtrSales!J131</f>
        <v>172</v>
      </c>
      <c r="W130" s="330"/>
      <c r="X130" s="356">
        <f>H130/V130</f>
        <v>7.7658662790697681</v>
      </c>
      <c r="Y130" s="330"/>
      <c r="Z130" s="366">
        <f>(X130/X123-1)*100</f>
        <v>6.1925266218586517</v>
      </c>
      <c r="AA130" s="367" t="s">
        <v>1970</v>
      </c>
      <c r="AB130" s="357">
        <f>qtrSales!Y131</f>
        <v>0.80574174757281547</v>
      </c>
      <c r="AC130" s="330"/>
      <c r="AD130" s="358">
        <f>H130/AB130</f>
        <v>1657.7631778714424</v>
      </c>
      <c r="AE130" s="330"/>
      <c r="AF130" s="375">
        <f>(AD130/AD123-1)*100</f>
        <v>9.2747387872612599</v>
      </c>
      <c r="AG130" s="367" t="s">
        <v>1970</v>
      </c>
      <c r="AH130" s="370">
        <f>J130/(F130/(365/4))</f>
        <v>432.66686101592614</v>
      </c>
      <c r="AI130" s="330"/>
      <c r="AJ130" s="370"/>
    </row>
    <row r="131" spans="1:36">
      <c r="A131" s="330" t="str">
        <f>$A$47</f>
        <v>2Q</v>
      </c>
      <c r="B131" s="330" t="str">
        <f>$B$12</f>
        <v>Jul</v>
      </c>
      <c r="C131" s="330"/>
      <c r="D131" s="355">
        <f>'qtrP&amp;L'!BV11</f>
        <v>662.56200000000001</v>
      </c>
      <c r="E131" s="330"/>
      <c r="F131" s="355">
        <f>'qtrP&amp;L'!BV21</f>
        <v>290.65600000000001</v>
      </c>
      <c r="G131" s="330"/>
      <c r="H131" s="355">
        <f>work!BR11</f>
        <v>1369.019</v>
      </c>
      <c r="I131" s="330"/>
      <c r="J131" s="355">
        <f>AVERAGE(H130:H131)</f>
        <v>1352.374</v>
      </c>
      <c r="K131" s="330"/>
      <c r="L131" s="338">
        <f>(D131/D124-1)*100</f>
        <v>19.454365490744728</v>
      </c>
      <c r="M131" s="367"/>
      <c r="N131" s="338">
        <f>(H131/H124-1)*100</f>
        <v>16.579822007478384</v>
      </c>
      <c r="O131" s="367"/>
      <c r="P131" s="338">
        <f>(H131/H130-1)*100</f>
        <v>2.4922720102655616</v>
      </c>
      <c r="Q131" s="367"/>
      <c r="R131" s="359">
        <f>F131/J131</f>
        <v>0.21492279502563641</v>
      </c>
      <c r="S131" s="330"/>
      <c r="T131" s="359">
        <f>F132/H131</f>
        <v>0.20874509411483699</v>
      </c>
      <c r="U131" s="330"/>
      <c r="V131" s="330">
        <f>qtrSales!J132</f>
        <v>175</v>
      </c>
      <c r="W131" s="330"/>
      <c r="X131" s="359">
        <f>H131/V131</f>
        <v>7.8229657142857141</v>
      </c>
      <c r="Y131" s="330"/>
      <c r="Z131" s="366">
        <f>(X131/X124-1)*100</f>
        <v>4.5887546009948821</v>
      </c>
      <c r="AA131" s="367"/>
      <c r="AB131" s="357">
        <f>qtrSales!Y132</f>
        <v>0.80814174757281554</v>
      </c>
      <c r="AC131" s="330"/>
      <c r="AD131" s="360">
        <f>H131/AB131</f>
        <v>1694.0332610111175</v>
      </c>
      <c r="AE131" s="330"/>
      <c r="AF131" s="375">
        <f>(AD131/AD124-1)*100</f>
        <v>9.0291767971226289</v>
      </c>
      <c r="AG131" s="367"/>
      <c r="AH131" s="370">
        <f>J131/(F131/(365/4))</f>
        <v>424.5710651078939</v>
      </c>
      <c r="AI131" s="330"/>
      <c r="AJ131" s="370"/>
    </row>
    <row r="132" spans="1:36">
      <c r="A132" s="330" t="str">
        <f>$A$48</f>
        <v>3Q</v>
      </c>
      <c r="B132" s="330" t="str">
        <f>$B$13</f>
        <v>Oct</v>
      </c>
      <c r="C132" s="330"/>
      <c r="D132" s="355">
        <f>'qtrP&amp;L'!BV12</f>
        <v>627.32299999999998</v>
      </c>
      <c r="E132" s="330"/>
      <c r="F132" s="355">
        <f>'qtrP&amp;L'!BV22</f>
        <v>285.77600000000001</v>
      </c>
      <c r="G132" s="330"/>
      <c r="H132" s="355">
        <f>work!BR12</f>
        <v>1465.502</v>
      </c>
      <c r="I132" s="330"/>
      <c r="J132" s="355">
        <f>AVERAGE(H131:H132)</f>
        <v>1417.2604999999999</v>
      </c>
      <c r="K132" s="330"/>
      <c r="L132" s="338">
        <f>(D132/D125-1)*100</f>
        <v>17.95466254507987</v>
      </c>
      <c r="M132" s="367"/>
      <c r="N132" s="338">
        <f>(H132/H125-1)*100</f>
        <v>17.513826198450943</v>
      </c>
      <c r="O132" s="367"/>
      <c r="P132" s="338">
        <f>(H132/H131-1)*100</f>
        <v>7.0476012385511044</v>
      </c>
      <c r="Q132" s="367"/>
      <c r="R132" s="359">
        <f>F132/J132</f>
        <v>0.20163971267102981</v>
      </c>
      <c r="S132" s="330"/>
      <c r="T132" s="359">
        <f>F133/H132</f>
        <v>0.28938275075707848</v>
      </c>
      <c r="U132" s="330"/>
      <c r="V132" s="330">
        <f>qtrSales!J133</f>
        <v>186</v>
      </c>
      <c r="W132" s="330"/>
      <c r="X132" s="359">
        <f>H132/V132</f>
        <v>7.8790430107526879</v>
      </c>
      <c r="Y132" s="330"/>
      <c r="Z132" s="366">
        <f>(X132/X125-1)*100</f>
        <v>3.61434137927934</v>
      </c>
      <c r="AA132" s="367"/>
      <c r="AB132" s="357">
        <f>qtrSales!Y133</f>
        <v>0.84330873786407756</v>
      </c>
      <c r="AC132" s="330"/>
      <c r="AD132" s="360">
        <f>H132/AB132</f>
        <v>1737.8000893383439</v>
      </c>
      <c r="AE132" s="330"/>
      <c r="AF132" s="375">
        <f>(AD132/AD125-1)*100</f>
        <v>8.8590653747338202</v>
      </c>
      <c r="AG132" s="367"/>
      <c r="AH132" s="370">
        <f>J132/(F132/(365/4))</f>
        <v>452.53982358560546</v>
      </c>
      <c r="AI132" s="330"/>
      <c r="AJ132" s="370"/>
    </row>
    <row r="133" spans="1:36">
      <c r="A133" s="330" t="str">
        <f>$A$49</f>
        <v>4Q</v>
      </c>
      <c r="B133" s="330" t="str">
        <f>$B$14</f>
        <v>Jan</v>
      </c>
      <c r="C133" s="330"/>
      <c r="D133" s="361">
        <f>'qtrP&amp;L'!BV13</f>
        <v>1053.1569999999999</v>
      </c>
      <c r="E133" s="330"/>
      <c r="F133" s="361">
        <f>'qtrP&amp;L'!BV23</f>
        <v>424.09100000000001</v>
      </c>
      <c r="G133" s="330"/>
      <c r="H133" s="355">
        <f>bal!AM12</f>
        <v>1372.3969999999999</v>
      </c>
      <c r="I133" s="330"/>
      <c r="J133" s="361">
        <f>AVERAGE(H132:H133)</f>
        <v>1418.9494999999999</v>
      </c>
      <c r="K133" s="330"/>
      <c r="L133" s="368">
        <f>(D133/D126-1)*100</f>
        <v>9.8311897022276931</v>
      </c>
      <c r="M133" s="367"/>
      <c r="N133" s="366">
        <f>(H133/H126-1)*100</f>
        <v>19.685019456270926</v>
      </c>
      <c r="O133" s="367"/>
      <c r="P133" s="338">
        <f>(H133/H132-1)*100</f>
        <v>-6.3531131312000948</v>
      </c>
      <c r="Q133" s="367"/>
      <c r="R133" s="359">
        <f>F133/J133</f>
        <v>0.29887673944703458</v>
      </c>
      <c r="S133" s="330"/>
      <c r="T133" s="1008">
        <f>F137/H133</f>
        <v>0.20800249490489997</v>
      </c>
      <c r="U133" s="330"/>
      <c r="V133" s="330">
        <f>qtrSales!J134</f>
        <v>184</v>
      </c>
      <c r="W133" s="330"/>
      <c r="X133" s="359">
        <f>H133/V133</f>
        <v>7.4586793478260862</v>
      </c>
      <c r="Y133" s="330"/>
      <c r="Z133" s="366">
        <f>(X133/X126-1)*100</f>
        <v>8.6271643978110824</v>
      </c>
      <c r="AA133" s="367"/>
      <c r="AB133" s="357">
        <f>qtrSales!Y134</f>
        <v>0.8600000000000001</v>
      </c>
      <c r="AC133" s="330"/>
      <c r="AD133" s="360">
        <f>H133/AB133</f>
        <v>1595.8104651162789</v>
      </c>
      <c r="AE133" s="330"/>
      <c r="AF133" s="375">
        <f>(AD133/AD126-1)*100</f>
        <v>10.221552801589029</v>
      </c>
      <c r="AG133" s="367"/>
      <c r="AH133" s="370">
        <f>J133/(F133/(365/4))</f>
        <v>305.30980821333156</v>
      </c>
      <c r="AI133" s="330"/>
      <c r="AJ133" s="370"/>
    </row>
    <row r="134" spans="1:36">
      <c r="A134" s="330"/>
      <c r="B134" s="330" t="str">
        <f>$B$50</f>
        <v>Year</v>
      </c>
      <c r="C134" s="330"/>
      <c r="D134" s="342">
        <f>SUM(D130:D133)</f>
        <v>2938.7709999999997</v>
      </c>
      <c r="E134" s="330"/>
      <c r="F134" s="342">
        <f>SUM(F130:F133)</f>
        <v>1262.2939999999999</v>
      </c>
      <c r="G134" s="330"/>
      <c r="H134" s="342"/>
      <c r="I134" s="330"/>
      <c r="J134" s="342">
        <f>AVERAGE(J130:J133)</f>
        <v>1357.446375</v>
      </c>
      <c r="K134" s="330"/>
      <c r="L134" s="338">
        <f>(D134/D127-1)*100</f>
        <v>14.76283753017691</v>
      </c>
      <c r="M134" s="367"/>
      <c r="N134" s="330"/>
      <c r="O134" s="367"/>
      <c r="P134" s="330"/>
      <c r="Q134" s="367"/>
      <c r="R134" s="369">
        <f>F134/J134</f>
        <v>0.92990340041977704</v>
      </c>
      <c r="S134" s="364" t="s">
        <v>1458</v>
      </c>
      <c r="T134" s="359"/>
      <c r="U134" s="330"/>
      <c r="V134" s="330"/>
      <c r="W134" s="330"/>
      <c r="X134" s="330"/>
      <c r="Y134" s="330"/>
      <c r="Z134" s="330"/>
      <c r="AA134" s="367"/>
      <c r="AB134" s="330"/>
      <c r="AC134" s="330"/>
      <c r="AD134" s="330"/>
      <c r="AE134" s="330"/>
      <c r="AF134" s="330"/>
      <c r="AG134" s="367"/>
      <c r="AH134" s="330"/>
      <c r="AI134" s="330"/>
      <c r="AJ134" s="330"/>
    </row>
    <row r="135" spans="1:36">
      <c r="A135" s="330"/>
      <c r="B135" s="330"/>
      <c r="C135" s="330"/>
      <c r="D135" s="342"/>
      <c r="E135" s="330"/>
      <c r="F135" s="342"/>
      <c r="G135" s="330"/>
      <c r="H135" s="342"/>
      <c r="I135" s="330"/>
      <c r="J135" s="342"/>
      <c r="K135" s="330"/>
      <c r="L135" s="338"/>
      <c r="M135" s="367"/>
      <c r="N135" s="330"/>
      <c r="O135" s="367"/>
      <c r="P135" s="330"/>
      <c r="Q135" s="367"/>
      <c r="R135" s="1005"/>
      <c r="S135" s="426"/>
      <c r="T135" s="359"/>
      <c r="U135" s="330"/>
      <c r="V135" s="330"/>
      <c r="W135" s="330"/>
      <c r="X135" s="330"/>
      <c r="Y135" s="330"/>
      <c r="Z135" s="330"/>
      <c r="AA135" s="367"/>
      <c r="AB135" s="330"/>
      <c r="AC135" s="330"/>
      <c r="AD135" s="330"/>
      <c r="AE135" s="330"/>
      <c r="AF135" s="330"/>
      <c r="AG135" s="367"/>
      <c r="AH135" s="330"/>
      <c r="AI135" s="330"/>
      <c r="AJ135" s="330"/>
    </row>
    <row r="136" spans="1:36">
      <c r="A136" s="330"/>
      <c r="B136" s="1007" t="s">
        <v>1892</v>
      </c>
      <c r="C136" s="330"/>
      <c r="D136" s="330"/>
      <c r="E136" s="330"/>
      <c r="F136" s="330"/>
      <c r="G136" s="330"/>
      <c r="H136" s="330"/>
      <c r="I136" s="330"/>
      <c r="J136" s="330"/>
      <c r="K136" s="330"/>
      <c r="L136" s="330"/>
      <c r="M136" s="367"/>
      <c r="N136" s="330"/>
      <c r="O136" s="367"/>
      <c r="P136" s="330"/>
      <c r="Q136" s="367"/>
      <c r="R136" s="330"/>
      <c r="S136" s="330"/>
      <c r="T136" s="359"/>
      <c r="U136" s="330"/>
      <c r="V136" s="1006"/>
      <c r="W136" s="330"/>
      <c r="X136" s="330"/>
      <c r="Y136" s="330"/>
      <c r="Z136" s="330"/>
      <c r="AA136" s="367"/>
      <c r="AB136" s="357"/>
      <c r="AC136" s="330"/>
      <c r="AD136" s="330"/>
      <c r="AE136" s="330"/>
      <c r="AF136" s="330"/>
      <c r="AG136" s="367"/>
      <c r="AH136" s="330"/>
      <c r="AI136" s="330"/>
      <c r="AJ136" s="330"/>
    </row>
    <row r="137" spans="1:36">
      <c r="A137" s="330" t="str">
        <f>$A$46</f>
        <v>1Q</v>
      </c>
      <c r="B137" s="330" t="str">
        <f>$B$11</f>
        <v>Apr</v>
      </c>
      <c r="C137" s="367"/>
      <c r="D137" s="342">
        <f>'qtrP&amp;L'!$BZ10</f>
        <v>665.48</v>
      </c>
      <c r="E137" s="330"/>
      <c r="F137" s="342">
        <f>'qtrP&amp;L'!$BZ20</f>
        <v>285.46199999999999</v>
      </c>
      <c r="G137" s="330"/>
      <c r="H137" s="342">
        <f>work!BV10</f>
        <v>1466.1659999999999</v>
      </c>
      <c r="I137" s="330"/>
      <c r="J137" s="342">
        <f>AVERAGE(H137,H133)</f>
        <v>1419.2815000000001</v>
      </c>
      <c r="K137" s="330"/>
      <c r="L137" s="338">
        <f>(D137/D130-1)*100</f>
        <v>11.708511756184436</v>
      </c>
      <c r="M137" s="367" t="s">
        <v>1970</v>
      </c>
      <c r="N137" s="338">
        <f>(H137/H130-1)*100</f>
        <v>9.7652293242117096</v>
      </c>
      <c r="O137" s="367" t="s">
        <v>1970</v>
      </c>
      <c r="P137" s="338">
        <f>(H137/H133-1)*100</f>
        <v>6.8324981765480297</v>
      </c>
      <c r="Q137" s="367" t="s">
        <v>1970</v>
      </c>
      <c r="R137" s="359">
        <f>F137/J137</f>
        <v>0.20113134709358219</v>
      </c>
      <c r="S137" s="330" t="s">
        <v>1458</v>
      </c>
      <c r="T137" s="359">
        <f>F138/H137</f>
        <v>0.20990665449887666</v>
      </c>
      <c r="U137" s="330"/>
      <c r="V137" s="330">
        <f>qtrSales!J138</f>
        <v>192</v>
      </c>
      <c r="W137" s="330"/>
      <c r="X137" s="356">
        <f>H137/V137</f>
        <v>7.6362812499999997</v>
      </c>
      <c r="Y137" s="330"/>
      <c r="Z137" s="366">
        <f>(X137/X130-1)*100</f>
        <v>-1.6686487303936737</v>
      </c>
      <c r="AA137" s="367" t="s">
        <v>1970</v>
      </c>
      <c r="AB137" s="357">
        <f>qtrSales!Y138</f>
        <v>0.8735560332871013</v>
      </c>
      <c r="AC137" s="330"/>
      <c r="AD137" s="358">
        <f>H137/AB137</f>
        <v>1678.3880416725742</v>
      </c>
      <c r="AE137" s="330"/>
      <c r="AF137" s="375">
        <f>(AD137/AD130-1)*100</f>
        <v>1.2441381300080545</v>
      </c>
      <c r="AG137" s="367" t="s">
        <v>1970</v>
      </c>
      <c r="AH137" s="370">
        <f>J137/(F137/(365/4))</f>
        <v>453.68363170929933</v>
      </c>
      <c r="AI137" s="330"/>
      <c r="AJ137" s="370"/>
    </row>
    <row r="138" spans="1:36">
      <c r="A138" s="330" t="str">
        <f>$A$47</f>
        <v>2Q</v>
      </c>
      <c r="B138" s="330" t="str">
        <f>$B$12</f>
        <v>Jul</v>
      </c>
      <c r="C138" s="330"/>
      <c r="D138" s="355">
        <f>'qtrP&amp;L'!$BZ11</f>
        <v>729.63400000000001</v>
      </c>
      <c r="E138" s="330"/>
      <c r="F138" s="355">
        <f>'qtrP&amp;L'!$BZ21</f>
        <v>307.75799999999998</v>
      </c>
      <c r="G138" s="330"/>
      <c r="H138" s="355">
        <f>work!BV11</f>
        <v>1511.921</v>
      </c>
      <c r="I138" s="330"/>
      <c r="J138" s="355">
        <f>AVERAGE(H137:H138)</f>
        <v>1489.0435</v>
      </c>
      <c r="K138" s="330"/>
      <c r="L138" s="338">
        <f>(D138/D131-1)*100</f>
        <v>10.123128099709922</v>
      </c>
      <c r="M138" s="367"/>
      <c r="N138" s="338">
        <f>(H138/H131-1)*100</f>
        <v>10.438277335814927</v>
      </c>
      <c r="O138" s="367"/>
      <c r="P138" s="338">
        <f>(H138/H137-1)*100</f>
        <v>3.1207243927358963</v>
      </c>
      <c r="Q138" s="367"/>
      <c r="R138" s="359">
        <f>F138/J138</f>
        <v>0.20668167182489966</v>
      </c>
      <c r="S138" s="330"/>
      <c r="T138" s="359">
        <f>F139/H138</f>
        <v>0.17793720703661103</v>
      </c>
      <c r="U138" s="330"/>
      <c r="V138" s="330">
        <f>qtrSales!J139</f>
        <v>196</v>
      </c>
      <c r="W138" s="330"/>
      <c r="X138" s="359">
        <f>H138/V138</f>
        <v>7.7138826530612246</v>
      </c>
      <c r="Y138" s="330"/>
      <c r="Z138" s="366">
        <f>(X138/X131-1)*100</f>
        <v>-1.3943952358795308</v>
      </c>
      <c r="AA138" s="367"/>
      <c r="AB138" s="357">
        <f>qtrSales!Y139</f>
        <v>0.88841040221914014</v>
      </c>
      <c r="AC138" s="330"/>
      <c r="AD138" s="360">
        <f>H138/AB138</f>
        <v>1701.8272143408126</v>
      </c>
      <c r="AE138" s="330"/>
      <c r="AF138" s="375">
        <f>(AD138/AD131-1)*100</f>
        <v>0.46008266242913987</v>
      </c>
      <c r="AG138" s="367"/>
      <c r="AH138" s="370">
        <f>J138/(F138/(365/4))</f>
        <v>441.50020267547882</v>
      </c>
      <c r="AI138" s="330"/>
      <c r="AJ138" s="370"/>
    </row>
    <row r="139" spans="1:36">
      <c r="A139" s="330" t="str">
        <f>$A$48</f>
        <v>3Q</v>
      </c>
      <c r="B139" s="330" t="str">
        <f>$B$13</f>
        <v>Oct</v>
      </c>
      <c r="C139" s="330"/>
      <c r="D139" s="355">
        <f>'qtrP&amp;L'!$BZ12</f>
        <v>616.15200000000004</v>
      </c>
      <c r="E139" s="330"/>
      <c r="F139" s="355">
        <f>'qtrP&amp;L'!$BZ22</f>
        <v>269.02699999999999</v>
      </c>
      <c r="G139" s="330"/>
      <c r="H139" s="355">
        <f>work!BV12</f>
        <v>1638.479</v>
      </c>
      <c r="I139" s="330"/>
      <c r="J139" s="355">
        <f>AVERAGE(H138:H139)</f>
        <v>1575.2</v>
      </c>
      <c r="K139" s="330"/>
      <c r="L139" s="338">
        <f>(D139/D132-1)*100</f>
        <v>-1.7807413405853012</v>
      </c>
      <c r="M139" s="367"/>
      <c r="N139" s="338">
        <f>(H139/H132-1)*100</f>
        <v>11.803259224484176</v>
      </c>
      <c r="O139" s="367"/>
      <c r="P139" s="338">
        <f>(H139/H138-1)*100</f>
        <v>8.3706754519581317</v>
      </c>
      <c r="Q139" s="367"/>
      <c r="R139" s="359">
        <f>F139/J139</f>
        <v>0.17078910614525139</v>
      </c>
      <c r="S139" s="330"/>
      <c r="T139" s="359">
        <f>F140/H139</f>
        <v>0.20761328036550972</v>
      </c>
      <c r="U139" s="330"/>
      <c r="V139" s="330">
        <f>qtrSales!J140</f>
        <v>204</v>
      </c>
      <c r="W139" s="330"/>
      <c r="X139" s="359">
        <f>H139/V139</f>
        <v>8.0317598039215685</v>
      </c>
      <c r="Y139" s="330"/>
      <c r="Z139" s="366">
        <f>(X139/X132-1)*100</f>
        <v>1.9382657635002687</v>
      </c>
      <c r="AA139" s="367"/>
      <c r="AB139" s="357">
        <f>qtrSales!Y140</f>
        <v>0.93567739251040227</v>
      </c>
      <c r="AC139" s="330"/>
      <c r="AD139" s="360">
        <f>H139/AB139</f>
        <v>1751.1153022560438</v>
      </c>
      <c r="AE139" s="330"/>
      <c r="AF139" s="375">
        <f>(AD139/AD132-1)*100</f>
        <v>0.76621085471169081</v>
      </c>
      <c r="AG139" s="367"/>
      <c r="AH139" s="370">
        <f>J139/(F139/(365/4))</f>
        <v>534.28466287770379</v>
      </c>
      <c r="AI139" s="330"/>
      <c r="AJ139" s="370"/>
    </row>
    <row r="140" spans="1:36">
      <c r="A140" s="330" t="str">
        <f>$A$49</f>
        <v>4Q</v>
      </c>
      <c r="B140" s="330" t="str">
        <f>$B$14</f>
        <v>Jan</v>
      </c>
      <c r="C140" s="330"/>
      <c r="D140" s="361">
        <f>'qtrP&amp;L'!$BZ13</f>
        <v>837.59299999999996</v>
      </c>
      <c r="E140" s="330"/>
      <c r="F140" s="361">
        <f>'qtrP&amp;L'!$BZ23</f>
        <v>340.17</v>
      </c>
      <c r="G140" s="330"/>
      <c r="H140" s="355">
        <f>bal!$AO$12</f>
        <v>1601.2360000000001</v>
      </c>
      <c r="I140" s="330"/>
      <c r="J140" s="361">
        <f>AVERAGE(H139:H140)</f>
        <v>1619.8575000000001</v>
      </c>
      <c r="K140" s="330"/>
      <c r="L140" s="368">
        <f>(D140/D133-1)*100</f>
        <v>-20.468363216500485</v>
      </c>
      <c r="M140" s="367"/>
      <c r="N140" s="366">
        <f>(H140/H133-1)*100</f>
        <v>16.674402523468078</v>
      </c>
      <c r="O140" s="367"/>
      <c r="P140" s="338">
        <f>(H140/H139-1)*100</f>
        <v>-2.2730227241240186</v>
      </c>
      <c r="Q140" s="367"/>
      <c r="R140" s="359">
        <f>F140/J140</f>
        <v>0.20999995369963098</v>
      </c>
      <c r="S140" s="330"/>
      <c r="T140" s="1008">
        <f>F144/H140</f>
        <v>0.14263731267595783</v>
      </c>
      <c r="U140" s="330"/>
      <c r="V140" s="330">
        <f>qtrSales!J141</f>
        <v>206</v>
      </c>
      <c r="W140" s="330"/>
      <c r="X140" s="359">
        <f>H140/V140</f>
        <v>7.7729902912621363</v>
      </c>
      <c r="Y140" s="330"/>
      <c r="Z140" s="366">
        <f>(X140/X133-1)*100</f>
        <v>4.2140294384375165</v>
      </c>
      <c r="AA140" s="367"/>
      <c r="AB140" s="357">
        <f>qtrSales!Y141</f>
        <v>0.93500000000000005</v>
      </c>
      <c r="AC140" s="330"/>
      <c r="AD140" s="360">
        <f>H140/AB140</f>
        <v>1712.551871657754</v>
      </c>
      <c r="AE140" s="330"/>
      <c r="AF140" s="375">
        <f>(AD140/AD133-1)*100</f>
        <v>7.3154932301417563</v>
      </c>
      <c r="AG140" s="367"/>
      <c r="AH140" s="370">
        <f>J140/(F140/(365/4))</f>
        <v>434.52390532674838</v>
      </c>
      <c r="AI140" s="330"/>
      <c r="AJ140" s="370"/>
    </row>
    <row r="141" spans="1:36">
      <c r="A141" s="330"/>
      <c r="B141" s="330" t="str">
        <f>$B$50</f>
        <v>Year</v>
      </c>
      <c r="C141" s="330"/>
      <c r="D141" s="342">
        <f>SUM(D137:D140)</f>
        <v>2848.8589999999999</v>
      </c>
      <c r="E141" s="330"/>
      <c r="F141" s="342">
        <f>SUM(F137:F140)</f>
        <v>1202.4170000000001</v>
      </c>
      <c r="G141" s="330"/>
      <c r="H141" s="342"/>
      <c r="I141" s="330"/>
      <c r="J141" s="342">
        <f>AVERAGE(J137:J140)</f>
        <v>1525.8456249999999</v>
      </c>
      <c r="K141" s="330"/>
      <c r="L141" s="338">
        <f>(D141/D134-1)*100</f>
        <v>-3.0595102510539207</v>
      </c>
      <c r="M141" s="367"/>
      <c r="N141" s="330"/>
      <c r="O141" s="367"/>
      <c r="P141" s="330"/>
      <c r="Q141" s="367"/>
      <c r="R141" s="369">
        <f>F141/J141</f>
        <v>0.78803319306958086</v>
      </c>
      <c r="S141" s="364" t="s">
        <v>1458</v>
      </c>
      <c r="T141" s="359"/>
      <c r="U141" s="330"/>
      <c r="V141" s="330"/>
      <c r="W141" s="330"/>
      <c r="X141" s="330"/>
      <c r="Y141" s="330"/>
      <c r="Z141" s="330"/>
      <c r="AA141" s="367"/>
      <c r="AB141" s="330"/>
      <c r="AC141" s="330"/>
      <c r="AD141" s="330"/>
      <c r="AE141" s="330"/>
      <c r="AF141" s="330"/>
      <c r="AG141" s="367"/>
      <c r="AH141" s="330"/>
      <c r="AI141" s="330"/>
      <c r="AJ141" s="330"/>
    </row>
    <row r="142" spans="1:36">
      <c r="A142" s="330"/>
      <c r="B142" s="330"/>
      <c r="C142" s="330"/>
      <c r="D142" s="342"/>
      <c r="E142" s="330"/>
      <c r="F142" s="342"/>
      <c r="G142" s="330"/>
      <c r="H142" s="342"/>
      <c r="I142" s="330"/>
      <c r="J142" s="342"/>
      <c r="K142" s="330"/>
      <c r="L142" s="338"/>
      <c r="M142" s="367"/>
      <c r="N142" s="330"/>
      <c r="O142" s="367"/>
      <c r="P142" s="330"/>
      <c r="Q142" s="367"/>
      <c r="R142" s="1005"/>
      <c r="S142" s="426"/>
      <c r="T142" s="359"/>
      <c r="U142" s="330"/>
      <c r="V142" s="330"/>
      <c r="W142" s="330"/>
      <c r="X142" s="330"/>
      <c r="Y142" s="330"/>
      <c r="Z142" s="330"/>
      <c r="AA142" s="367"/>
      <c r="AB142" s="330"/>
      <c r="AC142" s="330"/>
      <c r="AD142" s="330"/>
      <c r="AE142" s="330"/>
      <c r="AF142" s="330"/>
      <c r="AG142" s="367"/>
      <c r="AH142" s="330"/>
      <c r="AI142" s="330"/>
      <c r="AJ142" s="330"/>
    </row>
    <row r="143" spans="1:36">
      <c r="A143" s="330"/>
      <c r="B143" s="1007" t="s">
        <v>158</v>
      </c>
      <c r="C143" s="330"/>
      <c r="D143" s="330"/>
      <c r="E143" s="330"/>
      <c r="F143" s="330"/>
      <c r="G143" s="330"/>
      <c r="H143" s="330"/>
      <c r="I143" s="330"/>
      <c r="J143" s="330"/>
      <c r="K143" s="330"/>
      <c r="L143" s="330"/>
      <c r="M143" s="367"/>
      <c r="N143" s="330"/>
      <c r="O143" s="367"/>
      <c r="P143" s="330"/>
      <c r="Q143" s="367"/>
      <c r="R143" s="330"/>
      <c r="S143" s="330"/>
      <c r="T143" s="359"/>
      <c r="U143" s="330"/>
      <c r="V143" s="1006"/>
      <c r="W143" s="330"/>
      <c r="X143" s="330"/>
      <c r="Y143" s="330"/>
      <c r="Z143" s="330"/>
      <c r="AA143" s="367"/>
      <c r="AB143" s="357"/>
      <c r="AC143" s="330"/>
      <c r="AD143" s="330"/>
      <c r="AE143" s="330"/>
      <c r="AF143" s="330"/>
      <c r="AG143" s="367"/>
      <c r="AH143" s="330"/>
      <c r="AI143" s="330"/>
      <c r="AJ143" s="330"/>
    </row>
    <row r="144" spans="1:36">
      <c r="A144" s="330" t="str">
        <f>$A$46</f>
        <v>1Q</v>
      </c>
      <c r="B144" s="330" t="str">
        <f>$B$11</f>
        <v>Apr</v>
      </c>
      <c r="C144" s="367"/>
      <c r="D144" s="342">
        <f>'qtrP&amp;L'!CD10</f>
        <v>517.61500000000001</v>
      </c>
      <c r="E144" s="330"/>
      <c r="F144" s="342">
        <f>'qtrP&amp;L'!CD20</f>
        <v>228.39600000000002</v>
      </c>
      <c r="G144" s="330"/>
      <c r="H144" s="342">
        <f>work!BZ10</f>
        <v>1553.7170000000001</v>
      </c>
      <c r="I144" s="330"/>
      <c r="J144" s="342">
        <f>AVERAGE(H144,H140)</f>
        <v>1577.4765000000002</v>
      </c>
      <c r="K144" s="330"/>
      <c r="L144" s="338">
        <f>(D144/D137-1)*100</f>
        <v>-22.219300354631244</v>
      </c>
      <c r="M144" s="367" t="s">
        <v>1970</v>
      </c>
      <c r="N144" s="338">
        <f>(H144/H137-1)*100</f>
        <v>5.9714247909172791</v>
      </c>
      <c r="O144" s="367" t="s">
        <v>1970</v>
      </c>
      <c r="P144" s="338">
        <f>(H144/H140-1)*100</f>
        <v>-2.9676449942419469</v>
      </c>
      <c r="Q144" s="367" t="s">
        <v>1970</v>
      </c>
      <c r="R144" s="359">
        <f>F144/J144</f>
        <v>0.14478567509563534</v>
      </c>
      <c r="S144" s="330" t="s">
        <v>1458</v>
      </c>
      <c r="T144" s="359">
        <f>F145/H144</f>
        <v>0.17702129795837979</v>
      </c>
      <c r="U144" s="330"/>
      <c r="V144" s="330">
        <f>qtrSales!J145</f>
        <v>209</v>
      </c>
      <c r="W144" s="330"/>
      <c r="X144" s="356">
        <f>H144/V144</f>
        <v>7.4340526315789477</v>
      </c>
      <c r="Y144" s="330"/>
      <c r="Z144" s="366">
        <f>(X144/X137-1)*100</f>
        <v>-2.6482604791573383</v>
      </c>
      <c r="AA144" s="367" t="s">
        <v>1970</v>
      </c>
      <c r="AB144" s="357">
        <f>Stores!AZ247</f>
        <v>0.94776000000000016</v>
      </c>
      <c r="AC144" s="330"/>
      <c r="AD144" s="358">
        <f>H144/AB144</f>
        <v>1639.3570102135559</v>
      </c>
      <c r="AE144" s="330"/>
      <c r="AF144" s="375">
        <f>(AD144/AD137-1)*100</f>
        <v>-2.32550700373928</v>
      </c>
      <c r="AG144" s="367" t="s">
        <v>1970</v>
      </c>
      <c r="AH144" s="370">
        <f>J144/(F144/(365/4))</f>
        <v>630.24190714811118</v>
      </c>
      <c r="AI144" s="330"/>
      <c r="AJ144" s="370"/>
    </row>
    <row r="145" spans="1:36">
      <c r="A145" s="330" t="str">
        <f>$A$47</f>
        <v>2Q</v>
      </c>
      <c r="B145" s="330" t="str">
        <f>$B$12</f>
        <v>Jul</v>
      </c>
      <c r="C145" s="330"/>
      <c r="D145" s="355">
        <f>'qtrP&amp;L'!CD11</f>
        <v>612.49300000000005</v>
      </c>
      <c r="E145" s="330"/>
      <c r="F145" s="355">
        <f>'qtrP&amp;L'!CD21</f>
        <v>275.041</v>
      </c>
      <c r="G145" s="330"/>
      <c r="H145" s="355">
        <f>work!BZ11</f>
        <v>1538.5139999999999</v>
      </c>
      <c r="I145" s="330"/>
      <c r="J145" s="355">
        <f>AVERAGE(H144:H145)</f>
        <v>1546.1154999999999</v>
      </c>
      <c r="K145" s="330"/>
      <c r="L145" s="338">
        <f>(D145/D138-1)*100</f>
        <v>-16.054761702442587</v>
      </c>
      <c r="M145" s="367"/>
      <c r="N145" s="338">
        <f>(H145/H138-1)*100</f>
        <v>1.7588881958779501</v>
      </c>
      <c r="O145" s="367"/>
      <c r="P145" s="338">
        <f>(H145/H144-1)*100</f>
        <v>-0.97849222220006693</v>
      </c>
      <c r="Q145" s="367"/>
      <c r="R145" s="359">
        <f>F145/J145</f>
        <v>0.17789162581967519</v>
      </c>
      <c r="S145" s="330"/>
      <c r="T145" s="359">
        <f>F146/H145</f>
        <v>0.17575985658889032</v>
      </c>
      <c r="U145" s="330"/>
      <c r="V145" s="330">
        <f>qtrSales!J146</f>
        <v>211</v>
      </c>
      <c r="W145" s="330"/>
      <c r="X145" s="359">
        <f>H145/V145</f>
        <v>7.2915355450236961</v>
      </c>
      <c r="Y145" s="330"/>
      <c r="Z145" s="366">
        <f>(X145/X138-1)*100</f>
        <v>-5.475155988663138</v>
      </c>
      <c r="AA145" s="367"/>
      <c r="AB145" s="357">
        <f>Stores!AZ248</f>
        <v>0.95046000000000019</v>
      </c>
      <c r="AC145" s="330"/>
      <c r="AD145" s="360">
        <f>H145/AB145</f>
        <v>1618.7046272331288</v>
      </c>
      <c r="AE145" s="330"/>
      <c r="AF145" s="375">
        <f>(AD145/AD138-1)*100</f>
        <v>-4.8843141305552891</v>
      </c>
      <c r="AG145" s="367"/>
      <c r="AH145" s="370">
        <f>J145/(F145/(365/4))</f>
        <v>512.95275749797293</v>
      </c>
      <c r="AI145" s="330"/>
      <c r="AJ145" s="370"/>
    </row>
    <row r="146" spans="1:36">
      <c r="A146" s="330" t="str">
        <f>$A$48</f>
        <v>3Q</v>
      </c>
      <c r="B146" s="330" t="str">
        <f>$B$13</f>
        <v>Oct</v>
      </c>
      <c r="C146" s="330"/>
      <c r="D146" s="355">
        <f>'qtrP&amp;L'!CD12</f>
        <v>598.21199999999999</v>
      </c>
      <c r="E146" s="330"/>
      <c r="F146" s="355">
        <f>'qtrP&amp;L'!CD22</f>
        <v>270.40899999999999</v>
      </c>
      <c r="G146" s="330"/>
      <c r="H146" s="355">
        <f>work!BZ12</f>
        <v>1541.8879999999999</v>
      </c>
      <c r="I146" s="330"/>
      <c r="J146" s="355">
        <f>AVERAGE(H145:H146)</f>
        <v>1540.201</v>
      </c>
      <c r="K146" s="330"/>
      <c r="L146" s="338">
        <f>(D146/D139-1)*100</f>
        <v>-2.9116192108440853</v>
      </c>
      <c r="M146" s="367"/>
      <c r="N146" s="338">
        <f>(H146/H139-1)*100</f>
        <v>-5.8951625257327116</v>
      </c>
      <c r="O146" s="367"/>
      <c r="P146" s="338">
        <f>(H146/H145-1)*100</f>
        <v>0.21930252178401499</v>
      </c>
      <c r="Q146" s="367"/>
      <c r="R146" s="359">
        <f>F146/J146</f>
        <v>0.17556734478162264</v>
      </c>
      <c r="S146" s="330"/>
      <c r="T146" s="359">
        <f>F147/H146</f>
        <v>0.2630794195168521</v>
      </c>
      <c r="U146" s="330"/>
      <c r="V146" s="330">
        <f>qtrSales!J147</f>
        <v>215</v>
      </c>
      <c r="W146" s="330"/>
      <c r="X146" s="359">
        <f>H146/V146</f>
        <v>7.1715720930232552</v>
      </c>
      <c r="Y146" s="330"/>
      <c r="Z146" s="366">
        <f>(X146/X139-1)*100</f>
        <v>-10.709828629067319</v>
      </c>
      <c r="AA146" s="367"/>
      <c r="AB146" s="357">
        <f>Stores!AZ249</f>
        <v>0.96635333333333351</v>
      </c>
      <c r="AC146" s="330"/>
      <c r="AD146" s="360">
        <f>H146/AB146</f>
        <v>1595.5737376942868</v>
      </c>
      <c r="AE146" s="330"/>
      <c r="AF146" s="375">
        <f>(AD146/AD139-1)*100</f>
        <v>-8.8824284935072768</v>
      </c>
      <c r="AG146" s="367"/>
      <c r="AH146" s="370">
        <f>J146/(F146/(365/4))</f>
        <v>519.74357824628612</v>
      </c>
      <c r="AI146" s="330"/>
      <c r="AJ146" s="370"/>
    </row>
    <row r="147" spans="1:36">
      <c r="A147" s="330" t="str">
        <f>$A$49</f>
        <v>4Q</v>
      </c>
      <c r="B147" s="330" t="str">
        <f>$B$14</f>
        <v>Jan</v>
      </c>
      <c r="C147" s="330"/>
      <c r="D147" s="361">
        <f>'qtrP&amp;L'!CD13</f>
        <v>981.38400000000001</v>
      </c>
      <c r="E147" s="330"/>
      <c r="F147" s="361">
        <f>'qtrP&amp;L'!CD23</f>
        <v>405.63900000000001</v>
      </c>
      <c r="G147" s="330"/>
      <c r="H147" s="355">
        <f>bal!$AQ$12</f>
        <v>1427.855</v>
      </c>
      <c r="I147" s="330"/>
      <c r="J147" s="361">
        <f>AVERAGE(H146:H147)</f>
        <v>1484.8715</v>
      </c>
      <c r="K147" s="330"/>
      <c r="L147" s="368">
        <f>(D147/D140-1)*100</f>
        <v>17.167168302504933</v>
      </c>
      <c r="M147" s="367"/>
      <c r="N147" s="366">
        <f>(H147/H140-1)*100</f>
        <v>-10.827947910239343</v>
      </c>
      <c r="O147" s="367"/>
      <c r="P147" s="338">
        <f>(H147/H146-1)*100</f>
        <v>-7.3956733563008363</v>
      </c>
      <c r="Q147" s="367"/>
      <c r="R147" s="359">
        <f>F147/J147</f>
        <v>0.27318121467076445</v>
      </c>
      <c r="S147" s="330"/>
      <c r="T147" s="1008">
        <f>F151/H147</f>
        <v>0.18736916563656675</v>
      </c>
      <c r="U147" s="330"/>
      <c r="V147" s="330">
        <f>qtrSales!J148</f>
        <v>220</v>
      </c>
      <c r="W147" s="330"/>
      <c r="X147" s="359">
        <f>H147/V147</f>
        <v>6.4902500000000005</v>
      </c>
      <c r="Y147" s="330"/>
      <c r="Z147" s="366">
        <f>(X147/X140-1)*100</f>
        <v>-16.502533043224112</v>
      </c>
      <c r="AA147" s="367"/>
      <c r="AB147" s="357">
        <f>Stores!AZ250</f>
        <v>0.98220000000000007</v>
      </c>
      <c r="AC147" s="330"/>
      <c r="AD147" s="360">
        <f>H147/AB147</f>
        <v>1453.7314192628792</v>
      </c>
      <c r="AE147" s="330"/>
      <c r="AF147" s="375">
        <f>(AD147/AD140-1)*100</f>
        <v>-15.113145282095076</v>
      </c>
      <c r="AG147" s="367"/>
      <c r="AH147" s="370">
        <f>J147/(F147/(365/4))</f>
        <v>334.02736022670399</v>
      </c>
      <c r="AI147" s="330"/>
      <c r="AJ147" s="370"/>
    </row>
    <row r="148" spans="1:36">
      <c r="A148" s="330"/>
      <c r="B148" s="330" t="str">
        <f>$B$50</f>
        <v>Year</v>
      </c>
      <c r="C148" s="330"/>
      <c r="D148" s="342">
        <f>'qtrP&amp;L'!CD14</f>
        <v>2709.7040000000002</v>
      </c>
      <c r="E148" s="330"/>
      <c r="F148" s="342">
        <f>'qtrP&amp;L'!CD24</f>
        <v>1179.4850000000001</v>
      </c>
      <c r="G148" s="330"/>
      <c r="H148" s="342"/>
      <c r="I148" s="330"/>
      <c r="J148" s="342">
        <f>AVERAGE(J144:J147)</f>
        <v>1537.166125</v>
      </c>
      <c r="K148" s="330"/>
      <c r="L148" s="338">
        <f>(D148/D141-1)*100</f>
        <v>-4.8845871276886559</v>
      </c>
      <c r="M148" s="367"/>
      <c r="N148" s="330"/>
      <c r="O148" s="367"/>
      <c r="P148" s="330"/>
      <c r="Q148" s="367"/>
      <c r="R148" s="369">
        <f>F148/J148</f>
        <v>0.76731134053581884</v>
      </c>
      <c r="S148" s="364" t="s">
        <v>1458</v>
      </c>
      <c r="T148" s="359"/>
      <c r="U148" s="330"/>
      <c r="V148" s="330"/>
      <c r="W148" s="330"/>
      <c r="X148" s="330"/>
      <c r="Y148" s="330"/>
      <c r="Z148" s="330"/>
      <c r="AA148" s="367"/>
      <c r="AB148" s="330"/>
      <c r="AC148" s="330"/>
      <c r="AD148" s="330"/>
      <c r="AE148" s="330"/>
      <c r="AF148" s="330"/>
      <c r="AG148" s="367"/>
      <c r="AH148" s="330"/>
      <c r="AI148" s="330"/>
      <c r="AJ148" s="330"/>
    </row>
    <row r="149" spans="1:36">
      <c r="A149" s="330"/>
      <c r="B149" s="330"/>
      <c r="C149" s="330"/>
      <c r="D149" s="342"/>
      <c r="E149" s="330"/>
      <c r="F149" s="342"/>
      <c r="G149" s="330"/>
      <c r="H149" s="342"/>
      <c r="I149" s="330"/>
      <c r="J149" s="342"/>
      <c r="K149" s="330"/>
      <c r="L149" s="338"/>
      <c r="M149" s="367"/>
      <c r="N149" s="330"/>
      <c r="O149" s="367"/>
      <c r="P149" s="330"/>
      <c r="Q149" s="367"/>
      <c r="R149" s="1005"/>
      <c r="S149" s="426"/>
      <c r="T149" s="359"/>
      <c r="U149" s="330"/>
      <c r="V149" s="330"/>
      <c r="W149" s="330"/>
      <c r="X149" s="330"/>
      <c r="Y149" s="330"/>
      <c r="Z149" s="330"/>
      <c r="AA149" s="367"/>
      <c r="AB149" s="330"/>
      <c r="AC149" s="330"/>
      <c r="AD149" s="330"/>
      <c r="AE149" s="330"/>
      <c r="AF149" s="330"/>
      <c r="AG149" s="367"/>
      <c r="AH149" s="330"/>
      <c r="AI149" s="330"/>
      <c r="AJ149" s="330"/>
    </row>
    <row r="150" spans="1:36">
      <c r="A150" s="330"/>
      <c r="B150" s="1007" t="s">
        <v>159</v>
      </c>
      <c r="C150" s="330"/>
      <c r="D150" s="330"/>
      <c r="E150" s="330"/>
      <c r="F150" s="330"/>
      <c r="G150" s="330"/>
      <c r="H150" s="330"/>
      <c r="I150" s="330"/>
      <c r="J150" s="330"/>
      <c r="K150" s="330"/>
      <c r="L150" s="330"/>
      <c r="M150" s="367"/>
      <c r="N150" s="330"/>
      <c r="O150" s="367"/>
      <c r="P150" s="330"/>
      <c r="Q150" s="367"/>
      <c r="R150" s="330"/>
      <c r="S150" s="330"/>
      <c r="T150" s="359"/>
      <c r="U150" s="330"/>
      <c r="V150" s="1006">
        <f>V153-V152</f>
        <v>2</v>
      </c>
      <c r="W150" s="330"/>
      <c r="X150" s="330"/>
      <c r="Y150" s="330"/>
      <c r="Z150" s="330"/>
      <c r="AA150" s="367"/>
      <c r="AB150" s="357"/>
      <c r="AC150" s="330"/>
      <c r="AD150" s="330"/>
      <c r="AE150" s="330"/>
      <c r="AF150" s="330"/>
      <c r="AG150" s="367"/>
      <c r="AH150" s="330"/>
      <c r="AI150" s="330"/>
      <c r="AJ150" s="330"/>
    </row>
    <row r="151" spans="1:36">
      <c r="A151" s="330" t="str">
        <f>$A$46</f>
        <v>1Q</v>
      </c>
      <c r="B151" s="330" t="str">
        <f>$B$11</f>
        <v>Apr</v>
      </c>
      <c r="C151" s="367"/>
      <c r="D151" s="342">
        <f>'qtrP&amp;L'!CH10</f>
        <v>633.58600000000001</v>
      </c>
      <c r="E151" s="330"/>
      <c r="F151" s="342">
        <f>'qtrP&amp;L'!CH20</f>
        <v>267.536</v>
      </c>
      <c r="G151" s="330"/>
      <c r="H151" s="342">
        <f>work!CD10</f>
        <v>1473.73</v>
      </c>
      <c r="I151" s="330"/>
      <c r="J151" s="342">
        <f>AVERAGE(H151,H147)</f>
        <v>1450.7925</v>
      </c>
      <c r="K151" s="330"/>
      <c r="L151" s="338">
        <f>(D151/D144-1)*100</f>
        <v>22.404876211083536</v>
      </c>
      <c r="M151" s="367" t="s">
        <v>1970</v>
      </c>
      <c r="N151" s="338">
        <f>(H151/H144-1)*100</f>
        <v>-5.1481061222861113</v>
      </c>
      <c r="O151" s="367" t="s">
        <v>1970</v>
      </c>
      <c r="P151" s="338">
        <f>(H151/H147-1)*100</f>
        <v>3.212861249916843</v>
      </c>
      <c r="Q151" s="367" t="s">
        <v>1970</v>
      </c>
      <c r="R151" s="359">
        <f>F151/J151</f>
        <v>0.18440679835331378</v>
      </c>
      <c r="S151" s="330" t="s">
        <v>1458</v>
      </c>
      <c r="T151" s="359">
        <f>F152/H151</f>
        <v>0.19116052465512678</v>
      </c>
      <c r="U151" s="330"/>
      <c r="V151" s="330">
        <f>qtrSales!J152</f>
        <v>221</v>
      </c>
      <c r="W151" s="330"/>
      <c r="X151" s="356">
        <f>H151/V151</f>
        <v>6.6684615384615382</v>
      </c>
      <c r="Y151" s="330"/>
      <c r="Z151" s="366">
        <f>(X151/X144-1)*100</f>
        <v>-10.298435201618993</v>
      </c>
      <c r="AA151" s="367" t="s">
        <v>1970</v>
      </c>
      <c r="AB151" s="357">
        <f>Stores!AZ254</f>
        <v>0.98362321428571442</v>
      </c>
      <c r="AC151" s="330"/>
      <c r="AD151" s="358">
        <f>H151/AB151</f>
        <v>1498.2667942319665</v>
      </c>
      <c r="AE151" s="330"/>
      <c r="AF151" s="375">
        <f>(AD151/AD144-1)*100</f>
        <v>-8.6064362492468849</v>
      </c>
      <c r="AG151" s="367" t="s">
        <v>1970</v>
      </c>
      <c r="AH151" s="370">
        <f>J151/(F151/(365/4))</f>
        <v>494.82991307711859</v>
      </c>
      <c r="AI151" s="330"/>
      <c r="AJ151" s="370"/>
    </row>
    <row r="152" spans="1:36">
      <c r="A152" s="330" t="str">
        <f>$A$47</f>
        <v>2Q</v>
      </c>
      <c r="B152" s="330" t="str">
        <f>$B$12</f>
        <v>Jul</v>
      </c>
      <c r="C152" s="330"/>
      <c r="D152" s="355">
        <f>'qtrP&amp;L'!CH11</f>
        <v>668.76</v>
      </c>
      <c r="E152" s="330"/>
      <c r="F152" s="355">
        <f>'qtrP&amp;L'!CH21</f>
        <v>281.71899999999999</v>
      </c>
      <c r="G152" s="330"/>
      <c r="H152" s="355">
        <f>work!CD11</f>
        <v>1553.117</v>
      </c>
      <c r="I152" s="330"/>
      <c r="J152" s="355">
        <f>AVERAGE(H151:H152)</f>
        <v>1513.4234999999999</v>
      </c>
      <c r="K152" s="330"/>
      <c r="L152" s="338">
        <f>(D152/D145-1)*100</f>
        <v>9.1865539687800322</v>
      </c>
      <c r="M152" s="367"/>
      <c r="N152" s="338">
        <f>(H152/H145-1)*100</f>
        <v>0.94916263355420138</v>
      </c>
      <c r="O152" s="367"/>
      <c r="P152" s="338">
        <f>(H152/H151-1)*100</f>
        <v>5.3868076241916807</v>
      </c>
      <c r="Q152" s="367"/>
      <c r="R152" s="359">
        <f>F152/J152</f>
        <v>0.18614683860796402</v>
      </c>
      <c r="S152" s="330"/>
      <c r="T152" s="359">
        <f>F153/H152</f>
        <v>0.18210604867501934</v>
      </c>
      <c r="U152" s="330"/>
      <c r="V152" s="330">
        <f>qtrSales!J153</f>
        <v>223</v>
      </c>
      <c r="W152" s="330"/>
      <c r="X152" s="359">
        <f>H152/V152</f>
        <v>6.9646502242152462</v>
      </c>
      <c r="Y152" s="330"/>
      <c r="Z152" s="366">
        <f>(X152/X145-1)*100</f>
        <v>-4.4830793018836967</v>
      </c>
      <c r="AA152" s="367"/>
      <c r="AB152" s="357">
        <f>Stores!AZ255</f>
        <v>0.98842321428571434</v>
      </c>
      <c r="AC152" s="330"/>
      <c r="AD152" s="360">
        <f>H152/AB152</f>
        <v>1571.3076924466636</v>
      </c>
      <c r="AE152" s="330"/>
      <c r="AF152" s="375">
        <f>(AD152/AD145-1)*100</f>
        <v>-2.9280780439530418</v>
      </c>
      <c r="AG152" s="367"/>
      <c r="AH152" s="370">
        <f>J152/(F152/(365/4))</f>
        <v>490.20440359010217</v>
      </c>
      <c r="AI152" s="330"/>
      <c r="AJ152" s="370"/>
    </row>
    <row r="153" spans="1:36">
      <c r="A153" s="330" t="str">
        <f>$A$48</f>
        <v>3Q</v>
      </c>
      <c r="B153" s="330" t="str">
        <f>$B$13</f>
        <v>Oct</v>
      </c>
      <c r="C153" s="330"/>
      <c r="D153" s="355">
        <f>'qtrP&amp;L'!CH12</f>
        <v>681.72900000000004</v>
      </c>
      <c r="E153" s="330"/>
      <c r="F153" s="355">
        <f>'qtrP&amp;L'!CH22</f>
        <v>282.83199999999999</v>
      </c>
      <c r="G153" s="330"/>
      <c r="H153" s="355">
        <f>work!CD12</f>
        <v>1654.5519999999999</v>
      </c>
      <c r="I153" s="330"/>
      <c r="J153" s="355">
        <f>AVERAGE(H152:H153)</f>
        <v>1603.8344999999999</v>
      </c>
      <c r="K153" s="330"/>
      <c r="L153" s="338">
        <f>(D153/D146-1)*100</f>
        <v>13.96110409018878</v>
      </c>
      <c r="M153" s="367"/>
      <c r="N153" s="338">
        <f>(H153/H146-1)*100</f>
        <v>7.3068861032707932</v>
      </c>
      <c r="O153" s="367"/>
      <c r="P153" s="338">
        <f>(H153/H152-1)*100</f>
        <v>6.5310597978130325</v>
      </c>
      <c r="Q153" s="367"/>
      <c r="R153" s="359">
        <f>F153/J153</f>
        <v>0.17634737250009275</v>
      </c>
      <c r="S153" s="330"/>
      <c r="T153" s="359">
        <f>F154/H153</f>
        <v>0.25983770833434067</v>
      </c>
      <c r="U153" s="330"/>
      <c r="V153" s="330">
        <f>qtrSales!J154</f>
        <v>225</v>
      </c>
      <c r="W153" s="330"/>
      <c r="X153" s="359">
        <f>H153/V153</f>
        <v>7.3535644444444443</v>
      </c>
      <c r="Y153" s="330"/>
      <c r="Z153" s="366">
        <f>(X153/X146-1)*100</f>
        <v>2.5376911653476553</v>
      </c>
      <c r="AA153" s="367"/>
      <c r="AB153" s="357">
        <f>Stores!AZ256</f>
        <v>0.99508000000000019</v>
      </c>
      <c r="AC153" s="330"/>
      <c r="AD153" s="360">
        <f>H153/AB153</f>
        <v>1662.732644611488</v>
      </c>
      <c r="AE153" s="330"/>
      <c r="AF153" s="375">
        <f>(AD153/AD146-1)*100</f>
        <v>4.2090757280982993</v>
      </c>
      <c r="AG153" s="367"/>
      <c r="AH153" s="370">
        <f>J153/(F153/(365/4))</f>
        <v>517.44462481260962</v>
      </c>
      <c r="AI153" s="330"/>
      <c r="AJ153" s="370"/>
    </row>
    <row r="154" spans="1:36">
      <c r="A154" s="330" t="str">
        <f>$A$49</f>
        <v>4Q</v>
      </c>
      <c r="B154" s="330" t="str">
        <f>$B$14</f>
        <v>Jan</v>
      </c>
      <c r="C154" s="330"/>
      <c r="D154" s="361">
        <f>'qtrP&amp;L'!CH13</f>
        <v>1101.2149999999999</v>
      </c>
      <c r="E154" s="330"/>
      <c r="F154" s="361">
        <f>'qtrP&amp;L'!CH23</f>
        <v>429.91500000000002</v>
      </c>
      <c r="G154" s="330"/>
      <c r="H154" s="355">
        <f>+bal!AS12</f>
        <v>1625.3019999999999</v>
      </c>
      <c r="I154" s="330"/>
      <c r="J154" s="361">
        <f>AVERAGE(H153:H154)</f>
        <v>1639.9269999999999</v>
      </c>
      <c r="K154" s="330"/>
      <c r="L154" s="368">
        <f>(D154/D147-1)*100</f>
        <v>12.210408973449738</v>
      </c>
      <c r="M154" s="367"/>
      <c r="N154" s="366">
        <f>(H154/H147-1)*100</f>
        <v>13.828224854764649</v>
      </c>
      <c r="O154" s="367"/>
      <c r="P154" s="338">
        <f>(H154/H153-1)*100</f>
        <v>-1.7678501491642407</v>
      </c>
      <c r="Q154" s="367"/>
      <c r="R154" s="359">
        <f>F154/J154</f>
        <v>0.2621549617757376</v>
      </c>
      <c r="S154" s="330"/>
      <c r="T154" s="1008">
        <f>F158/H154</f>
        <v>0.19510958578774898</v>
      </c>
      <c r="U154" s="330"/>
      <c r="V154" s="330">
        <f>qtrSales!J155</f>
        <v>233</v>
      </c>
      <c r="W154" s="330"/>
      <c r="X154" s="359">
        <f>H154/V154</f>
        <v>6.9755450643776822</v>
      </c>
      <c r="Y154" s="330"/>
      <c r="Z154" s="366">
        <f>(X154/X147-1)*100</f>
        <v>7.4772938542842171</v>
      </c>
      <c r="AA154" s="367"/>
      <c r="AB154" s="357">
        <f>Stores!AZ257</f>
        <v>1.0390999999999999</v>
      </c>
      <c r="AC154" s="330"/>
      <c r="AD154" s="360">
        <f>H154/AB154</f>
        <v>1564.1439707439131</v>
      </c>
      <c r="AE154" s="330"/>
      <c r="AF154" s="375">
        <f>(AD154/AD147-1)*100</f>
        <v>7.5951135139542547</v>
      </c>
      <c r="AG154" s="367"/>
      <c r="AH154" s="370">
        <f>J154/(F154/(365/4))</f>
        <v>348.07657036856119</v>
      </c>
      <c r="AI154" s="330"/>
      <c r="AJ154" s="370"/>
    </row>
    <row r="155" spans="1:36">
      <c r="A155" s="330"/>
      <c r="B155" s="330" t="str">
        <f>$B$50</f>
        <v>Year</v>
      </c>
      <c r="C155" s="330"/>
      <c r="D155" s="342">
        <f>'qtrP&amp;L'!CH14</f>
        <v>3085.29</v>
      </c>
      <c r="E155" s="330"/>
      <c r="F155" s="342">
        <f>'qtrP&amp;L'!CH24</f>
        <v>1262.002</v>
      </c>
      <c r="G155" s="330"/>
      <c r="H155" s="342"/>
      <c r="I155" s="330"/>
      <c r="J155" s="342">
        <f>AVERAGE(J151:J154)</f>
        <v>1551.9943749999998</v>
      </c>
      <c r="K155" s="330"/>
      <c r="L155" s="338">
        <f>(D155/D148-1)*100</f>
        <v>13.860775937150315</v>
      </c>
      <c r="M155" s="367"/>
      <c r="N155" s="330"/>
      <c r="O155" s="367"/>
      <c r="P155" s="330"/>
      <c r="Q155" s="367"/>
      <c r="R155" s="369">
        <f>F155/J155</f>
        <v>0.81314856569631588</v>
      </c>
      <c r="S155" s="364" t="s">
        <v>1458</v>
      </c>
      <c r="T155" s="359"/>
      <c r="U155" s="330"/>
      <c r="V155" s="330"/>
      <c r="W155" s="330"/>
      <c r="X155" s="330"/>
      <c r="Y155" s="330"/>
      <c r="Z155" s="330"/>
      <c r="AA155" s="367"/>
      <c r="AB155" s="330"/>
      <c r="AC155" s="330"/>
      <c r="AD155" s="330"/>
      <c r="AE155" s="330"/>
      <c r="AF155" s="330"/>
      <c r="AG155" s="367"/>
      <c r="AH155" s="330"/>
      <c r="AI155" s="330"/>
      <c r="AJ155" s="330"/>
    </row>
    <row r="156" spans="1:36">
      <c r="A156" s="330"/>
      <c r="B156" s="330"/>
      <c r="C156" s="330"/>
      <c r="D156" s="342"/>
      <c r="E156" s="330"/>
      <c r="F156" s="342"/>
      <c r="G156" s="330"/>
      <c r="H156" s="342"/>
      <c r="I156" s="330"/>
      <c r="J156" s="342"/>
      <c r="K156" s="330"/>
      <c r="L156" s="338"/>
      <c r="M156" s="367"/>
      <c r="N156" s="330"/>
      <c r="O156" s="367"/>
      <c r="P156" s="330"/>
      <c r="Q156" s="367"/>
      <c r="R156" s="1005"/>
      <c r="S156" s="426"/>
      <c r="T156" s="359"/>
      <c r="U156" s="330"/>
      <c r="V156" s="330"/>
      <c r="W156" s="330"/>
      <c r="X156" s="330"/>
      <c r="Y156" s="330"/>
      <c r="Z156" s="330"/>
      <c r="AA156" s="367"/>
      <c r="AB156" s="330"/>
      <c r="AC156" s="330"/>
      <c r="AD156" s="330"/>
      <c r="AE156" s="330"/>
      <c r="AF156" s="330"/>
      <c r="AG156" s="367"/>
      <c r="AH156" s="330"/>
      <c r="AI156" s="330"/>
      <c r="AJ156" s="330"/>
    </row>
    <row r="157" spans="1:36">
      <c r="A157" s="330"/>
      <c r="B157" s="1007" t="s">
        <v>1592</v>
      </c>
      <c r="C157" s="330"/>
      <c r="D157" s="330"/>
      <c r="E157" s="330"/>
      <c r="F157" s="330"/>
      <c r="G157" s="330"/>
      <c r="H157" s="330"/>
      <c r="I157" s="330"/>
      <c r="J157" s="330"/>
      <c r="K157" s="330"/>
      <c r="L157" s="330"/>
      <c r="M157" s="367"/>
      <c r="N157" s="330"/>
      <c r="O157" s="367"/>
      <c r="P157" s="330"/>
      <c r="Q157" s="367"/>
      <c r="R157" s="330"/>
      <c r="S157" s="330"/>
      <c r="T157" s="359"/>
      <c r="U157" s="330"/>
      <c r="V157" s="1006"/>
      <c r="W157" s="330"/>
      <c r="X157" s="330"/>
      <c r="Y157" s="330"/>
      <c r="Z157" s="330"/>
      <c r="AA157" s="367"/>
      <c r="AB157" s="357"/>
      <c r="AC157" s="330"/>
      <c r="AD157" s="330"/>
      <c r="AE157" s="330"/>
      <c r="AF157" s="330"/>
      <c r="AG157" s="367"/>
      <c r="AH157" s="330"/>
      <c r="AI157" s="330"/>
      <c r="AJ157" s="330"/>
    </row>
    <row r="158" spans="1:36">
      <c r="A158" s="330" t="str">
        <f>$A$46</f>
        <v>1Q</v>
      </c>
      <c r="B158" s="330" t="str">
        <f>$B$11</f>
        <v>Apr</v>
      </c>
      <c r="C158" s="367"/>
      <c r="D158" s="342">
        <f>'qtrP&amp;L'!CL10</f>
        <v>761.01800000000003</v>
      </c>
      <c r="E158" s="330"/>
      <c r="F158" s="342">
        <f>'qtrP&amp;L'!CL20</f>
        <v>317.11199999999997</v>
      </c>
      <c r="G158" s="330"/>
      <c r="H158" s="342">
        <f>+work!CH10</f>
        <v>1720.895</v>
      </c>
      <c r="I158" s="330"/>
      <c r="J158" s="342">
        <f>AVERAGE(H158,H154)</f>
        <v>1673.0985000000001</v>
      </c>
      <c r="K158" s="330"/>
      <c r="L158" s="338">
        <f>(D158/D151-1)*100</f>
        <v>20.112818149390922</v>
      </c>
      <c r="M158" s="367" t="s">
        <v>1970</v>
      </c>
      <c r="N158" s="338">
        <f>(H158/H151-1)*100</f>
        <v>16.77138960325162</v>
      </c>
      <c r="O158" s="367" t="s">
        <v>1970</v>
      </c>
      <c r="P158" s="338">
        <f>(H158/H154-1)*100</f>
        <v>5.881553089825764</v>
      </c>
      <c r="Q158" s="367" t="s">
        <v>1970</v>
      </c>
      <c r="R158" s="359">
        <f>F158/J158</f>
        <v>0.18953576253878654</v>
      </c>
      <c r="S158" s="330" t="s">
        <v>1458</v>
      </c>
      <c r="T158" s="359">
        <f>F159/H158</f>
        <v>0.20804000244059051</v>
      </c>
      <c r="U158" s="330"/>
      <c r="V158" s="330">
        <f>qtrSales!J159</f>
        <v>233</v>
      </c>
      <c r="W158" s="330"/>
      <c r="X158" s="356">
        <f>H158/V158</f>
        <v>7.3858154506437765</v>
      </c>
      <c r="Y158" s="330"/>
      <c r="Z158" s="366">
        <f>(X158/X151-1)*100</f>
        <v>10.75741245630304</v>
      </c>
      <c r="AA158" s="367" t="s">
        <v>1970</v>
      </c>
      <c r="AB158" s="357">
        <f>Stores!AZ261</f>
        <v>1.0302</v>
      </c>
      <c r="AC158" s="330"/>
      <c r="AD158" s="358">
        <f>H158/AB158</f>
        <v>1670.4474859250631</v>
      </c>
      <c r="AE158" s="330"/>
      <c r="AF158" s="375">
        <f>(AD158/AD151-1)*100</f>
        <v>11.491991436769379</v>
      </c>
      <c r="AG158" s="367" t="s">
        <v>1970</v>
      </c>
      <c r="AH158" s="370">
        <f>J158/(F158/(365/4))</f>
        <v>481.43948549723763</v>
      </c>
      <c r="AI158" s="330"/>
      <c r="AJ158" s="370"/>
    </row>
    <row r="159" spans="1:36">
      <c r="A159" s="330" t="str">
        <f>$A$47</f>
        <v>2Q</v>
      </c>
      <c r="B159" s="330" t="str">
        <f>$B$12</f>
        <v>Jul</v>
      </c>
      <c r="C159" s="330"/>
      <c r="D159" s="355">
        <f>'qtrP&amp;L'!CL11</f>
        <v>872.71199999999999</v>
      </c>
      <c r="E159" s="330"/>
      <c r="F159" s="355">
        <f>'qtrP&amp;L'!CL21</f>
        <v>358.01499999999999</v>
      </c>
      <c r="G159" s="330"/>
      <c r="H159" s="355">
        <f>+work!CH11</f>
        <v>1836.874</v>
      </c>
      <c r="I159" s="330"/>
      <c r="J159" s="355">
        <f>AVERAGE(H158:H159)</f>
        <v>1778.8845000000001</v>
      </c>
      <c r="K159" s="330"/>
      <c r="L159" s="338">
        <f>(D159/D152-1)*100</f>
        <v>30.497039296608651</v>
      </c>
      <c r="M159" s="367"/>
      <c r="N159" s="338">
        <f>(H159/H152-1)*100</f>
        <v>18.270162518342147</v>
      </c>
      <c r="O159" s="367"/>
      <c r="P159" s="338">
        <f>(H159/H158-1)*100</f>
        <v>6.7394582470168274</v>
      </c>
      <c r="Q159" s="367"/>
      <c r="R159" s="359">
        <f>F159/J159</f>
        <v>0.20125814801354441</v>
      </c>
      <c r="S159" s="330"/>
      <c r="T159" s="359">
        <f>F160/H159</f>
        <v>0.18831885039474672</v>
      </c>
      <c r="U159" s="330"/>
      <c r="V159" s="330">
        <f>qtrSales!J160</f>
        <v>237</v>
      </c>
      <c r="W159" s="330"/>
      <c r="X159" s="359">
        <f>H159/V159</f>
        <v>7.7505232067510548</v>
      </c>
      <c r="Y159" s="330"/>
      <c r="Z159" s="366">
        <f>(X159/X152-1)*100</f>
        <v>11.283739415992834</v>
      </c>
      <c r="AA159" s="367"/>
      <c r="AB159" s="357">
        <f>Stores!AZ262</f>
        <v>1.0427999999999999</v>
      </c>
      <c r="AC159" s="330"/>
      <c r="AD159" s="360">
        <f>H159/AB159</f>
        <v>1761.4825469888763</v>
      </c>
      <c r="AE159" s="330"/>
      <c r="AF159" s="375">
        <f>(AD159/AD152-1)*100</f>
        <v>12.102967194546977</v>
      </c>
      <c r="AG159" s="367"/>
      <c r="AH159" s="370">
        <f>J159/(F159/(365/4))</f>
        <v>453.39779234110307</v>
      </c>
      <c r="AI159" s="330"/>
      <c r="AJ159" s="370"/>
    </row>
    <row r="160" spans="1:36">
      <c r="A160" s="330" t="str">
        <f>$A$48</f>
        <v>3Q</v>
      </c>
      <c r="B160" s="330" t="str">
        <f>$B$13</f>
        <v>Oct</v>
      </c>
      <c r="C160" s="330"/>
      <c r="D160" s="355">
        <f>'qtrP&amp;L'!CL12</f>
        <v>821.76700000000005</v>
      </c>
      <c r="E160" s="330"/>
      <c r="F160" s="355">
        <f>'qtrP&amp;L'!CL22</f>
        <v>345.91800000000001</v>
      </c>
      <c r="G160" s="330"/>
      <c r="H160" s="355">
        <f>+work!CH12</f>
        <v>2065.4659999999999</v>
      </c>
      <c r="I160" s="330"/>
      <c r="J160" s="355">
        <f>AVERAGE(H159:H160)</f>
        <v>1951.17</v>
      </c>
      <c r="K160" s="330"/>
      <c r="L160" s="338">
        <f>(D160/D153-1)*100</f>
        <v>20.541593507097389</v>
      </c>
      <c r="M160" s="367"/>
      <c r="N160" s="338">
        <f>(H160/H153-1)*100</f>
        <v>24.835363288672706</v>
      </c>
      <c r="O160" s="367"/>
      <c r="P160" s="338">
        <f>(H160/H159-1)*100</f>
        <v>12.444620589109533</v>
      </c>
      <c r="Q160" s="367"/>
      <c r="R160" s="359">
        <f>F160/J160</f>
        <v>0.17728747366964437</v>
      </c>
      <c r="S160" s="330"/>
      <c r="T160" s="359">
        <f>F161/H160</f>
        <v>0.22780573488016748</v>
      </c>
      <c r="U160" s="330"/>
      <c r="V160" s="330">
        <f>qtrSales!J161</f>
        <v>243</v>
      </c>
      <c r="W160" s="330"/>
      <c r="X160" s="359">
        <f>H160/V160</f>
        <v>8.4998600823045258</v>
      </c>
      <c r="Y160" s="330"/>
      <c r="Z160" s="366">
        <f>(X160/X153-1)*100</f>
        <v>15.588299341363609</v>
      </c>
      <c r="AA160" s="367"/>
      <c r="AB160" s="357">
        <f>Stores!AZ263</f>
        <v>1.0576285714285716</v>
      </c>
      <c r="AC160" s="330"/>
      <c r="AD160" s="360">
        <f>H160/AB160</f>
        <v>1952.9219007483046</v>
      </c>
      <c r="AE160" s="330"/>
      <c r="AF160" s="375">
        <f>(AD160/AD153-1)*100</f>
        <v>17.45255059959576</v>
      </c>
      <c r="AG160" s="367"/>
      <c r="AH160" s="370">
        <f>J160/(F160/(365/4))</f>
        <v>514.70077446099936</v>
      </c>
      <c r="AI160" s="330"/>
      <c r="AJ160" s="370"/>
    </row>
    <row r="161" spans="1:36">
      <c r="A161" s="330" t="str">
        <f>$A$49</f>
        <v>4Q</v>
      </c>
      <c r="B161" s="330" t="str">
        <f>$B$14</f>
        <v>Jan</v>
      </c>
      <c r="C161" s="330"/>
      <c r="D161" s="361">
        <f>'qtrP&amp;L'!CL13</f>
        <v>1187.44</v>
      </c>
      <c r="E161" s="330"/>
      <c r="F161" s="361">
        <f>'qtrP&amp;L'!CL23</f>
        <v>470.52499999999998</v>
      </c>
      <c r="G161" s="330"/>
      <c r="H161" s="355">
        <f>+work!CH13</f>
        <v>2073.212</v>
      </c>
      <c r="I161" s="330"/>
      <c r="J161" s="361">
        <f>AVERAGE(H160:H161)</f>
        <v>2069.3389999999999</v>
      </c>
      <c r="K161" s="330"/>
      <c r="L161" s="368">
        <f>(D161/D154-1)*100</f>
        <v>7.8299877862179734</v>
      </c>
      <c r="M161" s="367"/>
      <c r="N161" s="374">
        <f>(H161/H154-1)*100</f>
        <v>27.558570653330893</v>
      </c>
      <c r="O161" s="367"/>
      <c r="P161" s="338">
        <f>(H161/H160-1)*100</f>
        <v>0.37502432865028634</v>
      </c>
      <c r="Q161" s="367"/>
      <c r="R161" s="359">
        <f>F161/J161</f>
        <v>0.22737937090056293</v>
      </c>
      <c r="S161" s="330"/>
      <c r="T161" s="1008">
        <f>F165/H161</f>
        <v>0.16889348508497926</v>
      </c>
      <c r="U161" s="330"/>
      <c r="V161" s="330">
        <f>qtrSales!J162</f>
        <v>248</v>
      </c>
      <c r="W161" s="330"/>
      <c r="X161" s="359">
        <f>H161/V161</f>
        <v>8.3597258064516122</v>
      </c>
      <c r="Y161" s="330"/>
      <c r="Z161" s="366">
        <f>(X161/X154-1)*100</f>
        <v>19.843334525105227</v>
      </c>
      <c r="AA161" s="367"/>
      <c r="AB161" s="357">
        <f>Stores!AZ264</f>
        <v>1.0667</v>
      </c>
      <c r="AC161" s="330"/>
      <c r="AD161" s="360">
        <f>H161/AB161</f>
        <v>1943.5755132652105</v>
      </c>
      <c r="AE161" s="330"/>
      <c r="AF161" s="375">
        <f>(AD161/AD154-1)*100</f>
        <v>24.258095777515809</v>
      </c>
      <c r="AG161" s="367"/>
      <c r="AH161" s="370">
        <f>J161/(F161/(365/4))</f>
        <v>401.31169172732592</v>
      </c>
      <c r="AI161" s="330"/>
      <c r="AJ161" s="370"/>
    </row>
    <row r="162" spans="1:36">
      <c r="A162" s="330"/>
      <c r="B162" s="330" t="str">
        <f>$B$50</f>
        <v>Year</v>
      </c>
      <c r="C162" s="330"/>
      <c r="D162" s="342">
        <f>SUM(D158:D161)</f>
        <v>3642.9370000000004</v>
      </c>
      <c r="E162" s="330"/>
      <c r="F162" s="342">
        <f>SUM(F158:F161)</f>
        <v>1491.57</v>
      </c>
      <c r="G162" s="330"/>
      <c r="H162" s="342"/>
      <c r="I162" s="330"/>
      <c r="J162" s="342">
        <f>AVERAGE(J158:J161)</f>
        <v>1868.123</v>
      </c>
      <c r="K162" s="330"/>
      <c r="L162" s="338">
        <f>(D162/D155-1)*100</f>
        <v>18.074378745596054</v>
      </c>
      <c r="M162" s="367"/>
      <c r="N162" s="330"/>
      <c r="O162" s="367"/>
      <c r="P162" s="330"/>
      <c r="Q162" s="367"/>
      <c r="R162" s="369">
        <f>F162/J162</f>
        <v>0.79843243726456981</v>
      </c>
      <c r="S162" s="364" t="s">
        <v>1458</v>
      </c>
      <c r="T162" s="359"/>
      <c r="U162" s="330"/>
      <c r="V162" s="330"/>
      <c r="W162" s="330"/>
      <c r="X162" s="330"/>
      <c r="Y162" s="330"/>
      <c r="Z162" s="330"/>
      <c r="AA162" s="367"/>
      <c r="AB162" s="330"/>
      <c r="AC162" s="330"/>
      <c r="AD162" s="330"/>
      <c r="AE162" s="330"/>
      <c r="AF162" s="330"/>
      <c r="AG162" s="367"/>
      <c r="AH162" s="330"/>
      <c r="AI162" s="330"/>
      <c r="AJ162" s="330"/>
    </row>
    <row r="163" spans="1:36">
      <c r="A163" s="330"/>
      <c r="B163" s="330"/>
      <c r="C163" s="330"/>
      <c r="D163" s="342"/>
      <c r="E163" s="330"/>
      <c r="F163" s="342"/>
      <c r="G163" s="330"/>
      <c r="H163" s="342"/>
      <c r="I163" s="330"/>
      <c r="J163" s="342"/>
      <c r="K163" s="330"/>
      <c r="L163" s="338"/>
      <c r="M163" s="367"/>
      <c r="N163" s="330"/>
      <c r="O163" s="367"/>
      <c r="P163" s="330"/>
      <c r="Q163" s="367"/>
      <c r="R163" s="1005"/>
      <c r="S163" s="426"/>
      <c r="T163" s="359"/>
      <c r="U163" s="330"/>
      <c r="V163" s="330"/>
      <c r="W163" s="330"/>
      <c r="X163" s="330"/>
      <c r="Y163" s="330"/>
      <c r="Z163" s="330"/>
      <c r="AA163" s="367"/>
      <c r="AB163" s="330"/>
      <c r="AC163" s="330"/>
      <c r="AD163" s="330"/>
      <c r="AE163" s="330"/>
      <c r="AF163" s="330"/>
      <c r="AG163" s="367"/>
      <c r="AH163" s="330"/>
      <c r="AI163" s="330"/>
      <c r="AJ163" s="330"/>
    </row>
    <row r="164" spans="1:36">
      <c r="A164" s="330"/>
      <c r="B164" s="365">
        <v>2012</v>
      </c>
      <c r="C164" s="330"/>
      <c r="D164" s="330"/>
      <c r="E164" s="330"/>
      <c r="F164" s="330"/>
      <c r="G164" s="330"/>
      <c r="H164" s="330"/>
      <c r="I164" s="330"/>
      <c r="J164" s="330"/>
      <c r="K164" s="330"/>
      <c r="L164" s="330"/>
      <c r="M164" s="367"/>
      <c r="N164" s="330"/>
      <c r="O164" s="367"/>
      <c r="P164" s="330"/>
      <c r="Q164" s="367"/>
      <c r="R164" s="330"/>
      <c r="S164" s="330"/>
      <c r="T164" s="359"/>
      <c r="U164" s="330"/>
      <c r="V164" s="1006"/>
      <c r="W164" s="330"/>
      <c r="X164" s="330"/>
      <c r="Y164" s="330"/>
      <c r="Z164" s="330"/>
      <c r="AA164" s="367"/>
      <c r="AB164" s="357"/>
      <c r="AC164" s="330"/>
      <c r="AD164" s="330"/>
      <c r="AE164" s="330"/>
      <c r="AF164" s="330"/>
      <c r="AG164" s="367"/>
      <c r="AH164" s="330"/>
      <c r="AI164" s="330"/>
      <c r="AJ164" s="330"/>
    </row>
    <row r="165" spans="1:36">
      <c r="A165" s="330" t="str">
        <f>$A$46</f>
        <v>1Q</v>
      </c>
      <c r="B165" s="330" t="str">
        <f>$B$11</f>
        <v>Apr</v>
      </c>
      <c r="C165" s="367"/>
      <c r="D165" s="342">
        <f>+'qtrP&amp;L'!CP10</f>
        <v>819.17</v>
      </c>
      <c r="E165" s="330"/>
      <c r="F165" s="342">
        <f>+'qtrP&amp;L'!CP20</f>
        <v>350.15199999999999</v>
      </c>
      <c r="G165" s="330"/>
      <c r="H165" s="342">
        <f>+work!CL10</f>
        <v>2189.8690000000001</v>
      </c>
      <c r="I165" s="330"/>
      <c r="J165" s="342">
        <f>AVERAGE(H165,H161)</f>
        <v>2131.5405000000001</v>
      </c>
      <c r="K165" s="330"/>
      <c r="L165" s="338">
        <f>(D165/D158-1)*100</f>
        <v>7.6413435687460618</v>
      </c>
      <c r="M165" s="367" t="s">
        <v>1970</v>
      </c>
      <c r="N165" s="338">
        <f>(H165/H158-1)*100</f>
        <v>27.251749816229353</v>
      </c>
      <c r="O165" s="367" t="s">
        <v>1970</v>
      </c>
      <c r="P165" s="338">
        <f>(H165/H161-1)*100</f>
        <v>5.6268726980164274</v>
      </c>
      <c r="Q165" s="367" t="s">
        <v>1970</v>
      </c>
      <c r="R165" s="359">
        <f>F165/J165</f>
        <v>0.16427180248275836</v>
      </c>
      <c r="S165" s="330" t="s">
        <v>1458</v>
      </c>
      <c r="T165" s="359">
        <f>F166/H165</f>
        <v>0.17690875572922396</v>
      </c>
      <c r="U165" s="330"/>
      <c r="V165" s="330">
        <f>qtrSales!J166</f>
        <v>252</v>
      </c>
      <c r="W165" s="330"/>
      <c r="X165" s="356">
        <f>H165/V165</f>
        <v>8.6899563492063496</v>
      </c>
      <c r="Y165" s="330"/>
      <c r="Z165" s="366">
        <f>(X165/X158-1)*100</f>
        <v>17.657371853894599</v>
      </c>
      <c r="AA165" s="367" t="s">
        <v>1970</v>
      </c>
      <c r="AB165" s="357">
        <f>Stores!AZ268</f>
        <v>1.08605</v>
      </c>
      <c r="AC165" s="330"/>
      <c r="AD165" s="358">
        <f>H165/AB165</f>
        <v>2016.3611251783989</v>
      </c>
      <c r="AE165" s="330"/>
      <c r="AF165" s="375">
        <f>(AD165/AD158-1)*100</f>
        <v>20.707842788710895</v>
      </c>
      <c r="AG165" s="367" t="s">
        <v>1970</v>
      </c>
      <c r="AH165" s="370">
        <f>J165/(F165/(365/4))</f>
        <v>555.4818211091183</v>
      </c>
      <c r="AI165" s="330"/>
      <c r="AJ165" s="370"/>
    </row>
    <row r="166" spans="1:36">
      <c r="A166" s="330" t="str">
        <f>$A$47</f>
        <v>2Q</v>
      </c>
      <c r="B166" s="330" t="str">
        <f>$B$12</f>
        <v>Jul</v>
      </c>
      <c r="C166" s="330"/>
      <c r="D166" s="355">
        <f>+'qtrP&amp;L'!CP11</f>
        <v>886.56899999999996</v>
      </c>
      <c r="E166" s="330"/>
      <c r="F166" s="355">
        <f>+'qtrP&amp;L'!CP21</f>
        <v>387.40699999999998</v>
      </c>
      <c r="G166" s="330"/>
      <c r="H166" s="355">
        <f>+work!CL11</f>
        <v>2230.4740000000002</v>
      </c>
      <c r="I166" s="330"/>
      <c r="J166" s="355">
        <f>AVERAGE(H165:H166)</f>
        <v>2210.1715000000004</v>
      </c>
      <c r="K166" s="330"/>
      <c r="L166" s="338">
        <f>(D166/D159-1)*100</f>
        <v>1.5878090366581388</v>
      </c>
      <c r="M166" s="367"/>
      <c r="N166" s="338">
        <f>(H166/H159-1)*100</f>
        <v>21.427708160712179</v>
      </c>
      <c r="O166" s="367"/>
      <c r="P166" s="338">
        <f>(H166/H165-1)*100</f>
        <v>1.8542205036009118</v>
      </c>
      <c r="Q166" s="367"/>
      <c r="R166" s="359">
        <f>F166/J166</f>
        <v>0.17528368273683737</v>
      </c>
      <c r="S166" s="330"/>
      <c r="T166" s="359">
        <f>F167/H166</f>
        <v>0.17415670391136592</v>
      </c>
      <c r="U166" s="330"/>
      <c r="V166" s="330">
        <f>qtrSales!J167</f>
        <v>261</v>
      </c>
      <c r="W166" s="330"/>
      <c r="X166" s="359">
        <f>H166/V166</f>
        <v>8.5458773946360154</v>
      </c>
      <c r="Y166" s="330"/>
      <c r="Z166" s="366">
        <f>(X166/X159-1)*100</f>
        <v>10.261941893060467</v>
      </c>
      <c r="AA166" s="367"/>
      <c r="AB166" s="357">
        <f>Stores!AZ269</f>
        <v>1.0978000000000001</v>
      </c>
      <c r="AC166" s="330"/>
      <c r="AD166" s="360">
        <f>H166/AB166</f>
        <v>2031.7671707050465</v>
      </c>
      <c r="AE166" s="330"/>
      <c r="AF166" s="375">
        <f>(AD166/AD159-1)*100</f>
        <v>15.344155647650437</v>
      </c>
      <c r="AG166" s="367"/>
      <c r="AH166" s="370">
        <f>J166/(F166/(365/4))</f>
        <v>520.5846806459358</v>
      </c>
      <c r="AI166" s="330"/>
      <c r="AJ166" s="370"/>
    </row>
    <row r="167" spans="1:36">
      <c r="A167" s="330" t="str">
        <f>$A$48</f>
        <v>3Q</v>
      </c>
      <c r="B167" s="330" t="str">
        <f>$B$13</f>
        <v>Oct</v>
      </c>
      <c r="C167" s="330"/>
      <c r="D167" s="355">
        <f>+'qtrP&amp;L'!CP12</f>
        <v>852.74099999999999</v>
      </c>
      <c r="E167" s="330"/>
      <c r="F167" s="355">
        <f>+'qtrP&amp;L'!CP22</f>
        <v>388.452</v>
      </c>
      <c r="G167" s="330"/>
      <c r="H167" s="355">
        <f>+work!CL12</f>
        <v>2289.5709999999999</v>
      </c>
      <c r="I167" s="330"/>
      <c r="J167" s="355">
        <f>AVERAGE(H166:H167)</f>
        <v>2260.0225</v>
      </c>
      <c r="K167" s="330"/>
      <c r="L167" s="338">
        <f>(D167/D160-1)*100</f>
        <v>3.769194917780827</v>
      </c>
      <c r="M167" s="367"/>
      <c r="N167" s="338">
        <f>(H167/H160-1)*100</f>
        <v>10.850093877120216</v>
      </c>
      <c r="O167" s="367"/>
      <c r="P167" s="338">
        <f>(H167/H166-1)*100</f>
        <v>2.6495265131985191</v>
      </c>
      <c r="Q167" s="367"/>
      <c r="R167" s="359">
        <f>F167/J167</f>
        <v>0.17187970473745284</v>
      </c>
      <c r="S167" s="330"/>
      <c r="T167" s="359">
        <f>F168/H167</f>
        <v>0.22054524624918817</v>
      </c>
      <c r="U167" s="330"/>
      <c r="V167" s="330">
        <f>qtrSales!J168</f>
        <v>274</v>
      </c>
      <c r="W167" s="330"/>
      <c r="X167" s="359">
        <f>H167/V167</f>
        <v>8.356098540145986</v>
      </c>
      <c r="Y167" s="330"/>
      <c r="Z167" s="366">
        <f>(X167/X160-1)*100</f>
        <v>-1.6913401016780294</v>
      </c>
      <c r="AA167" s="367"/>
      <c r="AB167" s="357">
        <f>Stores!AZ270</f>
        <v>1.1379609090909091</v>
      </c>
      <c r="AC167" s="330"/>
      <c r="AD167" s="360">
        <f>H167/AB167</f>
        <v>2011.9944206423452</v>
      </c>
      <c r="AE167" s="330"/>
      <c r="AF167" s="375">
        <f>(AD167/AD160-1)*100</f>
        <v>3.0248275607644981</v>
      </c>
      <c r="AG167" s="367"/>
      <c r="AH167" s="370">
        <f>J167/(F167/(365/4))</f>
        <v>530.89455872282815</v>
      </c>
      <c r="AI167" s="330"/>
      <c r="AJ167" s="370"/>
    </row>
    <row r="168" spans="1:36">
      <c r="A168" s="330" t="str">
        <f>$A$49</f>
        <v>4Q</v>
      </c>
      <c r="B168" s="330" t="str">
        <f>$B$14</f>
        <v>Jan</v>
      </c>
      <c r="C168" s="330"/>
      <c r="D168" s="361">
        <f>+'qtrP&amp;L'!CP13</f>
        <v>1235.769</v>
      </c>
      <c r="E168" s="330"/>
      <c r="F168" s="361">
        <f>+'qtrP&amp;L'!CP23</f>
        <v>504.95400000000001</v>
      </c>
      <c r="G168" s="330"/>
      <c r="H168" s="355">
        <f>+work!CL13</f>
        <v>2234.3339999999998</v>
      </c>
      <c r="I168" s="330"/>
      <c r="J168" s="361">
        <f>AVERAGE(H167:H168)</f>
        <v>2261.9524999999999</v>
      </c>
      <c r="K168" s="330"/>
      <c r="L168" s="368">
        <f>(D168/D161-1)*100</f>
        <v>4.070016169238011</v>
      </c>
      <c r="M168" s="367"/>
      <c r="N168" s="366">
        <f>(H168/H161-1)*100</f>
        <v>7.7716123580222396</v>
      </c>
      <c r="O168" s="367"/>
      <c r="P168" s="338">
        <f>(H168/H167-1)*100</f>
        <v>-2.4125480275562605</v>
      </c>
      <c r="Q168" s="367"/>
      <c r="R168" s="359">
        <f>F168/J168</f>
        <v>0.22323810955358259</v>
      </c>
      <c r="S168" s="330"/>
      <c r="T168" s="376" t="s">
        <v>814</v>
      </c>
      <c r="U168" s="330"/>
      <c r="V168" s="330">
        <f>qtrSales!J169</f>
        <v>276</v>
      </c>
      <c r="W168" s="330"/>
      <c r="X168" s="359">
        <f>H168/V168</f>
        <v>8.0954130434782599</v>
      </c>
      <c r="Y168" s="330"/>
      <c r="Z168" s="366">
        <f>(X168/X161-1)*100</f>
        <v>-3.1617396203278525</v>
      </c>
      <c r="AA168" s="367"/>
      <c r="AB168" s="357">
        <f>Stores!AZ271</f>
        <v>1.1447499999999999</v>
      </c>
      <c r="AC168" s="330"/>
      <c r="AD168" s="360">
        <f>H168/AB168</f>
        <v>1951.809565407294</v>
      </c>
      <c r="AE168" s="330"/>
      <c r="AF168" s="375">
        <f>(AD168/AD161-1)*100</f>
        <v>0.42365486115074624</v>
      </c>
      <c r="AG168" s="367"/>
      <c r="AH168" s="370">
        <f>J168/(F168/(365/4))</f>
        <v>408.75637310527293</v>
      </c>
      <c r="AI168" s="330"/>
      <c r="AJ168" s="370"/>
    </row>
    <row r="169" spans="1:36">
      <c r="A169" s="330"/>
      <c r="B169" s="330" t="str">
        <f>$B$50</f>
        <v>Year</v>
      </c>
      <c r="C169" s="330"/>
      <c r="D169" s="342">
        <f>SUM(D165:D168)</f>
        <v>3794.2489999999998</v>
      </c>
      <c r="E169" s="330"/>
      <c r="F169" s="342">
        <f>SUM(F165:F168)</f>
        <v>1630.9649999999999</v>
      </c>
      <c r="G169" s="330"/>
      <c r="H169" s="342"/>
      <c r="I169" s="330"/>
      <c r="J169" s="342">
        <f>AVERAGE(J165:J168)</f>
        <v>2215.92175</v>
      </c>
      <c r="K169" s="330"/>
      <c r="L169" s="338">
        <f>(D169/D162-1)*100</f>
        <v>4.1535716922911137</v>
      </c>
      <c r="M169" s="367"/>
      <c r="N169" s="330"/>
      <c r="O169" s="367"/>
      <c r="P169" s="330"/>
      <c r="Q169" s="367"/>
      <c r="R169" s="369">
        <f>F169/J169</f>
        <v>0.73602102601321551</v>
      </c>
      <c r="S169" s="364" t="s">
        <v>1458</v>
      </c>
      <c r="T169" s="359"/>
      <c r="U169" s="330"/>
      <c r="V169" s="330"/>
      <c r="W169" s="330"/>
      <c r="X169" s="330"/>
      <c r="Y169" s="330"/>
      <c r="Z169" s="330"/>
      <c r="AA169" s="367"/>
      <c r="AB169" s="330"/>
      <c r="AC169" s="330"/>
      <c r="AD169" s="330"/>
      <c r="AE169" s="330"/>
      <c r="AF169" s="330"/>
      <c r="AG169" s="367"/>
      <c r="AH169" s="330"/>
      <c r="AI169" s="330"/>
      <c r="AJ169" s="330"/>
    </row>
    <row r="170" spans="1:36">
      <c r="A170" s="330"/>
      <c r="B170" s="330"/>
      <c r="C170" s="330"/>
      <c r="D170" s="342"/>
      <c r="E170" s="330"/>
      <c r="F170" s="342"/>
      <c r="G170" s="330"/>
      <c r="H170" s="342"/>
      <c r="I170" s="330"/>
      <c r="J170" s="342"/>
      <c r="K170" s="330"/>
      <c r="L170" s="338"/>
      <c r="M170" s="367"/>
      <c r="N170" s="330"/>
      <c r="O170" s="367"/>
      <c r="P170" s="330"/>
      <c r="Q170" s="367"/>
      <c r="R170" s="1005"/>
      <c r="S170" s="426"/>
      <c r="T170" s="359"/>
      <c r="U170" s="330"/>
      <c r="V170" s="330"/>
      <c r="W170" s="330"/>
      <c r="X170" s="330"/>
      <c r="Y170" s="330"/>
      <c r="Z170" s="330"/>
      <c r="AA170" s="367"/>
      <c r="AB170" s="330"/>
      <c r="AC170" s="330"/>
      <c r="AD170" s="330"/>
      <c r="AE170" s="330"/>
      <c r="AF170" s="330"/>
      <c r="AG170" s="367"/>
      <c r="AH170" s="330"/>
      <c r="AI170" s="330"/>
      <c r="AJ170" s="330"/>
    </row>
    <row r="171" spans="1:36">
      <c r="A171" s="405"/>
      <c r="B171" s="365">
        <v>2013</v>
      </c>
      <c r="C171" s="405"/>
      <c r="D171" s="405"/>
      <c r="E171" s="405"/>
      <c r="F171" s="405"/>
      <c r="G171" s="405"/>
      <c r="H171" s="405"/>
      <c r="I171" s="405"/>
      <c r="J171" s="405"/>
      <c r="K171" s="405"/>
      <c r="L171" s="405"/>
      <c r="M171" s="580"/>
      <c r="N171" s="405"/>
      <c r="O171" s="580"/>
      <c r="P171" s="405"/>
      <c r="Q171" s="580"/>
      <c r="R171" s="405"/>
      <c r="S171" s="405"/>
      <c r="T171" s="1653"/>
      <c r="U171" s="405"/>
      <c r="V171" s="1654"/>
      <c r="W171" s="405"/>
      <c r="X171" s="405"/>
      <c r="Y171" s="405"/>
      <c r="Z171" s="405"/>
      <c r="AA171" s="580"/>
      <c r="AB171" s="792"/>
      <c r="AC171" s="405"/>
      <c r="AD171" s="405"/>
      <c r="AE171" s="405"/>
      <c r="AF171" s="405"/>
      <c r="AG171" s="580"/>
      <c r="AH171" s="405"/>
      <c r="AI171" s="405"/>
      <c r="AJ171" s="405"/>
    </row>
    <row r="172" spans="1:36">
      <c r="A172" s="405" t="str">
        <f>$A$46</f>
        <v>1Q</v>
      </c>
      <c r="B172" s="405" t="str">
        <f>$B$11</f>
        <v>Apr</v>
      </c>
      <c r="C172" s="580"/>
      <c r="D172" s="1655">
        <f>+'qtrP&amp;L'!CT10</f>
        <v>895.48400000000004</v>
      </c>
      <c r="E172" s="405"/>
      <c r="F172" s="1655">
        <f>+'qtrP&amp;L'!CT20</f>
        <v>392.26</v>
      </c>
      <c r="G172" s="405"/>
      <c r="H172" s="342">
        <f>work!CP10</f>
        <v>2280.39</v>
      </c>
      <c r="I172" s="405"/>
      <c r="J172" s="1655">
        <f>AVERAGE(H172,H168)</f>
        <v>2257.3620000000001</v>
      </c>
      <c r="K172" s="405"/>
      <c r="L172" s="412">
        <f>(D172/D165-1)*100</f>
        <v>9.316014990783362</v>
      </c>
      <c r="M172" s="580" t="s">
        <v>1970</v>
      </c>
      <c r="N172" s="412">
        <f>(H172/H165-1)*100</f>
        <v>4.1336262580090377</v>
      </c>
      <c r="O172" s="580" t="s">
        <v>1970</v>
      </c>
      <c r="P172" s="412">
        <f>(H172/H168-1)*100</f>
        <v>2.0612853763134709</v>
      </c>
      <c r="Q172" s="580" t="s">
        <v>1970</v>
      </c>
      <c r="R172" s="1653">
        <f>F172/J172</f>
        <v>0.17376920493921666</v>
      </c>
      <c r="S172" s="405" t="s">
        <v>1458</v>
      </c>
      <c r="T172" s="1653">
        <f>F173/H172</f>
        <v>0.17267002574121093</v>
      </c>
      <c r="U172" s="405"/>
      <c r="V172" s="405">
        <f>qtrSales!J173</f>
        <v>276</v>
      </c>
      <c r="W172" s="405"/>
      <c r="X172" s="1656">
        <f>H172/V172</f>
        <v>8.2622826086956511</v>
      </c>
      <c r="Y172" s="405"/>
      <c r="Z172" s="374">
        <f>(X172/X165-1)*100</f>
        <v>-4.9214716774700236</v>
      </c>
      <c r="AA172" s="580" t="s">
        <v>1970</v>
      </c>
      <c r="AB172" s="792">
        <f>Stores!AZ275</f>
        <v>1.14415</v>
      </c>
      <c r="AC172" s="405"/>
      <c r="AD172" s="358">
        <f>H172/AB172</f>
        <v>1993.0865708167635</v>
      </c>
      <c r="AE172" s="405"/>
      <c r="AF172" s="375">
        <f>(AD172/AD165-1)*100</f>
        <v>-1.1542850172523655</v>
      </c>
      <c r="AG172" s="580" t="s">
        <v>1970</v>
      </c>
      <c r="AH172" s="1657">
        <f>J172/(F172/(365/4))</f>
        <v>525.12181333809212</v>
      </c>
      <c r="AI172" s="405"/>
      <c r="AJ172" s="1657"/>
    </row>
    <row r="173" spans="1:36">
      <c r="A173" s="405" t="str">
        <f>$A$47</f>
        <v>2Q</v>
      </c>
      <c r="B173" s="405" t="str">
        <f>$B$12</f>
        <v>Jul</v>
      </c>
      <c r="C173" s="405"/>
      <c r="D173" s="418">
        <f>+'qtrP&amp;L'!CT11</f>
        <v>925.88400000000001</v>
      </c>
      <c r="E173" s="405"/>
      <c r="F173" s="418">
        <f>+'qtrP&amp;L'!CT21</f>
        <v>393.755</v>
      </c>
      <c r="G173" s="405"/>
      <c r="H173" s="355">
        <f>work!CP11</f>
        <v>2328.5100000000002</v>
      </c>
      <c r="I173" s="405"/>
      <c r="J173" s="418">
        <f>AVERAGE(H172:H173)</f>
        <v>2304.4499999999998</v>
      </c>
      <c r="K173" s="405"/>
      <c r="L173" s="412">
        <f>(D173/D166-1)*100</f>
        <v>4.4345110194468962</v>
      </c>
      <c r="M173" s="580"/>
      <c r="N173" s="412">
        <f>(H173/H166-1)*100</f>
        <v>4.3952989364592465</v>
      </c>
      <c r="O173" s="580"/>
      <c r="P173" s="412">
        <f>(H173/H172-1)*100</f>
        <v>2.1101653664505005</v>
      </c>
      <c r="Q173" s="580"/>
      <c r="R173" s="1653">
        <f>F173/J173</f>
        <v>0.17086723513202717</v>
      </c>
      <c r="S173" s="405"/>
      <c r="T173" s="1653">
        <f>F174/H173</f>
        <v>0.16834671098685425</v>
      </c>
      <c r="U173" s="405"/>
      <c r="V173" s="405">
        <f>qtrSales!J174</f>
        <v>278</v>
      </c>
      <c r="W173" s="405"/>
      <c r="X173" s="1653">
        <f>H173/V173</f>
        <v>8.3759352517985626</v>
      </c>
      <c r="Y173" s="405"/>
      <c r="Z173" s="374">
        <f>(X173/X166-1)*100</f>
        <v>-1.9885862503026375</v>
      </c>
      <c r="AA173" s="580"/>
      <c r="AB173" s="792">
        <f>Stores!AZ276</f>
        <v>1.1521999999999999</v>
      </c>
      <c r="AC173" s="405"/>
      <c r="AD173" s="360">
        <f>H173/AB173</f>
        <v>2020.9251865995491</v>
      </c>
      <c r="AE173" s="405"/>
      <c r="AF173" s="375">
        <f>(AD173/AD166-1)*100</f>
        <v>-0.53362335319824261</v>
      </c>
      <c r="AG173" s="580"/>
      <c r="AH173" s="1657">
        <f>J173/(F173/(365/4))</f>
        <v>534.04036139223626</v>
      </c>
      <c r="AI173" s="405"/>
      <c r="AJ173" s="1657"/>
    </row>
    <row r="174" spans="1:36">
      <c r="A174" s="405" t="str">
        <f>$A$48</f>
        <v>3Q</v>
      </c>
      <c r="B174" s="405" t="str">
        <f>$B$13</f>
        <v>Oct</v>
      </c>
      <c r="C174" s="405"/>
      <c r="D174" s="418">
        <f>+'qtrP&amp;L'!CT12</f>
        <v>911.47799999999995</v>
      </c>
      <c r="E174" s="405"/>
      <c r="F174" s="418">
        <f>+'qtrP&amp;L'!CT22</f>
        <v>391.99700000000001</v>
      </c>
      <c r="G174" s="405"/>
      <c r="H174" s="355">
        <f>work!CP12</f>
        <v>2418.71</v>
      </c>
      <c r="I174" s="405"/>
      <c r="J174" s="418">
        <f>AVERAGE(H173:H174)</f>
        <v>2373.61</v>
      </c>
      <c r="K174" s="405"/>
      <c r="L174" s="412">
        <f>(D174/D167-1)*100</f>
        <v>6.8880234443987165</v>
      </c>
      <c r="M174" s="580"/>
      <c r="N174" s="412">
        <f>(H174/H167-1)*100</f>
        <v>5.6403142772161408</v>
      </c>
      <c r="O174" s="580"/>
      <c r="P174" s="412">
        <f>(H174/H173-1)*100</f>
        <v>3.8737218221094105</v>
      </c>
      <c r="Q174" s="580"/>
      <c r="R174" s="1653">
        <f>F174/J174</f>
        <v>0.16514802347479157</v>
      </c>
      <c r="S174" s="405"/>
      <c r="T174" s="1653">
        <f>F175/H174</f>
        <v>0.21196216164815126</v>
      </c>
      <c r="U174" s="405"/>
      <c r="V174" s="405">
        <f>qtrSales!J175</f>
        <v>284</v>
      </c>
      <c r="W174" s="405"/>
      <c r="X174" s="1653">
        <f>H174/V174</f>
        <v>8.5165845070422534</v>
      </c>
      <c r="Y174" s="405"/>
      <c r="Z174" s="374">
        <f>(X174/X167-1)*100</f>
        <v>1.9205849012577936</v>
      </c>
      <c r="AA174" s="580"/>
      <c r="AB174" s="792">
        <f>Stores!AZ277</f>
        <v>1.17075</v>
      </c>
      <c r="AC174" s="405"/>
      <c r="AD174" s="360">
        <f>H174/AB174</f>
        <v>2065.9491778774291</v>
      </c>
      <c r="AE174" s="405"/>
      <c r="AF174" s="375">
        <f>(AD174/AD167-1)*100</f>
        <v>2.6816554102500056</v>
      </c>
      <c r="AG174" s="580"/>
      <c r="AH174" s="1657">
        <f>J174/(F174/(365/4))</f>
        <v>552.53461761186952</v>
      </c>
      <c r="AI174" s="405"/>
      <c r="AJ174" s="1657"/>
    </row>
    <row r="175" spans="1:36">
      <c r="A175" s="405" t="str">
        <f>$A$49</f>
        <v>4Q</v>
      </c>
      <c r="B175" s="405" t="str">
        <f>$B$14</f>
        <v>Jan</v>
      </c>
      <c r="C175" s="405"/>
      <c r="D175" s="1659">
        <f>+'qtrP&amp;L'!CT13</f>
        <v>1298.2840000000001</v>
      </c>
      <c r="E175" s="405"/>
      <c r="F175" s="1659">
        <f>+'qtrP&amp;L'!CT23</f>
        <v>512.67499999999995</v>
      </c>
      <c r="G175" s="405"/>
      <c r="H175" s="355">
        <f>work!CP13</f>
        <v>2326.58</v>
      </c>
      <c r="I175" s="405"/>
      <c r="J175" s="1659">
        <f>AVERAGE(H174:H175)</f>
        <v>2372.645</v>
      </c>
      <c r="K175" s="405"/>
      <c r="L175" s="1660">
        <f>(D175/D168-1)*100</f>
        <v>5.0587933505372051</v>
      </c>
      <c r="M175" s="580"/>
      <c r="N175" s="374">
        <f>(H175/H168-1)*100</f>
        <v>4.1285680654727486</v>
      </c>
      <c r="O175" s="580"/>
      <c r="P175" s="412">
        <f>(H175/H174-1)*100</f>
        <v>-3.809055240190018</v>
      </c>
      <c r="Q175" s="580"/>
      <c r="R175" s="1653">
        <f>F175/J175</f>
        <v>0.21607741571115779</v>
      </c>
      <c r="S175" s="405"/>
      <c r="T175" s="1661" t="s">
        <v>814</v>
      </c>
      <c r="U175" s="405"/>
      <c r="V175" s="405">
        <f>qtrSales!J176</f>
        <v>289</v>
      </c>
      <c r="W175" s="405"/>
      <c r="X175" s="1653">
        <f>H175/V175</f>
        <v>8.0504498269896185</v>
      </c>
      <c r="Y175" s="405"/>
      <c r="Z175" s="374">
        <f>(X175/X168-1)*100</f>
        <v>-0.55541596515404912</v>
      </c>
      <c r="AA175" s="580"/>
      <c r="AB175" s="792">
        <f>Stores!AZ278</f>
        <v>1.1849000000000001</v>
      </c>
      <c r="AC175" s="405"/>
      <c r="AD175" s="360">
        <f>H175/AB175</f>
        <v>1963.5243480462484</v>
      </c>
      <c r="AE175" s="405"/>
      <c r="AF175" s="375">
        <f>(AD175/AD168-1)*100</f>
        <v>0.60020110806813243</v>
      </c>
      <c r="AG175" s="580"/>
      <c r="AH175" s="1657">
        <f>J175/(F175/(365/4))</f>
        <v>422.30234797873896</v>
      </c>
      <c r="AI175" s="405"/>
      <c r="AJ175" s="1657"/>
    </row>
    <row r="176" spans="1:36">
      <c r="A176" s="405"/>
      <c r="B176" s="405" t="str">
        <f>$B$50</f>
        <v>Year</v>
      </c>
      <c r="C176" s="405"/>
      <c r="D176" s="1655">
        <f>SUM(D172:D175)</f>
        <v>4031.13</v>
      </c>
      <c r="E176" s="405"/>
      <c r="F176" s="1655">
        <f>SUM(F172:F175)</f>
        <v>1690.6869999999999</v>
      </c>
      <c r="G176" s="405"/>
      <c r="H176" s="1655"/>
      <c r="I176" s="405"/>
      <c r="J176" s="1655">
        <f>AVERAGE(J172:J175)</f>
        <v>2327.0167500000002</v>
      </c>
      <c r="K176" s="405"/>
      <c r="L176" s="412">
        <f>(D176/D169-1)*100</f>
        <v>6.2431590546640603</v>
      </c>
      <c r="M176" s="580"/>
      <c r="N176" s="405"/>
      <c r="O176" s="580"/>
      <c r="P176" s="405"/>
      <c r="Q176" s="580"/>
      <c r="R176" s="1662">
        <f>F176/J176</f>
        <v>0.72654698338548696</v>
      </c>
      <c r="S176" s="1663" t="s">
        <v>1458</v>
      </c>
      <c r="T176" s="1653"/>
      <c r="U176" s="405"/>
      <c r="V176" s="405"/>
      <c r="W176" s="405"/>
      <c r="X176" s="405"/>
      <c r="Y176" s="405"/>
      <c r="Z176" s="405"/>
      <c r="AA176" s="580"/>
      <c r="AB176" s="405"/>
      <c r="AC176" s="405"/>
      <c r="AD176" s="405"/>
      <c r="AE176" s="405"/>
      <c r="AF176" s="405"/>
      <c r="AG176" s="580"/>
      <c r="AH176" s="405"/>
      <c r="AI176" s="405"/>
      <c r="AJ176" s="405"/>
    </row>
    <row r="177" spans="1:36">
      <c r="A177" s="330"/>
      <c r="B177" s="330"/>
      <c r="C177" s="330"/>
      <c r="D177" s="342"/>
      <c r="E177" s="330"/>
      <c r="F177" s="342"/>
      <c r="G177" s="330"/>
      <c r="H177" s="342"/>
      <c r="I177" s="330"/>
      <c r="J177" s="342"/>
      <c r="K177" s="330"/>
      <c r="L177" s="338"/>
      <c r="M177" s="367"/>
      <c r="N177" s="330"/>
      <c r="O177" s="367"/>
      <c r="P177" s="330"/>
      <c r="Q177" s="367"/>
      <c r="R177" s="1005"/>
      <c r="S177" s="426"/>
      <c r="T177" s="359"/>
      <c r="U177" s="330"/>
      <c r="V177" s="330"/>
      <c r="W177" s="330"/>
      <c r="X177" s="330"/>
      <c r="Y177" s="330"/>
      <c r="Z177" s="330"/>
      <c r="AA177" s="367"/>
      <c r="AB177" s="330"/>
      <c r="AC177" s="330"/>
      <c r="AD177" s="330"/>
      <c r="AE177" s="330"/>
      <c r="AF177" s="330"/>
      <c r="AG177" s="367"/>
      <c r="AH177" s="330"/>
      <c r="AI177" s="330"/>
      <c r="AJ177" s="330"/>
    </row>
    <row r="178" spans="1:36">
      <c r="A178" s="405"/>
      <c r="B178" s="365">
        <v>2014</v>
      </c>
      <c r="C178" s="405"/>
      <c r="D178" s="405"/>
      <c r="E178" s="405"/>
      <c r="F178" s="405"/>
      <c r="G178" s="405"/>
      <c r="H178" s="405"/>
      <c r="I178" s="405"/>
      <c r="J178" s="405"/>
      <c r="K178" s="405"/>
      <c r="L178" s="405"/>
      <c r="M178" s="580"/>
      <c r="N178" s="405"/>
      <c r="O178" s="580"/>
      <c r="P178" s="405"/>
      <c r="Q178" s="580"/>
      <c r="R178" s="405"/>
      <c r="S178" s="405"/>
      <c r="T178" s="1653"/>
      <c r="U178" s="405"/>
      <c r="V178" s="1654"/>
      <c r="W178" s="405"/>
      <c r="X178" s="405"/>
      <c r="Y178" s="405"/>
      <c r="Z178" s="405"/>
      <c r="AA178" s="580"/>
      <c r="AB178" s="792"/>
      <c r="AC178" s="405"/>
      <c r="AD178" s="405"/>
      <c r="AE178" s="405"/>
      <c r="AF178" s="405"/>
      <c r="AG178" s="580"/>
      <c r="AH178" s="405"/>
      <c r="AI178" s="405"/>
      <c r="AJ178" s="405"/>
    </row>
    <row r="179" spans="1:36">
      <c r="A179" s="405" t="str">
        <f>$A$46</f>
        <v>1Q</v>
      </c>
      <c r="B179" s="405" t="str">
        <f>$B$11</f>
        <v>Apr</v>
      </c>
      <c r="C179" s="580"/>
      <c r="D179" s="1655">
        <f>+'qtrP&amp;L'!CX10</f>
        <v>1012.1319999999999</v>
      </c>
      <c r="E179" s="405"/>
      <c r="F179" s="1655">
        <f>+'qtrP&amp;L'!CX20</f>
        <v>422.60599999999999</v>
      </c>
      <c r="G179" s="405"/>
      <c r="H179" s="342">
        <f>work!CT10</f>
        <v>2418.395</v>
      </c>
      <c r="I179" s="405"/>
      <c r="J179" s="1655">
        <f>AVERAGE(H179,H175)</f>
        <v>2372.4875000000002</v>
      </c>
      <c r="K179" s="405"/>
      <c r="L179" s="412">
        <f>(D179/D172-1)*100</f>
        <v>13.026251725323945</v>
      </c>
      <c r="M179" s="580" t="s">
        <v>1970</v>
      </c>
      <c r="N179" s="412">
        <f>(H179/H172-1)*100</f>
        <v>6.0518156981919757</v>
      </c>
      <c r="O179" s="580" t="s">
        <v>1970</v>
      </c>
      <c r="P179" s="412">
        <f>(H179/H175-1)*100</f>
        <v>3.9463504371223035</v>
      </c>
      <c r="Q179" s="580" t="s">
        <v>1970</v>
      </c>
      <c r="R179" s="1653">
        <f>F179/J179</f>
        <v>0.17812780889256527</v>
      </c>
      <c r="S179" s="405" t="s">
        <v>1458</v>
      </c>
      <c r="T179" s="1653">
        <f>F180/H179</f>
        <v>0.16447561295818094</v>
      </c>
      <c r="U179" s="405"/>
      <c r="V179" s="405">
        <f>qtrSales!J180</f>
        <v>291</v>
      </c>
      <c r="W179" s="405"/>
      <c r="X179" s="1656">
        <f>H179/V179</f>
        <v>8.3106357388316159</v>
      </c>
      <c r="Y179" s="405"/>
      <c r="Z179" s="374">
        <f>(X179/X172-1)*100</f>
        <v>0.58522726014087478</v>
      </c>
      <c r="AA179" s="580" t="s">
        <v>1970</v>
      </c>
      <c r="AB179" s="792">
        <f>Stores!AZ282</f>
        <v>1.1947678571428573</v>
      </c>
      <c r="AC179" s="405"/>
      <c r="AD179" s="358">
        <f>H179/AB179</f>
        <v>2024.1547222263737</v>
      </c>
      <c r="AE179" s="405"/>
      <c r="AF179" s="375">
        <f>(AD179/AD172-1)*100</f>
        <v>1.5587958829544668</v>
      </c>
      <c r="AG179" s="580" t="s">
        <v>1970</v>
      </c>
      <c r="AH179" s="1657">
        <f>J179/(F179/(365/4))</f>
        <v>512.27262361395719</v>
      </c>
      <c r="AI179" s="405"/>
      <c r="AJ179" s="1657"/>
    </row>
    <row r="180" spans="1:36">
      <c r="A180" s="405" t="str">
        <f>$A$47</f>
        <v>2Q</v>
      </c>
      <c r="B180" s="405" t="str">
        <f>$B$12</f>
        <v>Jul</v>
      </c>
      <c r="C180" s="405"/>
      <c r="D180" s="418">
        <f>+'qtrP&amp;L'!CX11</f>
        <v>992.93</v>
      </c>
      <c r="E180" s="405"/>
      <c r="F180" s="418">
        <f>+'qtrP&amp;L'!CX21</f>
        <v>397.767</v>
      </c>
      <c r="G180" s="405"/>
      <c r="H180" s="355">
        <f>work!CT11</f>
        <v>2531.451</v>
      </c>
      <c r="I180" s="405"/>
      <c r="J180" s="418">
        <f>AVERAGE(H179:H180)</f>
        <v>2474.9229999999998</v>
      </c>
      <c r="K180" s="405"/>
      <c r="L180" s="412">
        <f>(D180/D173-1)*100</f>
        <v>7.2412958858776966</v>
      </c>
      <c r="M180" s="580"/>
      <c r="N180" s="412">
        <f>(H180/H173-1)*100</f>
        <v>8.7154875864823289</v>
      </c>
      <c r="O180" s="580"/>
      <c r="P180" s="412">
        <f>(H180/H179-1)*100</f>
        <v>4.6748359966010566</v>
      </c>
      <c r="Q180" s="580"/>
      <c r="R180" s="1653">
        <f>F180/J180</f>
        <v>0.16071893953872507</v>
      </c>
      <c r="S180" s="405"/>
      <c r="T180" s="1653">
        <f>F181/H180</f>
        <v>0.15355541150115093</v>
      </c>
      <c r="U180" s="405"/>
      <c r="V180" s="405">
        <f>qtrSales!J181</f>
        <v>292</v>
      </c>
      <c r="W180" s="405"/>
      <c r="X180" s="1653">
        <f>H180/V180</f>
        <v>8.6693527397260279</v>
      </c>
      <c r="Y180" s="405"/>
      <c r="Z180" s="374">
        <f>(X180/X173-1)*100</f>
        <v>3.5031011953496227</v>
      </c>
      <c r="AA180" s="580"/>
      <c r="AB180" s="792">
        <f>Stores!AZ283</f>
        <v>1.2015785714285714</v>
      </c>
      <c r="AC180" s="405"/>
      <c r="AD180" s="360">
        <f>H180/AB180</f>
        <v>2106.7710927886533</v>
      </c>
      <c r="AE180" s="405"/>
      <c r="AF180" s="375">
        <f>(AD180/AD173-1)*100</f>
        <v>4.2478517640502256</v>
      </c>
      <c r="AG180" s="580"/>
      <c r="AH180" s="1657">
        <f>J180/(F180/(365/4))</f>
        <v>567.76133703902019</v>
      </c>
      <c r="AI180" s="405"/>
      <c r="AJ180" s="1657"/>
    </row>
    <row r="181" spans="1:36">
      <c r="A181" s="405" t="str">
        <f>$A$48</f>
        <v>3Q</v>
      </c>
      <c r="B181" s="405" t="str">
        <f>$B$13</f>
        <v>Oct</v>
      </c>
      <c r="C181" s="405"/>
      <c r="D181" s="418">
        <f>+'qtrP&amp;L'!CX12</f>
        <v>959.58900000000006</v>
      </c>
      <c r="E181" s="405"/>
      <c r="F181" s="418">
        <f>+'qtrP&amp;L'!CX22</f>
        <v>388.71800000000002</v>
      </c>
      <c r="G181" s="405"/>
      <c r="H181" s="355">
        <f>work!CT12</f>
        <v>2560.3690000000001</v>
      </c>
      <c r="I181" s="405"/>
      <c r="J181" s="418">
        <f>AVERAGE(H180:H181)</f>
        <v>2545.91</v>
      </c>
      <c r="K181" s="405"/>
      <c r="L181" s="412">
        <f>(D181/D174-1)*100</f>
        <v>5.2783501082856787</v>
      </c>
      <c r="M181" s="580"/>
      <c r="N181" s="412">
        <f>(H181/H174-1)*100</f>
        <v>5.8567996990131155</v>
      </c>
      <c r="O181" s="580"/>
      <c r="P181" s="412">
        <f>(H181/H180-1)*100</f>
        <v>1.1423487952166633</v>
      </c>
      <c r="Q181" s="580"/>
      <c r="R181" s="1653">
        <f>F181/J181</f>
        <v>0.15268332344819732</v>
      </c>
      <c r="S181" s="405"/>
      <c r="T181" s="1653">
        <f>F182/H181</f>
        <v>0.19670875565201734</v>
      </c>
      <c r="U181" s="405"/>
      <c r="V181" s="405">
        <f>qtrSales!J182</f>
        <v>294</v>
      </c>
      <c r="W181" s="405"/>
      <c r="X181" s="1653">
        <f>H181/V181</f>
        <v>8.7087380952380951</v>
      </c>
      <c r="Y181" s="405"/>
      <c r="Z181" s="374">
        <f>(X181/X174-1)*100</f>
        <v>2.2562282806793288</v>
      </c>
      <c r="AA181" s="580"/>
      <c r="AB181" s="792">
        <f>Stores!AZ284</f>
        <v>1.2054892857142858</v>
      </c>
      <c r="AC181" s="405"/>
      <c r="AD181" s="360">
        <f>H181/AB181</f>
        <v>2123.9251400587195</v>
      </c>
      <c r="AE181" s="405"/>
      <c r="AF181" s="375">
        <f>(AD181/AD174-1)*100</f>
        <v>2.8062627484793934</v>
      </c>
      <c r="AG181" s="580"/>
      <c r="AH181" s="1657">
        <f>J181/(F181/(365/4))</f>
        <v>597.64221749443038</v>
      </c>
      <c r="AI181" s="405"/>
      <c r="AJ181" s="1657"/>
    </row>
    <row r="182" spans="1:36">
      <c r="A182" s="405" t="str">
        <f>$A$49</f>
        <v>4Q</v>
      </c>
      <c r="B182" s="405" t="str">
        <f>$B$14</f>
        <v>Jan</v>
      </c>
      <c r="C182" s="405"/>
      <c r="D182" s="1659">
        <f>+'qtrP&amp;L'!CX13</f>
        <v>1285.2619999999999</v>
      </c>
      <c r="E182" s="405"/>
      <c r="F182" s="1659">
        <f>+'qtrP&amp;L'!CX23</f>
        <v>503.64699999999999</v>
      </c>
      <c r="G182" s="405"/>
      <c r="H182" s="355">
        <f>bal!$BA$12</f>
        <v>2362.1120000000001</v>
      </c>
      <c r="I182" s="405"/>
      <c r="J182" s="1659">
        <f>AVERAGE(H181:H182)</f>
        <v>2461.2404999999999</v>
      </c>
      <c r="K182" s="405"/>
      <c r="L182" s="1660">
        <f>(D182/D175-1)*100</f>
        <v>-1.0030162891940586</v>
      </c>
      <c r="M182" s="580"/>
      <c r="N182" s="374">
        <f>(H182/H175-1)*100</f>
        <v>1.5272202116411338</v>
      </c>
      <c r="O182" s="580"/>
      <c r="P182" s="412">
        <f>(H182/H181-1)*100</f>
        <v>-7.7432979386955587</v>
      </c>
      <c r="Q182" s="580"/>
      <c r="R182" s="1653">
        <f>F182/J182</f>
        <v>0.20463136373710736</v>
      </c>
      <c r="S182" s="405"/>
      <c r="T182" s="1661" t="s">
        <v>814</v>
      </c>
      <c r="U182" s="405"/>
      <c r="V182" s="405">
        <f>qtrSales!J183</f>
        <v>295</v>
      </c>
      <c r="W182" s="405"/>
      <c r="X182" s="1653">
        <f>H182/V182</f>
        <v>8.0071593220338979</v>
      </c>
      <c r="Y182" s="405"/>
      <c r="Z182" s="374">
        <f>(X182/X175-1)*100</f>
        <v>-0.53774019944310414</v>
      </c>
      <c r="AA182" s="580"/>
      <c r="AB182" s="792">
        <f>Stores!AZ285</f>
        <v>1.2094</v>
      </c>
      <c r="AC182" s="405"/>
      <c r="AD182" s="360">
        <f>H182/AB182</f>
        <v>1953.1271704977676</v>
      </c>
      <c r="AE182" s="405"/>
      <c r="AF182" s="375">
        <f>(AD182/AD175-1)*100</f>
        <v>-0.52951609990607995</v>
      </c>
      <c r="AG182" s="580"/>
      <c r="AH182" s="1657">
        <f>J182/(F182/(365/4))</f>
        <v>445.92382288587044</v>
      </c>
      <c r="AI182" s="405"/>
      <c r="AJ182" s="1657"/>
    </row>
    <row r="183" spans="1:36">
      <c r="A183" s="405"/>
      <c r="B183" s="405" t="str">
        <f>$B$50</f>
        <v>Year</v>
      </c>
      <c r="C183" s="405"/>
      <c r="D183" s="1655">
        <f>SUM(D179:D182)</f>
        <v>4249.9129999999996</v>
      </c>
      <c r="E183" s="405"/>
      <c r="F183" s="1655">
        <f>SUM(F179:F182)</f>
        <v>1712.7380000000001</v>
      </c>
      <c r="G183" s="405"/>
      <c r="H183" s="1655"/>
      <c r="I183" s="405"/>
      <c r="J183" s="1655">
        <f>AVERAGE(J179:J182)</f>
        <v>2463.6402499999999</v>
      </c>
      <c r="K183" s="405"/>
      <c r="L183" s="412">
        <f>(D183/D176-1)*100</f>
        <v>5.4273367517296389</v>
      </c>
      <c r="M183" s="580"/>
      <c r="N183" s="405"/>
      <c r="O183" s="580"/>
      <c r="P183" s="405"/>
      <c r="Q183" s="580"/>
      <c r="R183" s="1662">
        <f>F183/J183</f>
        <v>0.69520620959168045</v>
      </c>
      <c r="S183" s="1663" t="s">
        <v>1458</v>
      </c>
      <c r="T183" s="1653"/>
      <c r="U183" s="405"/>
      <c r="V183" s="405"/>
      <c r="W183" s="405"/>
      <c r="X183" s="405"/>
      <c r="Y183" s="405"/>
      <c r="Z183" s="405"/>
      <c r="AA183" s="580"/>
      <c r="AB183" s="405"/>
      <c r="AC183" s="405"/>
      <c r="AD183" s="405"/>
      <c r="AE183" s="405"/>
      <c r="AF183" s="405"/>
      <c r="AG183" s="580"/>
      <c r="AH183" s="405"/>
      <c r="AI183" s="405"/>
      <c r="AJ183" s="405"/>
    </row>
    <row r="184" spans="1:36">
      <c r="A184" s="330"/>
      <c r="B184" s="330"/>
      <c r="C184" s="330"/>
      <c r="D184" s="342"/>
      <c r="E184" s="330"/>
      <c r="F184" s="342"/>
      <c r="G184" s="330"/>
      <c r="H184" s="342"/>
      <c r="I184" s="330"/>
      <c r="J184" s="342"/>
      <c r="K184" s="330"/>
      <c r="L184" s="338"/>
      <c r="M184" s="367"/>
      <c r="N184" s="330"/>
      <c r="O184" s="367"/>
      <c r="P184" s="330"/>
      <c r="Q184" s="367"/>
      <c r="R184" s="1005"/>
      <c r="S184" s="426"/>
      <c r="T184" s="359"/>
      <c r="U184" s="330"/>
      <c r="V184" s="330"/>
      <c r="W184" s="330"/>
      <c r="X184" s="330"/>
      <c r="Y184" s="330"/>
      <c r="Z184" s="330"/>
      <c r="AA184" s="367"/>
      <c r="AB184" s="330"/>
      <c r="AC184" s="330"/>
      <c r="AD184" s="330"/>
      <c r="AE184" s="330"/>
      <c r="AF184" s="330"/>
      <c r="AG184" s="367"/>
      <c r="AH184" s="330"/>
      <c r="AI184" s="330"/>
      <c r="AJ184" s="330"/>
    </row>
    <row r="185" spans="1:36">
      <c r="A185" s="405"/>
      <c r="B185" s="365">
        <v>2015</v>
      </c>
      <c r="C185" s="405"/>
      <c r="D185" s="405"/>
      <c r="E185" s="405"/>
      <c r="F185" s="405"/>
      <c r="G185" s="405"/>
      <c r="H185" s="405"/>
      <c r="I185" s="405"/>
      <c r="J185" s="405"/>
      <c r="K185" s="405"/>
      <c r="L185" s="405"/>
      <c r="M185" s="580"/>
      <c r="N185" s="405"/>
      <c r="O185" s="580"/>
      <c r="P185" s="405"/>
      <c r="Q185" s="580"/>
      <c r="R185" s="405"/>
      <c r="S185" s="405"/>
      <c r="T185" s="1653"/>
      <c r="U185" s="405"/>
      <c r="V185" s="1654"/>
      <c r="W185" s="405"/>
      <c r="X185" s="405"/>
      <c r="Y185" s="405"/>
      <c r="Z185" s="405"/>
      <c r="AA185" s="580"/>
      <c r="AB185" s="792"/>
      <c r="AC185" s="405"/>
      <c r="AD185" s="405"/>
      <c r="AE185" s="405"/>
      <c r="AF185" s="405"/>
      <c r="AG185" s="580"/>
      <c r="AH185" s="405"/>
      <c r="AI185" s="405"/>
      <c r="AJ185" s="405"/>
    </row>
    <row r="186" spans="1:36">
      <c r="A186" s="405" t="str">
        <f>$A$46</f>
        <v>1Q</v>
      </c>
      <c r="B186" s="405" t="str">
        <f>$B$11</f>
        <v>Apr</v>
      </c>
      <c r="C186" s="580"/>
      <c r="D186" s="1655">
        <f>'qtrP&amp;L'!DB10</f>
        <v>962.4</v>
      </c>
      <c r="E186" s="405"/>
      <c r="F186" s="1655">
        <f>'qtrP&amp;L'!DB20</f>
        <v>393.4</v>
      </c>
      <c r="G186" s="405"/>
      <c r="H186" s="342">
        <f>work!CX10</f>
        <v>2363</v>
      </c>
      <c r="I186" s="405"/>
      <c r="J186" s="1655">
        <f>AVERAGE(H186,H182)</f>
        <v>2362.556</v>
      </c>
      <c r="K186" s="405"/>
      <c r="L186" s="412">
        <f>(D186/D179-1)*100</f>
        <v>-4.9135883461840946</v>
      </c>
      <c r="M186" s="580" t="s">
        <v>1970</v>
      </c>
      <c r="N186" s="412">
        <f>(H186/H179-1)*100</f>
        <v>-2.2905687449734202</v>
      </c>
      <c r="O186" s="580" t="s">
        <v>1970</v>
      </c>
      <c r="P186" s="412">
        <f>(H186/H182-1)*100</f>
        <v>3.759347566922866E-2</v>
      </c>
      <c r="Q186" s="580" t="s">
        <v>1970</v>
      </c>
      <c r="R186" s="1653">
        <f>F186/J186</f>
        <v>0.16651457150645316</v>
      </c>
      <c r="S186" s="405" t="s">
        <v>1458</v>
      </c>
      <c r="T186" s="1653">
        <f>F187/H186</f>
        <v>0.16821836648328395</v>
      </c>
      <c r="U186" s="405"/>
      <c r="V186" s="405">
        <f>qtrSales!J187</f>
        <v>298</v>
      </c>
      <c r="W186" s="405"/>
      <c r="X186" s="1656">
        <f>H186/V186</f>
        <v>7.9295302013422821</v>
      </c>
      <c r="Y186" s="405"/>
      <c r="Z186" s="374">
        <f>(X186/X179-1)*100</f>
        <v>-4.5857567274740552</v>
      </c>
      <c r="AA186" s="580" t="s">
        <v>1970</v>
      </c>
      <c r="AB186" s="792">
        <f>Stores!AZ289</f>
        <v>1.2201</v>
      </c>
      <c r="AC186" s="405"/>
      <c r="AD186" s="358">
        <f>H186/AB186</f>
        <v>1936.7264978280468</v>
      </c>
      <c r="AE186" s="405"/>
      <c r="AF186" s="375">
        <f>(AD186/AD179-1)*100</f>
        <v>-4.3192461247312348</v>
      </c>
      <c r="AG186" s="580" t="s">
        <v>1970</v>
      </c>
      <c r="AH186" s="1657">
        <f>J186/(F186/(365/4))</f>
        <v>548.00008896797146</v>
      </c>
      <c r="AI186" s="405"/>
      <c r="AJ186" s="1657"/>
    </row>
    <row r="187" spans="1:36">
      <c r="A187" s="405" t="str">
        <f>$A$47</f>
        <v>2Q</v>
      </c>
      <c r="B187" s="405" t="str">
        <f>$B$12</f>
        <v>Jul</v>
      </c>
      <c r="C187" s="405"/>
      <c r="D187" s="2004">
        <f>'qtrP&amp;L'!DB11</f>
        <v>990.5</v>
      </c>
      <c r="E187" s="405"/>
      <c r="F187" s="418">
        <f>'qtrP&amp;L'!DB21</f>
        <v>397.5</v>
      </c>
      <c r="G187" s="405"/>
      <c r="H187" s="355">
        <f>work!CX11</f>
        <v>2357.6999999999998</v>
      </c>
      <c r="I187" s="405"/>
      <c r="J187" s="418">
        <f>AVERAGE(H186:H187)</f>
        <v>2360.35</v>
      </c>
      <c r="K187" s="405"/>
      <c r="L187" s="412">
        <f>(D187/D180-1)*100</f>
        <v>-0.24473024281670419</v>
      </c>
      <c r="M187" s="580"/>
      <c r="N187" s="412">
        <f>(H187/H180-1)*100</f>
        <v>-6.8636920090493607</v>
      </c>
      <c r="O187" s="580"/>
      <c r="P187" s="412">
        <f>(H187/H186-1)*100</f>
        <v>-0.22429115531105159</v>
      </c>
      <c r="Q187" s="580"/>
      <c r="R187" s="1653">
        <f>F187/J187</f>
        <v>0.16840722774164849</v>
      </c>
      <c r="S187" s="405"/>
      <c r="T187" s="1653">
        <f>F188/H187</f>
        <v>0.15850192984688469</v>
      </c>
      <c r="U187" s="405"/>
      <c r="V187" s="405">
        <f>qtrSales!J188</f>
        <v>304</v>
      </c>
      <c r="W187" s="405"/>
      <c r="X187" s="1653">
        <f>H187/V187</f>
        <v>7.7555921052631573</v>
      </c>
      <c r="Y187" s="405"/>
      <c r="Z187" s="374">
        <f>(X187/X180-1)*100</f>
        <v>-10.540125219218478</v>
      </c>
      <c r="AA187" s="580"/>
      <c r="AB187" s="792">
        <f>Stores!AZ290</f>
        <v>1.2390999999999999</v>
      </c>
      <c r="AC187" s="405"/>
      <c r="AD187" s="360">
        <f>H187/AB187</f>
        <v>1902.7519974174804</v>
      </c>
      <c r="AE187" s="405"/>
      <c r="AF187" s="375">
        <f>(AD187/AD180-1)*100</f>
        <v>-9.68397070139787</v>
      </c>
      <c r="AG187" s="580"/>
      <c r="AH187" s="1657">
        <f>J187/(F187/(365/4))</f>
        <v>541.84135220125791</v>
      </c>
      <c r="AI187" s="405"/>
      <c r="AJ187" s="1657"/>
    </row>
    <row r="188" spans="1:36">
      <c r="A188" s="405" t="str">
        <f>$A$48</f>
        <v>3Q</v>
      </c>
      <c r="B188" s="405" t="str">
        <f>$B$13</f>
        <v>Oct</v>
      </c>
      <c r="C188" s="405"/>
      <c r="D188" s="2004">
        <f>'qtrP&amp;L'!DB12</f>
        <v>938.2</v>
      </c>
      <c r="E188" s="405"/>
      <c r="F188" s="418">
        <f>'qtrP&amp;L'!DB22</f>
        <v>373.7</v>
      </c>
      <c r="G188" s="405"/>
      <c r="H188" s="355">
        <f>work!CX12</f>
        <v>2347</v>
      </c>
      <c r="I188" s="405"/>
      <c r="J188" s="418">
        <f>AVERAGE(H187:H188)</f>
        <v>2352.35</v>
      </c>
      <c r="K188" s="405"/>
      <c r="L188" s="412">
        <f>(D188/D181-1)*100</f>
        <v>-2.2289751133037217</v>
      </c>
      <c r="M188" s="580"/>
      <c r="N188" s="412">
        <f>(H188/H181-1)*100</f>
        <v>-8.3335253629457373</v>
      </c>
      <c r="O188" s="580"/>
      <c r="P188" s="412">
        <f>(H188/H187-1)*100</f>
        <v>-0.45383212452813071</v>
      </c>
      <c r="Q188" s="580"/>
      <c r="R188" s="1653">
        <f>F188/J188</f>
        <v>0.15886241418156311</v>
      </c>
      <c r="S188" s="405"/>
      <c r="T188" s="1653">
        <f>F189/H188</f>
        <v>0.19122283766510439</v>
      </c>
      <c r="U188" s="405"/>
      <c r="V188" s="405">
        <f>qtrSales!J189</f>
        <v>305</v>
      </c>
      <c r="W188" s="405"/>
      <c r="X188" s="1653">
        <f>H188/V188</f>
        <v>7.695081967213115</v>
      </c>
      <c r="Y188" s="405"/>
      <c r="Z188" s="374">
        <f>(X188/X181-1)*100</f>
        <v>-11.639529366249324</v>
      </c>
      <c r="AA188" s="580"/>
      <c r="AB188" s="792">
        <f>Stores!AZ291</f>
        <v>1.2445999999999999</v>
      </c>
      <c r="AC188" s="405"/>
      <c r="AD188" s="360">
        <f>H188/AB188</f>
        <v>1885.7464245540737</v>
      </c>
      <c r="AE188" s="405"/>
      <c r="AF188" s="375">
        <f>(AD188/AD181-1)*100</f>
        <v>-11.214082408670068</v>
      </c>
      <c r="AG188" s="580"/>
      <c r="AH188" s="1657">
        <f>J188/(F188/(365/4))</f>
        <v>574.39640754615994</v>
      </c>
      <c r="AI188" s="405"/>
      <c r="AJ188" s="1657"/>
    </row>
    <row r="189" spans="1:36">
      <c r="A189" s="405" t="str">
        <f>$A$49</f>
        <v>4Q</v>
      </c>
      <c r="B189" s="405" t="str">
        <f>$B$14</f>
        <v>Jan</v>
      </c>
      <c r="C189" s="405"/>
      <c r="D189" s="2005">
        <f>'qtrP&amp;L'!DB13</f>
        <v>1213.5999999999999</v>
      </c>
      <c r="E189" s="405"/>
      <c r="F189" s="1659">
        <f>'qtrP&amp;L'!DB23</f>
        <v>448.8</v>
      </c>
      <c r="G189" s="405"/>
      <c r="H189" s="355">
        <f>work!CX13</f>
        <v>2225</v>
      </c>
      <c r="I189" s="405"/>
      <c r="J189" s="1659">
        <f>AVERAGE(H188:H189)</f>
        <v>2286</v>
      </c>
      <c r="K189" s="405"/>
      <c r="L189" s="1660">
        <f>(D189/D182-1)*100</f>
        <v>-5.5756725087958703</v>
      </c>
      <c r="M189" s="580"/>
      <c r="N189" s="374">
        <f>(H189/H182-1)*100</f>
        <v>-5.8046358513059504</v>
      </c>
      <c r="O189" s="580"/>
      <c r="P189" s="412">
        <f>(H189/H188-1)*100</f>
        <v>-5.1981252662974047</v>
      </c>
      <c r="Q189" s="580"/>
      <c r="R189" s="1653">
        <f>F189/J189</f>
        <v>0.1963254593175853</v>
      </c>
      <c r="S189" s="405"/>
      <c r="T189" s="1661" t="s">
        <v>814</v>
      </c>
      <c r="U189" s="405"/>
      <c r="V189" s="405">
        <f>qtrSales!J190</f>
        <v>307</v>
      </c>
      <c r="W189" s="405"/>
      <c r="X189" s="1653">
        <f>H189/V189</f>
        <v>7.2475570032573291</v>
      </c>
      <c r="Y189" s="405"/>
      <c r="Z189" s="374">
        <f>(X189/X182-1)*100</f>
        <v>-9.4865393359454551</v>
      </c>
      <c r="AA189" s="580"/>
      <c r="AB189" s="792">
        <f>Stores!AZ292</f>
        <v>1.2504999999999999</v>
      </c>
      <c r="AC189" s="405"/>
      <c r="AD189" s="360">
        <f>H189/AB189</f>
        <v>1779.2882846861257</v>
      </c>
      <c r="AE189" s="405"/>
      <c r="AF189" s="375">
        <f>(AD189/AD182-1)*100</f>
        <v>-8.9005410624305554</v>
      </c>
      <c r="AG189" s="580"/>
      <c r="AH189" s="1657">
        <f>J189/(F189/(365/4))</f>
        <v>464.78943850267376</v>
      </c>
      <c r="AI189" s="405"/>
      <c r="AJ189" s="1657"/>
    </row>
    <row r="190" spans="1:36">
      <c r="A190" s="405"/>
      <c r="B190" s="405" t="str">
        <f>$B$50</f>
        <v>Year</v>
      </c>
      <c r="C190" s="405"/>
      <c r="D190" s="2003">
        <f>SUM(D186:D189)</f>
        <v>4104.7000000000007</v>
      </c>
      <c r="E190" s="405"/>
      <c r="F190" s="1655">
        <f>SUM(F186:F189)</f>
        <v>1613.3999999999999</v>
      </c>
      <c r="G190" s="405"/>
      <c r="H190" s="1655"/>
      <c r="I190" s="405"/>
      <c r="J190" s="1655">
        <f>AVERAGE(J186:J189)</f>
        <v>2340.3139999999999</v>
      </c>
      <c r="K190" s="405"/>
      <c r="L190" s="412">
        <f>(D190/D183-1)*100</f>
        <v>-3.4168464154442413</v>
      </c>
      <c r="M190" s="580"/>
      <c r="N190" s="405"/>
      <c r="O190" s="580"/>
      <c r="P190" s="405"/>
      <c r="Q190" s="580"/>
      <c r="R190" s="1662">
        <f>F190/J190</f>
        <v>0.68939467097150209</v>
      </c>
      <c r="S190" s="1663" t="s">
        <v>1458</v>
      </c>
      <c r="T190" s="1653"/>
      <c r="U190" s="405"/>
      <c r="V190" s="405"/>
      <c r="W190" s="405"/>
      <c r="X190" s="405"/>
      <c r="Y190" s="405"/>
      <c r="Z190" s="405"/>
      <c r="AA190" s="580"/>
      <c r="AB190" s="405"/>
      <c r="AC190" s="405"/>
      <c r="AD190" s="405"/>
      <c r="AE190" s="405"/>
      <c r="AF190" s="405"/>
      <c r="AG190" s="580"/>
      <c r="AH190" s="405"/>
      <c r="AI190" s="405"/>
      <c r="AJ190" s="405"/>
    </row>
    <row r="191" spans="1:36">
      <c r="A191" s="330"/>
      <c r="B191" s="330"/>
      <c r="C191" s="330"/>
      <c r="D191" s="342"/>
      <c r="E191" s="330"/>
      <c r="F191" s="342"/>
      <c r="G191" s="330"/>
      <c r="H191" s="342"/>
      <c r="I191" s="330"/>
      <c r="J191" s="342"/>
      <c r="K191" s="330"/>
      <c r="L191" s="338"/>
      <c r="M191" s="367"/>
      <c r="N191" s="330"/>
      <c r="O191" s="367"/>
      <c r="P191" s="330"/>
      <c r="Q191" s="367"/>
      <c r="R191" s="1005"/>
      <c r="S191" s="426"/>
      <c r="T191" s="359"/>
      <c r="U191" s="330"/>
      <c r="V191" s="330"/>
      <c r="W191" s="330"/>
      <c r="X191" s="330"/>
      <c r="Y191" s="330"/>
      <c r="Z191" s="330"/>
      <c r="AA191" s="367"/>
      <c r="AB191" s="330"/>
      <c r="AC191" s="330"/>
      <c r="AD191" s="330"/>
      <c r="AE191" s="330"/>
      <c r="AF191" s="330"/>
      <c r="AG191" s="367"/>
      <c r="AH191" s="330"/>
      <c r="AI191" s="330"/>
      <c r="AJ191" s="330"/>
    </row>
    <row r="192" spans="1:36">
      <c r="A192" s="405"/>
      <c r="B192" s="365">
        <v>2016</v>
      </c>
      <c r="C192" s="405"/>
      <c r="D192" s="405"/>
      <c r="E192" s="405"/>
      <c r="F192" s="405"/>
      <c r="G192" s="405"/>
      <c r="H192" s="405"/>
      <c r="I192" s="405"/>
      <c r="J192" s="405"/>
      <c r="K192" s="405"/>
      <c r="L192" s="405"/>
      <c r="M192" s="580"/>
      <c r="N192" s="405"/>
      <c r="O192" s="580"/>
      <c r="P192" s="405"/>
      <c r="Q192" s="580"/>
      <c r="R192" s="405"/>
      <c r="S192" s="405"/>
      <c r="T192" s="1653"/>
      <c r="U192" s="405"/>
      <c r="V192" s="1654"/>
      <c r="W192" s="405"/>
      <c r="X192" s="405"/>
      <c r="Y192" s="405"/>
      <c r="Z192" s="405"/>
      <c r="AA192" s="580"/>
      <c r="AB192" s="792"/>
      <c r="AC192" s="405"/>
      <c r="AD192" s="405"/>
      <c r="AE192" s="405"/>
      <c r="AF192" s="405"/>
      <c r="AG192" s="580"/>
      <c r="AH192" s="405"/>
      <c r="AI192" s="405"/>
      <c r="AJ192" s="405"/>
    </row>
    <row r="193" spans="1:36">
      <c r="A193" s="405" t="str">
        <f>$A$46</f>
        <v>1Q</v>
      </c>
      <c r="B193" s="405" t="str">
        <f>$B$11</f>
        <v>Apr</v>
      </c>
      <c r="C193" s="580"/>
      <c r="D193" s="1655">
        <f>'qtrP&amp;L'!DF10</f>
        <v>891.3</v>
      </c>
      <c r="E193" s="405"/>
      <c r="F193" s="1655">
        <f>'qtrP&amp;L'!DF20</f>
        <v>345.7</v>
      </c>
      <c r="G193" s="405"/>
      <c r="H193" s="355">
        <f>work!DB10</f>
        <v>2320.1</v>
      </c>
      <c r="I193" s="405"/>
      <c r="J193" s="1655">
        <f>AVERAGE(H193,H189)</f>
        <v>2272.5500000000002</v>
      </c>
      <c r="K193" s="405"/>
      <c r="L193" s="412">
        <f>(D193/D186-1)*100</f>
        <v>-7.3877805486284309</v>
      </c>
      <c r="M193" s="580" t="s">
        <v>1970</v>
      </c>
      <c r="N193" s="412">
        <f>(H193/H186-1)*100</f>
        <v>-1.815488785442243</v>
      </c>
      <c r="O193" s="580" t="s">
        <v>1970</v>
      </c>
      <c r="P193" s="412">
        <f>(H193/H189-1)*100</f>
        <v>4.2741573033707736</v>
      </c>
      <c r="Q193" s="580" t="s">
        <v>1970</v>
      </c>
      <c r="R193" s="1653">
        <f>F193/J193</f>
        <v>0.15211986534949726</v>
      </c>
      <c r="S193" s="405" t="s">
        <v>1458</v>
      </c>
      <c r="T193" s="1653">
        <f>F194/H193</f>
        <v>0.15279513814059739</v>
      </c>
      <c r="U193" s="405"/>
      <c r="V193" s="1654">
        <f>qtrSales!J194</f>
        <v>308</v>
      </c>
      <c r="W193" s="405"/>
      <c r="X193" s="1656">
        <f>H193/V193</f>
        <v>7.5327922077922072</v>
      </c>
      <c r="Y193" s="405"/>
      <c r="Z193" s="374">
        <f>(X193/X186-1)*100</f>
        <v>-5.0032975911097015</v>
      </c>
      <c r="AA193" s="580" t="s">
        <v>1970</v>
      </c>
      <c r="AB193" s="792">
        <f>Stores!AZ296</f>
        <v>1.2587892857142855</v>
      </c>
      <c r="AC193" s="405"/>
      <c r="AD193" s="358">
        <f>H193/AB193</f>
        <v>1843.1202317419518</v>
      </c>
      <c r="AE193" s="405"/>
      <c r="AF193" s="375">
        <f>(AD193/AD186-1)*100</f>
        <v>-4.8332207046823727</v>
      </c>
      <c r="AG193" s="580" t="s">
        <v>1970</v>
      </c>
      <c r="AH193" s="1657">
        <f>J193/(F193/(365/4))</f>
        <v>599.85590830199601</v>
      </c>
      <c r="AI193" s="405"/>
      <c r="AJ193" s="1657"/>
    </row>
    <row r="194" spans="1:36">
      <c r="A194" s="405" t="str">
        <f>$A$47</f>
        <v>2Q</v>
      </c>
      <c r="B194" s="405" t="str">
        <f>$B$12</f>
        <v>Jul</v>
      </c>
      <c r="C194" s="405"/>
      <c r="D194" s="2004">
        <f>'qtrP&amp;L'!DF11</f>
        <v>931.6</v>
      </c>
      <c r="E194" s="405"/>
      <c r="F194" s="418">
        <f>'qtrP&amp;L'!DF21</f>
        <v>354.5</v>
      </c>
      <c r="G194" s="405"/>
      <c r="H194" s="355">
        <f>work!DB11</f>
        <v>2324.8000000000002</v>
      </c>
      <c r="I194" s="405"/>
      <c r="J194" s="418">
        <f>AVERAGE(H193:H194)</f>
        <v>2322.4499999999998</v>
      </c>
      <c r="K194" s="405"/>
      <c r="L194" s="412">
        <f>(D194/D187-1)*100</f>
        <v>-5.9464916708733</v>
      </c>
      <c r="M194" s="580"/>
      <c r="N194" s="412">
        <f>(H194/H187-1)*100</f>
        <v>-1.3954277473809062</v>
      </c>
      <c r="O194" s="580"/>
      <c r="P194" s="412">
        <f>(H194/H193-1)*100</f>
        <v>0.20257747510883384</v>
      </c>
      <c r="Q194" s="580"/>
      <c r="R194" s="1653">
        <f>F194/J194</f>
        <v>0.15264053047428364</v>
      </c>
      <c r="S194" s="405"/>
      <c r="T194" s="1653">
        <f>F195/H194</f>
        <v>0.15906744666207845</v>
      </c>
      <c r="U194" s="405"/>
      <c r="V194" s="1654">
        <f>qtrSales!J195</f>
        <v>311</v>
      </c>
      <c r="W194" s="405"/>
      <c r="X194" s="1653">
        <f>H194/V194</f>
        <v>7.4752411575562707</v>
      </c>
      <c r="Y194" s="405"/>
      <c r="Z194" s="374">
        <f>(X194/X187-1)*100</f>
        <v>-3.6148232643208877</v>
      </c>
      <c r="AA194" s="580"/>
      <c r="AB194" s="792">
        <f>Stores!AZ297</f>
        <v>1.2728785714285713</v>
      </c>
      <c r="AC194" s="405"/>
      <c r="AD194" s="360">
        <f>H194/AB194</f>
        <v>1826.4114521079896</v>
      </c>
      <c r="AE194" s="405"/>
      <c r="AF194" s="375">
        <f>(AD194/AD187-1)*100</f>
        <v>-4.0121122149972432</v>
      </c>
      <c r="AG194" s="580"/>
      <c r="AH194" s="1657">
        <f>J194/(F194/(365/4))</f>
        <v>597.80976727785617</v>
      </c>
      <c r="AI194" s="405"/>
      <c r="AJ194" s="1657"/>
    </row>
    <row r="195" spans="1:36">
      <c r="A195" s="405" t="str">
        <f>$A$48</f>
        <v>3Q</v>
      </c>
      <c r="B195" s="405" t="str">
        <f>$B$13</f>
        <v>Oct</v>
      </c>
      <c r="C195" s="405"/>
      <c r="D195" s="2004">
        <f>'qtrP&amp;L'!DF12</f>
        <v>949.3</v>
      </c>
      <c r="E195" s="405"/>
      <c r="F195" s="418">
        <f>'qtrP&amp;L'!DF22</f>
        <v>369.8</v>
      </c>
      <c r="G195" s="405"/>
      <c r="H195" s="355">
        <f>work!DB12</f>
        <v>2303.1</v>
      </c>
      <c r="I195" s="405"/>
      <c r="J195" s="418">
        <f>AVERAGE(H194:H195)</f>
        <v>2313.9499999999998</v>
      </c>
      <c r="K195" s="405"/>
      <c r="L195" s="412">
        <f>(D195/D188-1)*100</f>
        <v>1.1831166062673093</v>
      </c>
      <c r="M195" s="580"/>
      <c r="N195" s="412">
        <f>(H195/H188-1)*100</f>
        <v>-1.8704729441840651</v>
      </c>
      <c r="O195" s="580"/>
      <c r="P195" s="412">
        <f>(H195/H194-1)*100</f>
        <v>-0.93341362697867414</v>
      </c>
      <c r="Q195" s="580"/>
      <c r="R195" s="1653">
        <f>F195/J195</f>
        <v>0.15981330625121548</v>
      </c>
      <c r="S195" s="405"/>
      <c r="T195" s="1653">
        <f>F196/H195</f>
        <v>0.19165472623854804</v>
      </c>
      <c r="U195" s="405"/>
      <c r="V195" s="1654">
        <f>qtrSales!J196</f>
        <v>313</v>
      </c>
      <c r="W195" s="405"/>
      <c r="X195" s="1653">
        <f>H195/V195</f>
        <v>7.3581469648562301</v>
      </c>
      <c r="Y195" s="405"/>
      <c r="Z195" s="374">
        <f>(X195/X188-1)*100</f>
        <v>-4.3785758721282431</v>
      </c>
      <c r="AA195" s="580"/>
      <c r="AB195" s="792">
        <f>Stores!AZ298</f>
        <v>1.2820785714285712</v>
      </c>
      <c r="AC195" s="405"/>
      <c r="AD195" s="360">
        <f>H195/AB195</f>
        <v>1796.3797627736212</v>
      </c>
      <c r="AE195" s="405"/>
      <c r="AF195" s="375">
        <f>(AD195/AD188-1)*100</f>
        <v>-4.7390603856817703</v>
      </c>
      <c r="AG195" s="580"/>
      <c r="AH195" s="1657">
        <f>J195/(F195/(365/4))</f>
        <v>570.97873850730116</v>
      </c>
      <c r="AI195" s="405"/>
      <c r="AJ195" s="1657"/>
    </row>
    <row r="196" spans="1:36">
      <c r="A196" s="405" t="str">
        <f>$A$49</f>
        <v>4Q</v>
      </c>
      <c r="B196" s="405" t="str">
        <f>$B$14</f>
        <v>Jan</v>
      </c>
      <c r="C196" s="405"/>
      <c r="D196" s="2005">
        <f>'qtrP&amp;L'!DF13</f>
        <v>1229.5999999999999</v>
      </c>
      <c r="E196" s="405"/>
      <c r="F196" s="1659">
        <f>'qtrP&amp;L'!DF23</f>
        <v>441.4</v>
      </c>
      <c r="G196" s="405"/>
      <c r="H196" s="355">
        <f>work!DB13</f>
        <v>2157.6</v>
      </c>
      <c r="I196" s="405"/>
      <c r="J196" s="1659">
        <f>AVERAGE(H195:H196)</f>
        <v>2230.35</v>
      </c>
      <c r="K196" s="405"/>
      <c r="L196" s="1660">
        <f>(D196/D189-1)*100</f>
        <v>1.3183915622940079</v>
      </c>
      <c r="M196" s="580"/>
      <c r="N196" s="374">
        <f>(H196/H189-1)*100</f>
        <v>-3.029213483146076</v>
      </c>
      <c r="O196" s="580"/>
      <c r="P196" s="412">
        <f>(H196/H195-1)*100</f>
        <v>-6.3175719682167504</v>
      </c>
      <c r="Q196" s="580"/>
      <c r="R196" s="1653">
        <f>F196/J196</f>
        <v>0.19790615822628735</v>
      </c>
      <c r="S196" s="405"/>
      <c r="T196" s="1661" t="s">
        <v>814</v>
      </c>
      <c r="U196" s="405"/>
      <c r="V196" s="1654">
        <f>qtrSales!J197</f>
        <v>313</v>
      </c>
      <c r="W196" s="405"/>
      <c r="X196" s="1653">
        <f>H196/V196</f>
        <v>6.8932907348242809</v>
      </c>
      <c r="Y196" s="405"/>
      <c r="Z196" s="374">
        <f>(X196/X189-1)*100</f>
        <v>-4.8880784004020628</v>
      </c>
      <c r="AA196" s="580"/>
      <c r="AB196" s="792">
        <f>Stores!AZ299</f>
        <v>1.2820785714285712</v>
      </c>
      <c r="AC196" s="405"/>
      <c r="AD196" s="360">
        <f>H196/AB196</f>
        <v>1682.8921784379163</v>
      </c>
      <c r="AE196" s="405"/>
      <c r="AF196" s="375">
        <f>(AD196/AD189-1)*100</f>
        <v>-5.4176777916128511</v>
      </c>
      <c r="AG196" s="580"/>
      <c r="AH196" s="1657">
        <f>J196/(F196/(365/4))</f>
        <v>461.07711259628456</v>
      </c>
      <c r="AI196" s="405"/>
      <c r="AJ196" s="1657"/>
    </row>
    <row r="197" spans="1:36">
      <c r="A197" s="405"/>
      <c r="B197" s="405" t="str">
        <f>$B$50</f>
        <v>Year</v>
      </c>
      <c r="C197" s="405"/>
      <c r="D197" s="2003">
        <f>SUM(D193:D196)</f>
        <v>4001.7999999999997</v>
      </c>
      <c r="E197" s="405"/>
      <c r="F197" s="1655">
        <f>SUM(F193:F196)</f>
        <v>1511.4</v>
      </c>
      <c r="G197" s="405"/>
      <c r="H197" s="1655"/>
      <c r="I197" s="405"/>
      <c r="J197" s="1655">
        <f>AVERAGE(J193:J196)</f>
        <v>2284.8249999999998</v>
      </c>
      <c r="K197" s="405"/>
      <c r="L197" s="412">
        <f>(D197/D190-1)*100</f>
        <v>-2.5068823543742735</v>
      </c>
      <c r="M197" s="580"/>
      <c r="N197" s="405"/>
      <c r="O197" s="580"/>
      <c r="P197" s="405"/>
      <c r="Q197" s="580"/>
      <c r="R197" s="1662">
        <f>F197/J197</f>
        <v>0.66149486284507575</v>
      </c>
      <c r="S197" s="1663" t="s">
        <v>1458</v>
      </c>
      <c r="T197" s="1653"/>
      <c r="U197" s="405"/>
      <c r="V197" s="405"/>
      <c r="W197" s="405"/>
      <c r="X197" s="405"/>
      <c r="Y197" s="405"/>
      <c r="Z197" s="405"/>
      <c r="AA197" s="580"/>
      <c r="AB197" s="405"/>
      <c r="AC197" s="405"/>
      <c r="AD197" s="405"/>
      <c r="AE197" s="405"/>
      <c r="AF197" s="405"/>
      <c r="AG197" s="580"/>
      <c r="AH197" s="405"/>
      <c r="AI197" s="405"/>
      <c r="AJ197" s="405"/>
    </row>
    <row r="198" spans="1:36">
      <c r="A198" s="330"/>
      <c r="B198" s="330"/>
      <c r="C198" s="330"/>
      <c r="D198" s="342"/>
      <c r="E198" s="330"/>
      <c r="F198" s="342"/>
      <c r="G198" s="330"/>
      <c r="H198" s="342"/>
      <c r="I198" s="330"/>
      <c r="J198" s="342"/>
      <c r="K198" s="330"/>
      <c r="L198" s="338"/>
      <c r="M198" s="367"/>
      <c r="N198" s="330"/>
      <c r="O198" s="367"/>
      <c r="P198" s="330"/>
      <c r="Q198" s="367"/>
      <c r="R198" s="1005"/>
      <c r="S198" s="426"/>
      <c r="T198" s="359"/>
      <c r="U198" s="330"/>
      <c r="V198" s="330"/>
      <c r="W198" s="330"/>
      <c r="X198" s="330"/>
      <c r="Y198" s="330"/>
      <c r="Z198" s="330"/>
      <c r="AA198" s="367"/>
      <c r="AB198" s="330"/>
      <c r="AC198" s="330"/>
      <c r="AD198" s="330"/>
      <c r="AE198" s="330"/>
      <c r="AF198" s="330"/>
      <c r="AG198" s="367"/>
      <c r="AH198" s="330"/>
      <c r="AI198" s="330"/>
      <c r="AJ198" s="330"/>
    </row>
    <row r="199" spans="1:36">
      <c r="A199" s="405"/>
      <c r="B199" s="365">
        <v>2017</v>
      </c>
      <c r="C199" s="405"/>
      <c r="D199" s="405"/>
      <c r="E199" s="405"/>
      <c r="F199" s="405"/>
      <c r="G199" s="405"/>
      <c r="H199" s="405"/>
      <c r="I199" s="405"/>
      <c r="J199" s="405"/>
      <c r="K199" s="405"/>
      <c r="L199" s="405"/>
      <c r="M199" s="580"/>
      <c r="N199" s="405"/>
      <c r="O199" s="580"/>
      <c r="P199" s="405"/>
      <c r="Q199" s="580"/>
      <c r="R199" s="405"/>
      <c r="S199" s="405"/>
      <c r="T199" s="1653"/>
      <c r="U199" s="405"/>
      <c r="V199" s="1654"/>
      <c r="W199" s="405"/>
      <c r="X199" s="405"/>
      <c r="Y199" s="405"/>
      <c r="Z199" s="405"/>
      <c r="AA199" s="580"/>
      <c r="AB199" s="792"/>
      <c r="AC199" s="405"/>
      <c r="AD199" s="405"/>
      <c r="AE199" s="405"/>
      <c r="AF199" s="405"/>
      <c r="AG199" s="580"/>
      <c r="AH199" s="405"/>
      <c r="AI199" s="405"/>
      <c r="AJ199" s="405"/>
    </row>
    <row r="200" spans="1:36">
      <c r="A200" s="405" t="str">
        <f>$A$46</f>
        <v>1Q</v>
      </c>
      <c r="B200" s="405" t="str">
        <f>$B$11</f>
        <v>Apr</v>
      </c>
      <c r="C200" s="580"/>
      <c r="D200" s="1655">
        <f>'qtrP&amp;L'!DJ10</f>
        <v>899.6</v>
      </c>
      <c r="E200" s="405"/>
      <c r="F200" s="1655">
        <f>'qtrP&amp;L'!DJ20</f>
        <v>342</v>
      </c>
      <c r="G200" s="405"/>
      <c r="H200" s="355">
        <f>work!DF10</f>
        <v>2197.4</v>
      </c>
      <c r="I200" s="405"/>
      <c r="J200" s="1655">
        <f>AVERAGE(H200,H196)</f>
        <v>2177.5</v>
      </c>
      <c r="K200" s="405"/>
      <c r="L200" s="412">
        <f>(D200/D193-1)*100</f>
        <v>0.9312240547515005</v>
      </c>
      <c r="M200" s="580" t="s">
        <v>1970</v>
      </c>
      <c r="N200" s="412">
        <f>(H200/H193-1)*100</f>
        <v>-5.2885651480539586</v>
      </c>
      <c r="O200" s="580" t="s">
        <v>1970</v>
      </c>
      <c r="P200" s="412">
        <f>(H200/H196-1)*100</f>
        <v>1.8446421950315317</v>
      </c>
      <c r="Q200" s="580" t="s">
        <v>1970</v>
      </c>
      <c r="R200" s="1653">
        <f>F200/J200</f>
        <v>0.15706084959816302</v>
      </c>
      <c r="S200" s="405" t="s">
        <v>1458</v>
      </c>
      <c r="T200" s="1653">
        <f>F201/H200</f>
        <v>0.16451260580686264</v>
      </c>
      <c r="U200" s="405"/>
      <c r="V200" s="1654">
        <f>qtrSales!J201</f>
        <v>310</v>
      </c>
      <c r="W200" s="405"/>
      <c r="X200" s="1656">
        <f>H200/V200</f>
        <v>7.088387096774194</v>
      </c>
      <c r="Y200" s="405"/>
      <c r="Z200" s="374">
        <f>(X200/X193-1)*100</f>
        <v>-5.8996066632277966</v>
      </c>
      <c r="AA200" s="580" t="s">
        <v>1970</v>
      </c>
      <c r="AB200" s="792">
        <f>Stores!AZ303</f>
        <v>1.2680999999999998</v>
      </c>
      <c r="AC200" s="405"/>
      <c r="AD200" s="358">
        <f>H200/AB200</f>
        <v>1732.8286412743478</v>
      </c>
      <c r="AE200" s="405"/>
      <c r="AF200" s="375">
        <f>(AD200/AD193-1)*100</f>
        <v>-5.9839607079439583</v>
      </c>
      <c r="AG200" s="580" t="s">
        <v>1970</v>
      </c>
      <c r="AH200" s="1657">
        <f>J200/(F200/(365/4))</f>
        <v>580.98501461988303</v>
      </c>
      <c r="AI200" s="405"/>
      <c r="AJ200" s="1657"/>
    </row>
    <row r="201" spans="1:36">
      <c r="A201" s="405" t="str">
        <f>$A$47</f>
        <v>2Q</v>
      </c>
      <c r="B201" s="405" t="str">
        <f>$B$12</f>
        <v>Jul</v>
      </c>
      <c r="C201" s="405"/>
      <c r="D201" s="2004">
        <f>'qtrP&amp;L'!DJ11</f>
        <v>959.7</v>
      </c>
      <c r="E201" s="405"/>
      <c r="F201" s="418">
        <f>'qtrP&amp;L'!DJ21</f>
        <v>361.5</v>
      </c>
      <c r="G201" s="405"/>
      <c r="H201" s="355">
        <f>work!DF11</f>
        <v>2236.9</v>
      </c>
      <c r="I201" s="405"/>
      <c r="J201" s="418">
        <f>AVERAGE(H200:H201)</f>
        <v>2217.15</v>
      </c>
      <c r="K201" s="405"/>
      <c r="L201" s="412">
        <f>(D201/D194-1)*100</f>
        <v>3.0163160154572877</v>
      </c>
      <c r="M201" s="580"/>
      <c r="N201" s="412">
        <f>(H201/H194-1)*100</f>
        <v>-3.7809704060564386</v>
      </c>
      <c r="O201" s="580"/>
      <c r="P201" s="412">
        <f>(H201/H200-1)*100</f>
        <v>1.7975789569491196</v>
      </c>
      <c r="Q201" s="580"/>
      <c r="R201" s="1653">
        <f>F201/J201</f>
        <v>0.16304715513158785</v>
      </c>
      <c r="S201" s="405"/>
      <c r="T201" s="1653">
        <f>F202/H201</f>
        <v>0.16889445214359158</v>
      </c>
      <c r="U201" s="405"/>
      <c r="V201" s="1654">
        <f>qtrSales!J202</f>
        <v>312</v>
      </c>
      <c r="W201" s="405"/>
      <c r="X201" s="1653">
        <f>H201/V201</f>
        <v>7.1695512820512821</v>
      </c>
      <c r="Y201" s="405"/>
      <c r="Z201" s="374">
        <f>(X201/X194-1)*100</f>
        <v>-4.0893647316780584</v>
      </c>
      <c r="AA201" s="580"/>
      <c r="AB201" s="792">
        <f>Stores!AZ304</f>
        <v>1.2767999999999999</v>
      </c>
      <c r="AC201" s="405"/>
      <c r="AD201" s="358">
        <f>H201/AB201</f>
        <v>1751.9580200501255</v>
      </c>
      <c r="AE201" s="405"/>
      <c r="AF201" s="375">
        <f>(AD201/AD194-1)*100</f>
        <v>-4.0764873638923005</v>
      </c>
      <c r="AG201" s="580"/>
      <c r="AH201" s="1657">
        <f>J201/(F201/(365/4))</f>
        <v>559.65404564315361</v>
      </c>
      <c r="AI201" s="405"/>
      <c r="AJ201" s="1657"/>
    </row>
    <row r="202" spans="1:36">
      <c r="A202" s="405" t="str">
        <f>$A$48</f>
        <v>3Q</v>
      </c>
      <c r="B202" s="405" t="str">
        <f>$B$13</f>
        <v>Oct</v>
      </c>
      <c r="C202" s="405"/>
      <c r="D202" s="2004">
        <f>'qtrP&amp;L'!DJ12</f>
        <v>976.2</v>
      </c>
      <c r="E202" s="405"/>
      <c r="F202" s="418">
        <f>'qtrP&amp;L'!DJ22</f>
        <v>377.8</v>
      </c>
      <c r="G202" s="405"/>
      <c r="H202" s="355">
        <f>work!DF12</f>
        <v>2327.4</v>
      </c>
      <c r="I202" s="405"/>
      <c r="J202" s="418">
        <f>AVERAGE(H201:H202)</f>
        <v>2282.15</v>
      </c>
      <c r="K202" s="405"/>
      <c r="L202" s="412">
        <f>(D202/D195-1)*100</f>
        <v>2.8336669124618297</v>
      </c>
      <c r="M202" s="580"/>
      <c r="N202" s="412">
        <f>(H202/H195-1)*100</f>
        <v>1.0550996483001285</v>
      </c>
      <c r="O202" s="580"/>
      <c r="P202" s="412">
        <f>(H202/H201-1)*100</f>
        <v>4.0457776386964017</v>
      </c>
      <c r="Q202" s="580"/>
      <c r="R202" s="1653">
        <f>F202/J202</f>
        <v>0.16554564774445149</v>
      </c>
      <c r="S202" s="405"/>
      <c r="T202" s="1653">
        <f>F203/H202</f>
        <v>0.20782847813010225</v>
      </c>
      <c r="U202" s="405"/>
      <c r="V202" s="1654">
        <f>qtrSales!J203</f>
        <v>315</v>
      </c>
      <c r="W202" s="405"/>
      <c r="X202" s="1653">
        <f>H202/V202</f>
        <v>7.3885714285714288</v>
      </c>
      <c r="Y202" s="405"/>
      <c r="Z202" s="374">
        <f>(X202/X195-1)*100</f>
        <v>0.41347996799345754</v>
      </c>
      <c r="AA202" s="580"/>
      <c r="AB202" s="792">
        <f>Stores!AZ305</f>
        <v>1.2982999999999998</v>
      </c>
      <c r="AC202" s="405"/>
      <c r="AD202" s="358">
        <f>H202/AB202</f>
        <v>1792.6519294461993</v>
      </c>
      <c r="AE202" s="405"/>
      <c r="AF202" s="375">
        <f>(AD202/AD195-1)*100</f>
        <v>-0.20751922308822612</v>
      </c>
      <c r="AG202" s="580"/>
      <c r="AH202" s="1657">
        <f>J202/(F202/(365/4))</f>
        <v>551.20748411858119</v>
      </c>
      <c r="AI202" s="405"/>
      <c r="AJ202" s="1657"/>
    </row>
    <row r="203" spans="1:36">
      <c r="A203" s="405" t="str">
        <f>$A$49</f>
        <v>4Q</v>
      </c>
      <c r="B203" s="405" t="str">
        <f>$B$14</f>
        <v>Jan</v>
      </c>
      <c r="C203" s="405"/>
      <c r="D203" s="2005">
        <f>'qtrP&amp;L'!DJ13</f>
        <v>1334.3</v>
      </c>
      <c r="E203" s="405"/>
      <c r="F203" s="1659">
        <f>'qtrP&amp;L'!DJ23</f>
        <v>483.7</v>
      </c>
      <c r="G203" s="405"/>
      <c r="H203" s="355">
        <f>work!DF13</f>
        <v>2253.5</v>
      </c>
      <c r="I203" s="405"/>
      <c r="J203" s="1659">
        <f>AVERAGE(H202:H203)</f>
        <v>2290.4499999999998</v>
      </c>
      <c r="K203" s="405"/>
      <c r="L203" s="1660">
        <f>(D203/D196-1)*100</f>
        <v>8.5149642160052164</v>
      </c>
      <c r="M203" s="580"/>
      <c r="N203" s="374">
        <f>(H203/H196-1)*100</f>
        <v>4.4447534297367586</v>
      </c>
      <c r="O203" s="580"/>
      <c r="P203" s="412">
        <f>(H203/H202-1)*100</f>
        <v>-3.1752169803213937</v>
      </c>
      <c r="Q203" s="580"/>
      <c r="R203" s="1653">
        <f>F203/J203</f>
        <v>0.21118120893274248</v>
      </c>
      <c r="S203" s="405"/>
      <c r="T203" s="1661" t="s">
        <v>814</v>
      </c>
      <c r="U203" s="405"/>
      <c r="V203" s="1654">
        <f>qtrSales!J204</f>
        <v>315</v>
      </c>
      <c r="W203" s="405"/>
      <c r="X203" s="1653">
        <f>H203/V203</f>
        <v>7.1539682539682543</v>
      </c>
      <c r="Y203" s="405"/>
      <c r="Z203" s="374">
        <f>(X203/X196-1)*100</f>
        <v>3.7816121381193835</v>
      </c>
      <c r="AA203" s="580"/>
      <c r="AB203" s="792">
        <f>Stores!AZ306</f>
        <v>1.2968</v>
      </c>
      <c r="AC203" s="405"/>
      <c r="AD203" s="360">
        <f>H203/AB203</f>
        <v>1737.7390499691548</v>
      </c>
      <c r="AE203" s="405"/>
      <c r="AF203" s="375">
        <f>(AD203/AD196-1)*100</f>
        <v>3.2590841073459664</v>
      </c>
      <c r="AG203" s="580"/>
      <c r="AH203" s="1657">
        <f>J203/(F203/(365/4))</f>
        <v>432.09336882365102</v>
      </c>
      <c r="AI203" s="405"/>
      <c r="AJ203" s="1657"/>
    </row>
    <row r="204" spans="1:36">
      <c r="A204" s="405"/>
      <c r="B204" s="405" t="str">
        <f>$B$50</f>
        <v>Year</v>
      </c>
      <c r="C204" s="405"/>
      <c r="D204" s="2003">
        <f>SUM(D200:D203)</f>
        <v>4169.8</v>
      </c>
      <c r="E204" s="405"/>
      <c r="F204" s="1655">
        <f>SUM(F200:F203)</f>
        <v>1565</v>
      </c>
      <c r="G204" s="405"/>
      <c r="H204" s="1655"/>
      <c r="I204" s="405"/>
      <c r="J204" s="1655">
        <f>AVERAGE(J200:J203)</f>
        <v>2241.8125</v>
      </c>
      <c r="K204" s="405"/>
      <c r="L204" s="412">
        <f>(D204/D197-1)*100</f>
        <v>4.1981108501174536</v>
      </c>
      <c r="M204" s="580"/>
      <c r="N204" s="405"/>
      <c r="O204" s="580"/>
      <c r="P204" s="405"/>
      <c r="Q204" s="580"/>
      <c r="R204" s="1662">
        <f>F204/J204</f>
        <v>0.69809584878307174</v>
      </c>
      <c r="S204" s="1663" t="s">
        <v>1458</v>
      </c>
      <c r="T204" s="1653"/>
      <c r="U204" s="405"/>
      <c r="V204" s="405"/>
      <c r="W204" s="405"/>
      <c r="X204" s="405"/>
      <c r="Y204" s="405"/>
      <c r="Z204" s="405"/>
      <c r="AA204" s="580"/>
      <c r="AB204" s="405"/>
      <c r="AC204" s="405"/>
      <c r="AD204" s="405"/>
      <c r="AE204" s="405"/>
      <c r="AF204" s="405"/>
      <c r="AG204" s="580"/>
      <c r="AH204" s="405"/>
      <c r="AI204" s="405"/>
      <c r="AJ204" s="405"/>
    </row>
    <row r="205" spans="1:36">
      <c r="A205" s="405"/>
      <c r="B205" s="405"/>
      <c r="C205" s="405"/>
      <c r="D205" s="2003"/>
      <c r="E205" s="405"/>
      <c r="F205" s="1655"/>
      <c r="G205" s="405"/>
      <c r="H205" s="1655"/>
      <c r="I205" s="405"/>
      <c r="J205" s="1655"/>
      <c r="K205" s="405"/>
      <c r="L205" s="412"/>
      <c r="M205" s="580"/>
      <c r="N205" s="405"/>
      <c r="O205" s="580"/>
      <c r="P205" s="405"/>
      <c r="Q205" s="580"/>
      <c r="R205" s="2242"/>
      <c r="S205" s="681"/>
      <c r="T205" s="1653"/>
      <c r="U205" s="405"/>
      <c r="V205" s="405"/>
      <c r="W205" s="405"/>
      <c r="X205" s="405"/>
      <c r="Y205" s="405"/>
      <c r="Z205" s="405"/>
      <c r="AA205" s="580"/>
      <c r="AB205" s="405"/>
      <c r="AC205" s="405"/>
      <c r="AD205" s="405"/>
      <c r="AE205" s="405"/>
      <c r="AF205" s="405"/>
      <c r="AG205" s="580"/>
      <c r="AH205" s="405"/>
      <c r="AI205" s="405"/>
      <c r="AJ205" s="405"/>
    </row>
    <row r="206" spans="1:36">
      <c r="A206" s="405"/>
      <c r="B206" s="1652">
        <v>2018</v>
      </c>
      <c r="C206" s="405"/>
      <c r="D206" s="405"/>
      <c r="E206" s="405"/>
      <c r="F206" s="405"/>
      <c r="G206" s="405"/>
      <c r="H206" s="405"/>
      <c r="I206" s="405"/>
      <c r="J206" s="405"/>
      <c r="K206" s="405"/>
      <c r="L206" s="405"/>
      <c r="M206" s="580"/>
      <c r="N206" s="405"/>
      <c r="O206" s="580"/>
      <c r="P206" s="405"/>
      <c r="Q206" s="580"/>
      <c r="R206" s="405"/>
      <c r="S206" s="405"/>
      <c r="T206" s="1653"/>
      <c r="U206" s="405"/>
      <c r="V206" s="1654"/>
      <c r="W206" s="405"/>
      <c r="X206" s="405"/>
      <c r="Y206" s="405"/>
      <c r="Z206" s="405"/>
      <c r="AA206" s="580"/>
      <c r="AB206" s="792"/>
      <c r="AC206" s="405"/>
      <c r="AD206" s="405"/>
      <c r="AE206" s="405"/>
      <c r="AF206" s="405"/>
      <c r="AG206" s="580"/>
      <c r="AH206" s="405"/>
      <c r="AI206" s="405"/>
      <c r="AJ206" s="405"/>
    </row>
    <row r="207" spans="1:36">
      <c r="A207" s="405" t="str">
        <f>$A$46</f>
        <v>1Q</v>
      </c>
      <c r="B207" s="405" t="str">
        <f>$B$11</f>
        <v>Apr</v>
      </c>
      <c r="C207" s="580"/>
      <c r="D207" s="1655">
        <f>'qtrP&amp;L'!DN10</f>
        <v>962.18680975643326</v>
      </c>
      <c r="E207" s="405"/>
      <c r="F207" s="1655">
        <f>'qtrP&amp;L'!DN20</f>
        <v>363.70661408793177</v>
      </c>
      <c r="G207" s="405"/>
      <c r="H207" s="418">
        <f>AB207*AD207</f>
        <v>2299.675012065295</v>
      </c>
      <c r="I207" s="405"/>
      <c r="J207" s="1655">
        <f>AVERAGE(H207,H203)</f>
        <v>2276.5875060326475</v>
      </c>
      <c r="K207" s="405"/>
      <c r="L207" s="412">
        <f>(D207/D200-1)*100</f>
        <v>6.957182053849853</v>
      </c>
      <c r="M207" s="580" t="s">
        <v>1970</v>
      </c>
      <c r="N207" s="412">
        <f>(H207/H200-1)*100</f>
        <v>4.6543647977288938</v>
      </c>
      <c r="O207" s="580" t="s">
        <v>1970</v>
      </c>
      <c r="P207" s="412">
        <f>(H207/H203-1)*100</f>
        <v>2.0490353701040576</v>
      </c>
      <c r="Q207" s="580" t="s">
        <v>1970</v>
      </c>
      <c r="R207" s="1653">
        <f>F207/J207</f>
        <v>0.15975955816508641</v>
      </c>
      <c r="S207" s="405" t="s">
        <v>1458</v>
      </c>
      <c r="T207" s="1653">
        <f>F208/H207</f>
        <v>0.16533151779347996</v>
      </c>
      <c r="U207" s="405"/>
      <c r="V207" s="1654">
        <f>qtrSales!J208</f>
        <v>316</v>
      </c>
      <c r="W207" s="405"/>
      <c r="X207" s="1656">
        <f>H207/V207</f>
        <v>7.2774525698268828</v>
      </c>
      <c r="Y207" s="405"/>
      <c r="Z207" s="374">
        <f>(X207/X200-1)*100</f>
        <v>2.6672566053669522</v>
      </c>
      <c r="AA207" s="580" t="s">
        <v>1970</v>
      </c>
      <c r="AB207" s="792">
        <f>Stores!AZ310</f>
        <v>1.3010999999999999</v>
      </c>
      <c r="AC207" s="405"/>
      <c r="AD207" s="2256">
        <f>+AD200*(1+AF207/100)</f>
        <v>1767.4852140998348</v>
      </c>
      <c r="AE207" s="405"/>
      <c r="AF207" s="1511">
        <v>2</v>
      </c>
      <c r="AG207" s="580" t="s">
        <v>1970</v>
      </c>
      <c r="AH207" s="1657">
        <f>J207/(F207/(365/4))</f>
        <v>571.1708335203798</v>
      </c>
      <c r="AI207" s="405"/>
      <c r="AJ207" s="1657"/>
    </row>
    <row r="208" spans="1:36">
      <c r="A208" s="405" t="str">
        <f>$A$47</f>
        <v>2Q</v>
      </c>
      <c r="B208" s="405" t="str">
        <f>$B$12</f>
        <v>Jul</v>
      </c>
      <c r="C208" s="405"/>
      <c r="D208" s="2004">
        <f>'qtrP&amp;L'!DN11</f>
        <v>1013.8900271373188</v>
      </c>
      <c r="E208" s="405"/>
      <c r="F208" s="418">
        <f>'qtrP&amp;L'!DN21</f>
        <v>380.20876017649459</v>
      </c>
      <c r="G208" s="405"/>
      <c r="H208" s="418">
        <f>AB208*AD208</f>
        <v>2360.9608192878031</v>
      </c>
      <c r="I208" s="405"/>
      <c r="J208" s="418">
        <f>AVERAGE(H207:H208)</f>
        <v>2330.3179156765491</v>
      </c>
      <c r="K208" s="405"/>
      <c r="L208" s="412">
        <f>(D208/D201-1)*100</f>
        <v>5.6465590431717061</v>
      </c>
      <c r="M208" s="580"/>
      <c r="N208" s="412">
        <f>(H208/H201-1)*100</f>
        <v>5.546104845446953</v>
      </c>
      <c r="O208" s="580"/>
      <c r="P208" s="412">
        <f>(H208/H207-1)*100</f>
        <v>2.6649768728612022</v>
      </c>
      <c r="Q208" s="580"/>
      <c r="R208" s="1653">
        <f>F208/J208</f>
        <v>0.16315746345970591</v>
      </c>
      <c r="S208" s="405"/>
      <c r="T208" s="1653">
        <f>F209/H208</f>
        <v>0.1669701372287998</v>
      </c>
      <c r="U208" s="405"/>
      <c r="V208" s="1654">
        <f>qtrSales!J209</f>
        <v>321</v>
      </c>
      <c r="W208" s="405"/>
      <c r="X208" s="1653">
        <f>H208/V208</f>
        <v>7.3550181286224401</v>
      </c>
      <c r="Y208" s="405"/>
      <c r="Z208" s="374">
        <f>(X208/X201-1)*100</f>
        <v>2.5868682609951898</v>
      </c>
      <c r="AA208" s="580"/>
      <c r="AB208" s="792">
        <f>Stores!AZ311</f>
        <v>1.3211888888888887</v>
      </c>
      <c r="AC208" s="405"/>
      <c r="AD208" s="2256">
        <f>+AD201*(1+AF208/100)</f>
        <v>1786.9971804511281</v>
      </c>
      <c r="AE208" s="405"/>
      <c r="AF208" s="1511">
        <v>2</v>
      </c>
      <c r="AG208" s="580"/>
      <c r="AH208" s="1657">
        <f>J208/(F208/(365/4))</f>
        <v>559.27567188819103</v>
      </c>
      <c r="AI208" s="405"/>
      <c r="AJ208" s="1657"/>
    </row>
    <row r="209" spans="1:36">
      <c r="A209" s="405" t="str">
        <f>$A$48</f>
        <v>3Q</v>
      </c>
      <c r="B209" s="405" t="str">
        <f>$B$13</f>
        <v>Oct</v>
      </c>
      <c r="C209" s="405"/>
      <c r="D209" s="2004">
        <f>'qtrP&amp;L'!DN12</f>
        <v>1023.9219532163743</v>
      </c>
      <c r="E209" s="405"/>
      <c r="F209" s="418">
        <f>'qtrP&amp;L'!DN22</f>
        <v>394.20995198830411</v>
      </c>
      <c r="G209" s="405"/>
      <c r="H209" s="418">
        <f>AB209*AD209</f>
        <v>2404.4079448509592</v>
      </c>
      <c r="I209" s="405"/>
      <c r="J209" s="418">
        <f>AVERAGE(H208:H209)</f>
        <v>2382.6843820693812</v>
      </c>
      <c r="K209" s="405"/>
      <c r="L209" s="412">
        <f>(D209/D202-1)*100</f>
        <v>4.8885426363833417</v>
      </c>
      <c r="M209" s="580"/>
      <c r="N209" s="412">
        <f>(H209/H202-1)*100</f>
        <v>3.3087541828202838</v>
      </c>
      <c r="O209" s="580"/>
      <c r="P209" s="412">
        <f>(H209/H208-1)*100</f>
        <v>1.8402306894810039</v>
      </c>
      <c r="Q209" s="580"/>
      <c r="R209" s="1653">
        <f>F209/J209</f>
        <v>0.1654478263906399</v>
      </c>
      <c r="S209" s="405"/>
      <c r="T209" s="1653">
        <f>F210/H209</f>
        <v>0.20731233772325056</v>
      </c>
      <c r="U209" s="405"/>
      <c r="V209" s="1654">
        <f>qtrSales!J210</f>
        <v>322</v>
      </c>
      <c r="W209" s="405"/>
      <c r="X209" s="1653">
        <f>H209/V209</f>
        <v>7.4671054187917987</v>
      </c>
      <c r="Y209" s="405"/>
      <c r="Z209" s="374">
        <f>(X209/X202-1)*100</f>
        <v>1.0629117005850564</v>
      </c>
      <c r="AA209" s="580"/>
      <c r="AB209" s="792">
        <f>Stores!AZ312</f>
        <v>1.3279777777777777</v>
      </c>
      <c r="AC209" s="405"/>
      <c r="AD209" s="2257">
        <f>+AD202*(1+AF209/100)</f>
        <v>1810.5784487406613</v>
      </c>
      <c r="AE209" s="405"/>
      <c r="AF209" s="1511">
        <v>1</v>
      </c>
      <c r="AG209" s="580"/>
      <c r="AH209" s="1657">
        <f>J209/(F209/(365/4))</f>
        <v>551.53338663119723</v>
      </c>
      <c r="AI209" s="405"/>
      <c r="AJ209" s="1657"/>
    </row>
    <row r="210" spans="1:36">
      <c r="A210" s="405" t="str">
        <f>$A$49</f>
        <v>4Q</v>
      </c>
      <c r="B210" s="405" t="str">
        <f>$B$14</f>
        <v>Jan</v>
      </c>
      <c r="C210" s="405"/>
      <c r="D210" s="2005">
        <f>'qtrP&amp;L'!DN13</f>
        <v>1384.6206441316913</v>
      </c>
      <c r="E210" s="405"/>
      <c r="F210" s="1659">
        <f>'qtrP&amp;L'!DN23</f>
        <v>498.46343188740883</v>
      </c>
      <c r="G210" s="405"/>
      <c r="H210" s="418">
        <f>bal!BI12</f>
        <v>2398.3868305302744</v>
      </c>
      <c r="I210" s="405"/>
      <c r="J210" s="1659">
        <f>AVERAGE(H209:H210)</f>
        <v>2401.3973876906166</v>
      </c>
      <c r="K210" s="405"/>
      <c r="L210" s="1660">
        <f>(D210/D203-1)*100</f>
        <v>3.7713141071491707</v>
      </c>
      <c r="M210" s="580"/>
      <c r="N210" s="374">
        <f>(H210/H203-1)*100</f>
        <v>6.4294133805313791</v>
      </c>
      <c r="O210" s="580"/>
      <c r="P210" s="412">
        <f>(H210/H209-1)*100</f>
        <v>-0.25041983135927204</v>
      </c>
      <c r="Q210" s="580"/>
      <c r="R210" s="1653">
        <f>F210/J210</f>
        <v>0.20757223874836173</v>
      </c>
      <c r="S210" s="405"/>
      <c r="T210" s="1661" t="s">
        <v>814</v>
      </c>
      <c r="U210" s="405"/>
      <c r="V210" s="1654">
        <f>qtrSales!J211</f>
        <v>322</v>
      </c>
      <c r="W210" s="405"/>
      <c r="X210" s="1653">
        <f>H210/V210</f>
        <v>7.4484063059946415</v>
      </c>
      <c r="Y210" s="405"/>
      <c r="Z210" s="374">
        <f>(X210/X203-1)*100</f>
        <v>4.1157304809545936</v>
      </c>
      <c r="AA210" s="580"/>
      <c r="AB210" s="792">
        <f>Stores!AZ313</f>
        <v>1.3279777777777777</v>
      </c>
      <c r="AC210" s="405"/>
      <c r="AD210" s="2257">
        <f>H210/AB210</f>
        <v>1806.0444012426974</v>
      </c>
      <c r="AE210" s="405"/>
      <c r="AF210" s="375">
        <f>+((AD210/AD203)-1)*100</f>
        <v>3.9307024420470293</v>
      </c>
      <c r="AG210" s="580"/>
      <c r="AH210" s="1657">
        <f>J210/(F210/(365/4))</f>
        <v>439.60599235344614</v>
      </c>
      <c r="AI210" s="405"/>
      <c r="AJ210" s="1657"/>
    </row>
    <row r="211" spans="1:36">
      <c r="A211" s="405"/>
      <c r="B211" s="405" t="str">
        <f>$B$50</f>
        <v>Year</v>
      </c>
      <c r="C211" s="405"/>
      <c r="D211" s="2003">
        <f>SUM(D207:D210)</f>
        <v>4384.6194342418175</v>
      </c>
      <c r="E211" s="405"/>
      <c r="F211" s="1655">
        <f>SUM(F207:F210)</f>
        <v>1636.5887581401394</v>
      </c>
      <c r="G211" s="405"/>
      <c r="H211" s="1655"/>
      <c r="I211" s="405"/>
      <c r="J211" s="1655">
        <f>AVERAGE(J207:J210)</f>
        <v>2347.7467978672985</v>
      </c>
      <c r="K211" s="405"/>
      <c r="L211" s="412">
        <f>(D211/D204-1)*100</f>
        <v>5.1517922740135669</v>
      </c>
      <c r="M211" s="580"/>
      <c r="N211" s="405"/>
      <c r="O211" s="580"/>
      <c r="P211" s="405"/>
      <c r="Q211" s="580"/>
      <c r="R211" s="1662">
        <f>F211/J211</f>
        <v>0.69708912376190757</v>
      </c>
      <c r="S211" s="1663" t="s">
        <v>1458</v>
      </c>
      <c r="T211" s="1653"/>
      <c r="U211" s="405"/>
      <c r="V211" s="405"/>
      <c r="W211" s="405"/>
      <c r="X211" s="405"/>
      <c r="Y211" s="405"/>
      <c r="Z211" s="405"/>
      <c r="AA211" s="580"/>
      <c r="AB211" s="405"/>
      <c r="AC211" s="405"/>
      <c r="AD211" s="405"/>
      <c r="AE211" s="405"/>
      <c r="AF211" s="405"/>
      <c r="AG211" s="580"/>
      <c r="AH211" s="405"/>
      <c r="AI211" s="405"/>
      <c r="AJ211" s="405"/>
    </row>
    <row r="212" spans="1:36" ht="6.75" customHeight="1">
      <c r="A212" s="330"/>
      <c r="B212" s="330"/>
      <c r="C212" s="330"/>
      <c r="D212" s="330"/>
      <c r="E212" s="330"/>
      <c r="F212" s="1655"/>
      <c r="G212" s="330"/>
      <c r="H212" s="330"/>
      <c r="I212" s="330"/>
      <c r="J212" s="330"/>
      <c r="K212" s="330"/>
      <c r="L212" s="330"/>
      <c r="M212" s="330"/>
      <c r="N212" s="330"/>
      <c r="O212" s="330"/>
      <c r="P212" s="330"/>
      <c r="Q212" s="330"/>
      <c r="R212" s="330"/>
      <c r="S212" s="330"/>
      <c r="T212" s="359"/>
      <c r="U212" s="330"/>
      <c r="V212" s="330"/>
      <c r="W212" s="330"/>
      <c r="X212" s="330"/>
      <c r="Y212" s="330"/>
      <c r="Z212" s="330"/>
      <c r="AA212" s="330"/>
      <c r="AB212" s="377"/>
      <c r="AC212" s="330"/>
      <c r="AD212" s="330"/>
      <c r="AE212" s="330"/>
      <c r="AF212" s="330"/>
      <c r="AG212" s="330"/>
      <c r="AH212" s="330"/>
      <c r="AI212" s="330"/>
      <c r="AJ212" s="330"/>
    </row>
    <row r="213" spans="1:36" ht="10.5" customHeight="1">
      <c r="A213" s="378" t="s">
        <v>1459</v>
      </c>
      <c r="B213" s="350"/>
      <c r="C213" s="350"/>
      <c r="D213" s="350"/>
      <c r="E213" s="350"/>
      <c r="F213" s="350"/>
      <c r="G213" s="350"/>
      <c r="H213" s="350"/>
      <c r="I213" s="350"/>
      <c r="J213" s="350"/>
      <c r="K213" s="350"/>
      <c r="L213" s="350"/>
      <c r="M213" s="350"/>
      <c r="N213" s="350"/>
      <c r="O213" s="350"/>
      <c r="P213" s="350"/>
      <c r="Q213" s="350"/>
      <c r="R213" s="350"/>
      <c r="S213" s="350"/>
      <c r="T213" s="359"/>
      <c r="U213" s="350"/>
      <c r="V213" s="350"/>
      <c r="W213" s="350"/>
      <c r="X213" s="379"/>
      <c r="Y213" s="350"/>
      <c r="Z213" s="350"/>
      <c r="AA213" s="350"/>
      <c r="AB213" s="350"/>
      <c r="AC213" s="350"/>
      <c r="AD213" s="379"/>
      <c r="AE213" s="350"/>
      <c r="AF213" s="350"/>
      <c r="AG213" s="350"/>
      <c r="AH213" s="350"/>
      <c r="AI213" s="350"/>
      <c r="AJ213" s="350"/>
    </row>
    <row r="214" spans="1:36" ht="10.5" customHeight="1">
      <c r="A214" s="378" t="s">
        <v>42</v>
      </c>
      <c r="B214" s="350"/>
      <c r="C214" s="350"/>
      <c r="D214" s="350"/>
      <c r="E214" s="350"/>
      <c r="F214" s="350"/>
      <c r="G214" s="350"/>
      <c r="H214" s="350"/>
      <c r="I214" s="350"/>
      <c r="J214" s="350"/>
      <c r="K214" s="350"/>
      <c r="L214" s="350"/>
      <c r="M214" s="350"/>
      <c r="N214" s="350"/>
      <c r="O214" s="350"/>
      <c r="P214" s="380"/>
      <c r="Q214" s="350"/>
      <c r="R214" s="350"/>
      <c r="S214" s="350"/>
      <c r="T214" s="359"/>
      <c r="U214" s="350"/>
      <c r="V214" s="350"/>
      <c r="W214" s="350"/>
      <c r="X214" s="379"/>
      <c r="Y214" s="350"/>
      <c r="Z214" s="350"/>
      <c r="AA214" s="350"/>
      <c r="AB214" s="350"/>
      <c r="AC214" s="350"/>
      <c r="AD214" s="379"/>
      <c r="AE214" s="350"/>
      <c r="AF214" s="350"/>
      <c r="AG214" s="350"/>
      <c r="AH214" s="350"/>
      <c r="AI214" s="350"/>
      <c r="AJ214" s="350"/>
    </row>
    <row r="215" spans="1:36" ht="5.25" customHeight="1">
      <c r="A215" s="381"/>
      <c r="B215" s="380"/>
      <c r="C215" s="380"/>
      <c r="D215" s="380"/>
      <c r="E215" s="380"/>
      <c r="F215" s="380"/>
      <c r="G215" s="380"/>
      <c r="H215" s="380"/>
      <c r="I215" s="380"/>
      <c r="J215" s="380"/>
      <c r="K215" s="380"/>
      <c r="L215" s="380"/>
      <c r="M215" s="380"/>
      <c r="N215" s="380"/>
      <c r="O215" s="380"/>
      <c r="P215" s="380"/>
      <c r="Q215" s="380"/>
      <c r="R215" s="380"/>
      <c r="S215" s="380"/>
      <c r="T215" s="359"/>
      <c r="U215" s="380"/>
      <c r="V215" s="380"/>
      <c r="W215" s="380"/>
      <c r="X215" s="382"/>
      <c r="Y215" s="380"/>
      <c r="Z215" s="380"/>
      <c r="AA215" s="380"/>
      <c r="AB215" s="380"/>
      <c r="AC215" s="380"/>
      <c r="AD215" s="382"/>
      <c r="AE215" s="380"/>
      <c r="AF215" s="380"/>
      <c r="AG215" s="380"/>
      <c r="AH215" s="380"/>
      <c r="AI215" s="380"/>
      <c r="AJ215" s="380"/>
    </row>
    <row r="216" spans="1:36" ht="10.5" customHeight="1">
      <c r="A216" s="383" t="s">
        <v>1617</v>
      </c>
      <c r="B216" s="380"/>
      <c r="C216" s="380"/>
      <c r="D216" s="380"/>
      <c r="E216" s="380"/>
      <c r="F216" s="380"/>
      <c r="G216" s="380"/>
      <c r="H216" s="380"/>
      <c r="I216" s="380"/>
      <c r="J216" s="380"/>
      <c r="K216" s="380"/>
      <c r="L216" s="380"/>
      <c r="M216" s="380"/>
      <c r="N216" s="380"/>
      <c r="O216" s="380"/>
      <c r="P216" s="384"/>
      <c r="Q216" s="380"/>
      <c r="R216" s="380"/>
      <c r="S216" s="380"/>
      <c r="T216" s="359"/>
      <c r="U216" s="380"/>
      <c r="V216" s="380"/>
      <c r="W216" s="380"/>
      <c r="X216" s="382"/>
      <c r="Y216" s="380"/>
      <c r="Z216" s="380"/>
      <c r="AA216" s="380"/>
      <c r="AB216" s="380"/>
      <c r="AC216" s="380"/>
      <c r="AD216" s="382"/>
      <c r="AE216" s="380"/>
      <c r="AF216" s="380"/>
      <c r="AG216" s="380"/>
      <c r="AH216" s="380"/>
      <c r="AI216" s="380"/>
      <c r="AJ216" s="380"/>
    </row>
  </sheetData>
  <phoneticPr fontId="0" type="noConversion"/>
  <dataValidations count="1">
    <dataValidation type="custom" allowBlank="1" showInputMessage="1" showErrorMessage="1" sqref="AD219 B134:B135 V134:V136 D134:D136 F134:F136 AB134:AB136 V141:V143 H134:H136 H141:H143 B85:B86 B106 V99 AB92:AB94 C82:C99 D99 H92:H94 D92:D94 E82:E99 F99 D85:D87 F92:F94 G82:G99 F85:F87 H85:H87 I101:U106 W82:AA99 V85:V87 V92:V94 AB99 AB85:AB87 B92:B93 V106 C101:C106 AB101 D106 E101:E106 H101 D101 H106 G101:G106 F101 F106 W101:AA106 AB106 V101 A108:A113 AC82:IV99 H99 A101:A106 V113 B99 C108:C113 D113 AB108 E108:E113 AC108:IV113 H108 D108 G108:G113 F113 F108 I82:U99 W108:AA113 AB113 V108 B120 I108:U113 AC101:IV106 B113 A115:A120 V120 C115:C120 D120 AB115 E115:E120 H120 H115 D115 G115:G120 F120 F115 B127:B128 W115:AA120 AB120 V115 I115:U120 H113 AC115:IV120 V127:V129 D127:D129 AB122 A82:A99 H127:H129 H122 D122 F127:F129 F122 AB141:AB143 AB127:AB129 V122 F141:F143 D141:D143 B169:B170 B141:B142 V169:V171 F169:F171 H169:H171 B148:B149 D148:D150 F148:F150 AB148:AB150 H148:H150 V148:V150 B155:B156 D155:D157 F155:F157 AB155:AB157 H155:H157 V155:V157 F162:F164 D176:D178 V162:V164 B162:B163 AB169:AB171 D162:D164 AB162:AB164 H162:H164 B176:B177 V176:V178 F176:F178 H176:H178 I122:U211 D169:D171 G122:G211 A122:A211 W122:AA211 H190:H192 AB183:AB185 D183:D185 AB176:AB178 B183:B184 V183:V185 F183:F185 H183:H185 V197:V199 AB190:AB192 D190:D192 B190:B191 V190:V192 F190:F192 F211:F212 H197:H199 AB197:AB199 B197:B198 D204:D206 D197:D199 E122:E211 F197:F199 V204:V206 H204:H206 AB204:AB206 B204:B205 AG122:IV211 AF211 AC122:AE211 F204:F206 C122:C211 D211 V211 H211 AB211 B211 AF122:AF209">
      <formula1>-1</formula1>
    </dataValidation>
  </dataValidations>
  <printOptions horizontalCentered="1"/>
  <pageMargins left="0.25" right="0.25" top="0" bottom="0" header="0.5" footer="0.5"/>
  <pageSetup scale="38" orientation="landscape" r:id="rId1"/>
  <headerFooter alignWithMargins="0">
    <oddFooter>&amp;R&amp;8&amp;D/&amp;T
&amp;F/&amp;A</oddFooter>
  </headerFooter>
  <cellWatches>
    <cellWatch r="AF166"/>
  </cellWatches>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M5"/>
  <sheetViews>
    <sheetView workbookViewId="0">
      <selection activeCell="R20" sqref="R20"/>
    </sheetView>
  </sheetViews>
  <sheetFormatPr defaultRowHeight="12.75"/>
  <sheetData>
    <row r="2" spans="2:13">
      <c r="C2" s="154" t="s">
        <v>2465</v>
      </c>
      <c r="D2" s="154" t="s">
        <v>2466</v>
      </c>
      <c r="E2" s="154" t="s">
        <v>2463</v>
      </c>
      <c r="F2" s="154" t="s">
        <v>2467</v>
      </c>
      <c r="G2" s="154" t="s">
        <v>3093</v>
      </c>
      <c r="H2" s="154" t="s">
        <v>3097</v>
      </c>
      <c r="I2" s="154" t="s">
        <v>3098</v>
      </c>
      <c r="J2" s="154" t="s">
        <v>3099</v>
      </c>
      <c r="K2" s="154" t="s">
        <v>3092</v>
      </c>
      <c r="L2" s="154" t="s">
        <v>3100</v>
      </c>
      <c r="M2" s="2316" t="s">
        <v>3104</v>
      </c>
    </row>
    <row r="3" spans="2:13">
      <c r="B3" s="133" t="s">
        <v>3101</v>
      </c>
      <c r="C3" s="728">
        <f>(work!CY10)/100</f>
        <v>-2.2905687449734202E-2</v>
      </c>
      <c r="D3" s="728">
        <f>(work!CY11)/100</f>
        <v>-6.8636920090493603E-2</v>
      </c>
      <c r="E3" s="728">
        <f>(work!CY12)/100</f>
        <v>-8.3335253629457373E-2</v>
      </c>
      <c r="F3" s="728">
        <f>(work!CY13)/100</f>
        <v>-5.8041573176410788E-2</v>
      </c>
      <c r="G3" s="728">
        <f>(work!DC10)/100</f>
        <v>-1.815488785442243E-2</v>
      </c>
      <c r="H3" s="728">
        <f>(work!DC11)/100</f>
        <v>-1.3954277473809062E-2</v>
      </c>
      <c r="I3" s="728">
        <f>(work!DC12)/100</f>
        <v>-1.8704729441840651E-2</v>
      </c>
      <c r="J3" s="728">
        <f>(work!DC13)/100</f>
        <v>-3.029213483146076E-2</v>
      </c>
      <c r="K3" s="728">
        <f>(work!DG10)/100</f>
        <v>-5.2885651480539586E-2</v>
      </c>
      <c r="L3" s="728">
        <f>(work!DG11)/100</f>
        <v>-3.7809704060564386E-2</v>
      </c>
      <c r="M3" s="728">
        <f>(work!DG12)/100</f>
        <v>1.0550996483001285E-2</v>
      </c>
    </row>
    <row r="4" spans="2:13">
      <c r="B4" s="133" t="s">
        <v>3102</v>
      </c>
      <c r="C4" s="728">
        <f>('qtrP&amp;L'!DC11)/100</f>
        <v>-2.4473024281670419E-3</v>
      </c>
      <c r="D4" s="728">
        <f>('qtrP&amp;L'!DC12)/100</f>
        <v>-2.2289751133037217E-2</v>
      </c>
      <c r="E4" s="728">
        <f>('qtrP&amp;L'!DC13)/100</f>
        <v>-5.5756725087958703E-2</v>
      </c>
      <c r="F4" s="728">
        <f>('qtrP&amp;L'!DG10)/100</f>
        <v>-7.3877805486284309E-2</v>
      </c>
      <c r="G4" s="728">
        <f>('qtrP&amp;L'!DG11)/100</f>
        <v>-5.9464916708733002E-2</v>
      </c>
      <c r="H4" s="728">
        <f>('qtrP&amp;L'!DG12)/100</f>
        <v>1.1831166062673093E-2</v>
      </c>
      <c r="I4" s="728">
        <f>('qtrP&amp;L'!DG13)/100</f>
        <v>1.3183915622940079E-2</v>
      </c>
      <c r="J4" s="728">
        <f>('qtrP&amp;L'!DK10)/100</f>
        <v>9.312240547515005E-3</v>
      </c>
      <c r="K4" s="728">
        <f>('qtrP&amp;L'!DK11)/100</f>
        <v>3.0163160154572877E-2</v>
      </c>
      <c r="L4" s="728">
        <f>('qtrP&amp;L'!DK12)/100</f>
        <v>2.8336669124618297E-2</v>
      </c>
      <c r="M4" s="728">
        <f>('qtrP&amp;L'!DK13)/100</f>
        <v>8.5149642160052164E-2</v>
      </c>
    </row>
    <row r="5" spans="2:13">
      <c r="B5" s="133" t="s">
        <v>48</v>
      </c>
      <c r="C5" s="875">
        <f>C4-C3</f>
        <v>2.045838502156716E-2</v>
      </c>
      <c r="D5" s="875">
        <f t="shared" ref="D5:K5" si="0">D4-D3</f>
        <v>4.6347168957456386E-2</v>
      </c>
      <c r="E5" s="875">
        <f t="shared" si="0"/>
        <v>2.757852854149867E-2</v>
      </c>
      <c r="F5" s="875">
        <f t="shared" si="0"/>
        <v>-1.5836232309873521E-2</v>
      </c>
      <c r="G5" s="875">
        <f t="shared" si="0"/>
        <v>-4.1310028854310572E-2</v>
      </c>
      <c r="H5" s="875">
        <f>H4-H3</f>
        <v>2.5785443536482155E-2</v>
      </c>
      <c r="I5" s="875">
        <f t="shared" si="0"/>
        <v>3.188864506478073E-2</v>
      </c>
      <c r="J5" s="875">
        <f t="shared" si="0"/>
        <v>3.9604375378975765E-2</v>
      </c>
      <c r="K5" s="875">
        <f t="shared" si="0"/>
        <v>8.3048811635112463E-2</v>
      </c>
      <c r="L5" s="875">
        <f>L4-L3</f>
        <v>6.6146373185182683E-2</v>
      </c>
      <c r="M5" s="875">
        <f>M4-M3</f>
        <v>7.4598645677050879E-2</v>
      </c>
    </row>
  </sheetData>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AJ197"/>
  <sheetViews>
    <sheetView showGridLines="0" topLeftCell="A10" zoomScale="85" workbookViewId="0">
      <selection activeCell="C65" sqref="C65"/>
    </sheetView>
  </sheetViews>
  <sheetFormatPr defaultColWidth="6.7109375" defaultRowHeight="12.75" outlineLevelRow="1" outlineLevelCol="1"/>
  <cols>
    <col min="1" max="1" width="1" customWidth="1"/>
    <col min="2" max="2" width="1.140625" customWidth="1"/>
    <col min="3" max="4" width="13.42578125" customWidth="1"/>
    <col min="5" max="5" width="13.28515625" customWidth="1"/>
    <col min="6" max="6" width="12.42578125" customWidth="1"/>
    <col min="7" max="7" width="9.42578125" customWidth="1"/>
    <col min="8" max="8" width="9.5703125" customWidth="1"/>
    <col min="9" max="9" width="12" customWidth="1"/>
    <col min="10" max="23" width="9.5703125" customWidth="1"/>
    <col min="24" max="26" width="6.7109375" customWidth="1"/>
    <col min="27" max="27" width="46.5703125" customWidth="1" outlineLevel="1"/>
    <col min="28" max="28" width="6.7109375" customWidth="1" outlineLevel="1"/>
    <col min="29" max="29" width="32.85546875" customWidth="1" outlineLevel="1"/>
    <col min="30" max="32" width="6.7109375" customWidth="1" outlineLevel="1"/>
  </cols>
  <sheetData>
    <row r="1" spans="1:36" ht="45" customHeight="1" thickBot="1">
      <c r="A1" s="2"/>
      <c r="B1" s="3"/>
      <c r="C1" s="4"/>
      <c r="D1" s="5"/>
      <c r="E1" s="5"/>
      <c r="F1" s="4"/>
      <c r="G1" s="4" t="s">
        <v>772</v>
      </c>
      <c r="H1" s="6"/>
      <c r="I1" s="6"/>
      <c r="J1" s="6"/>
      <c r="K1" s="6"/>
      <c r="L1" s="6"/>
      <c r="M1" s="6"/>
      <c r="N1" s="7"/>
      <c r="O1" s="6"/>
      <c r="P1" s="6"/>
      <c r="Q1" s="6"/>
      <c r="R1" s="6"/>
      <c r="S1" s="6"/>
      <c r="T1" s="5"/>
      <c r="U1" s="5"/>
      <c r="V1" s="5"/>
      <c r="W1" s="8"/>
      <c r="X1" s="9"/>
      <c r="Y1" s="9"/>
      <c r="Z1" s="9"/>
      <c r="AG1" s="9"/>
      <c r="AH1" s="9"/>
      <c r="AI1" s="9"/>
      <c r="AJ1" s="10"/>
    </row>
    <row r="2" spans="1:36" ht="32.25" customHeight="1" thickBot="1">
      <c r="A2" s="11"/>
      <c r="B2" s="12"/>
      <c r="C2" s="13"/>
      <c r="D2" s="13"/>
      <c r="E2" s="13"/>
      <c r="F2" s="13"/>
      <c r="G2" s="13"/>
      <c r="H2" s="14"/>
      <c r="I2" s="14"/>
      <c r="J2" s="14"/>
      <c r="K2" s="14"/>
      <c r="L2" s="14"/>
      <c r="M2" s="14"/>
      <c r="N2" s="15"/>
      <c r="O2" s="15"/>
      <c r="P2" s="15" t="s">
        <v>697</v>
      </c>
      <c r="Q2" s="15"/>
      <c r="R2" s="14"/>
      <c r="S2" s="14"/>
      <c r="T2" s="16"/>
      <c r="U2" s="16"/>
      <c r="V2" s="16"/>
      <c r="W2" s="16"/>
      <c r="X2" s="17"/>
      <c r="Y2" s="17"/>
      <c r="Z2" s="17"/>
      <c r="AG2" s="17"/>
      <c r="AH2" s="17"/>
      <c r="AI2" s="17"/>
      <c r="AJ2" s="18"/>
    </row>
    <row r="3" spans="1:36" ht="15.75" customHeight="1" thickBot="1">
      <c r="A3" s="19"/>
      <c r="B3" s="20"/>
      <c r="C3" s="21"/>
      <c r="D3" s="21"/>
      <c r="E3" s="21"/>
      <c r="F3" s="21"/>
      <c r="G3" s="21"/>
      <c r="H3" s="22"/>
      <c r="I3" s="23" t="s">
        <v>1388</v>
      </c>
      <c r="J3" s="24" t="s">
        <v>697</v>
      </c>
      <c r="K3" s="25"/>
      <c r="L3" s="26"/>
      <c r="M3" s="27"/>
      <c r="N3" s="28"/>
      <c r="O3" s="29"/>
      <c r="P3" s="30"/>
      <c r="Q3" s="22"/>
      <c r="R3" s="22"/>
      <c r="S3" s="22"/>
      <c r="T3" s="25"/>
      <c r="U3" s="25"/>
      <c r="V3" s="25"/>
      <c r="W3" s="25"/>
      <c r="X3" s="25"/>
      <c r="Y3" s="25"/>
      <c r="Z3" s="25"/>
      <c r="AG3" s="25"/>
      <c r="AH3" s="25"/>
      <c r="AI3" s="25"/>
      <c r="AJ3" s="31"/>
    </row>
    <row r="4" spans="1:36" ht="15.75" customHeight="1">
      <c r="A4" s="32"/>
      <c r="B4" s="33"/>
      <c r="C4" s="34" t="str">
        <f>_xll.ThomsonONEAddinShim.SpreadsheetFormulas.TF($F$4,"TextAv(TF.CompanyName(sdate=0D),-)")</f>
        <v>Tiffany &amp; Co</v>
      </c>
      <c r="D4" s="35"/>
      <c r="E4" s="21"/>
      <c r="F4" s="36" t="s">
        <v>2393</v>
      </c>
      <c r="G4" s="37"/>
      <c r="H4" s="38" t="str">
        <f>MONTH(I4)&amp;"/"&amp;YEAR(I4)</f>
        <v>1/2017</v>
      </c>
      <c r="I4" s="39">
        <f>_xll.ThomsonONEAddinShim.SpreadsheetFormulas.TF($F$4,"TF.FN.FiscalYearEndDate(period=FY0)")</f>
        <v>42766</v>
      </c>
      <c r="J4" s="40"/>
      <c r="K4" s="22"/>
      <c r="L4" s="40"/>
      <c r="M4" s="40"/>
      <c r="N4" s="40"/>
      <c r="O4" s="40"/>
      <c r="P4" s="40"/>
      <c r="Q4" s="40"/>
      <c r="R4" s="40"/>
      <c r="S4" s="40"/>
      <c r="T4" s="17"/>
      <c r="U4" s="17"/>
      <c r="V4" s="17"/>
      <c r="W4" s="17"/>
      <c r="X4" s="17"/>
      <c r="Y4" s="17"/>
      <c r="Z4" s="17"/>
      <c r="AG4" s="17"/>
      <c r="AH4" s="17"/>
      <c r="AI4" s="17"/>
      <c r="AJ4" s="18" t="s">
        <v>2397</v>
      </c>
    </row>
    <row r="5" spans="1:36" ht="15.75" customHeight="1">
      <c r="A5" s="32"/>
      <c r="B5" s="33"/>
      <c r="C5" s="41" t="s">
        <v>2258</v>
      </c>
      <c r="D5" s="42"/>
      <c r="E5" s="43"/>
      <c r="F5" s="44">
        <f>H8</f>
        <v>2009</v>
      </c>
      <c r="G5" s="43"/>
      <c r="H5" s="45" t="str">
        <f t="shared" ref="H5:P5" si="0">"FY"&amp;H7</f>
        <v>FY-8</v>
      </c>
      <c r="I5" s="45" t="str">
        <f t="shared" si="0"/>
        <v>FY-7</v>
      </c>
      <c r="J5" s="45" t="str">
        <f t="shared" si="0"/>
        <v>FY-6</v>
      </c>
      <c r="K5" s="45" t="str">
        <f t="shared" si="0"/>
        <v>FY-5</v>
      </c>
      <c r="L5" s="45" t="str">
        <f t="shared" si="0"/>
        <v>FY-4</v>
      </c>
      <c r="M5" s="45" t="str">
        <f t="shared" si="0"/>
        <v>FY-3</v>
      </c>
      <c r="N5" s="45" t="str">
        <f t="shared" si="0"/>
        <v>FY-2</v>
      </c>
      <c r="O5" s="45" t="str">
        <f t="shared" si="0"/>
        <v>FY-1</v>
      </c>
      <c r="P5" s="45" t="str">
        <f t="shared" si="0"/>
        <v>FY0</v>
      </c>
      <c r="Q5" s="40"/>
      <c r="R5" s="40"/>
      <c r="S5" s="40"/>
      <c r="T5" s="17"/>
      <c r="U5" s="17"/>
      <c r="V5" s="17"/>
      <c r="W5" s="17"/>
      <c r="X5" s="17"/>
      <c r="Y5" s="17"/>
      <c r="Z5" s="17"/>
      <c r="AG5" s="17"/>
      <c r="AH5" s="17"/>
      <c r="AI5" s="17"/>
      <c r="AJ5" s="46"/>
    </row>
    <row r="6" spans="1:36" ht="13.5" customHeight="1"/>
    <row r="7" spans="1:36">
      <c r="A7" s="32"/>
      <c r="B7" s="33"/>
      <c r="C7" s="48"/>
      <c r="D7" s="43"/>
      <c r="E7" s="43"/>
      <c r="F7" s="43"/>
      <c r="G7" s="43"/>
      <c r="H7" s="49">
        <f t="shared" ref="H7:O7" si="1">I7-1</f>
        <v>-8</v>
      </c>
      <c r="I7" s="50">
        <f t="shared" si="1"/>
        <v>-7</v>
      </c>
      <c r="J7" s="50">
        <f t="shared" si="1"/>
        <v>-6</v>
      </c>
      <c r="K7" s="50">
        <f t="shared" si="1"/>
        <v>-5</v>
      </c>
      <c r="L7" s="50">
        <f t="shared" si="1"/>
        <v>-4</v>
      </c>
      <c r="M7" s="50">
        <f t="shared" si="1"/>
        <v>-3</v>
      </c>
      <c r="N7" s="50">
        <f t="shared" si="1"/>
        <v>-2</v>
      </c>
      <c r="O7" s="50">
        <f t="shared" si="1"/>
        <v>-1</v>
      </c>
      <c r="P7" s="50">
        <v>0</v>
      </c>
      <c r="Q7" s="50">
        <f t="shared" ref="Q7:W7" si="2">P7+1</f>
        <v>1</v>
      </c>
      <c r="R7" s="50">
        <f t="shared" si="2"/>
        <v>2</v>
      </c>
      <c r="S7" s="50">
        <f t="shared" si="2"/>
        <v>3</v>
      </c>
      <c r="T7" s="50">
        <f t="shared" si="2"/>
        <v>4</v>
      </c>
      <c r="U7" s="50">
        <f t="shared" si="2"/>
        <v>5</v>
      </c>
      <c r="V7" s="50">
        <f t="shared" si="2"/>
        <v>6</v>
      </c>
      <c r="W7" s="50">
        <f t="shared" si="2"/>
        <v>7</v>
      </c>
      <c r="X7" s="17"/>
      <c r="Y7" s="17"/>
      <c r="Z7" s="17"/>
      <c r="AG7" s="17"/>
      <c r="AH7" s="17"/>
      <c r="AI7" s="17"/>
      <c r="AJ7" s="18"/>
    </row>
    <row r="8" spans="1:36" outlineLevel="1">
      <c r="A8" s="51"/>
      <c r="B8" s="33"/>
      <c r="C8" s="47"/>
      <c r="D8" s="47"/>
      <c r="E8" s="47"/>
      <c r="F8" s="47"/>
      <c r="G8" s="47"/>
      <c r="H8" s="52">
        <f t="shared" ref="H8:W8" si="3">YEAR(H9)</f>
        <v>2009</v>
      </c>
      <c r="I8" s="52">
        <f t="shared" si="3"/>
        <v>2010</v>
      </c>
      <c r="J8" s="52">
        <f t="shared" si="3"/>
        <v>2011</v>
      </c>
      <c r="K8" s="52">
        <f t="shared" si="3"/>
        <v>2012</v>
      </c>
      <c r="L8" s="52">
        <f t="shared" si="3"/>
        <v>2013</v>
      </c>
      <c r="M8" s="52">
        <f t="shared" si="3"/>
        <v>2014</v>
      </c>
      <c r="N8" s="52">
        <f t="shared" si="3"/>
        <v>2015</v>
      </c>
      <c r="O8" s="52">
        <f t="shared" si="3"/>
        <v>2016</v>
      </c>
      <c r="P8" s="52">
        <f t="shared" si="3"/>
        <v>2017</v>
      </c>
      <c r="Q8" s="52">
        <f t="shared" si="3"/>
        <v>2018</v>
      </c>
      <c r="R8" s="52">
        <f t="shared" si="3"/>
        <v>2019</v>
      </c>
      <c r="S8" s="52">
        <f t="shared" si="3"/>
        <v>2020</v>
      </c>
      <c r="T8" s="52">
        <f t="shared" si="3"/>
        <v>2021</v>
      </c>
      <c r="U8" s="52">
        <f t="shared" si="3"/>
        <v>2022</v>
      </c>
      <c r="V8" s="52">
        <f t="shared" si="3"/>
        <v>2023</v>
      </c>
      <c r="W8" s="52">
        <f t="shared" si="3"/>
        <v>2024</v>
      </c>
      <c r="X8" s="33"/>
      <c r="Y8" s="33"/>
      <c r="Z8" s="33"/>
      <c r="AG8" s="33"/>
      <c r="AH8" s="33"/>
      <c r="AI8" s="33"/>
      <c r="AJ8" s="18"/>
    </row>
    <row r="9" spans="1:36" ht="14.25" customHeight="1">
      <c r="A9" s="32"/>
      <c r="B9" s="33"/>
      <c r="C9" s="53" t="s">
        <v>468</v>
      </c>
      <c r="D9" s="54"/>
      <c r="E9" s="54"/>
      <c r="F9" s="54"/>
      <c r="G9" s="54"/>
      <c r="H9" s="55">
        <f>DATE(YEAR($I$4)+H7,MONTH($I$4),DAY($I$4))</f>
        <v>39844</v>
      </c>
      <c r="I9" s="55">
        <f t="shared" ref="I9:W9" si="4">DATE(YEAR($I$4)+I7,MONTH($I$4),DAY($I$4))</f>
        <v>40209</v>
      </c>
      <c r="J9" s="55">
        <f>DATE(YEAR($I$4)+J7,MONTH($I$4),DAY($I$4))</f>
        <v>40574</v>
      </c>
      <c r="K9" s="55">
        <f t="shared" si="4"/>
        <v>40939</v>
      </c>
      <c r="L9" s="55">
        <f t="shared" si="4"/>
        <v>41305</v>
      </c>
      <c r="M9" s="55">
        <f t="shared" si="4"/>
        <v>41670</v>
      </c>
      <c r="N9" s="55">
        <f t="shared" si="4"/>
        <v>42035</v>
      </c>
      <c r="O9" s="55">
        <f t="shared" si="4"/>
        <v>42400</v>
      </c>
      <c r="P9" s="55">
        <f t="shared" si="4"/>
        <v>42766</v>
      </c>
      <c r="Q9" s="55">
        <f t="shared" si="4"/>
        <v>43131</v>
      </c>
      <c r="R9" s="55">
        <f t="shared" si="4"/>
        <v>43496</v>
      </c>
      <c r="S9" s="55">
        <f t="shared" si="4"/>
        <v>43861</v>
      </c>
      <c r="T9" s="55">
        <f t="shared" si="4"/>
        <v>44227</v>
      </c>
      <c r="U9" s="55">
        <f t="shared" si="4"/>
        <v>44592</v>
      </c>
      <c r="V9" s="55">
        <f t="shared" si="4"/>
        <v>44957</v>
      </c>
      <c r="W9" s="55">
        <f t="shared" si="4"/>
        <v>45322</v>
      </c>
      <c r="X9" s="17"/>
      <c r="Y9" s="17"/>
      <c r="Z9" s="17"/>
      <c r="AG9" s="17"/>
      <c r="AH9" s="17"/>
      <c r="AI9" s="17"/>
      <c r="AJ9" s="18"/>
    </row>
    <row r="10" spans="1:36">
      <c r="A10" s="32"/>
      <c r="B10" s="33"/>
      <c r="C10" s="56"/>
      <c r="D10" s="54"/>
      <c r="E10" s="54"/>
      <c r="F10" s="54"/>
      <c r="G10" s="57"/>
      <c r="H10" s="40"/>
      <c r="I10" s="40"/>
      <c r="J10" s="40"/>
      <c r="K10" s="40"/>
      <c r="L10" s="40"/>
      <c r="M10" s="40"/>
      <c r="N10" s="58"/>
      <c r="O10" s="40"/>
      <c r="P10" s="40"/>
      <c r="Q10" s="40"/>
      <c r="R10" s="40"/>
      <c r="S10" s="40"/>
      <c r="T10" s="40"/>
      <c r="U10" s="40"/>
      <c r="V10" s="40"/>
      <c r="W10" s="40"/>
      <c r="X10" s="17"/>
      <c r="Y10" s="17"/>
      <c r="Z10" s="17"/>
      <c r="AG10" s="17"/>
      <c r="AH10" s="17"/>
      <c r="AI10" s="17"/>
      <c r="AJ10" s="18"/>
    </row>
    <row r="11" spans="1:36">
      <c r="A11" s="32"/>
      <c r="B11" s="33"/>
      <c r="C11" s="59" t="s">
        <v>2027</v>
      </c>
      <c r="D11" s="59"/>
      <c r="E11" s="59"/>
      <c r="F11" s="59"/>
      <c r="G11" s="59"/>
      <c r="H11" s="60"/>
      <c r="I11" s="61">
        <f t="shared" ref="I11:W11" si="5">IF(I8&gt;$F$5,I76,0)</f>
        <v>157.863</v>
      </c>
      <c r="J11" s="61">
        <f t="shared" si="5"/>
        <v>190.16900000000001</v>
      </c>
      <c r="K11" s="61">
        <f t="shared" si="5"/>
        <v>215.79499999999999</v>
      </c>
      <c r="L11" s="61">
        <f t="shared" si="5"/>
        <v>197.34100000000001</v>
      </c>
      <c r="M11" s="61">
        <f t="shared" si="5"/>
        <v>224.864</v>
      </c>
      <c r="N11" s="61">
        <f t="shared" si="5"/>
        <v>232.572</v>
      </c>
      <c r="O11" s="61">
        <f t="shared" si="5"/>
        <v>244.1</v>
      </c>
      <c r="P11" s="61">
        <f t="shared" si="5"/>
        <v>256.5</v>
      </c>
      <c r="Q11" s="61">
        <f t="shared" si="5"/>
        <v>261.63</v>
      </c>
      <c r="R11" s="61">
        <f t="shared" si="5"/>
        <v>266.86259999999999</v>
      </c>
      <c r="S11" s="61">
        <f t="shared" si="5"/>
        <v>272.19985199999996</v>
      </c>
      <c r="T11" s="61">
        <f t="shared" si="5"/>
        <v>277.64384903999996</v>
      </c>
      <c r="U11" s="61">
        <f t="shared" si="5"/>
        <v>283.19672602079999</v>
      </c>
      <c r="V11" s="61">
        <f t="shared" si="5"/>
        <v>288.86066054121596</v>
      </c>
      <c r="W11" s="61">
        <f t="shared" si="5"/>
        <v>294.63787375204026</v>
      </c>
      <c r="X11" s="17"/>
      <c r="Y11" s="17"/>
      <c r="Z11" s="17"/>
      <c r="AG11" s="17"/>
      <c r="AH11" s="17"/>
      <c r="AI11" s="17"/>
      <c r="AJ11" s="18"/>
    </row>
    <row r="12" spans="1:36">
      <c r="A12" s="32"/>
      <c r="B12" s="33"/>
      <c r="C12" s="62" t="s">
        <v>2034</v>
      </c>
      <c r="D12" s="62"/>
      <c r="E12" s="62"/>
      <c r="F12" s="62"/>
      <c r="G12" s="62"/>
      <c r="H12" s="60"/>
      <c r="I12" s="63">
        <f t="shared" ref="I12:W12" si="6">IF(I8&gt;$F$5,I23,0)</f>
        <v>-147.42593173677056</v>
      </c>
      <c r="J12" s="63">
        <f t="shared" si="6"/>
        <v>-172.13036556523554</v>
      </c>
      <c r="K12" s="63">
        <f t="shared" si="6"/>
        <v>-194.88044502779709</v>
      </c>
      <c r="L12" s="63">
        <f t="shared" si="6"/>
        <v>-212.96884251598868</v>
      </c>
      <c r="M12" s="63">
        <f t="shared" si="6"/>
        <v>-120.35164259718684</v>
      </c>
      <c r="N12" s="63">
        <f t="shared" si="6"/>
        <v>-114.76286076646313</v>
      </c>
      <c r="O12" s="63">
        <f t="shared" si="6"/>
        <v>-143.19365041725175</v>
      </c>
      <c r="P12" s="63">
        <f t="shared" si="6"/>
        <v>-159.8884907124764</v>
      </c>
      <c r="Q12" s="63">
        <f t="shared" si="6"/>
        <v>-181.91592527788757</v>
      </c>
      <c r="R12" s="63">
        <f t="shared" si="6"/>
        <v>-204.38390853460695</v>
      </c>
      <c r="S12" s="63">
        <f t="shared" si="6"/>
        <v>-214.54152350165512</v>
      </c>
      <c r="T12" s="63">
        <f t="shared" si="6"/>
        <v>-210.51945537784169</v>
      </c>
      <c r="U12" s="63">
        <f t="shared" si="6"/>
        <v>-208.97312189705028</v>
      </c>
      <c r="V12" s="63">
        <f t="shared" si="6"/>
        <v>-212.61812361402929</v>
      </c>
      <c r="W12" s="63">
        <f t="shared" si="6"/>
        <v>-230.2337542130592</v>
      </c>
      <c r="X12" s="17"/>
      <c r="Y12" s="17"/>
      <c r="Z12" s="17"/>
      <c r="AG12" s="17"/>
      <c r="AH12" s="17"/>
      <c r="AI12" s="17"/>
      <c r="AJ12" s="18"/>
    </row>
    <row r="13" spans="1:36">
      <c r="A13" s="32"/>
      <c r="B13" s="33"/>
      <c r="C13" s="64" t="s">
        <v>1590</v>
      </c>
      <c r="D13" s="59"/>
      <c r="E13" s="59"/>
      <c r="F13" s="59"/>
      <c r="G13" s="59"/>
      <c r="H13" s="60"/>
      <c r="I13" s="65">
        <f t="shared" ref="I13:W13" si="7">SUM(I11:I12)</f>
        <v>10.437068263229435</v>
      </c>
      <c r="J13" s="65">
        <f t="shared" si="7"/>
        <v>18.038634434764475</v>
      </c>
      <c r="K13" s="65">
        <f t="shared" si="7"/>
        <v>20.914554972202893</v>
      </c>
      <c r="L13" s="65">
        <f t="shared" si="7"/>
        <v>-15.627842515988675</v>
      </c>
      <c r="M13" s="65">
        <f t="shared" si="7"/>
        <v>104.51235740281317</v>
      </c>
      <c r="N13" s="65">
        <f t="shared" si="7"/>
        <v>117.80913923353687</v>
      </c>
      <c r="O13" s="65">
        <f t="shared" si="7"/>
        <v>100.90634958274825</v>
      </c>
      <c r="P13" s="65">
        <f t="shared" si="7"/>
        <v>96.611509287523603</v>
      </c>
      <c r="Q13" s="65">
        <f t="shared" si="7"/>
        <v>79.714074722112429</v>
      </c>
      <c r="R13" s="65">
        <f t="shared" si="7"/>
        <v>62.478691465393041</v>
      </c>
      <c r="S13" s="65">
        <f t="shared" si="7"/>
        <v>57.658328498344844</v>
      </c>
      <c r="T13" s="65">
        <f t="shared" si="7"/>
        <v>67.124393662158269</v>
      </c>
      <c r="U13" s="65">
        <f t="shared" si="7"/>
        <v>74.223604123749709</v>
      </c>
      <c r="V13" s="65">
        <f t="shared" si="7"/>
        <v>76.242536927186677</v>
      </c>
      <c r="W13" s="65">
        <f t="shared" si="7"/>
        <v>64.404119538981064</v>
      </c>
      <c r="X13" s="17"/>
      <c r="Y13" s="17"/>
      <c r="Z13" s="17"/>
      <c r="AG13" s="17"/>
      <c r="AH13" s="17"/>
      <c r="AI13" s="17"/>
      <c r="AJ13" s="18"/>
    </row>
    <row r="14" spans="1:36">
      <c r="A14" s="32"/>
      <c r="B14" s="33"/>
      <c r="C14" s="59"/>
      <c r="D14" s="59"/>
      <c r="E14" s="59"/>
      <c r="F14" s="59"/>
      <c r="G14" s="59"/>
      <c r="H14" s="60"/>
      <c r="I14" s="60"/>
      <c r="J14" s="60"/>
      <c r="K14" s="60"/>
      <c r="L14" s="60"/>
      <c r="M14" s="60"/>
      <c r="N14" s="60"/>
      <c r="O14" s="60"/>
      <c r="P14" s="60"/>
      <c r="Q14" s="60"/>
      <c r="R14" s="60"/>
      <c r="S14" s="60"/>
      <c r="T14" s="60"/>
      <c r="U14" s="60"/>
      <c r="V14" s="60"/>
      <c r="W14" s="60"/>
      <c r="X14" s="17"/>
      <c r="Y14" s="17"/>
      <c r="Z14" s="17"/>
      <c r="AG14" s="17"/>
      <c r="AH14" s="17"/>
      <c r="AI14" s="17"/>
      <c r="AJ14" s="18"/>
    </row>
    <row r="15" spans="1:36">
      <c r="A15" s="32"/>
      <c r="B15" s="33"/>
      <c r="C15" s="59" t="s">
        <v>1591</v>
      </c>
      <c r="D15" s="59"/>
      <c r="E15" s="59"/>
      <c r="F15" s="59"/>
      <c r="G15" s="59"/>
      <c r="H15" s="60"/>
      <c r="I15" s="63">
        <f t="shared" ref="I15:W15" si="8">IF(OR(I8&gt;$F$5,I8=$F$5),-I30,0)</f>
        <v>-47.128654675279542</v>
      </c>
      <c r="J15" s="63">
        <f t="shared" si="8"/>
        <v>-64.096850472850178</v>
      </c>
      <c r="K15" s="63">
        <f t="shared" si="8"/>
        <v>-73.433747394633116</v>
      </c>
      <c r="L15" s="63">
        <f t="shared" si="8"/>
        <v>-79.24100334524816</v>
      </c>
      <c r="M15" s="63">
        <f t="shared" si="8"/>
        <v>-77.798474599312954</v>
      </c>
      <c r="N15" s="63">
        <f t="shared" si="8"/>
        <v>-84.213649622883992</v>
      </c>
      <c r="O15" s="63">
        <f t="shared" si="8"/>
        <v>-85.455192819973945</v>
      </c>
      <c r="P15" s="63">
        <f t="shared" si="8"/>
        <v>-79.565263271476525</v>
      </c>
      <c r="Q15" s="63">
        <f t="shared" si="8"/>
        <v>-75.33034732406108</v>
      </c>
      <c r="R15" s="63">
        <f t="shared" si="8"/>
        <v>-75.535388665565762</v>
      </c>
      <c r="S15" s="63">
        <f t="shared" si="8"/>
        <v>-75.943064987999577</v>
      </c>
      <c r="T15" s="63">
        <f t="shared" si="8"/>
        <v>-76.527680273589965</v>
      </c>
      <c r="U15" s="63">
        <f t="shared" si="8"/>
        <v>-77.267515126942897</v>
      </c>
      <c r="V15" s="63">
        <f t="shared" si="8"/>
        <v>-78.144228556240293</v>
      </c>
      <c r="W15" s="63">
        <f t="shared" si="8"/>
        <v>-79.142350313568684</v>
      </c>
      <c r="X15" s="17"/>
      <c r="Y15" s="17"/>
      <c r="Z15" s="17"/>
      <c r="AG15" s="17"/>
      <c r="AH15" s="17"/>
      <c r="AI15" s="17"/>
      <c r="AJ15" s="18"/>
    </row>
    <row r="16" spans="1:36">
      <c r="A16" s="32"/>
      <c r="B16" s="33"/>
      <c r="C16" s="64" t="s">
        <v>1593</v>
      </c>
      <c r="D16" s="64"/>
      <c r="E16" s="64"/>
      <c r="F16" s="64"/>
      <c r="G16" s="64"/>
      <c r="H16" s="60"/>
      <c r="I16" s="65">
        <f t="shared" ref="I16:W16" si="9">I13+I15</f>
        <v>-36.691586412050107</v>
      </c>
      <c r="J16" s="65">
        <f t="shared" si="9"/>
        <v>-46.058216038085703</v>
      </c>
      <c r="K16" s="65">
        <f t="shared" si="9"/>
        <v>-52.519192422430223</v>
      </c>
      <c r="L16" s="65">
        <f t="shared" si="9"/>
        <v>-94.868845861236835</v>
      </c>
      <c r="M16" s="65">
        <f t="shared" si="9"/>
        <v>26.713882803500212</v>
      </c>
      <c r="N16" s="65">
        <f t="shared" si="9"/>
        <v>33.595489610652876</v>
      </c>
      <c r="O16" s="65">
        <f t="shared" si="9"/>
        <v>15.451156762774303</v>
      </c>
      <c r="P16" s="65">
        <f t="shared" si="9"/>
        <v>17.046246016047078</v>
      </c>
      <c r="Q16" s="65">
        <f t="shared" si="9"/>
        <v>4.3837273980513487</v>
      </c>
      <c r="R16" s="65">
        <f t="shared" si="9"/>
        <v>-13.056697200172721</v>
      </c>
      <c r="S16" s="65">
        <f t="shared" si="9"/>
        <v>-18.284736489654733</v>
      </c>
      <c r="T16" s="65">
        <f t="shared" si="9"/>
        <v>-9.403286611431696</v>
      </c>
      <c r="U16" s="65">
        <f t="shared" si="9"/>
        <v>-3.0439110031931875</v>
      </c>
      <c r="V16" s="65">
        <f t="shared" si="9"/>
        <v>-1.9016916290536159</v>
      </c>
      <c r="W16" s="65">
        <f t="shared" si="9"/>
        <v>-14.73823077458762</v>
      </c>
      <c r="X16" s="17"/>
      <c r="Y16" s="17"/>
      <c r="Z16" s="17"/>
      <c r="AG16" s="17"/>
      <c r="AH16" s="17"/>
      <c r="AI16" s="17"/>
      <c r="AJ16" s="18"/>
    </row>
    <row r="17" spans="1:36">
      <c r="A17" s="32"/>
      <c r="B17" s="33"/>
      <c r="C17" s="59"/>
      <c r="D17" s="59"/>
      <c r="E17" s="59"/>
      <c r="F17" s="59"/>
      <c r="G17" s="59"/>
      <c r="H17" s="60"/>
      <c r="I17" s="61"/>
      <c r="J17" s="61"/>
      <c r="K17" s="61"/>
      <c r="L17" s="61"/>
      <c r="M17" s="61"/>
      <c r="N17" s="61"/>
      <c r="O17" s="61"/>
      <c r="P17" s="61"/>
      <c r="Q17" s="61"/>
      <c r="R17" s="61"/>
      <c r="S17" s="61"/>
      <c r="T17" s="61"/>
      <c r="U17" s="61"/>
      <c r="V17" s="61"/>
      <c r="W17" s="61"/>
      <c r="X17" s="17"/>
      <c r="Y17" s="17"/>
      <c r="Z17" s="17"/>
      <c r="AG17" s="17"/>
      <c r="AH17" s="17"/>
      <c r="AI17" s="17"/>
      <c r="AJ17" s="18"/>
    </row>
    <row r="18" spans="1:36">
      <c r="A18" s="32"/>
      <c r="B18" s="33"/>
      <c r="C18" s="59"/>
      <c r="D18" s="59"/>
      <c r="E18" s="59"/>
      <c r="F18" s="59"/>
      <c r="G18" s="59"/>
      <c r="H18" s="66"/>
      <c r="I18" s="67"/>
      <c r="J18" s="67"/>
      <c r="K18" s="67"/>
      <c r="L18" s="67"/>
      <c r="M18" s="67"/>
      <c r="N18" s="67"/>
      <c r="O18" s="67"/>
      <c r="P18" s="67"/>
      <c r="Q18" s="67"/>
      <c r="R18" s="67"/>
      <c r="S18" s="67"/>
      <c r="T18" s="67"/>
      <c r="U18" s="67"/>
      <c r="V18" s="67"/>
      <c r="W18" s="67"/>
      <c r="X18" s="17"/>
      <c r="Y18" s="17"/>
      <c r="Z18" s="17"/>
      <c r="AG18" s="17"/>
      <c r="AH18" s="17"/>
      <c r="AI18" s="17"/>
      <c r="AJ18" s="18"/>
    </row>
    <row r="19" spans="1:36" ht="14.25" customHeight="1">
      <c r="A19" s="68"/>
      <c r="B19" s="43"/>
      <c r="C19" s="53" t="s">
        <v>1003</v>
      </c>
      <c r="D19" s="69"/>
      <c r="E19" s="69"/>
      <c r="F19" s="69"/>
      <c r="G19" s="69"/>
      <c r="H19" s="70"/>
      <c r="I19" s="70"/>
      <c r="J19" s="70"/>
      <c r="K19" s="70"/>
      <c r="L19" s="70"/>
      <c r="M19" s="70"/>
      <c r="N19" s="70"/>
      <c r="O19" s="70"/>
      <c r="P19" s="71"/>
      <c r="Q19" s="71"/>
      <c r="R19" s="71"/>
      <c r="S19" s="71"/>
      <c r="T19" s="71"/>
      <c r="U19" s="71"/>
      <c r="V19" s="71"/>
      <c r="W19" s="71"/>
      <c r="X19" s="43"/>
      <c r="Y19" s="43"/>
      <c r="Z19" s="43"/>
      <c r="AG19" s="43"/>
      <c r="AH19" s="43"/>
      <c r="AI19" s="43"/>
      <c r="AJ19" s="18"/>
    </row>
    <row r="20" spans="1:36">
      <c r="A20" s="68"/>
      <c r="B20" s="72"/>
      <c r="C20" s="56"/>
      <c r="D20" s="69"/>
      <c r="E20" s="69"/>
      <c r="F20" s="69"/>
      <c r="G20" s="69"/>
      <c r="H20" s="70"/>
      <c r="I20" s="70"/>
      <c r="J20" s="70"/>
      <c r="K20" s="70"/>
      <c r="L20" s="70"/>
      <c r="M20" s="70"/>
      <c r="N20" s="70"/>
      <c r="O20" s="70"/>
      <c r="P20" s="71"/>
      <c r="Q20" s="71"/>
      <c r="R20" s="71"/>
      <c r="S20" s="71"/>
      <c r="T20" s="71"/>
      <c r="U20" s="71"/>
      <c r="V20" s="71"/>
      <c r="W20" s="71"/>
      <c r="X20" s="43"/>
      <c r="Y20" s="43"/>
      <c r="Z20" s="43"/>
      <c r="AG20" s="43"/>
      <c r="AH20" s="43"/>
      <c r="AI20" s="43"/>
      <c r="AJ20" s="18"/>
    </row>
    <row r="21" spans="1:36">
      <c r="A21" s="32"/>
      <c r="B21" s="33"/>
      <c r="C21" s="73" t="s">
        <v>1738</v>
      </c>
      <c r="D21" s="73"/>
      <c r="E21" s="73"/>
      <c r="F21" s="73"/>
      <c r="G21" s="73"/>
      <c r="H21" s="74"/>
      <c r="I21" s="74">
        <f t="shared" ref="I21:W21" si="10">H24</f>
        <v>687.0724682753314</v>
      </c>
      <c r="J21" s="74">
        <f t="shared" si="10"/>
        <v>667.24381608661702</v>
      </c>
      <c r="K21" s="74">
        <f t="shared" si="10"/>
        <v>769.09102956242418</v>
      </c>
      <c r="L21" s="74">
        <f t="shared" si="10"/>
        <v>828.1059551015079</v>
      </c>
      <c r="M21" s="74">
        <f t="shared" si="10"/>
        <v>821.88777188987524</v>
      </c>
      <c r="N21" s="74">
        <f t="shared" si="10"/>
        <v>773.44451330601794</v>
      </c>
      <c r="O21" s="74">
        <f t="shared" si="10"/>
        <v>872.180987730521</v>
      </c>
      <c r="P21" s="74">
        <f t="shared" si="10"/>
        <v>1013.2952338211553</v>
      </c>
      <c r="Q21" s="74">
        <f t="shared" si="10"/>
        <v>1020.3551460609253</v>
      </c>
      <c r="R21" s="74">
        <f t="shared" si="10"/>
        <v>1058.7135664371494</v>
      </c>
      <c r="S21" s="74">
        <f t="shared" si="10"/>
        <v>1079.0094904697364</v>
      </c>
      <c r="T21" s="74">
        <f t="shared" si="10"/>
        <v>1093.641396186619</v>
      </c>
      <c r="U21" s="74">
        <f t="shared" si="10"/>
        <v>1116.8788386116858</v>
      </c>
      <c r="V21" s="74">
        <f t="shared" si="10"/>
        <v>1146.337752473602</v>
      </c>
      <c r="W21" s="74">
        <f t="shared" si="10"/>
        <v>1176.9203053337187</v>
      </c>
      <c r="X21" s="17"/>
      <c r="Y21" s="17"/>
      <c r="Z21" s="17"/>
      <c r="AG21" s="17"/>
      <c r="AH21" s="17"/>
      <c r="AI21" s="17"/>
      <c r="AJ21" s="18"/>
    </row>
    <row r="22" spans="1:36">
      <c r="A22" s="32"/>
      <c r="B22" s="75"/>
      <c r="C22" s="76" t="s">
        <v>1739</v>
      </c>
      <c r="D22" s="76"/>
      <c r="E22" s="76"/>
      <c r="F22" s="76"/>
      <c r="G22" s="76"/>
      <c r="H22" s="74"/>
      <c r="I22" s="74">
        <f t="shared" ref="I22:W22" si="11">IF((I8&gt;$F$5),I143,0)</f>
        <v>127.59727954805611</v>
      </c>
      <c r="J22" s="74">
        <f t="shared" si="11"/>
        <v>273.97757904104276</v>
      </c>
      <c r="K22" s="74">
        <f t="shared" si="11"/>
        <v>253.89537056688081</v>
      </c>
      <c r="L22" s="74">
        <f t="shared" si="11"/>
        <v>206.75065930435591</v>
      </c>
      <c r="M22" s="74">
        <f t="shared" si="11"/>
        <v>71.908384013329496</v>
      </c>
      <c r="N22" s="74">
        <f t="shared" si="11"/>
        <v>213.49933519096626</v>
      </c>
      <c r="O22" s="74">
        <f t="shared" si="11"/>
        <v>284.30789650788614</v>
      </c>
      <c r="P22" s="74">
        <f>IF((P8&gt;$F$5),P143,0)</f>
        <v>166.94840295224643</v>
      </c>
      <c r="Q22" s="74">
        <f t="shared" si="11"/>
        <v>220.27434565411164</v>
      </c>
      <c r="R22" s="74">
        <f t="shared" si="11"/>
        <v>224.6798325671939</v>
      </c>
      <c r="S22" s="74">
        <f t="shared" si="11"/>
        <v>229.17342921853776</v>
      </c>
      <c r="T22" s="74">
        <f t="shared" si="11"/>
        <v>233.75689780290855</v>
      </c>
      <c r="U22" s="74">
        <f t="shared" si="11"/>
        <v>238.43203575896663</v>
      </c>
      <c r="V22" s="74">
        <f t="shared" si="11"/>
        <v>243.20067647414601</v>
      </c>
      <c r="W22" s="74">
        <f t="shared" si="11"/>
        <v>248.06469000362893</v>
      </c>
      <c r="X22" s="17"/>
      <c r="Y22" s="17"/>
      <c r="Z22" s="17"/>
      <c r="AG22" s="17"/>
      <c r="AH22" s="17"/>
      <c r="AI22" s="17"/>
      <c r="AJ22" s="18"/>
    </row>
    <row r="23" spans="1:36">
      <c r="A23" s="32"/>
      <c r="B23" s="33"/>
      <c r="C23" s="76" t="s">
        <v>1740</v>
      </c>
      <c r="D23" s="21"/>
      <c r="E23" s="21"/>
      <c r="F23" s="21"/>
      <c r="G23" s="21"/>
      <c r="H23" s="77"/>
      <c r="I23" s="77">
        <f t="shared" ref="I23:W23" si="12">IF(I8&gt;$F$5,-I171,0)</f>
        <v>-147.42593173677056</v>
      </c>
      <c r="J23" s="77">
        <f t="shared" si="12"/>
        <v>-172.13036556523554</v>
      </c>
      <c r="K23" s="77">
        <f t="shared" si="12"/>
        <v>-194.88044502779709</v>
      </c>
      <c r="L23" s="77">
        <f t="shared" si="12"/>
        <v>-212.96884251598868</v>
      </c>
      <c r="M23" s="77">
        <f t="shared" si="12"/>
        <v>-120.35164259718684</v>
      </c>
      <c r="N23" s="77">
        <f t="shared" si="12"/>
        <v>-114.76286076646313</v>
      </c>
      <c r="O23" s="77">
        <f t="shared" si="12"/>
        <v>-143.19365041725175</v>
      </c>
      <c r="P23" s="77">
        <f t="shared" si="12"/>
        <v>-159.8884907124764</v>
      </c>
      <c r="Q23" s="77">
        <f t="shared" si="12"/>
        <v>-181.91592527788757</v>
      </c>
      <c r="R23" s="77">
        <f t="shared" si="12"/>
        <v>-204.38390853460695</v>
      </c>
      <c r="S23" s="77">
        <f t="shared" si="12"/>
        <v>-214.54152350165512</v>
      </c>
      <c r="T23" s="77">
        <f t="shared" si="12"/>
        <v>-210.51945537784169</v>
      </c>
      <c r="U23" s="77">
        <f t="shared" si="12"/>
        <v>-208.97312189705028</v>
      </c>
      <c r="V23" s="77">
        <f t="shared" si="12"/>
        <v>-212.61812361402929</v>
      </c>
      <c r="W23" s="77">
        <f t="shared" si="12"/>
        <v>-230.2337542130592</v>
      </c>
      <c r="X23" s="17"/>
      <c r="Y23" s="17"/>
      <c r="Z23" s="17"/>
      <c r="AG23" s="17"/>
      <c r="AH23" s="17"/>
      <c r="AI23" s="17"/>
      <c r="AJ23" s="18"/>
    </row>
    <row r="24" spans="1:36">
      <c r="A24" s="32"/>
      <c r="B24" s="33"/>
      <c r="C24" s="69" t="s">
        <v>1741</v>
      </c>
      <c r="D24" s="69"/>
      <c r="E24" s="69"/>
      <c r="F24" s="69"/>
      <c r="G24" s="69"/>
      <c r="H24" s="78">
        <f t="shared" ref="H24:W24" si="13">IF(H8=$F$5,H33*H35,IF(H8&gt;$F$5,SUM(H21:H23),0))</f>
        <v>687.0724682753314</v>
      </c>
      <c r="I24" s="78">
        <f t="shared" si="13"/>
        <v>667.24381608661702</v>
      </c>
      <c r="J24" s="78">
        <f t="shared" si="13"/>
        <v>769.09102956242418</v>
      </c>
      <c r="K24" s="78">
        <f t="shared" si="13"/>
        <v>828.1059551015079</v>
      </c>
      <c r="L24" s="78">
        <f t="shared" si="13"/>
        <v>821.88777188987524</v>
      </c>
      <c r="M24" s="78">
        <f t="shared" si="13"/>
        <v>773.44451330601794</v>
      </c>
      <c r="N24" s="78">
        <f t="shared" si="13"/>
        <v>872.180987730521</v>
      </c>
      <c r="O24" s="78">
        <f t="shared" si="13"/>
        <v>1013.2952338211553</v>
      </c>
      <c r="P24" s="78">
        <f t="shared" si="13"/>
        <v>1020.3551460609253</v>
      </c>
      <c r="Q24" s="78">
        <f t="shared" si="13"/>
        <v>1058.7135664371494</v>
      </c>
      <c r="R24" s="78">
        <f t="shared" si="13"/>
        <v>1079.0094904697364</v>
      </c>
      <c r="S24" s="78">
        <f t="shared" si="13"/>
        <v>1093.641396186619</v>
      </c>
      <c r="T24" s="78">
        <f t="shared" si="13"/>
        <v>1116.8788386116858</v>
      </c>
      <c r="U24" s="78">
        <f t="shared" si="13"/>
        <v>1146.337752473602</v>
      </c>
      <c r="V24" s="78">
        <f t="shared" si="13"/>
        <v>1176.9203053337187</v>
      </c>
      <c r="W24" s="78">
        <f t="shared" si="13"/>
        <v>1194.7512411242885</v>
      </c>
      <c r="X24" s="17"/>
      <c r="Y24" s="17"/>
      <c r="Z24" s="17"/>
      <c r="AG24" s="17"/>
      <c r="AH24" s="17"/>
      <c r="AI24" s="17"/>
      <c r="AJ24" s="18"/>
    </row>
    <row r="25" spans="1:36">
      <c r="A25" s="32"/>
      <c r="B25" s="33"/>
      <c r="C25" s="21"/>
      <c r="D25" s="21"/>
      <c r="E25" s="21"/>
      <c r="F25" s="21"/>
      <c r="G25" s="21"/>
      <c r="H25" s="40"/>
      <c r="I25" s="74"/>
      <c r="J25" s="74"/>
      <c r="K25" s="74"/>
      <c r="L25" s="74"/>
      <c r="M25" s="74"/>
      <c r="N25" s="74"/>
      <c r="O25" s="74"/>
      <c r="P25" s="74"/>
      <c r="Q25" s="74"/>
      <c r="R25" s="74"/>
      <c r="S25" s="74"/>
      <c r="T25" s="74"/>
      <c r="U25" s="74"/>
      <c r="V25" s="74"/>
      <c r="W25" s="74"/>
      <c r="X25" s="17"/>
      <c r="Y25" s="17"/>
      <c r="Z25" s="17"/>
      <c r="AG25" s="17"/>
      <c r="AH25" s="17"/>
      <c r="AI25" s="17"/>
      <c r="AJ25" s="18"/>
    </row>
    <row r="26" spans="1:36">
      <c r="A26" s="32"/>
      <c r="B26" s="33"/>
      <c r="C26" s="21"/>
      <c r="D26" s="21"/>
      <c r="E26" s="21"/>
      <c r="F26" s="21"/>
      <c r="G26" s="21"/>
      <c r="H26" s="74"/>
      <c r="I26" s="74"/>
      <c r="J26" s="74"/>
      <c r="K26" s="74"/>
      <c r="L26" s="74"/>
      <c r="M26" s="74"/>
      <c r="N26" s="74"/>
      <c r="O26" s="74"/>
      <c r="P26" s="74"/>
      <c r="Q26" s="74"/>
      <c r="R26" s="74"/>
      <c r="S26" s="74"/>
      <c r="T26" s="74"/>
      <c r="U26" s="74"/>
      <c r="V26" s="74"/>
      <c r="W26" s="74"/>
      <c r="X26" s="17"/>
      <c r="Y26" s="17"/>
      <c r="Z26" s="17"/>
      <c r="AG26" s="17"/>
      <c r="AH26" s="17"/>
      <c r="AI26" s="17"/>
      <c r="AJ26" s="18"/>
    </row>
    <row r="27" spans="1:36" ht="14.25" customHeight="1">
      <c r="A27" s="68"/>
      <c r="B27" s="72"/>
      <c r="C27" s="53" t="s">
        <v>1742</v>
      </c>
      <c r="D27" s="69"/>
      <c r="E27" s="69"/>
      <c r="F27" s="69"/>
      <c r="G27" s="69"/>
      <c r="H27" s="79"/>
      <c r="I27" s="79"/>
      <c r="J27" s="79"/>
      <c r="K27" s="79"/>
      <c r="L27" s="79"/>
      <c r="M27" s="79"/>
      <c r="N27" s="79"/>
      <c r="O27" s="79"/>
      <c r="P27" s="80"/>
      <c r="Q27" s="80"/>
      <c r="R27" s="80"/>
      <c r="S27" s="80"/>
      <c r="T27" s="80"/>
      <c r="U27" s="80"/>
      <c r="V27" s="80"/>
      <c r="W27" s="80"/>
      <c r="X27" s="43"/>
      <c r="Y27" s="43"/>
      <c r="Z27" s="43"/>
      <c r="AG27" s="43"/>
      <c r="AH27" s="43"/>
      <c r="AI27" s="43"/>
      <c r="AJ27" s="18"/>
    </row>
    <row r="28" spans="1:36">
      <c r="A28" s="68"/>
      <c r="B28" s="72"/>
      <c r="C28" s="56"/>
      <c r="D28" s="69"/>
      <c r="E28" s="69"/>
      <c r="F28" s="69"/>
      <c r="G28" s="69"/>
      <c r="H28" s="79"/>
      <c r="I28" s="79"/>
      <c r="J28" s="79"/>
      <c r="K28" s="79"/>
      <c r="L28" s="79"/>
      <c r="M28" s="79"/>
      <c r="N28" s="79"/>
      <c r="O28" s="79"/>
      <c r="P28" s="80"/>
      <c r="Q28" s="80"/>
      <c r="R28" s="80"/>
      <c r="S28" s="80"/>
      <c r="T28" s="80"/>
      <c r="U28" s="80"/>
      <c r="V28" s="80"/>
      <c r="W28" s="80"/>
      <c r="X28" s="43"/>
      <c r="Y28" s="43"/>
      <c r="Z28" s="43"/>
      <c r="AG28" s="43"/>
      <c r="AH28" s="43"/>
      <c r="AI28" s="43"/>
      <c r="AJ28" s="18"/>
    </row>
    <row r="29" spans="1:36">
      <c r="A29" s="32"/>
      <c r="B29" s="33"/>
      <c r="C29" s="73" t="s">
        <v>311</v>
      </c>
      <c r="D29" s="81"/>
      <c r="E29" s="81"/>
      <c r="F29" s="81"/>
      <c r="G29" s="81"/>
      <c r="H29" s="74"/>
      <c r="I29" s="74">
        <f t="shared" ref="I29:W29" si="14">H33</f>
        <v>771.99153738801283</v>
      </c>
      <c r="J29" s="74">
        <f t="shared" si="14"/>
        <v>788.85447161134857</v>
      </c>
      <c r="K29" s="74">
        <f t="shared" si="14"/>
        <v>936.75990112524153</v>
      </c>
      <c r="L29" s="74">
        <f t="shared" si="14"/>
        <v>1048.2940190867555</v>
      </c>
      <c r="M29" s="74">
        <f t="shared" si="14"/>
        <v>1136.9446817363596</v>
      </c>
      <c r="N29" s="74">
        <f t="shared" si="14"/>
        <v>1061.787540349002</v>
      </c>
      <c r="O29" s="74">
        <f t="shared" si="14"/>
        <v>1126.9285251628523</v>
      </c>
      <c r="P29" s="74">
        <f t="shared" si="14"/>
        <v>1252.5916144907123</v>
      </c>
      <c r="Q29" s="74">
        <f t="shared" si="14"/>
        <v>1242.6052807144354</v>
      </c>
      <c r="R29" s="74">
        <f t="shared" si="14"/>
        <v>1276.5799736926078</v>
      </c>
      <c r="S29" s="74">
        <f t="shared" si="14"/>
        <v>1309.9325949253675</v>
      </c>
      <c r="T29" s="74">
        <f t="shared" si="14"/>
        <v>1342.8492371319048</v>
      </c>
      <c r="U29" s="74">
        <f t="shared" si="14"/>
        <v>1375.4899661684035</v>
      </c>
      <c r="V29" s="74">
        <f t="shared" si="14"/>
        <v>1407.992791033513</v>
      </c>
      <c r="W29" s="74">
        <f t="shared" si="14"/>
        <v>1440.4770355226833</v>
      </c>
      <c r="X29" s="17"/>
      <c r="Y29" s="17"/>
      <c r="Z29" s="17"/>
      <c r="AG29" s="17"/>
      <c r="AH29" s="17"/>
      <c r="AI29" s="17"/>
      <c r="AJ29" s="18"/>
    </row>
    <row r="30" spans="1:36">
      <c r="A30" s="32"/>
      <c r="B30" s="33"/>
      <c r="C30" s="76" t="s">
        <v>312</v>
      </c>
      <c r="D30" s="82"/>
      <c r="E30" s="82"/>
      <c r="F30" s="82"/>
      <c r="G30" s="82"/>
      <c r="H30" s="74">
        <f t="shared" ref="H30:W30" si="15">IF(H8=$F$5,0,IF(H8&gt;$F$5,H29*G44+H45*H32,0))</f>
        <v>0</v>
      </c>
      <c r="I30" s="74">
        <f t="shared" si="15"/>
        <v>47.128654675279542</v>
      </c>
      <c r="J30" s="74">
        <f t="shared" si="15"/>
        <v>64.096850472850178</v>
      </c>
      <c r="K30" s="74">
        <f t="shared" si="15"/>
        <v>73.433747394633116</v>
      </c>
      <c r="L30" s="74">
        <f t="shared" si="15"/>
        <v>79.24100334524816</v>
      </c>
      <c r="M30" s="74">
        <f t="shared" si="15"/>
        <v>77.798474599312954</v>
      </c>
      <c r="N30" s="74">
        <f t="shared" si="15"/>
        <v>84.213649622883992</v>
      </c>
      <c r="O30" s="74">
        <f t="shared" si="15"/>
        <v>85.455192819973945</v>
      </c>
      <c r="P30" s="74">
        <f t="shared" si="15"/>
        <v>79.565263271476525</v>
      </c>
      <c r="Q30" s="74">
        <f t="shared" si="15"/>
        <v>75.33034732406108</v>
      </c>
      <c r="R30" s="74">
        <f t="shared" si="15"/>
        <v>75.535388665565762</v>
      </c>
      <c r="S30" s="74">
        <f t="shared" si="15"/>
        <v>75.943064987999577</v>
      </c>
      <c r="T30" s="74">
        <f t="shared" si="15"/>
        <v>76.527680273589965</v>
      </c>
      <c r="U30" s="74">
        <f t="shared" si="15"/>
        <v>77.267515126942897</v>
      </c>
      <c r="V30" s="74">
        <f t="shared" si="15"/>
        <v>78.144228556240293</v>
      </c>
      <c r="W30" s="74">
        <f t="shared" si="15"/>
        <v>79.142350313568684</v>
      </c>
      <c r="X30" s="17"/>
      <c r="Y30" s="17"/>
      <c r="Z30" s="17"/>
      <c r="AG30" s="17"/>
      <c r="AH30" s="17"/>
      <c r="AI30" s="17"/>
      <c r="AJ30" s="18"/>
    </row>
    <row r="31" spans="1:36">
      <c r="A31" s="32"/>
      <c r="B31" s="33"/>
      <c r="C31" s="76" t="s">
        <v>313</v>
      </c>
      <c r="D31" s="82"/>
      <c r="E31" s="82"/>
      <c r="F31" s="82"/>
      <c r="G31" s="82"/>
      <c r="H31" s="74"/>
      <c r="I31" s="74">
        <f t="shared" ref="I31:W31" si="16">-I11</f>
        <v>-157.863</v>
      </c>
      <c r="J31" s="74">
        <f t="shared" si="16"/>
        <v>-190.16900000000001</v>
      </c>
      <c r="K31" s="74">
        <f t="shared" si="16"/>
        <v>-215.79499999999999</v>
      </c>
      <c r="L31" s="74">
        <f t="shared" si="16"/>
        <v>-197.34100000000001</v>
      </c>
      <c r="M31" s="74">
        <f t="shared" si="16"/>
        <v>-224.864</v>
      </c>
      <c r="N31" s="74">
        <f t="shared" si="16"/>
        <v>-232.572</v>
      </c>
      <c r="O31" s="74">
        <f t="shared" si="16"/>
        <v>-244.1</v>
      </c>
      <c r="P31" s="74">
        <f t="shared" si="16"/>
        <v>-256.5</v>
      </c>
      <c r="Q31" s="74">
        <f t="shared" si="16"/>
        <v>-261.63</v>
      </c>
      <c r="R31" s="74">
        <f t="shared" si="16"/>
        <v>-266.86259999999999</v>
      </c>
      <c r="S31" s="74">
        <f t="shared" si="16"/>
        <v>-272.19985199999996</v>
      </c>
      <c r="T31" s="74">
        <f t="shared" si="16"/>
        <v>-277.64384903999996</v>
      </c>
      <c r="U31" s="74">
        <f t="shared" si="16"/>
        <v>-283.19672602079999</v>
      </c>
      <c r="V31" s="74">
        <f t="shared" si="16"/>
        <v>-288.86066054121596</v>
      </c>
      <c r="W31" s="74">
        <f t="shared" si="16"/>
        <v>-294.63787375204026</v>
      </c>
      <c r="X31" s="17"/>
      <c r="Y31" s="17"/>
      <c r="Z31" s="17"/>
      <c r="AG31" s="17"/>
      <c r="AH31" s="17"/>
      <c r="AI31" s="17"/>
      <c r="AJ31" s="18"/>
    </row>
    <row r="32" spans="1:36">
      <c r="A32" s="32"/>
      <c r="B32" s="33"/>
      <c r="C32" s="76" t="s">
        <v>314</v>
      </c>
      <c r="D32" s="82"/>
      <c r="E32" s="82"/>
      <c r="F32" s="82"/>
      <c r="G32" s="82"/>
      <c r="H32" s="77"/>
      <c r="I32" s="77">
        <f t="shared" ref="I32:W32" si="17">IF(I8&gt;$F$5,I22,0)</f>
        <v>127.59727954805611</v>
      </c>
      <c r="J32" s="77">
        <f t="shared" si="17"/>
        <v>273.97757904104276</v>
      </c>
      <c r="K32" s="77">
        <f t="shared" si="17"/>
        <v>253.89537056688081</v>
      </c>
      <c r="L32" s="77">
        <f t="shared" si="17"/>
        <v>206.75065930435591</v>
      </c>
      <c r="M32" s="77">
        <f t="shared" si="17"/>
        <v>71.908384013329496</v>
      </c>
      <c r="N32" s="77">
        <f t="shared" si="17"/>
        <v>213.49933519096626</v>
      </c>
      <c r="O32" s="77">
        <f t="shared" si="17"/>
        <v>284.30789650788614</v>
      </c>
      <c r="P32" s="77">
        <f t="shared" si="17"/>
        <v>166.94840295224643</v>
      </c>
      <c r="Q32" s="77">
        <f t="shared" si="17"/>
        <v>220.27434565411164</v>
      </c>
      <c r="R32" s="77">
        <f t="shared" si="17"/>
        <v>224.6798325671939</v>
      </c>
      <c r="S32" s="77">
        <f t="shared" si="17"/>
        <v>229.17342921853776</v>
      </c>
      <c r="T32" s="77">
        <f t="shared" si="17"/>
        <v>233.75689780290855</v>
      </c>
      <c r="U32" s="77">
        <f t="shared" si="17"/>
        <v>238.43203575896663</v>
      </c>
      <c r="V32" s="77">
        <f t="shared" si="17"/>
        <v>243.20067647414601</v>
      </c>
      <c r="W32" s="77">
        <f t="shared" si="17"/>
        <v>248.06469000362893</v>
      </c>
      <c r="X32" s="17"/>
      <c r="Y32" s="17"/>
      <c r="Z32" s="17"/>
      <c r="AG32" s="17"/>
      <c r="AH32" s="17"/>
      <c r="AI32" s="17"/>
      <c r="AJ32" s="18"/>
    </row>
    <row r="33" spans="1:36">
      <c r="A33" s="83"/>
      <c r="B33" s="84"/>
      <c r="C33" s="69" t="s">
        <v>315</v>
      </c>
      <c r="D33" s="85"/>
      <c r="E33" s="85"/>
      <c r="F33" s="85"/>
      <c r="G33" s="85"/>
      <c r="H33" s="78">
        <f t="shared" ref="H33:W33" si="18">IF(H8=$F$5,NPV(H44,H77:H95),IF(H8&lt;$F$5,0,SUM(H29:H32)))</f>
        <v>771.99153738801283</v>
      </c>
      <c r="I33" s="78">
        <f t="shared" si="18"/>
        <v>788.85447161134857</v>
      </c>
      <c r="J33" s="78">
        <f t="shared" si="18"/>
        <v>936.75990112524153</v>
      </c>
      <c r="K33" s="78">
        <f t="shared" si="18"/>
        <v>1048.2940190867555</v>
      </c>
      <c r="L33" s="78">
        <f t="shared" si="18"/>
        <v>1136.9446817363596</v>
      </c>
      <c r="M33" s="78">
        <f t="shared" si="18"/>
        <v>1061.787540349002</v>
      </c>
      <c r="N33" s="78">
        <f t="shared" si="18"/>
        <v>1126.9285251628523</v>
      </c>
      <c r="O33" s="78">
        <f t="shared" si="18"/>
        <v>1252.5916144907123</v>
      </c>
      <c r="P33" s="78">
        <f t="shared" si="18"/>
        <v>1242.6052807144354</v>
      </c>
      <c r="Q33" s="78">
        <f t="shared" si="18"/>
        <v>1276.5799736926078</v>
      </c>
      <c r="R33" s="78">
        <f t="shared" si="18"/>
        <v>1309.9325949253675</v>
      </c>
      <c r="S33" s="78">
        <f t="shared" si="18"/>
        <v>1342.8492371319048</v>
      </c>
      <c r="T33" s="78">
        <f t="shared" si="18"/>
        <v>1375.4899661684035</v>
      </c>
      <c r="U33" s="78">
        <f t="shared" si="18"/>
        <v>1407.992791033513</v>
      </c>
      <c r="V33" s="78">
        <f t="shared" si="18"/>
        <v>1440.4770355226833</v>
      </c>
      <c r="W33" s="78">
        <f t="shared" si="18"/>
        <v>1473.0462020878408</v>
      </c>
      <c r="X33" s="86"/>
      <c r="Y33" s="86"/>
      <c r="Z33" s="86"/>
      <c r="AG33" s="86"/>
      <c r="AH33" s="86"/>
      <c r="AI33" s="86"/>
      <c r="AJ33" s="87"/>
    </row>
    <row r="34" spans="1:36">
      <c r="A34" s="32"/>
      <c r="B34" s="33"/>
      <c r="C34" s="81"/>
      <c r="D34" s="81"/>
      <c r="E34" s="81"/>
      <c r="F34" s="81"/>
      <c r="G34" s="81"/>
      <c r="H34" s="88"/>
      <c r="I34" s="88"/>
      <c r="J34" s="88"/>
      <c r="K34" s="88"/>
      <c r="L34" s="88"/>
      <c r="M34" s="88"/>
      <c r="N34" s="88"/>
      <c r="O34" s="88"/>
      <c r="P34" s="88"/>
      <c r="Q34" s="88"/>
      <c r="R34" s="88"/>
      <c r="S34" s="88"/>
      <c r="T34" s="88"/>
      <c r="U34" s="88"/>
      <c r="V34" s="88"/>
      <c r="W34" s="88"/>
      <c r="X34" s="17"/>
      <c r="Y34" s="17"/>
      <c r="Z34" s="17"/>
      <c r="AG34" s="17"/>
      <c r="AH34" s="17"/>
      <c r="AI34" s="17"/>
      <c r="AJ34" s="18"/>
    </row>
    <row r="35" spans="1:36">
      <c r="A35" s="89"/>
      <c r="B35" s="90"/>
      <c r="C35" s="91" t="s">
        <v>316</v>
      </c>
      <c r="D35" s="92"/>
      <c r="E35" s="92"/>
      <c r="F35" s="92"/>
      <c r="G35" s="93">
        <v>0.89</v>
      </c>
      <c r="H35" s="94">
        <f t="shared" ref="H35:W35" si="19">IF(ISERROR(IF($F$5=H8,$G$35,IF(H8&gt;$F$5,H24/H33,""))),0,IF($F$5=H8,$G$35,IF(H8&gt;$F$5,H24/H33,"")))</f>
        <v>0.89</v>
      </c>
      <c r="I35" s="94">
        <f t="shared" si="19"/>
        <v>0.84583892225859569</v>
      </c>
      <c r="J35" s="94">
        <f t="shared" si="19"/>
        <v>0.82101190351827347</v>
      </c>
      <c r="K35" s="94">
        <f t="shared" si="19"/>
        <v>0.78995581394514747</v>
      </c>
      <c r="L35" s="94">
        <f t="shared" si="19"/>
        <v>0.72289161037692307</v>
      </c>
      <c r="M35" s="94">
        <f t="shared" si="19"/>
        <v>0.72843623033266358</v>
      </c>
      <c r="N35" s="94">
        <f t="shared" si="19"/>
        <v>0.77394525762357658</v>
      </c>
      <c r="O35" s="94">
        <f t="shared" si="19"/>
        <v>0.80895897920660131</v>
      </c>
      <c r="P35" s="94">
        <f t="shared" si="19"/>
        <v>0.82114180737609022</v>
      </c>
      <c r="Q35" s="94">
        <f t="shared" si="19"/>
        <v>0.82933587260869934</v>
      </c>
      <c r="R35" s="94">
        <f t="shared" si="19"/>
        <v>0.82371375034851479</v>
      </c>
      <c r="S35" s="94">
        <f t="shared" si="19"/>
        <v>0.81441860035043767</v>
      </c>
      <c r="T35" s="94">
        <f t="shared" si="19"/>
        <v>0.81198617662249417</v>
      </c>
      <c r="U35" s="94">
        <f t="shared" si="19"/>
        <v>0.8141645040896498</v>
      </c>
      <c r="V35" s="94">
        <f t="shared" si="19"/>
        <v>0.81703510455941986</v>
      </c>
      <c r="W35" s="94">
        <f t="shared" si="19"/>
        <v>0.81107519874861533</v>
      </c>
      <c r="X35" s="95"/>
      <c r="Y35" s="96"/>
      <c r="Z35" s="96"/>
      <c r="AG35" s="96"/>
      <c r="AH35" s="96"/>
      <c r="AI35" s="96"/>
      <c r="AJ35" s="97"/>
    </row>
    <row r="36" spans="1:36">
      <c r="A36" s="32"/>
      <c r="B36" s="33"/>
      <c r="C36" s="43"/>
      <c r="D36" s="43"/>
      <c r="E36" s="43"/>
      <c r="F36" s="43"/>
      <c r="G36" s="43"/>
      <c r="H36" s="98"/>
      <c r="I36" s="98"/>
      <c r="J36" s="98"/>
      <c r="K36" s="98"/>
      <c r="L36" s="98"/>
      <c r="M36" s="98"/>
      <c r="N36" s="98"/>
      <c r="O36" s="98"/>
      <c r="P36" s="98"/>
      <c r="Q36" s="98"/>
      <c r="R36" s="98"/>
      <c r="S36" s="98"/>
      <c r="T36" s="98"/>
      <c r="U36" s="98"/>
      <c r="V36" s="98"/>
      <c r="W36" s="98"/>
      <c r="X36" s="17"/>
      <c r="Y36" s="17"/>
      <c r="Z36" s="17"/>
      <c r="AG36" s="17"/>
      <c r="AH36" s="17"/>
      <c r="AI36" s="17"/>
      <c r="AJ36" s="18"/>
    </row>
    <row r="37" spans="1:36">
      <c r="A37" s="32"/>
      <c r="B37" s="33"/>
      <c r="C37" s="99" t="s">
        <v>317</v>
      </c>
      <c r="D37" s="99"/>
      <c r="E37" s="99"/>
      <c r="F37" s="99"/>
      <c r="G37" s="99"/>
      <c r="H37" s="78">
        <f t="shared" ref="H37:W37" si="20">(H24-H33)*(1-$G$56)</f>
        <v>-84.919069112681427</v>
      </c>
      <c r="I37" s="78">
        <f t="shared" si="20"/>
        <v>-121.61065552473156</v>
      </c>
      <c r="J37" s="78">
        <f t="shared" si="20"/>
        <v>-167.66887156281734</v>
      </c>
      <c r="K37" s="78">
        <f t="shared" si="20"/>
        <v>-220.1880639852476</v>
      </c>
      <c r="L37" s="78">
        <f t="shared" si="20"/>
        <v>-315.05690984648436</v>
      </c>
      <c r="M37" s="78">
        <f t="shared" si="20"/>
        <v>-288.34302704298409</v>
      </c>
      <c r="N37" s="78">
        <f t="shared" si="20"/>
        <v>-254.74753743233134</v>
      </c>
      <c r="O37" s="78">
        <f t="shared" si="20"/>
        <v>-239.29638066955704</v>
      </c>
      <c r="P37" s="78">
        <f t="shared" si="20"/>
        <v>-222.25013465351003</v>
      </c>
      <c r="Q37" s="78">
        <f t="shared" si="20"/>
        <v>-217.8664072554584</v>
      </c>
      <c r="R37" s="78">
        <f t="shared" si="20"/>
        <v>-230.92310445563112</v>
      </c>
      <c r="S37" s="78">
        <f t="shared" si="20"/>
        <v>-249.20784094528585</v>
      </c>
      <c r="T37" s="78">
        <f t="shared" si="20"/>
        <v>-258.61112755671775</v>
      </c>
      <c r="U37" s="78">
        <f t="shared" si="20"/>
        <v>-261.65503855991096</v>
      </c>
      <c r="V37" s="78">
        <f t="shared" si="20"/>
        <v>-263.55673018896459</v>
      </c>
      <c r="W37" s="78">
        <f t="shared" si="20"/>
        <v>-278.29496096355228</v>
      </c>
      <c r="X37" s="17"/>
      <c r="Y37" s="17"/>
      <c r="Z37" s="17"/>
      <c r="AG37" s="17"/>
      <c r="AH37" s="17"/>
      <c r="AI37" s="17"/>
      <c r="AJ37" s="18"/>
    </row>
    <row r="38" spans="1:36">
      <c r="A38" s="32"/>
      <c r="B38" s="33"/>
      <c r="C38" s="100" t="s">
        <v>318</v>
      </c>
      <c r="D38" s="59"/>
      <c r="E38" s="59"/>
      <c r="F38" s="59"/>
      <c r="G38" s="59"/>
      <c r="H38" s="60"/>
      <c r="I38" s="65">
        <f t="shared" ref="I38:W38" si="21">I11+I15</f>
        <v>110.73434532472046</v>
      </c>
      <c r="J38" s="65">
        <f t="shared" si="21"/>
        <v>126.07214952714983</v>
      </c>
      <c r="K38" s="65">
        <f t="shared" si="21"/>
        <v>142.36125260536687</v>
      </c>
      <c r="L38" s="65">
        <f t="shared" si="21"/>
        <v>118.09999665475185</v>
      </c>
      <c r="M38" s="65">
        <f t="shared" si="21"/>
        <v>147.06552540068705</v>
      </c>
      <c r="N38" s="65">
        <f t="shared" si="21"/>
        <v>148.35835037711601</v>
      </c>
      <c r="O38" s="65">
        <f t="shared" si="21"/>
        <v>158.64480718002605</v>
      </c>
      <c r="P38" s="65">
        <f t="shared" si="21"/>
        <v>176.93473672852349</v>
      </c>
      <c r="Q38" s="65">
        <f t="shared" si="21"/>
        <v>186.29965267593892</v>
      </c>
      <c r="R38" s="65">
        <f t="shared" si="21"/>
        <v>191.32721133443422</v>
      </c>
      <c r="S38" s="65">
        <f t="shared" si="21"/>
        <v>196.25678701200039</v>
      </c>
      <c r="T38" s="65">
        <f t="shared" si="21"/>
        <v>201.11616876641</v>
      </c>
      <c r="U38" s="65">
        <f t="shared" si="21"/>
        <v>205.92921089385709</v>
      </c>
      <c r="V38" s="65">
        <f t="shared" si="21"/>
        <v>210.71643198497566</v>
      </c>
      <c r="W38" s="65">
        <f t="shared" si="21"/>
        <v>215.49552343847159</v>
      </c>
      <c r="X38" s="17"/>
      <c r="Y38" s="17"/>
      <c r="Z38" s="17"/>
      <c r="AG38" s="17"/>
      <c r="AH38" s="17"/>
      <c r="AI38" s="17"/>
      <c r="AJ38" s="18"/>
    </row>
    <row r="39" spans="1:36">
      <c r="A39" s="32"/>
      <c r="B39" s="33"/>
      <c r="C39" s="101" t="s">
        <v>319</v>
      </c>
      <c r="D39" s="100"/>
      <c r="E39" s="100"/>
      <c r="F39" s="100"/>
      <c r="G39" s="100"/>
      <c r="H39" s="74"/>
      <c r="I39" s="74">
        <f t="shared" ref="I39:W39" si="22">I37-H37</f>
        <v>-36.691586412050128</v>
      </c>
      <c r="J39" s="74">
        <f t="shared" si="22"/>
        <v>-46.058216038085789</v>
      </c>
      <c r="K39" s="74">
        <f t="shared" si="22"/>
        <v>-52.519192422430251</v>
      </c>
      <c r="L39" s="74">
        <f t="shared" si="22"/>
        <v>-94.868845861236764</v>
      </c>
      <c r="M39" s="74">
        <f t="shared" si="22"/>
        <v>26.713882803500269</v>
      </c>
      <c r="N39" s="74">
        <f t="shared" si="22"/>
        <v>33.595489610652749</v>
      </c>
      <c r="O39" s="74">
        <f t="shared" si="22"/>
        <v>15.451156762774303</v>
      </c>
      <c r="P39" s="74">
        <f t="shared" si="22"/>
        <v>17.046246016047007</v>
      </c>
      <c r="Q39" s="74">
        <f t="shared" si="22"/>
        <v>4.3837273980516329</v>
      </c>
      <c r="R39" s="74">
        <f t="shared" si="22"/>
        <v>-13.056697200172721</v>
      </c>
      <c r="S39" s="74">
        <f t="shared" si="22"/>
        <v>-18.284736489654733</v>
      </c>
      <c r="T39" s="74">
        <f t="shared" si="22"/>
        <v>-9.4032866114318949</v>
      </c>
      <c r="U39" s="74">
        <f t="shared" si="22"/>
        <v>-3.0439110031932159</v>
      </c>
      <c r="V39" s="74">
        <f t="shared" si="22"/>
        <v>-1.9016916290536301</v>
      </c>
      <c r="W39" s="74">
        <f t="shared" si="22"/>
        <v>-14.738230774587691</v>
      </c>
      <c r="X39" s="17"/>
      <c r="Y39" s="17"/>
      <c r="Z39" s="17"/>
      <c r="AG39" s="17"/>
      <c r="AH39" s="17"/>
      <c r="AI39" s="17"/>
      <c r="AJ39" s="18"/>
    </row>
    <row r="40" spans="1:36">
      <c r="A40" s="32"/>
      <c r="B40" s="33"/>
      <c r="C40" s="43"/>
      <c r="D40" s="43"/>
      <c r="E40" s="43"/>
      <c r="F40" s="43"/>
      <c r="G40" s="43"/>
      <c r="H40" s="40"/>
      <c r="I40" s="40"/>
      <c r="J40" s="40"/>
      <c r="K40" s="40"/>
      <c r="L40" s="40"/>
      <c r="M40" s="40"/>
      <c r="N40" s="40"/>
      <c r="O40" s="40"/>
      <c r="P40" s="40"/>
      <c r="Q40" s="98"/>
      <c r="R40" s="98"/>
      <c r="S40" s="98"/>
      <c r="T40" s="98"/>
      <c r="U40" s="98"/>
      <c r="V40" s="98"/>
      <c r="W40" s="98"/>
      <c r="X40" s="17"/>
      <c r="Y40" s="17"/>
      <c r="Z40" s="17"/>
      <c r="AG40" s="17"/>
      <c r="AH40" s="17"/>
      <c r="AI40" s="17"/>
      <c r="AJ40" s="18"/>
    </row>
    <row r="41" spans="1:36">
      <c r="A41" s="32"/>
      <c r="B41" s="33"/>
      <c r="C41" s="43"/>
      <c r="D41" s="43"/>
      <c r="E41" s="43"/>
      <c r="F41" s="43"/>
      <c r="G41" s="43"/>
      <c r="H41" s="40"/>
      <c r="I41" s="40"/>
      <c r="J41" s="40"/>
      <c r="K41" s="40"/>
      <c r="L41" s="40"/>
      <c r="M41" s="40"/>
      <c r="N41" s="40"/>
      <c r="O41" s="40"/>
      <c r="P41" s="40"/>
      <c r="Q41" s="102"/>
      <c r="R41" s="98"/>
      <c r="S41" s="98"/>
      <c r="T41" s="98"/>
      <c r="U41" s="98"/>
      <c r="V41" s="98"/>
      <c r="W41" s="98"/>
      <c r="X41" s="17"/>
      <c r="Y41" s="17"/>
      <c r="Z41" s="17"/>
      <c r="AG41" s="17"/>
      <c r="AH41" s="17"/>
      <c r="AI41" s="17"/>
      <c r="AJ41" s="18"/>
    </row>
    <row r="42" spans="1:36" ht="14.25" customHeight="1">
      <c r="A42" s="68"/>
      <c r="B42" s="72"/>
      <c r="C42" s="1822" t="s">
        <v>320</v>
      </c>
      <c r="D42" s="1823"/>
      <c r="E42" s="43"/>
      <c r="F42" s="43"/>
      <c r="G42" s="43"/>
      <c r="H42" s="43"/>
      <c r="I42" s="43"/>
      <c r="J42" s="43"/>
      <c r="K42" s="43"/>
      <c r="L42" s="43"/>
      <c r="M42" s="43"/>
      <c r="N42" s="43"/>
      <c r="O42" s="43"/>
      <c r="P42" s="43"/>
      <c r="Q42" s="80"/>
      <c r="R42" s="80"/>
      <c r="S42" s="80"/>
      <c r="T42" s="80"/>
      <c r="U42" s="80"/>
      <c r="V42" s="80"/>
      <c r="W42" s="80"/>
      <c r="X42" s="43"/>
      <c r="Y42" s="43"/>
      <c r="Z42" s="43"/>
      <c r="AG42" s="43"/>
      <c r="AH42" s="43"/>
      <c r="AI42" s="43"/>
      <c r="AJ42" s="18"/>
    </row>
    <row r="43" spans="1:36">
      <c r="A43" s="1824"/>
      <c r="B43" s="1825"/>
      <c r="C43" s="1826"/>
      <c r="D43" s="1826"/>
      <c r="E43" s="1827"/>
      <c r="F43" s="1827"/>
      <c r="G43" s="1827"/>
      <c r="H43" s="1827"/>
      <c r="I43" s="1827"/>
      <c r="J43" s="1827"/>
      <c r="K43" s="1827"/>
      <c r="L43" s="1827"/>
      <c r="M43" s="1827"/>
      <c r="N43" s="1827"/>
      <c r="O43" s="1827"/>
      <c r="P43" s="1827"/>
      <c r="Q43" s="1826"/>
      <c r="R43" s="1826"/>
      <c r="S43" s="1826"/>
      <c r="T43" s="1826"/>
      <c r="U43" s="1826"/>
      <c r="V43" s="1826"/>
      <c r="W43" s="1826"/>
      <c r="X43" s="1827"/>
      <c r="Y43" s="1827"/>
      <c r="Z43" s="1827"/>
      <c r="AG43" s="1827"/>
      <c r="AH43" s="1827"/>
      <c r="AI43" s="1827"/>
      <c r="AJ43" s="1828"/>
    </row>
    <row r="44" spans="1:36" ht="14.25" customHeight="1">
      <c r="A44" s="1829"/>
      <c r="B44" s="1829"/>
      <c r="C44" s="1830" t="s">
        <v>2240</v>
      </c>
      <c r="D44" s="1831"/>
      <c r="E44" s="1831"/>
      <c r="F44" s="1831"/>
      <c r="G44" s="1829"/>
      <c r="H44" s="1832">
        <v>4.8965281351279519E-2</v>
      </c>
      <c r="I44" s="1832">
        <v>5.3579340482181083E-2</v>
      </c>
      <c r="J44" s="1832">
        <v>5.9710739535931354E-2</v>
      </c>
      <c r="K44" s="1832">
        <v>6.343395644518604E-2</v>
      </c>
      <c r="L44" s="1832">
        <v>6.4849056699907676E-2</v>
      </c>
      <c r="M44" s="1832">
        <v>6.7985098787342074E-2</v>
      </c>
      <c r="N44" s="1832">
        <v>6.4631704609694071E-2</v>
      </c>
      <c r="O44" s="1832">
        <v>5.7573309641812245E-2</v>
      </c>
      <c r="P44" s="1832">
        <v>5.2713012472500112E-2</v>
      </c>
      <c r="Q44" s="1833">
        <f t="shared" ref="Q44:W44" si="23">(P44*(Q29+Q30+Q31)+Q45*Q32)/Q33</f>
        <v>5.1316746901049412E-2</v>
      </c>
      <c r="R44" s="1833">
        <f t="shared" si="23"/>
        <v>5.0168305484433871E-2</v>
      </c>
      <c r="S44" s="1833">
        <f t="shared" si="23"/>
        <v>4.9221604865308861E-2</v>
      </c>
      <c r="T44" s="1833">
        <f t="shared" si="23"/>
        <v>4.8439771515125345E-2</v>
      </c>
      <c r="U44" s="1833">
        <f t="shared" si="23"/>
        <v>4.7793107771212096E-2</v>
      </c>
      <c r="V44" s="1833">
        <f t="shared" si="23"/>
        <v>4.7257563803171865E-2</v>
      </c>
      <c r="W44" s="1833">
        <f t="shared" si="23"/>
        <v>4.6813573645984694E-2</v>
      </c>
      <c r="X44" s="96"/>
      <c r="Y44" s="96"/>
      <c r="Z44" s="96"/>
      <c r="AG44" s="96"/>
      <c r="AH44" s="96"/>
      <c r="AI44" s="96"/>
      <c r="AJ44" s="46" t="s">
        <v>2398</v>
      </c>
    </row>
    <row r="45" spans="1:36" ht="15" customHeight="1">
      <c r="A45" s="1829"/>
      <c r="B45" s="1829"/>
      <c r="C45" s="1830" t="s">
        <v>2241</v>
      </c>
      <c r="D45" s="1831"/>
      <c r="E45" s="1831"/>
      <c r="F45" s="1831"/>
      <c r="G45" s="1829"/>
      <c r="H45" s="1834"/>
      <c r="I45" s="1832">
        <v>7.310400252503485E-2</v>
      </c>
      <c r="J45" s="1832">
        <v>7.9680053469719861E-2</v>
      </c>
      <c r="K45" s="1832">
        <v>6.8922567952964767E-2</v>
      </c>
      <c r="L45" s="1832">
        <v>6.1637366669724539E-2</v>
      </c>
      <c r="M45" s="1832">
        <v>5.6581503319266375E-2</v>
      </c>
      <c r="N45" s="1832">
        <v>5.6337031636794835E-2</v>
      </c>
      <c r="O45" s="1832">
        <v>4.4388078630310718E-2</v>
      </c>
      <c r="P45" s="1832">
        <v>4.4621082106404121E-2</v>
      </c>
      <c r="Q45" s="1835">
        <f t="shared" ref="Q45:W45" si="24">P45</f>
        <v>4.4621082106404121E-2</v>
      </c>
      <c r="R45" s="1835">
        <f t="shared" si="24"/>
        <v>4.4621082106404121E-2</v>
      </c>
      <c r="S45" s="1835">
        <f t="shared" si="24"/>
        <v>4.4621082106404121E-2</v>
      </c>
      <c r="T45" s="1835">
        <f t="shared" si="24"/>
        <v>4.4621082106404121E-2</v>
      </c>
      <c r="U45" s="1835">
        <f t="shared" si="24"/>
        <v>4.4621082106404121E-2</v>
      </c>
      <c r="V45" s="1835">
        <f t="shared" si="24"/>
        <v>4.4621082106404121E-2</v>
      </c>
      <c r="W45" s="1835">
        <f t="shared" si="24"/>
        <v>4.4621082106404121E-2</v>
      </c>
      <c r="X45" s="96"/>
      <c r="Y45" s="96"/>
      <c r="Z45" s="96"/>
      <c r="AG45" s="96"/>
      <c r="AH45" s="96"/>
      <c r="AI45" s="96"/>
      <c r="AJ45" s="46" t="s">
        <v>2399</v>
      </c>
    </row>
    <row r="46" spans="1:36">
      <c r="A46" s="32"/>
      <c r="B46" s="33"/>
      <c r="C46" s="1836"/>
      <c r="D46" s="43"/>
      <c r="E46" s="43"/>
      <c r="F46" s="43"/>
      <c r="G46" s="43"/>
      <c r="H46" s="40"/>
      <c r="I46" s="1837"/>
      <c r="J46" s="1837"/>
      <c r="K46" s="1837"/>
      <c r="L46" s="1837"/>
      <c r="M46" s="1837"/>
      <c r="N46" s="1837"/>
      <c r="O46" s="1837"/>
      <c r="P46" s="1837"/>
      <c r="Q46" s="1838"/>
      <c r="R46" s="22"/>
      <c r="S46" s="40"/>
      <c r="T46" s="40"/>
      <c r="U46" s="40"/>
      <c r="V46" s="40"/>
      <c r="W46" s="40"/>
      <c r="X46" s="17"/>
      <c r="Y46" s="17"/>
      <c r="Z46" s="17"/>
      <c r="AG46" s="17"/>
      <c r="AH46" s="17"/>
      <c r="AI46" s="17"/>
      <c r="AJ46" s="18"/>
    </row>
    <row r="47" spans="1:36">
      <c r="A47" s="32"/>
      <c r="B47" s="33"/>
      <c r="C47" s="21" t="s">
        <v>2242</v>
      </c>
      <c r="D47" s="1823"/>
      <c r="E47" s="1823"/>
      <c r="F47" s="1823"/>
      <c r="G47" s="1823"/>
      <c r="H47" s="1839">
        <v>10</v>
      </c>
      <c r="I47" s="1839">
        <v>10</v>
      </c>
      <c r="J47" s="1839">
        <v>10</v>
      </c>
      <c r="K47" s="1839">
        <v>10</v>
      </c>
      <c r="L47" s="1839">
        <v>10</v>
      </c>
      <c r="M47" s="1839">
        <v>10</v>
      </c>
      <c r="N47" s="1839">
        <v>10</v>
      </c>
      <c r="O47" s="1839">
        <v>10</v>
      </c>
      <c r="P47" s="1839">
        <v>10</v>
      </c>
      <c r="Q47" s="1840">
        <f t="shared" ref="Q47:W47" si="25">P47*(1+Q48)</f>
        <v>10.1</v>
      </c>
      <c r="R47" s="1840">
        <f t="shared" si="25"/>
        <v>10.201000000000001</v>
      </c>
      <c r="S47" s="1840">
        <f t="shared" si="25"/>
        <v>10.30301</v>
      </c>
      <c r="T47" s="1840">
        <f t="shared" si="25"/>
        <v>10.4060401</v>
      </c>
      <c r="U47" s="1840">
        <f t="shared" si="25"/>
        <v>10.510100501</v>
      </c>
      <c r="V47" s="1840">
        <f t="shared" si="25"/>
        <v>10.615201506010001</v>
      </c>
      <c r="W47" s="1840">
        <f t="shared" si="25"/>
        <v>10.721353521070101</v>
      </c>
      <c r="X47" s="17"/>
      <c r="Y47" s="17"/>
      <c r="Z47" s="17"/>
      <c r="AG47" s="17"/>
      <c r="AH47" s="17"/>
      <c r="AI47" s="17"/>
      <c r="AJ47" s="18"/>
    </row>
    <row r="48" spans="1:36">
      <c r="A48" s="32"/>
      <c r="B48" s="72"/>
      <c r="C48" s="43" t="s">
        <v>2243</v>
      </c>
      <c r="D48" s="43"/>
      <c r="E48" s="43"/>
      <c r="F48" s="43"/>
      <c r="G48" s="43"/>
      <c r="H48" s="1841"/>
      <c r="I48" s="1841">
        <f t="shared" ref="I48:P48" si="26">I47/H47-1</f>
        <v>0</v>
      </c>
      <c r="J48" s="1841">
        <f t="shared" si="26"/>
        <v>0</v>
      </c>
      <c r="K48" s="1841">
        <f t="shared" si="26"/>
        <v>0</v>
      </c>
      <c r="L48" s="1841">
        <f t="shared" si="26"/>
        <v>0</v>
      </c>
      <c r="M48" s="1841">
        <f t="shared" si="26"/>
        <v>0</v>
      </c>
      <c r="N48" s="1841">
        <f t="shared" si="26"/>
        <v>0</v>
      </c>
      <c r="O48" s="1841">
        <f t="shared" si="26"/>
        <v>0</v>
      </c>
      <c r="P48" s="1841">
        <f t="shared" si="26"/>
        <v>0</v>
      </c>
      <c r="Q48" s="1842">
        <v>0.01</v>
      </c>
      <c r="R48" s="1842">
        <v>0.01</v>
      </c>
      <c r="S48" s="1842">
        <v>0.01</v>
      </c>
      <c r="T48" s="1842">
        <v>0.01</v>
      </c>
      <c r="U48" s="1842">
        <v>0.01</v>
      </c>
      <c r="V48" s="1842">
        <v>0.01</v>
      </c>
      <c r="W48" s="1842">
        <v>0.01</v>
      </c>
      <c r="X48" s="17"/>
      <c r="Y48" s="17"/>
      <c r="Z48" s="17"/>
      <c r="AG48" s="17"/>
      <c r="AH48" s="17"/>
      <c r="AI48" s="17"/>
      <c r="AJ48" s="18"/>
    </row>
    <row r="49" spans="1:36">
      <c r="A49" s="32"/>
      <c r="B49" s="72"/>
      <c r="C49" s="43" t="s">
        <v>2244</v>
      </c>
      <c r="D49" s="43"/>
      <c r="E49" s="43"/>
      <c r="F49" s="43"/>
      <c r="G49" s="43"/>
      <c r="H49" s="1843"/>
      <c r="I49" s="1844"/>
      <c r="J49" s="1843"/>
      <c r="K49" s="1843"/>
      <c r="L49" s="1843"/>
      <c r="M49" s="1843"/>
      <c r="N49" s="1845"/>
      <c r="O49" s="1845"/>
      <c r="P49" s="1845"/>
      <c r="Q49" s="1845"/>
      <c r="R49" s="1845"/>
      <c r="S49" s="1845"/>
      <c r="T49" s="1845"/>
      <c r="U49" s="1845"/>
      <c r="V49" s="1845"/>
      <c r="W49" s="1845"/>
      <c r="X49" s="17"/>
      <c r="Y49" s="17"/>
      <c r="Z49" s="17"/>
      <c r="AG49" s="17"/>
      <c r="AH49" s="17"/>
      <c r="AI49" s="17"/>
      <c r="AJ49" s="18"/>
    </row>
    <row r="50" spans="1:36">
      <c r="A50" s="32"/>
      <c r="B50" s="72"/>
      <c r="C50" s="43"/>
      <c r="D50" s="43"/>
      <c r="E50" s="43"/>
      <c r="F50" s="43"/>
      <c r="G50" s="43"/>
      <c r="H50" s="1843"/>
      <c r="I50" s="1844"/>
      <c r="J50" s="1843"/>
      <c r="K50" s="1843"/>
      <c r="L50" s="1843"/>
      <c r="M50" s="1843"/>
      <c r="N50" s="1845"/>
      <c r="O50" s="1845"/>
      <c r="P50" s="1845"/>
      <c r="Q50" s="1845"/>
      <c r="R50" s="1845"/>
      <c r="S50" s="1845"/>
      <c r="T50" s="1845"/>
      <c r="U50" s="1845"/>
      <c r="V50" s="1845"/>
      <c r="W50" s="1845"/>
      <c r="X50" s="17"/>
      <c r="Y50" s="17"/>
      <c r="Z50" s="17"/>
      <c r="AG50" s="17"/>
      <c r="AH50" s="17"/>
      <c r="AI50" s="17"/>
      <c r="AJ50" s="18"/>
    </row>
    <row r="51" spans="1:36">
      <c r="A51" s="32"/>
      <c r="B51" s="72"/>
      <c r="C51" s="43" t="s">
        <v>2245</v>
      </c>
      <c r="D51" s="43"/>
      <c r="E51" s="43"/>
      <c r="F51" s="43"/>
      <c r="G51" s="43"/>
      <c r="H51" s="1846"/>
      <c r="I51" s="1846">
        <f t="shared" ref="I51:W51" si="27">IF(ISERROR(I54/I47),0,I54/I47)</f>
        <v>12.75972795480561</v>
      </c>
      <c r="J51" s="1846">
        <f t="shared" si="27"/>
        <v>27.397757904104274</v>
      </c>
      <c r="K51" s="1846">
        <f t="shared" si="27"/>
        <v>25.389537056688081</v>
      </c>
      <c r="L51" s="1846">
        <f t="shared" si="27"/>
        <v>20.67506593043559</v>
      </c>
      <c r="M51" s="1846">
        <f t="shared" si="27"/>
        <v>7.1908384013329494</v>
      </c>
      <c r="N51" s="1846">
        <f t="shared" si="27"/>
        <v>21.349933519096627</v>
      </c>
      <c r="O51" s="1846">
        <f t="shared" si="27"/>
        <v>28.430789650788615</v>
      </c>
      <c r="P51" s="1846">
        <f t="shared" si="27"/>
        <v>16.694840295224644</v>
      </c>
      <c r="Q51" s="1846">
        <f t="shared" si="27"/>
        <v>21.809341153872442</v>
      </c>
      <c r="R51" s="1846">
        <f t="shared" si="27"/>
        <v>22.02527522470286</v>
      </c>
      <c r="S51" s="1846">
        <f t="shared" si="27"/>
        <v>22.24334725663061</v>
      </c>
      <c r="T51" s="1846">
        <f t="shared" si="27"/>
        <v>22.463578417587353</v>
      </c>
      <c r="U51" s="1846">
        <f t="shared" si="27"/>
        <v>22.685990085088211</v>
      </c>
      <c r="V51" s="1846">
        <f t="shared" si="27"/>
        <v>22.910603848306909</v>
      </c>
      <c r="W51" s="1846">
        <f t="shared" si="27"/>
        <v>23.137441510171332</v>
      </c>
      <c r="X51" s="17"/>
      <c r="Y51" s="17"/>
      <c r="Z51" s="17"/>
      <c r="AG51" s="17"/>
      <c r="AH51" s="17"/>
      <c r="AI51" s="17"/>
      <c r="AJ51" s="18"/>
    </row>
    <row r="52" spans="1:36">
      <c r="A52" s="32"/>
      <c r="B52" s="72"/>
      <c r="C52" s="43" t="s">
        <v>2246</v>
      </c>
      <c r="D52" s="43"/>
      <c r="E52" s="43"/>
      <c r="F52" s="43"/>
      <c r="G52" s="43"/>
      <c r="H52" s="1841"/>
      <c r="I52" s="1847"/>
      <c r="J52" s="1847">
        <f t="shared" ref="J52:W52" si="28">IF(ISERROR(J51/I51-1),0,J51/I51-1)</f>
        <v>1.1472054891096359</v>
      </c>
      <c r="K52" s="1847">
        <f t="shared" si="28"/>
        <v>-7.3298729569230781E-2</v>
      </c>
      <c r="L52" s="1847">
        <f t="shared" si="28"/>
        <v>-0.18568558834792182</v>
      </c>
      <c r="M52" s="1847">
        <f t="shared" si="28"/>
        <v>-0.65219755886014474</v>
      </c>
      <c r="N52" s="1847">
        <f t="shared" si="28"/>
        <v>1.9690464904814213</v>
      </c>
      <c r="O52" s="1847">
        <f t="shared" si="28"/>
        <v>0.33165705763713293</v>
      </c>
      <c r="P52" s="1847">
        <f t="shared" si="28"/>
        <v>-0.41279012998636277</v>
      </c>
      <c r="Q52" s="1847">
        <f t="shared" si="28"/>
        <v>0.30635218835311284</v>
      </c>
      <c r="R52" s="1847">
        <f t="shared" si="28"/>
        <v>9.9009900990096877E-3</v>
      </c>
      <c r="S52" s="1847">
        <f t="shared" si="28"/>
        <v>9.9009900990099098E-3</v>
      </c>
      <c r="T52" s="1847">
        <f t="shared" si="28"/>
        <v>9.9009900990101318E-3</v>
      </c>
      <c r="U52" s="1847">
        <f t="shared" si="28"/>
        <v>9.9009900990094657E-3</v>
      </c>
      <c r="V52" s="1847">
        <f t="shared" si="28"/>
        <v>9.9009900990101318E-3</v>
      </c>
      <c r="W52" s="1847">
        <f t="shared" si="28"/>
        <v>9.9009900990099098E-3</v>
      </c>
      <c r="X52" s="17"/>
      <c r="Y52" s="17"/>
      <c r="Z52" s="17"/>
      <c r="AG52" s="17"/>
      <c r="AH52" s="17"/>
      <c r="AI52" s="17"/>
      <c r="AJ52" s="18"/>
    </row>
    <row r="53" spans="1:36">
      <c r="A53" s="32"/>
      <c r="B53" s="72"/>
      <c r="C53" s="43"/>
      <c r="D53" s="43"/>
      <c r="E53" s="43"/>
      <c r="F53" s="43"/>
      <c r="G53" s="43"/>
      <c r="H53" s="1841"/>
      <c r="I53" s="1841"/>
      <c r="J53" s="1841"/>
      <c r="K53" s="1841"/>
      <c r="L53" s="1841"/>
      <c r="M53" s="1841"/>
      <c r="N53" s="1841"/>
      <c r="O53" s="1841"/>
      <c r="P53" s="1841"/>
      <c r="Q53" s="1841"/>
      <c r="R53" s="1841"/>
      <c r="S53" s="1841"/>
      <c r="T53" s="1841"/>
      <c r="U53" s="1841"/>
      <c r="V53" s="1841"/>
      <c r="W53" s="1841"/>
      <c r="X53" s="17"/>
      <c r="Y53" s="17"/>
      <c r="Z53" s="17"/>
      <c r="AG53" s="17"/>
      <c r="AH53" s="17"/>
      <c r="AI53" s="17"/>
      <c r="AJ53" s="18"/>
    </row>
    <row r="54" spans="1:36">
      <c r="A54" s="32"/>
      <c r="B54" s="72"/>
      <c r="C54" s="43" t="s">
        <v>2247</v>
      </c>
      <c r="D54" s="43"/>
      <c r="E54" s="43"/>
      <c r="F54" s="43"/>
      <c r="G54" s="43"/>
      <c r="H54" s="1848"/>
      <c r="I54" s="1848">
        <f t="shared" ref="I54:W54" si="29">IF(ISERROR(I143),0,I143)</f>
        <v>127.59727954805611</v>
      </c>
      <c r="J54" s="1848">
        <f t="shared" si="29"/>
        <v>273.97757904104276</v>
      </c>
      <c r="K54" s="1848">
        <f t="shared" si="29"/>
        <v>253.89537056688081</v>
      </c>
      <c r="L54" s="1848">
        <f t="shared" si="29"/>
        <v>206.75065930435591</v>
      </c>
      <c r="M54" s="1848">
        <f t="shared" si="29"/>
        <v>71.908384013329496</v>
      </c>
      <c r="N54" s="1848">
        <f t="shared" si="29"/>
        <v>213.49933519096626</v>
      </c>
      <c r="O54" s="1848">
        <f t="shared" si="29"/>
        <v>284.30789650788614</v>
      </c>
      <c r="P54" s="1848">
        <f t="shared" si="29"/>
        <v>166.94840295224643</v>
      </c>
      <c r="Q54" s="1848">
        <f t="shared" si="29"/>
        <v>220.27434565411164</v>
      </c>
      <c r="R54" s="1848">
        <f t="shared" si="29"/>
        <v>224.6798325671939</v>
      </c>
      <c r="S54" s="1848">
        <f t="shared" si="29"/>
        <v>229.17342921853776</v>
      </c>
      <c r="T54" s="1848">
        <f t="shared" si="29"/>
        <v>233.75689780290855</v>
      </c>
      <c r="U54" s="1848">
        <f t="shared" si="29"/>
        <v>238.43203575896663</v>
      </c>
      <c r="V54" s="1848">
        <f t="shared" si="29"/>
        <v>243.20067647414601</v>
      </c>
      <c r="W54" s="1848">
        <f t="shared" si="29"/>
        <v>248.06469000362893</v>
      </c>
      <c r="X54" s="17"/>
      <c r="Y54" s="17"/>
      <c r="Z54" s="17"/>
      <c r="AG54" s="17"/>
      <c r="AH54" s="17"/>
      <c r="AI54" s="17"/>
      <c r="AJ54" s="18"/>
    </row>
    <row r="55" spans="1:36">
      <c r="A55" s="32"/>
      <c r="B55" s="72"/>
      <c r="C55" s="43"/>
      <c r="D55" s="43"/>
      <c r="E55" s="43"/>
      <c r="F55" s="43"/>
      <c r="G55" s="43"/>
      <c r="H55" s="17"/>
      <c r="I55" s="1849"/>
      <c r="J55" s="1847">
        <f t="shared" ref="J55:W55" si="30">IF(ISERROR(J54/I54-1),0,J54/I54-1)</f>
        <v>1.1472054891096359</v>
      </c>
      <c r="K55" s="1847">
        <f t="shared" si="30"/>
        <v>-7.3298729569230781E-2</v>
      </c>
      <c r="L55" s="1847">
        <f t="shared" si="30"/>
        <v>-0.18568558834792182</v>
      </c>
      <c r="M55" s="1847">
        <f t="shared" si="30"/>
        <v>-0.65219755886014474</v>
      </c>
      <c r="N55" s="1847">
        <f t="shared" si="30"/>
        <v>1.9690464904814209</v>
      </c>
      <c r="O55" s="1847">
        <f t="shared" si="30"/>
        <v>0.33165705763713293</v>
      </c>
      <c r="P55" s="1847">
        <f t="shared" si="30"/>
        <v>-0.41279012998636289</v>
      </c>
      <c r="Q55" s="1847">
        <f t="shared" si="30"/>
        <v>0.31941571023664395</v>
      </c>
      <c r="R55" s="1847">
        <f t="shared" si="30"/>
        <v>2.0000000000000018E-2</v>
      </c>
      <c r="S55" s="1847">
        <f t="shared" si="30"/>
        <v>2.0000000000000018E-2</v>
      </c>
      <c r="T55" s="1847">
        <f t="shared" si="30"/>
        <v>2.000000000000024E-2</v>
      </c>
      <c r="U55" s="1847">
        <f t="shared" si="30"/>
        <v>1.9999999999999574E-2</v>
      </c>
      <c r="V55" s="1847">
        <f t="shared" si="30"/>
        <v>2.000000000000024E-2</v>
      </c>
      <c r="W55" s="1847">
        <f t="shared" si="30"/>
        <v>2.0000000000000018E-2</v>
      </c>
      <c r="X55" s="17"/>
      <c r="Y55" s="17"/>
      <c r="Z55" s="17"/>
      <c r="AG55" s="17"/>
      <c r="AH55" s="17"/>
      <c r="AI55" s="17"/>
      <c r="AJ55" s="18"/>
    </row>
    <row r="56" spans="1:36" ht="12" customHeight="1">
      <c r="A56" s="32"/>
      <c r="B56" s="72"/>
      <c r="C56" s="21" t="s">
        <v>2248</v>
      </c>
      <c r="D56" s="69"/>
      <c r="E56" s="69"/>
      <c r="F56" s="69"/>
      <c r="G56" s="1850">
        <f>_xll.ThomsonONEAddinShim.SpreadsheetFormulas.TF(SedolTicker,"ZAV(TF.FN.TaxRate(period=FY0))")/100</f>
        <v>0</v>
      </c>
      <c r="H56" s="40"/>
      <c r="I56" s="1851"/>
      <c r="J56" s="1849"/>
      <c r="K56" s="1849"/>
      <c r="L56" s="1849"/>
      <c r="M56" s="1849"/>
      <c r="N56" s="1849"/>
      <c r="O56" s="1849"/>
      <c r="P56" s="1849"/>
      <c r="Q56" s="1849"/>
      <c r="R56" s="1849"/>
      <c r="S56" s="1849"/>
      <c r="T56" s="1849"/>
      <c r="U56" s="1849"/>
      <c r="V56" s="1849"/>
      <c r="W56" s="1849"/>
      <c r="X56" s="17"/>
      <c r="Y56" s="17"/>
      <c r="Z56" s="17"/>
      <c r="AG56" s="17"/>
      <c r="AH56" s="17"/>
      <c r="AI56" s="17"/>
      <c r="AJ56" s="18"/>
    </row>
    <row r="57" spans="1:36">
      <c r="A57" s="32"/>
      <c r="B57" s="72"/>
      <c r="C57" s="43"/>
      <c r="D57" s="1823"/>
      <c r="E57" s="1823"/>
      <c r="F57" s="1823"/>
      <c r="G57" s="1823"/>
      <c r="H57" s="1849"/>
      <c r="I57" s="1849"/>
      <c r="J57" s="1852"/>
      <c r="K57" s="1852"/>
      <c r="L57" s="1852"/>
      <c r="M57" s="1852"/>
      <c r="N57" s="1852"/>
      <c r="O57" s="1852"/>
      <c r="P57" s="1852"/>
      <c r="Q57" s="1852"/>
      <c r="R57" s="1852"/>
      <c r="S57" s="1852"/>
      <c r="T57" s="1852"/>
      <c r="U57" s="1852"/>
      <c r="V57" s="1852"/>
      <c r="W57" s="1852"/>
      <c r="X57" s="17"/>
      <c r="Y57" s="17"/>
      <c r="Z57" s="17"/>
      <c r="AG57" s="17"/>
      <c r="AH57" s="17"/>
      <c r="AI57" s="17"/>
      <c r="AJ57" s="18"/>
    </row>
    <row r="58" spans="1:36">
      <c r="A58" s="32"/>
      <c r="B58" s="72"/>
      <c r="C58" s="43" t="s">
        <v>600</v>
      </c>
      <c r="D58" s="1823"/>
      <c r="E58" s="1823"/>
      <c r="F58" s="1823"/>
      <c r="G58" s="1823"/>
      <c r="H58" s="1849"/>
      <c r="I58" s="1849"/>
      <c r="J58" s="1853">
        <v>0.8</v>
      </c>
      <c r="K58" s="1853">
        <v>0.8</v>
      </c>
      <c r="L58" s="1853">
        <v>0.8</v>
      </c>
      <c r="M58" s="1853">
        <v>0.8</v>
      </c>
      <c r="N58" s="1853">
        <v>0.8</v>
      </c>
      <c r="O58" s="1853">
        <v>0.8</v>
      </c>
      <c r="P58" s="1853">
        <v>0.8</v>
      </c>
      <c r="Q58" s="1853">
        <v>0.8</v>
      </c>
      <c r="R58" s="1853">
        <v>0.8</v>
      </c>
      <c r="S58" s="1853">
        <v>0.8</v>
      </c>
      <c r="T58" s="1853">
        <v>0.8</v>
      </c>
      <c r="U58" s="1853">
        <v>0.8</v>
      </c>
      <c r="V58" s="1853">
        <v>0.8</v>
      </c>
      <c r="W58" s="1853">
        <v>0.8</v>
      </c>
      <c r="X58" s="17"/>
      <c r="Y58" s="17"/>
      <c r="Z58" s="17"/>
      <c r="AG58" s="17"/>
      <c r="AH58" s="17"/>
      <c r="AI58" s="17"/>
      <c r="AJ58" s="18"/>
    </row>
    <row r="59" spans="1:36">
      <c r="A59" s="83"/>
      <c r="B59" s="1854"/>
      <c r="C59" s="21" t="s">
        <v>601</v>
      </c>
      <c r="D59" s="69"/>
      <c r="E59" s="69"/>
      <c r="F59" s="69"/>
      <c r="G59" s="69"/>
      <c r="H59" s="1855"/>
      <c r="I59" s="1856"/>
      <c r="J59" s="60">
        <f t="shared" ref="J59:W59" si="31">J54*J58</f>
        <v>219.18206323283422</v>
      </c>
      <c r="K59" s="60">
        <f t="shared" si="31"/>
        <v>203.11629645350467</v>
      </c>
      <c r="L59" s="60">
        <f t="shared" si="31"/>
        <v>165.40052744348475</v>
      </c>
      <c r="M59" s="60">
        <f t="shared" si="31"/>
        <v>57.526707210663602</v>
      </c>
      <c r="N59" s="60">
        <f t="shared" si="31"/>
        <v>170.79946815277302</v>
      </c>
      <c r="O59" s="60">
        <f t="shared" si="31"/>
        <v>227.44631720630892</v>
      </c>
      <c r="P59" s="60">
        <f t="shared" si="31"/>
        <v>133.55872236179715</v>
      </c>
      <c r="Q59" s="60">
        <f t="shared" si="31"/>
        <v>176.21947652328933</v>
      </c>
      <c r="R59" s="60">
        <f t="shared" si="31"/>
        <v>179.74386605375514</v>
      </c>
      <c r="S59" s="60">
        <f t="shared" si="31"/>
        <v>183.33874337483022</v>
      </c>
      <c r="T59" s="60">
        <f t="shared" si="31"/>
        <v>187.00551824232684</v>
      </c>
      <c r="U59" s="60">
        <f t="shared" si="31"/>
        <v>190.74562860717333</v>
      </c>
      <c r="V59" s="60">
        <f t="shared" si="31"/>
        <v>194.56054117931683</v>
      </c>
      <c r="W59" s="60">
        <f t="shared" si="31"/>
        <v>198.45175200290316</v>
      </c>
      <c r="X59" s="1857"/>
      <c r="Y59" s="1857"/>
      <c r="Z59" s="1857"/>
      <c r="AG59" s="86"/>
      <c r="AH59" s="86"/>
      <c r="AI59" s="86"/>
      <c r="AJ59" s="87"/>
    </row>
    <row r="60" spans="1:36">
      <c r="A60" s="83"/>
      <c r="B60" s="1854"/>
      <c r="C60" s="21" t="s">
        <v>602</v>
      </c>
      <c r="D60" s="69"/>
      <c r="E60" s="69"/>
      <c r="F60" s="69"/>
      <c r="G60" s="69"/>
      <c r="H60" s="1855"/>
      <c r="I60" s="1856"/>
      <c r="J60" s="1848">
        <f t="shared" ref="J60:W60" si="32">J54-J59</f>
        <v>54.795515808208535</v>
      </c>
      <c r="K60" s="1848">
        <f t="shared" si="32"/>
        <v>50.77907411337614</v>
      </c>
      <c r="L60" s="1848">
        <f t="shared" si="32"/>
        <v>41.350131860871159</v>
      </c>
      <c r="M60" s="1848">
        <f t="shared" si="32"/>
        <v>14.381676802665893</v>
      </c>
      <c r="N60" s="1848">
        <f t="shared" si="32"/>
        <v>42.699867038193247</v>
      </c>
      <c r="O60" s="1848">
        <f t="shared" si="32"/>
        <v>56.861579301577223</v>
      </c>
      <c r="P60" s="1848">
        <f t="shared" si="32"/>
        <v>33.389680590449274</v>
      </c>
      <c r="Q60" s="1848">
        <f t="shared" si="32"/>
        <v>44.054869130822311</v>
      </c>
      <c r="R60" s="1848">
        <f t="shared" si="32"/>
        <v>44.935966513438757</v>
      </c>
      <c r="S60" s="1848">
        <f t="shared" si="32"/>
        <v>45.834685843707547</v>
      </c>
      <c r="T60" s="1848">
        <f t="shared" si="32"/>
        <v>46.751379560581711</v>
      </c>
      <c r="U60" s="1848">
        <f t="shared" si="32"/>
        <v>47.686407151793304</v>
      </c>
      <c r="V60" s="1848">
        <f t="shared" si="32"/>
        <v>48.640135294829179</v>
      </c>
      <c r="W60" s="1848">
        <f t="shared" si="32"/>
        <v>49.612938000725762</v>
      </c>
      <c r="X60" s="69"/>
      <c r="Y60" s="69"/>
      <c r="Z60" s="69"/>
      <c r="AG60" s="86"/>
      <c r="AH60" s="86"/>
      <c r="AI60" s="86"/>
      <c r="AJ60" s="87"/>
    </row>
    <row r="61" spans="1:36">
      <c r="A61" s="32"/>
      <c r="B61" s="72"/>
      <c r="C61" s="43"/>
      <c r="D61" s="1823"/>
      <c r="E61" s="1823"/>
      <c r="F61" s="1823"/>
      <c r="G61" s="1823"/>
      <c r="H61" s="1855"/>
      <c r="I61" s="1849"/>
      <c r="J61" s="1849"/>
      <c r="K61" s="1849"/>
      <c r="L61" s="1849"/>
      <c r="M61" s="1849"/>
      <c r="N61" s="1849"/>
      <c r="O61" s="1849"/>
      <c r="P61" s="1849"/>
      <c r="Q61" s="1849"/>
      <c r="R61" s="1849"/>
      <c r="S61" s="1849"/>
      <c r="T61" s="1849"/>
      <c r="U61" s="1849"/>
      <c r="V61" s="1849"/>
      <c r="W61" s="1849"/>
      <c r="X61" s="17"/>
      <c r="Y61" s="17"/>
      <c r="Z61" s="17"/>
      <c r="AG61" s="17"/>
      <c r="AH61" s="17"/>
      <c r="AI61" s="17"/>
      <c r="AJ61" s="18"/>
    </row>
    <row r="62" spans="1:36">
      <c r="A62" s="32"/>
      <c r="B62" s="72"/>
      <c r="C62" s="43"/>
      <c r="D62" s="43"/>
      <c r="E62" s="43"/>
      <c r="F62" s="43"/>
      <c r="G62" s="43"/>
      <c r="H62" s="1858"/>
      <c r="I62" s="1858"/>
      <c r="J62" s="1858"/>
      <c r="K62" s="1858"/>
      <c r="L62" s="1858"/>
      <c r="M62" s="1858"/>
      <c r="N62" s="1859"/>
      <c r="O62" s="1859"/>
      <c r="P62" s="1859"/>
      <c r="Q62" s="1860"/>
      <c r="R62" s="1860"/>
      <c r="S62" s="1860"/>
      <c r="T62" s="1860"/>
      <c r="U62" s="1860"/>
      <c r="V62" s="1860"/>
      <c r="W62" s="1860"/>
      <c r="X62" s="17"/>
      <c r="Y62" s="17"/>
      <c r="Z62" s="17"/>
      <c r="AG62" s="17"/>
      <c r="AH62" s="17"/>
      <c r="AI62" s="17"/>
      <c r="AJ62" s="18"/>
    </row>
    <row r="63" spans="1:36">
      <c r="A63" s="32"/>
      <c r="B63" s="72"/>
      <c r="C63" s="43" t="s">
        <v>2263</v>
      </c>
      <c r="D63" s="43"/>
      <c r="E63" s="43"/>
      <c r="F63" s="43"/>
      <c r="G63" s="43"/>
      <c r="H63" s="1848">
        <f t="shared" ref="H63:P63" si="33">IF(ISERROR(H76),0,H76)</f>
        <v>148</v>
      </c>
      <c r="I63" s="1848">
        <f t="shared" si="33"/>
        <v>157.863</v>
      </c>
      <c r="J63" s="1848">
        <f t="shared" si="33"/>
        <v>190.16900000000001</v>
      </c>
      <c r="K63" s="1848">
        <f t="shared" si="33"/>
        <v>215.79499999999999</v>
      </c>
      <c r="L63" s="1848">
        <f t="shared" si="33"/>
        <v>197.34100000000001</v>
      </c>
      <c r="M63" s="1848">
        <f t="shared" si="33"/>
        <v>224.864</v>
      </c>
      <c r="N63" s="1848">
        <f t="shared" si="33"/>
        <v>232.572</v>
      </c>
      <c r="O63" s="1848">
        <f t="shared" si="33"/>
        <v>244.1</v>
      </c>
      <c r="P63" s="1848">
        <f t="shared" si="33"/>
        <v>256.5</v>
      </c>
      <c r="Q63" s="1848">
        <f t="shared" ref="Q63:W63" si="34">P63*(1+Q64)</f>
        <v>261.63</v>
      </c>
      <c r="R63" s="1848">
        <f t="shared" si="34"/>
        <v>266.86259999999999</v>
      </c>
      <c r="S63" s="1848">
        <f t="shared" si="34"/>
        <v>272.19985199999996</v>
      </c>
      <c r="T63" s="1848">
        <f t="shared" si="34"/>
        <v>277.64384903999996</v>
      </c>
      <c r="U63" s="1848">
        <f t="shared" si="34"/>
        <v>283.19672602079999</v>
      </c>
      <c r="V63" s="1848">
        <f t="shared" si="34"/>
        <v>288.86066054121596</v>
      </c>
      <c r="W63" s="1848">
        <f t="shared" si="34"/>
        <v>294.63787375204026</v>
      </c>
      <c r="X63" s="17"/>
      <c r="Y63" s="17"/>
      <c r="Z63" s="17"/>
      <c r="AG63" s="17"/>
      <c r="AH63" s="17"/>
      <c r="AI63" s="17"/>
      <c r="AJ63" s="18"/>
    </row>
    <row r="64" spans="1:36">
      <c r="A64" s="32"/>
      <c r="B64" s="72"/>
      <c r="C64" s="101" t="s">
        <v>2264</v>
      </c>
      <c r="D64" s="101"/>
      <c r="E64" s="101"/>
      <c r="F64" s="101"/>
      <c r="G64" s="101"/>
      <c r="H64" s="1849"/>
      <c r="I64" s="1847">
        <f t="shared" ref="I64:P64" si="35">IF(ISERROR(I63/H63-1),0,I63/H63-1)</f>
        <v>6.6641891891891847E-2</v>
      </c>
      <c r="J64" s="1847">
        <f t="shared" si="35"/>
        <v>0.20464580047256176</v>
      </c>
      <c r="K64" s="1847">
        <f t="shared" si="35"/>
        <v>0.1347538242300268</v>
      </c>
      <c r="L64" s="1847">
        <f t="shared" si="35"/>
        <v>-8.5516346532588661E-2</v>
      </c>
      <c r="M64" s="1847">
        <f t="shared" si="35"/>
        <v>0.13946924359357649</v>
      </c>
      <c r="N64" s="1847">
        <f t="shared" si="35"/>
        <v>3.4278497224989213E-2</v>
      </c>
      <c r="O64" s="1847">
        <f t="shared" si="35"/>
        <v>4.9567445780231534E-2</v>
      </c>
      <c r="P64" s="1847">
        <f t="shared" si="35"/>
        <v>5.0798852929127447E-2</v>
      </c>
      <c r="Q64" s="1842">
        <v>0.02</v>
      </c>
      <c r="R64" s="1842">
        <v>0.02</v>
      </c>
      <c r="S64" s="1842">
        <v>0.02</v>
      </c>
      <c r="T64" s="1842">
        <v>0.02</v>
      </c>
      <c r="U64" s="1842">
        <v>0.02</v>
      </c>
      <c r="V64" s="1842">
        <v>0.02</v>
      </c>
      <c r="W64" s="1842">
        <v>0.02</v>
      </c>
      <c r="X64" s="1861"/>
      <c r="Y64" s="1861"/>
      <c r="Z64" s="1861"/>
      <c r="AG64" s="17"/>
      <c r="AH64" s="17"/>
      <c r="AI64" s="17"/>
      <c r="AJ64" s="18"/>
    </row>
    <row r="65" spans="1:36">
      <c r="A65" s="32"/>
      <c r="B65" s="72"/>
      <c r="C65" s="43"/>
      <c r="D65" s="43"/>
      <c r="E65" s="43"/>
      <c r="F65" s="43"/>
      <c r="G65" s="43"/>
      <c r="H65" s="1862"/>
      <c r="I65" s="1862"/>
      <c r="J65" s="1862"/>
      <c r="K65" s="1862"/>
      <c r="L65" s="1862"/>
      <c r="M65" s="1862"/>
      <c r="N65" s="1862"/>
      <c r="O65" s="1862"/>
      <c r="P65" s="1862"/>
      <c r="Q65" s="1862"/>
      <c r="R65" s="1862"/>
      <c r="S65" s="1862"/>
      <c r="T65" s="1862"/>
      <c r="U65" s="1862"/>
      <c r="V65" s="1862"/>
      <c r="W65" s="1862"/>
      <c r="X65" s="17"/>
      <c r="Y65" s="17"/>
      <c r="Z65" s="17"/>
      <c r="AG65" s="17"/>
      <c r="AH65" s="17"/>
      <c r="AI65" s="17"/>
      <c r="AJ65" s="18"/>
    </row>
    <row r="66" spans="1:36">
      <c r="A66" s="32"/>
      <c r="B66" s="72"/>
      <c r="C66" s="1823" t="s">
        <v>2265</v>
      </c>
      <c r="D66" s="43"/>
      <c r="E66" s="43"/>
      <c r="F66" s="43"/>
      <c r="G66" s="43"/>
      <c r="H66" s="1863">
        <f t="shared" ref="H66:W66" si="36">IF(ISERROR(H$68+SUM(H77:H81)),0,H$68+SUM(H77:H81))</f>
        <v>988</v>
      </c>
      <c r="I66" s="1863">
        <f t="shared" si="36"/>
        <v>1018.2259999999999</v>
      </c>
      <c r="J66" s="1863">
        <f t="shared" si="36"/>
        <v>1273.0659999999998</v>
      </c>
      <c r="K66" s="1863">
        <f t="shared" si="36"/>
        <v>1425.498</v>
      </c>
      <c r="L66" s="1863">
        <f t="shared" si="36"/>
        <v>1531.194</v>
      </c>
      <c r="M66" s="1863">
        <f t="shared" si="36"/>
        <v>1407.0720000000001</v>
      </c>
      <c r="N66" s="1863">
        <f t="shared" si="36"/>
        <v>1461.6769999999999</v>
      </c>
      <c r="O66" s="1863">
        <f t="shared" si="36"/>
        <v>1585.8000000000002</v>
      </c>
      <c r="P66" s="1863">
        <f t="shared" si="36"/>
        <v>1552.7</v>
      </c>
      <c r="Q66" s="1863">
        <f t="shared" si="36"/>
        <v>1583.7539999999999</v>
      </c>
      <c r="R66" s="1863">
        <f t="shared" si="36"/>
        <v>1615.4290799999999</v>
      </c>
      <c r="S66" s="1863">
        <f t="shared" si="36"/>
        <v>1647.7376616000001</v>
      </c>
      <c r="T66" s="1863">
        <f t="shared" si="36"/>
        <v>1680.6924148320004</v>
      </c>
      <c r="U66" s="1863">
        <f t="shared" si="36"/>
        <v>1714.3062631286402</v>
      </c>
      <c r="V66" s="1863">
        <f t="shared" si="36"/>
        <v>1748.592388391213</v>
      </c>
      <c r="W66" s="1863">
        <f t="shared" si="36"/>
        <v>1783.5642361590374</v>
      </c>
      <c r="X66" s="17"/>
      <c r="Y66" s="17"/>
      <c r="Z66" s="17"/>
      <c r="AG66" s="17"/>
      <c r="AH66" s="17"/>
      <c r="AI66" s="17"/>
      <c r="AJ66" s="18"/>
    </row>
    <row r="67" spans="1:36">
      <c r="A67" s="32"/>
      <c r="B67" s="33"/>
      <c r="C67" s="1864" t="s">
        <v>2266</v>
      </c>
      <c r="D67" s="1864"/>
      <c r="E67" s="1864"/>
      <c r="F67" s="1864"/>
      <c r="G67" s="1864"/>
      <c r="H67" s="1865"/>
      <c r="I67" s="1847">
        <f t="shared" ref="I67:W67" si="37">IF(ISERROR(I66/H66-1),0,I66/H66-1)</f>
        <v>3.0593117408906689E-2</v>
      </c>
      <c r="J67" s="1847">
        <f t="shared" si="37"/>
        <v>0.25027842541832546</v>
      </c>
      <c r="K67" s="1847">
        <f t="shared" si="37"/>
        <v>0.11973613308343811</v>
      </c>
      <c r="L67" s="1847">
        <f t="shared" si="37"/>
        <v>7.4146719251798165E-2</v>
      </c>
      <c r="M67" s="1847">
        <f t="shared" si="37"/>
        <v>-8.1062229867671753E-2</v>
      </c>
      <c r="N67" s="1847">
        <f t="shared" si="37"/>
        <v>3.8807537922721735E-2</v>
      </c>
      <c r="O67" s="1847">
        <f t="shared" si="37"/>
        <v>8.4918213805102116E-2</v>
      </c>
      <c r="P67" s="1847">
        <f t="shared" si="37"/>
        <v>-2.0872745617354083E-2</v>
      </c>
      <c r="Q67" s="1847">
        <f t="shared" si="37"/>
        <v>2.0000000000000018E-2</v>
      </c>
      <c r="R67" s="1847">
        <f t="shared" si="37"/>
        <v>2.0000000000000018E-2</v>
      </c>
      <c r="S67" s="1847">
        <f t="shared" si="37"/>
        <v>2.000000000000024E-2</v>
      </c>
      <c r="T67" s="1847">
        <f t="shared" si="37"/>
        <v>2.000000000000024E-2</v>
      </c>
      <c r="U67" s="1847">
        <f t="shared" si="37"/>
        <v>1.9999999999999796E-2</v>
      </c>
      <c r="V67" s="1847">
        <f t="shared" si="37"/>
        <v>2.0000000000000018E-2</v>
      </c>
      <c r="W67" s="1847">
        <f t="shared" si="37"/>
        <v>2.0000000000000018E-2</v>
      </c>
      <c r="X67" s="17"/>
      <c r="Y67" s="17"/>
      <c r="Z67" s="17"/>
      <c r="AG67" s="17"/>
      <c r="AH67" s="17"/>
      <c r="AI67" s="17"/>
      <c r="AJ67" s="18"/>
    </row>
    <row r="68" spans="1:36" ht="12.75" customHeight="1">
      <c r="A68" s="19"/>
      <c r="B68" s="20"/>
      <c r="C68" s="21" t="s">
        <v>2267</v>
      </c>
      <c r="D68" s="21"/>
      <c r="E68" s="21"/>
      <c r="F68" s="21"/>
      <c r="G68" s="21"/>
      <c r="H68" s="1866">
        <f>_xll.ThomsonONEAddinShim.SpreadsheetFormulas.TF(SedolTicker,"ZAV(TF.FN.LeaseCommitmentsOver5Yrs(period=FY0,sdate=FY-8,edate=FY0,,curn=#1,scale=6))","dataDir=across",$J$3)</f>
        <v>489</v>
      </c>
      <c r="I68" s="1866">
        <v>472.95499999999998</v>
      </c>
      <c r="J68" s="1866">
        <v>640.15</v>
      </c>
      <c r="K68" s="1866">
        <v>683.36</v>
      </c>
      <c r="L68" s="1866">
        <v>694.12900000000002</v>
      </c>
      <c r="M68" s="1866">
        <v>593.78399999999999</v>
      </c>
      <c r="N68" s="1866">
        <v>556.01599999999996</v>
      </c>
      <c r="O68" s="1866">
        <v>597.70000000000005</v>
      </c>
      <c r="P68" s="1866">
        <v>558.20000000000005</v>
      </c>
      <c r="Q68" s="60">
        <f t="shared" ref="Q68:W68" si="38">SUM(Q82:Q95)</f>
        <v>569.36400000000003</v>
      </c>
      <c r="R68" s="60">
        <f t="shared" si="38"/>
        <v>580.75128000000007</v>
      </c>
      <c r="S68" s="60">
        <f t="shared" si="38"/>
        <v>592.36630560000003</v>
      </c>
      <c r="T68" s="60">
        <f t="shared" si="38"/>
        <v>604.21363171200016</v>
      </c>
      <c r="U68" s="60">
        <f t="shared" si="38"/>
        <v>616.2979043462401</v>
      </c>
      <c r="V68" s="60">
        <f t="shared" si="38"/>
        <v>628.62386243316496</v>
      </c>
      <c r="W68" s="60">
        <f t="shared" si="38"/>
        <v>641.19633968182825</v>
      </c>
      <c r="X68" s="25"/>
      <c r="Y68" s="25"/>
      <c r="Z68" s="25"/>
      <c r="AG68" s="25"/>
      <c r="AH68" s="25"/>
      <c r="AI68" s="25"/>
      <c r="AJ68" s="31"/>
    </row>
    <row r="69" spans="1:36">
      <c r="A69" s="32"/>
      <c r="B69" s="33"/>
      <c r="C69" s="43"/>
      <c r="D69" s="43"/>
      <c r="E69" s="43"/>
      <c r="F69" s="43"/>
      <c r="G69" s="43"/>
      <c r="H69" s="1867"/>
      <c r="I69" s="1867"/>
      <c r="J69" s="1867"/>
      <c r="K69" s="1867"/>
      <c r="L69" s="1867"/>
      <c r="M69" s="1867"/>
      <c r="N69" s="1868"/>
      <c r="O69" s="1868"/>
      <c r="P69" s="1868"/>
      <c r="Q69" s="1868"/>
      <c r="R69" s="1868"/>
      <c r="S69" s="1868"/>
      <c r="T69" s="1868"/>
      <c r="U69" s="1868"/>
      <c r="V69" s="1868"/>
      <c r="W69" s="1868"/>
      <c r="X69" s="17"/>
      <c r="Y69" s="17"/>
      <c r="Z69" s="17"/>
      <c r="AG69" s="17"/>
      <c r="AH69" s="17"/>
      <c r="AI69" s="17"/>
      <c r="AJ69" s="18"/>
    </row>
    <row r="70" spans="1:36">
      <c r="A70" s="32"/>
      <c r="B70" s="33"/>
      <c r="C70" s="21" t="s">
        <v>2268</v>
      </c>
      <c r="D70" s="43"/>
      <c r="E70" s="43"/>
      <c r="F70" s="43"/>
      <c r="G70" s="43"/>
      <c r="H70" s="1857">
        <v>10</v>
      </c>
      <c r="I70" s="1857">
        <v>10</v>
      </c>
      <c r="J70" s="1857">
        <v>10</v>
      </c>
      <c r="K70" s="1857">
        <v>10</v>
      </c>
      <c r="L70" s="1857">
        <v>10</v>
      </c>
      <c r="M70" s="1857">
        <v>10</v>
      </c>
      <c r="N70" s="1857">
        <v>10</v>
      </c>
      <c r="O70" s="1857">
        <v>10</v>
      </c>
      <c r="P70" s="1857">
        <v>10</v>
      </c>
      <c r="Q70" s="21"/>
      <c r="R70" s="21"/>
      <c r="S70" s="21"/>
      <c r="T70" s="21"/>
      <c r="U70" s="21"/>
      <c r="V70" s="21"/>
      <c r="W70" s="21"/>
      <c r="X70" s="17"/>
      <c r="Y70" s="17"/>
      <c r="Z70" s="17"/>
      <c r="AG70" s="17"/>
      <c r="AH70" s="17"/>
      <c r="AI70" s="17"/>
      <c r="AJ70" s="18"/>
    </row>
    <row r="71" spans="1:36">
      <c r="A71" s="32"/>
      <c r="B71" s="33"/>
      <c r="C71" s="43" t="s">
        <v>2269</v>
      </c>
      <c r="D71" s="43"/>
      <c r="E71" s="43"/>
      <c r="F71" s="43"/>
      <c r="G71" s="43"/>
      <c r="H71" s="1857">
        <v>5</v>
      </c>
      <c r="I71" s="1857">
        <v>5</v>
      </c>
      <c r="J71" s="1857">
        <v>5</v>
      </c>
      <c r="K71" s="1857">
        <v>5</v>
      </c>
      <c r="L71" s="1857">
        <v>5</v>
      </c>
      <c r="M71" s="1857">
        <v>5</v>
      </c>
      <c r="N71" s="1857">
        <v>5</v>
      </c>
      <c r="O71" s="1857">
        <v>5</v>
      </c>
      <c r="P71" s="1857">
        <v>5</v>
      </c>
      <c r="Q71" s="21"/>
      <c r="R71" s="21"/>
      <c r="S71" s="21"/>
      <c r="T71" s="21"/>
      <c r="U71" s="21"/>
      <c r="V71" s="21"/>
      <c r="W71" s="21"/>
      <c r="X71" s="17"/>
      <c r="Y71" s="17"/>
      <c r="Z71" s="17"/>
      <c r="AG71" s="17"/>
      <c r="AH71" s="17"/>
      <c r="AI71" s="17"/>
      <c r="AJ71" s="18"/>
    </row>
    <row r="72" spans="1:36">
      <c r="A72" s="32"/>
      <c r="B72" s="33"/>
      <c r="C72" s="43" t="s">
        <v>2270</v>
      </c>
      <c r="D72" s="43"/>
      <c r="E72" s="43"/>
      <c r="F72" s="43"/>
      <c r="G72" s="43"/>
      <c r="H72" s="1869">
        <f t="shared" ref="H72:P72" si="39">1-H71/H70</f>
        <v>0.5</v>
      </c>
      <c r="I72" s="1869">
        <f t="shared" si="39"/>
        <v>0.5</v>
      </c>
      <c r="J72" s="1869">
        <f t="shared" si="39"/>
        <v>0.5</v>
      </c>
      <c r="K72" s="1869">
        <f t="shared" si="39"/>
        <v>0.5</v>
      </c>
      <c r="L72" s="1869">
        <f t="shared" si="39"/>
        <v>0.5</v>
      </c>
      <c r="M72" s="1869">
        <f t="shared" si="39"/>
        <v>0.5</v>
      </c>
      <c r="N72" s="1869">
        <f t="shared" si="39"/>
        <v>0.5</v>
      </c>
      <c r="O72" s="1869">
        <f t="shared" si="39"/>
        <v>0.5</v>
      </c>
      <c r="P72" s="1869">
        <f t="shared" si="39"/>
        <v>0.5</v>
      </c>
      <c r="Q72" s="1870"/>
      <c r="R72" s="1870"/>
      <c r="S72" s="1870"/>
      <c r="T72" s="1870"/>
      <c r="U72" s="1870"/>
      <c r="V72" s="1870"/>
      <c r="W72" s="1870"/>
      <c r="X72" s="17"/>
      <c r="Y72" s="17"/>
      <c r="Z72" s="17"/>
      <c r="AG72" s="17"/>
      <c r="AH72" s="17"/>
      <c r="AI72" s="17"/>
      <c r="AJ72" s="18"/>
    </row>
    <row r="73" spans="1:36">
      <c r="A73" s="32"/>
      <c r="B73" s="33"/>
      <c r="C73" s="43"/>
      <c r="D73" s="43"/>
      <c r="E73" s="43"/>
      <c r="F73" s="43"/>
      <c r="G73" s="43"/>
      <c r="H73" s="1871"/>
      <c r="I73" s="1871"/>
      <c r="J73" s="1871"/>
      <c r="K73" s="1861"/>
      <c r="L73" s="1861"/>
      <c r="M73" s="1861"/>
      <c r="N73" s="1861"/>
      <c r="O73" s="1870"/>
      <c r="P73" s="1870"/>
      <c r="Q73" s="1870"/>
      <c r="R73" s="1870"/>
      <c r="S73" s="1870"/>
      <c r="T73" s="1870"/>
      <c r="U73" s="1870"/>
      <c r="V73" s="1870"/>
      <c r="W73" s="1870"/>
      <c r="X73" s="17"/>
      <c r="Y73" s="17"/>
      <c r="Z73" s="17"/>
      <c r="AG73" s="17"/>
      <c r="AH73" s="17"/>
      <c r="AI73" s="17"/>
      <c r="AJ73" s="18"/>
    </row>
    <row r="74" spans="1:36" outlineLevel="1">
      <c r="A74" s="32"/>
      <c r="B74" s="72"/>
      <c r="C74" s="1823" t="s">
        <v>2271</v>
      </c>
      <c r="D74" s="1823"/>
      <c r="E74" s="1823"/>
      <c r="F74" s="1823"/>
      <c r="G74" s="1823"/>
      <c r="H74" s="1872">
        <f t="shared" ref="H74:W74" si="40">H9</f>
        <v>39844</v>
      </c>
      <c r="I74" s="1872">
        <f t="shared" si="40"/>
        <v>40209</v>
      </c>
      <c r="J74" s="1872">
        <f t="shared" si="40"/>
        <v>40574</v>
      </c>
      <c r="K74" s="1872">
        <f t="shared" si="40"/>
        <v>40939</v>
      </c>
      <c r="L74" s="1872">
        <f t="shared" si="40"/>
        <v>41305</v>
      </c>
      <c r="M74" s="1872">
        <f t="shared" si="40"/>
        <v>41670</v>
      </c>
      <c r="N74" s="1872">
        <f t="shared" si="40"/>
        <v>42035</v>
      </c>
      <c r="O74" s="1872">
        <f t="shared" si="40"/>
        <v>42400</v>
      </c>
      <c r="P74" s="1872">
        <f>P9</f>
        <v>42766</v>
      </c>
      <c r="Q74" s="1872">
        <f t="shared" si="40"/>
        <v>43131</v>
      </c>
      <c r="R74" s="1872">
        <f t="shared" si="40"/>
        <v>43496</v>
      </c>
      <c r="S74" s="1872">
        <f t="shared" si="40"/>
        <v>43861</v>
      </c>
      <c r="T74" s="1872">
        <f t="shared" si="40"/>
        <v>44227</v>
      </c>
      <c r="U74" s="1872">
        <f t="shared" si="40"/>
        <v>44592</v>
      </c>
      <c r="V74" s="1872">
        <f t="shared" si="40"/>
        <v>44957</v>
      </c>
      <c r="W74" s="1872">
        <f t="shared" si="40"/>
        <v>45322</v>
      </c>
      <c r="X74" s="17"/>
      <c r="Y74" s="17"/>
      <c r="Z74" s="17"/>
      <c r="AG74" s="17"/>
      <c r="AH74" s="17"/>
      <c r="AI74" s="17"/>
      <c r="AJ74" s="18"/>
    </row>
    <row r="75" spans="1:36" outlineLevel="1">
      <c r="A75" s="32"/>
      <c r="B75" s="72"/>
      <c r="C75" s="1873"/>
      <c r="D75" s="1873"/>
      <c r="E75" s="1873"/>
      <c r="F75" s="1873"/>
      <c r="G75" s="1873"/>
      <c r="H75" s="1874"/>
      <c r="I75" s="1874"/>
      <c r="J75" s="1874"/>
      <c r="K75" s="1874"/>
      <c r="L75" s="1874"/>
      <c r="M75" s="1874"/>
      <c r="N75" s="1874"/>
      <c r="O75" s="1874"/>
      <c r="P75" s="1874"/>
      <c r="Q75" s="1874"/>
      <c r="R75" s="1874"/>
      <c r="S75" s="1874"/>
      <c r="T75" s="1874"/>
      <c r="U75" s="1874"/>
      <c r="V75" s="1874"/>
      <c r="W75" s="1874"/>
      <c r="X75" s="17"/>
      <c r="Y75" s="17"/>
      <c r="Z75" s="17"/>
      <c r="AG75" s="17"/>
      <c r="AH75" s="17"/>
      <c r="AI75" s="17"/>
      <c r="AJ75" s="18"/>
    </row>
    <row r="76" spans="1:36" ht="12" customHeight="1" outlineLevel="1">
      <c r="A76" s="1875"/>
      <c r="B76" s="33"/>
      <c r="C76" s="62" t="s">
        <v>2272</v>
      </c>
      <c r="D76" s="1876"/>
      <c r="E76" s="1876"/>
      <c r="F76" s="1876"/>
      <c r="G76" s="1876"/>
      <c r="H76" s="1877">
        <f>_xll.ThomsonONEAddinShim.SpreadsheetFormulas.TF(SedolTicker,"ZAV(TF.FN.RentalAndOperLeaseExpense(period=FY0,sdate=FY-8,edate=FY0,curn=#1,Scale=6)@TF.RF.RentalExpenseSupplemental(period=FY0,sdate=FY-8,edate=FY0,curn=#1,Scale=6))","dataDir=across",$J$3)</f>
        <v>148</v>
      </c>
      <c r="I76" s="1878">
        <v>157.863</v>
      </c>
      <c r="J76" s="1878">
        <v>190.16900000000001</v>
      </c>
      <c r="K76" s="1878">
        <v>215.79499999999999</v>
      </c>
      <c r="L76" s="1878">
        <v>197.34100000000001</v>
      </c>
      <c r="M76" s="1878">
        <v>224.864</v>
      </c>
      <c r="N76" s="1878">
        <v>232.572</v>
      </c>
      <c r="O76" s="1878">
        <v>244.1</v>
      </c>
      <c r="P76" s="1879">
        <v>256.5</v>
      </c>
      <c r="Q76" s="60">
        <f t="shared" ref="Q76:W91" si="41">P76*(1+Q$64)</f>
        <v>261.63</v>
      </c>
      <c r="R76" s="60">
        <f t="shared" si="41"/>
        <v>266.86259999999999</v>
      </c>
      <c r="S76" s="60">
        <f t="shared" si="41"/>
        <v>272.19985199999996</v>
      </c>
      <c r="T76" s="60">
        <f t="shared" si="41"/>
        <v>277.64384903999996</v>
      </c>
      <c r="U76" s="60">
        <f t="shared" si="41"/>
        <v>283.19672602079999</v>
      </c>
      <c r="V76" s="60">
        <f t="shared" si="41"/>
        <v>288.86066054121596</v>
      </c>
      <c r="W76" s="60">
        <f t="shared" si="41"/>
        <v>294.63787375204026</v>
      </c>
      <c r="X76" s="1880"/>
      <c r="Y76" s="1880"/>
      <c r="Z76" s="1880"/>
      <c r="AG76" s="1880"/>
      <c r="AH76" s="1880"/>
      <c r="AI76" s="1880"/>
      <c r="AJ76" s="1881"/>
    </row>
    <row r="77" spans="1:36" ht="12" customHeight="1" outlineLevel="1">
      <c r="A77" s="1875"/>
      <c r="B77" s="33"/>
      <c r="C77" s="62" t="s">
        <v>2273</v>
      </c>
      <c r="D77" s="1876"/>
      <c r="E77" s="1876"/>
      <c r="F77" s="1876"/>
      <c r="G77" s="1876"/>
      <c r="H77" s="1882">
        <f>_xll.ThomsonONEAddinShim.SpreadsheetFormulas.TF(SedolTicker,"ZAV(TF.FN.LeaseCommitmentsYr1(period=FY0,sdate=FY-8,edate=FY0,curn=#1,Scale=6))","dataDir=across",$J$3)</f>
        <v>120</v>
      </c>
      <c r="I77" s="1857">
        <v>133.86699999999999</v>
      </c>
      <c r="J77" s="1857">
        <v>151.74199999999999</v>
      </c>
      <c r="K77" s="1857">
        <v>181.477</v>
      </c>
      <c r="L77" s="1857">
        <v>203.47900000000001</v>
      </c>
      <c r="M77" s="1857">
        <v>215.345</v>
      </c>
      <c r="N77" s="1857">
        <v>237.09100000000001</v>
      </c>
      <c r="O77" s="1857">
        <v>273.60000000000002</v>
      </c>
      <c r="P77" s="1883">
        <v>286.2</v>
      </c>
      <c r="Q77" s="60">
        <f t="shared" si="41"/>
        <v>291.92399999999998</v>
      </c>
      <c r="R77" s="60">
        <f t="shared" si="41"/>
        <v>297.76247999999998</v>
      </c>
      <c r="S77" s="60">
        <f t="shared" si="41"/>
        <v>303.71772959999998</v>
      </c>
      <c r="T77" s="60">
        <f t="shared" si="41"/>
        <v>309.792084192</v>
      </c>
      <c r="U77" s="60">
        <f t="shared" si="41"/>
        <v>315.98792587584001</v>
      </c>
      <c r="V77" s="60">
        <f t="shared" si="41"/>
        <v>322.30768439335679</v>
      </c>
      <c r="W77" s="60">
        <f t="shared" si="41"/>
        <v>328.75383808122393</v>
      </c>
      <c r="X77" s="1880"/>
      <c r="Y77" s="1880"/>
      <c r="Z77" s="1880"/>
      <c r="AG77" s="1880"/>
      <c r="AH77" s="1880"/>
      <c r="AI77" s="1880"/>
      <c r="AJ77" s="1881"/>
    </row>
    <row r="78" spans="1:36" ht="12" customHeight="1" outlineLevel="1">
      <c r="A78" s="1875"/>
      <c r="B78" s="33"/>
      <c r="C78" s="62" t="s">
        <v>2274</v>
      </c>
      <c r="D78" s="1876"/>
      <c r="E78" s="1876"/>
      <c r="F78" s="1876"/>
      <c r="G78" s="1876"/>
      <c r="H78" s="1882">
        <f>_xll.ThomsonONEAddinShim.SpreadsheetFormulas.TF(SedolTicker,"ZAV(TF.FN.LeaseCommitmentsYr2(period=FY0,sdate=FY-8,edate=FY0,curn=#1,Scale=6))","dataDir=across",$J$3)</f>
        <v>112</v>
      </c>
      <c r="I78" s="1857">
        <v>121.726</v>
      </c>
      <c r="J78" s="1857">
        <v>141.70099999999999</v>
      </c>
      <c r="K78" s="1857">
        <v>166.99</v>
      </c>
      <c r="L78" s="1857">
        <v>193.04</v>
      </c>
      <c r="M78" s="1857">
        <v>186.309</v>
      </c>
      <c r="N78" s="1857">
        <v>211.881</v>
      </c>
      <c r="O78" s="1857">
        <v>244.7</v>
      </c>
      <c r="P78" s="1883">
        <v>203.6</v>
      </c>
      <c r="Q78" s="60">
        <f t="shared" si="41"/>
        <v>207.672</v>
      </c>
      <c r="R78" s="60">
        <f t="shared" si="41"/>
        <v>211.82544000000001</v>
      </c>
      <c r="S78" s="60">
        <f t="shared" si="41"/>
        <v>216.06194880000001</v>
      </c>
      <c r="T78" s="60">
        <f t="shared" si="41"/>
        <v>220.38318777600003</v>
      </c>
      <c r="U78" s="60">
        <f t="shared" si="41"/>
        <v>224.79085153152002</v>
      </c>
      <c r="V78" s="60">
        <f t="shared" si="41"/>
        <v>229.28666856215042</v>
      </c>
      <c r="W78" s="60">
        <f t="shared" si="41"/>
        <v>233.87240193339343</v>
      </c>
      <c r="X78" s="1880"/>
      <c r="Y78" s="1880"/>
      <c r="Z78" s="1880"/>
      <c r="AG78" s="1880"/>
      <c r="AH78" s="1880"/>
      <c r="AI78" s="1880"/>
      <c r="AJ78" s="1881"/>
    </row>
    <row r="79" spans="1:36" ht="12" customHeight="1" outlineLevel="1">
      <c r="A79" s="1875"/>
      <c r="B79" s="33"/>
      <c r="C79" s="62" t="s">
        <v>2275</v>
      </c>
      <c r="D79" s="1876"/>
      <c r="E79" s="1876"/>
      <c r="F79" s="1876"/>
      <c r="G79" s="1876"/>
      <c r="H79" s="1882">
        <f>_xll.ThomsonONEAddinShim.SpreadsheetFormulas.TF(SedolTicker,"ZAV(TF.FN.LeaseCommitmentsYr3(period=FY0,sdate=FY-8,edate=FY0,curn=#1,Scale=6))","dataDir=across",$J$3)</f>
        <v>98</v>
      </c>
      <c r="I79" s="1857">
        <v>109.245</v>
      </c>
      <c r="J79" s="1857">
        <v>125.812</v>
      </c>
      <c r="K79" s="1857">
        <v>153.036</v>
      </c>
      <c r="L79" s="1857">
        <v>167.69</v>
      </c>
      <c r="M79" s="1857">
        <v>156.88</v>
      </c>
      <c r="N79" s="1857">
        <v>144.048</v>
      </c>
      <c r="O79" s="1857">
        <v>172.1</v>
      </c>
      <c r="P79" s="1883">
        <v>187.2</v>
      </c>
      <c r="Q79" s="60">
        <f t="shared" si="41"/>
        <v>190.94399999999999</v>
      </c>
      <c r="R79" s="60">
        <f t="shared" si="41"/>
        <v>194.76288</v>
      </c>
      <c r="S79" s="60">
        <f t="shared" si="41"/>
        <v>198.6581376</v>
      </c>
      <c r="T79" s="60">
        <f t="shared" si="41"/>
        <v>202.63130035200001</v>
      </c>
      <c r="U79" s="60">
        <f t="shared" si="41"/>
        <v>206.68392635904002</v>
      </c>
      <c r="V79" s="60">
        <f t="shared" si="41"/>
        <v>210.81760488622081</v>
      </c>
      <c r="W79" s="60">
        <f t="shared" si="41"/>
        <v>215.03395698394522</v>
      </c>
      <c r="X79" s="1880"/>
      <c r="Y79" s="1880"/>
      <c r="Z79" s="1880"/>
      <c r="AG79" s="1880"/>
      <c r="AH79" s="1880"/>
      <c r="AI79" s="1880"/>
      <c r="AJ79" s="1881"/>
    </row>
    <row r="80" spans="1:36" ht="12" customHeight="1" outlineLevel="1">
      <c r="A80" s="1875"/>
      <c r="B80" s="33"/>
      <c r="C80" s="62" t="s">
        <v>2276</v>
      </c>
      <c r="D80" s="1876"/>
      <c r="E80" s="1876"/>
      <c r="F80" s="1876"/>
      <c r="G80" s="1876"/>
      <c r="H80" s="1882">
        <f>_xll.ThomsonONEAddinShim.SpreadsheetFormulas.TF(SedolTicker,"ZAV(TF.FN.LeaseCommitmentsYr4(period=FY0,sdate=FY-8,edate=FY0,curn=#1,Scale=6))","dataDir=across",$J$3)</f>
        <v>90</v>
      </c>
      <c r="I80" s="1857">
        <v>95.105999999999995</v>
      </c>
      <c r="J80" s="1857">
        <v>111.94</v>
      </c>
      <c r="K80" s="1857">
        <v>130.79400000000001</v>
      </c>
      <c r="L80" s="1857">
        <v>143.78200000000001</v>
      </c>
      <c r="M80" s="1857">
        <v>138.83199999999999</v>
      </c>
      <c r="N80" s="1857">
        <v>186.46299999999999</v>
      </c>
      <c r="O80" s="1857">
        <v>156.30000000000001</v>
      </c>
      <c r="P80" s="1883">
        <v>168.8</v>
      </c>
      <c r="Q80" s="60">
        <f t="shared" si="41"/>
        <v>172.17600000000002</v>
      </c>
      <c r="R80" s="60">
        <f t="shared" si="41"/>
        <v>175.61952000000002</v>
      </c>
      <c r="S80" s="60">
        <f t="shared" si="41"/>
        <v>179.13191040000004</v>
      </c>
      <c r="T80" s="60">
        <f t="shared" si="41"/>
        <v>182.71454860800003</v>
      </c>
      <c r="U80" s="60">
        <f t="shared" si="41"/>
        <v>186.36883958016003</v>
      </c>
      <c r="V80" s="60">
        <f t="shared" si="41"/>
        <v>190.09621637176323</v>
      </c>
      <c r="W80" s="60">
        <f t="shared" si="41"/>
        <v>193.89814069919851</v>
      </c>
      <c r="X80" s="1880"/>
      <c r="Y80" s="1880"/>
      <c r="Z80" s="1880"/>
      <c r="AG80" s="1880"/>
      <c r="AH80" s="1880"/>
      <c r="AI80" s="1880"/>
      <c r="AJ80" s="1881"/>
    </row>
    <row r="81" spans="1:36" ht="12" customHeight="1" outlineLevel="1">
      <c r="A81" s="1875"/>
      <c r="B81" s="33"/>
      <c r="C81" s="62" t="s">
        <v>2277</v>
      </c>
      <c r="D81" s="1876"/>
      <c r="E81" s="1876"/>
      <c r="F81" s="1876"/>
      <c r="G81" s="1876"/>
      <c r="H81" s="1884">
        <f>_xll.ThomsonONEAddinShim.SpreadsheetFormulas.TF(SedolTicker,"ZAV(TF.FN.LeaseCommitmentsYr5(period=FY0,sdate=FY-8,edate=FY0,curn=#1,Scale=6))","dataDir=across",$J$3)</f>
        <v>79</v>
      </c>
      <c r="I81" s="1885">
        <v>85.326999999999998</v>
      </c>
      <c r="J81" s="1885">
        <v>101.721</v>
      </c>
      <c r="K81" s="1885">
        <v>109.84099999999999</v>
      </c>
      <c r="L81" s="1885">
        <v>129.07400000000001</v>
      </c>
      <c r="M81" s="1885">
        <v>115.922</v>
      </c>
      <c r="N81" s="1885">
        <v>126.178</v>
      </c>
      <c r="O81" s="1885">
        <v>141.4</v>
      </c>
      <c r="P81" s="1886">
        <v>148.69999999999999</v>
      </c>
      <c r="Q81" s="60">
        <f t="shared" si="41"/>
        <v>151.67399999999998</v>
      </c>
      <c r="R81" s="60">
        <f t="shared" si="41"/>
        <v>154.70747999999998</v>
      </c>
      <c r="S81" s="60">
        <f t="shared" si="41"/>
        <v>157.80162959999998</v>
      </c>
      <c r="T81" s="60">
        <f t="shared" si="41"/>
        <v>160.95766219199999</v>
      </c>
      <c r="U81" s="60">
        <f t="shared" si="41"/>
        <v>164.17681543583998</v>
      </c>
      <c r="V81" s="60">
        <f t="shared" si="41"/>
        <v>167.46035174455679</v>
      </c>
      <c r="W81" s="60">
        <f t="shared" si="41"/>
        <v>170.80955877944794</v>
      </c>
      <c r="X81" s="1880"/>
      <c r="Y81" s="1880"/>
      <c r="Z81" s="1880"/>
      <c r="AG81" s="1880"/>
      <c r="AH81" s="1880"/>
      <c r="AI81" s="1880"/>
      <c r="AJ81" s="1881"/>
    </row>
    <row r="82" spans="1:36" outlineLevel="1">
      <c r="A82" s="1875"/>
      <c r="B82" s="33"/>
      <c r="C82" s="1876" t="s">
        <v>2283</v>
      </c>
      <c r="D82" s="1876"/>
      <c r="E82" s="1876"/>
      <c r="F82" s="1876"/>
      <c r="G82" s="1876"/>
      <c r="H82" s="61">
        <f t="shared" ref="H82:P82" si="42">IF(ISERROR(H68/H71),"NA",H68/H71)</f>
        <v>97.8</v>
      </c>
      <c r="I82" s="61">
        <f t="shared" si="42"/>
        <v>94.590999999999994</v>
      </c>
      <c r="J82" s="61">
        <f t="shared" si="42"/>
        <v>128.03</v>
      </c>
      <c r="K82" s="61">
        <f t="shared" si="42"/>
        <v>136.672</v>
      </c>
      <c r="L82" s="61">
        <f t="shared" si="42"/>
        <v>138.82580000000002</v>
      </c>
      <c r="M82" s="61">
        <f t="shared" si="42"/>
        <v>118.7568</v>
      </c>
      <c r="N82" s="61">
        <f t="shared" si="42"/>
        <v>111.2032</v>
      </c>
      <c r="O82" s="61">
        <f t="shared" si="42"/>
        <v>119.54</v>
      </c>
      <c r="P82" s="61">
        <f t="shared" si="42"/>
        <v>111.64000000000001</v>
      </c>
      <c r="Q82" s="60">
        <f t="shared" si="41"/>
        <v>113.87280000000001</v>
      </c>
      <c r="R82" s="60">
        <f t="shared" si="41"/>
        <v>116.15025600000001</v>
      </c>
      <c r="S82" s="60">
        <f t="shared" si="41"/>
        <v>118.47326112000002</v>
      </c>
      <c r="T82" s="60">
        <f t="shared" si="41"/>
        <v>120.84272634240003</v>
      </c>
      <c r="U82" s="60">
        <f t="shared" si="41"/>
        <v>123.25958086924803</v>
      </c>
      <c r="V82" s="60">
        <f t="shared" si="41"/>
        <v>125.72477248663299</v>
      </c>
      <c r="W82" s="60">
        <f t="shared" si="41"/>
        <v>128.23926793636565</v>
      </c>
      <c r="X82" s="1880"/>
      <c r="Y82" s="1880"/>
      <c r="Z82" s="1880"/>
      <c r="AG82" s="1880"/>
      <c r="AH82" s="1880"/>
      <c r="AI82" s="1880"/>
      <c r="AJ82" s="1881"/>
    </row>
    <row r="83" spans="1:36" outlineLevel="1">
      <c r="A83" s="1875"/>
      <c r="B83" s="33"/>
      <c r="C83" s="1876" t="s">
        <v>2284</v>
      </c>
      <c r="D83" s="1876"/>
      <c r="E83" s="1876"/>
      <c r="F83" s="1876"/>
      <c r="G83" s="1876"/>
      <c r="H83" s="61">
        <f>IF(ISERROR(IF(ROUND(SUM(H$82:H82),3)&gt;=ROUND(H$68,3),0,H$68/H$71)),"NA",IF(ROUND(SUM(H$82:H82),3)&gt;=ROUND(H$68,3),0,H$68/H$71))</f>
        <v>97.8</v>
      </c>
      <c r="I83" s="61">
        <f>IF(ISERROR(IF(ROUND(SUM(I$82:I82),3)&gt;=ROUND(I$68,3),0,I$68/I$71)),"NA",IF(ROUND(SUM(I$82:I82),3)&gt;=ROUND(I$68,3),0,I$68/I$71))</f>
        <v>94.590999999999994</v>
      </c>
      <c r="J83" s="61">
        <f>IF(ISERROR(IF(ROUND(SUM(J$82:J82),3)&gt;=ROUND(J$68,3),0,J$68/J$71)),"NA",IF(ROUND(SUM(J$82:J82),3)&gt;=ROUND(J$68,3),0,J$68/J$71))</f>
        <v>128.03</v>
      </c>
      <c r="K83" s="61">
        <f>IF(ISERROR(IF(ROUND(SUM(K$82:K82),3)&gt;=ROUND(K$68,3),0,K$68/K$71)),"NA",IF(ROUND(SUM(K$82:K82),3)&gt;=ROUND(K$68,3),0,K$68/K$71))</f>
        <v>136.672</v>
      </c>
      <c r="L83" s="61">
        <f>IF(ISERROR(IF(ROUND(SUM(L$82:L82),3)&gt;=ROUND(L$68,3),0,L$68/L$71)),"NA",IF(ROUND(SUM(L$82:L82),3)&gt;=ROUND(L$68,3),0,L$68/L$71))</f>
        <v>138.82580000000002</v>
      </c>
      <c r="M83" s="61">
        <f>IF(ISERROR(IF(ROUND(SUM(M$82:M82),3)&gt;=ROUND(M$68,3),0,M$68/M$71)),"NA",IF(ROUND(SUM(M$82:M82),3)&gt;=ROUND(M$68,3),0,M$68/M$71))</f>
        <v>118.7568</v>
      </c>
      <c r="N83" s="61">
        <f>IF(ISERROR(IF(ROUND(SUM(N$82:N82),3)&gt;=ROUND(N$68,3),0,N$68/N$71)),"NA",IF(ROUND(SUM(N$82:N82),3)&gt;=ROUND(N$68,3),0,N$68/N$71))</f>
        <v>111.2032</v>
      </c>
      <c r="O83" s="61">
        <f>IF(ISERROR(IF(ROUND(SUM(O$82:O82),3)&gt;=ROUND(O$68,3),0,O$68/O$71)),"NA",IF(ROUND(SUM(O$82:O82),3)&gt;=ROUND(O$68,3),0,O$68/O$71))</f>
        <v>119.54</v>
      </c>
      <c r="P83" s="61">
        <f>IF(ISERROR(IF(ROUND(SUM(P$82:P82),3)&gt;=ROUND(P$68,3),0,P$68/P$71)),"NA",IF(ROUND(SUM(P$82:P82),3)&gt;=ROUND(P$68,3),0,P$68/P$71))</f>
        <v>111.64000000000001</v>
      </c>
      <c r="Q83" s="60">
        <f t="shared" si="41"/>
        <v>113.87280000000001</v>
      </c>
      <c r="R83" s="60">
        <f t="shared" si="41"/>
        <v>116.15025600000001</v>
      </c>
      <c r="S83" s="60">
        <f t="shared" si="41"/>
        <v>118.47326112000002</v>
      </c>
      <c r="T83" s="60">
        <f t="shared" si="41"/>
        <v>120.84272634240003</v>
      </c>
      <c r="U83" s="60">
        <f t="shared" si="41"/>
        <v>123.25958086924803</v>
      </c>
      <c r="V83" s="60">
        <f t="shared" si="41"/>
        <v>125.72477248663299</v>
      </c>
      <c r="W83" s="60">
        <f t="shared" si="41"/>
        <v>128.23926793636565</v>
      </c>
      <c r="X83" s="1880"/>
      <c r="Y83" s="1880"/>
      <c r="Z83" s="1880"/>
      <c r="AG83" s="1880"/>
      <c r="AH83" s="1880"/>
      <c r="AI83" s="1880"/>
      <c r="AJ83" s="1881"/>
    </row>
    <row r="84" spans="1:36" outlineLevel="1">
      <c r="A84" s="1875"/>
      <c r="B84" s="33"/>
      <c r="C84" s="1876" t="s">
        <v>2285</v>
      </c>
      <c r="D84" s="1876"/>
      <c r="E84" s="1876"/>
      <c r="F84" s="1876"/>
      <c r="G84" s="1876"/>
      <c r="H84" s="61">
        <f>IF(ISERROR(IF(ROUND(SUM(H$82:H83),3)&gt;=ROUND(H$68,3),0,H$68/H$71)),"NA",IF(ROUND(SUM(H$82:H83),3)&gt;=ROUND(H$68,3),0,H$68/H$71))</f>
        <v>97.8</v>
      </c>
      <c r="I84" s="61">
        <f>IF(ISERROR(IF(ROUND(SUM(I$82:I83),3)&gt;=ROUND(I$68,3),0,I$68/I$71)),"NA",IF(ROUND(SUM(I$82:I83),3)&gt;=ROUND(I$68,3),0,I$68/I$71))</f>
        <v>94.590999999999994</v>
      </c>
      <c r="J84" s="61">
        <f>IF(ISERROR(IF(ROUND(SUM(J$82:J83),3)&gt;=ROUND(J$68,3),0,J$68/J$71)),"NA",IF(ROUND(SUM(J$82:J83),3)&gt;=ROUND(J$68,3),0,J$68/J$71))</f>
        <v>128.03</v>
      </c>
      <c r="K84" s="61">
        <f>IF(ISERROR(IF(ROUND(SUM(K$82:K83),3)&gt;=ROUND(K$68,3),0,K$68/K$71)),"NA",IF(ROUND(SUM(K$82:K83),3)&gt;=ROUND(K$68,3),0,K$68/K$71))</f>
        <v>136.672</v>
      </c>
      <c r="L84" s="61">
        <f>IF(ISERROR(IF(ROUND(SUM(L$82:L83),3)&gt;=ROUND(L$68,3),0,L$68/L$71)),"NA",IF(ROUND(SUM(L$82:L83),3)&gt;=ROUND(L$68,3),0,L$68/L$71))</f>
        <v>138.82580000000002</v>
      </c>
      <c r="M84" s="61">
        <f>IF(ISERROR(IF(ROUND(SUM(M$82:M83),3)&gt;=ROUND(M$68,3),0,M$68/M$71)),"NA",IF(ROUND(SUM(M$82:M83),3)&gt;=ROUND(M$68,3),0,M$68/M$71))</f>
        <v>118.7568</v>
      </c>
      <c r="N84" s="61">
        <f>IF(ISERROR(IF(ROUND(SUM(N$82:N83),3)&gt;=ROUND(N$68,3),0,N$68/N$71)),"NA",IF(ROUND(SUM(N$82:N83),3)&gt;=ROUND(N$68,3),0,N$68/N$71))</f>
        <v>111.2032</v>
      </c>
      <c r="O84" s="61">
        <f>IF(ISERROR(IF(ROUND(SUM(O$82:O83),3)&gt;=ROUND(O$68,3),0,O$68/O$71)),"NA",IF(ROUND(SUM(O$82:O83),3)&gt;=ROUND(O$68,3),0,O$68/O$71))</f>
        <v>119.54</v>
      </c>
      <c r="P84" s="61">
        <f>IF(ISERROR(IF(ROUND(SUM(P$82:P83),3)&gt;=ROUND(P$68,3),0,P$68/P$71)),"NA",IF(ROUND(SUM(P$82:P83),3)&gt;=ROUND(P$68,3),0,P$68/P$71))</f>
        <v>111.64000000000001</v>
      </c>
      <c r="Q84" s="60">
        <f t="shared" si="41"/>
        <v>113.87280000000001</v>
      </c>
      <c r="R84" s="60">
        <f t="shared" si="41"/>
        <v>116.15025600000001</v>
      </c>
      <c r="S84" s="60">
        <f t="shared" si="41"/>
        <v>118.47326112000002</v>
      </c>
      <c r="T84" s="60">
        <f t="shared" si="41"/>
        <v>120.84272634240003</v>
      </c>
      <c r="U84" s="60">
        <f t="shared" si="41"/>
        <v>123.25958086924803</v>
      </c>
      <c r="V84" s="60">
        <f t="shared" si="41"/>
        <v>125.72477248663299</v>
      </c>
      <c r="W84" s="60">
        <f t="shared" si="41"/>
        <v>128.23926793636565</v>
      </c>
      <c r="X84" s="1880"/>
      <c r="Y84" s="1880"/>
      <c r="Z84" s="1880"/>
      <c r="AG84" s="1880"/>
      <c r="AH84" s="1880"/>
      <c r="AI84" s="1880"/>
      <c r="AJ84" s="1881"/>
    </row>
    <row r="85" spans="1:36" outlineLevel="1">
      <c r="A85" s="1875"/>
      <c r="B85" s="33"/>
      <c r="C85" s="1876" t="s">
        <v>2286</v>
      </c>
      <c r="D85" s="1876"/>
      <c r="E85" s="1876"/>
      <c r="F85" s="1876"/>
      <c r="G85" s="1876"/>
      <c r="H85" s="61">
        <f>IF(ISERROR(IF(ROUND(SUM(H$82:H84),3)&gt;=ROUND(H$68,3),0,H$68/H$71)),"NA",IF(ROUND(SUM(H$82:H84),3)&gt;=ROUND(H$68,3),0,H$68/H$71))</f>
        <v>97.8</v>
      </c>
      <c r="I85" s="61">
        <f>IF(ISERROR(IF(ROUND(SUM(I$82:I84),3)&gt;=ROUND(I$68,3),0,I$68/I$71)),"NA",IF(ROUND(SUM(I$82:I84),3)&gt;=ROUND(I$68,3),0,I$68/I$71))</f>
        <v>94.590999999999994</v>
      </c>
      <c r="J85" s="61">
        <f>IF(ISERROR(IF(ROUND(SUM(J$82:J84),3)&gt;=ROUND(J$68,3),0,J$68/J$71)),"NA",IF(ROUND(SUM(J$82:J84),3)&gt;=ROUND(J$68,3),0,J$68/J$71))</f>
        <v>128.03</v>
      </c>
      <c r="K85" s="61">
        <f>IF(ISERROR(IF(ROUND(SUM(K$82:K84),3)&gt;=ROUND(K$68,3),0,K$68/K$71)),"NA",IF(ROUND(SUM(K$82:K84),3)&gt;=ROUND(K$68,3),0,K$68/K$71))</f>
        <v>136.672</v>
      </c>
      <c r="L85" s="61">
        <f>IF(ISERROR(IF(ROUND(SUM(L$82:L84),3)&gt;=ROUND(L$68,3),0,L$68/L$71)),"NA",IF(ROUND(SUM(L$82:L84),3)&gt;=ROUND(L$68,3),0,L$68/L$71))</f>
        <v>138.82580000000002</v>
      </c>
      <c r="M85" s="61">
        <f>IF(ISERROR(IF(ROUND(SUM(M$82:M84),3)&gt;=ROUND(M$68,3),0,M$68/M$71)),"NA",IF(ROUND(SUM(M$82:M84),3)&gt;=ROUND(M$68,3),0,M$68/M$71))</f>
        <v>118.7568</v>
      </c>
      <c r="N85" s="61">
        <f>IF(ISERROR(IF(ROUND(SUM(N$82:N84),3)&gt;=ROUND(N$68,3),0,N$68/N$71)),"NA",IF(ROUND(SUM(N$82:N84),3)&gt;=ROUND(N$68,3),0,N$68/N$71))</f>
        <v>111.2032</v>
      </c>
      <c r="O85" s="61">
        <f>IF(ISERROR(IF(ROUND(SUM(O$82:O84),3)&gt;=ROUND(O$68,3),0,O$68/O$71)),"NA",IF(ROUND(SUM(O$82:O84),3)&gt;=ROUND(O$68,3),0,O$68/O$71))</f>
        <v>119.54</v>
      </c>
      <c r="P85" s="61">
        <f>IF(ISERROR(IF(ROUND(SUM(P$82:P84),3)&gt;=ROUND(P$68,3),0,P$68/P$71)),"NA",IF(ROUND(SUM(P$82:P84),3)&gt;=ROUND(P$68,3),0,P$68/P$71))</f>
        <v>111.64000000000001</v>
      </c>
      <c r="Q85" s="60">
        <f t="shared" si="41"/>
        <v>113.87280000000001</v>
      </c>
      <c r="R85" s="60">
        <f t="shared" si="41"/>
        <v>116.15025600000001</v>
      </c>
      <c r="S85" s="60">
        <f t="shared" si="41"/>
        <v>118.47326112000002</v>
      </c>
      <c r="T85" s="60">
        <f t="shared" si="41"/>
        <v>120.84272634240003</v>
      </c>
      <c r="U85" s="60">
        <f t="shared" si="41"/>
        <v>123.25958086924803</v>
      </c>
      <c r="V85" s="60">
        <f t="shared" si="41"/>
        <v>125.72477248663299</v>
      </c>
      <c r="W85" s="60">
        <f t="shared" si="41"/>
        <v>128.23926793636565</v>
      </c>
      <c r="X85" s="1880"/>
      <c r="Y85" s="1880"/>
      <c r="Z85" s="1880"/>
      <c r="AG85" s="1880"/>
      <c r="AH85" s="1880"/>
      <c r="AI85" s="1880"/>
      <c r="AJ85" s="1881"/>
    </row>
    <row r="86" spans="1:36" outlineLevel="1">
      <c r="A86" s="1875"/>
      <c r="B86" s="33"/>
      <c r="C86" s="1876" t="s">
        <v>199</v>
      </c>
      <c r="D86" s="1876"/>
      <c r="E86" s="1876"/>
      <c r="F86" s="1876"/>
      <c r="G86" s="1876"/>
      <c r="H86" s="61">
        <f>IF(ISERROR(IF(ROUND(SUM(H$82:H85),3)&gt;=ROUND(H$68,3),0,H$68/H$71)),"NA",IF(ROUND(SUM(H$82:H85),3)&gt;=ROUND(H$68,3),0,H$68/H$71))</f>
        <v>97.8</v>
      </c>
      <c r="I86" s="61">
        <f>IF(ISERROR(IF(ROUND(SUM(I$82:I85),3)&gt;=ROUND(I$68,3),0,I$68/I$71)),"NA",IF(ROUND(SUM(I$82:I85),3)&gt;=ROUND(I$68,3),0,I$68/I$71))</f>
        <v>94.590999999999994</v>
      </c>
      <c r="J86" s="61">
        <f>IF(ISERROR(IF(ROUND(SUM(J$82:J85),3)&gt;=ROUND(J$68,3),0,J$68/J$71)),"NA",IF(ROUND(SUM(J$82:J85),3)&gt;=ROUND(J$68,3),0,J$68/J$71))</f>
        <v>128.03</v>
      </c>
      <c r="K86" s="61">
        <f>IF(ISERROR(IF(ROUND(SUM(K$82:K85),3)&gt;=ROUND(K$68,3),0,K$68/K$71)),"NA",IF(ROUND(SUM(K$82:K85),3)&gt;=ROUND(K$68,3),0,K$68/K$71))</f>
        <v>136.672</v>
      </c>
      <c r="L86" s="61">
        <f>IF(ISERROR(IF(ROUND(SUM(L$82:L85),3)&gt;=ROUND(L$68,3),0,L$68/L$71)),"NA",IF(ROUND(SUM(L$82:L85),3)&gt;=ROUND(L$68,3),0,L$68/L$71))</f>
        <v>138.82580000000002</v>
      </c>
      <c r="M86" s="61">
        <f>IF(ISERROR(IF(ROUND(SUM(M$82:M85),3)&gt;=ROUND(M$68,3),0,M$68/M$71)),"NA",IF(ROUND(SUM(M$82:M85),3)&gt;=ROUND(M$68,3),0,M$68/M$71))</f>
        <v>118.7568</v>
      </c>
      <c r="N86" s="61">
        <f>IF(ISERROR(IF(ROUND(SUM(N$82:N85),3)&gt;=ROUND(N$68,3),0,N$68/N$71)),"NA",IF(ROUND(SUM(N$82:N85),3)&gt;=ROUND(N$68,3),0,N$68/N$71))</f>
        <v>111.2032</v>
      </c>
      <c r="O86" s="61">
        <f>IF(ISERROR(IF(ROUND(SUM(O$82:O85),3)&gt;=ROUND(O$68,3),0,O$68/O$71)),"NA",IF(ROUND(SUM(O$82:O85),3)&gt;=ROUND(O$68,3),0,O$68/O$71))</f>
        <v>119.54</v>
      </c>
      <c r="P86" s="61">
        <f>IF(ISERROR(IF(ROUND(SUM(P$82:P85),3)&gt;=ROUND(P$68,3),0,P$68/P$71)),"NA",IF(ROUND(SUM(P$82:P85),3)&gt;=ROUND(P$68,3),0,P$68/P$71))</f>
        <v>111.64000000000001</v>
      </c>
      <c r="Q86" s="60">
        <f t="shared" si="41"/>
        <v>113.87280000000001</v>
      </c>
      <c r="R86" s="60">
        <f t="shared" si="41"/>
        <v>116.15025600000001</v>
      </c>
      <c r="S86" s="60">
        <f t="shared" si="41"/>
        <v>118.47326112000002</v>
      </c>
      <c r="T86" s="60">
        <f t="shared" si="41"/>
        <v>120.84272634240003</v>
      </c>
      <c r="U86" s="60">
        <f t="shared" si="41"/>
        <v>123.25958086924803</v>
      </c>
      <c r="V86" s="60">
        <f t="shared" si="41"/>
        <v>125.72477248663299</v>
      </c>
      <c r="W86" s="60">
        <f t="shared" si="41"/>
        <v>128.23926793636565</v>
      </c>
      <c r="X86" s="1880"/>
      <c r="Y86" s="1880"/>
      <c r="Z86" s="1880"/>
      <c r="AG86" s="1880"/>
      <c r="AH86" s="1880"/>
      <c r="AI86" s="1880"/>
      <c r="AJ86" s="1881"/>
    </row>
    <row r="87" spans="1:36" outlineLevel="1">
      <c r="A87" s="1875"/>
      <c r="B87" s="33"/>
      <c r="C87" s="1876" t="s">
        <v>200</v>
      </c>
      <c r="D87" s="1876"/>
      <c r="E87" s="1876"/>
      <c r="F87" s="1876"/>
      <c r="G87" s="1876"/>
      <c r="H87" s="61">
        <f>IF(ISERROR(IF(ROUND(SUM(H$82:H86),3)&gt;=ROUND(H$68,3),0,H$68/H$71)),"NA",IF(ROUND(SUM(H$82:H86),3)&gt;=ROUND(H$68,3),0,H$68/H$71))</f>
        <v>0</v>
      </c>
      <c r="I87" s="61">
        <f>IF(ISERROR(IF(ROUND(SUM(I$82:I86),3)&gt;=ROUND(I$68,3),0,I$68/I$71)),"NA",IF(ROUND(SUM(I$82:I86),3)&gt;=ROUND(I$68,3),0,I$68/I$71))</f>
        <v>0</v>
      </c>
      <c r="J87" s="61">
        <f>IF(ISERROR(IF(ROUND(SUM(J$82:J86),3)&gt;=ROUND(J$68,3),0,J$68/J$71)),"NA",IF(ROUND(SUM(J$82:J86),3)&gt;=ROUND(J$68,3),0,J$68/J$71))</f>
        <v>0</v>
      </c>
      <c r="K87" s="61">
        <f>IF(ISERROR(IF(ROUND(SUM(K$82:K86),3)&gt;=ROUND(K$68,3),0,K$68/K$71)),"NA",IF(ROUND(SUM(K$82:K86),3)&gt;=ROUND(K$68,3),0,K$68/K$71))</f>
        <v>0</v>
      </c>
      <c r="L87" s="61">
        <f>IF(ISERROR(IF(ROUND(SUM(L$82:L86),3)&gt;=ROUND(L$68,3),0,L$68/L$71)),"NA",IF(ROUND(SUM(L$82:L86),3)&gt;=ROUND(L$68,3),0,L$68/L$71))</f>
        <v>0</v>
      </c>
      <c r="M87" s="61">
        <f>IF(ISERROR(IF(ROUND(SUM(M$82:M86),3)&gt;=ROUND(M$68,3),0,M$68/M$71)),"NA",IF(ROUND(SUM(M$82:M86),3)&gt;=ROUND(M$68,3),0,M$68/M$71))</f>
        <v>0</v>
      </c>
      <c r="N87" s="61">
        <f>IF(ISERROR(IF(ROUND(SUM(N$82:N86),3)&gt;=ROUND(N$68,3),0,N$68/N$71)),"NA",IF(ROUND(SUM(N$82:N86),3)&gt;=ROUND(N$68,3),0,N$68/N$71))</f>
        <v>0</v>
      </c>
      <c r="O87" s="61">
        <f>IF(ISERROR(IF(ROUND(SUM(O$82:O86),3)&gt;=ROUND(O$68,3),0,O$68/O$71)),"NA",IF(ROUND(SUM(O$82:O86),3)&gt;=ROUND(O$68,3),0,O$68/O$71))</f>
        <v>0</v>
      </c>
      <c r="P87" s="61">
        <f>IF(ISERROR(IF(ROUND(SUM(P$82:P86),3)&gt;=ROUND(P$68,3),0,P$68/P$71)),"NA",IF(ROUND(SUM(P$82:P86),3)&gt;=ROUND(P$68,3),0,P$68/P$71))</f>
        <v>0</v>
      </c>
      <c r="Q87" s="60">
        <f t="shared" si="41"/>
        <v>0</v>
      </c>
      <c r="R87" s="60">
        <f t="shared" si="41"/>
        <v>0</v>
      </c>
      <c r="S87" s="60">
        <f t="shared" si="41"/>
        <v>0</v>
      </c>
      <c r="T87" s="60">
        <f t="shared" si="41"/>
        <v>0</v>
      </c>
      <c r="U87" s="60">
        <f t="shared" si="41"/>
        <v>0</v>
      </c>
      <c r="V87" s="60">
        <f t="shared" si="41"/>
        <v>0</v>
      </c>
      <c r="W87" s="60">
        <f t="shared" si="41"/>
        <v>0</v>
      </c>
      <c r="X87" s="1880"/>
      <c r="Y87" s="1880"/>
      <c r="Z87" s="1880"/>
      <c r="AG87" s="1880"/>
      <c r="AH87" s="1880"/>
      <c r="AI87" s="1880"/>
      <c r="AJ87" s="1881"/>
    </row>
    <row r="88" spans="1:36" outlineLevel="1">
      <c r="A88" s="1875"/>
      <c r="B88" s="33"/>
      <c r="C88" s="1876" t="s">
        <v>201</v>
      </c>
      <c r="D88" s="1876"/>
      <c r="E88" s="1876"/>
      <c r="F88" s="1876"/>
      <c r="G88" s="1876"/>
      <c r="H88" s="61">
        <f>IF(ISERROR(IF(ROUND(SUM(H$82:H87),3)&gt;=ROUND(H$68,3),0,H$68/H$71)),"NA",IF(ROUND(SUM(H$82:H87),3)&gt;=ROUND(H$68,3),0,H$68/H$71))</f>
        <v>0</v>
      </c>
      <c r="I88" s="61">
        <f>IF(ISERROR(IF(ROUND(SUM(I$82:I87),3)&gt;=ROUND(I$68,3),0,I$68/I$71)),"NA",IF(ROUND(SUM(I$82:I87),3)&gt;=ROUND(I$68,3),0,I$68/I$71))</f>
        <v>0</v>
      </c>
      <c r="J88" s="61">
        <f>IF(ISERROR(IF(ROUND(SUM(J$82:J87),3)&gt;=ROUND(J$68,3),0,J$68/J$71)),"NA",IF(ROUND(SUM(J$82:J87),3)&gt;=ROUND(J$68,3),0,J$68/J$71))</f>
        <v>0</v>
      </c>
      <c r="K88" s="61">
        <f>IF(ISERROR(IF(ROUND(SUM(K$82:K87),3)&gt;=ROUND(K$68,3),0,K$68/K$71)),"NA",IF(ROUND(SUM(K$82:K87),3)&gt;=ROUND(K$68,3),0,K$68/K$71))</f>
        <v>0</v>
      </c>
      <c r="L88" s="61">
        <f>IF(ISERROR(IF(ROUND(SUM(L$82:L87),3)&gt;=ROUND(L$68,3),0,L$68/L$71)),"NA",IF(ROUND(SUM(L$82:L87),3)&gt;=ROUND(L$68,3),0,L$68/L$71))</f>
        <v>0</v>
      </c>
      <c r="M88" s="61">
        <f>IF(ISERROR(IF(ROUND(SUM(M$82:M87),3)&gt;=ROUND(M$68,3),0,M$68/M$71)),"NA",IF(ROUND(SUM(M$82:M87),3)&gt;=ROUND(M$68,3),0,M$68/M$71))</f>
        <v>0</v>
      </c>
      <c r="N88" s="61">
        <f>IF(ISERROR(IF(ROUND(SUM(N$82:N87),3)&gt;=ROUND(N$68,3),0,N$68/N$71)),"NA",IF(ROUND(SUM(N$82:N87),3)&gt;=ROUND(N$68,3),0,N$68/N$71))</f>
        <v>0</v>
      </c>
      <c r="O88" s="61">
        <f>IF(ISERROR(IF(ROUND(SUM(O$82:O87),3)&gt;=ROUND(O$68,3),0,O$68/O$71)),"NA",IF(ROUND(SUM(O$82:O87),3)&gt;=ROUND(O$68,3),0,O$68/O$71))</f>
        <v>0</v>
      </c>
      <c r="P88" s="61">
        <f>IF(ISERROR(IF(ROUND(SUM(P$82:P87),3)&gt;=ROUND(P$68,3),0,P$68/P$71)),"NA",IF(ROUND(SUM(P$82:P87),3)&gt;=ROUND(P$68,3),0,P$68/P$71))</f>
        <v>0</v>
      </c>
      <c r="Q88" s="60">
        <f t="shared" si="41"/>
        <v>0</v>
      </c>
      <c r="R88" s="60">
        <f t="shared" si="41"/>
        <v>0</v>
      </c>
      <c r="S88" s="60">
        <f t="shared" si="41"/>
        <v>0</v>
      </c>
      <c r="T88" s="60">
        <f t="shared" si="41"/>
        <v>0</v>
      </c>
      <c r="U88" s="60">
        <f t="shared" si="41"/>
        <v>0</v>
      </c>
      <c r="V88" s="60">
        <f t="shared" si="41"/>
        <v>0</v>
      </c>
      <c r="W88" s="60">
        <f t="shared" si="41"/>
        <v>0</v>
      </c>
      <c r="X88" s="1880"/>
      <c r="Y88" s="1880"/>
      <c r="Z88" s="1880"/>
      <c r="AG88" s="1880"/>
      <c r="AH88" s="1880"/>
      <c r="AI88" s="1880"/>
      <c r="AJ88" s="1881"/>
    </row>
    <row r="89" spans="1:36" outlineLevel="1">
      <c r="A89" s="1875"/>
      <c r="B89" s="33"/>
      <c r="C89" s="1876" t="s">
        <v>202</v>
      </c>
      <c r="D89" s="1876"/>
      <c r="E89" s="1876"/>
      <c r="F89" s="1876"/>
      <c r="G89" s="1876"/>
      <c r="H89" s="61">
        <f>IF(ISERROR(IF(ROUND(SUM(H$82:H88),3)&gt;=ROUND(H$68,3),0,H$68/H$71)),"NA",IF(ROUND(SUM(H$82:H88),3)&gt;=ROUND(H$68,3),0,H$68/H$71))</f>
        <v>0</v>
      </c>
      <c r="I89" s="61">
        <f>IF(ISERROR(IF(ROUND(SUM(I$82:I88),3)&gt;=ROUND(I$68,3),0,I$68/I$71)),"NA",IF(ROUND(SUM(I$82:I88),3)&gt;=ROUND(I$68,3),0,I$68/I$71))</f>
        <v>0</v>
      </c>
      <c r="J89" s="61">
        <f>IF(ISERROR(IF(ROUND(SUM(J$82:J88),3)&gt;=ROUND(J$68,3),0,J$68/J$71)),"NA",IF(ROUND(SUM(J$82:J88),3)&gt;=ROUND(J$68,3),0,J$68/J$71))</f>
        <v>0</v>
      </c>
      <c r="K89" s="61">
        <f>IF(ISERROR(IF(ROUND(SUM(K$82:K88),3)&gt;=ROUND(K$68,3),0,K$68/K$71)),"NA",IF(ROUND(SUM(K$82:K88),3)&gt;=ROUND(K$68,3),0,K$68/K$71))</f>
        <v>0</v>
      </c>
      <c r="L89" s="61">
        <f>IF(ISERROR(IF(ROUND(SUM(L$82:L88),3)&gt;=ROUND(L$68,3),0,L$68/L$71)),"NA",IF(ROUND(SUM(L$82:L88),3)&gt;=ROUND(L$68,3),0,L$68/L$71))</f>
        <v>0</v>
      </c>
      <c r="M89" s="61">
        <f>IF(ISERROR(IF(ROUND(SUM(M$82:M88),3)&gt;=ROUND(M$68,3),0,M$68/M$71)),"NA",IF(ROUND(SUM(M$82:M88),3)&gt;=ROUND(M$68,3),0,M$68/M$71))</f>
        <v>0</v>
      </c>
      <c r="N89" s="61">
        <f>IF(ISERROR(IF(ROUND(SUM(N$82:N88),3)&gt;=ROUND(N$68,3),0,N$68/N$71)),"NA",IF(ROUND(SUM(N$82:N88),3)&gt;=ROUND(N$68,3),0,N$68/N$71))</f>
        <v>0</v>
      </c>
      <c r="O89" s="61">
        <f>IF(ISERROR(IF(ROUND(SUM(O$82:O88),3)&gt;=ROUND(O$68,3),0,O$68/O$71)),"NA",IF(ROUND(SUM(O$82:O88),3)&gt;=ROUND(O$68,3),0,O$68/O$71))</f>
        <v>0</v>
      </c>
      <c r="P89" s="61">
        <f>IF(ISERROR(IF(ROUND(SUM(P$82:P88),3)&gt;=ROUND(P$68,3),0,P$68/P$71)),"NA",IF(ROUND(SUM(P$82:P88),3)&gt;=ROUND(P$68,3),0,P$68/P$71))</f>
        <v>0</v>
      </c>
      <c r="Q89" s="60">
        <f t="shared" si="41"/>
        <v>0</v>
      </c>
      <c r="R89" s="60">
        <f t="shared" si="41"/>
        <v>0</v>
      </c>
      <c r="S89" s="60">
        <f t="shared" si="41"/>
        <v>0</v>
      </c>
      <c r="T89" s="60">
        <f t="shared" si="41"/>
        <v>0</v>
      </c>
      <c r="U89" s="60">
        <f t="shared" si="41"/>
        <v>0</v>
      </c>
      <c r="V89" s="60">
        <f t="shared" si="41"/>
        <v>0</v>
      </c>
      <c r="W89" s="60">
        <f t="shared" si="41"/>
        <v>0</v>
      </c>
      <c r="X89" s="1880"/>
      <c r="Y89" s="1880"/>
      <c r="Z89" s="1880"/>
      <c r="AG89" s="1880"/>
      <c r="AH89" s="1880"/>
      <c r="AI89" s="1880"/>
      <c r="AJ89" s="1881"/>
    </row>
    <row r="90" spans="1:36" outlineLevel="1">
      <c r="A90" s="1875"/>
      <c r="B90" s="33"/>
      <c r="C90" s="1876" t="s">
        <v>203</v>
      </c>
      <c r="D90" s="1876"/>
      <c r="E90" s="1876"/>
      <c r="F90" s="1876"/>
      <c r="G90" s="1876"/>
      <c r="H90" s="61">
        <f>IF(ISERROR(IF(ROUND(SUM(H$82:H89),3)&gt;=ROUND(H$68,3),0,H$68/H$71)),"NA",IF(ROUND(SUM(H$82:H89),3)&gt;=ROUND(H$68,3),0,H$68/H$71))</f>
        <v>0</v>
      </c>
      <c r="I90" s="61">
        <f>IF(ISERROR(IF(ROUND(SUM(I$82:I89),3)&gt;=ROUND(I$68,3),0,I$68/I$71)),"NA",IF(ROUND(SUM(I$82:I89),3)&gt;=ROUND(I$68,3),0,I$68/I$71))</f>
        <v>0</v>
      </c>
      <c r="J90" s="61">
        <f>IF(ISERROR(IF(ROUND(SUM(J$82:J89),3)&gt;=ROUND(J$68,3),0,J$68/J$71)),"NA",IF(ROUND(SUM(J$82:J89),3)&gt;=ROUND(J$68,3),0,J$68/J$71))</f>
        <v>0</v>
      </c>
      <c r="K90" s="61">
        <f>IF(ISERROR(IF(ROUND(SUM(K$82:K89),3)&gt;=ROUND(K$68,3),0,K$68/K$71)),"NA",IF(ROUND(SUM(K$82:K89),3)&gt;=ROUND(K$68,3),0,K$68/K$71))</f>
        <v>0</v>
      </c>
      <c r="L90" s="61">
        <f>IF(ISERROR(IF(ROUND(SUM(L$82:L89),3)&gt;=ROUND(L$68,3),0,L$68/L$71)),"NA",IF(ROUND(SUM(L$82:L89),3)&gt;=ROUND(L$68,3),0,L$68/L$71))</f>
        <v>0</v>
      </c>
      <c r="M90" s="61">
        <f>IF(ISERROR(IF(ROUND(SUM(M$82:M89),3)&gt;=ROUND(M$68,3),0,M$68/M$71)),"NA",IF(ROUND(SUM(M$82:M89),3)&gt;=ROUND(M$68,3),0,M$68/M$71))</f>
        <v>0</v>
      </c>
      <c r="N90" s="61">
        <f>IF(ISERROR(IF(ROUND(SUM(N$82:N89),3)&gt;=ROUND(N$68,3),0,N$68/N$71)),"NA",IF(ROUND(SUM(N$82:N89),3)&gt;=ROUND(N$68,3),0,N$68/N$71))</f>
        <v>0</v>
      </c>
      <c r="O90" s="61">
        <f>IF(ISERROR(IF(ROUND(SUM(O$82:O89),3)&gt;=ROUND(O$68,3),0,O$68/O$71)),"NA",IF(ROUND(SUM(O$82:O89),3)&gt;=ROUND(O$68,3),0,O$68/O$71))</f>
        <v>0</v>
      </c>
      <c r="P90" s="61">
        <f>IF(ISERROR(IF(ROUND(SUM(P$82:P89),3)&gt;=ROUND(P$68,3),0,P$68/P$71)),"NA",IF(ROUND(SUM(P$82:P89),3)&gt;=ROUND(P$68,3),0,P$68/P$71))</f>
        <v>0</v>
      </c>
      <c r="Q90" s="60">
        <f t="shared" si="41"/>
        <v>0</v>
      </c>
      <c r="R90" s="60">
        <f t="shared" si="41"/>
        <v>0</v>
      </c>
      <c r="S90" s="60">
        <f t="shared" si="41"/>
        <v>0</v>
      </c>
      <c r="T90" s="60">
        <f t="shared" si="41"/>
        <v>0</v>
      </c>
      <c r="U90" s="60">
        <f t="shared" si="41"/>
        <v>0</v>
      </c>
      <c r="V90" s="60">
        <f t="shared" si="41"/>
        <v>0</v>
      </c>
      <c r="W90" s="60">
        <f t="shared" si="41"/>
        <v>0</v>
      </c>
      <c r="X90" s="1880"/>
      <c r="Y90" s="1880"/>
      <c r="Z90" s="1880"/>
      <c r="AG90" s="1880"/>
      <c r="AH90" s="1880"/>
      <c r="AI90" s="1880"/>
      <c r="AJ90" s="1881"/>
    </row>
    <row r="91" spans="1:36" outlineLevel="1">
      <c r="A91" s="1875"/>
      <c r="B91" s="33"/>
      <c r="C91" s="1876" t="s">
        <v>204</v>
      </c>
      <c r="D91" s="1876"/>
      <c r="E91" s="1876"/>
      <c r="F91" s="1876"/>
      <c r="G91" s="1876"/>
      <c r="H91" s="61">
        <f>IF(ISERROR(IF(ROUND(SUM(H$82:H90),3)&gt;=ROUND(H$68,3),0,H$68/H$71)),"NA",IF(ROUND(SUM(H$82:H90),3)&gt;=ROUND(H$68,3),0,H$68/H$71))</f>
        <v>0</v>
      </c>
      <c r="I91" s="61">
        <f>IF(ISERROR(IF(ROUND(SUM(I$82:I90),3)&gt;=ROUND(I$68,3),0,I$68/I$71)),"NA",IF(ROUND(SUM(I$82:I90),3)&gt;=ROUND(I$68,3),0,I$68/I$71))</f>
        <v>0</v>
      </c>
      <c r="J91" s="61">
        <f>IF(ISERROR(IF(ROUND(SUM(J$82:J90),3)&gt;=ROUND(J$68,3),0,J$68/J$71)),"NA",IF(ROUND(SUM(J$82:J90),3)&gt;=ROUND(J$68,3),0,J$68/J$71))</f>
        <v>0</v>
      </c>
      <c r="K91" s="61">
        <f>IF(ISERROR(IF(ROUND(SUM(K$82:K90),3)&gt;=ROUND(K$68,3),0,K$68/K$71)),"NA",IF(ROUND(SUM(K$82:K90),3)&gt;=ROUND(K$68,3),0,K$68/K$71))</f>
        <v>0</v>
      </c>
      <c r="L91" s="61">
        <f>IF(ISERROR(IF(ROUND(SUM(L$82:L90),3)&gt;=ROUND(L$68,3),0,L$68/L$71)),"NA",IF(ROUND(SUM(L$82:L90),3)&gt;=ROUND(L$68,3),0,L$68/L$71))</f>
        <v>0</v>
      </c>
      <c r="M91" s="61">
        <f>IF(ISERROR(IF(ROUND(SUM(M$82:M90),3)&gt;=ROUND(M$68,3),0,M$68/M$71)),"NA",IF(ROUND(SUM(M$82:M90),3)&gt;=ROUND(M$68,3),0,M$68/M$71))</f>
        <v>0</v>
      </c>
      <c r="N91" s="61">
        <f>IF(ISERROR(IF(ROUND(SUM(N$82:N90),3)&gt;=ROUND(N$68,3),0,N$68/N$71)),"NA",IF(ROUND(SUM(N$82:N90),3)&gt;=ROUND(N$68,3),0,N$68/N$71))</f>
        <v>0</v>
      </c>
      <c r="O91" s="61">
        <f>IF(ISERROR(IF(ROUND(SUM(O$82:O90),3)&gt;=ROUND(O$68,3),0,O$68/O$71)),"NA",IF(ROUND(SUM(O$82:O90),3)&gt;=ROUND(O$68,3),0,O$68/O$71))</f>
        <v>0</v>
      </c>
      <c r="P91" s="61">
        <f>IF(ISERROR(IF(ROUND(SUM(P$82:P90),3)&gt;=ROUND(P$68,3),0,P$68/P$71)),"NA",IF(ROUND(SUM(P$82:P90),3)&gt;=ROUND(P$68,3),0,P$68/P$71))</f>
        <v>0</v>
      </c>
      <c r="Q91" s="60">
        <f t="shared" si="41"/>
        <v>0</v>
      </c>
      <c r="R91" s="60">
        <f t="shared" si="41"/>
        <v>0</v>
      </c>
      <c r="S91" s="60">
        <f t="shared" si="41"/>
        <v>0</v>
      </c>
      <c r="T91" s="60">
        <f t="shared" si="41"/>
        <v>0</v>
      </c>
      <c r="U91" s="60">
        <f t="shared" si="41"/>
        <v>0</v>
      </c>
      <c r="V91" s="60">
        <f t="shared" si="41"/>
        <v>0</v>
      </c>
      <c r="W91" s="60">
        <f t="shared" si="41"/>
        <v>0</v>
      </c>
      <c r="X91" s="1880"/>
      <c r="Y91" s="1880"/>
      <c r="Z91" s="1880"/>
      <c r="AG91" s="1880"/>
      <c r="AH91" s="1880"/>
      <c r="AI91" s="1880"/>
      <c r="AJ91" s="1881"/>
    </row>
    <row r="92" spans="1:36" outlineLevel="1">
      <c r="A92" s="1875"/>
      <c r="B92" s="33"/>
      <c r="C92" s="1876" t="s">
        <v>205</v>
      </c>
      <c r="D92" s="1876"/>
      <c r="E92" s="1876"/>
      <c r="F92" s="1876"/>
      <c r="G92" s="1876"/>
      <c r="H92" s="61">
        <f>IF(ISERROR(IF(ROUND(SUM(H$82:H91),3)&gt;=ROUND(H$68,3),0,H$68/H$71)),"NA",IF(ROUND(SUM(H$82:H91),3)&gt;=ROUND(H$68,3),0,H$68/H$71))</f>
        <v>0</v>
      </c>
      <c r="I92" s="61">
        <f>IF(ISERROR(IF(ROUND(SUM(I$82:I91),3)&gt;=ROUND(I$68,3),0,I$68/I$71)),"NA",IF(ROUND(SUM(I$82:I91),3)&gt;=ROUND(I$68,3),0,I$68/I$71))</f>
        <v>0</v>
      </c>
      <c r="J92" s="61">
        <f>IF(ISERROR(IF(ROUND(SUM(J$82:J91),3)&gt;=ROUND(J$68,3),0,J$68/J$71)),"NA",IF(ROUND(SUM(J$82:J91),3)&gt;=ROUND(J$68,3),0,J$68/J$71))</f>
        <v>0</v>
      </c>
      <c r="K92" s="61">
        <f>IF(ISERROR(IF(ROUND(SUM(K$82:K91),3)&gt;=ROUND(K$68,3),0,K$68/K$71)),"NA",IF(ROUND(SUM(K$82:K91),3)&gt;=ROUND(K$68,3),0,K$68/K$71))</f>
        <v>0</v>
      </c>
      <c r="L92" s="61">
        <f>IF(ISERROR(IF(ROUND(SUM(L$82:L91),3)&gt;=ROUND(L$68,3),0,L$68/L$71)),"NA",IF(ROUND(SUM(L$82:L91),3)&gt;=ROUND(L$68,3),0,L$68/L$71))</f>
        <v>0</v>
      </c>
      <c r="M92" s="61">
        <f>IF(ISERROR(IF(ROUND(SUM(M$82:M91),3)&gt;=ROUND(M$68,3),0,M$68/M$71)),"NA",IF(ROUND(SUM(M$82:M91),3)&gt;=ROUND(M$68,3),0,M$68/M$71))</f>
        <v>0</v>
      </c>
      <c r="N92" s="61">
        <f>IF(ISERROR(IF(ROUND(SUM(N$82:N91),3)&gt;=ROUND(N$68,3),0,N$68/N$71)),"NA",IF(ROUND(SUM(N$82:N91),3)&gt;=ROUND(N$68,3),0,N$68/N$71))</f>
        <v>0</v>
      </c>
      <c r="O92" s="61">
        <f>IF(ISERROR(IF(ROUND(SUM(O$82:O91),3)&gt;=ROUND(O$68,3),0,O$68/O$71)),"NA",IF(ROUND(SUM(O$82:O91),3)&gt;=ROUND(O$68,3),0,O$68/O$71))</f>
        <v>0</v>
      </c>
      <c r="P92" s="61">
        <f>IF(ISERROR(IF(ROUND(SUM(P$82:P91),3)&gt;=ROUND(P$68,3),0,P$68/P$71)),"NA",IF(ROUND(SUM(P$82:P91),3)&gt;=ROUND(P$68,3),0,P$68/P$71))</f>
        <v>0</v>
      </c>
      <c r="Q92" s="60">
        <f t="shared" ref="Q92:W106" si="43">P92*(1+Q$64)</f>
        <v>0</v>
      </c>
      <c r="R92" s="60">
        <f t="shared" si="43"/>
        <v>0</v>
      </c>
      <c r="S92" s="60">
        <f t="shared" si="43"/>
        <v>0</v>
      </c>
      <c r="T92" s="60">
        <f t="shared" si="43"/>
        <v>0</v>
      </c>
      <c r="U92" s="60">
        <f t="shared" si="43"/>
        <v>0</v>
      </c>
      <c r="V92" s="60">
        <f t="shared" si="43"/>
        <v>0</v>
      </c>
      <c r="W92" s="60">
        <f t="shared" si="43"/>
        <v>0</v>
      </c>
      <c r="X92" s="1880"/>
      <c r="Y92" s="1880"/>
      <c r="Z92" s="1880"/>
      <c r="AG92" s="1880"/>
      <c r="AH92" s="1880"/>
      <c r="AI92" s="1880"/>
      <c r="AJ92" s="1881"/>
    </row>
    <row r="93" spans="1:36" outlineLevel="1">
      <c r="A93" s="1875"/>
      <c r="B93" s="33"/>
      <c r="C93" s="1876" t="s">
        <v>836</v>
      </c>
      <c r="D93" s="1876"/>
      <c r="E93" s="1876"/>
      <c r="F93" s="1876"/>
      <c r="G93" s="1876"/>
      <c r="H93" s="61">
        <f>IF(ISERROR(IF(ROUND(SUM(H$82:H92),3)&gt;=ROUND(H$68,3),0,H$68/H$71)),"NA",IF(ROUND(SUM(H$82:H92),3)&gt;=ROUND(H$68,3),0,H$68/H$71))</f>
        <v>0</v>
      </c>
      <c r="I93" s="61">
        <f>IF(ISERROR(IF(ROUND(SUM(I$82:I92),3)&gt;=ROUND(I$68,3),0,I$68/I$71)),"NA",IF(ROUND(SUM(I$82:I92),3)&gt;=ROUND(I$68,3),0,I$68/I$71))</f>
        <v>0</v>
      </c>
      <c r="J93" s="61">
        <f>IF(ISERROR(IF(ROUND(SUM(J$82:J92),3)&gt;=ROUND(J$68,3),0,J$68/J$71)),"NA",IF(ROUND(SUM(J$82:J92),3)&gt;=ROUND(J$68,3),0,J$68/J$71))</f>
        <v>0</v>
      </c>
      <c r="K93" s="61">
        <f>IF(ISERROR(IF(ROUND(SUM(K$82:K92),3)&gt;=ROUND(K$68,3),0,K$68/K$71)),"NA",IF(ROUND(SUM(K$82:K92),3)&gt;=ROUND(K$68,3),0,K$68/K$71))</f>
        <v>0</v>
      </c>
      <c r="L93" s="61">
        <f>IF(ISERROR(IF(ROUND(SUM(L$82:L92),3)&gt;=ROUND(L$68,3),0,L$68/L$71)),"NA",IF(ROUND(SUM(L$82:L92),3)&gt;=ROUND(L$68,3),0,L$68/L$71))</f>
        <v>0</v>
      </c>
      <c r="M93" s="61">
        <f>IF(ISERROR(IF(ROUND(SUM(M$82:M92),3)&gt;=ROUND(M$68,3),0,M$68/M$71)),"NA",IF(ROUND(SUM(M$82:M92),3)&gt;=ROUND(M$68,3),0,M$68/M$71))</f>
        <v>0</v>
      </c>
      <c r="N93" s="61">
        <f>IF(ISERROR(IF(ROUND(SUM(N$82:N92),3)&gt;=ROUND(N$68,3),0,N$68/N$71)),"NA",IF(ROUND(SUM(N$82:N92),3)&gt;=ROUND(N$68,3),0,N$68/N$71))</f>
        <v>0</v>
      </c>
      <c r="O93" s="61">
        <f>IF(ISERROR(IF(ROUND(SUM(O$82:O92),3)&gt;=ROUND(O$68,3),0,O$68/O$71)),"NA",IF(ROUND(SUM(O$82:O92),3)&gt;=ROUND(O$68,3),0,O$68/O$71))</f>
        <v>0</v>
      </c>
      <c r="P93" s="61">
        <f>IF(ISERROR(IF(ROUND(SUM(P$82:P92),3)&gt;=ROUND(P$68,3),0,P$68/P$71)),"NA",IF(ROUND(SUM(P$82:P92),3)&gt;=ROUND(P$68,3),0,P$68/P$71))</f>
        <v>0</v>
      </c>
      <c r="Q93" s="60">
        <f t="shared" si="43"/>
        <v>0</v>
      </c>
      <c r="R93" s="60">
        <f t="shared" si="43"/>
        <v>0</v>
      </c>
      <c r="S93" s="60">
        <f t="shared" si="43"/>
        <v>0</v>
      </c>
      <c r="T93" s="60">
        <f t="shared" si="43"/>
        <v>0</v>
      </c>
      <c r="U93" s="60">
        <f t="shared" si="43"/>
        <v>0</v>
      </c>
      <c r="V93" s="60">
        <f t="shared" si="43"/>
        <v>0</v>
      </c>
      <c r="W93" s="60">
        <f t="shared" si="43"/>
        <v>0</v>
      </c>
      <c r="X93" s="1880"/>
      <c r="Y93" s="1880"/>
      <c r="Z93" s="1880"/>
      <c r="AG93" s="1880"/>
      <c r="AH93" s="1880"/>
      <c r="AI93" s="1880"/>
      <c r="AJ93" s="1881"/>
    </row>
    <row r="94" spans="1:36" outlineLevel="1">
      <c r="A94" s="1875"/>
      <c r="B94" s="33"/>
      <c r="C94" s="1876" t="s">
        <v>837</v>
      </c>
      <c r="D94" s="1876"/>
      <c r="E94" s="1876"/>
      <c r="F94" s="1876"/>
      <c r="G94" s="1876"/>
      <c r="H94" s="61">
        <f>IF(ISERROR(IF(ROUND(SUM(H$82:H93),3)&gt;=ROUND(H$68,3),0,H$68/H$71)),"NA",IF(ROUND(SUM(H$82:H93),3)&gt;=ROUND(H$68,3),0,H$68/H$71))</f>
        <v>0</v>
      </c>
      <c r="I94" s="61">
        <f>IF(ISERROR(IF(ROUND(SUM(I$82:I93),3)&gt;=ROUND(I$68,3),0,I$68/I$71)),"NA",IF(ROUND(SUM(I$82:I93),3)&gt;=ROUND(I$68,3),0,I$68/I$71))</f>
        <v>0</v>
      </c>
      <c r="J94" s="61">
        <f>IF(ISERROR(IF(ROUND(SUM(J$82:J93),3)&gt;=ROUND(J$68,3),0,J$68/J$71)),"NA",IF(ROUND(SUM(J$82:J93),3)&gt;=ROUND(J$68,3),0,J$68/J$71))</f>
        <v>0</v>
      </c>
      <c r="K94" s="61">
        <f>IF(ISERROR(IF(ROUND(SUM(K$82:K93),3)&gt;=ROUND(K$68,3),0,K$68/K$71)),"NA",IF(ROUND(SUM(K$82:K93),3)&gt;=ROUND(K$68,3),0,K$68/K$71))</f>
        <v>0</v>
      </c>
      <c r="L94" s="61">
        <f>IF(ISERROR(IF(ROUND(SUM(L$82:L93),3)&gt;=ROUND(L$68,3),0,L$68/L$71)),"NA",IF(ROUND(SUM(L$82:L93),3)&gt;=ROUND(L$68,3),0,L$68/L$71))</f>
        <v>0</v>
      </c>
      <c r="M94" s="61">
        <f>IF(ISERROR(IF(ROUND(SUM(M$82:M93),3)&gt;=ROUND(M$68,3),0,M$68/M$71)),"NA",IF(ROUND(SUM(M$82:M93),3)&gt;=ROUND(M$68,3),0,M$68/M$71))</f>
        <v>0</v>
      </c>
      <c r="N94" s="61">
        <f>IF(ISERROR(IF(ROUND(SUM(N$82:N93),3)&gt;=ROUND(N$68,3),0,N$68/N$71)),"NA",IF(ROUND(SUM(N$82:N93),3)&gt;=ROUND(N$68,3),0,N$68/N$71))</f>
        <v>0</v>
      </c>
      <c r="O94" s="61">
        <f>IF(ISERROR(IF(ROUND(SUM(O$82:O93),3)&gt;=ROUND(O$68,3),0,O$68/O$71)),"NA",IF(ROUND(SUM(O$82:O93),3)&gt;=ROUND(O$68,3),0,O$68/O$71))</f>
        <v>0</v>
      </c>
      <c r="P94" s="61">
        <f>IF(ISERROR(IF(ROUND(SUM(P$82:P93),3)&gt;=ROUND(P$68,3),0,P$68/P$71)),"NA",IF(ROUND(SUM(P$82:P93),3)&gt;=ROUND(P$68,3),0,P$68/P$71))</f>
        <v>0</v>
      </c>
      <c r="Q94" s="60">
        <f t="shared" si="43"/>
        <v>0</v>
      </c>
      <c r="R94" s="60">
        <f t="shared" si="43"/>
        <v>0</v>
      </c>
      <c r="S94" s="60">
        <f t="shared" si="43"/>
        <v>0</v>
      </c>
      <c r="T94" s="60">
        <f t="shared" si="43"/>
        <v>0</v>
      </c>
      <c r="U94" s="60">
        <f t="shared" si="43"/>
        <v>0</v>
      </c>
      <c r="V94" s="60">
        <f t="shared" si="43"/>
        <v>0</v>
      </c>
      <c r="W94" s="60">
        <f t="shared" si="43"/>
        <v>0</v>
      </c>
      <c r="X94" s="1880"/>
      <c r="Y94" s="1880"/>
      <c r="Z94" s="1880"/>
      <c r="AG94" s="1880"/>
      <c r="AH94" s="1880"/>
      <c r="AI94" s="1880"/>
      <c r="AJ94" s="1881"/>
    </row>
    <row r="95" spans="1:36" outlineLevel="1">
      <c r="A95" s="1875"/>
      <c r="B95" s="33"/>
      <c r="C95" s="1876" t="s">
        <v>838</v>
      </c>
      <c r="D95" s="1876"/>
      <c r="E95" s="1876"/>
      <c r="F95" s="1876"/>
      <c r="G95" s="1876"/>
      <c r="H95" s="61">
        <f>IF(ISERROR(IF(ROUND(SUM(H$82:H94),3)&gt;=ROUND(H$68,3),0,H$68/H$71)),"NA",IF(ROUND(SUM(H$82:H94),3)&gt;=ROUND(H$68,3),0,H$68/H$71))</f>
        <v>0</v>
      </c>
      <c r="I95" s="61">
        <f>IF(ISERROR(IF(ROUND(SUM(I$82:I94),3)&gt;=ROUND(I$68,3),0,I$68/I$71)),"NA",IF(ROUND(SUM(I$82:I94),3)&gt;=ROUND(I$68,3),0,I$68/I$71))</f>
        <v>0</v>
      </c>
      <c r="J95" s="61">
        <f>IF(ISERROR(IF(ROUND(SUM(J$82:J94),3)&gt;=ROUND(J$68,3),0,J$68/J$71)),"NA",IF(ROUND(SUM(J$82:J94),3)&gt;=ROUND(J$68,3),0,J$68/J$71))</f>
        <v>0</v>
      </c>
      <c r="K95" s="61">
        <f>IF(ISERROR(IF(ROUND(SUM(K$82:K94),3)&gt;=ROUND(K$68,3),0,K$68/K$71)),"NA",IF(ROUND(SUM(K$82:K94),3)&gt;=ROUND(K$68,3),0,K$68/K$71))</f>
        <v>0</v>
      </c>
      <c r="L95" s="61">
        <f>IF(ISERROR(IF(ROUND(SUM(L$82:L94),3)&gt;=ROUND(L$68,3),0,L$68/L$71)),"NA",IF(ROUND(SUM(L$82:L94),3)&gt;=ROUND(L$68,3),0,L$68/L$71))</f>
        <v>0</v>
      </c>
      <c r="M95" s="61">
        <f>IF(ISERROR(IF(ROUND(SUM(M$82:M94),3)&gt;=ROUND(M$68,3),0,M$68/M$71)),"NA",IF(ROUND(SUM(M$82:M94),3)&gt;=ROUND(M$68,3),0,M$68/M$71))</f>
        <v>0</v>
      </c>
      <c r="N95" s="61">
        <f>IF(ISERROR(IF(ROUND(SUM(N$82:N94),3)&gt;=ROUND(N$68,3),0,N$68/N$71)),"NA",IF(ROUND(SUM(N$82:N94),3)&gt;=ROUND(N$68,3),0,N$68/N$71))</f>
        <v>0</v>
      </c>
      <c r="O95" s="61">
        <f>IF(ISERROR(IF(ROUND(SUM(O$82:O94),3)&gt;=ROUND(O$68,3),0,O$68/O$71)),"NA",IF(ROUND(SUM(O$82:O94),3)&gt;=ROUND(O$68,3),0,O$68/O$71))</f>
        <v>0</v>
      </c>
      <c r="P95" s="61">
        <f>IF(ISERROR(IF(ROUND(SUM(P$82:P94),3)&gt;=ROUND(P$68,3),0,P$68/P$71)),"NA",IF(ROUND(SUM(P$82:P94),3)&gt;=ROUND(P$68,3),0,P$68/P$71))</f>
        <v>0</v>
      </c>
      <c r="Q95" s="60">
        <f t="shared" si="43"/>
        <v>0</v>
      </c>
      <c r="R95" s="60">
        <f t="shared" si="43"/>
        <v>0</v>
      </c>
      <c r="S95" s="60">
        <f t="shared" si="43"/>
        <v>0</v>
      </c>
      <c r="T95" s="60">
        <f t="shared" si="43"/>
        <v>0</v>
      </c>
      <c r="U95" s="60">
        <f t="shared" si="43"/>
        <v>0</v>
      </c>
      <c r="V95" s="60">
        <f t="shared" si="43"/>
        <v>0</v>
      </c>
      <c r="W95" s="60">
        <f t="shared" si="43"/>
        <v>0</v>
      </c>
      <c r="X95" s="1880"/>
      <c r="Y95" s="1880"/>
      <c r="Z95" s="1880"/>
      <c r="AG95" s="1880"/>
      <c r="AH95" s="1880"/>
      <c r="AI95" s="1880"/>
      <c r="AJ95" s="1881"/>
    </row>
    <row r="96" spans="1:36" outlineLevel="1">
      <c r="A96" s="1875"/>
      <c r="B96" s="33"/>
      <c r="C96" s="1876" t="s">
        <v>839</v>
      </c>
      <c r="D96" s="1876"/>
      <c r="E96" s="1876"/>
      <c r="F96" s="1876"/>
      <c r="G96" s="1876"/>
      <c r="H96" s="61">
        <f>IF(ISERROR(IF(ROUND(SUM(H$82:H95),3)&gt;=ROUND(H$68,3),0,H$68/H$71)),"NA",IF(ROUND(SUM(H$82:H95),3)&gt;=ROUND(H$68,3),0,H$68/H$71))</f>
        <v>0</v>
      </c>
      <c r="I96" s="61">
        <f>IF(ISERROR(IF(ROUND(SUM(I$82:I95),3)&gt;=ROUND(I$68,3),0,I$68/I$71)),"NA",IF(ROUND(SUM(I$82:I95),3)&gt;=ROUND(I$68,3),0,I$68/I$71))</f>
        <v>0</v>
      </c>
      <c r="J96" s="61">
        <f>IF(ISERROR(IF(ROUND(SUM(J$82:J95),3)&gt;=ROUND(J$68,3),0,J$68/J$71)),"NA",IF(ROUND(SUM(J$82:J95),3)&gt;=ROUND(J$68,3),0,J$68/J$71))</f>
        <v>0</v>
      </c>
      <c r="K96" s="61">
        <f>IF(ISERROR(IF(ROUND(SUM(K$82:K95),3)&gt;=ROUND(K$68,3),0,K$68/K$71)),"NA",IF(ROUND(SUM(K$82:K95),3)&gt;=ROUND(K$68,3),0,K$68/K$71))</f>
        <v>0</v>
      </c>
      <c r="L96" s="61">
        <f>IF(ISERROR(IF(ROUND(SUM(L$82:L95),3)&gt;=ROUND(L$68,3),0,L$68/L$71)),"NA",IF(ROUND(SUM(L$82:L95),3)&gt;=ROUND(L$68,3),0,L$68/L$71))</f>
        <v>0</v>
      </c>
      <c r="M96" s="61">
        <f>IF(ISERROR(IF(ROUND(SUM(M$82:M95),3)&gt;=ROUND(M$68,3),0,M$68/M$71)),"NA",IF(ROUND(SUM(M$82:M95),3)&gt;=ROUND(M$68,3),0,M$68/M$71))</f>
        <v>0</v>
      </c>
      <c r="N96" s="61">
        <f>IF(ISERROR(IF(ROUND(SUM(N$82:N95),3)&gt;=ROUND(N$68,3),0,N$68/N$71)),"NA",IF(ROUND(SUM(N$82:N95),3)&gt;=ROUND(N$68,3),0,N$68/N$71))</f>
        <v>0</v>
      </c>
      <c r="O96" s="61">
        <f>IF(ISERROR(IF(ROUND(SUM(O$82:O95),3)&gt;=ROUND(O$68,3),0,O$68/O$71)),"NA",IF(ROUND(SUM(O$82:O95),3)&gt;=ROUND(O$68,3),0,O$68/O$71))</f>
        <v>0</v>
      </c>
      <c r="P96" s="61">
        <f>IF(ISERROR(IF(ROUND(SUM(P$82:P95),3)&gt;=ROUND(P$68,3),0,P$68/P$71)),"NA",IF(ROUND(SUM(P$82:P95),3)&gt;=ROUND(P$68,3),0,P$68/P$71))</f>
        <v>0</v>
      </c>
      <c r="Q96" s="60">
        <f t="shared" si="43"/>
        <v>0</v>
      </c>
      <c r="R96" s="60">
        <f t="shared" si="43"/>
        <v>0</v>
      </c>
      <c r="S96" s="60">
        <f t="shared" si="43"/>
        <v>0</v>
      </c>
      <c r="T96" s="60">
        <f t="shared" si="43"/>
        <v>0</v>
      </c>
      <c r="U96" s="60">
        <f t="shared" si="43"/>
        <v>0</v>
      </c>
      <c r="V96" s="60">
        <f t="shared" si="43"/>
        <v>0</v>
      </c>
      <c r="W96" s="60">
        <f t="shared" si="43"/>
        <v>0</v>
      </c>
      <c r="X96" s="1880"/>
      <c r="Y96" s="1880"/>
      <c r="Z96" s="1880"/>
      <c r="AG96" s="1880"/>
      <c r="AH96" s="1880"/>
      <c r="AI96" s="1880"/>
      <c r="AJ96" s="1881"/>
    </row>
    <row r="97" spans="1:36" outlineLevel="1">
      <c r="A97" s="1875"/>
      <c r="B97" s="33"/>
      <c r="C97" s="1876" t="s">
        <v>840</v>
      </c>
      <c r="D97" s="1876"/>
      <c r="E97" s="1876"/>
      <c r="F97" s="1876"/>
      <c r="G97" s="1876"/>
      <c r="H97" s="61">
        <f>IF(ISERROR(IF(ROUND(SUM(H$82:H96),3)&gt;=ROUND(H$68,3),0,H$68/H$71)),"NA",IF(ROUND(SUM(H$82:H96),3)&gt;=ROUND(H$68,3),0,H$68/H$71))</f>
        <v>0</v>
      </c>
      <c r="I97" s="61">
        <f>IF(ISERROR(IF(ROUND(SUM(I$82:I96),3)&gt;=ROUND(I$68,3),0,I$68/I$71)),"NA",IF(ROUND(SUM(I$82:I96),3)&gt;=ROUND(I$68,3),0,I$68/I$71))</f>
        <v>0</v>
      </c>
      <c r="J97" s="61">
        <f>IF(ISERROR(IF(ROUND(SUM(J$82:J96),3)&gt;=ROUND(J$68,3),0,J$68/J$71)),"NA",IF(ROUND(SUM(J$82:J96),3)&gt;=ROUND(J$68,3),0,J$68/J$71))</f>
        <v>0</v>
      </c>
      <c r="K97" s="61">
        <f>IF(ISERROR(IF(ROUND(SUM(K$82:K96),3)&gt;=ROUND(K$68,3),0,K$68/K$71)),"NA",IF(ROUND(SUM(K$82:K96),3)&gt;=ROUND(K$68,3),0,K$68/K$71))</f>
        <v>0</v>
      </c>
      <c r="L97" s="61">
        <f>IF(ISERROR(IF(ROUND(SUM(L$82:L96),3)&gt;=ROUND(L$68,3),0,L$68/L$71)),"NA",IF(ROUND(SUM(L$82:L96),3)&gt;=ROUND(L$68,3),0,L$68/L$71))</f>
        <v>0</v>
      </c>
      <c r="M97" s="61">
        <f>IF(ISERROR(IF(ROUND(SUM(M$82:M96),3)&gt;=ROUND(M$68,3),0,M$68/M$71)),"NA",IF(ROUND(SUM(M$82:M96),3)&gt;=ROUND(M$68,3),0,M$68/M$71))</f>
        <v>0</v>
      </c>
      <c r="N97" s="61">
        <f>IF(ISERROR(IF(ROUND(SUM(N$82:N96),3)&gt;=ROUND(N$68,3),0,N$68/N$71)),"NA",IF(ROUND(SUM(N$82:N96),3)&gt;=ROUND(N$68,3),0,N$68/N$71))</f>
        <v>0</v>
      </c>
      <c r="O97" s="61">
        <f>IF(ISERROR(IF(ROUND(SUM(O$82:O96),3)&gt;=ROUND(O$68,3),0,O$68/O$71)),"NA",IF(ROUND(SUM(O$82:O96),3)&gt;=ROUND(O$68,3),0,O$68/O$71))</f>
        <v>0</v>
      </c>
      <c r="P97" s="61">
        <f>IF(ISERROR(IF(ROUND(SUM(P$82:P96),3)&gt;=ROUND(P$68,3),0,P$68/P$71)),"NA",IF(ROUND(SUM(P$82:P96),3)&gt;=ROUND(P$68,3),0,P$68/P$71))</f>
        <v>0</v>
      </c>
      <c r="Q97" s="60">
        <f t="shared" si="43"/>
        <v>0</v>
      </c>
      <c r="R97" s="60">
        <f t="shared" si="43"/>
        <v>0</v>
      </c>
      <c r="S97" s="60">
        <f t="shared" si="43"/>
        <v>0</v>
      </c>
      <c r="T97" s="60">
        <f t="shared" si="43"/>
        <v>0</v>
      </c>
      <c r="U97" s="60">
        <f t="shared" si="43"/>
        <v>0</v>
      </c>
      <c r="V97" s="60">
        <f t="shared" si="43"/>
        <v>0</v>
      </c>
      <c r="W97" s="60">
        <f t="shared" si="43"/>
        <v>0</v>
      </c>
      <c r="X97" s="1880"/>
      <c r="Y97" s="1880"/>
      <c r="Z97" s="1880"/>
      <c r="AG97" s="1880"/>
      <c r="AH97" s="1880"/>
      <c r="AI97" s="1880"/>
      <c r="AJ97" s="1881"/>
    </row>
    <row r="98" spans="1:36" outlineLevel="1">
      <c r="A98" s="1875"/>
      <c r="B98" s="33"/>
      <c r="C98" s="1876" t="s">
        <v>841</v>
      </c>
      <c r="D98" s="1876"/>
      <c r="E98" s="1876"/>
      <c r="F98" s="1876"/>
      <c r="G98" s="1876"/>
      <c r="H98" s="61">
        <f>IF(ISERROR(IF(ROUND(SUM(H$82:H97),3)&gt;=ROUND(H$68,3),0,H$68/H$71)),"NA",IF(ROUND(SUM(H$82:H97),3)&gt;=ROUND(H$68,3),0,H$68/H$71))</f>
        <v>0</v>
      </c>
      <c r="I98" s="61">
        <f>IF(ISERROR(IF(ROUND(SUM(I$82:I97),3)&gt;=ROUND(I$68,3),0,I$68/I$71)),"NA",IF(ROUND(SUM(I$82:I97),3)&gt;=ROUND(I$68,3),0,I$68/I$71))</f>
        <v>0</v>
      </c>
      <c r="J98" s="61">
        <f>IF(ISERROR(IF(ROUND(SUM(J$82:J97),3)&gt;=ROUND(J$68,3),0,J$68/J$71)),"NA",IF(ROUND(SUM(J$82:J97),3)&gt;=ROUND(J$68,3),0,J$68/J$71))</f>
        <v>0</v>
      </c>
      <c r="K98" s="61">
        <f>IF(ISERROR(IF(ROUND(SUM(K$82:K97),3)&gt;=ROUND(K$68,3),0,K$68/K$71)),"NA",IF(ROUND(SUM(K$82:K97),3)&gt;=ROUND(K$68,3),0,K$68/K$71))</f>
        <v>0</v>
      </c>
      <c r="L98" s="61">
        <f>IF(ISERROR(IF(ROUND(SUM(L$82:L97),3)&gt;=ROUND(L$68,3),0,L$68/L$71)),"NA",IF(ROUND(SUM(L$82:L97),3)&gt;=ROUND(L$68,3),0,L$68/L$71))</f>
        <v>0</v>
      </c>
      <c r="M98" s="61">
        <f>IF(ISERROR(IF(ROUND(SUM(M$82:M97),3)&gt;=ROUND(M$68,3),0,M$68/M$71)),"NA",IF(ROUND(SUM(M$82:M97),3)&gt;=ROUND(M$68,3),0,M$68/M$71))</f>
        <v>0</v>
      </c>
      <c r="N98" s="61">
        <f>IF(ISERROR(IF(ROUND(SUM(N$82:N97),3)&gt;=ROUND(N$68,3),0,N$68/N$71)),"NA",IF(ROUND(SUM(N$82:N97),3)&gt;=ROUND(N$68,3),0,N$68/N$71))</f>
        <v>0</v>
      </c>
      <c r="O98" s="61">
        <f>IF(ISERROR(IF(ROUND(SUM(O$82:O97),3)&gt;=ROUND(O$68,3),0,O$68/O$71)),"NA",IF(ROUND(SUM(O$82:O97),3)&gt;=ROUND(O$68,3),0,O$68/O$71))</f>
        <v>0</v>
      </c>
      <c r="P98" s="61">
        <f>IF(ISERROR(IF(ROUND(SUM(P$82:P97),3)&gt;=ROUND(P$68,3),0,P$68/P$71)),"NA",IF(ROUND(SUM(P$82:P97),3)&gt;=ROUND(P$68,3),0,P$68/P$71))</f>
        <v>0</v>
      </c>
      <c r="Q98" s="60">
        <f t="shared" si="43"/>
        <v>0</v>
      </c>
      <c r="R98" s="60">
        <f t="shared" si="43"/>
        <v>0</v>
      </c>
      <c r="S98" s="60">
        <f t="shared" si="43"/>
        <v>0</v>
      </c>
      <c r="T98" s="60">
        <f t="shared" si="43"/>
        <v>0</v>
      </c>
      <c r="U98" s="60">
        <f t="shared" si="43"/>
        <v>0</v>
      </c>
      <c r="V98" s="60">
        <f t="shared" si="43"/>
        <v>0</v>
      </c>
      <c r="W98" s="60">
        <f t="shared" si="43"/>
        <v>0</v>
      </c>
      <c r="X98" s="1880"/>
      <c r="Y98" s="1880"/>
      <c r="Z98" s="1880"/>
      <c r="AG98" s="1880"/>
      <c r="AH98" s="1880"/>
      <c r="AI98" s="1880"/>
      <c r="AJ98" s="1881"/>
    </row>
    <row r="99" spans="1:36" outlineLevel="1">
      <c r="A99" s="1875"/>
      <c r="B99" s="33"/>
      <c r="C99" s="1876" t="s">
        <v>842</v>
      </c>
      <c r="D99" s="1876"/>
      <c r="E99" s="1876"/>
      <c r="F99" s="1876"/>
      <c r="G99" s="1876"/>
      <c r="H99" s="61">
        <f>IF(ISERROR(IF(ROUND(SUM(H$82:H98),3)&gt;=ROUND(H$68,3),0,H$68/H$71)),"NA",IF(ROUND(SUM(H$82:H98),3)&gt;=ROUND(H$68,3),0,H$68/H$71))</f>
        <v>0</v>
      </c>
      <c r="I99" s="61">
        <f>IF(ISERROR(IF(ROUND(SUM(I$82:I98),3)&gt;=ROUND(I$68,3),0,I$68/I$71)),"NA",IF(ROUND(SUM(I$82:I98),3)&gt;=ROUND(I$68,3),0,I$68/I$71))</f>
        <v>0</v>
      </c>
      <c r="J99" s="61">
        <f>IF(ISERROR(IF(ROUND(SUM(J$82:J98),3)&gt;=ROUND(J$68,3),0,J$68/J$71)),"NA",IF(ROUND(SUM(J$82:J98),3)&gt;=ROUND(J$68,3),0,J$68/J$71))</f>
        <v>0</v>
      </c>
      <c r="K99" s="61">
        <f>IF(ISERROR(IF(ROUND(SUM(K$82:K98),3)&gt;=ROUND(K$68,3),0,K$68/K$71)),"NA",IF(ROUND(SUM(K$82:K98),3)&gt;=ROUND(K$68,3),0,K$68/K$71))</f>
        <v>0</v>
      </c>
      <c r="L99" s="61">
        <f>IF(ISERROR(IF(ROUND(SUM(L$82:L98),3)&gt;=ROUND(L$68,3),0,L$68/L$71)),"NA",IF(ROUND(SUM(L$82:L98),3)&gt;=ROUND(L$68,3),0,L$68/L$71))</f>
        <v>0</v>
      </c>
      <c r="M99" s="61">
        <f>IF(ISERROR(IF(ROUND(SUM(M$82:M98),3)&gt;=ROUND(M$68,3),0,M$68/M$71)),"NA",IF(ROUND(SUM(M$82:M98),3)&gt;=ROUND(M$68,3),0,M$68/M$71))</f>
        <v>0</v>
      </c>
      <c r="N99" s="61">
        <f>IF(ISERROR(IF(ROUND(SUM(N$82:N98),3)&gt;=ROUND(N$68,3),0,N$68/N$71)),"NA",IF(ROUND(SUM(N$82:N98),3)&gt;=ROUND(N$68,3),0,N$68/N$71))</f>
        <v>0</v>
      </c>
      <c r="O99" s="61">
        <f>IF(ISERROR(IF(ROUND(SUM(O$82:O98),3)&gt;=ROUND(O$68,3),0,O$68/O$71)),"NA",IF(ROUND(SUM(O$82:O98),3)&gt;=ROUND(O$68,3),0,O$68/O$71))</f>
        <v>0</v>
      </c>
      <c r="P99" s="61">
        <f>IF(ISERROR(IF(ROUND(SUM(P$82:P98),3)&gt;=ROUND(P$68,3),0,P$68/P$71)),"NA",IF(ROUND(SUM(P$82:P98),3)&gt;=ROUND(P$68,3),0,P$68/P$71))</f>
        <v>0</v>
      </c>
      <c r="Q99" s="60">
        <f t="shared" si="43"/>
        <v>0</v>
      </c>
      <c r="R99" s="60">
        <f t="shared" si="43"/>
        <v>0</v>
      </c>
      <c r="S99" s="60">
        <f t="shared" si="43"/>
        <v>0</v>
      </c>
      <c r="T99" s="60">
        <f t="shared" si="43"/>
        <v>0</v>
      </c>
      <c r="U99" s="60">
        <f t="shared" si="43"/>
        <v>0</v>
      </c>
      <c r="V99" s="60">
        <f t="shared" si="43"/>
        <v>0</v>
      </c>
      <c r="W99" s="60">
        <f t="shared" si="43"/>
        <v>0</v>
      </c>
      <c r="X99" s="1880"/>
      <c r="Y99" s="1880"/>
      <c r="Z99" s="1880"/>
      <c r="AG99" s="1880"/>
      <c r="AH99" s="1880"/>
      <c r="AI99" s="1880"/>
      <c r="AJ99" s="1881"/>
    </row>
    <row r="100" spans="1:36" outlineLevel="1">
      <c r="A100" s="1875"/>
      <c r="B100" s="33"/>
      <c r="C100" s="1876" t="s">
        <v>843</v>
      </c>
      <c r="D100" s="1876"/>
      <c r="E100" s="1876"/>
      <c r="F100" s="1876"/>
      <c r="G100" s="1876"/>
      <c r="H100" s="61">
        <f>IF(ISERROR(IF(ROUND(SUM(H$82:H99),3)&gt;=ROUND(H$68,3),0,H$68/H$71)),"NA",IF(ROUND(SUM(H$82:H99),3)&gt;=ROUND(H$68,3),0,H$68/H$71))</f>
        <v>0</v>
      </c>
      <c r="I100" s="61">
        <f>IF(ISERROR(IF(ROUND(SUM(I$82:I99),3)&gt;=ROUND(I$68,3),0,I$68/I$71)),"NA",IF(ROUND(SUM(I$82:I99),3)&gt;=ROUND(I$68,3),0,I$68/I$71))</f>
        <v>0</v>
      </c>
      <c r="J100" s="61">
        <f>IF(ISERROR(IF(ROUND(SUM(J$82:J99),3)&gt;=ROUND(J$68,3),0,J$68/J$71)),"NA",IF(ROUND(SUM(J$82:J99),3)&gt;=ROUND(J$68,3),0,J$68/J$71))</f>
        <v>0</v>
      </c>
      <c r="K100" s="61">
        <f>IF(ISERROR(IF(ROUND(SUM(K$82:K99),3)&gt;=ROUND(K$68,3),0,K$68/K$71)),"NA",IF(ROUND(SUM(K$82:K99),3)&gt;=ROUND(K$68,3),0,K$68/K$71))</f>
        <v>0</v>
      </c>
      <c r="L100" s="61">
        <f>IF(ISERROR(IF(ROUND(SUM(L$82:L99),3)&gt;=ROUND(L$68,3),0,L$68/L$71)),"NA",IF(ROUND(SUM(L$82:L99),3)&gt;=ROUND(L$68,3),0,L$68/L$71))</f>
        <v>0</v>
      </c>
      <c r="M100" s="61">
        <f>IF(ISERROR(IF(ROUND(SUM(M$82:M99),3)&gt;=ROUND(M$68,3),0,M$68/M$71)),"NA",IF(ROUND(SUM(M$82:M99),3)&gt;=ROUND(M$68,3),0,M$68/M$71))</f>
        <v>0</v>
      </c>
      <c r="N100" s="61">
        <f>IF(ISERROR(IF(ROUND(SUM(N$82:N99),3)&gt;=ROUND(N$68,3),0,N$68/N$71)),"NA",IF(ROUND(SUM(N$82:N99),3)&gt;=ROUND(N$68,3),0,N$68/N$71))</f>
        <v>0</v>
      </c>
      <c r="O100" s="61">
        <f>IF(ISERROR(IF(ROUND(SUM(O$82:O99),3)&gt;=ROUND(O$68,3),0,O$68/O$71)),"NA",IF(ROUND(SUM(O$82:O99),3)&gt;=ROUND(O$68,3),0,O$68/O$71))</f>
        <v>0</v>
      </c>
      <c r="P100" s="61">
        <f>IF(ISERROR(IF(ROUND(SUM(P$82:P99),3)&gt;=ROUND(P$68,3),0,P$68/P$71)),"NA",IF(ROUND(SUM(P$82:P99),3)&gt;=ROUND(P$68,3),0,P$68/P$71))</f>
        <v>0</v>
      </c>
      <c r="Q100" s="60">
        <f t="shared" si="43"/>
        <v>0</v>
      </c>
      <c r="R100" s="60">
        <f t="shared" si="43"/>
        <v>0</v>
      </c>
      <c r="S100" s="60">
        <f t="shared" si="43"/>
        <v>0</v>
      </c>
      <c r="T100" s="60">
        <f t="shared" si="43"/>
        <v>0</v>
      </c>
      <c r="U100" s="60">
        <f t="shared" si="43"/>
        <v>0</v>
      </c>
      <c r="V100" s="60">
        <f t="shared" si="43"/>
        <v>0</v>
      </c>
      <c r="W100" s="60">
        <f t="shared" si="43"/>
        <v>0</v>
      </c>
      <c r="X100" s="1880"/>
      <c r="Y100" s="1880"/>
      <c r="Z100" s="1880"/>
      <c r="AG100" s="1880"/>
      <c r="AH100" s="1880"/>
      <c r="AI100" s="1880"/>
      <c r="AJ100" s="1881"/>
    </row>
    <row r="101" spans="1:36" outlineLevel="1">
      <c r="A101" s="1875"/>
      <c r="B101" s="33"/>
      <c r="C101" s="1876" t="s">
        <v>844</v>
      </c>
      <c r="D101" s="1876"/>
      <c r="E101" s="1876"/>
      <c r="F101" s="1876"/>
      <c r="G101" s="1876"/>
      <c r="H101" s="61">
        <f>IF(ISERROR(IF(ROUND(SUM(H$82:H100),3)&gt;=ROUND(H$68,3),0,H$68/H$71)),"NA",IF(ROUND(SUM(H$82:H100),3)&gt;=ROUND(H$68,3),0,H$68/H$71))</f>
        <v>0</v>
      </c>
      <c r="I101" s="61">
        <f>IF(ISERROR(IF(ROUND(SUM(I$82:I100),3)&gt;=ROUND(I$68,3),0,I$68/I$71)),"NA",IF(ROUND(SUM(I$82:I100),3)&gt;=ROUND(I$68,3),0,I$68/I$71))</f>
        <v>0</v>
      </c>
      <c r="J101" s="61">
        <f>IF(ISERROR(IF(ROUND(SUM(J$82:J100),3)&gt;=ROUND(J$68,3),0,J$68/J$71)),"NA",IF(ROUND(SUM(J$82:J100),3)&gt;=ROUND(J$68,3),0,J$68/J$71))</f>
        <v>0</v>
      </c>
      <c r="K101" s="61">
        <f>IF(ISERROR(IF(ROUND(SUM(K$82:K100),3)&gt;=ROUND(K$68,3),0,K$68/K$71)),"NA",IF(ROUND(SUM(K$82:K100),3)&gt;=ROUND(K$68,3),0,K$68/K$71))</f>
        <v>0</v>
      </c>
      <c r="L101" s="61">
        <f>IF(ISERROR(IF(ROUND(SUM(L$82:L100),3)&gt;=ROUND(L$68,3),0,L$68/L$71)),"NA",IF(ROUND(SUM(L$82:L100),3)&gt;=ROUND(L$68,3),0,L$68/L$71))</f>
        <v>0</v>
      </c>
      <c r="M101" s="61">
        <f>IF(ISERROR(IF(ROUND(SUM(M$82:M100),3)&gt;=ROUND(M$68,3),0,M$68/M$71)),"NA",IF(ROUND(SUM(M$82:M100),3)&gt;=ROUND(M$68,3),0,M$68/M$71))</f>
        <v>0</v>
      </c>
      <c r="N101" s="61">
        <f>IF(ISERROR(IF(ROUND(SUM(N$82:N100),3)&gt;=ROUND(N$68,3),0,N$68/N$71)),"NA",IF(ROUND(SUM(N$82:N100),3)&gt;=ROUND(N$68,3),0,N$68/N$71))</f>
        <v>0</v>
      </c>
      <c r="O101" s="61">
        <f>IF(ISERROR(IF(ROUND(SUM(O$82:O100),3)&gt;=ROUND(O$68,3),0,O$68/O$71)),"NA",IF(ROUND(SUM(O$82:O100),3)&gt;=ROUND(O$68,3),0,O$68/O$71))</f>
        <v>0</v>
      </c>
      <c r="P101" s="61">
        <f>IF(ISERROR(IF(ROUND(SUM(P$82:P100),3)&gt;=ROUND(P$68,3),0,P$68/P$71)),"NA",IF(ROUND(SUM(P$82:P100),3)&gt;=ROUND(P$68,3),0,P$68/P$71))</f>
        <v>0</v>
      </c>
      <c r="Q101" s="60">
        <f t="shared" si="43"/>
        <v>0</v>
      </c>
      <c r="R101" s="60">
        <f t="shared" si="43"/>
        <v>0</v>
      </c>
      <c r="S101" s="60">
        <f t="shared" si="43"/>
        <v>0</v>
      </c>
      <c r="T101" s="60">
        <f t="shared" si="43"/>
        <v>0</v>
      </c>
      <c r="U101" s="60">
        <f t="shared" si="43"/>
        <v>0</v>
      </c>
      <c r="V101" s="60">
        <f t="shared" si="43"/>
        <v>0</v>
      </c>
      <c r="W101" s="60">
        <f t="shared" si="43"/>
        <v>0</v>
      </c>
      <c r="X101" s="1880"/>
      <c r="Y101" s="1880"/>
      <c r="Z101" s="1880"/>
      <c r="AG101" s="1880"/>
      <c r="AH101" s="1880"/>
      <c r="AI101" s="1880"/>
      <c r="AJ101" s="1881"/>
    </row>
    <row r="102" spans="1:36" outlineLevel="1">
      <c r="A102" s="1875"/>
      <c r="B102" s="33"/>
      <c r="C102" s="1876" t="s">
        <v>845</v>
      </c>
      <c r="D102" s="1876"/>
      <c r="E102" s="1876"/>
      <c r="F102" s="1876"/>
      <c r="G102" s="1876"/>
      <c r="H102" s="61">
        <f>IF(ISERROR(IF(ROUND(SUM(H$82:H101),3)&gt;=ROUND(H$68,3),0,H$68/H$71)),"NA",IF(ROUND(SUM(H$82:H101),3)&gt;=ROUND(H$68,3),0,H$68/H$71))</f>
        <v>0</v>
      </c>
      <c r="I102" s="61">
        <f>IF(ISERROR(IF(ROUND(SUM(I$82:I101),3)&gt;=ROUND(I$68,3),0,I$68/I$71)),"NA",IF(ROUND(SUM(I$82:I101),3)&gt;=ROUND(I$68,3),0,I$68/I$71))</f>
        <v>0</v>
      </c>
      <c r="J102" s="61">
        <f>IF(ISERROR(IF(ROUND(SUM(J$82:J101),3)&gt;=ROUND(J$68,3),0,J$68/J$71)),"NA",IF(ROUND(SUM(J$82:J101),3)&gt;=ROUND(J$68,3),0,J$68/J$71))</f>
        <v>0</v>
      </c>
      <c r="K102" s="61">
        <f>IF(ISERROR(IF(ROUND(SUM(K$82:K101),3)&gt;=ROUND(K$68,3),0,K$68/K$71)),"NA",IF(ROUND(SUM(K$82:K101),3)&gt;=ROUND(K$68,3),0,K$68/K$71))</f>
        <v>0</v>
      </c>
      <c r="L102" s="61">
        <f>IF(ISERROR(IF(ROUND(SUM(L$82:L101),3)&gt;=ROUND(L$68,3),0,L$68/L$71)),"NA",IF(ROUND(SUM(L$82:L101),3)&gt;=ROUND(L$68,3),0,L$68/L$71))</f>
        <v>0</v>
      </c>
      <c r="M102" s="61">
        <f>IF(ISERROR(IF(ROUND(SUM(M$82:M101),3)&gt;=ROUND(M$68,3),0,M$68/M$71)),"NA",IF(ROUND(SUM(M$82:M101),3)&gt;=ROUND(M$68,3),0,M$68/M$71))</f>
        <v>0</v>
      </c>
      <c r="N102" s="61">
        <f>IF(ISERROR(IF(ROUND(SUM(N$82:N101),3)&gt;=ROUND(N$68,3),0,N$68/N$71)),"NA",IF(ROUND(SUM(N$82:N101),3)&gt;=ROUND(N$68,3),0,N$68/N$71))</f>
        <v>0</v>
      </c>
      <c r="O102" s="61">
        <f>IF(ISERROR(IF(ROUND(SUM(O$82:O101),3)&gt;=ROUND(O$68,3),0,O$68/O$71)),"NA",IF(ROUND(SUM(O$82:O101),3)&gt;=ROUND(O$68,3),0,O$68/O$71))</f>
        <v>0</v>
      </c>
      <c r="P102" s="61">
        <f>IF(ISERROR(IF(ROUND(SUM(P$82:P101),3)&gt;=ROUND(P$68,3),0,P$68/P$71)),"NA",IF(ROUND(SUM(P$82:P101),3)&gt;=ROUND(P$68,3),0,P$68/P$71))</f>
        <v>0</v>
      </c>
      <c r="Q102" s="60">
        <f t="shared" si="43"/>
        <v>0</v>
      </c>
      <c r="R102" s="60">
        <f t="shared" si="43"/>
        <v>0</v>
      </c>
      <c r="S102" s="60">
        <f t="shared" si="43"/>
        <v>0</v>
      </c>
      <c r="T102" s="60">
        <f t="shared" si="43"/>
        <v>0</v>
      </c>
      <c r="U102" s="60">
        <f t="shared" si="43"/>
        <v>0</v>
      </c>
      <c r="V102" s="60">
        <f t="shared" si="43"/>
        <v>0</v>
      </c>
      <c r="W102" s="60">
        <f t="shared" si="43"/>
        <v>0</v>
      </c>
      <c r="X102" s="1880"/>
      <c r="Y102" s="1880"/>
      <c r="Z102" s="1880"/>
      <c r="AG102" s="1880"/>
      <c r="AH102" s="1880"/>
      <c r="AI102" s="1880"/>
      <c r="AJ102" s="1881"/>
    </row>
    <row r="103" spans="1:36" outlineLevel="1">
      <c r="A103" s="1875"/>
      <c r="B103" s="33"/>
      <c r="C103" s="1876" t="s">
        <v>372</v>
      </c>
      <c r="D103" s="1876"/>
      <c r="E103" s="1876"/>
      <c r="F103" s="1876"/>
      <c r="G103" s="1876"/>
      <c r="H103" s="61">
        <f>IF(ISERROR(IF(ROUND(SUM(H$82:H102),3)&gt;=ROUND(H$68,3),0,H$68/H$71)),"NA",IF(ROUND(SUM(H$82:H102),3)&gt;=ROUND(H$68,3),0,H$68/H$71))</f>
        <v>0</v>
      </c>
      <c r="I103" s="61">
        <f>IF(ISERROR(IF(ROUND(SUM(I$82:I102),3)&gt;=ROUND(I$68,3),0,I$68/I$71)),"NA",IF(ROUND(SUM(I$82:I102),3)&gt;=ROUND(I$68,3),0,I$68/I$71))</f>
        <v>0</v>
      </c>
      <c r="J103" s="61">
        <f>IF(ISERROR(IF(ROUND(SUM(J$82:J102),3)&gt;=ROUND(J$68,3),0,J$68/J$71)),"NA",IF(ROUND(SUM(J$82:J102),3)&gt;=ROUND(J$68,3),0,J$68/J$71))</f>
        <v>0</v>
      </c>
      <c r="K103" s="61">
        <f>IF(ISERROR(IF(ROUND(SUM(K$82:K102),3)&gt;=ROUND(K$68,3),0,K$68/K$71)),"NA",IF(ROUND(SUM(K$82:K102),3)&gt;=ROUND(K$68,3),0,K$68/K$71))</f>
        <v>0</v>
      </c>
      <c r="L103" s="61">
        <f>IF(ISERROR(IF(ROUND(SUM(L$82:L102),3)&gt;=ROUND(L$68,3),0,L$68/L$71)),"NA",IF(ROUND(SUM(L$82:L102),3)&gt;=ROUND(L$68,3),0,L$68/L$71))</f>
        <v>0</v>
      </c>
      <c r="M103" s="61">
        <f>IF(ISERROR(IF(ROUND(SUM(M$82:M102),3)&gt;=ROUND(M$68,3),0,M$68/M$71)),"NA",IF(ROUND(SUM(M$82:M102),3)&gt;=ROUND(M$68,3),0,M$68/M$71))</f>
        <v>0</v>
      </c>
      <c r="N103" s="61">
        <f>IF(ISERROR(IF(ROUND(SUM(N$82:N102),3)&gt;=ROUND(N$68,3),0,N$68/N$71)),"NA",IF(ROUND(SUM(N$82:N102),3)&gt;=ROUND(N$68,3),0,N$68/N$71))</f>
        <v>0</v>
      </c>
      <c r="O103" s="61">
        <f>IF(ISERROR(IF(ROUND(SUM(O$82:O102),3)&gt;=ROUND(O$68,3),0,O$68/O$71)),"NA",IF(ROUND(SUM(O$82:O102),3)&gt;=ROUND(O$68,3),0,O$68/O$71))</f>
        <v>0</v>
      </c>
      <c r="P103" s="61">
        <f>IF(ISERROR(IF(ROUND(SUM(P$82:P102),3)&gt;=ROUND(P$68,3),0,P$68/P$71)),"NA",IF(ROUND(SUM(P$82:P102),3)&gt;=ROUND(P$68,3),0,P$68/P$71))</f>
        <v>0</v>
      </c>
      <c r="Q103" s="60">
        <f t="shared" si="43"/>
        <v>0</v>
      </c>
      <c r="R103" s="60">
        <f t="shared" si="43"/>
        <v>0</v>
      </c>
      <c r="S103" s="60">
        <f t="shared" si="43"/>
        <v>0</v>
      </c>
      <c r="T103" s="60">
        <f t="shared" si="43"/>
        <v>0</v>
      </c>
      <c r="U103" s="60">
        <f t="shared" si="43"/>
        <v>0</v>
      </c>
      <c r="V103" s="60">
        <f t="shared" si="43"/>
        <v>0</v>
      </c>
      <c r="W103" s="60">
        <f t="shared" si="43"/>
        <v>0</v>
      </c>
      <c r="X103" s="1880"/>
      <c r="Y103" s="1880"/>
      <c r="Z103" s="1880"/>
      <c r="AG103" s="1880"/>
      <c r="AH103" s="1880"/>
      <c r="AI103" s="1880"/>
      <c r="AJ103" s="1881"/>
    </row>
    <row r="104" spans="1:36" outlineLevel="1">
      <c r="A104" s="1875"/>
      <c r="B104" s="33"/>
      <c r="C104" s="1876" t="s">
        <v>373</v>
      </c>
      <c r="D104" s="1876"/>
      <c r="E104" s="1876"/>
      <c r="F104" s="1876"/>
      <c r="G104" s="1876"/>
      <c r="H104" s="61">
        <f>IF(ISERROR(IF(ROUND(SUM(H$82:H103),3)&gt;=ROUND(H$68,3),0,H$68/H$71)),"NA",IF(ROUND(SUM(H$82:H103),3)&gt;=ROUND(H$68,3),0,H$68/H$71))</f>
        <v>0</v>
      </c>
      <c r="I104" s="61">
        <f>IF(ISERROR(IF(ROUND(SUM(I$82:I103),3)&gt;=ROUND(I$68,3),0,I$68/I$71)),"NA",IF(ROUND(SUM(I$82:I103),3)&gt;=ROUND(I$68,3),0,I$68/I$71))</f>
        <v>0</v>
      </c>
      <c r="J104" s="61">
        <f>IF(ISERROR(IF(ROUND(SUM(J$82:J103),3)&gt;=ROUND(J$68,3),0,J$68/J$71)),"NA",IF(ROUND(SUM(J$82:J103),3)&gt;=ROUND(J$68,3),0,J$68/J$71))</f>
        <v>0</v>
      </c>
      <c r="K104" s="61">
        <f>IF(ISERROR(IF(ROUND(SUM(K$82:K103),3)&gt;=ROUND(K$68,3),0,K$68/K$71)),"NA",IF(ROUND(SUM(K$82:K103),3)&gt;=ROUND(K$68,3),0,K$68/K$71))</f>
        <v>0</v>
      </c>
      <c r="L104" s="61">
        <f>IF(ISERROR(IF(ROUND(SUM(L$82:L103),3)&gt;=ROUND(L$68,3),0,L$68/L$71)),"NA",IF(ROUND(SUM(L$82:L103),3)&gt;=ROUND(L$68,3),0,L$68/L$71))</f>
        <v>0</v>
      </c>
      <c r="M104" s="61">
        <f>IF(ISERROR(IF(ROUND(SUM(M$82:M103),3)&gt;=ROUND(M$68,3),0,M$68/M$71)),"NA",IF(ROUND(SUM(M$82:M103),3)&gt;=ROUND(M$68,3),0,M$68/M$71))</f>
        <v>0</v>
      </c>
      <c r="N104" s="61">
        <f>IF(ISERROR(IF(ROUND(SUM(N$82:N103),3)&gt;=ROUND(N$68,3),0,N$68/N$71)),"NA",IF(ROUND(SUM(N$82:N103),3)&gt;=ROUND(N$68,3),0,N$68/N$71))</f>
        <v>0</v>
      </c>
      <c r="O104" s="61">
        <f>IF(ISERROR(IF(ROUND(SUM(O$82:O103),3)&gt;=ROUND(O$68,3),0,O$68/O$71)),"NA",IF(ROUND(SUM(O$82:O103),3)&gt;=ROUND(O$68,3),0,O$68/O$71))</f>
        <v>0</v>
      </c>
      <c r="P104" s="61">
        <f>IF(ISERROR(IF(ROUND(SUM(P$82:P103),3)&gt;=ROUND(P$68,3),0,P$68/P$71)),"NA",IF(ROUND(SUM(P$82:P103),3)&gt;=ROUND(P$68,3),0,P$68/P$71))</f>
        <v>0</v>
      </c>
      <c r="Q104" s="60">
        <f t="shared" si="43"/>
        <v>0</v>
      </c>
      <c r="R104" s="60">
        <f t="shared" si="43"/>
        <v>0</v>
      </c>
      <c r="S104" s="60">
        <f t="shared" si="43"/>
        <v>0</v>
      </c>
      <c r="T104" s="60">
        <f t="shared" si="43"/>
        <v>0</v>
      </c>
      <c r="U104" s="60">
        <f t="shared" si="43"/>
        <v>0</v>
      </c>
      <c r="V104" s="60">
        <f t="shared" si="43"/>
        <v>0</v>
      </c>
      <c r="W104" s="60">
        <f t="shared" si="43"/>
        <v>0</v>
      </c>
      <c r="X104" s="1880"/>
      <c r="Y104" s="1880"/>
      <c r="Z104" s="1880"/>
      <c r="AG104" s="1880"/>
      <c r="AH104" s="1880"/>
      <c r="AI104" s="1880"/>
      <c r="AJ104" s="1881"/>
    </row>
    <row r="105" spans="1:36" outlineLevel="1">
      <c r="A105" s="1875"/>
      <c r="B105" s="33"/>
      <c r="C105" s="1876" t="s">
        <v>374</v>
      </c>
      <c r="D105" s="1876"/>
      <c r="E105" s="1876"/>
      <c r="F105" s="1876"/>
      <c r="G105" s="1876"/>
      <c r="H105" s="61">
        <f>IF(ISERROR(IF(ROUND(SUM(H$82:H104),3)&gt;=ROUND(H$68,3),0,H$68/H$71)),"NA",IF(ROUND(SUM(H$82:H104),3)&gt;=ROUND(H$68,3),0,H$68/H$71))</f>
        <v>0</v>
      </c>
      <c r="I105" s="61">
        <f>IF(ISERROR(IF(ROUND(SUM(I$82:I104),3)&gt;=ROUND(I$68,3),0,I$68/I$71)),"NA",IF(ROUND(SUM(I$82:I104),3)&gt;=ROUND(I$68,3),0,I$68/I$71))</f>
        <v>0</v>
      </c>
      <c r="J105" s="61">
        <f>IF(ISERROR(IF(ROUND(SUM(J$82:J104),3)&gt;=ROUND(J$68,3),0,J$68/J$71)),"NA",IF(ROUND(SUM(J$82:J104),3)&gt;=ROUND(J$68,3),0,J$68/J$71))</f>
        <v>0</v>
      </c>
      <c r="K105" s="61">
        <f>IF(ISERROR(IF(ROUND(SUM(K$82:K104),3)&gt;=ROUND(K$68,3),0,K$68/K$71)),"NA",IF(ROUND(SUM(K$82:K104),3)&gt;=ROUND(K$68,3),0,K$68/K$71))</f>
        <v>0</v>
      </c>
      <c r="L105" s="61">
        <f>IF(ISERROR(IF(ROUND(SUM(L$82:L104),3)&gt;=ROUND(L$68,3),0,L$68/L$71)),"NA",IF(ROUND(SUM(L$82:L104),3)&gt;=ROUND(L$68,3),0,L$68/L$71))</f>
        <v>0</v>
      </c>
      <c r="M105" s="61">
        <f>IF(ISERROR(IF(ROUND(SUM(M$82:M104),3)&gt;=ROUND(M$68,3),0,M$68/M$71)),"NA",IF(ROUND(SUM(M$82:M104),3)&gt;=ROUND(M$68,3),0,M$68/M$71))</f>
        <v>0</v>
      </c>
      <c r="N105" s="61">
        <f>IF(ISERROR(IF(ROUND(SUM(N$82:N104),3)&gt;=ROUND(N$68,3),0,N$68/N$71)),"NA",IF(ROUND(SUM(N$82:N104),3)&gt;=ROUND(N$68,3),0,N$68/N$71))</f>
        <v>0</v>
      </c>
      <c r="O105" s="61">
        <f>IF(ISERROR(IF(ROUND(SUM(O$82:O104),3)&gt;=ROUND(O$68,3),0,O$68/O$71)),"NA",IF(ROUND(SUM(O$82:O104),3)&gt;=ROUND(O$68,3),0,O$68/O$71))</f>
        <v>0</v>
      </c>
      <c r="P105" s="61">
        <f>IF(ISERROR(IF(ROUND(SUM(P$82:P104),3)&gt;=ROUND(P$68,3),0,P$68/P$71)),"NA",IF(ROUND(SUM(P$82:P104),3)&gt;=ROUND(P$68,3),0,P$68/P$71))</f>
        <v>0</v>
      </c>
      <c r="Q105" s="60">
        <f t="shared" si="43"/>
        <v>0</v>
      </c>
      <c r="R105" s="60">
        <f t="shared" si="43"/>
        <v>0</v>
      </c>
      <c r="S105" s="60">
        <f t="shared" si="43"/>
        <v>0</v>
      </c>
      <c r="T105" s="60">
        <f t="shared" si="43"/>
        <v>0</v>
      </c>
      <c r="U105" s="60">
        <f t="shared" si="43"/>
        <v>0</v>
      </c>
      <c r="V105" s="60">
        <f t="shared" si="43"/>
        <v>0</v>
      </c>
      <c r="W105" s="60">
        <f t="shared" si="43"/>
        <v>0</v>
      </c>
      <c r="X105" s="1880"/>
      <c r="Y105" s="1880"/>
      <c r="Z105" s="1880"/>
      <c r="AG105" s="1880"/>
      <c r="AH105" s="1880"/>
      <c r="AI105" s="1880"/>
      <c r="AJ105" s="1881"/>
    </row>
    <row r="106" spans="1:36" outlineLevel="1">
      <c r="A106" s="1875"/>
      <c r="B106" s="33"/>
      <c r="C106" s="1876" t="s">
        <v>375</v>
      </c>
      <c r="D106" s="1876"/>
      <c r="E106" s="1876"/>
      <c r="F106" s="1876"/>
      <c r="G106" s="1876"/>
      <c r="H106" s="61">
        <f>IF(ISERROR(IF(ROUND(SUM(H$82:H105),3)&gt;=ROUND(H$68,3),0,H$68/H$71)),"NA",IF(ROUND(SUM(H$82:H105),3)&gt;=ROUND(H$68,3),0,H$68/H$71))</f>
        <v>0</v>
      </c>
      <c r="I106" s="61">
        <f>IF(ISERROR(IF(ROUND(SUM(I$82:I105),3)&gt;=ROUND(I$68,3),0,I$68/I$71)),"NA",IF(ROUND(SUM(I$82:I105),3)&gt;=ROUND(I$68,3),0,I$68/I$71))</f>
        <v>0</v>
      </c>
      <c r="J106" s="61">
        <f>IF(ISERROR(IF(ROUND(SUM(J$82:J105),3)&gt;=ROUND(J$68,3),0,J$68/J$71)),"NA",IF(ROUND(SUM(J$82:J105),3)&gt;=ROUND(J$68,3),0,J$68/J$71))</f>
        <v>0</v>
      </c>
      <c r="K106" s="61">
        <f>IF(ISERROR(IF(ROUND(SUM(K$82:K105),3)&gt;=ROUND(K$68,3),0,K$68/K$71)),"NA",IF(ROUND(SUM(K$82:K105),3)&gt;=ROUND(K$68,3),0,K$68/K$71))</f>
        <v>0</v>
      </c>
      <c r="L106" s="61">
        <f>IF(ISERROR(IF(ROUND(SUM(L$82:L105),3)&gt;=ROUND(L$68,3),0,L$68/L$71)),"NA",IF(ROUND(SUM(L$82:L105),3)&gt;=ROUND(L$68,3),0,L$68/L$71))</f>
        <v>0</v>
      </c>
      <c r="M106" s="61">
        <f>IF(ISERROR(IF(ROUND(SUM(M$82:M105),3)&gt;=ROUND(M$68,3),0,M$68/M$71)),"NA",IF(ROUND(SUM(M$82:M105),3)&gt;=ROUND(M$68,3),0,M$68/M$71))</f>
        <v>0</v>
      </c>
      <c r="N106" s="61">
        <f>IF(ISERROR(IF(ROUND(SUM(N$82:N105),3)&gt;=ROUND(N$68,3),0,N$68/N$71)),"NA",IF(ROUND(SUM(N$82:N105),3)&gt;=ROUND(N$68,3),0,N$68/N$71))</f>
        <v>0</v>
      </c>
      <c r="O106" s="61">
        <f>IF(ISERROR(IF(ROUND(SUM(O$82:O105),3)&gt;=ROUND(O$68,3),0,O$68/O$71)),"NA",IF(ROUND(SUM(O$82:O105),3)&gt;=ROUND(O$68,3),0,O$68/O$71))</f>
        <v>0</v>
      </c>
      <c r="P106" s="61">
        <f>IF(ISERROR(IF(ROUND(SUM(P$82:P105),3)&gt;=ROUND(P$68,3),0,P$68/P$71)),"NA",IF(ROUND(SUM(P$82:P105),3)&gt;=ROUND(P$68,3),0,P$68/P$71))</f>
        <v>0</v>
      </c>
      <c r="Q106" s="60">
        <f t="shared" si="43"/>
        <v>0</v>
      </c>
      <c r="R106" s="60">
        <f t="shared" si="43"/>
        <v>0</v>
      </c>
      <c r="S106" s="60">
        <f t="shared" si="43"/>
        <v>0</v>
      </c>
      <c r="T106" s="60">
        <f t="shared" si="43"/>
        <v>0</v>
      </c>
      <c r="U106" s="60">
        <f t="shared" si="43"/>
        <v>0</v>
      </c>
      <c r="V106" s="60">
        <f t="shared" si="43"/>
        <v>0</v>
      </c>
      <c r="W106" s="60">
        <f t="shared" si="43"/>
        <v>0</v>
      </c>
      <c r="X106" s="1880"/>
      <c r="Y106" s="1880"/>
      <c r="Z106" s="1880"/>
      <c r="AG106" s="1880"/>
      <c r="AH106" s="1880"/>
      <c r="AI106" s="1880"/>
      <c r="AJ106" s="1881"/>
    </row>
    <row r="107" spans="1:36" ht="11.25" customHeight="1">
      <c r="A107" s="1875"/>
      <c r="B107" s="1887"/>
      <c r="C107" s="1888" t="s">
        <v>1752</v>
      </c>
      <c r="D107" s="1888"/>
      <c r="E107" s="1888"/>
      <c r="F107" s="1888"/>
      <c r="G107" s="1888"/>
      <c r="H107" s="1889"/>
      <c r="I107" s="1889"/>
      <c r="J107" s="1889"/>
      <c r="K107" s="1889"/>
      <c r="L107" s="1889"/>
      <c r="M107" s="1889"/>
      <c r="N107" s="1889"/>
      <c r="O107" s="1889"/>
      <c r="P107" s="1889"/>
      <c r="Q107" s="1880"/>
      <c r="R107" s="1880"/>
      <c r="S107" s="1880"/>
      <c r="T107" s="1880"/>
      <c r="U107" s="1880"/>
      <c r="V107" s="1880"/>
      <c r="W107" s="1880"/>
      <c r="X107" s="1880"/>
      <c r="Y107" s="1880"/>
      <c r="Z107" s="1880"/>
      <c r="AG107" s="1880"/>
      <c r="AH107" s="1880"/>
      <c r="AI107" s="1880"/>
      <c r="AJ107" s="1881"/>
    </row>
    <row r="108" spans="1:36" ht="11.25" customHeight="1">
      <c r="A108" s="1890"/>
      <c r="B108" s="1891"/>
      <c r="C108" s="1888"/>
      <c r="D108" s="1888"/>
      <c r="E108" s="1888"/>
      <c r="F108" s="1888"/>
      <c r="G108" s="1888"/>
      <c r="H108" s="1892"/>
      <c r="I108" s="1892"/>
      <c r="J108" s="1892"/>
      <c r="K108" s="1892"/>
      <c r="L108" s="1892"/>
      <c r="M108" s="1892"/>
      <c r="N108" s="1892"/>
      <c r="O108" s="1892"/>
      <c r="P108" s="1892"/>
      <c r="Q108" s="1892"/>
      <c r="R108" s="1892"/>
      <c r="S108" s="1892"/>
      <c r="T108" s="1892"/>
      <c r="U108" s="1892"/>
      <c r="V108" s="1892"/>
      <c r="W108" s="1892"/>
      <c r="X108" s="1892"/>
      <c r="Y108" s="1892"/>
      <c r="Z108" s="1892"/>
      <c r="AG108" s="1892"/>
      <c r="AH108" s="1892"/>
      <c r="AI108" s="1892"/>
      <c r="AJ108" s="1881"/>
    </row>
    <row r="109" spans="1:36" outlineLevel="1">
      <c r="A109" s="1875"/>
      <c r="B109" s="1887"/>
      <c r="C109" s="1893"/>
      <c r="D109" s="1893"/>
      <c r="E109" s="1893"/>
      <c r="F109" s="1893"/>
      <c r="G109" s="1893"/>
      <c r="H109" s="1894"/>
      <c r="I109" s="60"/>
      <c r="J109" s="60"/>
      <c r="K109" s="60"/>
      <c r="L109" s="60"/>
      <c r="M109" s="60"/>
      <c r="N109" s="60"/>
      <c r="O109" s="60"/>
      <c r="P109" s="60"/>
      <c r="Q109" s="60"/>
      <c r="R109" s="60"/>
      <c r="S109" s="60"/>
      <c r="T109" s="60"/>
      <c r="U109" s="60"/>
      <c r="V109" s="60"/>
      <c r="W109" s="60"/>
      <c r="X109" s="1880"/>
      <c r="Y109" s="1880"/>
      <c r="Z109" s="1880"/>
      <c r="AG109" s="1880"/>
      <c r="AH109" s="1880"/>
      <c r="AI109" s="1880"/>
      <c r="AJ109" s="1881"/>
    </row>
    <row r="110" spans="1:36" ht="12.75" customHeight="1" outlineLevel="1">
      <c r="A110" s="1875"/>
      <c r="B110" s="1895" t="s">
        <v>1753</v>
      </c>
      <c r="C110" s="69" t="s">
        <v>1754</v>
      </c>
      <c r="D110" s="69"/>
      <c r="E110" s="69"/>
      <c r="F110" s="69"/>
      <c r="G110" s="69"/>
      <c r="H110" s="1872">
        <f t="shared" ref="H110:W110" si="44">H74</f>
        <v>39844</v>
      </c>
      <c r="I110" s="1872">
        <f t="shared" si="44"/>
        <v>40209</v>
      </c>
      <c r="J110" s="1872">
        <f t="shared" si="44"/>
        <v>40574</v>
      </c>
      <c r="K110" s="1872">
        <f t="shared" si="44"/>
        <v>40939</v>
      </c>
      <c r="L110" s="1872">
        <f t="shared" si="44"/>
        <v>41305</v>
      </c>
      <c r="M110" s="1872">
        <f t="shared" si="44"/>
        <v>41670</v>
      </c>
      <c r="N110" s="1872">
        <f t="shared" si="44"/>
        <v>42035</v>
      </c>
      <c r="O110" s="1872">
        <f t="shared" si="44"/>
        <v>42400</v>
      </c>
      <c r="P110" s="1872">
        <f t="shared" si="44"/>
        <v>42766</v>
      </c>
      <c r="Q110" s="1872">
        <f t="shared" si="44"/>
        <v>43131</v>
      </c>
      <c r="R110" s="1872">
        <f t="shared" si="44"/>
        <v>43496</v>
      </c>
      <c r="S110" s="1872">
        <f t="shared" si="44"/>
        <v>43861</v>
      </c>
      <c r="T110" s="1872">
        <f t="shared" si="44"/>
        <v>44227</v>
      </c>
      <c r="U110" s="1872">
        <f t="shared" si="44"/>
        <v>44592</v>
      </c>
      <c r="V110" s="1872">
        <f t="shared" si="44"/>
        <v>44957</v>
      </c>
      <c r="W110" s="1872">
        <f t="shared" si="44"/>
        <v>45322</v>
      </c>
      <c r="X110" s="1880"/>
      <c r="Y110" s="1880"/>
      <c r="Z110" s="1880"/>
      <c r="AG110" s="1880"/>
      <c r="AH110" s="1880"/>
      <c r="AI110" s="1880"/>
      <c r="AJ110" s="1881"/>
    </row>
    <row r="111" spans="1:36" ht="12.75" customHeight="1" outlineLevel="1">
      <c r="A111" s="1875"/>
      <c r="B111" s="1895"/>
      <c r="C111" s="69"/>
      <c r="D111" s="69"/>
      <c r="E111" s="69"/>
      <c r="F111" s="69"/>
      <c r="G111" s="69"/>
      <c r="H111" s="1896"/>
      <c r="I111" s="1896"/>
      <c r="J111" s="1896"/>
      <c r="K111" s="1896"/>
      <c r="L111" s="1896"/>
      <c r="M111" s="1896"/>
      <c r="N111" s="1896"/>
      <c r="O111" s="1896"/>
      <c r="P111" s="1897"/>
      <c r="Q111" s="1897"/>
      <c r="R111" s="1897"/>
      <c r="S111" s="1897"/>
      <c r="T111" s="1897"/>
      <c r="U111" s="1897"/>
      <c r="V111" s="1897"/>
      <c r="W111" s="1897"/>
      <c r="X111" s="1880"/>
      <c r="Y111" s="1880"/>
      <c r="Z111" s="1880"/>
      <c r="AG111" s="1880"/>
      <c r="AH111" s="1880"/>
      <c r="AI111" s="1880"/>
      <c r="AJ111" s="1881"/>
    </row>
    <row r="112" spans="1:36" ht="11.25" customHeight="1" outlineLevel="1">
      <c r="A112" s="1875"/>
      <c r="B112" s="1898">
        <v>1</v>
      </c>
      <c r="C112" s="43" t="s">
        <v>1755</v>
      </c>
      <c r="D112" s="43"/>
      <c r="E112" s="43"/>
      <c r="F112" s="43"/>
      <c r="G112" s="43"/>
      <c r="H112" s="1899">
        <f t="shared" ref="H112:H141" si="45">IF(ISERROR(H76/(POWER((1+$H$44),B112))),"NA",H76/(POWER((1+$H$44),B112)))</f>
        <v>141.09141897370145</v>
      </c>
      <c r="I112" s="1899">
        <f t="shared" ref="I112:W127" si="46">IF(ISERROR((I76-H77)/(POWER((1+I$45),$B112))),"NA",(I76-H77)/(POWER((1+I$45),$B112)))</f>
        <v>35.283625735164172</v>
      </c>
      <c r="J112" s="1899">
        <f t="shared" si="46"/>
        <v>52.146929841914535</v>
      </c>
      <c r="K112" s="1899">
        <f t="shared" si="46"/>
        <v>59.922955993589319</v>
      </c>
      <c r="L112" s="1899">
        <f t="shared" si="46"/>
        <v>14.942955568495259</v>
      </c>
      <c r="M112" s="1899">
        <f t="shared" si="46"/>
        <v>20.239801598663895</v>
      </c>
      <c r="N112" s="1899">
        <f t="shared" si="46"/>
        <v>16.308242051598587</v>
      </c>
      <c r="O112" s="1899">
        <f t="shared" si="46"/>
        <v>6.7111068609593065</v>
      </c>
      <c r="P112" s="1899">
        <f>IF(ISERROR((P76-O77)/(POWER((1+P$45),$B112))),"NA",(P76-O77)/(POWER((1+P$45),$B112)))</f>
        <v>-16.369571984435819</v>
      </c>
      <c r="Q112" s="1899">
        <f t="shared" si="46"/>
        <v>-23.520490272373532</v>
      </c>
      <c r="R112" s="1899">
        <f t="shared" si="46"/>
        <v>-23.990900077821003</v>
      </c>
      <c r="S112" s="1899">
        <f t="shared" si="46"/>
        <v>-24.470718079377448</v>
      </c>
      <c r="T112" s="1899">
        <f t="shared" si="46"/>
        <v>-24.960132440965001</v>
      </c>
      <c r="U112" s="1899">
        <f t="shared" si="46"/>
        <v>-25.459335089784297</v>
      </c>
      <c r="V112" s="1899">
        <f t="shared" si="46"/>
        <v>-25.968521791580006</v>
      </c>
      <c r="W112" s="1899">
        <f t="shared" si="46"/>
        <v>-26.487892227411614</v>
      </c>
      <c r="X112" s="1880"/>
      <c r="Y112" s="1880"/>
      <c r="Z112" s="1880"/>
      <c r="AG112" s="1880"/>
      <c r="AH112" s="1880"/>
      <c r="AI112" s="1880"/>
      <c r="AJ112" s="1881"/>
    </row>
    <row r="113" spans="1:36" ht="11.25" customHeight="1" outlineLevel="1">
      <c r="A113" s="1900"/>
      <c r="B113" s="33">
        <v>2</v>
      </c>
      <c r="C113" s="43" t="str">
        <f t="shared" ref="C113:C141" si="47">"PV of Increase in forecast year "&amp;B112&amp;" lease commitments"</f>
        <v>PV of Increase in forecast year 1 lease commitments</v>
      </c>
      <c r="D113" s="43"/>
      <c r="E113" s="43"/>
      <c r="F113" s="43"/>
      <c r="G113" s="43"/>
      <c r="H113" s="1899">
        <f t="shared" si="45"/>
        <v>109.05837385689861</v>
      </c>
      <c r="I113" s="1899">
        <f t="shared" si="46"/>
        <v>18.989152203028912</v>
      </c>
      <c r="J113" s="1899">
        <f t="shared" si="46"/>
        <v>25.749135967990902</v>
      </c>
      <c r="K113" s="1899">
        <f t="shared" si="46"/>
        <v>34.811971097390639</v>
      </c>
      <c r="L113" s="1899">
        <f t="shared" si="46"/>
        <v>32.374984510538553</v>
      </c>
      <c r="M113" s="1899">
        <f t="shared" si="46"/>
        <v>19.980033883499541</v>
      </c>
      <c r="N113" s="1899">
        <f t="shared" si="46"/>
        <v>45.509785777463023</v>
      </c>
      <c r="O113" s="1899">
        <f t="shared" si="46"/>
        <v>56.584185539088018</v>
      </c>
      <c r="P113" s="1899">
        <f t="shared" si="46"/>
        <v>38.030367663812626</v>
      </c>
      <c r="Q113" s="1899">
        <f t="shared" si="46"/>
        <v>80.93961912141171</v>
      </c>
      <c r="R113" s="1899">
        <f t="shared" si="46"/>
        <v>82.558411503839935</v>
      </c>
      <c r="S113" s="1899">
        <f t="shared" si="46"/>
        <v>84.209579733916726</v>
      </c>
      <c r="T113" s="1899">
        <f t="shared" si="46"/>
        <v>85.893771328595079</v>
      </c>
      <c r="U113" s="1899">
        <f t="shared" si="46"/>
        <v>87.611646755166973</v>
      </c>
      <c r="V113" s="1899">
        <f t="shared" si="46"/>
        <v>89.363879690270309</v>
      </c>
      <c r="W113" s="1899">
        <f t="shared" si="46"/>
        <v>91.151157284075708</v>
      </c>
      <c r="X113" s="1901"/>
      <c r="Y113" s="1901"/>
      <c r="Z113" s="1901"/>
      <c r="AG113" s="1901"/>
      <c r="AH113" s="1901"/>
      <c r="AI113" s="1901"/>
      <c r="AJ113" s="1902"/>
    </row>
    <row r="114" spans="1:36" ht="11.25" customHeight="1" outlineLevel="1">
      <c r="A114" s="1900"/>
      <c r="B114" s="33">
        <v>3</v>
      </c>
      <c r="C114" s="43" t="str">
        <f t="shared" si="47"/>
        <v>PV of Increase in forecast year 2 lease commitments</v>
      </c>
      <c r="D114" s="43"/>
      <c r="E114" s="43"/>
      <c r="F114" s="43"/>
      <c r="G114" s="43"/>
      <c r="H114" s="1899">
        <f t="shared" si="45"/>
        <v>97.036400927062857</v>
      </c>
      <c r="I114" s="1899">
        <f t="shared" si="46"/>
        <v>19.199905090005657</v>
      </c>
      <c r="J114" s="1899">
        <f t="shared" si="46"/>
        <v>25.787530845208526</v>
      </c>
      <c r="K114" s="1899">
        <f t="shared" si="46"/>
        <v>33.715259774848256</v>
      </c>
      <c r="L114" s="1899">
        <f t="shared" si="46"/>
        <v>33.432960126766261</v>
      </c>
      <c r="M114" s="1899">
        <f t="shared" si="46"/>
        <v>15.785100131965395</v>
      </c>
      <c r="N114" s="1899">
        <f t="shared" si="46"/>
        <v>46.661970071579397</v>
      </c>
      <c r="O114" s="1899">
        <f t="shared" si="46"/>
        <v>88.356131200764239</v>
      </c>
      <c r="P114" s="1899">
        <f t="shared" si="46"/>
        <v>27.633391803876865</v>
      </c>
      <c r="Q114" s="1899">
        <f t="shared" si="46"/>
        <v>17.959072920919599</v>
      </c>
      <c r="R114" s="1899">
        <f t="shared" si="46"/>
        <v>18.318254379338008</v>
      </c>
      <c r="S114" s="1899">
        <f t="shared" si="46"/>
        <v>18.684619466924758</v>
      </c>
      <c r="T114" s="1899">
        <f t="shared" si="46"/>
        <v>19.058311856263259</v>
      </c>
      <c r="U114" s="1899">
        <f t="shared" si="46"/>
        <v>19.439478093388512</v>
      </c>
      <c r="V114" s="1899">
        <f t="shared" si="46"/>
        <v>19.828267655256283</v>
      </c>
      <c r="W114" s="1899">
        <f t="shared" si="46"/>
        <v>20.224833008361415</v>
      </c>
      <c r="X114" s="1901"/>
      <c r="Y114" s="1901"/>
      <c r="Z114" s="1901"/>
      <c r="AG114" s="1901"/>
      <c r="AH114" s="1901"/>
      <c r="AI114" s="1901"/>
      <c r="AJ114" s="1902"/>
    </row>
    <row r="115" spans="1:36" outlineLevel="1">
      <c r="A115" s="1900"/>
      <c r="B115" s="33">
        <v>4</v>
      </c>
      <c r="C115" s="43" t="str">
        <f t="shared" si="47"/>
        <v>PV of Increase in forecast year 3 lease commitments</v>
      </c>
      <c r="D115" s="43"/>
      <c r="E115" s="43"/>
      <c r="F115" s="43"/>
      <c r="G115" s="43"/>
      <c r="H115" s="1899">
        <f t="shared" si="45"/>
        <v>80.943432848228099</v>
      </c>
      <c r="I115" s="1899">
        <f t="shared" si="46"/>
        <v>14.512781493710785</v>
      </c>
      <c r="J115" s="1899">
        <f t="shared" si="46"/>
        <v>22.596591434028522</v>
      </c>
      <c r="K115" s="1899">
        <f t="shared" si="46"/>
        <v>31.478538994094627</v>
      </c>
      <c r="L115" s="1899">
        <f t="shared" si="46"/>
        <v>29.045208694726373</v>
      </c>
      <c r="M115" s="1899">
        <f t="shared" si="46"/>
        <v>10.509764188999604</v>
      </c>
      <c r="N115" s="1899">
        <f t="shared" si="46"/>
        <v>4.1891659304835551</v>
      </c>
      <c r="O115" s="1899">
        <f t="shared" si="46"/>
        <v>-12.072508979839313</v>
      </c>
      <c r="P115" s="1899">
        <f t="shared" si="46"/>
        <v>25.949161804339209</v>
      </c>
      <c r="Q115" s="1899">
        <f t="shared" si="46"/>
        <v>18.596059514410591</v>
      </c>
      <c r="R115" s="1899">
        <f t="shared" si="46"/>
        <v>18.967980704698807</v>
      </c>
      <c r="S115" s="1899">
        <f t="shared" si="46"/>
        <v>19.347340318792785</v>
      </c>
      <c r="T115" s="1899">
        <f t="shared" si="46"/>
        <v>19.734287125168635</v>
      </c>
      <c r="U115" s="1899">
        <f t="shared" si="46"/>
        <v>20.128972867672015</v>
      </c>
      <c r="V115" s="1899">
        <f t="shared" si="46"/>
        <v>20.531552325025451</v>
      </c>
      <c r="W115" s="1899">
        <f t="shared" si="46"/>
        <v>20.94218337152595</v>
      </c>
      <c r="X115" s="1901"/>
      <c r="Y115" s="1901"/>
      <c r="Z115" s="1901"/>
      <c r="AG115" s="1901"/>
      <c r="AH115" s="1901"/>
      <c r="AI115" s="1901"/>
      <c r="AJ115" s="1902"/>
    </row>
    <row r="116" spans="1:36" outlineLevel="1">
      <c r="A116" s="1875"/>
      <c r="B116" s="33">
        <v>5</v>
      </c>
      <c r="C116" s="43" t="str">
        <f t="shared" si="47"/>
        <v>PV of Increase in forecast year 4 lease commitments</v>
      </c>
      <c r="D116" s="43"/>
      <c r="E116" s="43"/>
      <c r="F116" s="43"/>
      <c r="G116" s="43"/>
      <c r="H116" s="1899">
        <f t="shared" si="45"/>
        <v>70.865839888603944</v>
      </c>
      <c r="I116" s="1899">
        <f t="shared" si="46"/>
        <v>11.318232763581616</v>
      </c>
      <c r="J116" s="1899">
        <f t="shared" si="46"/>
        <v>18.139213126072988</v>
      </c>
      <c r="K116" s="1899">
        <f t="shared" si="46"/>
        <v>20.833326327536245</v>
      </c>
      <c r="L116" s="1899">
        <f t="shared" si="46"/>
        <v>25.16770723509941</v>
      </c>
      <c r="M116" s="1899">
        <f t="shared" si="46"/>
        <v>7.4104707230455835</v>
      </c>
      <c r="N116" s="1899">
        <f t="shared" si="46"/>
        <v>53.632629141807264</v>
      </c>
      <c r="O116" s="1899">
        <f t="shared" si="46"/>
        <v>24.242325321782427</v>
      </c>
      <c r="P116" s="1899">
        <f t="shared" si="46"/>
        <v>22.027064886387219</v>
      </c>
      <c r="Q116" s="1899">
        <f t="shared" si="46"/>
        <v>18.872531944263752</v>
      </c>
      <c r="R116" s="1899">
        <f t="shared" si="46"/>
        <v>19.249982583149041</v>
      </c>
      <c r="S116" s="1899">
        <f t="shared" si="46"/>
        <v>19.634982234812036</v>
      </c>
      <c r="T116" s="1899">
        <f t="shared" si="46"/>
        <v>20.027681879508261</v>
      </c>
      <c r="U116" s="1899">
        <f t="shared" si="46"/>
        <v>20.428235517098422</v>
      </c>
      <c r="V116" s="1899">
        <f t="shared" si="46"/>
        <v>20.836800227440396</v>
      </c>
      <c r="W116" s="1899">
        <f t="shared" si="46"/>
        <v>21.253536231989209</v>
      </c>
      <c r="X116" s="1880"/>
      <c r="Y116" s="1880"/>
      <c r="Z116" s="1880"/>
      <c r="AG116" s="1880"/>
      <c r="AH116" s="1880"/>
      <c r="AI116" s="1880"/>
      <c r="AJ116" s="1881"/>
    </row>
    <row r="117" spans="1:36" outlineLevel="1">
      <c r="A117" s="1875"/>
      <c r="B117" s="33">
        <v>6</v>
      </c>
      <c r="C117" s="43" t="str">
        <f t="shared" si="47"/>
        <v>PV of Increase in forecast year 5 lease commitments</v>
      </c>
      <c r="D117" s="43"/>
      <c r="E117" s="43"/>
      <c r="F117" s="43"/>
      <c r="G117" s="43"/>
      <c r="H117" s="1899">
        <f t="shared" si="45"/>
        <v>59.300780076956066</v>
      </c>
      <c r="I117" s="1899">
        <f t="shared" si="46"/>
        <v>-8.1680809647919848</v>
      </c>
      <c r="J117" s="1899">
        <f t="shared" si="46"/>
        <v>4.5011041424662217</v>
      </c>
      <c r="K117" s="1899">
        <f t="shared" si="46"/>
        <v>-12.193583171361789</v>
      </c>
      <c r="L117" s="1899">
        <f t="shared" si="46"/>
        <v>-5.3069147689287393</v>
      </c>
      <c r="M117" s="1899">
        <f t="shared" si="46"/>
        <v>-16.462262449779196</v>
      </c>
      <c r="N117" s="1899">
        <f t="shared" si="46"/>
        <v>5.3414492458555589</v>
      </c>
      <c r="O117" s="1899">
        <f t="shared" si="46"/>
        <v>23.269630519544595</v>
      </c>
      <c r="P117" s="1899">
        <f t="shared" si="46"/>
        <v>22.440617414788949</v>
      </c>
      <c r="Q117" s="1899">
        <f t="shared" si="46"/>
        <v>30.808905266929376</v>
      </c>
      <c r="R117" s="1899">
        <f t="shared" si="46"/>
        <v>31.425083372267963</v>
      </c>
      <c r="S117" s="1899">
        <f t="shared" si="46"/>
        <v>32.053585039713326</v>
      </c>
      <c r="T117" s="1899">
        <f t="shared" si="46"/>
        <v>32.694656740507597</v>
      </c>
      <c r="U117" s="1899">
        <f t="shared" si="46"/>
        <v>33.348549875317737</v>
      </c>
      <c r="V117" s="1899">
        <f t="shared" si="46"/>
        <v>34.015520872824098</v>
      </c>
      <c r="W117" s="1899">
        <f t="shared" si="46"/>
        <v>34.695831290280594</v>
      </c>
      <c r="X117" s="1880"/>
      <c r="Y117" s="1880"/>
      <c r="Z117" s="1880"/>
      <c r="AG117" s="1880"/>
      <c r="AH117" s="1880"/>
      <c r="AI117" s="1880"/>
      <c r="AJ117" s="1881"/>
    </row>
    <row r="118" spans="1:36" outlineLevel="1">
      <c r="A118" s="1875"/>
      <c r="B118" s="33">
        <v>7</v>
      </c>
      <c r="C118" s="43" t="str">
        <f t="shared" si="47"/>
        <v>PV of Increase in forecast year 6 lease commitments</v>
      </c>
      <c r="D118" s="43"/>
      <c r="E118" s="43"/>
      <c r="F118" s="43"/>
      <c r="G118" s="43"/>
      <c r="H118" s="1899">
        <f t="shared" si="45"/>
        <v>69.985981190082313</v>
      </c>
      <c r="I118" s="1899">
        <f t="shared" si="46"/>
        <v>-1.9582900351749024</v>
      </c>
      <c r="J118" s="1899">
        <f t="shared" si="46"/>
        <v>19.551844508652938</v>
      </c>
      <c r="K118" s="1899">
        <f t="shared" si="46"/>
        <v>5.4198908140277435</v>
      </c>
      <c r="L118" s="1899">
        <f t="shared" si="46"/>
        <v>1.4170070144094691</v>
      </c>
      <c r="M118" s="1899">
        <f t="shared" si="46"/>
        <v>-13.652264942779805</v>
      </c>
      <c r="N118" s="1899">
        <f t="shared" si="46"/>
        <v>-5.1467899982650707</v>
      </c>
      <c r="O118" s="1899">
        <f t="shared" si="46"/>
        <v>6.1512877318574901</v>
      </c>
      <c r="P118" s="1899">
        <f t="shared" si="46"/>
        <v>-5.819900863471374</v>
      </c>
      <c r="Q118" s="1899">
        <f t="shared" si="46"/>
        <v>1.6448955250580863</v>
      </c>
      <c r="R118" s="1899">
        <f t="shared" si="46"/>
        <v>1.6777934355592505</v>
      </c>
      <c r="S118" s="1899">
        <f t="shared" si="46"/>
        <v>1.7113493042704386</v>
      </c>
      <c r="T118" s="1899">
        <f t="shared" si="46"/>
        <v>1.7455762903558507</v>
      </c>
      <c r="U118" s="1899">
        <f t="shared" si="46"/>
        <v>1.7804878161629598</v>
      </c>
      <c r="V118" s="1899">
        <f t="shared" si="46"/>
        <v>1.8160975724862198</v>
      </c>
      <c r="W118" s="1899">
        <f t="shared" si="46"/>
        <v>1.8524195239359476</v>
      </c>
      <c r="X118" s="1880"/>
      <c r="Y118" s="1880"/>
      <c r="Z118" s="1880"/>
      <c r="AG118" s="1880"/>
      <c r="AH118" s="1880"/>
      <c r="AI118" s="1880"/>
      <c r="AJ118" s="1881"/>
    </row>
    <row r="119" spans="1:36" outlineLevel="1">
      <c r="A119" s="1875"/>
      <c r="B119" s="33">
        <v>8</v>
      </c>
      <c r="C119" s="43" t="str">
        <f t="shared" si="47"/>
        <v>PV of Increase in forecast year 7 lease commitments</v>
      </c>
      <c r="D119" s="43"/>
      <c r="E119" s="43"/>
      <c r="F119" s="43"/>
      <c r="G119" s="43"/>
      <c r="H119" s="1899">
        <f t="shared" si="45"/>
        <v>66.719063475510069</v>
      </c>
      <c r="I119" s="1899">
        <f t="shared" si="46"/>
        <v>-1.8248837303439434</v>
      </c>
      <c r="J119" s="1899">
        <f t="shared" si="46"/>
        <v>18.108924440921218</v>
      </c>
      <c r="K119" s="1899">
        <f t="shared" si="46"/>
        <v>5.0704241602898135</v>
      </c>
      <c r="L119" s="1899">
        <f t="shared" si="46"/>
        <v>1.334737320761902</v>
      </c>
      <c r="M119" s="1899">
        <f t="shared" si="46"/>
        <v>-12.921165948761184</v>
      </c>
      <c r="N119" s="1899">
        <f t="shared" si="46"/>
        <v>-4.8722991281391668</v>
      </c>
      <c r="O119" s="1899">
        <f t="shared" si="46"/>
        <v>5.8898486661440561</v>
      </c>
      <c r="P119" s="1899">
        <f t="shared" si="46"/>
        <v>-5.5713032822733739</v>
      </c>
      <c r="Q119" s="1899">
        <f t="shared" si="46"/>
        <v>1.574633666918986</v>
      </c>
      <c r="R119" s="1899">
        <f t="shared" si="46"/>
        <v>1.606126340257368</v>
      </c>
      <c r="S119" s="1899">
        <f t="shared" si="46"/>
        <v>1.6382488670625182</v>
      </c>
      <c r="T119" s="1899">
        <f t="shared" si="46"/>
        <v>1.6710138444037717</v>
      </c>
      <c r="U119" s="1899">
        <f t="shared" si="46"/>
        <v>1.7044341212918395</v>
      </c>
      <c r="V119" s="1899">
        <f t="shared" si="46"/>
        <v>1.7385228037176772</v>
      </c>
      <c r="W119" s="1899">
        <f t="shared" si="46"/>
        <v>1.7732932597920339</v>
      </c>
      <c r="X119" s="1880"/>
      <c r="Y119" s="1880"/>
      <c r="Z119" s="1880"/>
      <c r="AG119" s="1880"/>
      <c r="AH119" s="1880"/>
      <c r="AI119" s="1880"/>
      <c r="AJ119" s="1881"/>
    </row>
    <row r="120" spans="1:36" outlineLevel="1">
      <c r="A120" s="1875"/>
      <c r="B120" s="33">
        <v>9</v>
      </c>
      <c r="C120" s="43" t="str">
        <f t="shared" si="47"/>
        <v>PV of Increase in forecast year 8 lease commitments</v>
      </c>
      <c r="D120" s="43"/>
      <c r="E120" s="43"/>
      <c r="F120" s="43"/>
      <c r="G120" s="43"/>
      <c r="H120" s="1899">
        <f t="shared" si="45"/>
        <v>63.604644178082253</v>
      </c>
      <c r="I120" s="1899">
        <f t="shared" si="46"/>
        <v>-1.7005655798971544</v>
      </c>
      <c r="J120" s="1899">
        <f t="shared" si="46"/>
        <v>16.772491427182867</v>
      </c>
      <c r="K120" s="1899">
        <f t="shared" si="46"/>
        <v>4.7434906066207443</v>
      </c>
      <c r="L120" s="1899">
        <f t="shared" si="46"/>
        <v>1.2572441048762923</v>
      </c>
      <c r="M120" s="1899">
        <f t="shared" si="46"/>
        <v>-12.229218387951283</v>
      </c>
      <c r="N120" s="1899">
        <f t="shared" si="46"/>
        <v>-4.6124475259468438</v>
      </c>
      <c r="O120" s="1899">
        <f t="shared" si="46"/>
        <v>5.6395211575647703</v>
      </c>
      <c r="P120" s="1899">
        <f t="shared" si="46"/>
        <v>-5.3333245687893234</v>
      </c>
      <c r="Q120" s="1899">
        <f t="shared" si="46"/>
        <v>1.5073730502775695</v>
      </c>
      <c r="R120" s="1899">
        <f t="shared" si="46"/>
        <v>1.5375205112831234</v>
      </c>
      <c r="S120" s="1899">
        <f t="shared" si="46"/>
        <v>1.5682709215087884</v>
      </c>
      <c r="T120" s="1899">
        <f t="shared" si="46"/>
        <v>1.5996363399389673</v>
      </c>
      <c r="U120" s="1899">
        <f t="shared" si="46"/>
        <v>1.6316290667377393</v>
      </c>
      <c r="V120" s="1899">
        <f t="shared" si="46"/>
        <v>1.664261648072495</v>
      </c>
      <c r="W120" s="1899">
        <f t="shared" si="46"/>
        <v>1.6975468810339478</v>
      </c>
      <c r="X120" s="1880"/>
      <c r="Y120" s="1880"/>
      <c r="Z120" s="1880"/>
      <c r="AG120" s="1880"/>
      <c r="AH120" s="1880"/>
      <c r="AI120" s="1880"/>
      <c r="AJ120" s="1881"/>
    </row>
    <row r="121" spans="1:36" outlineLevel="1">
      <c r="A121" s="1875"/>
      <c r="B121" s="33">
        <v>10</v>
      </c>
      <c r="C121" s="43" t="str">
        <f t="shared" si="47"/>
        <v>PV of Increase in forecast year 9 lease commitments</v>
      </c>
      <c r="D121" s="43"/>
      <c r="E121" s="43"/>
      <c r="F121" s="43"/>
      <c r="G121" s="43"/>
      <c r="H121" s="1899">
        <f t="shared" si="45"/>
        <v>60.635604732452727</v>
      </c>
      <c r="I121" s="1899">
        <f t="shared" si="46"/>
        <v>-1.5847164635447171</v>
      </c>
      <c r="J121" s="1899">
        <f t="shared" si="46"/>
        <v>15.534686755842026</v>
      </c>
      <c r="K121" s="1899">
        <f t="shared" si="46"/>
        <v>4.4376372515969464</v>
      </c>
      <c r="L121" s="1899">
        <f t="shared" si="46"/>
        <v>1.1842500502974678</v>
      </c>
      <c r="M121" s="1899">
        <f t="shared" si="46"/>
        <v>-11.574325643154847</v>
      </c>
      <c r="N121" s="1899">
        <f t="shared" si="46"/>
        <v>-4.366454443805547</v>
      </c>
      <c r="O121" s="1899">
        <f t="shared" si="46"/>
        <v>5.3998329480750709</v>
      </c>
      <c r="P121" s="1899">
        <f t="shared" si="46"/>
        <v>-5.1055111371436732</v>
      </c>
      <c r="Q121" s="1899">
        <f t="shared" si="46"/>
        <v>1.442985476837265</v>
      </c>
      <c r="R121" s="1899">
        <f t="shared" si="46"/>
        <v>1.4718451863740125</v>
      </c>
      <c r="S121" s="1899">
        <f t="shared" si="46"/>
        <v>1.5012820901014954</v>
      </c>
      <c r="T121" s="1899">
        <f t="shared" si="46"/>
        <v>1.5313077319035282</v>
      </c>
      <c r="U121" s="1899">
        <f t="shared" si="46"/>
        <v>1.5619338865415917</v>
      </c>
      <c r="V121" s="1899">
        <f t="shared" si="46"/>
        <v>1.5931725642724244</v>
      </c>
      <c r="W121" s="1899">
        <f t="shared" si="46"/>
        <v>1.6250360155578758</v>
      </c>
      <c r="X121" s="1880"/>
      <c r="Y121" s="1880"/>
      <c r="Z121" s="1880"/>
      <c r="AG121" s="1880"/>
      <c r="AH121" s="1880"/>
      <c r="AI121" s="1880"/>
      <c r="AJ121" s="1881"/>
    </row>
    <row r="122" spans="1:36" outlineLevel="1">
      <c r="A122" s="1875"/>
      <c r="B122" s="33">
        <v>11</v>
      </c>
      <c r="C122" s="43" t="str">
        <f t="shared" si="47"/>
        <v>PV of Increase in forecast year 10 lease commitments</v>
      </c>
      <c r="D122" s="43"/>
      <c r="E122" s="43"/>
      <c r="F122" s="43"/>
      <c r="G122" s="43"/>
      <c r="H122" s="1899">
        <f t="shared" si="45"/>
        <v>57.805158865069203</v>
      </c>
      <c r="I122" s="1899">
        <f t="shared" si="46"/>
        <v>43.530119036317657</v>
      </c>
      <c r="J122" s="1899">
        <f t="shared" si="46"/>
        <v>55.089126550761968</v>
      </c>
      <c r="K122" s="1899">
        <f t="shared" si="46"/>
        <v>65.655458718248241</v>
      </c>
      <c r="L122" s="1899">
        <f t="shared" si="46"/>
        <v>71.900519447313684</v>
      </c>
      <c r="M122" s="1899">
        <f t="shared" si="46"/>
        <v>64.822450859581807</v>
      </c>
      <c r="N122" s="1899">
        <f t="shared" si="46"/>
        <v>60.854084068335474</v>
      </c>
      <c r="O122" s="1899">
        <f t="shared" si="46"/>
        <v>74.136535541945491</v>
      </c>
      <c r="P122" s="1899">
        <f t="shared" si="46"/>
        <v>69.067411215155133</v>
      </c>
      <c r="Q122" s="1899">
        <f t="shared" si="46"/>
        <v>70.448759439458229</v>
      </c>
      <c r="R122" s="1899">
        <f t="shared" si="46"/>
        <v>71.8577346282474</v>
      </c>
      <c r="S122" s="1899">
        <f t="shared" si="46"/>
        <v>73.294889320812345</v>
      </c>
      <c r="T122" s="1899">
        <f t="shared" si="46"/>
        <v>74.760787107228609</v>
      </c>
      <c r="U122" s="1899">
        <f t="shared" si="46"/>
        <v>76.256002849373175</v>
      </c>
      <c r="V122" s="1899">
        <f t="shared" si="46"/>
        <v>77.781122906360636</v>
      </c>
      <c r="W122" s="1899">
        <f t="shared" si="46"/>
        <v>79.336745364487854</v>
      </c>
      <c r="X122" s="1880"/>
      <c r="Y122" s="1880"/>
      <c r="Z122" s="1880"/>
      <c r="AG122" s="1880"/>
      <c r="AH122" s="1880"/>
      <c r="AI122" s="1880"/>
      <c r="AJ122" s="1881"/>
    </row>
    <row r="123" spans="1:36" outlineLevel="1">
      <c r="A123" s="1875"/>
      <c r="B123" s="33">
        <v>12</v>
      </c>
      <c r="C123" s="43" t="str">
        <f t="shared" si="47"/>
        <v>PV of Increase in forecast year 11 lease commitments</v>
      </c>
      <c r="D123" s="43"/>
      <c r="E123" s="43"/>
      <c r="F123" s="43"/>
      <c r="G123" s="43"/>
      <c r="H123" s="1899">
        <f t="shared" si="45"/>
        <v>0</v>
      </c>
      <c r="I123" s="1899">
        <f t="shared" si="46"/>
        <v>0</v>
      </c>
      <c r="J123" s="1899">
        <f t="shared" si="46"/>
        <v>0</v>
      </c>
      <c r="K123" s="1899">
        <f t="shared" si="46"/>
        <v>0</v>
      </c>
      <c r="L123" s="1899">
        <f t="shared" si="46"/>
        <v>0</v>
      </c>
      <c r="M123" s="1899">
        <f t="shared" si="46"/>
        <v>0</v>
      </c>
      <c r="N123" s="1899">
        <f t="shared" si="46"/>
        <v>0</v>
      </c>
      <c r="O123" s="1899">
        <f t="shared" si="46"/>
        <v>0</v>
      </c>
      <c r="P123" s="1899">
        <f t="shared" si="46"/>
        <v>0</v>
      </c>
      <c r="Q123" s="1899">
        <f t="shared" si="46"/>
        <v>0</v>
      </c>
      <c r="R123" s="1899">
        <f t="shared" si="46"/>
        <v>0</v>
      </c>
      <c r="S123" s="1899">
        <f t="shared" si="46"/>
        <v>0</v>
      </c>
      <c r="T123" s="1899">
        <f t="shared" si="46"/>
        <v>0</v>
      </c>
      <c r="U123" s="1899">
        <f t="shared" si="46"/>
        <v>0</v>
      </c>
      <c r="V123" s="1899">
        <f t="shared" si="46"/>
        <v>0</v>
      </c>
      <c r="W123" s="1899">
        <f t="shared" si="46"/>
        <v>0</v>
      </c>
      <c r="X123" s="1880"/>
      <c r="Y123" s="1880"/>
      <c r="Z123" s="1880"/>
      <c r="AG123" s="1880"/>
      <c r="AH123" s="1880"/>
      <c r="AI123" s="1880"/>
      <c r="AJ123" s="1881"/>
    </row>
    <row r="124" spans="1:36" outlineLevel="1">
      <c r="A124" s="1875"/>
      <c r="B124" s="33">
        <v>13</v>
      </c>
      <c r="C124" s="43" t="str">
        <f t="shared" si="47"/>
        <v>PV of Increase in forecast year 12 lease commitments</v>
      </c>
      <c r="D124" s="43"/>
      <c r="E124" s="43"/>
      <c r="F124" s="43"/>
      <c r="G124" s="43"/>
      <c r="H124" s="1899">
        <f t="shared" si="45"/>
        <v>0</v>
      </c>
      <c r="I124" s="1899">
        <f t="shared" si="46"/>
        <v>0</v>
      </c>
      <c r="J124" s="1899">
        <f t="shared" si="46"/>
        <v>0</v>
      </c>
      <c r="K124" s="1899">
        <f t="shared" si="46"/>
        <v>0</v>
      </c>
      <c r="L124" s="1899">
        <f t="shared" si="46"/>
        <v>0</v>
      </c>
      <c r="M124" s="1899">
        <f t="shared" si="46"/>
        <v>0</v>
      </c>
      <c r="N124" s="1899">
        <f t="shared" si="46"/>
        <v>0</v>
      </c>
      <c r="O124" s="1899">
        <f t="shared" si="46"/>
        <v>0</v>
      </c>
      <c r="P124" s="1899">
        <f t="shared" si="46"/>
        <v>0</v>
      </c>
      <c r="Q124" s="1899">
        <f t="shared" si="46"/>
        <v>0</v>
      </c>
      <c r="R124" s="1899">
        <f t="shared" si="46"/>
        <v>0</v>
      </c>
      <c r="S124" s="1899">
        <f t="shared" si="46"/>
        <v>0</v>
      </c>
      <c r="T124" s="1899">
        <f t="shared" si="46"/>
        <v>0</v>
      </c>
      <c r="U124" s="1899">
        <f t="shared" si="46"/>
        <v>0</v>
      </c>
      <c r="V124" s="1899">
        <f t="shared" si="46"/>
        <v>0</v>
      </c>
      <c r="W124" s="1899">
        <f t="shared" si="46"/>
        <v>0</v>
      </c>
      <c r="X124" s="1880"/>
      <c r="Y124" s="1880"/>
      <c r="Z124" s="1880"/>
      <c r="AG124" s="1880"/>
      <c r="AH124" s="1880"/>
      <c r="AI124" s="1880"/>
      <c r="AJ124" s="1881"/>
    </row>
    <row r="125" spans="1:36" outlineLevel="1">
      <c r="A125" s="1875"/>
      <c r="B125" s="33">
        <v>14</v>
      </c>
      <c r="C125" s="43" t="str">
        <f t="shared" si="47"/>
        <v>PV of Increase in forecast year 13 lease commitments</v>
      </c>
      <c r="D125" s="43"/>
      <c r="E125" s="43"/>
      <c r="F125" s="43"/>
      <c r="G125" s="43"/>
      <c r="H125" s="1899">
        <f t="shared" si="45"/>
        <v>0</v>
      </c>
      <c r="I125" s="1899">
        <f t="shared" si="46"/>
        <v>0</v>
      </c>
      <c r="J125" s="1899">
        <f t="shared" si="46"/>
        <v>0</v>
      </c>
      <c r="K125" s="1899">
        <f t="shared" si="46"/>
        <v>0</v>
      </c>
      <c r="L125" s="1899">
        <f t="shared" si="46"/>
        <v>0</v>
      </c>
      <c r="M125" s="1899">
        <f t="shared" si="46"/>
        <v>0</v>
      </c>
      <c r="N125" s="1899">
        <f t="shared" si="46"/>
        <v>0</v>
      </c>
      <c r="O125" s="1899">
        <f t="shared" si="46"/>
        <v>0</v>
      </c>
      <c r="P125" s="1899">
        <f t="shared" si="46"/>
        <v>0</v>
      </c>
      <c r="Q125" s="1899">
        <f t="shared" si="46"/>
        <v>0</v>
      </c>
      <c r="R125" s="1899">
        <f t="shared" si="46"/>
        <v>0</v>
      </c>
      <c r="S125" s="1899">
        <f t="shared" si="46"/>
        <v>0</v>
      </c>
      <c r="T125" s="1899">
        <f t="shared" si="46"/>
        <v>0</v>
      </c>
      <c r="U125" s="1899">
        <f t="shared" si="46"/>
        <v>0</v>
      </c>
      <c r="V125" s="1899">
        <f t="shared" si="46"/>
        <v>0</v>
      </c>
      <c r="W125" s="1899">
        <f t="shared" si="46"/>
        <v>0</v>
      </c>
      <c r="X125" s="1880"/>
      <c r="Y125" s="1880"/>
      <c r="Z125" s="1880"/>
      <c r="AG125" s="1880"/>
      <c r="AH125" s="1880"/>
      <c r="AI125" s="1880"/>
      <c r="AJ125" s="1881"/>
    </row>
    <row r="126" spans="1:36" outlineLevel="1">
      <c r="A126" s="1875"/>
      <c r="B126" s="33">
        <v>15</v>
      </c>
      <c r="C126" s="43" t="str">
        <f t="shared" si="47"/>
        <v>PV of Increase in forecast year 14 lease commitments</v>
      </c>
      <c r="D126" s="43"/>
      <c r="E126" s="43"/>
      <c r="F126" s="43"/>
      <c r="G126" s="43"/>
      <c r="H126" s="1899">
        <f t="shared" si="45"/>
        <v>0</v>
      </c>
      <c r="I126" s="1899">
        <f t="shared" si="46"/>
        <v>0</v>
      </c>
      <c r="J126" s="1899">
        <f t="shared" si="46"/>
        <v>0</v>
      </c>
      <c r="K126" s="1899">
        <f t="shared" si="46"/>
        <v>0</v>
      </c>
      <c r="L126" s="1899">
        <f t="shared" si="46"/>
        <v>0</v>
      </c>
      <c r="M126" s="1899">
        <f t="shared" si="46"/>
        <v>0</v>
      </c>
      <c r="N126" s="1899">
        <f t="shared" si="46"/>
        <v>0</v>
      </c>
      <c r="O126" s="1899">
        <f t="shared" si="46"/>
        <v>0</v>
      </c>
      <c r="P126" s="1899">
        <f t="shared" si="46"/>
        <v>0</v>
      </c>
      <c r="Q126" s="1899">
        <f t="shared" si="46"/>
        <v>0</v>
      </c>
      <c r="R126" s="1899">
        <f t="shared" si="46"/>
        <v>0</v>
      </c>
      <c r="S126" s="1899">
        <f t="shared" si="46"/>
        <v>0</v>
      </c>
      <c r="T126" s="1899">
        <f t="shared" si="46"/>
        <v>0</v>
      </c>
      <c r="U126" s="1899">
        <f t="shared" si="46"/>
        <v>0</v>
      </c>
      <c r="V126" s="1899">
        <f t="shared" si="46"/>
        <v>0</v>
      </c>
      <c r="W126" s="1899">
        <f t="shared" si="46"/>
        <v>0</v>
      </c>
      <c r="X126" s="1880"/>
      <c r="Y126" s="1880"/>
      <c r="Z126" s="1880"/>
      <c r="AG126" s="1880"/>
      <c r="AH126" s="1880"/>
      <c r="AI126" s="1880"/>
      <c r="AJ126" s="1881"/>
    </row>
    <row r="127" spans="1:36" outlineLevel="1">
      <c r="A127" s="1875"/>
      <c r="B127" s="33">
        <v>16</v>
      </c>
      <c r="C127" s="43" t="str">
        <f t="shared" si="47"/>
        <v>PV of Increase in forecast year 15 lease commitments</v>
      </c>
      <c r="D127" s="43"/>
      <c r="E127" s="43"/>
      <c r="F127" s="43"/>
      <c r="G127" s="43"/>
      <c r="H127" s="1899">
        <f t="shared" si="45"/>
        <v>0</v>
      </c>
      <c r="I127" s="1899">
        <f t="shared" si="46"/>
        <v>0</v>
      </c>
      <c r="J127" s="1899">
        <f t="shared" si="46"/>
        <v>0</v>
      </c>
      <c r="K127" s="1899">
        <f t="shared" si="46"/>
        <v>0</v>
      </c>
      <c r="L127" s="1899">
        <f t="shared" si="46"/>
        <v>0</v>
      </c>
      <c r="M127" s="1899">
        <f t="shared" si="46"/>
        <v>0</v>
      </c>
      <c r="N127" s="1899">
        <f t="shared" si="46"/>
        <v>0</v>
      </c>
      <c r="O127" s="1899">
        <f t="shared" si="46"/>
        <v>0</v>
      </c>
      <c r="P127" s="1899">
        <f t="shared" si="46"/>
        <v>0</v>
      </c>
      <c r="Q127" s="1899">
        <f t="shared" si="46"/>
        <v>0</v>
      </c>
      <c r="R127" s="1899">
        <f t="shared" si="46"/>
        <v>0</v>
      </c>
      <c r="S127" s="1899">
        <f t="shared" si="46"/>
        <v>0</v>
      </c>
      <c r="T127" s="1899">
        <f t="shared" si="46"/>
        <v>0</v>
      </c>
      <c r="U127" s="1899">
        <f t="shared" si="46"/>
        <v>0</v>
      </c>
      <c r="V127" s="1899">
        <f t="shared" si="46"/>
        <v>0</v>
      </c>
      <c r="W127" s="1899">
        <f t="shared" si="46"/>
        <v>0</v>
      </c>
      <c r="X127" s="1880"/>
      <c r="Y127" s="1880"/>
      <c r="Z127" s="1880"/>
      <c r="AG127" s="1880"/>
      <c r="AH127" s="1880"/>
      <c r="AI127" s="1880"/>
      <c r="AJ127" s="1881"/>
    </row>
    <row r="128" spans="1:36" outlineLevel="1">
      <c r="A128" s="1875"/>
      <c r="B128" s="33">
        <v>17</v>
      </c>
      <c r="C128" s="43" t="str">
        <f t="shared" si="47"/>
        <v>PV of Increase in forecast year 16 lease commitments</v>
      </c>
      <c r="D128" s="43"/>
      <c r="E128" s="43"/>
      <c r="F128" s="43"/>
      <c r="G128" s="43"/>
      <c r="H128" s="1899">
        <f t="shared" si="45"/>
        <v>0</v>
      </c>
      <c r="I128" s="1899">
        <f t="shared" ref="I128:W141" si="48">IF(ISERROR((I92-H93)/(POWER((1+I$45),$B128))),"NA",(I92-H93)/(POWER((1+I$45),$B128)))</f>
        <v>0</v>
      </c>
      <c r="J128" s="1899">
        <f t="shared" si="48"/>
        <v>0</v>
      </c>
      <c r="K128" s="1899">
        <f t="shared" si="48"/>
        <v>0</v>
      </c>
      <c r="L128" s="1899">
        <f t="shared" si="48"/>
        <v>0</v>
      </c>
      <c r="M128" s="1899">
        <f t="shared" si="48"/>
        <v>0</v>
      </c>
      <c r="N128" s="1899">
        <f t="shared" si="48"/>
        <v>0</v>
      </c>
      <c r="O128" s="1899">
        <f t="shared" si="48"/>
        <v>0</v>
      </c>
      <c r="P128" s="1899">
        <f t="shared" si="48"/>
        <v>0</v>
      </c>
      <c r="Q128" s="1899">
        <f t="shared" si="48"/>
        <v>0</v>
      </c>
      <c r="R128" s="1899">
        <f t="shared" si="48"/>
        <v>0</v>
      </c>
      <c r="S128" s="1899">
        <f t="shared" si="48"/>
        <v>0</v>
      </c>
      <c r="T128" s="1899">
        <f t="shared" si="48"/>
        <v>0</v>
      </c>
      <c r="U128" s="1899">
        <f t="shared" si="48"/>
        <v>0</v>
      </c>
      <c r="V128" s="1899">
        <f t="shared" si="48"/>
        <v>0</v>
      </c>
      <c r="W128" s="1899">
        <f t="shared" si="48"/>
        <v>0</v>
      </c>
      <c r="X128" s="1880"/>
      <c r="Y128" s="1880"/>
      <c r="Z128" s="1880"/>
      <c r="AG128" s="1880"/>
      <c r="AH128" s="1880"/>
      <c r="AI128" s="1880"/>
      <c r="AJ128" s="1881"/>
    </row>
    <row r="129" spans="1:36" outlineLevel="1">
      <c r="A129" s="1875"/>
      <c r="B129" s="33">
        <v>18</v>
      </c>
      <c r="C129" s="43" t="str">
        <f t="shared" si="47"/>
        <v>PV of Increase in forecast year 17 lease commitments</v>
      </c>
      <c r="D129" s="43"/>
      <c r="E129" s="43"/>
      <c r="F129" s="43"/>
      <c r="G129" s="43"/>
      <c r="H129" s="1899">
        <f t="shared" si="45"/>
        <v>0</v>
      </c>
      <c r="I129" s="1899">
        <f t="shared" si="48"/>
        <v>0</v>
      </c>
      <c r="J129" s="1899">
        <f t="shared" si="48"/>
        <v>0</v>
      </c>
      <c r="K129" s="1899">
        <f t="shared" si="48"/>
        <v>0</v>
      </c>
      <c r="L129" s="1899">
        <f t="shared" si="48"/>
        <v>0</v>
      </c>
      <c r="M129" s="1899">
        <f t="shared" si="48"/>
        <v>0</v>
      </c>
      <c r="N129" s="1899">
        <f t="shared" si="48"/>
        <v>0</v>
      </c>
      <c r="O129" s="1899">
        <f t="shared" si="48"/>
        <v>0</v>
      </c>
      <c r="P129" s="1899">
        <f t="shared" si="48"/>
        <v>0</v>
      </c>
      <c r="Q129" s="1899">
        <f t="shared" si="48"/>
        <v>0</v>
      </c>
      <c r="R129" s="1899">
        <f t="shared" si="48"/>
        <v>0</v>
      </c>
      <c r="S129" s="1899">
        <f t="shared" si="48"/>
        <v>0</v>
      </c>
      <c r="T129" s="1899">
        <f t="shared" si="48"/>
        <v>0</v>
      </c>
      <c r="U129" s="1899">
        <f t="shared" si="48"/>
        <v>0</v>
      </c>
      <c r="V129" s="1899">
        <f t="shared" si="48"/>
        <v>0</v>
      </c>
      <c r="W129" s="1899">
        <f t="shared" si="48"/>
        <v>0</v>
      </c>
      <c r="X129" s="1880"/>
      <c r="Y129" s="1880"/>
      <c r="Z129" s="1880"/>
      <c r="AG129" s="1880"/>
      <c r="AH129" s="1880"/>
      <c r="AI129" s="1880"/>
      <c r="AJ129" s="1881"/>
    </row>
    <row r="130" spans="1:36" outlineLevel="1">
      <c r="A130" s="1875"/>
      <c r="B130" s="33">
        <v>19</v>
      </c>
      <c r="C130" s="43" t="str">
        <f t="shared" si="47"/>
        <v>PV of Increase in forecast year 18 lease commitments</v>
      </c>
      <c r="D130" s="43"/>
      <c r="E130" s="43"/>
      <c r="F130" s="43"/>
      <c r="G130" s="43"/>
      <c r="H130" s="1899">
        <f t="shared" si="45"/>
        <v>0</v>
      </c>
      <c r="I130" s="1899">
        <f t="shared" si="48"/>
        <v>0</v>
      </c>
      <c r="J130" s="1899">
        <f t="shared" si="48"/>
        <v>0</v>
      </c>
      <c r="K130" s="1899">
        <f t="shared" si="48"/>
        <v>0</v>
      </c>
      <c r="L130" s="1899">
        <f t="shared" si="48"/>
        <v>0</v>
      </c>
      <c r="M130" s="1899">
        <f t="shared" si="48"/>
        <v>0</v>
      </c>
      <c r="N130" s="1899">
        <f t="shared" si="48"/>
        <v>0</v>
      </c>
      <c r="O130" s="1899">
        <f t="shared" si="48"/>
        <v>0</v>
      </c>
      <c r="P130" s="1899">
        <f t="shared" si="48"/>
        <v>0</v>
      </c>
      <c r="Q130" s="1899">
        <f t="shared" si="48"/>
        <v>0</v>
      </c>
      <c r="R130" s="1899">
        <f t="shared" si="48"/>
        <v>0</v>
      </c>
      <c r="S130" s="1899">
        <f t="shared" si="48"/>
        <v>0</v>
      </c>
      <c r="T130" s="1899">
        <f t="shared" si="48"/>
        <v>0</v>
      </c>
      <c r="U130" s="1899">
        <f t="shared" si="48"/>
        <v>0</v>
      </c>
      <c r="V130" s="1899">
        <f t="shared" si="48"/>
        <v>0</v>
      </c>
      <c r="W130" s="1899">
        <f t="shared" si="48"/>
        <v>0</v>
      </c>
      <c r="X130" s="1880"/>
      <c r="Y130" s="1880"/>
      <c r="Z130" s="1880"/>
      <c r="AG130" s="1880"/>
      <c r="AH130" s="1880"/>
      <c r="AI130" s="1880"/>
      <c r="AJ130" s="1881"/>
    </row>
    <row r="131" spans="1:36" outlineLevel="1">
      <c r="A131" s="1875"/>
      <c r="B131" s="33">
        <f t="shared" ref="B131:B141" si="49">B130+1</f>
        <v>20</v>
      </c>
      <c r="C131" s="43" t="str">
        <f t="shared" si="47"/>
        <v>PV of Increase in forecast year 19 lease commitments</v>
      </c>
      <c r="D131" s="43"/>
      <c r="E131" s="43"/>
      <c r="F131" s="43"/>
      <c r="G131" s="43"/>
      <c r="H131" s="1899">
        <f t="shared" si="45"/>
        <v>0</v>
      </c>
      <c r="I131" s="1899">
        <f t="shared" si="48"/>
        <v>0</v>
      </c>
      <c r="J131" s="1899">
        <f t="shared" si="48"/>
        <v>0</v>
      </c>
      <c r="K131" s="1899">
        <f t="shared" si="48"/>
        <v>0</v>
      </c>
      <c r="L131" s="1899">
        <f t="shared" si="48"/>
        <v>0</v>
      </c>
      <c r="M131" s="1899">
        <f t="shared" si="48"/>
        <v>0</v>
      </c>
      <c r="N131" s="1899">
        <f t="shared" si="48"/>
        <v>0</v>
      </c>
      <c r="O131" s="1899">
        <f t="shared" si="48"/>
        <v>0</v>
      </c>
      <c r="P131" s="1899">
        <f t="shared" si="48"/>
        <v>0</v>
      </c>
      <c r="Q131" s="1899">
        <f t="shared" si="48"/>
        <v>0</v>
      </c>
      <c r="R131" s="1899">
        <f t="shared" si="48"/>
        <v>0</v>
      </c>
      <c r="S131" s="1899">
        <f t="shared" si="48"/>
        <v>0</v>
      </c>
      <c r="T131" s="1899">
        <f t="shared" si="48"/>
        <v>0</v>
      </c>
      <c r="U131" s="1899">
        <f t="shared" si="48"/>
        <v>0</v>
      </c>
      <c r="V131" s="1899">
        <f t="shared" si="48"/>
        <v>0</v>
      </c>
      <c r="W131" s="1899">
        <f t="shared" si="48"/>
        <v>0</v>
      </c>
      <c r="X131" s="1880"/>
      <c r="Y131" s="1880"/>
      <c r="Z131" s="1880"/>
      <c r="AG131" s="1880"/>
      <c r="AH131" s="1880"/>
      <c r="AI131" s="1880"/>
      <c r="AJ131" s="1881"/>
    </row>
    <row r="132" spans="1:36" outlineLevel="1">
      <c r="A132" s="1875"/>
      <c r="B132" s="33">
        <f t="shared" si="49"/>
        <v>21</v>
      </c>
      <c r="C132" s="43" t="str">
        <f t="shared" si="47"/>
        <v>PV of Increase in forecast year 20 lease commitments</v>
      </c>
      <c r="D132" s="43"/>
      <c r="E132" s="43"/>
      <c r="F132" s="43"/>
      <c r="G132" s="43"/>
      <c r="H132" s="1899">
        <f t="shared" si="45"/>
        <v>0</v>
      </c>
      <c r="I132" s="1899">
        <f t="shared" si="48"/>
        <v>0</v>
      </c>
      <c r="J132" s="1899">
        <f t="shared" si="48"/>
        <v>0</v>
      </c>
      <c r="K132" s="1899">
        <f t="shared" si="48"/>
        <v>0</v>
      </c>
      <c r="L132" s="1899">
        <f t="shared" si="48"/>
        <v>0</v>
      </c>
      <c r="M132" s="1899">
        <f t="shared" si="48"/>
        <v>0</v>
      </c>
      <c r="N132" s="1899">
        <f t="shared" si="48"/>
        <v>0</v>
      </c>
      <c r="O132" s="1899">
        <f t="shared" si="48"/>
        <v>0</v>
      </c>
      <c r="P132" s="1899">
        <f t="shared" si="48"/>
        <v>0</v>
      </c>
      <c r="Q132" s="1899">
        <f t="shared" si="48"/>
        <v>0</v>
      </c>
      <c r="R132" s="1899">
        <f t="shared" si="48"/>
        <v>0</v>
      </c>
      <c r="S132" s="1899">
        <f t="shared" si="48"/>
        <v>0</v>
      </c>
      <c r="T132" s="1899">
        <f t="shared" si="48"/>
        <v>0</v>
      </c>
      <c r="U132" s="1899">
        <f t="shared" si="48"/>
        <v>0</v>
      </c>
      <c r="V132" s="1899">
        <f t="shared" si="48"/>
        <v>0</v>
      </c>
      <c r="W132" s="1899">
        <f t="shared" si="48"/>
        <v>0</v>
      </c>
      <c r="X132" s="1880"/>
      <c r="Y132" s="1880"/>
      <c r="Z132" s="1880"/>
      <c r="AG132" s="1880"/>
      <c r="AH132" s="1880"/>
      <c r="AI132" s="1880"/>
      <c r="AJ132" s="1881"/>
    </row>
    <row r="133" spans="1:36" outlineLevel="1">
      <c r="A133" s="1875"/>
      <c r="B133" s="33">
        <f t="shared" si="49"/>
        <v>22</v>
      </c>
      <c r="C133" s="43" t="str">
        <f t="shared" si="47"/>
        <v>PV of Increase in forecast year 21 lease commitments</v>
      </c>
      <c r="D133" s="43"/>
      <c r="E133" s="43"/>
      <c r="F133" s="43"/>
      <c r="G133" s="43"/>
      <c r="H133" s="1899">
        <f t="shared" si="45"/>
        <v>0</v>
      </c>
      <c r="I133" s="1899">
        <f t="shared" si="48"/>
        <v>0</v>
      </c>
      <c r="J133" s="1899">
        <f t="shared" si="48"/>
        <v>0</v>
      </c>
      <c r="K133" s="1899">
        <f t="shared" si="48"/>
        <v>0</v>
      </c>
      <c r="L133" s="1899">
        <f t="shared" si="48"/>
        <v>0</v>
      </c>
      <c r="M133" s="1899">
        <f t="shared" si="48"/>
        <v>0</v>
      </c>
      <c r="N133" s="1899">
        <f t="shared" si="48"/>
        <v>0</v>
      </c>
      <c r="O133" s="1899">
        <f t="shared" si="48"/>
        <v>0</v>
      </c>
      <c r="P133" s="1899">
        <f t="shared" si="48"/>
        <v>0</v>
      </c>
      <c r="Q133" s="1899">
        <f t="shared" si="48"/>
        <v>0</v>
      </c>
      <c r="R133" s="1899">
        <f t="shared" si="48"/>
        <v>0</v>
      </c>
      <c r="S133" s="1899">
        <f t="shared" si="48"/>
        <v>0</v>
      </c>
      <c r="T133" s="1899">
        <f t="shared" si="48"/>
        <v>0</v>
      </c>
      <c r="U133" s="1899">
        <f t="shared" si="48"/>
        <v>0</v>
      </c>
      <c r="V133" s="1899">
        <f t="shared" si="48"/>
        <v>0</v>
      </c>
      <c r="W133" s="1899">
        <f t="shared" si="48"/>
        <v>0</v>
      </c>
      <c r="X133" s="1880"/>
      <c r="Y133" s="1880"/>
      <c r="Z133" s="1880"/>
      <c r="AG133" s="1880"/>
      <c r="AH133" s="1880"/>
      <c r="AI133" s="1880"/>
      <c r="AJ133" s="1881"/>
    </row>
    <row r="134" spans="1:36" outlineLevel="1">
      <c r="A134" s="1875"/>
      <c r="B134" s="33">
        <f t="shared" si="49"/>
        <v>23</v>
      </c>
      <c r="C134" s="43" t="str">
        <f t="shared" si="47"/>
        <v>PV of Increase in forecast year 22 lease commitments</v>
      </c>
      <c r="D134" s="43"/>
      <c r="E134" s="43"/>
      <c r="F134" s="43"/>
      <c r="G134" s="43"/>
      <c r="H134" s="1899">
        <f t="shared" si="45"/>
        <v>0</v>
      </c>
      <c r="I134" s="1899">
        <f t="shared" si="48"/>
        <v>0</v>
      </c>
      <c r="J134" s="1899">
        <f t="shared" si="48"/>
        <v>0</v>
      </c>
      <c r="K134" s="1899">
        <f t="shared" si="48"/>
        <v>0</v>
      </c>
      <c r="L134" s="1899">
        <f t="shared" si="48"/>
        <v>0</v>
      </c>
      <c r="M134" s="1899">
        <f t="shared" si="48"/>
        <v>0</v>
      </c>
      <c r="N134" s="1899">
        <f t="shared" si="48"/>
        <v>0</v>
      </c>
      <c r="O134" s="1899">
        <f t="shared" si="48"/>
        <v>0</v>
      </c>
      <c r="P134" s="1899">
        <f t="shared" si="48"/>
        <v>0</v>
      </c>
      <c r="Q134" s="1899">
        <f t="shared" si="48"/>
        <v>0</v>
      </c>
      <c r="R134" s="1899">
        <f t="shared" si="48"/>
        <v>0</v>
      </c>
      <c r="S134" s="1899">
        <f t="shared" si="48"/>
        <v>0</v>
      </c>
      <c r="T134" s="1899">
        <f t="shared" si="48"/>
        <v>0</v>
      </c>
      <c r="U134" s="1899">
        <f t="shared" si="48"/>
        <v>0</v>
      </c>
      <c r="V134" s="1899">
        <f t="shared" si="48"/>
        <v>0</v>
      </c>
      <c r="W134" s="1899">
        <f t="shared" si="48"/>
        <v>0</v>
      </c>
      <c r="X134" s="1880"/>
      <c r="Y134" s="1880"/>
      <c r="Z134" s="1880"/>
      <c r="AG134" s="1880"/>
      <c r="AH134" s="1880"/>
      <c r="AI134" s="1880"/>
      <c r="AJ134" s="1881"/>
    </row>
    <row r="135" spans="1:36" outlineLevel="1">
      <c r="A135" s="1875"/>
      <c r="B135" s="33">
        <f t="shared" si="49"/>
        <v>24</v>
      </c>
      <c r="C135" s="43" t="str">
        <f t="shared" si="47"/>
        <v>PV of Increase in forecast year 23 lease commitments</v>
      </c>
      <c r="D135" s="43"/>
      <c r="E135" s="43"/>
      <c r="F135" s="43"/>
      <c r="G135" s="43"/>
      <c r="H135" s="1899">
        <f t="shared" si="45"/>
        <v>0</v>
      </c>
      <c r="I135" s="1899">
        <f t="shared" si="48"/>
        <v>0</v>
      </c>
      <c r="J135" s="1899">
        <f t="shared" si="48"/>
        <v>0</v>
      </c>
      <c r="K135" s="1899">
        <f t="shared" si="48"/>
        <v>0</v>
      </c>
      <c r="L135" s="1899">
        <f t="shared" si="48"/>
        <v>0</v>
      </c>
      <c r="M135" s="1899">
        <f t="shared" si="48"/>
        <v>0</v>
      </c>
      <c r="N135" s="1899">
        <f t="shared" si="48"/>
        <v>0</v>
      </c>
      <c r="O135" s="1899">
        <f t="shared" si="48"/>
        <v>0</v>
      </c>
      <c r="P135" s="1899">
        <f t="shared" si="48"/>
        <v>0</v>
      </c>
      <c r="Q135" s="1899">
        <f t="shared" si="48"/>
        <v>0</v>
      </c>
      <c r="R135" s="1899">
        <f t="shared" si="48"/>
        <v>0</v>
      </c>
      <c r="S135" s="1899">
        <f t="shared" si="48"/>
        <v>0</v>
      </c>
      <c r="T135" s="1899">
        <f t="shared" si="48"/>
        <v>0</v>
      </c>
      <c r="U135" s="1899">
        <f t="shared" si="48"/>
        <v>0</v>
      </c>
      <c r="V135" s="1899">
        <f t="shared" si="48"/>
        <v>0</v>
      </c>
      <c r="W135" s="1899">
        <f t="shared" si="48"/>
        <v>0</v>
      </c>
      <c r="X135" s="1880"/>
      <c r="Y135" s="1880"/>
      <c r="Z135" s="1880"/>
      <c r="AG135" s="1880"/>
      <c r="AH135" s="1880"/>
      <c r="AI135" s="1880"/>
      <c r="AJ135" s="1881"/>
    </row>
    <row r="136" spans="1:36" outlineLevel="1">
      <c r="A136" s="1875"/>
      <c r="B136" s="33">
        <f t="shared" si="49"/>
        <v>25</v>
      </c>
      <c r="C136" s="43" t="str">
        <f t="shared" si="47"/>
        <v>PV of Increase in forecast year 24 lease commitments</v>
      </c>
      <c r="D136" s="43"/>
      <c r="E136" s="43"/>
      <c r="F136" s="43"/>
      <c r="G136" s="43"/>
      <c r="H136" s="1899">
        <f t="shared" si="45"/>
        <v>0</v>
      </c>
      <c r="I136" s="1899">
        <f t="shared" si="48"/>
        <v>0</v>
      </c>
      <c r="J136" s="1899">
        <f t="shared" si="48"/>
        <v>0</v>
      </c>
      <c r="K136" s="1899">
        <f t="shared" si="48"/>
        <v>0</v>
      </c>
      <c r="L136" s="1899">
        <f t="shared" si="48"/>
        <v>0</v>
      </c>
      <c r="M136" s="1899">
        <f t="shared" si="48"/>
        <v>0</v>
      </c>
      <c r="N136" s="1899">
        <f t="shared" si="48"/>
        <v>0</v>
      </c>
      <c r="O136" s="1899">
        <f t="shared" si="48"/>
        <v>0</v>
      </c>
      <c r="P136" s="1899">
        <f t="shared" si="48"/>
        <v>0</v>
      </c>
      <c r="Q136" s="1899">
        <f t="shared" si="48"/>
        <v>0</v>
      </c>
      <c r="R136" s="1899">
        <f t="shared" si="48"/>
        <v>0</v>
      </c>
      <c r="S136" s="1899">
        <f t="shared" si="48"/>
        <v>0</v>
      </c>
      <c r="T136" s="1899">
        <f t="shared" si="48"/>
        <v>0</v>
      </c>
      <c r="U136" s="1899">
        <f t="shared" si="48"/>
        <v>0</v>
      </c>
      <c r="V136" s="1899">
        <f t="shared" si="48"/>
        <v>0</v>
      </c>
      <c r="W136" s="1899">
        <f t="shared" si="48"/>
        <v>0</v>
      </c>
      <c r="X136" s="1880"/>
      <c r="Y136" s="1880"/>
      <c r="Z136" s="1880"/>
      <c r="AG136" s="1880"/>
      <c r="AH136" s="1880"/>
      <c r="AI136" s="1880"/>
      <c r="AJ136" s="1881"/>
    </row>
    <row r="137" spans="1:36" outlineLevel="1">
      <c r="A137" s="1875"/>
      <c r="B137" s="33">
        <f t="shared" si="49"/>
        <v>26</v>
      </c>
      <c r="C137" s="43" t="str">
        <f t="shared" si="47"/>
        <v>PV of Increase in forecast year 25 lease commitments</v>
      </c>
      <c r="D137" s="43"/>
      <c r="E137" s="43"/>
      <c r="F137" s="43"/>
      <c r="G137" s="43"/>
      <c r="H137" s="1899">
        <f t="shared" si="45"/>
        <v>0</v>
      </c>
      <c r="I137" s="1899">
        <f t="shared" si="48"/>
        <v>0</v>
      </c>
      <c r="J137" s="1899">
        <f t="shared" si="48"/>
        <v>0</v>
      </c>
      <c r="K137" s="1899">
        <f t="shared" si="48"/>
        <v>0</v>
      </c>
      <c r="L137" s="1899">
        <f t="shared" si="48"/>
        <v>0</v>
      </c>
      <c r="M137" s="1899">
        <f t="shared" si="48"/>
        <v>0</v>
      </c>
      <c r="N137" s="1899">
        <f t="shared" si="48"/>
        <v>0</v>
      </c>
      <c r="O137" s="1899">
        <f t="shared" si="48"/>
        <v>0</v>
      </c>
      <c r="P137" s="1899">
        <f t="shared" si="48"/>
        <v>0</v>
      </c>
      <c r="Q137" s="1899">
        <f t="shared" si="48"/>
        <v>0</v>
      </c>
      <c r="R137" s="1899">
        <f t="shared" si="48"/>
        <v>0</v>
      </c>
      <c r="S137" s="1899">
        <f t="shared" si="48"/>
        <v>0</v>
      </c>
      <c r="T137" s="1899">
        <f t="shared" si="48"/>
        <v>0</v>
      </c>
      <c r="U137" s="1899">
        <f t="shared" si="48"/>
        <v>0</v>
      </c>
      <c r="V137" s="1899">
        <f t="shared" si="48"/>
        <v>0</v>
      </c>
      <c r="W137" s="1899">
        <f t="shared" si="48"/>
        <v>0</v>
      </c>
      <c r="X137" s="1880"/>
      <c r="Y137" s="1880"/>
      <c r="Z137" s="1880"/>
      <c r="AG137" s="1880"/>
      <c r="AH137" s="1880"/>
      <c r="AI137" s="1880"/>
      <c r="AJ137" s="1881"/>
    </row>
    <row r="138" spans="1:36" outlineLevel="1">
      <c r="A138" s="1875"/>
      <c r="B138" s="33">
        <f t="shared" si="49"/>
        <v>27</v>
      </c>
      <c r="C138" s="43" t="str">
        <f t="shared" si="47"/>
        <v>PV of Increase in forecast year 26 lease commitments</v>
      </c>
      <c r="D138" s="43"/>
      <c r="E138" s="43"/>
      <c r="F138" s="43"/>
      <c r="G138" s="43"/>
      <c r="H138" s="1899">
        <f t="shared" si="45"/>
        <v>0</v>
      </c>
      <c r="I138" s="1899">
        <f t="shared" si="48"/>
        <v>0</v>
      </c>
      <c r="J138" s="1899">
        <f t="shared" si="48"/>
        <v>0</v>
      </c>
      <c r="K138" s="1899">
        <f t="shared" si="48"/>
        <v>0</v>
      </c>
      <c r="L138" s="1899">
        <f t="shared" si="48"/>
        <v>0</v>
      </c>
      <c r="M138" s="1899">
        <f t="shared" si="48"/>
        <v>0</v>
      </c>
      <c r="N138" s="1899">
        <f t="shared" si="48"/>
        <v>0</v>
      </c>
      <c r="O138" s="1899">
        <f t="shared" si="48"/>
        <v>0</v>
      </c>
      <c r="P138" s="1899">
        <f t="shared" si="48"/>
        <v>0</v>
      </c>
      <c r="Q138" s="1899">
        <f t="shared" si="48"/>
        <v>0</v>
      </c>
      <c r="R138" s="1899">
        <f t="shared" si="48"/>
        <v>0</v>
      </c>
      <c r="S138" s="1899">
        <f t="shared" si="48"/>
        <v>0</v>
      </c>
      <c r="T138" s="1899">
        <f t="shared" si="48"/>
        <v>0</v>
      </c>
      <c r="U138" s="1899">
        <f t="shared" si="48"/>
        <v>0</v>
      </c>
      <c r="V138" s="1899">
        <f t="shared" si="48"/>
        <v>0</v>
      </c>
      <c r="W138" s="1899">
        <f t="shared" si="48"/>
        <v>0</v>
      </c>
      <c r="X138" s="1880"/>
      <c r="Y138" s="1880"/>
      <c r="Z138" s="1880"/>
      <c r="AG138" s="1880"/>
      <c r="AH138" s="1880"/>
      <c r="AI138" s="1880"/>
      <c r="AJ138" s="1881"/>
    </row>
    <row r="139" spans="1:36" outlineLevel="1">
      <c r="A139" s="1875"/>
      <c r="B139" s="33">
        <f t="shared" si="49"/>
        <v>28</v>
      </c>
      <c r="C139" s="43" t="str">
        <f t="shared" si="47"/>
        <v>PV of Increase in forecast year 27 lease commitments</v>
      </c>
      <c r="D139" s="43"/>
      <c r="E139" s="43"/>
      <c r="F139" s="43"/>
      <c r="G139" s="43"/>
      <c r="H139" s="1899">
        <f t="shared" si="45"/>
        <v>0</v>
      </c>
      <c r="I139" s="1899">
        <f t="shared" si="48"/>
        <v>0</v>
      </c>
      <c r="J139" s="1899">
        <f t="shared" si="48"/>
        <v>0</v>
      </c>
      <c r="K139" s="1899">
        <f t="shared" si="48"/>
        <v>0</v>
      </c>
      <c r="L139" s="1899">
        <f t="shared" si="48"/>
        <v>0</v>
      </c>
      <c r="M139" s="1899">
        <f t="shared" si="48"/>
        <v>0</v>
      </c>
      <c r="N139" s="1899">
        <f t="shared" si="48"/>
        <v>0</v>
      </c>
      <c r="O139" s="1899">
        <f t="shared" si="48"/>
        <v>0</v>
      </c>
      <c r="P139" s="1899">
        <f t="shared" si="48"/>
        <v>0</v>
      </c>
      <c r="Q139" s="1899">
        <f t="shared" si="48"/>
        <v>0</v>
      </c>
      <c r="R139" s="1899">
        <f t="shared" si="48"/>
        <v>0</v>
      </c>
      <c r="S139" s="1899">
        <f t="shared" si="48"/>
        <v>0</v>
      </c>
      <c r="T139" s="1899">
        <f t="shared" si="48"/>
        <v>0</v>
      </c>
      <c r="U139" s="1899">
        <f t="shared" si="48"/>
        <v>0</v>
      </c>
      <c r="V139" s="1899">
        <f t="shared" si="48"/>
        <v>0</v>
      </c>
      <c r="W139" s="1899">
        <f t="shared" si="48"/>
        <v>0</v>
      </c>
      <c r="X139" s="1880"/>
      <c r="Y139" s="1880"/>
      <c r="Z139" s="1880"/>
      <c r="AG139" s="1880"/>
      <c r="AH139" s="1880"/>
      <c r="AI139" s="1880"/>
      <c r="AJ139" s="1881"/>
    </row>
    <row r="140" spans="1:36" outlineLevel="1">
      <c r="A140" s="1875"/>
      <c r="B140" s="33">
        <f t="shared" si="49"/>
        <v>29</v>
      </c>
      <c r="C140" s="43" t="str">
        <f t="shared" si="47"/>
        <v>PV of Increase in forecast year 28 lease commitments</v>
      </c>
      <c r="D140" s="43"/>
      <c r="E140" s="43"/>
      <c r="F140" s="43"/>
      <c r="G140" s="43"/>
      <c r="H140" s="1899">
        <f t="shared" si="45"/>
        <v>0</v>
      </c>
      <c r="I140" s="1899">
        <f t="shared" si="48"/>
        <v>0</v>
      </c>
      <c r="J140" s="1899">
        <f t="shared" si="48"/>
        <v>0</v>
      </c>
      <c r="K140" s="1899">
        <f t="shared" si="48"/>
        <v>0</v>
      </c>
      <c r="L140" s="1899">
        <f t="shared" si="48"/>
        <v>0</v>
      </c>
      <c r="M140" s="1899">
        <f t="shared" si="48"/>
        <v>0</v>
      </c>
      <c r="N140" s="1899">
        <f t="shared" si="48"/>
        <v>0</v>
      </c>
      <c r="O140" s="1899">
        <f t="shared" si="48"/>
        <v>0</v>
      </c>
      <c r="P140" s="1899">
        <f t="shared" si="48"/>
        <v>0</v>
      </c>
      <c r="Q140" s="1899">
        <f t="shared" si="48"/>
        <v>0</v>
      </c>
      <c r="R140" s="1899">
        <f t="shared" si="48"/>
        <v>0</v>
      </c>
      <c r="S140" s="1899">
        <f t="shared" si="48"/>
        <v>0</v>
      </c>
      <c r="T140" s="1899">
        <f t="shared" si="48"/>
        <v>0</v>
      </c>
      <c r="U140" s="1899">
        <f t="shared" si="48"/>
        <v>0</v>
      </c>
      <c r="V140" s="1899">
        <f t="shared" si="48"/>
        <v>0</v>
      </c>
      <c r="W140" s="1899">
        <f t="shared" si="48"/>
        <v>0</v>
      </c>
      <c r="X140" s="1880"/>
      <c r="Y140" s="1880"/>
      <c r="Z140" s="1880"/>
      <c r="AG140" s="1880"/>
      <c r="AH140" s="1880"/>
      <c r="AI140" s="1880"/>
      <c r="AJ140" s="1881"/>
    </row>
    <row r="141" spans="1:36" outlineLevel="1">
      <c r="A141" s="1875"/>
      <c r="B141" s="33">
        <f t="shared" si="49"/>
        <v>30</v>
      </c>
      <c r="C141" s="43" t="str">
        <f t="shared" si="47"/>
        <v>PV of Increase in forecast year 29 lease commitments</v>
      </c>
      <c r="D141" s="43"/>
      <c r="E141" s="43"/>
      <c r="F141" s="43"/>
      <c r="G141" s="43"/>
      <c r="H141" s="1899">
        <f t="shared" si="45"/>
        <v>0</v>
      </c>
      <c r="I141" s="1899">
        <f t="shared" si="48"/>
        <v>0</v>
      </c>
      <c r="J141" s="1899">
        <f t="shared" si="48"/>
        <v>0</v>
      </c>
      <c r="K141" s="1899">
        <f t="shared" si="48"/>
        <v>0</v>
      </c>
      <c r="L141" s="1899">
        <f t="shared" si="48"/>
        <v>0</v>
      </c>
      <c r="M141" s="1899">
        <f t="shared" si="48"/>
        <v>0</v>
      </c>
      <c r="N141" s="1899">
        <f t="shared" si="48"/>
        <v>0</v>
      </c>
      <c r="O141" s="1899">
        <f t="shared" si="48"/>
        <v>0</v>
      </c>
      <c r="P141" s="1899">
        <f t="shared" si="48"/>
        <v>0</v>
      </c>
      <c r="Q141" s="1899">
        <f t="shared" si="48"/>
        <v>0</v>
      </c>
      <c r="R141" s="1899">
        <f t="shared" si="48"/>
        <v>0</v>
      </c>
      <c r="S141" s="1899">
        <f t="shared" si="48"/>
        <v>0</v>
      </c>
      <c r="T141" s="1899">
        <f t="shared" si="48"/>
        <v>0</v>
      </c>
      <c r="U141" s="1899">
        <f t="shared" si="48"/>
        <v>0</v>
      </c>
      <c r="V141" s="1899">
        <f t="shared" si="48"/>
        <v>0</v>
      </c>
      <c r="W141" s="1899">
        <f t="shared" si="48"/>
        <v>0</v>
      </c>
      <c r="X141" s="1880"/>
      <c r="Y141" s="1880"/>
      <c r="Z141" s="1880"/>
      <c r="AG141" s="1880"/>
      <c r="AH141" s="1880"/>
      <c r="AI141" s="1880"/>
      <c r="AJ141" s="1881"/>
    </row>
    <row r="142" spans="1:36" outlineLevel="1">
      <c r="A142" s="1875"/>
      <c r="B142" s="1903"/>
      <c r="C142" s="43"/>
      <c r="D142" s="43"/>
      <c r="E142" s="43"/>
      <c r="F142" s="43"/>
      <c r="G142" s="43"/>
      <c r="H142" s="60"/>
      <c r="I142" s="60"/>
      <c r="J142" s="1904"/>
      <c r="K142" s="1904"/>
      <c r="L142" s="1904"/>
      <c r="M142" s="1904"/>
      <c r="N142" s="1904"/>
      <c r="O142" s="1904"/>
      <c r="P142" s="1904"/>
      <c r="Q142" s="1904"/>
      <c r="R142" s="1904"/>
      <c r="S142" s="1904"/>
      <c r="T142" s="1904"/>
      <c r="U142" s="1904"/>
      <c r="V142" s="1904"/>
      <c r="W142" s="1904"/>
      <c r="X142" s="1880"/>
      <c r="Y142" s="1880"/>
      <c r="Z142" s="1880"/>
      <c r="AG142" s="1880"/>
      <c r="AH142" s="1880"/>
      <c r="AI142" s="1880"/>
      <c r="AJ142" s="1881"/>
    </row>
    <row r="143" spans="1:36" outlineLevel="1">
      <c r="A143" s="1890"/>
      <c r="B143" s="72"/>
      <c r="C143" s="43" t="s">
        <v>49</v>
      </c>
      <c r="D143" s="43"/>
      <c r="E143" s="43"/>
      <c r="F143" s="43"/>
      <c r="G143" s="43"/>
      <c r="H143" s="60">
        <f t="shared" ref="H143:W143" si="50">SUM(H112:H142)</f>
        <v>877.04669901264754</v>
      </c>
      <c r="I143" s="60">
        <f t="shared" si="50"/>
        <v>127.59727954805611</v>
      </c>
      <c r="J143" s="1904">
        <f t="shared" si="50"/>
        <v>273.97757904104276</v>
      </c>
      <c r="K143" s="1904">
        <f t="shared" si="50"/>
        <v>253.89537056688081</v>
      </c>
      <c r="L143" s="1904">
        <f t="shared" si="50"/>
        <v>206.75065930435591</v>
      </c>
      <c r="M143" s="1904">
        <f t="shared" si="50"/>
        <v>71.908384013329496</v>
      </c>
      <c r="N143" s="1904">
        <f t="shared" si="50"/>
        <v>213.49933519096626</v>
      </c>
      <c r="O143" s="1904">
        <f t="shared" si="50"/>
        <v>284.30789650788614</v>
      </c>
      <c r="P143" s="1904">
        <f>SUM(P112:P142)</f>
        <v>166.94840295224643</v>
      </c>
      <c r="Q143" s="1904">
        <f t="shared" si="50"/>
        <v>220.27434565411164</v>
      </c>
      <c r="R143" s="1904">
        <f t="shared" si="50"/>
        <v>224.6798325671939</v>
      </c>
      <c r="S143" s="1904">
        <f t="shared" si="50"/>
        <v>229.17342921853776</v>
      </c>
      <c r="T143" s="1904">
        <f t="shared" si="50"/>
        <v>233.75689780290855</v>
      </c>
      <c r="U143" s="1904">
        <f t="shared" si="50"/>
        <v>238.43203575896663</v>
      </c>
      <c r="V143" s="1904">
        <f t="shared" si="50"/>
        <v>243.20067647414601</v>
      </c>
      <c r="W143" s="1904">
        <f t="shared" si="50"/>
        <v>248.06469000362893</v>
      </c>
      <c r="X143" s="1892"/>
      <c r="Y143" s="1892"/>
      <c r="Z143" s="1892"/>
      <c r="AG143" s="1892"/>
      <c r="AH143" s="1892"/>
      <c r="AI143" s="1892"/>
      <c r="AJ143" s="1881"/>
    </row>
    <row r="144" spans="1:36">
      <c r="A144" s="32"/>
      <c r="B144" s="33"/>
      <c r="C144" s="1905"/>
      <c r="D144" s="1905"/>
      <c r="E144" s="1905"/>
      <c r="F144" s="1905"/>
      <c r="G144" s="1905"/>
      <c r="H144" s="98"/>
      <c r="I144" s="98"/>
      <c r="J144" s="98"/>
      <c r="K144" s="98"/>
      <c r="L144" s="98"/>
      <c r="M144" s="98"/>
      <c r="N144" s="98"/>
      <c r="O144" s="98"/>
      <c r="P144" s="98"/>
      <c r="Q144" s="98"/>
      <c r="R144" s="98"/>
      <c r="S144" s="98"/>
      <c r="T144" s="98"/>
      <c r="U144" s="98"/>
      <c r="V144" s="98"/>
      <c r="W144" s="98"/>
      <c r="X144" s="17"/>
      <c r="Y144" s="17"/>
      <c r="Z144" s="17"/>
      <c r="AG144" s="17"/>
      <c r="AH144" s="17"/>
      <c r="AI144" s="17"/>
      <c r="AJ144" s="18"/>
    </row>
    <row r="145" spans="1:36">
      <c r="A145" s="32"/>
      <c r="B145" s="33"/>
      <c r="C145" s="43"/>
      <c r="D145" s="43"/>
      <c r="E145" s="43"/>
      <c r="F145" s="43"/>
      <c r="G145" s="43"/>
      <c r="H145" s="98"/>
      <c r="I145" s="98"/>
      <c r="J145" s="1906"/>
      <c r="K145" s="98"/>
      <c r="L145" s="98"/>
      <c r="M145" s="98"/>
      <c r="N145" s="98"/>
      <c r="O145" s="98"/>
      <c r="P145" s="98"/>
      <c r="Q145" s="98"/>
      <c r="R145" s="98"/>
      <c r="S145" s="98"/>
      <c r="T145" s="98"/>
      <c r="U145" s="98"/>
      <c r="V145" s="98"/>
      <c r="W145" s="98"/>
      <c r="X145" s="17"/>
      <c r="Y145" s="17"/>
      <c r="Z145" s="17"/>
      <c r="AG145" s="17"/>
      <c r="AH145" s="17"/>
      <c r="AI145" s="17"/>
      <c r="AJ145" s="18"/>
    </row>
    <row r="146" spans="1:36">
      <c r="A146" s="32"/>
      <c r="B146" s="33"/>
      <c r="C146" s="43"/>
      <c r="D146" s="43"/>
      <c r="E146" s="43"/>
      <c r="F146" s="43"/>
      <c r="G146" s="43"/>
      <c r="H146" s="98"/>
      <c r="I146" s="98"/>
      <c r="J146" s="98"/>
      <c r="K146" s="98"/>
      <c r="L146" s="98"/>
      <c r="M146" s="98"/>
      <c r="N146" s="98"/>
      <c r="O146" s="98"/>
      <c r="P146" s="98"/>
      <c r="Q146" s="98"/>
      <c r="R146" s="98"/>
      <c r="S146" s="40"/>
      <c r="T146" s="40"/>
      <c r="U146" s="40"/>
      <c r="V146" s="40"/>
      <c r="W146" s="40"/>
      <c r="X146" s="17"/>
      <c r="Y146" s="17"/>
      <c r="Z146" s="17"/>
      <c r="AG146" s="17"/>
      <c r="AH146" s="17"/>
      <c r="AI146" s="17"/>
      <c r="AJ146" s="18"/>
    </row>
    <row r="147" spans="1:36" ht="12.75" customHeight="1" outlineLevel="1">
      <c r="A147" s="32"/>
      <c r="B147" s="33"/>
      <c r="C147" s="1823" t="s">
        <v>50</v>
      </c>
      <c r="D147" s="1823"/>
      <c r="E147" s="1823"/>
      <c r="F147" s="1823"/>
      <c r="G147" s="1823"/>
      <c r="H147" s="1872">
        <f t="shared" ref="H147:W147" si="51">H110</f>
        <v>39844</v>
      </c>
      <c r="I147" s="1872">
        <f t="shared" si="51"/>
        <v>40209</v>
      </c>
      <c r="J147" s="1872">
        <f t="shared" si="51"/>
        <v>40574</v>
      </c>
      <c r="K147" s="1872">
        <f t="shared" si="51"/>
        <v>40939</v>
      </c>
      <c r="L147" s="1872">
        <f t="shared" si="51"/>
        <v>41305</v>
      </c>
      <c r="M147" s="1872">
        <f t="shared" si="51"/>
        <v>41670</v>
      </c>
      <c r="N147" s="1872">
        <f t="shared" si="51"/>
        <v>42035</v>
      </c>
      <c r="O147" s="1872">
        <f t="shared" si="51"/>
        <v>42400</v>
      </c>
      <c r="P147" s="1872">
        <f t="shared" si="51"/>
        <v>42766</v>
      </c>
      <c r="Q147" s="1872">
        <f t="shared" si="51"/>
        <v>43131</v>
      </c>
      <c r="R147" s="1872">
        <f t="shared" si="51"/>
        <v>43496</v>
      </c>
      <c r="S147" s="1872">
        <f t="shared" si="51"/>
        <v>43861</v>
      </c>
      <c r="T147" s="1872">
        <f t="shared" si="51"/>
        <v>44227</v>
      </c>
      <c r="U147" s="1872">
        <f t="shared" si="51"/>
        <v>44592</v>
      </c>
      <c r="V147" s="1872">
        <f t="shared" si="51"/>
        <v>44957</v>
      </c>
      <c r="W147" s="1872">
        <f t="shared" si="51"/>
        <v>45322</v>
      </c>
      <c r="X147" s="17"/>
      <c r="Y147" s="17"/>
      <c r="Z147" s="17"/>
      <c r="AG147" s="17"/>
      <c r="AH147" s="17"/>
      <c r="AI147" s="17"/>
      <c r="AJ147" s="18"/>
    </row>
    <row r="148" spans="1:36" ht="11.25" customHeight="1" outlineLevel="1">
      <c r="A148" s="32"/>
      <c r="B148" s="33"/>
      <c r="C148" s="43"/>
      <c r="D148" s="43"/>
      <c r="E148" s="43"/>
      <c r="F148" s="43"/>
      <c r="G148" s="43"/>
      <c r="H148" s="79"/>
      <c r="I148" s="79"/>
      <c r="J148" s="79"/>
      <c r="K148" s="79"/>
      <c r="L148" s="79"/>
      <c r="M148" s="79"/>
      <c r="N148" s="79"/>
      <c r="O148" s="80"/>
      <c r="P148" s="80"/>
      <c r="Q148" s="80"/>
      <c r="R148" s="80"/>
      <c r="S148" s="80"/>
      <c r="T148" s="80"/>
      <c r="U148" s="80"/>
      <c r="V148" s="80"/>
      <c r="W148" s="80"/>
      <c r="X148" s="17"/>
      <c r="Y148" s="17"/>
      <c r="Z148" s="17"/>
      <c r="AG148" s="17"/>
      <c r="AH148" s="17"/>
      <c r="AI148" s="17"/>
      <c r="AJ148" s="18"/>
    </row>
    <row r="149" spans="1:36" ht="11.25" customHeight="1" outlineLevel="1">
      <c r="A149" s="19"/>
      <c r="B149" s="25"/>
      <c r="C149" s="21" t="s">
        <v>51</v>
      </c>
      <c r="D149" s="21"/>
      <c r="E149" s="21"/>
      <c r="F149" s="21"/>
      <c r="G149" s="21"/>
      <c r="H149" s="1907">
        <f t="shared" ref="H149:N149" si="52">H70</f>
        <v>10</v>
      </c>
      <c r="I149" s="1908">
        <f t="shared" si="52"/>
        <v>10</v>
      </c>
      <c r="J149" s="1908">
        <f t="shared" si="52"/>
        <v>10</v>
      </c>
      <c r="K149" s="1908">
        <f t="shared" si="52"/>
        <v>10</v>
      </c>
      <c r="L149" s="1908">
        <f t="shared" si="52"/>
        <v>10</v>
      </c>
      <c r="M149" s="1908">
        <f t="shared" si="52"/>
        <v>10</v>
      </c>
      <c r="N149" s="1908">
        <f t="shared" si="52"/>
        <v>10</v>
      </c>
      <c r="O149" s="1908">
        <f t="shared" ref="O149:W149" si="53">N149</f>
        <v>10</v>
      </c>
      <c r="P149" s="1908">
        <f t="shared" si="53"/>
        <v>10</v>
      </c>
      <c r="Q149" s="1908">
        <f t="shared" si="53"/>
        <v>10</v>
      </c>
      <c r="R149" s="1908">
        <f t="shared" si="53"/>
        <v>10</v>
      </c>
      <c r="S149" s="1908">
        <f t="shared" si="53"/>
        <v>10</v>
      </c>
      <c r="T149" s="1908">
        <f t="shared" si="53"/>
        <v>10</v>
      </c>
      <c r="U149" s="1908">
        <f t="shared" si="53"/>
        <v>10</v>
      </c>
      <c r="V149" s="1908">
        <f t="shared" si="53"/>
        <v>10</v>
      </c>
      <c r="W149" s="1908">
        <f t="shared" si="53"/>
        <v>10</v>
      </c>
      <c r="X149" s="25"/>
      <c r="Y149" s="25"/>
      <c r="Z149" s="25"/>
      <c r="AG149" s="25"/>
      <c r="AH149" s="25"/>
      <c r="AI149" s="25"/>
      <c r="AJ149" s="31"/>
    </row>
    <row r="150" spans="1:36" ht="11.25" customHeight="1" outlineLevel="1">
      <c r="A150" s="19"/>
      <c r="B150" s="25"/>
      <c r="C150" s="21" t="s">
        <v>52</v>
      </c>
      <c r="D150" s="69"/>
      <c r="E150" s="69"/>
      <c r="F150" s="69"/>
      <c r="G150" s="69"/>
      <c r="H150" s="93">
        <v>0</v>
      </c>
      <c r="I150" s="1909"/>
      <c r="J150" s="1909"/>
      <c r="K150" s="1908"/>
      <c r="L150" s="1908"/>
      <c r="M150" s="1908"/>
      <c r="N150" s="1908"/>
      <c r="O150" s="1908"/>
      <c r="P150" s="1908"/>
      <c r="Q150" s="1908"/>
      <c r="R150" s="1908"/>
      <c r="S150" s="1908"/>
      <c r="T150" s="1908"/>
      <c r="U150" s="1908"/>
      <c r="V150" s="1908"/>
      <c r="W150" s="1908"/>
      <c r="X150" s="25"/>
      <c r="Y150" s="25"/>
      <c r="Z150" s="25"/>
      <c r="AG150" s="25"/>
      <c r="AH150" s="25"/>
      <c r="AI150" s="25"/>
      <c r="AJ150" s="31"/>
    </row>
    <row r="151" spans="1:36" ht="11.25" customHeight="1" outlineLevel="1">
      <c r="A151" s="19"/>
      <c r="B151" s="25"/>
      <c r="C151" s="21" t="s">
        <v>527</v>
      </c>
      <c r="D151" s="69"/>
      <c r="E151" s="69"/>
      <c r="F151" s="69"/>
      <c r="G151" s="69"/>
      <c r="H151" s="1910">
        <v>0.98</v>
      </c>
      <c r="I151" s="25"/>
      <c r="J151" s="25"/>
      <c r="K151" s="25"/>
      <c r="L151" s="25"/>
      <c r="M151" s="25"/>
      <c r="N151" s="25"/>
      <c r="O151" s="25"/>
      <c r="P151" s="25"/>
      <c r="Q151" s="25"/>
      <c r="R151" s="25"/>
      <c r="S151" s="25"/>
      <c r="T151" s="25"/>
      <c r="U151" s="25"/>
      <c r="V151" s="25"/>
      <c r="W151" s="25"/>
      <c r="X151" s="25"/>
      <c r="Y151" s="25"/>
      <c r="Z151" s="25"/>
      <c r="AG151" s="25"/>
      <c r="AH151" s="25"/>
      <c r="AI151" s="25"/>
      <c r="AJ151" s="31"/>
    </row>
    <row r="152" spans="1:36" ht="11.25" customHeight="1" outlineLevel="1">
      <c r="A152" s="1911"/>
      <c r="B152" s="21"/>
      <c r="C152" s="21" t="s">
        <v>528</v>
      </c>
      <c r="D152" s="21"/>
      <c r="E152" s="21"/>
      <c r="F152" s="21"/>
      <c r="G152" s="21"/>
      <c r="H152" s="1912">
        <v>2</v>
      </c>
      <c r="I152" s="21"/>
      <c r="J152" s="21"/>
      <c r="K152" s="21"/>
      <c r="L152" s="21"/>
      <c r="M152" s="21"/>
      <c r="N152" s="21"/>
      <c r="O152" s="21"/>
      <c r="P152" s="21"/>
      <c r="Q152" s="21"/>
      <c r="R152" s="21"/>
      <c r="S152" s="21"/>
      <c r="T152" s="21"/>
      <c r="U152" s="21"/>
      <c r="V152" s="21"/>
      <c r="W152" s="21"/>
      <c r="X152" s="21"/>
      <c r="Y152" s="21"/>
      <c r="Z152" s="21"/>
      <c r="AG152" s="21"/>
      <c r="AH152" s="21"/>
      <c r="AI152" s="21"/>
      <c r="AJ152" s="31"/>
    </row>
    <row r="153" spans="1:36" ht="11.25" customHeight="1" outlineLevel="1">
      <c r="A153" s="1911"/>
      <c r="B153" s="21"/>
      <c r="C153" s="21" t="s">
        <v>529</v>
      </c>
      <c r="D153" s="21"/>
      <c r="E153" s="21"/>
      <c r="F153" s="21"/>
      <c r="G153" s="21"/>
      <c r="H153" s="1913">
        <f>H24*(1-H150)</f>
        <v>687.0724682753314</v>
      </c>
      <c r="I153" s="1913">
        <f t="shared" ref="I153:W153" si="54">I143*(1-$H$150)</f>
        <v>127.59727954805611</v>
      </c>
      <c r="J153" s="1913">
        <f t="shared" si="54"/>
        <v>273.97757904104276</v>
      </c>
      <c r="K153" s="1913">
        <f t="shared" si="54"/>
        <v>253.89537056688081</v>
      </c>
      <c r="L153" s="1913">
        <f t="shared" si="54"/>
        <v>206.75065930435591</v>
      </c>
      <c r="M153" s="1913">
        <f t="shared" si="54"/>
        <v>71.908384013329496</v>
      </c>
      <c r="N153" s="1913">
        <f t="shared" si="54"/>
        <v>213.49933519096626</v>
      </c>
      <c r="O153" s="1913">
        <f t="shared" si="54"/>
        <v>284.30789650788614</v>
      </c>
      <c r="P153" s="1913">
        <f t="shared" si="54"/>
        <v>166.94840295224643</v>
      </c>
      <c r="Q153" s="1913">
        <f t="shared" si="54"/>
        <v>220.27434565411164</v>
      </c>
      <c r="R153" s="1913">
        <f t="shared" si="54"/>
        <v>224.6798325671939</v>
      </c>
      <c r="S153" s="1913">
        <f t="shared" si="54"/>
        <v>229.17342921853776</v>
      </c>
      <c r="T153" s="1913">
        <f t="shared" si="54"/>
        <v>233.75689780290855</v>
      </c>
      <c r="U153" s="1913">
        <f t="shared" si="54"/>
        <v>238.43203575896663</v>
      </c>
      <c r="V153" s="1913">
        <f t="shared" si="54"/>
        <v>243.20067647414601</v>
      </c>
      <c r="W153" s="1913">
        <f t="shared" si="54"/>
        <v>248.06469000362893</v>
      </c>
      <c r="X153" s="21"/>
      <c r="Y153" s="21"/>
      <c r="Z153" s="21"/>
      <c r="AG153" s="21"/>
      <c r="AH153" s="21"/>
      <c r="AI153" s="21"/>
      <c r="AJ153" s="31"/>
    </row>
    <row r="154" spans="1:36" ht="11.25" customHeight="1" outlineLevel="1">
      <c r="A154" s="1911"/>
      <c r="B154" s="1913"/>
      <c r="C154" s="21" t="s">
        <v>530</v>
      </c>
      <c r="D154" s="21"/>
      <c r="E154" s="21"/>
      <c r="F154" s="21"/>
      <c r="G154" s="21"/>
      <c r="H154" s="1914">
        <f>$H$24/$H$149*H152*(1-H150)</f>
        <v>137.41449365506628</v>
      </c>
      <c r="I154" s="1915">
        <f>IF(SUM($H154:H154)+H154*$H$151&lt;$H$153,H154*$H$151,$H$153-SUM($H154:H154))</f>
        <v>134.66620378196495</v>
      </c>
      <c r="J154" s="1915">
        <f>IF(SUM($H154:I154)+I154*$H$151&lt;$H$153,I154*$H$151,$H$153-SUM($H154:I154))</f>
        <v>131.97287970632564</v>
      </c>
      <c r="K154" s="1915">
        <f>IF(SUM($H154:J154)+J154*$H$151&lt;$H$153,J154*$H$151,$H$153-SUM($H154:J154))</f>
        <v>129.33342211219912</v>
      </c>
      <c r="L154" s="1915">
        <f>IF(SUM($H154:K154)+K154*$H$151&lt;$H$153,K154*$H$151,$H$153-SUM($H154:K154))</f>
        <v>126.74675366995513</v>
      </c>
      <c r="M154" s="1915">
        <f>IF(SUM($H154:L154)+L154*$H$151&lt;$H$153,L154*$H$151,$H$153-SUM($H154:L154))</f>
        <v>26.938715349820313</v>
      </c>
      <c r="N154" s="1915">
        <f>IF(SUM($H154:M154)+M154*$H$151&lt;$H$153,M154*$H$151,$H$153-SUM($H154:M154))</f>
        <v>0</v>
      </c>
      <c r="O154" s="1915">
        <f>IF(SUM($H154:N154)+N154*$H$151&lt;$H$153,N154*$H$151,$H$153-SUM($H154:N154))</f>
        <v>0</v>
      </c>
      <c r="P154" s="1915">
        <f>IF(SUM($H154:O154)+O154*$H$151&lt;$H$153,O154*$H$151,$H$153-SUM($H154:O154))</f>
        <v>0</v>
      </c>
      <c r="Q154" s="1915">
        <f>IF(SUM($H154:P154)+P154*$H$151&lt;$H$153,P154*$H$151,$H$153-SUM($H154:P154))</f>
        <v>0</v>
      </c>
      <c r="R154" s="1915">
        <f>IF(SUM($H154:Q154)+Q154*$H$151&lt;$H$153,Q154*$H$151,$H$153-SUM($H154:Q154))</f>
        <v>0</v>
      </c>
      <c r="S154" s="1915">
        <f>IF(SUM($H154:R154)+R154*$H$151&lt;$H$153,R154*$H$151,$H$153-SUM($H154:R154))</f>
        <v>0</v>
      </c>
      <c r="T154" s="1915">
        <f>IF(SUM($H154:S154)+S154*$H$151&lt;$H$153,S154*$H$151,$H$153-SUM($H154:S154))</f>
        <v>0</v>
      </c>
      <c r="U154" s="1915">
        <f>IF(SUM($H154:T154)+T154*$H$151&lt;$H$153,T154*$H$151,$H$153-SUM($H154:T154))</f>
        <v>0</v>
      </c>
      <c r="V154" s="1915">
        <f>IF(SUM($H154:U154)+U154*$H$151&lt;$H$153,U154*$H$151,$H$153-SUM($H154:U154))</f>
        <v>0</v>
      </c>
      <c r="W154" s="1915">
        <f>IF(SUM($H154:V154)+V154*$H$151&lt;$H$153,V154*$H$151,$H$153-SUM($H154:V154))</f>
        <v>0</v>
      </c>
      <c r="X154" s="21"/>
      <c r="Y154" s="21"/>
      <c r="Z154" s="21"/>
      <c r="AG154" s="21"/>
      <c r="AH154" s="21"/>
      <c r="AI154" s="21"/>
      <c r="AJ154" s="31"/>
    </row>
    <row r="155" spans="1:36" ht="11.25" customHeight="1" outlineLevel="1">
      <c r="A155" s="19"/>
      <c r="B155" s="1908"/>
      <c r="C155" s="1916">
        <f t="array" ref="C155:C169">TRANSPOSE(H147:W147)</f>
        <v>39844</v>
      </c>
      <c r="D155" s="62"/>
      <c r="E155" s="62"/>
      <c r="F155" s="62"/>
      <c r="G155" s="62"/>
      <c r="H155" s="1917"/>
      <c r="I155" s="1917">
        <f>I$22/I$149*(1-$H$150)</f>
        <v>12.75972795480561</v>
      </c>
      <c r="J155" s="1917">
        <f>(IF(COUNT($I155:I155)&lt;$I$149,I155,0))</f>
        <v>12.75972795480561</v>
      </c>
      <c r="K155" s="1917">
        <f>(IF(COUNT($I155:J155)&lt;$I$149,J155,0))</f>
        <v>12.75972795480561</v>
      </c>
      <c r="L155" s="1917">
        <f>(IF(COUNT($I155:K155)&lt;$I$149,K155,0))</f>
        <v>12.75972795480561</v>
      </c>
      <c r="M155" s="1917">
        <f>(IF(COUNT($I155:L155)&lt;$I$149,L155,0))</f>
        <v>12.75972795480561</v>
      </c>
      <c r="N155" s="1917">
        <f>(IF(COUNT($I155:M155)&lt;$I$149,M155,0))</f>
        <v>12.75972795480561</v>
      </c>
      <c r="O155" s="1917">
        <f>(IF(COUNT($I155:N155)&lt;$I$149,N155,0))</f>
        <v>12.75972795480561</v>
      </c>
      <c r="P155" s="1917">
        <f>(IF(COUNT($I155:O155)&lt;$I$149,O155,0))</f>
        <v>12.75972795480561</v>
      </c>
      <c r="Q155" s="1917">
        <f>(IF(COUNT($I155:P155)&lt;$I$149,P155,0))</f>
        <v>12.75972795480561</v>
      </c>
      <c r="R155" s="1917">
        <f>(IF(COUNT($I155:Q155)&lt;$I$149,Q155,0))</f>
        <v>12.75972795480561</v>
      </c>
      <c r="S155" s="1917">
        <f>(IF(COUNT($I155:R155)&lt;$I$149,R155,0))</f>
        <v>0</v>
      </c>
      <c r="T155" s="1917">
        <f>(IF(COUNT($I155:S155)&lt;$I$149,S155,0))</f>
        <v>0</v>
      </c>
      <c r="U155" s="1917">
        <f>(IF(COUNT($I155:T155)&lt;$I$149,T155,0))</f>
        <v>0</v>
      </c>
      <c r="V155" s="1917">
        <f>(IF(COUNT($I155:U155)&lt;$I$149,U155,0))</f>
        <v>0</v>
      </c>
      <c r="W155" s="1917">
        <f>(IF(COUNT($I155:V155)&lt;$I$149,V155,0))</f>
        <v>0</v>
      </c>
      <c r="X155" s="1917"/>
      <c r="Y155" s="1917"/>
      <c r="Z155" s="1917"/>
      <c r="AG155" s="25"/>
      <c r="AH155" s="25"/>
      <c r="AI155" s="25"/>
      <c r="AJ155" s="31"/>
    </row>
    <row r="156" spans="1:36" ht="11.25" customHeight="1" outlineLevel="1">
      <c r="A156" s="19"/>
      <c r="B156" s="1908"/>
      <c r="C156" s="1916">
        <v>40209</v>
      </c>
      <c r="D156" s="62"/>
      <c r="E156" s="62"/>
      <c r="F156" s="62"/>
      <c r="G156" s="62"/>
      <c r="H156" s="1917"/>
      <c r="I156" s="1917"/>
      <c r="J156" s="1917">
        <f>J$22/J$149*(1-$H$150)</f>
        <v>27.397757904104274</v>
      </c>
      <c r="K156" s="1917">
        <f>(IF(COUNT($J156:J156)&lt;$J$149,J156,0))</f>
        <v>27.397757904104274</v>
      </c>
      <c r="L156" s="1917">
        <f>(IF(COUNT($J156:K156)&lt;$J$149,K156,0))</f>
        <v>27.397757904104274</v>
      </c>
      <c r="M156" s="1917">
        <f>(IF(COUNT($J156:L156)&lt;$J$149,L156,0))</f>
        <v>27.397757904104274</v>
      </c>
      <c r="N156" s="1917">
        <f>(IF(COUNT($J156:M156)&lt;$J$149,M156,0))</f>
        <v>27.397757904104274</v>
      </c>
      <c r="O156" s="1917">
        <f>(IF(COUNT($J156:N156)&lt;$J$149,N156,0))</f>
        <v>27.397757904104274</v>
      </c>
      <c r="P156" s="1917">
        <f>(IF(COUNT($J156:O156)&lt;$J$149,O156,0))</f>
        <v>27.397757904104274</v>
      </c>
      <c r="Q156" s="1917">
        <f>(IF(COUNT($J156:P156)&lt;$J$149,P156,0))</f>
        <v>27.397757904104274</v>
      </c>
      <c r="R156" s="1917">
        <f>(IF(COUNT($J156:Q156)&lt;$J$149,Q156,0))</f>
        <v>27.397757904104274</v>
      </c>
      <c r="S156" s="1917">
        <f>(IF(COUNT($J156:R156)&lt;$J$149,R156,0))</f>
        <v>27.397757904104274</v>
      </c>
      <c r="T156" s="1917">
        <f>(IF(COUNT($J156:S156)&lt;$J$149,S156,0))</f>
        <v>0</v>
      </c>
      <c r="U156" s="1917">
        <f>(IF(COUNT($J156:T156)&lt;$J$149,T156,0))</f>
        <v>0</v>
      </c>
      <c r="V156" s="1917">
        <f>(IF(COUNT($J156:U156)&lt;$J$149,U156,0))</f>
        <v>0</v>
      </c>
      <c r="W156" s="1917">
        <f>(IF(COUNT($J156:V156)&lt;$J$149,V156,0))</f>
        <v>0</v>
      </c>
      <c r="X156" s="1917"/>
      <c r="Y156" s="1917"/>
      <c r="Z156" s="1917"/>
      <c r="AG156" s="25"/>
      <c r="AH156" s="25"/>
      <c r="AI156" s="25"/>
      <c r="AJ156" s="31"/>
    </row>
    <row r="157" spans="1:36" ht="11.25" customHeight="1" outlineLevel="1">
      <c r="A157" s="19"/>
      <c r="B157" s="1908"/>
      <c r="C157" s="1916">
        <v>40574</v>
      </c>
      <c r="D157" s="62"/>
      <c r="E157" s="62"/>
      <c r="F157" s="62"/>
      <c r="G157" s="62"/>
      <c r="H157" s="1917"/>
      <c r="I157" s="1917"/>
      <c r="J157" s="1917"/>
      <c r="K157" s="1917">
        <f>K$22/K$149*(1-$H$150)</f>
        <v>25.389537056688081</v>
      </c>
      <c r="L157" s="1917">
        <f>(IF(COUNT($J157:K157)&lt;$K$149,K157,0))</f>
        <v>25.389537056688081</v>
      </c>
      <c r="M157" s="1917">
        <f>(IF(COUNT($J157:L157)&lt;$K$149,L157,0))</f>
        <v>25.389537056688081</v>
      </c>
      <c r="N157" s="1917">
        <f>(IF(COUNT($J157:M157)&lt;$K$149,M157,0))</f>
        <v>25.389537056688081</v>
      </c>
      <c r="O157" s="1917">
        <f>(IF(COUNT($J157:N157)&lt;$K$149,N157,0))</f>
        <v>25.389537056688081</v>
      </c>
      <c r="P157" s="1917">
        <f>(IF(COUNT($J157:O157)&lt;$K$149,O157,0))</f>
        <v>25.389537056688081</v>
      </c>
      <c r="Q157" s="1917">
        <f>(IF(COUNT($J157:P157)&lt;$K$149,P157,0))</f>
        <v>25.389537056688081</v>
      </c>
      <c r="R157" s="1917">
        <f>(IF(COUNT($J157:Q157)&lt;$K$149,Q157,0))</f>
        <v>25.389537056688081</v>
      </c>
      <c r="S157" s="1917">
        <f>(IF(COUNT($J157:R157)&lt;$K$149,R157,0))</f>
        <v>25.389537056688081</v>
      </c>
      <c r="T157" s="1917">
        <f>(IF(COUNT($J157:S157)&lt;$K$149,S157,0))</f>
        <v>25.389537056688081</v>
      </c>
      <c r="U157" s="1917">
        <f>(IF(COUNT($J157:T157)&lt;$K$149,T157,0))</f>
        <v>0</v>
      </c>
      <c r="V157" s="1917">
        <f>(IF(COUNT($J157:U157)&lt;$K$149,U157,0))</f>
        <v>0</v>
      </c>
      <c r="W157" s="1917">
        <f>(IF(COUNT($J157:V157)&lt;$K$149,V157,0))</f>
        <v>0</v>
      </c>
      <c r="X157" s="25"/>
      <c r="Y157" s="25"/>
      <c r="Z157" s="25"/>
      <c r="AG157" s="25"/>
      <c r="AH157" s="25"/>
      <c r="AI157" s="25"/>
      <c r="AJ157" s="31"/>
    </row>
    <row r="158" spans="1:36" ht="11.25" customHeight="1" outlineLevel="1">
      <c r="A158" s="19"/>
      <c r="B158" s="1908"/>
      <c r="C158" s="1916">
        <v>40939</v>
      </c>
      <c r="D158" s="62"/>
      <c r="E158" s="62"/>
      <c r="F158" s="62"/>
      <c r="G158" s="62"/>
      <c r="H158" s="1917"/>
      <c r="I158" s="1917"/>
      <c r="J158" s="1917"/>
      <c r="K158" s="1917"/>
      <c r="L158" s="1917">
        <f>L$22/L$149*(1-$H$150)</f>
        <v>20.67506593043559</v>
      </c>
      <c r="M158" s="1917">
        <f>(IF(COUNT($L158:L158)&lt;$L$149,L158,0))</f>
        <v>20.67506593043559</v>
      </c>
      <c r="N158" s="1917">
        <f>(IF(COUNT($L158:M158)&lt;$L$149,M158,0))</f>
        <v>20.67506593043559</v>
      </c>
      <c r="O158" s="1917">
        <f>(IF(COUNT($L158:N158)&lt;$L$149,N158,0))</f>
        <v>20.67506593043559</v>
      </c>
      <c r="P158" s="1917">
        <f>(IF(COUNT($L158:O158)&lt;$L$149,O158,0))</f>
        <v>20.67506593043559</v>
      </c>
      <c r="Q158" s="1917">
        <f>(IF(COUNT($L158:P158)&lt;$L$149,P158,0))</f>
        <v>20.67506593043559</v>
      </c>
      <c r="R158" s="1917">
        <f>(IF(COUNT($L158:Q158)&lt;$L$149,Q158,0))</f>
        <v>20.67506593043559</v>
      </c>
      <c r="S158" s="1917">
        <f>(IF(COUNT($L158:R158)&lt;$L$149,R158,0))</f>
        <v>20.67506593043559</v>
      </c>
      <c r="T158" s="1917">
        <f>(IF(COUNT($L158:S158)&lt;$L$149,S158,0))</f>
        <v>20.67506593043559</v>
      </c>
      <c r="U158" s="1917">
        <f>(IF(COUNT($L158:T158)&lt;$L$149,T158,0))</f>
        <v>20.67506593043559</v>
      </c>
      <c r="V158" s="1917">
        <f>(IF(COUNT($L158:U158)&lt;$L$149,U158,0))</f>
        <v>0</v>
      </c>
      <c r="W158" s="1917">
        <f>(IF(COUNT($L158:V158)&lt;$L$149,V158,0))</f>
        <v>0</v>
      </c>
      <c r="X158" s="1917"/>
      <c r="Y158" s="1917"/>
      <c r="Z158" s="1917"/>
      <c r="AG158" s="25"/>
      <c r="AH158" s="25"/>
      <c r="AI158" s="25"/>
      <c r="AJ158" s="31"/>
    </row>
    <row r="159" spans="1:36" ht="11.25" customHeight="1" outlineLevel="1">
      <c r="A159" s="19"/>
      <c r="B159" s="1908"/>
      <c r="C159" s="1916">
        <v>41305</v>
      </c>
      <c r="D159" s="62"/>
      <c r="E159" s="62"/>
      <c r="F159" s="62"/>
      <c r="G159" s="62"/>
      <c r="H159" s="1917"/>
      <c r="I159" s="1917"/>
      <c r="J159" s="1917"/>
      <c r="K159" s="1917"/>
      <c r="L159" s="1917"/>
      <c r="M159" s="1917">
        <f>M$22/M$149*(1-$H$150)</f>
        <v>7.1908384013329494</v>
      </c>
      <c r="N159" s="1917">
        <f>(IF(COUNT($M159:M159)&lt;$M$149,M159,0))</f>
        <v>7.1908384013329494</v>
      </c>
      <c r="O159" s="1917">
        <f>(IF(COUNT($M159:N159)&lt;$M$149,N159,0))</f>
        <v>7.1908384013329494</v>
      </c>
      <c r="P159" s="1917">
        <f>(IF(COUNT($M159:O159)&lt;$M$149,O159,0))</f>
        <v>7.1908384013329494</v>
      </c>
      <c r="Q159" s="1917">
        <f>(IF(COUNT($M159:P159)&lt;$M$149,P159,0))</f>
        <v>7.1908384013329494</v>
      </c>
      <c r="R159" s="1917">
        <f>(IF(COUNT($M159:Q159)&lt;$M$149,Q159,0))</f>
        <v>7.1908384013329494</v>
      </c>
      <c r="S159" s="1917">
        <f>(IF(COUNT($M159:R159)&lt;$M$149,R159,0))</f>
        <v>7.1908384013329494</v>
      </c>
      <c r="T159" s="1917">
        <f>(IF(COUNT($M159:S159)&lt;$M$149,S159,0))</f>
        <v>7.1908384013329494</v>
      </c>
      <c r="U159" s="1917">
        <f>(IF(COUNT($M159:T159)&lt;$M$149,T159,0))</f>
        <v>7.1908384013329494</v>
      </c>
      <c r="V159" s="1917">
        <f>(IF(COUNT($M159:U159)&lt;$M$149,U159,0))</f>
        <v>7.1908384013329494</v>
      </c>
      <c r="W159" s="1917">
        <f>(IF(COUNT($M159:V159)&lt;$M$149,V159,0))</f>
        <v>0</v>
      </c>
      <c r="X159" s="25"/>
      <c r="Y159" s="25"/>
      <c r="Z159" s="25"/>
      <c r="AG159" s="25"/>
      <c r="AH159" s="25"/>
      <c r="AI159" s="25"/>
      <c r="AJ159" s="31"/>
    </row>
    <row r="160" spans="1:36" ht="11.25" customHeight="1" outlineLevel="1">
      <c r="A160" s="19"/>
      <c r="B160" s="1908"/>
      <c r="C160" s="1916">
        <v>41670</v>
      </c>
      <c r="D160" s="62"/>
      <c r="E160" s="62"/>
      <c r="F160" s="62"/>
      <c r="G160" s="62"/>
      <c r="H160" s="1917"/>
      <c r="I160" s="1917"/>
      <c r="J160" s="1917"/>
      <c r="K160" s="1917"/>
      <c r="L160" s="1917"/>
      <c r="M160" s="1917"/>
      <c r="N160" s="1917">
        <f>N$22/N$149*(1-$H$150)</f>
        <v>21.349933519096627</v>
      </c>
      <c r="O160" s="1917">
        <f>(IF(COUNT($N160:N160)&lt;$N$149,N160,0))</f>
        <v>21.349933519096627</v>
      </c>
      <c r="P160" s="1917">
        <f>(IF(COUNT($N160:O160)&lt;$N$149,O160,0))</f>
        <v>21.349933519096627</v>
      </c>
      <c r="Q160" s="1917">
        <f>(IF(COUNT($N160:P160)&lt;$N$149,P160,0))</f>
        <v>21.349933519096627</v>
      </c>
      <c r="R160" s="1917">
        <f>(IF(COUNT($N160:Q160)&lt;$N$149,Q160,0))</f>
        <v>21.349933519096627</v>
      </c>
      <c r="S160" s="1917">
        <f>(IF(COUNT($N160:R160)&lt;$N$149,R160,0))</f>
        <v>21.349933519096627</v>
      </c>
      <c r="T160" s="1917">
        <f>(IF(COUNT($N160:S160)&lt;$N$149,S160,0))</f>
        <v>21.349933519096627</v>
      </c>
      <c r="U160" s="1917">
        <f>(IF(COUNT($N160:T160)&lt;$N$149,T160,0))</f>
        <v>21.349933519096627</v>
      </c>
      <c r="V160" s="1917">
        <f>(IF(COUNT($N160:U160)&lt;$N$149,U160,0))</f>
        <v>21.349933519096627</v>
      </c>
      <c r="W160" s="1917">
        <f>(IF(COUNT($N160:V160)&lt;$N$149,V160,0))</f>
        <v>21.349933519096627</v>
      </c>
      <c r="X160" s="1917"/>
      <c r="Y160" s="1917"/>
      <c r="Z160" s="1917"/>
      <c r="AG160" s="25"/>
      <c r="AH160" s="25"/>
      <c r="AI160" s="25"/>
      <c r="AJ160" s="31"/>
    </row>
    <row r="161" spans="1:36" ht="11.25" customHeight="1" outlineLevel="1">
      <c r="A161" s="19"/>
      <c r="B161" s="1908"/>
      <c r="C161" s="1916">
        <v>42035</v>
      </c>
      <c r="D161" s="62"/>
      <c r="E161" s="62"/>
      <c r="F161" s="62"/>
      <c r="G161" s="62"/>
      <c r="H161" s="1917"/>
      <c r="I161" s="1917"/>
      <c r="J161" s="1917"/>
      <c r="K161" s="1917"/>
      <c r="L161" s="1917"/>
      <c r="M161" s="1917"/>
      <c r="N161" s="1917"/>
      <c r="O161" s="1917">
        <f>O$22/O$149*(1-$H$150)</f>
        <v>28.430789650788615</v>
      </c>
      <c r="P161" s="1917">
        <f>(IF(COUNT($O161:O161)&lt;$O$149,O161,0))</f>
        <v>28.430789650788615</v>
      </c>
      <c r="Q161" s="1917">
        <f>(IF(COUNT($O161:P161)&lt;$O$149,P161,0))</f>
        <v>28.430789650788615</v>
      </c>
      <c r="R161" s="1917">
        <f>(IF(COUNT($O161:Q161)&lt;$O$149,Q161,0))</f>
        <v>28.430789650788615</v>
      </c>
      <c r="S161" s="1917">
        <f>(IF(COUNT($O161:R161)&lt;$O$149,R161,0))</f>
        <v>28.430789650788615</v>
      </c>
      <c r="T161" s="1917">
        <f>(IF(COUNT($O161:S161)&lt;$O$149,S161,0))</f>
        <v>28.430789650788615</v>
      </c>
      <c r="U161" s="1917">
        <f>(IF(COUNT($O161:T161)&lt;$O$149,T161,0))</f>
        <v>28.430789650788615</v>
      </c>
      <c r="V161" s="1917">
        <f>(IF(COUNT($O161:U161)&lt;$O$149,U161,0))</f>
        <v>28.430789650788615</v>
      </c>
      <c r="W161" s="1917">
        <f>(IF(COUNT($O161:V161)&lt;$O$149,V161,0))</f>
        <v>28.430789650788615</v>
      </c>
      <c r="X161" s="25"/>
      <c r="Y161" s="25"/>
      <c r="Z161" s="25"/>
      <c r="AG161" s="25"/>
      <c r="AH161" s="25"/>
      <c r="AI161" s="25"/>
      <c r="AJ161" s="31"/>
    </row>
    <row r="162" spans="1:36" ht="11.25" customHeight="1" outlineLevel="1">
      <c r="A162" s="19"/>
      <c r="B162" s="1908"/>
      <c r="C162" s="1916">
        <v>42400</v>
      </c>
      <c r="D162" s="62"/>
      <c r="E162" s="62"/>
      <c r="F162" s="62"/>
      <c r="G162" s="62"/>
      <c r="H162" s="1917"/>
      <c r="I162" s="1917"/>
      <c r="J162" s="1917"/>
      <c r="K162" s="1917"/>
      <c r="L162" s="1917"/>
      <c r="M162" s="1917"/>
      <c r="N162" s="1917"/>
      <c r="O162" s="1917"/>
      <c r="P162" s="1917">
        <f>P$22/P$149*(1-$H$150)</f>
        <v>16.694840295224644</v>
      </c>
      <c r="Q162" s="1917">
        <f>(IF(COUNT($P162:P162)&lt;$P$149,P162,0))</f>
        <v>16.694840295224644</v>
      </c>
      <c r="R162" s="1917">
        <f>(IF(COUNT($P162:Q162)&lt;$P$149,Q162,0))</f>
        <v>16.694840295224644</v>
      </c>
      <c r="S162" s="1917">
        <f>(IF(COUNT($P162:R162)&lt;$P$149,R162,0))</f>
        <v>16.694840295224644</v>
      </c>
      <c r="T162" s="1917">
        <f>(IF(COUNT($P162:S162)&lt;$P$149,S162,0))</f>
        <v>16.694840295224644</v>
      </c>
      <c r="U162" s="1917">
        <f>(IF(COUNT($P162:T162)&lt;$P$149,T162,0))</f>
        <v>16.694840295224644</v>
      </c>
      <c r="V162" s="1917">
        <f>(IF(COUNT($P162:U162)&lt;$P$149,U162,0))</f>
        <v>16.694840295224644</v>
      </c>
      <c r="W162" s="1917">
        <f>(IF(COUNT($P162:V162)&lt;$P$149,V162,0))</f>
        <v>16.694840295224644</v>
      </c>
      <c r="X162" s="25"/>
      <c r="Y162" s="25"/>
      <c r="Z162" s="25"/>
      <c r="AG162" s="25"/>
      <c r="AH162" s="25"/>
      <c r="AI162" s="25"/>
      <c r="AJ162" s="31"/>
    </row>
    <row r="163" spans="1:36" ht="11.25" customHeight="1" outlineLevel="1">
      <c r="A163" s="19"/>
      <c r="B163" s="1908"/>
      <c r="C163" s="1916">
        <v>42766</v>
      </c>
      <c r="D163" s="62"/>
      <c r="E163" s="62"/>
      <c r="F163" s="62"/>
      <c r="G163" s="62"/>
      <c r="H163" s="1917"/>
      <c r="I163" s="1917"/>
      <c r="J163" s="1917"/>
      <c r="K163" s="1917"/>
      <c r="L163" s="1917"/>
      <c r="M163" s="1917"/>
      <c r="N163" s="1917"/>
      <c r="O163" s="1917"/>
      <c r="P163" s="1917"/>
      <c r="Q163" s="1917">
        <f>Q$22/Q$149*(1-$H$150)</f>
        <v>22.027434565411163</v>
      </c>
      <c r="R163" s="1917">
        <f>(IF(COUNT($Q163:Q163)&lt;$Q$149,Q163,0))</f>
        <v>22.027434565411163</v>
      </c>
      <c r="S163" s="1917">
        <f>(IF(COUNT($Q163:R163)&lt;$Q$149,R163,0))</f>
        <v>22.027434565411163</v>
      </c>
      <c r="T163" s="1917">
        <f>(IF(COUNT($Q163:S163)&lt;$Q$149,S163,0))</f>
        <v>22.027434565411163</v>
      </c>
      <c r="U163" s="1917">
        <f>(IF(COUNT($Q163:T163)&lt;$Q$149,T163,0))</f>
        <v>22.027434565411163</v>
      </c>
      <c r="V163" s="1917">
        <f>(IF(COUNT($Q163:U163)&lt;$Q$149,U163,0))</f>
        <v>22.027434565411163</v>
      </c>
      <c r="W163" s="1917">
        <f>(IF(COUNT($Q163:V163)&lt;$Q$149,V163,0))</f>
        <v>22.027434565411163</v>
      </c>
      <c r="X163" s="25"/>
      <c r="Y163" s="25"/>
      <c r="Z163" s="25"/>
      <c r="AG163" s="25"/>
      <c r="AH163" s="25"/>
      <c r="AI163" s="25"/>
      <c r="AJ163" s="31"/>
    </row>
    <row r="164" spans="1:36" ht="11.25" customHeight="1" outlineLevel="1">
      <c r="A164" s="19"/>
      <c r="B164" s="1908"/>
      <c r="C164" s="1916">
        <v>43131</v>
      </c>
      <c r="D164" s="62"/>
      <c r="E164" s="62"/>
      <c r="F164" s="62"/>
      <c r="G164" s="62"/>
      <c r="H164" s="1917"/>
      <c r="I164" s="1917"/>
      <c r="J164" s="1917"/>
      <c r="K164" s="1917"/>
      <c r="L164" s="1917"/>
      <c r="M164" s="1917"/>
      <c r="N164" s="1917"/>
      <c r="O164" s="1917"/>
      <c r="P164" s="1917"/>
      <c r="Q164" s="1917"/>
      <c r="R164" s="1917">
        <f>R$22/R$149*(1-$H$150)</f>
        <v>22.467983256719389</v>
      </c>
      <c r="S164" s="1917">
        <f>(IF(COUNT($R164:R164)&lt;$R$149,R164,0))</f>
        <v>22.467983256719389</v>
      </c>
      <c r="T164" s="1917">
        <f>(IF(COUNT($R164:S164)&lt;$R$149,S164,0))</f>
        <v>22.467983256719389</v>
      </c>
      <c r="U164" s="1917">
        <f>(IF(COUNT($R164:T164)&lt;$R$149,T164,0))</f>
        <v>22.467983256719389</v>
      </c>
      <c r="V164" s="1917">
        <f>(IF(COUNT($R164:U164)&lt;$R$149,U164,0))</f>
        <v>22.467983256719389</v>
      </c>
      <c r="W164" s="1917">
        <f>(IF(COUNT($R164:V164)&lt;$R$149,V164,0))</f>
        <v>22.467983256719389</v>
      </c>
      <c r="X164" s="25"/>
      <c r="Y164" s="25"/>
      <c r="Z164" s="25"/>
      <c r="AG164" s="25"/>
      <c r="AH164" s="25"/>
      <c r="AI164" s="25"/>
      <c r="AJ164" s="31"/>
    </row>
    <row r="165" spans="1:36" ht="11.25" customHeight="1" outlineLevel="1">
      <c r="A165" s="19"/>
      <c r="B165" s="1908"/>
      <c r="C165" s="1916">
        <v>43496</v>
      </c>
      <c r="D165" s="62"/>
      <c r="E165" s="62"/>
      <c r="F165" s="62"/>
      <c r="G165" s="62"/>
      <c r="H165" s="1917"/>
      <c r="I165" s="1917"/>
      <c r="J165" s="1917"/>
      <c r="K165" s="1917"/>
      <c r="L165" s="1917"/>
      <c r="M165" s="1917"/>
      <c r="N165" s="1917"/>
      <c r="O165" s="1917"/>
      <c r="P165" s="1917"/>
      <c r="Q165" s="1917"/>
      <c r="R165" s="1917"/>
      <c r="S165" s="1917">
        <f>S$22/S$149*(1-$H$150)</f>
        <v>22.917342921853777</v>
      </c>
      <c r="T165" s="1917">
        <f>(IF(COUNT($R165:S165)&lt;$R$149,S165,0))</f>
        <v>22.917342921853777</v>
      </c>
      <c r="U165" s="1917">
        <f>(IF(COUNT($R165:T165)&lt;$R$149,T165,0))</f>
        <v>22.917342921853777</v>
      </c>
      <c r="V165" s="1917">
        <f>(IF(COUNT($R165:U165)&lt;$R$149,U165,0))</f>
        <v>22.917342921853777</v>
      </c>
      <c r="W165" s="1917">
        <f>(IF(COUNT($R165:V165)&lt;$R$149,V165,0))</f>
        <v>22.917342921853777</v>
      </c>
      <c r="X165" s="25"/>
      <c r="Y165" s="25"/>
      <c r="Z165" s="25"/>
      <c r="AG165" s="25"/>
      <c r="AH165" s="25"/>
      <c r="AI165" s="25"/>
      <c r="AJ165" s="31"/>
    </row>
    <row r="166" spans="1:36" ht="11.25" customHeight="1" outlineLevel="1">
      <c r="A166" s="19"/>
      <c r="B166" s="1908"/>
      <c r="C166" s="1916">
        <v>43861</v>
      </c>
      <c r="D166" s="62"/>
      <c r="E166" s="62"/>
      <c r="F166" s="62"/>
      <c r="G166" s="62"/>
      <c r="H166" s="1917"/>
      <c r="I166" s="1917"/>
      <c r="J166" s="1917"/>
      <c r="K166" s="1917"/>
      <c r="L166" s="1917"/>
      <c r="M166" s="1917"/>
      <c r="N166" s="1917"/>
      <c r="O166" s="1917"/>
      <c r="P166" s="1917"/>
      <c r="Q166" s="1917"/>
      <c r="R166" s="1917"/>
      <c r="S166" s="1917"/>
      <c r="T166" s="1917">
        <f>T$22/T$149*(1-$H$150)</f>
        <v>23.375689780290855</v>
      </c>
      <c r="U166" s="1917">
        <f>(IF(COUNT($R166:T166)&lt;$R$149,T166,0))</f>
        <v>23.375689780290855</v>
      </c>
      <c r="V166" s="1917">
        <f>(IF(COUNT($R166:U166)&lt;$R$149,U166,0))</f>
        <v>23.375689780290855</v>
      </c>
      <c r="W166" s="1917">
        <f>(IF(COUNT($R166:V166)&lt;$R$149,V166,0))</f>
        <v>23.375689780290855</v>
      </c>
      <c r="X166" s="25"/>
      <c r="Y166" s="25"/>
      <c r="Z166" s="25"/>
      <c r="AG166" s="25"/>
      <c r="AH166" s="25"/>
      <c r="AI166" s="25"/>
      <c r="AJ166" s="31"/>
    </row>
    <row r="167" spans="1:36" ht="11.25" customHeight="1" outlineLevel="1">
      <c r="A167" s="19"/>
      <c r="B167" s="1908"/>
      <c r="C167" s="1916">
        <v>44227</v>
      </c>
      <c r="D167" s="62"/>
      <c r="E167" s="62"/>
      <c r="F167" s="62"/>
      <c r="G167" s="62"/>
      <c r="H167" s="1917"/>
      <c r="I167" s="1917"/>
      <c r="J167" s="1917"/>
      <c r="K167" s="1917"/>
      <c r="L167" s="1917"/>
      <c r="M167" s="1917"/>
      <c r="N167" s="1917"/>
      <c r="O167" s="1917"/>
      <c r="P167" s="1917"/>
      <c r="Q167" s="1917"/>
      <c r="R167" s="1917"/>
      <c r="S167" s="1917"/>
      <c r="T167" s="1915"/>
      <c r="U167" s="1917">
        <f>U$22/U$149*(1-$H$150)</f>
        <v>23.843203575896663</v>
      </c>
      <c r="V167" s="1917">
        <f>(IF(COUNT($R167:U167)&lt;$R$149,U167,0))</f>
        <v>23.843203575896663</v>
      </c>
      <c r="W167" s="1917">
        <f>(IF(COUNT($R167:V167)&lt;$R$149,V167,0))</f>
        <v>23.843203575896663</v>
      </c>
      <c r="X167" s="25"/>
      <c r="Y167" s="25"/>
      <c r="Z167" s="25"/>
      <c r="AG167" s="25"/>
      <c r="AH167" s="25"/>
      <c r="AI167" s="25"/>
      <c r="AJ167" s="31"/>
    </row>
    <row r="168" spans="1:36" ht="11.25" customHeight="1" outlineLevel="1">
      <c r="A168" s="19"/>
      <c r="B168" s="1908"/>
      <c r="C168" s="1916">
        <v>44592</v>
      </c>
      <c r="D168" s="62"/>
      <c r="E168" s="62"/>
      <c r="F168" s="62"/>
      <c r="G168" s="62"/>
      <c r="H168" s="1917"/>
      <c r="I168" s="1917"/>
      <c r="J168" s="1917"/>
      <c r="K168" s="1917"/>
      <c r="L168" s="1917"/>
      <c r="M168" s="1917"/>
      <c r="N168" s="1917"/>
      <c r="O168" s="1917"/>
      <c r="P168" s="1917"/>
      <c r="Q168" s="1917"/>
      <c r="R168" s="1917"/>
      <c r="S168" s="1917"/>
      <c r="T168" s="1915"/>
      <c r="U168" s="25"/>
      <c r="V168" s="1917">
        <f>V$22/V$149*(1-$H$150)</f>
        <v>24.3200676474146</v>
      </c>
      <c r="W168" s="1917">
        <f>(IF(COUNT($R168:V168)&lt;$R$149,V168,0))</f>
        <v>24.3200676474146</v>
      </c>
      <c r="X168" s="25"/>
      <c r="Y168" s="25"/>
      <c r="Z168" s="25"/>
      <c r="AG168" s="25"/>
      <c r="AH168" s="25"/>
      <c r="AI168" s="25"/>
      <c r="AJ168" s="31"/>
    </row>
    <row r="169" spans="1:36" ht="11.25" customHeight="1" outlineLevel="1">
      <c r="A169" s="19"/>
      <c r="B169" s="1908"/>
      <c r="C169" s="1916">
        <v>44957</v>
      </c>
      <c r="D169" s="62"/>
      <c r="E169" s="62"/>
      <c r="F169" s="62"/>
      <c r="G169" s="62"/>
      <c r="H169" s="1917"/>
      <c r="I169" s="1917"/>
      <c r="J169" s="1917"/>
      <c r="K169" s="1917"/>
      <c r="L169" s="1917"/>
      <c r="M169" s="1917"/>
      <c r="N169" s="1917"/>
      <c r="O169" s="1917"/>
      <c r="P169" s="1917"/>
      <c r="Q169" s="1917"/>
      <c r="R169" s="1917"/>
      <c r="S169" s="1917"/>
      <c r="T169" s="1915"/>
      <c r="U169" s="25"/>
      <c r="V169" s="25"/>
      <c r="W169" s="1917">
        <f>W$22/W$149*(1-$H$150)</f>
        <v>24.806469000362892</v>
      </c>
      <c r="X169" s="25"/>
      <c r="Y169" s="25"/>
      <c r="Z169" s="25"/>
      <c r="AG169" s="25"/>
      <c r="AH169" s="25"/>
      <c r="AI169" s="25"/>
      <c r="AJ169" s="31"/>
    </row>
    <row r="170" spans="1:36" ht="11.25" customHeight="1" outlineLevel="1">
      <c r="A170" s="19"/>
      <c r="B170" s="1918"/>
      <c r="C170" s="62"/>
      <c r="D170" s="62"/>
      <c r="E170" s="62"/>
      <c r="F170" s="62"/>
      <c r="G170" s="62"/>
      <c r="H170" s="1915"/>
      <c r="I170" s="1915"/>
      <c r="J170" s="1915"/>
      <c r="K170" s="1915"/>
      <c r="L170" s="1915"/>
      <c r="M170" s="1915"/>
      <c r="N170" s="1915"/>
      <c r="O170" s="1915"/>
      <c r="P170" s="1915"/>
      <c r="Q170" s="1915"/>
      <c r="R170" s="1915"/>
      <c r="S170" s="21"/>
      <c r="T170" s="21"/>
      <c r="U170" s="21"/>
      <c r="V170" s="21"/>
      <c r="W170" s="21"/>
      <c r="X170" s="25"/>
      <c r="Y170" s="25"/>
      <c r="Z170" s="25"/>
      <c r="AG170" s="25"/>
      <c r="AH170" s="25"/>
      <c r="AI170" s="25"/>
      <c r="AJ170" s="31"/>
    </row>
    <row r="171" spans="1:36" ht="11.25" customHeight="1" outlineLevel="1">
      <c r="A171" s="1911"/>
      <c r="B171" s="1919"/>
      <c r="C171" s="62"/>
      <c r="D171" s="62"/>
      <c r="E171" s="62"/>
      <c r="F171" s="62"/>
      <c r="G171" s="62"/>
      <c r="H171" s="1914">
        <f t="shared" ref="H171:W171" si="55">SUM(H154:H169)</f>
        <v>137.41449365506628</v>
      </c>
      <c r="I171" s="1914">
        <f t="shared" si="55"/>
        <v>147.42593173677056</v>
      </c>
      <c r="J171" s="1914">
        <f t="shared" si="55"/>
        <v>172.13036556523554</v>
      </c>
      <c r="K171" s="1914">
        <f t="shared" si="55"/>
        <v>194.88044502779709</v>
      </c>
      <c r="L171" s="1914">
        <f t="shared" si="55"/>
        <v>212.96884251598868</v>
      </c>
      <c r="M171" s="1914">
        <f t="shared" si="55"/>
        <v>120.35164259718684</v>
      </c>
      <c r="N171" s="1914">
        <f t="shared" si="55"/>
        <v>114.76286076646313</v>
      </c>
      <c r="O171" s="1914">
        <f t="shared" si="55"/>
        <v>143.19365041725175</v>
      </c>
      <c r="P171" s="1914">
        <f t="shared" si="55"/>
        <v>159.8884907124764</v>
      </c>
      <c r="Q171" s="1914">
        <f t="shared" si="55"/>
        <v>181.91592527788757</v>
      </c>
      <c r="R171" s="1914">
        <f t="shared" si="55"/>
        <v>204.38390853460695</v>
      </c>
      <c r="S171" s="1914">
        <f t="shared" si="55"/>
        <v>214.54152350165512</v>
      </c>
      <c r="T171" s="1914">
        <f t="shared" si="55"/>
        <v>210.51945537784169</v>
      </c>
      <c r="U171" s="1914">
        <f t="shared" si="55"/>
        <v>208.97312189705028</v>
      </c>
      <c r="V171" s="1914">
        <f t="shared" si="55"/>
        <v>212.61812361402929</v>
      </c>
      <c r="W171" s="1914">
        <f t="shared" si="55"/>
        <v>230.2337542130592</v>
      </c>
      <c r="X171" s="21"/>
      <c r="Y171" s="21"/>
      <c r="Z171" s="21"/>
      <c r="AG171" s="21"/>
      <c r="AH171" s="21"/>
      <c r="AI171" s="21"/>
      <c r="AJ171" s="31"/>
    </row>
    <row r="172" spans="1:36">
      <c r="A172" s="19"/>
      <c r="B172" s="20"/>
      <c r="C172" s="1920"/>
      <c r="D172" s="1920"/>
      <c r="E172" s="1920"/>
      <c r="F172" s="1920"/>
      <c r="G172" s="1920"/>
      <c r="H172" s="22"/>
      <c r="I172" s="22"/>
      <c r="J172" s="22"/>
      <c r="K172" s="22"/>
      <c r="L172" s="22"/>
      <c r="M172" s="22"/>
      <c r="N172" s="22"/>
      <c r="O172" s="22"/>
      <c r="P172" s="22"/>
      <c r="Q172" s="22"/>
      <c r="R172" s="22"/>
      <c r="S172" s="22"/>
      <c r="T172" s="1921"/>
      <c r="U172" s="25"/>
      <c r="V172" s="25"/>
      <c r="W172" s="25"/>
      <c r="X172" s="25"/>
      <c r="Y172" s="25"/>
      <c r="Z172" s="25"/>
      <c r="AG172" s="25"/>
      <c r="AH172" s="25"/>
      <c r="AI172" s="25"/>
      <c r="AJ172" s="31"/>
    </row>
    <row r="173" spans="1:36">
      <c r="A173" s="19"/>
      <c r="B173" s="20"/>
      <c r="C173" s="1922"/>
      <c r="D173" s="1922"/>
      <c r="E173" s="1922"/>
      <c r="F173" s="1922"/>
      <c r="G173" s="1922"/>
      <c r="H173" s="22"/>
      <c r="I173" s="22"/>
      <c r="J173" s="22"/>
      <c r="K173" s="22"/>
      <c r="L173" s="22"/>
      <c r="M173" s="22"/>
      <c r="N173" s="22"/>
      <c r="O173" s="22"/>
      <c r="P173" s="22"/>
      <c r="Q173" s="22"/>
      <c r="R173" s="22"/>
      <c r="S173" s="22"/>
      <c r="T173" s="1923"/>
      <c r="U173" s="25"/>
      <c r="V173" s="25"/>
      <c r="W173" s="25"/>
      <c r="X173" s="25"/>
      <c r="Y173" s="25"/>
      <c r="Z173" s="25"/>
      <c r="AG173" s="25"/>
      <c r="AH173" s="25"/>
      <c r="AI173" s="25"/>
      <c r="AJ173" s="31"/>
    </row>
    <row r="174" spans="1:36">
      <c r="A174" s="19"/>
      <c r="B174" s="20"/>
      <c r="C174" s="62"/>
      <c r="D174" s="62"/>
      <c r="E174" s="62"/>
      <c r="F174" s="62"/>
      <c r="G174" s="62"/>
      <c r="H174" s="22"/>
      <c r="I174" s="22"/>
      <c r="J174" s="22"/>
      <c r="K174" s="22"/>
      <c r="L174" s="22"/>
      <c r="M174" s="22"/>
      <c r="N174" s="22"/>
      <c r="O174" s="22"/>
      <c r="P174" s="22"/>
      <c r="Q174" s="22"/>
      <c r="R174" s="22"/>
      <c r="S174" s="22"/>
      <c r="T174" s="21"/>
      <c r="U174" s="25"/>
      <c r="V174" s="25"/>
      <c r="W174" s="25"/>
      <c r="X174" s="25"/>
      <c r="Y174" s="25"/>
      <c r="Z174" s="25"/>
      <c r="AG174" s="25"/>
      <c r="AH174" s="25"/>
      <c r="AI174" s="25"/>
      <c r="AJ174" s="31"/>
    </row>
    <row r="175" spans="1:36" hidden="1" outlineLevel="1">
      <c r="A175" s="19"/>
      <c r="B175" s="20"/>
      <c r="C175" s="62"/>
      <c r="D175" s="62"/>
      <c r="E175" s="62"/>
      <c r="F175" s="62"/>
      <c r="G175" s="62"/>
      <c r="H175" s="22"/>
      <c r="I175" s="22"/>
      <c r="J175" s="22"/>
      <c r="K175" s="22"/>
      <c r="L175" s="22"/>
      <c r="M175" s="22"/>
      <c r="N175" s="22"/>
      <c r="O175" s="22"/>
      <c r="P175" s="22"/>
      <c r="Q175" s="22"/>
      <c r="R175" s="22"/>
      <c r="S175" s="22"/>
      <c r="T175" s="21"/>
      <c r="U175" s="25"/>
      <c r="V175" s="25"/>
      <c r="W175" s="25"/>
      <c r="X175" s="25"/>
      <c r="Y175" s="25"/>
      <c r="Z175" s="25"/>
      <c r="AG175" s="25"/>
      <c r="AH175" s="25"/>
      <c r="AI175" s="25"/>
      <c r="AJ175" s="31"/>
    </row>
    <row r="176" spans="1:36" hidden="1" outlineLevel="1">
      <c r="A176" s="19"/>
      <c r="B176" s="20"/>
      <c r="C176" s="62"/>
      <c r="D176" s="62"/>
      <c r="E176" s="62"/>
      <c r="F176" s="62"/>
      <c r="G176" s="62"/>
      <c r="H176" s="22"/>
      <c r="I176" s="22"/>
      <c r="J176" s="22"/>
      <c r="K176" s="22"/>
      <c r="L176" s="22"/>
      <c r="M176" s="22"/>
      <c r="N176" s="22"/>
      <c r="O176" s="22"/>
      <c r="P176" s="22"/>
      <c r="Q176" s="22"/>
      <c r="R176" s="22"/>
      <c r="S176" s="22"/>
      <c r="T176" s="21"/>
      <c r="U176" s="25"/>
      <c r="V176" s="25"/>
      <c r="W176" s="25"/>
      <c r="X176" s="25"/>
      <c r="Y176" s="25"/>
      <c r="Z176" s="25"/>
      <c r="AG176" s="25"/>
      <c r="AH176" s="25"/>
      <c r="AI176" s="25"/>
      <c r="AJ176" s="31"/>
    </row>
    <row r="177" spans="1:36" hidden="1" outlineLevel="1">
      <c r="A177" s="19"/>
      <c r="B177" s="20"/>
      <c r="C177" s="21"/>
      <c r="D177" s="21"/>
      <c r="E177" s="21"/>
      <c r="F177" s="21"/>
      <c r="G177" s="21"/>
      <c r="H177" s="22"/>
      <c r="I177" s="22"/>
      <c r="J177" s="22"/>
      <c r="K177" s="22"/>
      <c r="L177" s="22"/>
      <c r="M177" s="22"/>
      <c r="N177" s="22"/>
      <c r="O177" s="22"/>
      <c r="P177" s="22"/>
      <c r="Q177" s="22"/>
      <c r="R177" s="22"/>
      <c r="S177" s="22"/>
      <c r="T177" s="25"/>
      <c r="U177" s="25"/>
      <c r="V177" s="25"/>
      <c r="W177" s="25"/>
      <c r="X177" s="25"/>
      <c r="Y177" s="25"/>
      <c r="Z177" s="25"/>
      <c r="AG177" s="25"/>
      <c r="AH177" s="25"/>
      <c r="AI177" s="25"/>
      <c r="AJ177" s="31"/>
    </row>
    <row r="178" spans="1:36" hidden="1" outlineLevel="1">
      <c r="A178" s="32"/>
      <c r="B178" s="33"/>
      <c r="C178" s="43"/>
      <c r="D178" s="43"/>
      <c r="E178" s="43"/>
      <c r="F178" s="43"/>
      <c r="G178" s="43"/>
      <c r="H178" s="40"/>
      <c r="I178" s="40"/>
      <c r="J178" s="40"/>
      <c r="K178" s="40"/>
      <c r="L178" s="40"/>
      <c r="M178" s="40"/>
      <c r="N178" s="40"/>
      <c r="O178" s="40"/>
      <c r="P178" s="40"/>
      <c r="Q178" s="40"/>
      <c r="R178" s="40"/>
      <c r="S178" s="40"/>
      <c r="T178" s="17"/>
      <c r="U178" s="17"/>
      <c r="V178" s="17"/>
      <c r="W178" s="17"/>
      <c r="X178" s="17"/>
      <c r="Y178" s="17"/>
      <c r="Z178" s="17"/>
      <c r="AG178" s="17"/>
      <c r="AH178" s="17"/>
      <c r="AI178" s="17"/>
      <c r="AJ178" s="18"/>
    </row>
    <row r="179" spans="1:36" hidden="1" outlineLevel="1">
      <c r="A179" s="19"/>
      <c r="B179" s="20"/>
      <c r="C179" s="21"/>
      <c r="D179" s="21"/>
      <c r="E179" s="21"/>
      <c r="F179" s="21"/>
      <c r="G179" s="21"/>
      <c r="H179" s="22"/>
      <c r="I179" s="22"/>
      <c r="J179" s="22"/>
      <c r="K179" s="22"/>
      <c r="L179" s="22"/>
      <c r="M179" s="22"/>
      <c r="N179" s="22"/>
      <c r="O179" s="22"/>
      <c r="P179" s="22"/>
      <c r="Q179" s="22"/>
      <c r="R179" s="22"/>
      <c r="S179" s="22"/>
      <c r="T179" s="25"/>
      <c r="U179" s="25"/>
      <c r="V179" s="25"/>
      <c r="W179" s="25"/>
      <c r="X179" s="25"/>
      <c r="Y179" s="25"/>
      <c r="Z179" s="25"/>
      <c r="AG179" s="25"/>
      <c r="AH179" s="25"/>
      <c r="AI179" s="25"/>
      <c r="AJ179" s="31"/>
    </row>
    <row r="180" spans="1:36" hidden="1" outlineLevel="1">
      <c r="A180" s="19"/>
      <c r="B180" s="20"/>
      <c r="C180" s="21"/>
      <c r="D180" s="21"/>
      <c r="E180" s="21"/>
      <c r="F180" s="21"/>
      <c r="G180" s="21"/>
      <c r="H180" s="22"/>
      <c r="I180" s="22"/>
      <c r="J180" s="22"/>
      <c r="K180" s="22"/>
      <c r="L180" s="22"/>
      <c r="M180" s="22"/>
      <c r="N180" s="22"/>
      <c r="O180" s="22"/>
      <c r="P180" s="22"/>
      <c r="Q180" s="22"/>
      <c r="R180" s="22"/>
      <c r="S180" s="22"/>
      <c r="T180" s="25"/>
      <c r="U180" s="25"/>
      <c r="V180" s="25"/>
      <c r="W180" s="25"/>
      <c r="X180" s="25"/>
      <c r="Y180" s="25"/>
      <c r="Z180" s="25"/>
      <c r="AG180" s="25"/>
      <c r="AH180" s="25"/>
      <c r="AI180" s="25"/>
      <c r="AJ180" s="31"/>
    </row>
    <row r="181" spans="1:36" hidden="1" outlineLevel="1">
      <c r="A181" s="19"/>
      <c r="B181" s="20"/>
      <c r="C181" s="21"/>
      <c r="D181" s="21"/>
      <c r="E181" s="21"/>
      <c r="F181" s="21"/>
      <c r="G181" s="21"/>
      <c r="H181" s="22"/>
      <c r="I181" s="22"/>
      <c r="J181" s="22"/>
      <c r="K181" s="22"/>
      <c r="L181" s="22"/>
      <c r="M181" s="22"/>
      <c r="N181" s="22"/>
      <c r="O181" s="22"/>
      <c r="P181" s="22"/>
      <c r="Q181" s="22"/>
      <c r="R181" s="22"/>
      <c r="S181" s="22"/>
      <c r="T181" s="25"/>
      <c r="U181" s="25"/>
      <c r="V181" s="25"/>
      <c r="W181" s="25"/>
      <c r="X181" s="25"/>
      <c r="Y181" s="25"/>
      <c r="Z181" s="25"/>
      <c r="AG181" s="25"/>
      <c r="AH181" s="25"/>
      <c r="AI181" s="25"/>
      <c r="AJ181" s="31"/>
    </row>
    <row r="182" spans="1:36" hidden="1" outlineLevel="1">
      <c r="A182" s="19"/>
      <c r="B182" s="20"/>
      <c r="C182" s="21"/>
      <c r="D182" s="21"/>
      <c r="E182" s="21"/>
      <c r="F182" s="21"/>
      <c r="G182" s="21"/>
      <c r="H182" s="22"/>
      <c r="I182" s="22"/>
      <c r="J182" s="22"/>
      <c r="K182" s="22"/>
      <c r="L182" s="22"/>
      <c r="M182" s="22"/>
      <c r="N182" s="22"/>
      <c r="O182" s="22"/>
      <c r="P182" s="22"/>
      <c r="Q182" s="22"/>
      <c r="R182" s="22"/>
      <c r="S182" s="22"/>
      <c r="T182" s="25"/>
      <c r="U182" s="25"/>
      <c r="V182" s="25"/>
      <c r="W182" s="25"/>
      <c r="X182" s="25"/>
      <c r="Y182" s="25"/>
      <c r="Z182" s="25"/>
      <c r="AG182" s="25"/>
      <c r="AH182" s="25"/>
      <c r="AI182" s="25"/>
      <c r="AJ182" s="31"/>
    </row>
    <row r="183" spans="1:36" hidden="1" outlineLevel="1">
      <c r="A183" s="19"/>
      <c r="B183" s="20"/>
      <c r="C183" s="21"/>
      <c r="D183" s="21"/>
      <c r="E183" s="21"/>
      <c r="F183" s="21"/>
      <c r="G183" s="21"/>
      <c r="H183" s="22"/>
      <c r="I183" s="22"/>
      <c r="J183" s="22"/>
      <c r="K183" s="22"/>
      <c r="L183" s="22"/>
      <c r="M183" s="22"/>
      <c r="N183" s="22"/>
      <c r="O183" s="22"/>
      <c r="P183" s="22"/>
      <c r="Q183" s="22"/>
      <c r="R183" s="22"/>
      <c r="S183" s="22"/>
      <c r="T183" s="25"/>
      <c r="U183" s="25"/>
      <c r="V183" s="25"/>
      <c r="W183" s="25"/>
      <c r="X183" s="25"/>
      <c r="Y183" s="25"/>
      <c r="Z183" s="25"/>
      <c r="AG183" s="25"/>
      <c r="AH183" s="25"/>
      <c r="AI183" s="25"/>
      <c r="AJ183" s="31"/>
    </row>
    <row r="184" spans="1:36" hidden="1" outlineLevel="1">
      <c r="A184" s="1924">
        <v>1</v>
      </c>
      <c r="B184" s="1925"/>
      <c r="C184" s="1926"/>
      <c r="D184" s="1926"/>
      <c r="E184" s="1926"/>
      <c r="F184" s="1926"/>
      <c r="G184" s="1926"/>
      <c r="H184" s="1926"/>
      <c r="I184" s="1926"/>
      <c r="J184" s="1926"/>
      <c r="K184" s="1926"/>
      <c r="L184" s="1926"/>
      <c r="M184" s="1926"/>
      <c r="N184" s="1926"/>
      <c r="O184" s="1926"/>
      <c r="P184" s="1926"/>
      <c r="Q184" s="1927"/>
      <c r="R184" s="1927"/>
      <c r="S184" s="1927"/>
      <c r="T184" s="1927"/>
      <c r="U184" s="1927"/>
      <c r="V184" s="1927"/>
      <c r="W184" s="1927"/>
      <c r="X184" s="1927"/>
      <c r="Y184" s="1927"/>
      <c r="Z184" s="1927"/>
      <c r="AG184" s="1927"/>
      <c r="AH184" s="1927"/>
      <c r="AI184" s="1927"/>
      <c r="AJ184" s="1928"/>
    </row>
    <row r="185" spans="1:36" collapsed="1">
      <c r="A185" s="19"/>
      <c r="B185" s="20"/>
      <c r="C185" s="21"/>
      <c r="D185" s="21"/>
      <c r="E185" s="21"/>
      <c r="F185" s="21"/>
      <c r="G185" s="21"/>
      <c r="H185" s="22"/>
      <c r="I185" s="22"/>
      <c r="J185" s="22"/>
      <c r="K185" s="22"/>
      <c r="L185" s="22"/>
      <c r="M185" s="22"/>
      <c r="N185" s="22"/>
      <c r="O185" s="22"/>
      <c r="P185" s="22"/>
      <c r="Q185" s="22"/>
      <c r="R185" s="22"/>
      <c r="S185" s="22"/>
      <c r="T185" s="25"/>
      <c r="U185" s="25"/>
      <c r="V185" s="25"/>
      <c r="W185" s="25"/>
      <c r="X185" s="25"/>
      <c r="Y185" s="25"/>
      <c r="Z185" s="25"/>
      <c r="AG185" s="25"/>
      <c r="AH185" s="25"/>
      <c r="AI185" s="25"/>
      <c r="AJ185" s="31"/>
    </row>
    <row r="186" spans="1:36">
      <c r="A186" s="19"/>
      <c r="B186" s="20"/>
      <c r="C186" s="21"/>
      <c r="D186" s="21"/>
      <c r="E186" s="21"/>
      <c r="F186" s="21"/>
      <c r="G186" s="21"/>
      <c r="H186" s="22"/>
      <c r="I186" s="22"/>
      <c r="J186" s="22"/>
      <c r="K186" s="22"/>
      <c r="L186" s="22"/>
      <c r="M186" s="22"/>
      <c r="N186" s="22"/>
      <c r="O186" s="22"/>
      <c r="P186" s="22"/>
      <c r="Q186" s="22"/>
      <c r="R186" s="22"/>
      <c r="S186" s="22"/>
      <c r="T186" s="25"/>
      <c r="U186" s="25"/>
      <c r="V186" s="25"/>
      <c r="W186" s="25"/>
      <c r="X186" s="25"/>
      <c r="Y186" s="25"/>
      <c r="Z186" s="25"/>
      <c r="AG186" s="25"/>
      <c r="AH186" s="25"/>
      <c r="AI186" s="25"/>
      <c r="AJ186" s="31"/>
    </row>
    <row r="187" spans="1:36" outlineLevel="1">
      <c r="A187" s="19"/>
      <c r="B187" s="20"/>
      <c r="C187" s="1929" t="s">
        <v>2400</v>
      </c>
      <c r="D187" s="21"/>
      <c r="E187" s="21"/>
      <c r="F187" s="21"/>
      <c r="G187" s="21"/>
      <c r="H187" s="1930">
        <f t="shared" ref="H187:P187" si="56">H9</f>
        <v>39844</v>
      </c>
      <c r="I187" s="1930">
        <f t="shared" si="56"/>
        <v>40209</v>
      </c>
      <c r="J187" s="1930">
        <f t="shared" si="56"/>
        <v>40574</v>
      </c>
      <c r="K187" s="1930">
        <f t="shared" si="56"/>
        <v>40939</v>
      </c>
      <c r="L187" s="1930">
        <f t="shared" si="56"/>
        <v>41305</v>
      </c>
      <c r="M187" s="1930">
        <f t="shared" si="56"/>
        <v>41670</v>
      </c>
      <c r="N187" s="1930">
        <f t="shared" si="56"/>
        <v>42035</v>
      </c>
      <c r="O187" s="1930">
        <f t="shared" si="56"/>
        <v>42400</v>
      </c>
      <c r="P187" s="1930">
        <f t="shared" si="56"/>
        <v>42766</v>
      </c>
      <c r="Q187" s="1931"/>
      <c r="R187" s="1931"/>
      <c r="S187" s="1931"/>
      <c r="T187" s="1932"/>
      <c r="U187" s="1932"/>
      <c r="V187" s="1932"/>
      <c r="W187" s="1932"/>
      <c r="X187" s="1932"/>
      <c r="Y187" s="25"/>
      <c r="Z187" s="25"/>
      <c r="AG187" s="25"/>
      <c r="AH187" s="25"/>
      <c r="AI187" s="25"/>
      <c r="AJ187" s="31"/>
    </row>
    <row r="188" spans="1:36" outlineLevel="1">
      <c r="A188" s="19"/>
      <c r="B188" s="20"/>
      <c r="C188" s="1933" t="s">
        <v>2401</v>
      </c>
      <c r="D188" s="21"/>
      <c r="E188" s="21"/>
      <c r="F188" s="21"/>
      <c r="G188" s="21"/>
      <c r="H188" s="22"/>
      <c r="I188" s="22"/>
      <c r="J188" s="22"/>
      <c r="K188" s="22"/>
      <c r="L188" s="22"/>
      <c r="M188" s="22"/>
      <c r="N188" s="22"/>
      <c r="O188" s="22"/>
      <c r="P188" s="22"/>
      <c r="Q188" s="22"/>
      <c r="R188" s="22"/>
      <c r="S188" s="22"/>
      <c r="T188" s="25"/>
      <c r="U188" s="25"/>
      <c r="V188" s="25"/>
      <c r="W188" s="25"/>
      <c r="X188" s="25"/>
      <c r="Y188" s="25"/>
      <c r="Z188" s="25"/>
      <c r="AG188" s="25"/>
      <c r="AH188" s="25"/>
      <c r="AI188" s="25"/>
      <c r="AJ188" s="31"/>
    </row>
    <row r="189" spans="1:36" outlineLevel="1">
      <c r="A189" s="19"/>
      <c r="B189" s="20"/>
      <c r="C189" s="21"/>
      <c r="D189" s="21"/>
      <c r="E189" s="21"/>
      <c r="F189" s="21"/>
      <c r="G189" s="21"/>
      <c r="H189" s="1934"/>
      <c r="I189" s="1934"/>
      <c r="J189" s="1934"/>
      <c r="K189" s="1934"/>
      <c r="L189" s="1934"/>
      <c r="M189" s="1934"/>
      <c r="N189" s="1934"/>
      <c r="O189" s="1934"/>
      <c r="P189" s="1934"/>
      <c r="Q189" s="25"/>
      <c r="R189" s="25"/>
      <c r="S189" s="25"/>
      <c r="T189" s="25"/>
      <c r="U189" s="25"/>
      <c r="V189" s="25"/>
      <c r="W189" s="25"/>
      <c r="X189" s="25"/>
      <c r="Y189" s="25"/>
      <c r="Z189" s="25"/>
      <c r="AG189" s="25"/>
      <c r="AH189" s="25"/>
      <c r="AI189" s="25"/>
      <c r="AJ189" s="25"/>
    </row>
    <row r="190" spans="1:36" outlineLevel="1">
      <c r="A190" s="19"/>
      <c r="B190" s="20"/>
      <c r="C190" s="1935" t="s">
        <v>2402</v>
      </c>
      <c r="D190" s="1935"/>
      <c r="E190" s="1936"/>
      <c r="F190" s="21"/>
      <c r="G190" s="21"/>
      <c r="H190" s="1937">
        <f>_xll.ThomsonONEAddinShim.SpreadsheetFormulas.TF(SedolTicker,$AJ$190,,H$5,$J$3)</f>
        <v>4.9000000000000002E-2</v>
      </c>
      <c r="I190" s="1937">
        <f>_xll.ThomsonONEAddinShim.SpreadsheetFormulas.TF(SedolTicker,$AJ$190,,I$5,$J$3)</f>
        <v>5.4000000000000006E-2</v>
      </c>
      <c r="J190" s="1937">
        <f>_xll.ThomsonONEAddinShim.SpreadsheetFormulas.TF(SedolTicker,$AJ$190,,J$5,$J$3)</f>
        <v>0.06</v>
      </c>
      <c r="K190" s="1937">
        <f>_xll.ThomsonONEAddinShim.SpreadsheetFormulas.TF(SedolTicker,$AJ$190,,K$5,$J$3)</f>
        <v>6.3E-2</v>
      </c>
      <c r="L190" s="1937">
        <f>_xll.ThomsonONEAddinShim.SpreadsheetFormulas.TF(SedolTicker,$AJ$190,,L$5,$J$3)</f>
        <v>6.5000000000000002E-2</v>
      </c>
      <c r="M190" s="1937">
        <f>_xll.ThomsonONEAddinShim.SpreadsheetFormulas.TF(SedolTicker,$AJ$190,,M$5,$J$3)</f>
        <v>6.8000000000000005E-2</v>
      </c>
      <c r="N190" s="1937">
        <f>_xll.ThomsonONEAddinShim.SpreadsheetFormulas.TF(SedolTicker,$AJ$190,,N$5,$J$3)</f>
        <v>6.5000000000000002E-2</v>
      </c>
      <c r="O190" s="1937">
        <f>_xll.ThomsonONEAddinShim.SpreadsheetFormulas.TF(SedolTicker,$AJ$190,,O$5,$J$3)</f>
        <v>5.7999999999999996E-2</v>
      </c>
      <c r="P190" s="1937">
        <f>_xll.ThomsonONEAddinShim.SpreadsheetFormulas.TF(SedolTicker,$AJ$190,,P$5,$J$3)</f>
        <v>5.2999999999999999E-2</v>
      </c>
      <c r="Q190" s="1938"/>
      <c r="R190" s="1938"/>
      <c r="S190" s="1938"/>
      <c r="T190" s="1938"/>
      <c r="U190" s="1938"/>
      <c r="V190" s="25"/>
      <c r="W190" s="1938"/>
      <c r="X190" s="1938"/>
      <c r="Y190" s="1938"/>
      <c r="Z190" s="1938"/>
      <c r="AG190" s="25"/>
      <c r="AH190" s="25"/>
      <c r="AI190" s="25"/>
      <c r="AJ190" s="1939" t="s">
        <v>2398</v>
      </c>
    </row>
    <row r="191" spans="1:36" outlineLevel="1">
      <c r="A191" s="19"/>
      <c r="B191" s="20"/>
      <c r="C191" s="1935" t="s">
        <v>2403</v>
      </c>
      <c r="D191" s="1935"/>
      <c r="E191" s="1936"/>
      <c r="F191" s="21"/>
      <c r="G191" s="21"/>
      <c r="H191" s="22"/>
      <c r="I191" s="1937">
        <f>_xll.ThomsonONEAddinShim.SpreadsheetFormulas.TF(SedolTicker,$AJ$191,"dataDir=across",$I$5,$P$5,$J$3)</f>
        <v>7.2999999999999995E-2</v>
      </c>
      <c r="J191" s="1937">
        <v>7.9680053469719861E-2</v>
      </c>
      <c r="K191" s="1937">
        <v>6.8922567952964767E-2</v>
      </c>
      <c r="L191" s="1937">
        <v>6.1637366669724539E-2</v>
      </c>
      <c r="M191" s="1937">
        <v>5.6581503319266375E-2</v>
      </c>
      <c r="N191" s="1937">
        <v>5.6337031636794835E-2</v>
      </c>
      <c r="O191" s="1937">
        <v>4.4388078630310718E-2</v>
      </c>
      <c r="P191" s="1937">
        <v>4.4621082106404121E-2</v>
      </c>
      <c r="Q191" s="1938"/>
      <c r="R191" s="1938"/>
      <c r="S191" s="1938"/>
      <c r="T191" s="1938"/>
      <c r="U191" s="1938"/>
      <c r="V191" s="25"/>
      <c r="W191" s="1938"/>
      <c r="X191" s="1938"/>
      <c r="Y191" s="1938"/>
      <c r="Z191" s="1938"/>
      <c r="AG191" s="25"/>
      <c r="AH191" s="25"/>
      <c r="AI191" s="25"/>
      <c r="AJ191" s="1939" t="s">
        <v>2399</v>
      </c>
    </row>
    <row r="192" spans="1:36" outlineLevel="1">
      <c r="A192" s="19"/>
      <c r="B192" s="20"/>
      <c r="C192" s="1940"/>
      <c r="D192" s="1940"/>
      <c r="E192" s="1941"/>
      <c r="F192" s="21"/>
      <c r="G192" s="21"/>
      <c r="H192" s="1942"/>
      <c r="I192" s="1942"/>
      <c r="J192" s="1942"/>
      <c r="K192" s="1942"/>
      <c r="L192" s="1942"/>
      <c r="M192" s="1942"/>
      <c r="N192" s="1942"/>
      <c r="O192" s="1942"/>
      <c r="P192" s="1942"/>
      <c r="Q192" s="1943"/>
      <c r="R192" s="1943"/>
      <c r="S192" s="1943"/>
      <c r="T192" s="1943"/>
      <c r="U192" s="1943"/>
      <c r="V192" s="25"/>
      <c r="W192" s="1943"/>
      <c r="X192" s="1943"/>
      <c r="Y192" s="1943"/>
      <c r="Z192" s="1943"/>
      <c r="AG192" s="25"/>
      <c r="AH192" s="25"/>
      <c r="AI192" s="25"/>
      <c r="AJ192" s="1943"/>
    </row>
    <row r="193" spans="1:36" outlineLevel="1">
      <c r="A193" s="19"/>
      <c r="B193" s="20"/>
      <c r="C193" s="1940"/>
      <c r="D193" s="1940"/>
      <c r="E193" s="1941"/>
      <c r="F193" s="21"/>
      <c r="G193" s="21"/>
      <c r="H193" s="1942"/>
      <c r="I193" s="1942"/>
      <c r="J193" s="1942"/>
      <c r="K193" s="1942"/>
      <c r="L193" s="1942"/>
      <c r="M193" s="1942"/>
      <c r="N193" s="1942"/>
      <c r="O193" s="1942"/>
      <c r="P193" s="1942"/>
      <c r="Q193" s="1943"/>
      <c r="R193" s="1943"/>
      <c r="S193" s="1943"/>
      <c r="T193" s="1943"/>
      <c r="U193" s="1943"/>
      <c r="V193" s="25"/>
      <c r="W193" s="1943"/>
      <c r="X193" s="1943"/>
      <c r="Y193" s="1943"/>
      <c r="Z193" s="1943"/>
      <c r="AG193" s="25"/>
      <c r="AH193" s="25"/>
      <c r="AI193" s="25"/>
      <c r="AJ193" s="1943"/>
    </row>
    <row r="194" spans="1:36" outlineLevel="1">
      <c r="A194" s="19"/>
      <c r="B194" s="20"/>
      <c r="C194" s="1935" t="s">
        <v>1596</v>
      </c>
      <c r="D194" s="1935"/>
      <c r="E194" s="1936"/>
      <c r="F194" s="21"/>
      <c r="G194" s="21"/>
      <c r="H194" s="1944">
        <f>_xll.ThomsonONEAddinShim.SpreadsheetFormulas.TF(SedolTicker,$AJ194,"dataDir=across",$J$3)</f>
        <v>29</v>
      </c>
      <c r="I194" s="1944">
        <v>55.124000000000002</v>
      </c>
      <c r="J194" s="1944">
        <v>54.838999999999999</v>
      </c>
      <c r="K194" s="1944">
        <v>49.082999999999998</v>
      </c>
      <c r="L194" s="1944">
        <v>59.127000000000002</v>
      </c>
      <c r="M194" s="1944">
        <v>62.654000000000003</v>
      </c>
      <c r="N194" s="1944">
        <v>62.902999999999999</v>
      </c>
      <c r="O194" s="1944">
        <v>49</v>
      </c>
      <c r="P194" s="1944">
        <v>49.4</v>
      </c>
      <c r="Q194" s="1943"/>
      <c r="R194" s="1943"/>
      <c r="S194" s="1943"/>
      <c r="T194" s="1943"/>
      <c r="U194" s="1943"/>
      <c r="V194" s="25"/>
      <c r="W194" s="1943"/>
      <c r="X194" s="1943"/>
      <c r="Y194" s="1943"/>
      <c r="Z194" s="1943"/>
      <c r="AG194" s="25"/>
      <c r="AH194" s="25"/>
      <c r="AI194" s="25"/>
      <c r="AJ194" s="1945" t="s">
        <v>916</v>
      </c>
    </row>
    <row r="195" spans="1:36" outlineLevel="1">
      <c r="A195" s="32"/>
      <c r="B195" s="33"/>
      <c r="C195" s="1935" t="s">
        <v>917</v>
      </c>
      <c r="D195" s="1935"/>
      <c r="E195" s="1936"/>
      <c r="F195" s="21"/>
      <c r="G195" s="21"/>
      <c r="H195" s="1944">
        <f>_xll.ThomsonONEAddinShim.SpreadsheetFormulas.TF(SedolTicker,$AJ195,"dataDir=across",$J$3)</f>
        <v>283</v>
      </c>
      <c r="I195" s="1944">
        <v>234.45699999999999</v>
      </c>
      <c r="J195" s="1944">
        <v>99.745999999999995</v>
      </c>
      <c r="K195" s="1944">
        <v>173.79499999999999</v>
      </c>
      <c r="L195" s="1944">
        <v>194.03399999999999</v>
      </c>
      <c r="M195" s="1944">
        <v>356.16899999999998</v>
      </c>
      <c r="N195" s="1944">
        <v>234.01300000000001</v>
      </c>
      <c r="O195" s="1944">
        <v>305.8</v>
      </c>
      <c r="P195" s="1944">
        <v>228.7</v>
      </c>
      <c r="Q195" s="1943"/>
      <c r="R195" s="1943"/>
      <c r="S195" s="1943"/>
      <c r="T195" s="1943"/>
      <c r="U195" s="1943"/>
      <c r="V195" s="25"/>
      <c r="W195" s="1943"/>
      <c r="X195" s="1943"/>
      <c r="Y195" s="1943"/>
      <c r="Z195" s="1943"/>
      <c r="AG195" s="25"/>
      <c r="AH195" s="25"/>
      <c r="AI195" s="25"/>
      <c r="AJ195" s="1945" t="s">
        <v>918</v>
      </c>
    </row>
    <row r="196" spans="1:36" outlineLevel="1">
      <c r="A196" s="32"/>
      <c r="B196" s="33"/>
      <c r="C196" s="1935" t="s">
        <v>919</v>
      </c>
      <c r="D196" s="1935"/>
      <c r="E196" s="1936"/>
      <c r="F196" s="43"/>
      <c r="G196" s="43"/>
      <c r="H196" s="1944">
        <f>_xll.ThomsonONEAddinShim.SpreadsheetFormulas.TF(SedolTicker,$AJ196,"dataDir=across",$J$3)</f>
        <v>425</v>
      </c>
      <c r="I196" s="1944">
        <v>519.59199999999998</v>
      </c>
      <c r="J196" s="1944">
        <v>588.49400000000003</v>
      </c>
      <c r="K196" s="1944">
        <v>538.35199999999998</v>
      </c>
      <c r="L196" s="1944">
        <v>765.23800000000006</v>
      </c>
      <c r="M196" s="1944">
        <v>751.154</v>
      </c>
      <c r="N196" s="1944">
        <v>882.53499999999997</v>
      </c>
      <c r="O196" s="1944">
        <v>798.1</v>
      </c>
      <c r="P196" s="1944">
        <v>878.4</v>
      </c>
      <c r="Q196" s="1943"/>
      <c r="R196" s="1943"/>
      <c r="S196" s="1943"/>
      <c r="T196" s="1943"/>
      <c r="U196" s="1943"/>
      <c r="V196" s="17"/>
      <c r="W196" s="1943"/>
      <c r="X196" s="1943"/>
      <c r="Y196" s="1943"/>
      <c r="Z196" s="1943"/>
      <c r="AG196" s="17"/>
      <c r="AH196" s="17"/>
      <c r="AI196" s="17"/>
      <c r="AJ196" s="1945" t="s">
        <v>2384</v>
      </c>
    </row>
    <row r="197" spans="1:36" outlineLevel="1"/>
  </sheetData>
  <phoneticPr fontId="123" type="noConversion"/>
  <conditionalFormatting sqref="A44 C46">
    <cfRule type="cellIs" dxfId="1" priority="1" stopIfTrue="1" operator="equal">
      <formula>"A44=0"</formula>
    </cfRule>
  </conditionalFormatting>
  <conditionalFormatting sqref="H44 I44:P45">
    <cfRule type="cellIs" dxfId="0" priority="2" stopIfTrue="1" operator="equal">
      <formula>0</formula>
    </cfRule>
  </conditionalFormatting>
  <pageMargins left="0.25" right="0.25" top="0.25" bottom="0.5" header="0.25" footer="0.25"/>
  <pageSetup paperSize="5" scale="80" orientation="landscape" horizontalDpi="300" verticalDpi="300" r:id="rId1"/>
  <headerFooter alignWithMargins="0">
    <oddFooter>&amp;L&amp;"Arial,Bold"&amp;8Morgan Stanley: Confidential - FOR DISCUSSION PURPOSES ONLY
&amp;R&amp;8Printed on &amp;D - Page &amp;P of &amp;N</oddFooter>
  </headerFooter>
  <rowBreaks count="2" manualBreakCount="2">
    <brk id="41" max="16383" man="1"/>
    <brk id="109" max="16383" man="1"/>
  </rowBreaks>
  <drawing r:id="rId2"/>
  <legacyDrawing r:id="rId3"/>
  <controls>
    <mc:AlternateContent xmlns:mc="http://schemas.openxmlformats.org/markup-compatibility/2006">
      <mc:Choice Requires="x14">
        <control shapeId="575489" r:id="rId4" name="CommandButton2">
          <controlPr defaultSize="0" autoLine="0" r:id="rId5">
            <anchor moveWithCells="1">
              <from>
                <xdr:col>14</xdr:col>
                <xdr:colOff>485775</xdr:colOff>
                <xdr:row>1</xdr:row>
                <xdr:rowOff>57150</xdr:rowOff>
              </from>
              <to>
                <xdr:col>16</xdr:col>
                <xdr:colOff>352425</xdr:colOff>
                <xdr:row>1</xdr:row>
                <xdr:rowOff>381000</xdr:rowOff>
              </to>
            </anchor>
          </controlPr>
        </control>
      </mc:Choice>
      <mc:Fallback>
        <control shapeId="575489" r:id="rId4" name="CommandButton2"/>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1" bestFit="1" customWidth="1"/>
    <col min="2" max="2" width="19.85546875" style="2488" customWidth="1"/>
    <col min="3" max="3" width="12" style="1" bestFit="1" customWidth="1"/>
    <col min="4" max="256" width="9.140625" style="1"/>
    <col min="257" max="257" width="29.5703125" style="1" bestFit="1" customWidth="1"/>
    <col min="258" max="258" width="19.85546875" style="1" customWidth="1"/>
    <col min="259" max="259" width="12" style="1" bestFit="1" customWidth="1"/>
    <col min="260" max="512" width="9.140625" style="1"/>
    <col min="513" max="513" width="29.5703125" style="1" bestFit="1" customWidth="1"/>
    <col min="514" max="514" width="19.85546875" style="1" customWidth="1"/>
    <col min="515" max="515" width="12" style="1" bestFit="1" customWidth="1"/>
    <col min="516" max="768" width="9.140625" style="1"/>
    <col min="769" max="769" width="29.5703125" style="1" bestFit="1" customWidth="1"/>
    <col min="770" max="770" width="19.85546875" style="1" customWidth="1"/>
    <col min="771" max="771" width="12" style="1" bestFit="1" customWidth="1"/>
    <col min="772" max="1024" width="9.140625" style="1"/>
    <col min="1025" max="1025" width="29.5703125" style="1" bestFit="1" customWidth="1"/>
    <col min="1026" max="1026" width="19.85546875" style="1" customWidth="1"/>
    <col min="1027" max="1027" width="12" style="1" bestFit="1" customWidth="1"/>
    <col min="1028" max="1280" width="9.140625" style="1"/>
    <col min="1281" max="1281" width="29.5703125" style="1" bestFit="1" customWidth="1"/>
    <col min="1282" max="1282" width="19.85546875" style="1" customWidth="1"/>
    <col min="1283" max="1283" width="12" style="1" bestFit="1" customWidth="1"/>
    <col min="1284" max="1536" width="9.140625" style="1"/>
    <col min="1537" max="1537" width="29.5703125" style="1" bestFit="1" customWidth="1"/>
    <col min="1538" max="1538" width="19.85546875" style="1" customWidth="1"/>
    <col min="1539" max="1539" width="12" style="1" bestFit="1" customWidth="1"/>
    <col min="1540" max="1792" width="9.140625" style="1"/>
    <col min="1793" max="1793" width="29.5703125" style="1" bestFit="1" customWidth="1"/>
    <col min="1794" max="1794" width="19.85546875" style="1" customWidth="1"/>
    <col min="1795" max="1795" width="12" style="1" bestFit="1" customWidth="1"/>
    <col min="1796" max="2048" width="9.140625" style="1"/>
    <col min="2049" max="2049" width="29.5703125" style="1" bestFit="1" customWidth="1"/>
    <col min="2050" max="2050" width="19.85546875" style="1" customWidth="1"/>
    <col min="2051" max="2051" width="12" style="1" bestFit="1" customWidth="1"/>
    <col min="2052" max="2304" width="9.140625" style="1"/>
    <col min="2305" max="2305" width="29.5703125" style="1" bestFit="1" customWidth="1"/>
    <col min="2306" max="2306" width="19.85546875" style="1" customWidth="1"/>
    <col min="2307" max="2307" width="12" style="1" bestFit="1" customWidth="1"/>
    <col min="2308" max="2560" width="9.140625" style="1"/>
    <col min="2561" max="2561" width="29.5703125" style="1" bestFit="1" customWidth="1"/>
    <col min="2562" max="2562" width="19.85546875" style="1" customWidth="1"/>
    <col min="2563" max="2563" width="12" style="1" bestFit="1" customWidth="1"/>
    <col min="2564" max="2816" width="9.140625" style="1"/>
    <col min="2817" max="2817" width="29.5703125" style="1" bestFit="1" customWidth="1"/>
    <col min="2818" max="2818" width="19.85546875" style="1" customWidth="1"/>
    <col min="2819" max="2819" width="12" style="1" bestFit="1" customWidth="1"/>
    <col min="2820" max="3072" width="9.140625" style="1"/>
    <col min="3073" max="3073" width="29.5703125" style="1" bestFit="1" customWidth="1"/>
    <col min="3074" max="3074" width="19.85546875" style="1" customWidth="1"/>
    <col min="3075" max="3075" width="12" style="1" bestFit="1" customWidth="1"/>
    <col min="3076" max="3328" width="9.140625" style="1"/>
    <col min="3329" max="3329" width="29.5703125" style="1" bestFit="1" customWidth="1"/>
    <col min="3330" max="3330" width="19.85546875" style="1" customWidth="1"/>
    <col min="3331" max="3331" width="12" style="1" bestFit="1" customWidth="1"/>
    <col min="3332" max="3584" width="9.140625" style="1"/>
    <col min="3585" max="3585" width="29.5703125" style="1" bestFit="1" customWidth="1"/>
    <col min="3586" max="3586" width="19.85546875" style="1" customWidth="1"/>
    <col min="3587" max="3587" width="12" style="1" bestFit="1" customWidth="1"/>
    <col min="3588" max="3840" width="9.140625" style="1"/>
    <col min="3841" max="3841" width="29.5703125" style="1" bestFit="1" customWidth="1"/>
    <col min="3842" max="3842" width="19.85546875" style="1" customWidth="1"/>
    <col min="3843" max="3843" width="12" style="1" bestFit="1" customWidth="1"/>
    <col min="3844" max="4096" width="9.140625" style="1"/>
    <col min="4097" max="4097" width="29.5703125" style="1" bestFit="1" customWidth="1"/>
    <col min="4098" max="4098" width="19.85546875" style="1" customWidth="1"/>
    <col min="4099" max="4099" width="12" style="1" bestFit="1" customWidth="1"/>
    <col min="4100" max="4352" width="9.140625" style="1"/>
    <col min="4353" max="4353" width="29.5703125" style="1" bestFit="1" customWidth="1"/>
    <col min="4354" max="4354" width="19.85546875" style="1" customWidth="1"/>
    <col min="4355" max="4355" width="12" style="1" bestFit="1" customWidth="1"/>
    <col min="4356" max="4608" width="9.140625" style="1"/>
    <col min="4609" max="4609" width="29.5703125" style="1" bestFit="1" customWidth="1"/>
    <col min="4610" max="4610" width="19.85546875" style="1" customWidth="1"/>
    <col min="4611" max="4611" width="12" style="1" bestFit="1" customWidth="1"/>
    <col min="4612" max="4864" width="9.140625" style="1"/>
    <col min="4865" max="4865" width="29.5703125" style="1" bestFit="1" customWidth="1"/>
    <col min="4866" max="4866" width="19.85546875" style="1" customWidth="1"/>
    <col min="4867" max="4867" width="12" style="1" bestFit="1" customWidth="1"/>
    <col min="4868" max="5120" width="9.140625" style="1"/>
    <col min="5121" max="5121" width="29.5703125" style="1" bestFit="1" customWidth="1"/>
    <col min="5122" max="5122" width="19.85546875" style="1" customWidth="1"/>
    <col min="5123" max="5123" width="12" style="1" bestFit="1" customWidth="1"/>
    <col min="5124" max="5376" width="9.140625" style="1"/>
    <col min="5377" max="5377" width="29.5703125" style="1" bestFit="1" customWidth="1"/>
    <col min="5378" max="5378" width="19.85546875" style="1" customWidth="1"/>
    <col min="5379" max="5379" width="12" style="1" bestFit="1" customWidth="1"/>
    <col min="5380" max="5632" width="9.140625" style="1"/>
    <col min="5633" max="5633" width="29.5703125" style="1" bestFit="1" customWidth="1"/>
    <col min="5634" max="5634" width="19.85546875" style="1" customWidth="1"/>
    <col min="5635" max="5635" width="12" style="1" bestFit="1" customWidth="1"/>
    <col min="5636" max="5888" width="9.140625" style="1"/>
    <col min="5889" max="5889" width="29.5703125" style="1" bestFit="1" customWidth="1"/>
    <col min="5890" max="5890" width="19.85546875" style="1" customWidth="1"/>
    <col min="5891" max="5891" width="12" style="1" bestFit="1" customWidth="1"/>
    <col min="5892" max="6144" width="9.140625" style="1"/>
    <col min="6145" max="6145" width="29.5703125" style="1" bestFit="1" customWidth="1"/>
    <col min="6146" max="6146" width="19.85546875" style="1" customWidth="1"/>
    <col min="6147" max="6147" width="12" style="1" bestFit="1" customWidth="1"/>
    <col min="6148" max="6400" width="9.140625" style="1"/>
    <col min="6401" max="6401" width="29.5703125" style="1" bestFit="1" customWidth="1"/>
    <col min="6402" max="6402" width="19.85546875" style="1" customWidth="1"/>
    <col min="6403" max="6403" width="12" style="1" bestFit="1" customWidth="1"/>
    <col min="6404" max="6656" width="9.140625" style="1"/>
    <col min="6657" max="6657" width="29.5703125" style="1" bestFit="1" customWidth="1"/>
    <col min="6658" max="6658" width="19.85546875" style="1" customWidth="1"/>
    <col min="6659" max="6659" width="12" style="1" bestFit="1" customWidth="1"/>
    <col min="6660" max="6912" width="9.140625" style="1"/>
    <col min="6913" max="6913" width="29.5703125" style="1" bestFit="1" customWidth="1"/>
    <col min="6914" max="6914" width="19.85546875" style="1" customWidth="1"/>
    <col min="6915" max="6915" width="12" style="1" bestFit="1" customWidth="1"/>
    <col min="6916" max="7168" width="9.140625" style="1"/>
    <col min="7169" max="7169" width="29.5703125" style="1" bestFit="1" customWidth="1"/>
    <col min="7170" max="7170" width="19.85546875" style="1" customWidth="1"/>
    <col min="7171" max="7171" width="12" style="1" bestFit="1" customWidth="1"/>
    <col min="7172" max="7424" width="9.140625" style="1"/>
    <col min="7425" max="7425" width="29.5703125" style="1" bestFit="1" customWidth="1"/>
    <col min="7426" max="7426" width="19.85546875" style="1" customWidth="1"/>
    <col min="7427" max="7427" width="12" style="1" bestFit="1" customWidth="1"/>
    <col min="7428" max="7680" width="9.140625" style="1"/>
    <col min="7681" max="7681" width="29.5703125" style="1" bestFit="1" customWidth="1"/>
    <col min="7682" max="7682" width="19.85546875" style="1" customWidth="1"/>
    <col min="7683" max="7683" width="12" style="1" bestFit="1" customWidth="1"/>
    <col min="7684" max="7936" width="9.140625" style="1"/>
    <col min="7937" max="7937" width="29.5703125" style="1" bestFit="1" customWidth="1"/>
    <col min="7938" max="7938" width="19.85546875" style="1" customWidth="1"/>
    <col min="7939" max="7939" width="12" style="1" bestFit="1" customWidth="1"/>
    <col min="7940" max="8192" width="9.140625" style="1"/>
    <col min="8193" max="8193" width="29.5703125" style="1" bestFit="1" customWidth="1"/>
    <col min="8194" max="8194" width="19.85546875" style="1" customWidth="1"/>
    <col min="8195" max="8195" width="12" style="1" bestFit="1" customWidth="1"/>
    <col min="8196" max="8448" width="9.140625" style="1"/>
    <col min="8449" max="8449" width="29.5703125" style="1" bestFit="1" customWidth="1"/>
    <col min="8450" max="8450" width="19.85546875" style="1" customWidth="1"/>
    <col min="8451" max="8451" width="12" style="1" bestFit="1" customWidth="1"/>
    <col min="8452" max="8704" width="9.140625" style="1"/>
    <col min="8705" max="8705" width="29.5703125" style="1" bestFit="1" customWidth="1"/>
    <col min="8706" max="8706" width="19.85546875" style="1" customWidth="1"/>
    <col min="8707" max="8707" width="12" style="1" bestFit="1" customWidth="1"/>
    <col min="8708" max="8960" width="9.140625" style="1"/>
    <col min="8961" max="8961" width="29.5703125" style="1" bestFit="1" customWidth="1"/>
    <col min="8962" max="8962" width="19.85546875" style="1" customWidth="1"/>
    <col min="8963" max="8963" width="12" style="1" bestFit="1" customWidth="1"/>
    <col min="8964" max="9216" width="9.140625" style="1"/>
    <col min="9217" max="9217" width="29.5703125" style="1" bestFit="1" customWidth="1"/>
    <col min="9218" max="9218" width="19.85546875" style="1" customWidth="1"/>
    <col min="9219" max="9219" width="12" style="1" bestFit="1" customWidth="1"/>
    <col min="9220" max="9472" width="9.140625" style="1"/>
    <col min="9473" max="9473" width="29.5703125" style="1" bestFit="1" customWidth="1"/>
    <col min="9474" max="9474" width="19.85546875" style="1" customWidth="1"/>
    <col min="9475" max="9475" width="12" style="1" bestFit="1" customWidth="1"/>
    <col min="9476" max="9728" width="9.140625" style="1"/>
    <col min="9729" max="9729" width="29.5703125" style="1" bestFit="1" customWidth="1"/>
    <col min="9730" max="9730" width="19.85546875" style="1" customWidth="1"/>
    <col min="9731" max="9731" width="12" style="1" bestFit="1" customWidth="1"/>
    <col min="9732" max="9984" width="9.140625" style="1"/>
    <col min="9985" max="9985" width="29.5703125" style="1" bestFit="1" customWidth="1"/>
    <col min="9986" max="9986" width="19.85546875" style="1" customWidth="1"/>
    <col min="9987" max="9987" width="12" style="1" bestFit="1" customWidth="1"/>
    <col min="9988" max="10240" width="9.140625" style="1"/>
    <col min="10241" max="10241" width="29.5703125" style="1" bestFit="1" customWidth="1"/>
    <col min="10242" max="10242" width="19.85546875" style="1" customWidth="1"/>
    <col min="10243" max="10243" width="12" style="1" bestFit="1" customWidth="1"/>
    <col min="10244" max="10496" width="9.140625" style="1"/>
    <col min="10497" max="10497" width="29.5703125" style="1" bestFit="1" customWidth="1"/>
    <col min="10498" max="10498" width="19.85546875" style="1" customWidth="1"/>
    <col min="10499" max="10499" width="12" style="1" bestFit="1" customWidth="1"/>
    <col min="10500" max="10752" width="9.140625" style="1"/>
    <col min="10753" max="10753" width="29.5703125" style="1" bestFit="1" customWidth="1"/>
    <col min="10754" max="10754" width="19.85546875" style="1" customWidth="1"/>
    <col min="10755" max="10755" width="12" style="1" bestFit="1" customWidth="1"/>
    <col min="10756" max="11008" width="9.140625" style="1"/>
    <col min="11009" max="11009" width="29.5703125" style="1" bestFit="1" customWidth="1"/>
    <col min="11010" max="11010" width="19.85546875" style="1" customWidth="1"/>
    <col min="11011" max="11011" width="12" style="1" bestFit="1" customWidth="1"/>
    <col min="11012" max="11264" width="9.140625" style="1"/>
    <col min="11265" max="11265" width="29.5703125" style="1" bestFit="1" customWidth="1"/>
    <col min="11266" max="11266" width="19.85546875" style="1" customWidth="1"/>
    <col min="11267" max="11267" width="12" style="1" bestFit="1" customWidth="1"/>
    <col min="11268" max="11520" width="9.140625" style="1"/>
    <col min="11521" max="11521" width="29.5703125" style="1" bestFit="1" customWidth="1"/>
    <col min="11522" max="11522" width="19.85546875" style="1" customWidth="1"/>
    <col min="11523" max="11523" width="12" style="1" bestFit="1" customWidth="1"/>
    <col min="11524" max="11776" width="9.140625" style="1"/>
    <col min="11777" max="11777" width="29.5703125" style="1" bestFit="1" customWidth="1"/>
    <col min="11778" max="11778" width="19.85546875" style="1" customWidth="1"/>
    <col min="11779" max="11779" width="12" style="1" bestFit="1" customWidth="1"/>
    <col min="11780" max="12032" width="9.140625" style="1"/>
    <col min="12033" max="12033" width="29.5703125" style="1" bestFit="1" customWidth="1"/>
    <col min="12034" max="12034" width="19.85546875" style="1" customWidth="1"/>
    <col min="12035" max="12035" width="12" style="1" bestFit="1" customWidth="1"/>
    <col min="12036" max="12288" width="9.140625" style="1"/>
    <col min="12289" max="12289" width="29.5703125" style="1" bestFit="1" customWidth="1"/>
    <col min="12290" max="12290" width="19.85546875" style="1" customWidth="1"/>
    <col min="12291" max="12291" width="12" style="1" bestFit="1" customWidth="1"/>
    <col min="12292" max="12544" width="9.140625" style="1"/>
    <col min="12545" max="12545" width="29.5703125" style="1" bestFit="1" customWidth="1"/>
    <col min="12546" max="12546" width="19.85546875" style="1" customWidth="1"/>
    <col min="12547" max="12547" width="12" style="1" bestFit="1" customWidth="1"/>
    <col min="12548" max="12800" width="9.140625" style="1"/>
    <col min="12801" max="12801" width="29.5703125" style="1" bestFit="1" customWidth="1"/>
    <col min="12802" max="12802" width="19.85546875" style="1" customWidth="1"/>
    <col min="12803" max="12803" width="12" style="1" bestFit="1" customWidth="1"/>
    <col min="12804" max="13056" width="9.140625" style="1"/>
    <col min="13057" max="13057" width="29.5703125" style="1" bestFit="1" customWidth="1"/>
    <col min="13058" max="13058" width="19.85546875" style="1" customWidth="1"/>
    <col min="13059" max="13059" width="12" style="1" bestFit="1" customWidth="1"/>
    <col min="13060" max="13312" width="9.140625" style="1"/>
    <col min="13313" max="13313" width="29.5703125" style="1" bestFit="1" customWidth="1"/>
    <col min="13314" max="13314" width="19.85546875" style="1" customWidth="1"/>
    <col min="13315" max="13315" width="12" style="1" bestFit="1" customWidth="1"/>
    <col min="13316" max="13568" width="9.140625" style="1"/>
    <col min="13569" max="13569" width="29.5703125" style="1" bestFit="1" customWidth="1"/>
    <col min="13570" max="13570" width="19.85546875" style="1" customWidth="1"/>
    <col min="13571" max="13571" width="12" style="1" bestFit="1" customWidth="1"/>
    <col min="13572" max="13824" width="9.140625" style="1"/>
    <col min="13825" max="13825" width="29.5703125" style="1" bestFit="1" customWidth="1"/>
    <col min="13826" max="13826" width="19.85546875" style="1" customWidth="1"/>
    <col min="13827" max="13827" width="12" style="1" bestFit="1" customWidth="1"/>
    <col min="13828" max="14080" width="9.140625" style="1"/>
    <col min="14081" max="14081" width="29.5703125" style="1" bestFit="1" customWidth="1"/>
    <col min="14082" max="14082" width="19.85546875" style="1" customWidth="1"/>
    <col min="14083" max="14083" width="12" style="1" bestFit="1" customWidth="1"/>
    <col min="14084" max="14336" width="9.140625" style="1"/>
    <col min="14337" max="14337" width="29.5703125" style="1" bestFit="1" customWidth="1"/>
    <col min="14338" max="14338" width="19.85546875" style="1" customWidth="1"/>
    <col min="14339" max="14339" width="12" style="1" bestFit="1" customWidth="1"/>
    <col min="14340" max="14592" width="9.140625" style="1"/>
    <col min="14593" max="14593" width="29.5703125" style="1" bestFit="1" customWidth="1"/>
    <col min="14594" max="14594" width="19.85546875" style="1" customWidth="1"/>
    <col min="14595" max="14595" width="12" style="1" bestFit="1" customWidth="1"/>
    <col min="14596" max="14848" width="9.140625" style="1"/>
    <col min="14849" max="14849" width="29.5703125" style="1" bestFit="1" customWidth="1"/>
    <col min="14850" max="14850" width="19.85546875" style="1" customWidth="1"/>
    <col min="14851" max="14851" width="12" style="1" bestFit="1" customWidth="1"/>
    <col min="14852" max="15104" width="9.140625" style="1"/>
    <col min="15105" max="15105" width="29.5703125" style="1" bestFit="1" customWidth="1"/>
    <col min="15106" max="15106" width="19.85546875" style="1" customWidth="1"/>
    <col min="15107" max="15107" width="12" style="1" bestFit="1" customWidth="1"/>
    <col min="15108" max="15360" width="9.140625" style="1"/>
    <col min="15361" max="15361" width="29.5703125" style="1" bestFit="1" customWidth="1"/>
    <col min="15362" max="15362" width="19.85546875" style="1" customWidth="1"/>
    <col min="15363" max="15363" width="12" style="1" bestFit="1" customWidth="1"/>
    <col min="15364" max="15616" width="9.140625" style="1"/>
    <col min="15617" max="15617" width="29.5703125" style="1" bestFit="1" customWidth="1"/>
    <col min="15618" max="15618" width="19.85546875" style="1" customWidth="1"/>
    <col min="15619" max="15619" width="12" style="1" bestFit="1" customWidth="1"/>
    <col min="15620" max="15872" width="9.140625" style="1"/>
    <col min="15873" max="15873" width="29.5703125" style="1" bestFit="1" customWidth="1"/>
    <col min="15874" max="15874" width="19.85546875" style="1" customWidth="1"/>
    <col min="15875" max="15875" width="12" style="1" bestFit="1" customWidth="1"/>
    <col min="15876" max="16128" width="9.140625" style="1"/>
    <col min="16129" max="16129" width="29.5703125" style="1" bestFit="1" customWidth="1"/>
    <col min="16130" max="16130" width="19.85546875" style="1" customWidth="1"/>
    <col min="16131" max="16131" width="12" style="1" bestFit="1" customWidth="1"/>
    <col min="16132" max="16384" width="9.140625" style="1"/>
  </cols>
  <sheetData>
    <row r="1" spans="1:2">
      <c r="A1" s="1" t="s">
        <v>3405</v>
      </c>
      <c r="B1" s="2487">
        <v>6.1</v>
      </c>
    </row>
    <row r="2" spans="1:2">
      <c r="A2" s="1" t="s">
        <v>3406</v>
      </c>
      <c r="B2" s="2491">
        <v>43175.703530092593</v>
      </c>
    </row>
    <row r="3" spans="1:2">
      <c r="A3" s="1" t="s">
        <v>3407</v>
      </c>
      <c r="B3" s="2488" t="s">
        <v>3113</v>
      </c>
    </row>
    <row r="4" spans="1:2">
      <c r="A4" s="1" t="s">
        <v>3408</v>
      </c>
      <c r="B4" s="2488" t="s">
        <v>3409</v>
      </c>
    </row>
    <row r="5" spans="1:2">
      <c r="A5" s="1" t="s">
        <v>3410</v>
      </c>
      <c r="B5" s="2488" t="s">
        <v>3091</v>
      </c>
    </row>
    <row r="6" spans="1:2">
      <c r="A6" s="1" t="s">
        <v>3411</v>
      </c>
    </row>
    <row r="7" spans="1:2">
      <c r="A7" s="1" t="s">
        <v>3412</v>
      </c>
      <c r="B7" s="2488" t="s">
        <v>1389</v>
      </c>
    </row>
    <row r="8" spans="1:2">
      <c r="A8" s="1" t="s">
        <v>3413</v>
      </c>
      <c r="B8" s="2488" t="s">
        <v>3414</v>
      </c>
    </row>
    <row r="9" spans="1:2">
      <c r="A9" s="1" t="s">
        <v>3415</v>
      </c>
      <c r="B9" s="2488" t="s">
        <v>3452</v>
      </c>
    </row>
    <row r="10" spans="1:2">
      <c r="A10" s="1" t="s">
        <v>3416</v>
      </c>
    </row>
    <row r="11" spans="1:2">
      <c r="A11" s="1" t="s">
        <v>3417</v>
      </c>
    </row>
    <row r="12" spans="1:2">
      <c r="A12" s="1" t="s">
        <v>3418</v>
      </c>
    </row>
    <row r="13" spans="1:2">
      <c r="A13" s="1" t="s">
        <v>3419</v>
      </c>
    </row>
    <row r="14" spans="1:2">
      <c r="A14" s="1" t="s">
        <v>3420</v>
      </c>
    </row>
    <row r="15" spans="1:2">
      <c r="A15" s="1" t="s">
        <v>3421</v>
      </c>
    </row>
    <row r="16" spans="1:2">
      <c r="A16" s="1" t="s">
        <v>3422</v>
      </c>
    </row>
    <row r="17" spans="1:4">
      <c r="A17" s="1" t="s">
        <v>3423</v>
      </c>
      <c r="B17" s="2488" t="s">
        <v>3453</v>
      </c>
    </row>
    <row r="18" spans="1:4">
      <c r="A18" s="1" t="s">
        <v>3424</v>
      </c>
      <c r="B18" s="2488" t="s">
        <v>3112</v>
      </c>
    </row>
    <row r="19" spans="1:4">
      <c r="A19" s="1" t="s">
        <v>3425</v>
      </c>
      <c r="B19" s="2488" t="s">
        <v>1388</v>
      </c>
    </row>
    <row r="20" spans="1:4">
      <c r="A20" s="1" t="s">
        <v>3426</v>
      </c>
      <c r="B20" s="2489">
        <v>886547108</v>
      </c>
    </row>
    <row r="21" spans="1:4">
      <c r="A21" s="1" t="s">
        <v>3427</v>
      </c>
      <c r="B21" s="2488" t="s">
        <v>1388</v>
      </c>
    </row>
    <row r="22" spans="1:4">
      <c r="A22" s="1" t="s">
        <v>3428</v>
      </c>
      <c r="B22" s="2489">
        <v>2892090</v>
      </c>
    </row>
    <row r="23" spans="1:4">
      <c r="A23" s="1" t="s">
        <v>1455</v>
      </c>
      <c r="B23" s="2487">
        <v>97.51</v>
      </c>
    </row>
    <row r="24" spans="1:4">
      <c r="A24" s="1" t="s">
        <v>1744</v>
      </c>
      <c r="B24" s="2488" t="s">
        <v>697</v>
      </c>
      <c r="D24" s="1" t="s">
        <v>1544</v>
      </c>
    </row>
    <row r="25" spans="1:4">
      <c r="A25" s="1" t="s">
        <v>3429</v>
      </c>
      <c r="B25" s="2488" t="s">
        <v>3456</v>
      </c>
    </row>
    <row r="26" spans="1:4">
      <c r="A26" s="1" t="s">
        <v>3430</v>
      </c>
      <c r="B26" s="2488">
        <v>0</v>
      </c>
    </row>
    <row r="27" spans="1:4">
      <c r="A27" s="1" t="s">
        <v>3431</v>
      </c>
      <c r="B27" s="2488" t="s">
        <v>3432</v>
      </c>
    </row>
    <row r="28" spans="1:4">
      <c r="A28" s="1" t="s">
        <v>3433</v>
      </c>
      <c r="B28" s="2488" t="s">
        <v>3434</v>
      </c>
    </row>
    <row r="29" spans="1:4">
      <c r="A29" s="1" t="s">
        <v>3435</v>
      </c>
    </row>
    <row r="30" spans="1:4">
      <c r="A30" s="1" t="s">
        <v>3436</v>
      </c>
    </row>
    <row r="31" spans="1:4">
      <c r="A31" s="1" t="s">
        <v>3437</v>
      </c>
    </row>
    <row r="32" spans="1:4">
      <c r="A32" s="1" t="s">
        <v>3438</v>
      </c>
      <c r="B32" s="2487"/>
    </row>
    <row r="33" spans="1:2">
      <c r="A33" s="1" t="s">
        <v>3439</v>
      </c>
      <c r="B33" s="2487"/>
    </row>
    <row r="34" spans="1:2">
      <c r="A34" s="1" t="s">
        <v>3440</v>
      </c>
      <c r="B34" s="2487"/>
    </row>
    <row r="35" spans="1:2">
      <c r="A35" s="1" t="s">
        <v>3441</v>
      </c>
      <c r="B35" s="2488">
        <v>1000000</v>
      </c>
    </row>
    <row r="36" spans="1:2">
      <c r="A36" s="1" t="s">
        <v>3442</v>
      </c>
      <c r="B36" s="2488" t="s">
        <v>3454</v>
      </c>
    </row>
    <row r="37" spans="1:2">
      <c r="A37" s="1" t="s">
        <v>3443</v>
      </c>
      <c r="B37" s="2488" t="s">
        <v>3444</v>
      </c>
    </row>
    <row r="38" spans="1:2">
      <c r="A38" s="1" t="s">
        <v>3445</v>
      </c>
      <c r="B38" s="2488" t="s">
        <v>3446</v>
      </c>
    </row>
    <row r="39" spans="1:2">
      <c r="A39" s="1" t="s">
        <v>3447</v>
      </c>
      <c r="B39" s="2488" t="s">
        <v>3455</v>
      </c>
    </row>
    <row r="40" spans="1:2">
      <c r="A40" s="1" t="s">
        <v>3448</v>
      </c>
      <c r="B40" s="2488">
        <v>5208</v>
      </c>
    </row>
    <row r="41" spans="1:2">
      <c r="A41" s="1" t="s">
        <v>3449</v>
      </c>
      <c r="B41" s="2488">
        <v>1</v>
      </c>
    </row>
    <row r="42" spans="1:2">
      <c r="A42" s="2490" t="s">
        <v>3450</v>
      </c>
    </row>
    <row r="43" spans="1:2">
      <c r="A43" s="1" t="s">
        <v>3451</v>
      </c>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28.5703125" style="1" bestFit="1" customWidth="1"/>
    <col min="2" max="256" width="9.140625" style="1"/>
    <col min="257" max="257" width="28.5703125" style="1" bestFit="1" customWidth="1"/>
    <col min="258" max="512" width="9.140625" style="1"/>
    <col min="513" max="513" width="28.5703125" style="1" bestFit="1" customWidth="1"/>
    <col min="514" max="768" width="9.140625" style="1"/>
    <col min="769" max="769" width="28.5703125" style="1" bestFit="1" customWidth="1"/>
    <col min="770" max="1024" width="9.140625" style="1"/>
    <col min="1025" max="1025" width="28.5703125" style="1" bestFit="1" customWidth="1"/>
    <col min="1026" max="1280" width="9.140625" style="1"/>
    <col min="1281" max="1281" width="28.5703125" style="1" bestFit="1" customWidth="1"/>
    <col min="1282" max="1536" width="9.140625" style="1"/>
    <col min="1537" max="1537" width="28.5703125" style="1" bestFit="1" customWidth="1"/>
    <col min="1538" max="1792" width="9.140625" style="1"/>
    <col min="1793" max="1793" width="28.5703125" style="1" bestFit="1" customWidth="1"/>
    <col min="1794" max="2048" width="9.140625" style="1"/>
    <col min="2049" max="2049" width="28.5703125" style="1" bestFit="1" customWidth="1"/>
    <col min="2050" max="2304" width="9.140625" style="1"/>
    <col min="2305" max="2305" width="28.5703125" style="1" bestFit="1" customWidth="1"/>
    <col min="2306" max="2560" width="9.140625" style="1"/>
    <col min="2561" max="2561" width="28.5703125" style="1" bestFit="1" customWidth="1"/>
    <col min="2562" max="2816" width="9.140625" style="1"/>
    <col min="2817" max="2817" width="28.5703125" style="1" bestFit="1" customWidth="1"/>
    <col min="2818" max="3072" width="9.140625" style="1"/>
    <col min="3073" max="3073" width="28.5703125" style="1" bestFit="1" customWidth="1"/>
    <col min="3074" max="3328" width="9.140625" style="1"/>
    <col min="3329" max="3329" width="28.5703125" style="1" bestFit="1" customWidth="1"/>
    <col min="3330" max="3584" width="9.140625" style="1"/>
    <col min="3585" max="3585" width="28.5703125" style="1" bestFit="1" customWidth="1"/>
    <col min="3586" max="3840" width="9.140625" style="1"/>
    <col min="3841" max="3841" width="28.5703125" style="1" bestFit="1" customWidth="1"/>
    <col min="3842" max="4096" width="9.140625" style="1"/>
    <col min="4097" max="4097" width="28.5703125" style="1" bestFit="1" customWidth="1"/>
    <col min="4098" max="4352" width="9.140625" style="1"/>
    <col min="4353" max="4353" width="28.5703125" style="1" bestFit="1" customWidth="1"/>
    <col min="4354" max="4608" width="9.140625" style="1"/>
    <col min="4609" max="4609" width="28.5703125" style="1" bestFit="1" customWidth="1"/>
    <col min="4610" max="4864" width="9.140625" style="1"/>
    <col min="4865" max="4865" width="28.5703125" style="1" bestFit="1" customWidth="1"/>
    <col min="4866" max="5120" width="9.140625" style="1"/>
    <col min="5121" max="5121" width="28.5703125" style="1" bestFit="1" customWidth="1"/>
    <col min="5122" max="5376" width="9.140625" style="1"/>
    <col min="5377" max="5377" width="28.5703125" style="1" bestFit="1" customWidth="1"/>
    <col min="5378" max="5632" width="9.140625" style="1"/>
    <col min="5633" max="5633" width="28.5703125" style="1" bestFit="1" customWidth="1"/>
    <col min="5634" max="5888" width="9.140625" style="1"/>
    <col min="5889" max="5889" width="28.5703125" style="1" bestFit="1" customWidth="1"/>
    <col min="5890" max="6144" width="9.140625" style="1"/>
    <col min="6145" max="6145" width="28.5703125" style="1" bestFit="1" customWidth="1"/>
    <col min="6146" max="6400" width="9.140625" style="1"/>
    <col min="6401" max="6401" width="28.5703125" style="1" bestFit="1" customWidth="1"/>
    <col min="6402" max="6656" width="9.140625" style="1"/>
    <col min="6657" max="6657" width="28.5703125" style="1" bestFit="1" customWidth="1"/>
    <col min="6658" max="6912" width="9.140625" style="1"/>
    <col min="6913" max="6913" width="28.5703125" style="1" bestFit="1" customWidth="1"/>
    <col min="6914" max="7168" width="9.140625" style="1"/>
    <col min="7169" max="7169" width="28.5703125" style="1" bestFit="1" customWidth="1"/>
    <col min="7170" max="7424" width="9.140625" style="1"/>
    <col min="7425" max="7425" width="28.5703125" style="1" bestFit="1" customWidth="1"/>
    <col min="7426" max="7680" width="9.140625" style="1"/>
    <col min="7681" max="7681" width="28.5703125" style="1" bestFit="1" customWidth="1"/>
    <col min="7682" max="7936" width="9.140625" style="1"/>
    <col min="7937" max="7937" width="28.5703125" style="1" bestFit="1" customWidth="1"/>
    <col min="7938" max="8192" width="9.140625" style="1"/>
    <col min="8193" max="8193" width="28.5703125" style="1" bestFit="1" customWidth="1"/>
    <col min="8194" max="8448" width="9.140625" style="1"/>
    <col min="8449" max="8449" width="28.5703125" style="1" bestFit="1" customWidth="1"/>
    <col min="8450" max="8704" width="9.140625" style="1"/>
    <col min="8705" max="8705" width="28.5703125" style="1" bestFit="1" customWidth="1"/>
    <col min="8706" max="8960" width="9.140625" style="1"/>
    <col min="8961" max="8961" width="28.5703125" style="1" bestFit="1" customWidth="1"/>
    <col min="8962" max="9216" width="9.140625" style="1"/>
    <col min="9217" max="9217" width="28.5703125" style="1" bestFit="1" customWidth="1"/>
    <col min="9218" max="9472" width="9.140625" style="1"/>
    <col min="9473" max="9473" width="28.5703125" style="1" bestFit="1" customWidth="1"/>
    <col min="9474" max="9728" width="9.140625" style="1"/>
    <col min="9729" max="9729" width="28.5703125" style="1" bestFit="1" customWidth="1"/>
    <col min="9730" max="9984" width="9.140625" style="1"/>
    <col min="9985" max="9985" width="28.5703125" style="1" bestFit="1" customWidth="1"/>
    <col min="9986" max="10240" width="9.140625" style="1"/>
    <col min="10241" max="10241" width="28.5703125" style="1" bestFit="1" customWidth="1"/>
    <col min="10242" max="10496" width="9.140625" style="1"/>
    <col min="10497" max="10497" width="28.5703125" style="1" bestFit="1" customWidth="1"/>
    <col min="10498" max="10752" width="9.140625" style="1"/>
    <col min="10753" max="10753" width="28.5703125" style="1" bestFit="1" customWidth="1"/>
    <col min="10754" max="11008" width="9.140625" style="1"/>
    <col min="11009" max="11009" width="28.5703125" style="1" bestFit="1" customWidth="1"/>
    <col min="11010" max="11264" width="9.140625" style="1"/>
    <col min="11265" max="11265" width="28.5703125" style="1" bestFit="1" customWidth="1"/>
    <col min="11266" max="11520" width="9.140625" style="1"/>
    <col min="11521" max="11521" width="28.5703125" style="1" bestFit="1" customWidth="1"/>
    <col min="11522" max="11776" width="9.140625" style="1"/>
    <col min="11777" max="11777" width="28.5703125" style="1" bestFit="1" customWidth="1"/>
    <col min="11778" max="12032" width="9.140625" style="1"/>
    <col min="12033" max="12033" width="28.5703125" style="1" bestFit="1" customWidth="1"/>
    <col min="12034" max="12288" width="9.140625" style="1"/>
    <col min="12289" max="12289" width="28.5703125" style="1" bestFit="1" customWidth="1"/>
    <col min="12290" max="12544" width="9.140625" style="1"/>
    <col min="12545" max="12545" width="28.5703125" style="1" bestFit="1" customWidth="1"/>
    <col min="12546" max="12800" width="9.140625" style="1"/>
    <col min="12801" max="12801" width="28.5703125" style="1" bestFit="1" customWidth="1"/>
    <col min="12802" max="13056" width="9.140625" style="1"/>
    <col min="13057" max="13057" width="28.5703125" style="1" bestFit="1" customWidth="1"/>
    <col min="13058" max="13312" width="9.140625" style="1"/>
    <col min="13313" max="13313" width="28.5703125" style="1" bestFit="1" customWidth="1"/>
    <col min="13314" max="13568" width="9.140625" style="1"/>
    <col min="13569" max="13569" width="28.5703125" style="1" bestFit="1" customWidth="1"/>
    <col min="13570" max="13824" width="9.140625" style="1"/>
    <col min="13825" max="13825" width="28.5703125" style="1" bestFit="1" customWidth="1"/>
    <col min="13826" max="14080" width="9.140625" style="1"/>
    <col min="14081" max="14081" width="28.5703125" style="1" bestFit="1" customWidth="1"/>
    <col min="14082" max="14336" width="9.140625" style="1"/>
    <col min="14337" max="14337" width="28.5703125" style="1" bestFit="1" customWidth="1"/>
    <col min="14338" max="14592" width="9.140625" style="1"/>
    <col min="14593" max="14593" width="28.5703125" style="1" bestFit="1" customWidth="1"/>
    <col min="14594" max="14848" width="9.140625" style="1"/>
    <col min="14849" max="14849" width="28.5703125" style="1" bestFit="1" customWidth="1"/>
    <col min="14850" max="15104" width="9.140625" style="1"/>
    <col min="15105" max="15105" width="28.5703125" style="1" bestFit="1" customWidth="1"/>
    <col min="15106" max="15360" width="9.140625" style="1"/>
    <col min="15361" max="15361" width="28.5703125" style="1" bestFit="1" customWidth="1"/>
    <col min="15362" max="15616" width="9.140625" style="1"/>
    <col min="15617" max="15617" width="28.5703125" style="1" bestFit="1" customWidth="1"/>
    <col min="15618" max="15872" width="9.140625" style="1"/>
    <col min="15873" max="15873" width="28.5703125" style="1" bestFit="1" customWidth="1"/>
    <col min="15874" max="16128" width="9.140625" style="1"/>
    <col min="16129" max="16129" width="28.5703125" style="1" bestFit="1" customWidth="1"/>
    <col min="16130" max="16384" width="9.140625" style="1"/>
  </cols>
  <sheetData>
    <row r="1" spans="1:1">
      <c r="A1" s="2492" t="s">
        <v>3457</v>
      </c>
    </row>
    <row r="2" spans="1:1">
      <c r="A2" s="2492" t="s">
        <v>3462</v>
      </c>
    </row>
    <row r="3" spans="1:1">
      <c r="A3" s="2492" t="s">
        <v>3463</v>
      </c>
    </row>
    <row r="4" spans="1:1">
      <c r="A4" s="2492" t="s">
        <v>3464</v>
      </c>
    </row>
    <row r="5" spans="1:1">
      <c r="A5" s="2492" t="s">
        <v>3465</v>
      </c>
    </row>
    <row r="6" spans="1:1">
      <c r="A6" s="2492" t="s">
        <v>3458</v>
      </c>
    </row>
    <row r="7" spans="1:1">
      <c r="A7" s="2492" t="s">
        <v>3466</v>
      </c>
    </row>
    <row r="8" spans="1:1">
      <c r="A8" s="2492" t="s">
        <v>3467</v>
      </c>
    </row>
    <row r="9" spans="1:1">
      <c r="A9" s="2492" t="s">
        <v>3468</v>
      </c>
    </row>
    <row r="10" spans="1:1">
      <c r="A10" s="2492" t="s">
        <v>3459</v>
      </c>
    </row>
    <row r="11" spans="1:1">
      <c r="A11" s="2492" t="s">
        <v>3469</v>
      </c>
    </row>
    <row r="12" spans="1:1">
      <c r="A12" s="2492" t="s">
        <v>3460</v>
      </c>
    </row>
    <row r="13" spans="1:1">
      <c r="A13" s="2492" t="s">
        <v>3461</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812b3be4-7650-48af-a5b9-d5cd6e77892a</GUID>
    <SOURCE_ALTADDRESS>$A$6:$DG$48</SOURCE_ALTADDRESS>
    <SOURCETYPE>Table</SOURCETYPE>
    <SOURCE_OBJECTNAME>Linking_Range_35</SOURCE_OBJECTNAME>
    <OBJECTTYPE>Native</OBJECTTYPE>
    <SOURCE_SHEETCODE>Sheet2</SOURCE_SHEETCODE>
    <SOURCE_SHEETNAME>sumry</SOURCE_SHEETNAME>
    <SOURCEAPPLICATION>EXCEL_SOURCE</SOURCEAPPLICATION>
    <UPDATEDAT>5/25/2015 11:38:48 AM</UPDATEDAT>
    <SOURCE_ISOUTOFDATE>False</SOURCE_ISOUTOFDATE>
    <SOURCE_WORKBOOKNAME>TIF.xls</SOURCE_WORKBOOKNAME>
    <SOURCE_WORKBOOKPATH>\\MSAD\ROOT\NA\NY\LIB\ER\RETAIL\Greenberger\Companies\TIF\Models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/MSResearch/Content/ExternalAssets/2015-05/Images/vvgxBV3i7E6PtBm5gmjZSg--.png</TARGET_BINARYFULLNAME>
    <TARGET_STORYFULLNAME>/MSResearch/Content/ExternalAssets/2015-05/Sections/20150525_013845_Linking_Range_35.xml</TARGET_STORYFULLNAME>
    <TARGET_UUID>e456eadc-0304-11e5-8e41-5c8b215192b5</TARGET_UUID>
  </Link>
  <Link>
    <GUID>9202bb43-8a4b-4b5d-a0cd-38611f6472e3</GUID>
    <SOURCE_ALTADDRESS>$A$6:$BK$50</SOURCE_ALTADDRESS>
    <SOURCETYPE>Table</SOURCETYPE>
    <SOURCE_OBJECTNAME>Linking_Range_36</SOURCE_OBJECTNAME>
    <OBJECTTYPE>Native</OBJECTTYPE>
    <SOURCE_SHEETCODE>Sheet16</SOURCE_SHEETCODE>
    <SOURCE_SHEETNAME>bal</SOURCE_SHEETNAME>
    <SOURCEAPPLICATION>EXCEL_SOURCE</SOURCEAPPLICATION>
    <UPDATEDAT>5/25/2015 11:39:17 AM</UPDATEDAT>
    <SOURCE_ISOUTOFDATE>False</SOURCE_ISOUTOFDATE>
    <SOURCE_WORKBOOKNAME>TIF.xls</SOURCE_WORKBOOKNAME>
    <SOURCE_WORKBOOKPATH>\\MSAD\ROOT\NA\NY\LIB\ER\RETAIL\Greenberger\Companies\TIF\Models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/MSResearch/Content/ExternalAssets/2015-05/Images/b31Pd4zH-U6DEyEB71Paqw--.png</TARGET_BINARYFULLNAME>
    <TARGET_STORYFULLNAME>/MSResearch/Content/ExternalAssets/2015-05/Sections/20150525_013915_Linking_Range_36.xml</TARGET_STORYFULLNAME>
    <TARGET_UUID>f6cf3750-0304-11e5-8e41-5c8b215192b5</TARGET_UUID>
  </Link>
  <Link>
    <GUID>091e2bc9-d9d0-4865-964e-d9cd9097dd96</GUID>
    <SOURCE_ALTADDRESS>$A$8:$BJ$68</SOURCE_ALTADDRESS>
    <SOURCETYPE>Table</SOURCETYPE>
    <SOURCE_OBJECTNAME>Linking_Range_37</SOURCE_OBJECTNAME>
    <OBJECTTYPE>Native</OBJECTTYPE>
    <SOURCE_SHEETCODE>Sheet17</SOURCE_SHEETCODE>
    <SOURCE_SHEETNAME>flow</SOURCE_SHEETNAME>
    <SOURCEAPPLICATION>EXCEL_SOURCE</SOURCEAPPLICATION>
    <UPDATEDAT>5/25/2015 11:39:42 AM</UPDATEDAT>
    <SOURCE_ISOUTOFDATE>False</SOURCE_ISOUTOFDATE>
    <SOURCE_WORKBOOKNAME>TIF.xls</SOURCE_WORKBOOKNAME>
    <SOURCE_WORKBOOKPATH>\\MSAD\ROOT\NA\NY\LIB\ER\RETAIL\Greenberger\Companies\TIF\Models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/MSResearch/Content/ExternalAssets/2015-05/Images/YVIXy9bG-UC95IAsdhbLkA--.png</TARGET_BINARYFULLNAME>
    <TARGET_STORYFULLNAME>/MSResearch/Content/ExternalAssets/2015-05/Sections/20150525_013940_Linking_Range_37.xml</TARGET_STORYFULLNAME>
    <TARGET_UUID>05adc246-0305-11e5-8e41-5c8b215192b5</TARGET_UUID>
  </Link>
  <Link>
    <GUID>702efcf7-8f8e-4609-acce-8783b560c574</GUID>
    <SOURCETYPE>Chart</SOURCETYPE>
    <SOURCE_OBJECTNAME>MWA_Risk_Reward</SOURCE_OBJECTNAME>
    <SOURCE_SHEETCODE>MWRSSData</SOURCE_SHEETCODE>
    <SOURCE_SHEETNAME>MWA RR</SOURCE_SHEETNAME>
    <OBJECTTYPE>Native</OBJECTTYPE>
    <SOURCEAPPLICATION>EXCEL_SOURCE</SOURCEAPPLICATION>
    <UPDATEDAT>5/27/2015 8:49:25 PM</UPDATEDAT>
    <SOURCE_ISOUTOFDATE>False</SOURCE_ISOUTOFDATE>
    <SOURCE_WORKBOOKNAME>TIF.xls</SOURCE_WORKBOOKNAME>
    <SOURCE_WORKBOOKPATH>\\MSAD\ROOT\NA\NY\LIB\ER\RETAIL\Greenberger\Companies\TIF\Models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/MSResearch/Content/ExternalAssets/2015-05/Images/IMek-LcWqkCogGKXS5Jxuw--.png</TARGET_BINARYFULLNAME>
    <TARGET_STORYFULLNAME>/MSResearch/Content/ExternalAssets/2015-05/Sections/20150525_013334_MWA_Risk_Reward.xml</TARGET_STORYFULLNAME>
    <TARGET_UUID>2b5e59e8-0304-11e5-8e41-5c8b215192b5</TARGET_UUID>
    <LINKSTATUS>Unknown</LINKSTATUS>
  </Link>
</lk:Links>
</file>

<file path=customXml/itemProps1.xml><?xml version="1.0" encoding="utf-8"?>
<ds:datastoreItem xmlns:ds="http://schemas.openxmlformats.org/officeDocument/2006/customXml" ds:itemID="{3444DF9D-5461-4963-B189-634985BD5D0D}">
  <ds:schemaRefs>
    <ds:schemaRef ds:uri="thomsonreuters.linking.metadatachange"/>
  </ds:schemaRefs>
</ds:datastoreItem>
</file>

<file path=customXml/itemProps2.xml><?xml version="1.0" encoding="utf-8"?>
<ds:datastoreItem xmlns:ds="http://schemas.openxmlformats.org/officeDocument/2006/customXml" ds:itemID="{AC13C322-FA41-44A6-A380-62D41C2A2868}">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113</vt:i4>
      </vt:variant>
    </vt:vector>
  </HeadingPairs>
  <TitlesOfParts>
    <vt:vector size="133" baseType="lpstr">
      <vt:lpstr>ImportantDisclosures</vt:lpstr>
      <vt:lpstr>Earnings</vt:lpstr>
      <vt:lpstr>BullBaseBear</vt:lpstr>
      <vt:lpstr>sumry</vt:lpstr>
      <vt:lpstr>Stores</vt:lpstr>
      <vt:lpstr>SeqQtrSales</vt:lpstr>
      <vt:lpstr>qtrSales</vt:lpstr>
      <vt:lpstr>segSales&amp;comps</vt:lpstr>
      <vt:lpstr>qtrP&amp;L</vt:lpstr>
      <vt:lpstr>yrSales</vt:lpstr>
      <vt:lpstr>yrP&amp;L</vt:lpstr>
      <vt:lpstr>bal</vt:lpstr>
      <vt:lpstr>flow</vt:lpstr>
      <vt:lpstr>dtc</vt:lpstr>
      <vt:lpstr>work</vt:lpstr>
      <vt:lpstr>turn</vt:lpstr>
      <vt:lpstr>Inv to Sales</vt:lpstr>
      <vt:lpstr>MWA Lease</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'MWA Lease'!check</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Linking_Range_1</vt:lpstr>
      <vt:lpstr>Linking_Range_10</vt:lpstr>
      <vt:lpstr>Linking_Range_11</vt:lpstr>
      <vt:lpstr>Linking_Range_12</vt:lpstr>
      <vt:lpstr>Linking_Range_13</vt:lpstr>
      <vt:lpstr>Linking_Range_14</vt:lpstr>
      <vt:lpstr>Linking_Range_15</vt:lpstr>
      <vt:lpstr>Linking_Range_16</vt:lpstr>
      <vt:lpstr>Linking_Range_17</vt:lpstr>
      <vt:lpstr>Linking_Range_18</vt:lpstr>
      <vt:lpstr>Linking_Range_19</vt:lpstr>
      <vt:lpstr>Linking_Range_2</vt:lpstr>
      <vt:lpstr>Linking_Range_20</vt:lpstr>
      <vt:lpstr>Linking_Range_21</vt:lpstr>
      <vt:lpstr>Linking_Range_22</vt:lpstr>
      <vt:lpstr>Linking_Range_23</vt:lpstr>
      <vt:lpstr>Linking_Range_24</vt:lpstr>
      <vt:lpstr>Linking_Range_25</vt:lpstr>
      <vt:lpstr>Linking_Range_26</vt:lpstr>
      <vt:lpstr>Linking_Range_27</vt:lpstr>
      <vt:lpstr>Linking_Range_28</vt:lpstr>
      <vt:lpstr>Linking_Range_29</vt:lpstr>
      <vt:lpstr>Linking_Range_3</vt:lpstr>
      <vt:lpstr>Linking_Range_30</vt:lpstr>
      <vt:lpstr>Linking_Range_31</vt:lpstr>
      <vt:lpstr>Linking_Range_32</vt:lpstr>
      <vt:lpstr>Linking_Range_33</vt:lpstr>
      <vt:lpstr>Linking_Range_34</vt:lpstr>
      <vt:lpstr>Linking_Range_35</vt:lpstr>
      <vt:lpstr>Linking_Range_36</vt:lpstr>
      <vt:lpstr>Linking_Range_37</vt:lpstr>
      <vt:lpstr>Linking_Range_4</vt:lpstr>
      <vt:lpstr>Linking_Range_5</vt:lpstr>
      <vt:lpstr>Linking_Range_6</vt:lpstr>
      <vt:lpstr>Linking_Range_7</vt:lpstr>
      <vt:lpstr>Linking_Range_8</vt:lpstr>
      <vt:lpstr>Linking_Range_9</vt:lpstr>
      <vt:lpstr>Linking_Text_1</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'MWA Lease'!rngAppName</vt:lpstr>
      <vt:lpstr>'MWA Lease'!rngCompany</vt:lpstr>
      <vt:lpstr>'MWA Lease'!rngTicker</vt:lpstr>
      <vt:lpstr>IndexInformation!SEDOL</vt:lpstr>
      <vt:lpstr>'MWA Lease'!SedolTicker</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CSFB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2000-03-06T17:12:04Z</dcterms:created>
  <dc:creator>Brian Lloyd</dc:creator>
  <cp:lastModifiedBy>Boyd, Patrice (Research)</cp:lastModifiedBy>
  <cp:lastPrinted>2018-03-16T20:22:47Z</cp:lastPrinted>
  <dcterms:modified xsi:type="dcterms:W3CDTF">2018-03-16T21:00:54Z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DealMaven.PresLink.LastVersion" pid="2">
    <vt:lpwstr/>
  </property>
  <property fmtid="{D5CDD505-2E9C-101B-9397-08002B2CF9AE}" name="LinkingAutoNameNumberLinking_Text_" pid="3">
    <vt:lpwstr>1</vt:lpwstr>
  </property>
  <property fmtid="{D5CDD505-2E9C-101B-9397-08002B2CF9AE}" name="LinkingAutoNameNumberLinking_Range_" pid="4">
    <vt:lpwstr>37</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756869</vt:lpwstr>
  </property>
  <property fmtid="{D5CDD505-2E9C-101B-9397-08002B2CF9AE}" name="ERModPubCompanyName" pid="8">
    <vt:lpwstr>Tiffany &amp; Co.</vt:lpwstr>
  </property>
  <property fmtid="{D5CDD505-2E9C-101B-9397-08002B2CF9AE}" name="MSDH34TAG" pid="9">
    <vt:lpwstr>.TEZUF76X5TAHATHESADREYAK-00-INB160+*94600-06=0d642004/-295c/-11e8/-97c7/-b3450f688ad8,MD=20180316170211/-0400,ZZ=000Z-8c08.</vt:lpwstr>
  </property>
</Properties>
</file>